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worksheets/sheet3.xml" ContentType="application/vnd.openxmlformats-officedocument.spreadsheetml.worksheet+xml"/>
  <Override PartName="/xl/comments/comment2.xml" ContentType="application/vnd.openxmlformats-officedocument.spreadsheetml.comments+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bookViews>
    <workbookView visibility="visible" minimized="0" showHorizontalScroll="1" showVerticalScroll="1" showSheetTabs="1" xWindow="240" yWindow="15" windowWidth="16095" windowHeight="9660" tabRatio="600" firstSheet="0" activeTab="0" autoFilterDateGrouping="1"/>
  </bookViews>
  <sheets>
    <sheet xmlns:r="http://schemas.openxmlformats.org/officeDocument/2006/relationships" name="Enter messages" sheetId="1" state="visible" r:id="rId1"/>
    <sheet xmlns:r="http://schemas.openxmlformats.org/officeDocument/2006/relationships" name="Score vs Response" sheetId="2" state="visible" r:id="rId2"/>
    <sheet xmlns:r="http://schemas.openxmlformats.org/officeDocument/2006/relationships" name="Worked Example" sheetId="3" state="visible" r:id="rId3"/>
  </sheets>
  <definedNames/>
  <calcPr calcId="124519" fullCalcOnLoad="1"/>
</workbook>
</file>

<file path=xl/styles.xml><?xml version="1.0" encoding="utf-8"?>
<styleSheet xmlns="http://schemas.openxmlformats.org/spreadsheetml/2006/main">
  <numFmts count="2">
    <numFmt numFmtId="164" formatCode="0.0%"/>
    <numFmt numFmtId="165" formatCode="0.000"/>
  </numFmts>
  <fonts count="16">
    <font>
      <name val="Calibri"/>
      <family val="2"/>
      <color theme="1"/>
      <sz val="11"/>
      <scheme val="minor"/>
    </font>
    <font>
      <name val="Arial"/>
      <family val="2"/>
      <b val="1"/>
      <color rgb="FFFFFFFF"/>
      <sz val="10"/>
    </font>
    <font>
      <name val="Arial"/>
      <family val="2"/>
      <color rgb="FF0000FF"/>
      <sz val="10"/>
    </font>
    <font>
      <name val="Arial"/>
      <family val="2"/>
      <b val="1"/>
      <color rgb="FF2E3338"/>
      <sz val="10"/>
    </font>
    <font>
      <name val="Arial"/>
      <family val="2"/>
      <color rgb="FF6B7280"/>
      <sz val="10"/>
    </font>
    <font>
      <name val="Arial"/>
      <family val="2"/>
      <color rgb="FF6B7280"/>
      <sz val="9"/>
    </font>
    <font>
      <name val="Arial"/>
      <family val="2"/>
      <b val="1"/>
      <color rgb="FFFFFFFF"/>
      <sz val="9"/>
    </font>
    <font>
      <name val="Arial"/>
      <family val="2"/>
      <b val="1"/>
      <color rgb="FF2E3338"/>
      <sz val="9"/>
    </font>
    <font>
      <name val="Arial"/>
      <family val="2"/>
      <b val="1"/>
      <color rgb="FFD92B2B"/>
      <sz val="12"/>
    </font>
    <font>
      <name val="Arial"/>
      <family val="2"/>
      <i val="1"/>
      <color rgb="FF6B7280"/>
      <sz val="8"/>
    </font>
    <font>
      <name val="Arial"/>
      <family val="2"/>
      <color theme="1"/>
      <sz val="11"/>
    </font>
    <font>
      <name val="Arial"/>
      <family val="2"/>
      <color theme="1"/>
      <sz val="9"/>
    </font>
    <font>
      <name val="Arial"/>
      <family val="2"/>
      <color rgb="FF0000FF"/>
      <sz val="9"/>
    </font>
    <font>
      <name val="Arial"/>
      <family val="2"/>
      <b val="1"/>
      <color theme="1"/>
      <sz val="9"/>
    </font>
    <font>
      <name val="Arial"/>
      <family val="2"/>
      <color rgb="FF6B7280"/>
      <sz val="8"/>
    </font>
    <font>
      <name val="Tahoma"/>
      <family val="2"/>
      <color indexed="81"/>
      <sz val="8"/>
    </font>
  </fonts>
  <fills count="7">
    <fill>
      <patternFill/>
    </fill>
    <fill>
      <patternFill patternType="gray125"/>
    </fill>
    <fill>
      <patternFill patternType="solid">
        <fgColor rgb="FF2E3338"/>
        <bgColor indexed="64"/>
      </patternFill>
    </fill>
    <fill>
      <patternFill patternType="solid">
        <fgColor rgb="FFFFFFCC"/>
        <bgColor indexed="64"/>
      </patternFill>
    </fill>
    <fill>
      <patternFill patternType="solid">
        <fgColor rgb="FFFFFFFF"/>
        <bgColor indexed="64"/>
      </patternFill>
    </fill>
    <fill>
      <patternFill patternType="solid">
        <fgColor rgb="FFF4F5F6"/>
        <bgColor indexed="64"/>
      </patternFill>
    </fill>
    <fill>
      <patternFill patternType="solid">
        <fgColor rgb="FF6B7280"/>
        <bgColor indexed="64"/>
      </patternFill>
    </fill>
  </fills>
  <borders count="8">
    <border>
      <left/>
      <right/>
      <top/>
      <bottom/>
      <diagonal/>
    </border>
    <border>
      <left style="thin">
        <color rgb="FFD5D7DA"/>
      </left>
      <right style="thin">
        <color rgb="FFD5D7DA"/>
      </right>
      <top style="thin">
        <color rgb="FFD5D7DA"/>
      </top>
      <bottom style="thin">
        <color rgb="FFD5D7DA"/>
      </bottom>
      <diagonal/>
    </border>
    <border>
      <left style="thin">
        <color rgb="FFD5D7DA"/>
      </left>
      <right style="thin">
        <color rgb="FFD5D7DA"/>
      </right>
      <top/>
      <bottom style="thin">
        <color rgb="FFD5D7DA"/>
      </bottom>
      <diagonal/>
    </border>
    <border>
      <left style="medium">
        <color rgb="FFD92B2B"/>
      </left>
      <right style="medium">
        <color rgb="FFD92B2B"/>
      </right>
      <top style="medium">
        <color rgb="FFD92B2B"/>
      </top>
      <bottom style="medium">
        <color rgb="FFD92B2B"/>
      </bottom>
      <diagonal/>
    </border>
    <border>
      <left/>
      <right/>
      <top/>
      <bottom style="thin">
        <color rgb="FFD5D7DA"/>
      </bottom>
      <diagonal/>
    </border>
    <border>
      <left/>
      <right/>
      <top style="medium">
        <color rgb="FFD92B2B"/>
      </top>
      <bottom/>
      <diagonal/>
    </border>
    <border>
      <left/>
      <right style="medium">
        <color rgb="FFD92B2B"/>
      </right>
      <top style="medium">
        <color rgb="FFD92B2B"/>
      </top>
      <bottom/>
      <diagonal/>
    </border>
    <border>
      <left/>
      <right style="medium">
        <color rgb="FFD92B2B"/>
      </right>
      <top style="medium">
        <color rgb="FFD92B2B"/>
      </top>
      <bottom style="medium">
        <color rgb="FFD92B2B"/>
      </bottom>
      <diagonal/>
    </border>
  </borders>
  <cellStyleXfs count="1">
    <xf numFmtId="0" fontId="0" fillId="0" borderId="0"/>
  </cellStyleXfs>
  <cellXfs count="31">
    <xf numFmtId="0" fontId="0" fillId="0" borderId="0" pivotButton="0" quotePrefix="0" xfId="0"/>
    <xf numFmtId="0" fontId="1" fillId="2" borderId="0" applyAlignment="1" pivotButton="0" quotePrefix="0" xfId="0">
      <alignment horizontal="left" vertical="center" indent="1"/>
    </xf>
    <xf numFmtId="0" fontId="2" fillId="3" borderId="1" applyAlignment="1" pivotButton="0" quotePrefix="0" xfId="0">
      <alignment horizontal="left" vertical="center" indent="1"/>
    </xf>
    <xf numFmtId="0" fontId="3" fillId="0" borderId="0" applyAlignment="1" pivotButton="0" quotePrefix="0" xfId="0">
      <alignment vertical="top" wrapText="1"/>
    </xf>
    <xf numFmtId="0" fontId="4" fillId="0" borderId="0" applyAlignment="1" pivotButton="0" quotePrefix="0" xfId="0">
      <alignment vertical="top" wrapText="1"/>
    </xf>
    <xf numFmtId="0" fontId="5" fillId="0" borderId="0" pivotButton="0" quotePrefix="0" xfId="0"/>
    <xf numFmtId="0" fontId="3" fillId="0" borderId="0" applyAlignment="1" pivotButton="0" quotePrefix="0" xfId="0">
      <alignment vertical="center"/>
    </xf>
    <xf numFmtId="0" fontId="6" fillId="2" borderId="0" applyAlignment="1" pivotButton="0" quotePrefix="0" xfId="0">
      <alignment horizontal="left" vertical="center" wrapText="1" indent="1"/>
    </xf>
    <xf numFmtId="0" fontId="2" fillId="3" borderId="2" applyAlignment="1" pivotButton="0" quotePrefix="0" xfId="0">
      <alignment horizontal="left" vertical="center" indent="1"/>
    </xf>
    <xf numFmtId="0" fontId="2" fillId="4" borderId="1" applyAlignment="1" pivotButton="0" quotePrefix="0" xfId="0">
      <alignment horizontal="left" vertical="center" indent="1"/>
    </xf>
    <xf numFmtId="0" fontId="7" fillId="0" borderId="0" applyAlignment="1" pivotButton="0" quotePrefix="0" xfId="0">
      <alignment vertical="top" wrapText="1"/>
    </xf>
    <xf numFmtId="0" fontId="5" fillId="0" borderId="0" applyAlignment="1" pivotButton="0" quotePrefix="0" xfId="0">
      <alignment vertical="top" wrapText="1"/>
    </xf>
    <xf numFmtId="164" fontId="8" fillId="5" borderId="3" applyAlignment="1" pivotButton="0" quotePrefix="0" xfId="0">
      <alignment horizontal="center" vertical="center"/>
    </xf>
    <xf numFmtId="0" fontId="5" fillId="0" borderId="0" applyAlignment="1" pivotButton="0" quotePrefix="0" xfId="0">
      <alignment horizontal="left" vertical="center" wrapText="1" indent="1"/>
    </xf>
    <xf numFmtId="0" fontId="9" fillId="0" borderId="0" pivotButton="0" quotePrefix="0" xfId="0"/>
    <xf numFmtId="0" fontId="10" fillId="0" borderId="0" applyAlignment="1" pivotButton="0" quotePrefix="0" xfId="0">
      <alignment vertical="center" wrapText="1"/>
    </xf>
    <xf numFmtId="165" fontId="8" fillId="5" borderId="3" applyAlignment="1" pivotButton="0" quotePrefix="0" xfId="0">
      <alignment horizontal="center" vertical="center"/>
    </xf>
    <xf numFmtId="0" fontId="6" fillId="6" borderId="0" applyAlignment="1" pivotButton="0" quotePrefix="0" xfId="0">
      <alignment horizontal="left" vertical="center" wrapText="1" indent="1"/>
    </xf>
    <xf numFmtId="0" fontId="6" fillId="6" borderId="0" applyAlignment="1" pivotButton="0" quotePrefix="0" xfId="0">
      <alignment horizontal="center" vertical="center" wrapText="1"/>
    </xf>
    <xf numFmtId="0" fontId="7" fillId="0" borderId="4" applyAlignment="1" pivotButton="0" quotePrefix="0" xfId="0">
      <alignment horizontal="left" vertical="center" indent="1"/>
    </xf>
    <xf numFmtId="0" fontId="11" fillId="0" borderId="4" applyAlignment="1" pivotButton="0" quotePrefix="0" xfId="0">
      <alignment vertical="center"/>
    </xf>
    <xf numFmtId="0" fontId="11" fillId="0" borderId="4" applyAlignment="1" pivotButton="0" quotePrefix="0" xfId="0">
      <alignment horizontal="center" vertical="center"/>
    </xf>
    <xf numFmtId="3" fontId="12" fillId="3" borderId="4" applyAlignment="1" pivotButton="0" quotePrefix="0" xfId="0">
      <alignment horizontal="center" vertical="center"/>
    </xf>
    <xf numFmtId="10" fontId="11" fillId="0" borderId="4" applyAlignment="1" pivotButton="0" quotePrefix="0" xfId="0">
      <alignment horizontal="center" vertical="center"/>
    </xf>
    <xf numFmtId="0" fontId="11" fillId="0" borderId="4" applyAlignment="1" pivotButton="0" quotePrefix="0" xfId="0">
      <alignment vertical="center" wrapText="1"/>
    </xf>
    <xf numFmtId="0" fontId="13" fillId="0" borderId="4" applyAlignment="1" pivotButton="0" quotePrefix="0" xfId="0">
      <alignment horizontal="center" vertical="center"/>
    </xf>
    <xf numFmtId="1" fontId="11" fillId="0" borderId="4" applyAlignment="1" pivotButton="0" quotePrefix="0" xfId="0">
      <alignment horizontal="center" vertical="center"/>
    </xf>
    <xf numFmtId="0" fontId="14" fillId="0" borderId="0" pivotButton="0" quotePrefix="0" xfId="0"/>
    <xf numFmtId="0" fontId="0" fillId="0" borderId="7" pivotButton="0" quotePrefix="0" xfId="0"/>
    <xf numFmtId="3" fontId="12" fillId="3" borderId="4" applyAlignment="1" pivotButton="0" quotePrefix="0" xfId="0">
      <alignment horizontal="center" vertical="center"/>
    </xf>
    <xf numFmtId="10" fontId="11" fillId="0" borderId="4" applyAlignment="1" pivotButton="0" quotePrefix="0" xfId="0">
      <alignment horizontal="center" vertical="center"/>
    </xf>
  </cellXfs>
  <cellStyles count="1">
    <cellStyle name="Normal" xfId="0" builtinId="0"/>
  </cellStyles>
  <dxfs count="4">
    <dxf>
      <font>
        <b val="1"/>
        <color rgb="FFD92B2B"/>
      </font>
    </dxf>
    <dxf>
      <border>
        <left/>
        <right/>
        <top style="medium">
          <color rgb="FF9AA0A6"/>
        </top>
        <bottom/>
        <vertical/>
        <horizontal/>
      </border>
    </dxf>
    <dxf>
      <font>
        <color rgb="FFFFFFFF"/>
      </font>
    </dxf>
    <dxf>
      <font>
        <b val="1"/>
        <color rgb="FFD92B2B"/>
      </font>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comments/comment1.xml><?xml version="1.0" encoding="utf-8"?>
<comments xmlns="http://schemas.openxmlformats.org/spreadsheetml/2006/main">
  <authors>
    <author>Persado</author>
  </authors>
  <commentList>
    <comment ref="C5" authorId="0" shapeId="0">
      <text>
        <t>Share of campaigns where the top-scored message is also the message with
the highest CTR.
A campaign is excluded from both numerator and denominator when its top
score or top CTR is tied, or when a two-proportion test cannot separate
its two best messages at p &lt; 0.05. Table 3 shows which, and the p-value.</t>
      </text>
    </comment>
    <comment ref="C7" authorId="0" shapeId="0">
      <text>
        <t>Each value is ranked within its own campaign; those ranks are centred on the
campaign's mean rank so campaigns of different sizes cannot contribute a
spurious block effect. CORREL then correlates the pooled centred ranks.
No message is ever compared with one from another campaign.
Pooled, not averaged: all campaigns' comparisons go into one calculation,
so larger campaigns carry proportionally more weight.
A campaign of exactly two messages whose top two the Table 3 test cannot
separate is left out of this figure: its top two are its whole ordering.
Bands: strong 0.7 and above, moderate 0.4 up to 0.7, weak 0 up to 0.4,
inverted below 0. Each boundary belongs to the higher band.
+1 is a perfect match, 0 no relationship, −1 exactly inverted.
Treat a band edge as soft: on 50 campaigns a figure of 0.70 could
reasonably be anywhere between 0.60 and 0.78.</t>
      </text>
    </comment>
    <comment ref="C8" authorId="0" shapeId="0">
      <text>
        <t>Share of campaigns whose within-campaign message order is identical in
every scoring run, from Table 4.
Needs no results — available immediately after scoring.
Strict: one swapped pair anywhere in a campaign fails that campaign.</t>
      </text>
    </comment>
  </commentList>
</comments>
</file>

<file path=xl/comments/comment2.xml><?xml version="1.0" encoding="utf-8"?>
<comments xmlns="http://schemas.openxmlformats.org/spreadsheetml/2006/main">
  <authors>
    <author>Persado</author>
  </authors>
  <commentList>
    <comment ref="C5" authorId="0" shapeId="0">
      <text>
        <t>Share of campaigns where the top-scored message is also the message with
the highest CTR.
A campaign is excluded from both numerator and denominator when its top
score or top CTR is tied, or when a two-proportion test cannot separate
its two best messages at p &lt; 0.05. Table 3 shows which, and the p-value.</t>
      </text>
    </comment>
    <comment ref="C7" authorId="0" shapeId="0">
      <text>
        <t>Each value is ranked within its own campaign; those ranks are centred on the
campaign's mean rank so campaigns of different sizes cannot contribute a
spurious block effect. CORREL then correlates the pooled centred ranks.
No message is ever compared with one from another campaign.
Pooled, not averaged: all campaigns' comparisons go into one calculation,
so larger campaigns carry proportionally more weight.
A campaign of exactly two messages whose top two the Table 3 test cannot
separate is left out of this figure: its top two are its whole ordering.
Bands: strong 0.7 and above, moderate 0.4 up to 0.7, weak 0 up to 0.4,
inverted below 0. Each boundary belongs to the higher band.
+1 is a perfect match, 0 no relationship, −1 exactly inverted.
Treat a band edge as soft: on 50 campaigns a figure of 0.70 could
reasonably be anywhere between 0.60 and 0.78.</t>
      </text>
    </comment>
    <comment ref="C8" authorId="0" shapeId="0">
      <text>
        <t>Share of campaigns whose within-campaign message order is identical in
every scoring run, from Table 4.
Needs no results — available immediately after scoring.
Strict: one swapped pair anywhere in a campaign fails that campaign.</t>
      </text>
    </comment>
  </commentList>
</comment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sheet1.xml><?xml version="1.0" encoding="utf-8"?>
<worksheet xmlns="http://schemas.openxmlformats.org/spreadsheetml/2006/main">
  <sheetPr>
    <outlinePr summaryBelow="1" summaryRight="1"/>
    <pageSetUpPr fitToPage="1"/>
  </sheetPr>
  <dimension ref="A1:E1213"/>
  <sheetViews>
    <sheetView showGridLines="0" tabSelected="1" workbookViewId="0">
      <pane ySplit="13" topLeftCell="A14" activePane="bottomLeft" state="frozen"/>
      <selection pane="bottomLeft" activeCell="A1" sqref="A1"/>
    </sheetView>
  </sheetViews>
  <sheetFormatPr baseColWidth="8" defaultRowHeight="15"/>
  <cols>
    <col width="20.7109375" customWidth="1" min="1" max="1"/>
    <col width="56.7109375" customWidth="1" min="2" max="2"/>
    <col width="10.7109375" customWidth="1" min="3" max="4"/>
  </cols>
  <sheetData>
    <row r="1" ht="20" customHeight="1">
      <c r="A1" s="1" t="inlineStr">
        <is>
          <t>Account</t>
        </is>
      </c>
      <c r="B1" s="2" t="n"/>
    </row>
    <row r="2" ht="20" customHeight="1">
      <c r="A2" s="1" t="inlineStr">
        <is>
          <t>Channel</t>
        </is>
      </c>
      <c r="B2" s="2" t="n"/>
    </row>
    <row r="3" ht="20" customHeight="1">
      <c r="A3" s="1" t="inlineStr">
        <is>
          <t>Industry</t>
        </is>
      </c>
      <c r="B3" s="2" t="n"/>
    </row>
    <row r="5">
      <c r="A5" s="3" t="inlineStr">
        <is>
          <t>What you do</t>
        </is>
      </c>
    </row>
    <row r="6" ht="32" customHeight="1">
      <c r="A6" s="4" t="inlineStr">
        <is>
          <t>1 · Type one message per row in column B. Name its campaign in column A — repeat the campaign name on every row that belongs to it. That is what groups them.</t>
        </is>
      </c>
    </row>
    <row r="7" ht="32" customHeight="1">
      <c r="A7" s="4" t="inlineStr">
        <is>
          <t>2 · Add up to 300 campaigns and 1,200 messages, one channel and one industry per workbook. No need to prefilter campaigns: the workbook applies the necessary tests, explained in the next tab. Leave no blank rows inside the list.</t>
        </is>
      </c>
    </row>
    <row r="8" ht="32" customHeight="1">
      <c r="A8" s="4" t="inlineStr">
        <is>
          <t>3 · Do not enter your results yet. Scores are produced without sight of what actually happened, which is what makes the comparison valid. Leave the “Score vs Response” sheet empty until the scored file comes back.</t>
        </is>
      </c>
    </row>
    <row r="9" ht="32" customHeight="1">
      <c r="A9" s="4" t="inlineStr">
        <is>
          <t>4 · Email this file back to the person at Persado who sent it to you. It comes back scored, five times per message. Then enter unique clicks and messages delivered in “Score vs Response”, and the rest of the workbook fills itself in.</t>
        </is>
      </c>
    </row>
    <row r="10">
      <c r="A10" s="5">
        <f>IF(COUNTA('Enter messages'!$B$1214:'Enter messages'!$B$4213)&gt;0,"⚠  DATA BELOW ROW 1213 IS NOT INCLUDED IN ANY RESULT — trim to 1200 messages","")</f>
        <v/>
      </c>
    </row>
    <row r="12" ht="18" customHeight="1">
      <c r="A12" s="6" t="inlineStr">
        <is>
          <t>Table 1 · Your campaigns and messages</t>
        </is>
      </c>
    </row>
    <row r="13" ht="24" customHeight="1">
      <c r="A13" s="7" t="inlineStr">
        <is>
          <t>Campaign</t>
        </is>
      </c>
      <c r="B13" s="7" t="inlineStr">
        <is>
          <t>Marketing message</t>
        </is>
      </c>
    </row>
    <row r="14" ht="16" customHeight="1">
      <c r="A14" s="8" t="n"/>
      <c r="B14" s="8" t="n"/>
    </row>
    <row r="15" ht="16" customHeight="1">
      <c r="A15" s="8" t="n"/>
      <c r="B15" s="8" t="n"/>
    </row>
    <row r="16" ht="16" customHeight="1">
      <c r="A16" s="8" t="n"/>
      <c r="B16" s="8" t="n"/>
    </row>
    <row r="17" ht="16" customHeight="1">
      <c r="A17" s="8" t="n"/>
      <c r="B17" s="8" t="n"/>
    </row>
    <row r="18" ht="16" customHeight="1">
      <c r="A18" s="8" t="n"/>
      <c r="B18" s="8" t="n"/>
    </row>
    <row r="19" ht="16" customHeight="1">
      <c r="A19" s="8" t="n"/>
      <c r="B19" s="8" t="n"/>
    </row>
    <row r="20" ht="16" customHeight="1">
      <c r="A20" s="8" t="n"/>
      <c r="B20" s="8" t="n"/>
    </row>
    <row r="21" ht="16" customHeight="1">
      <c r="A21" s="8" t="n"/>
      <c r="B21" s="8" t="n"/>
    </row>
    <row r="22" ht="16" customHeight="1">
      <c r="A22" s="8" t="n"/>
      <c r="B22" s="8" t="n"/>
    </row>
    <row r="23" ht="16" customHeight="1">
      <c r="A23" s="8" t="n"/>
      <c r="B23" s="8" t="n"/>
    </row>
    <row r="24" ht="16" customHeight="1">
      <c r="A24" s="8" t="n"/>
      <c r="B24" s="8" t="n"/>
    </row>
    <row r="25" ht="16" customHeight="1">
      <c r="A25" s="8" t="n"/>
      <c r="B25" s="8" t="n"/>
    </row>
    <row r="26" ht="16" customHeight="1">
      <c r="A26" s="8" t="n"/>
      <c r="B26" s="8" t="n"/>
    </row>
    <row r="27" ht="16" customHeight="1">
      <c r="A27" s="8" t="n"/>
      <c r="B27" s="8" t="n"/>
    </row>
    <row r="28" ht="16" customHeight="1">
      <c r="A28" s="8" t="n"/>
      <c r="B28" s="8" t="n"/>
    </row>
    <row r="29" ht="16" customHeight="1">
      <c r="A29" s="8" t="n"/>
      <c r="B29" s="8" t="n"/>
    </row>
    <row r="30" ht="16" customHeight="1">
      <c r="A30" s="8" t="n"/>
      <c r="B30" s="8" t="n"/>
    </row>
    <row r="31" ht="16" customHeight="1">
      <c r="A31" s="8" t="n"/>
      <c r="B31" s="8" t="n"/>
    </row>
    <row r="32" ht="16" customHeight="1">
      <c r="A32" s="8" t="n"/>
      <c r="B32" s="8" t="n"/>
    </row>
    <row r="33" ht="16" customHeight="1">
      <c r="A33" s="8" t="n"/>
      <c r="B33" s="8" t="n"/>
    </row>
    <row r="34" ht="16" customHeight="1">
      <c r="A34" s="8" t="n"/>
      <c r="B34" s="8" t="n"/>
    </row>
    <row r="35" ht="16" customHeight="1">
      <c r="A35" s="8" t="n"/>
      <c r="B35" s="8" t="n"/>
    </row>
    <row r="36" ht="16" customHeight="1">
      <c r="A36" s="8" t="n"/>
      <c r="B36" s="8" t="n"/>
    </row>
    <row r="37" ht="16" customHeight="1">
      <c r="A37" s="8" t="n"/>
      <c r="B37" s="8" t="n"/>
    </row>
    <row r="38" ht="16" customHeight="1">
      <c r="A38" s="8" t="n"/>
      <c r="B38" s="8" t="n"/>
    </row>
    <row r="39" ht="16" customHeight="1">
      <c r="A39" s="8" t="n"/>
      <c r="B39" s="8" t="n"/>
    </row>
    <row r="40" ht="16" customHeight="1">
      <c r="A40" s="8" t="n"/>
      <c r="B40" s="8" t="n"/>
    </row>
    <row r="41" ht="16" customHeight="1">
      <c r="A41" s="8" t="n"/>
      <c r="B41" s="8" t="n"/>
    </row>
    <row r="42" ht="16" customHeight="1">
      <c r="A42" s="8" t="n"/>
      <c r="B42" s="8" t="n"/>
    </row>
    <row r="43" ht="16" customHeight="1">
      <c r="A43" s="8" t="n"/>
      <c r="B43" s="8" t="n"/>
    </row>
    <row r="44" ht="16" customHeight="1">
      <c r="A44" s="8" t="n"/>
      <c r="B44" s="8" t="n"/>
    </row>
    <row r="45" ht="16" customHeight="1">
      <c r="A45" s="8" t="n"/>
      <c r="B45" s="8" t="n"/>
    </row>
    <row r="46" ht="16" customHeight="1">
      <c r="A46" s="8" t="n"/>
      <c r="B46" s="8" t="n"/>
    </row>
    <row r="47" ht="16" customHeight="1">
      <c r="A47" s="8" t="n"/>
      <c r="B47" s="8" t="n"/>
    </row>
    <row r="48" ht="16" customHeight="1">
      <c r="A48" s="8" t="n"/>
      <c r="B48" s="8" t="n"/>
    </row>
    <row r="49" ht="16" customHeight="1">
      <c r="A49" s="8" t="n"/>
      <c r="B49" s="8" t="n"/>
    </row>
    <row r="50" ht="16" customHeight="1">
      <c r="A50" s="8" t="n"/>
      <c r="B50" s="8" t="n"/>
    </row>
    <row r="51" ht="16" customHeight="1">
      <c r="A51" s="8" t="n"/>
      <c r="B51" s="8" t="n"/>
    </row>
    <row r="52" ht="16" customHeight="1">
      <c r="A52" s="8" t="n"/>
      <c r="B52" s="8" t="n"/>
    </row>
    <row r="53" ht="16" customHeight="1">
      <c r="A53" s="8" t="n"/>
      <c r="B53" s="8" t="n"/>
    </row>
    <row r="54" ht="16" customHeight="1">
      <c r="A54" s="8" t="n"/>
      <c r="B54" s="8" t="n"/>
    </row>
    <row r="55" ht="16" customHeight="1">
      <c r="A55" s="8" t="n"/>
      <c r="B55" s="8" t="n"/>
    </row>
    <row r="56" ht="16" customHeight="1">
      <c r="A56" s="8" t="n"/>
      <c r="B56" s="8" t="n"/>
    </row>
    <row r="57" ht="16" customHeight="1">
      <c r="A57" s="8" t="n"/>
      <c r="B57" s="8" t="n"/>
    </row>
    <row r="58" ht="16" customHeight="1">
      <c r="A58" s="8" t="n"/>
      <c r="B58" s="8" t="n"/>
    </row>
    <row r="59" ht="16" customHeight="1">
      <c r="A59" s="8" t="n"/>
      <c r="B59" s="8" t="n"/>
    </row>
    <row r="60" ht="16" customHeight="1">
      <c r="A60" s="8" t="n"/>
      <c r="B60" s="8" t="n"/>
    </row>
    <row r="61" ht="16" customHeight="1">
      <c r="A61" s="8" t="n"/>
      <c r="B61" s="8" t="n"/>
    </row>
    <row r="62" ht="16" customHeight="1">
      <c r="A62" s="8" t="n"/>
      <c r="B62" s="8" t="n"/>
    </row>
    <row r="63" ht="16" customHeight="1">
      <c r="A63" s="8" t="n"/>
      <c r="B63" s="8" t="n"/>
    </row>
    <row r="64" ht="16" customHeight="1">
      <c r="A64" s="8" t="n"/>
      <c r="B64" s="8" t="n"/>
    </row>
    <row r="65" ht="16" customHeight="1">
      <c r="A65" s="8" t="n"/>
      <c r="B65" s="8" t="n"/>
    </row>
    <row r="66" ht="16" customHeight="1">
      <c r="A66" s="8" t="n"/>
      <c r="B66" s="8" t="n"/>
    </row>
    <row r="67" ht="16" customHeight="1">
      <c r="A67" s="8" t="n"/>
      <c r="B67" s="8" t="n"/>
    </row>
    <row r="68" ht="16" customHeight="1">
      <c r="A68" s="8" t="n"/>
      <c r="B68" s="8" t="n"/>
    </row>
    <row r="69" ht="16" customHeight="1">
      <c r="A69" s="8" t="n"/>
      <c r="B69" s="8" t="n"/>
    </row>
    <row r="70" ht="16" customHeight="1">
      <c r="A70" s="8" t="n"/>
      <c r="B70" s="8" t="n"/>
    </row>
    <row r="71" ht="16" customHeight="1">
      <c r="A71" s="8" t="n"/>
      <c r="B71" s="8" t="n"/>
    </row>
    <row r="72" ht="16" customHeight="1">
      <c r="A72" s="8" t="n"/>
      <c r="B72" s="8" t="n"/>
    </row>
    <row r="73" ht="16" customHeight="1">
      <c r="A73" s="8" t="n"/>
      <c r="B73" s="8" t="n"/>
    </row>
    <row r="74" ht="16" customHeight="1">
      <c r="A74" s="8" t="n"/>
      <c r="B74" s="8" t="n"/>
    </row>
    <row r="75" ht="16" customHeight="1">
      <c r="A75" s="8" t="n"/>
      <c r="B75" s="8" t="n"/>
    </row>
    <row r="76" ht="16" customHeight="1">
      <c r="A76" s="8" t="n"/>
      <c r="B76" s="8" t="n"/>
    </row>
    <row r="77" ht="16" customHeight="1">
      <c r="A77" s="8" t="n"/>
      <c r="B77" s="8" t="n"/>
    </row>
    <row r="78" ht="16" customHeight="1">
      <c r="A78" s="8" t="n"/>
      <c r="B78" s="8" t="n"/>
    </row>
    <row r="79" ht="16" customHeight="1">
      <c r="A79" s="8" t="n"/>
      <c r="B79" s="8" t="n"/>
    </row>
    <row r="80" ht="16" customHeight="1">
      <c r="A80" s="8" t="n"/>
      <c r="B80" s="8" t="n"/>
    </row>
    <row r="81" ht="16" customHeight="1">
      <c r="A81" s="8" t="n"/>
      <c r="B81" s="8" t="n"/>
    </row>
    <row r="82" ht="16" customHeight="1">
      <c r="A82" s="8" t="n"/>
      <c r="B82" s="8" t="n"/>
    </row>
    <row r="83" ht="16" customHeight="1">
      <c r="A83" s="8" t="n"/>
      <c r="B83" s="8" t="n"/>
    </row>
    <row r="84" ht="16" customHeight="1">
      <c r="A84" s="8" t="n"/>
      <c r="B84" s="8" t="n"/>
    </row>
    <row r="85" ht="16" customHeight="1">
      <c r="A85" s="8" t="n"/>
      <c r="B85" s="8" t="n"/>
    </row>
    <row r="86" ht="16" customHeight="1">
      <c r="A86" s="8" t="n"/>
      <c r="B86" s="8" t="n"/>
    </row>
    <row r="87" ht="16" customHeight="1">
      <c r="A87" s="8" t="n"/>
      <c r="B87" s="8" t="n"/>
    </row>
    <row r="88" ht="16" customHeight="1">
      <c r="A88" s="8" t="n"/>
      <c r="B88" s="8" t="n"/>
    </row>
    <row r="89" ht="16" customHeight="1">
      <c r="A89" s="8" t="n"/>
      <c r="B89" s="8" t="n"/>
    </row>
    <row r="90" ht="16" customHeight="1">
      <c r="A90" s="8" t="n"/>
      <c r="B90" s="8" t="n"/>
    </row>
    <row r="91" ht="16" customHeight="1">
      <c r="A91" s="8" t="n"/>
      <c r="B91" s="8" t="n"/>
    </row>
    <row r="92" ht="16" customHeight="1">
      <c r="A92" s="8" t="n"/>
      <c r="B92" s="8" t="n"/>
    </row>
    <row r="93" ht="16" customHeight="1">
      <c r="A93" s="8" t="n"/>
      <c r="B93" s="8" t="n"/>
    </row>
    <row r="94" ht="16" customHeight="1">
      <c r="A94" s="8" t="n"/>
      <c r="B94" s="8" t="n"/>
    </row>
    <row r="95" ht="16" customHeight="1">
      <c r="A95" s="8" t="n"/>
      <c r="B95" s="8" t="n"/>
    </row>
    <row r="96" ht="16" customHeight="1">
      <c r="A96" s="8" t="n"/>
      <c r="B96" s="8" t="n"/>
    </row>
    <row r="97" ht="16" customHeight="1">
      <c r="A97" s="8" t="n"/>
      <c r="B97" s="8" t="n"/>
    </row>
    <row r="98" ht="16" customHeight="1">
      <c r="A98" s="8" t="n"/>
      <c r="B98" s="8" t="n"/>
    </row>
    <row r="99" ht="16" customHeight="1">
      <c r="A99" s="8" t="n"/>
      <c r="B99" s="8" t="n"/>
    </row>
    <row r="100" ht="16" customHeight="1">
      <c r="A100" s="8" t="n"/>
      <c r="B100" s="8" t="n"/>
    </row>
    <row r="101" ht="16" customHeight="1">
      <c r="A101" s="8" t="n"/>
      <c r="B101" s="8" t="n"/>
    </row>
    <row r="102" ht="16" customHeight="1">
      <c r="A102" s="8" t="n"/>
      <c r="B102" s="8" t="n"/>
    </row>
    <row r="103" ht="16" customHeight="1">
      <c r="A103" s="8" t="n"/>
      <c r="B103" s="8" t="n"/>
    </row>
    <row r="104" ht="16" customHeight="1">
      <c r="A104" s="8" t="n"/>
      <c r="B104" s="8" t="n"/>
    </row>
    <row r="105" ht="16" customHeight="1">
      <c r="A105" s="8" t="n"/>
      <c r="B105" s="8" t="n"/>
    </row>
    <row r="106" ht="16" customHeight="1">
      <c r="A106" s="8" t="n"/>
      <c r="B106" s="8" t="n"/>
    </row>
    <row r="107" ht="16" customHeight="1">
      <c r="A107" s="8" t="n"/>
      <c r="B107" s="8" t="n"/>
    </row>
    <row r="108" ht="16" customHeight="1">
      <c r="A108" s="8" t="n"/>
      <c r="B108" s="8" t="n"/>
    </row>
    <row r="109" ht="16" customHeight="1">
      <c r="A109" s="8" t="n"/>
      <c r="B109" s="8" t="n"/>
    </row>
    <row r="110" ht="16" customHeight="1">
      <c r="A110" s="8" t="n"/>
      <c r="B110" s="8" t="n"/>
    </row>
    <row r="111" ht="16" customHeight="1">
      <c r="A111" s="8" t="n"/>
      <c r="B111" s="8" t="n"/>
    </row>
    <row r="112" ht="16" customHeight="1">
      <c r="A112" s="8" t="n"/>
      <c r="B112" s="8" t="n"/>
    </row>
    <row r="113" ht="16" customHeight="1">
      <c r="A113" s="8" t="n"/>
      <c r="B113" s="8" t="n"/>
    </row>
    <row r="114" ht="16" customHeight="1">
      <c r="A114" s="8" t="n"/>
      <c r="B114" s="8" t="n"/>
    </row>
    <row r="115" ht="16" customHeight="1">
      <c r="A115" s="8" t="n"/>
      <c r="B115" s="8" t="n"/>
    </row>
    <row r="116" ht="16" customHeight="1">
      <c r="A116" s="8" t="n"/>
      <c r="B116" s="8" t="n"/>
    </row>
    <row r="117" ht="16" customHeight="1">
      <c r="A117" s="8" t="n"/>
      <c r="B117" s="8" t="n"/>
    </row>
    <row r="118" ht="16" customHeight="1">
      <c r="A118" s="8" t="n"/>
      <c r="B118" s="8" t="n"/>
    </row>
    <row r="119" ht="16" customHeight="1">
      <c r="A119" s="8" t="n"/>
      <c r="B119" s="8" t="n"/>
    </row>
    <row r="120" ht="16" customHeight="1">
      <c r="A120" s="8" t="n"/>
      <c r="B120" s="8" t="n"/>
    </row>
    <row r="121" ht="16" customHeight="1">
      <c r="A121" s="8" t="n"/>
      <c r="B121" s="8" t="n"/>
    </row>
    <row r="122" ht="16" customHeight="1">
      <c r="A122" s="8" t="n"/>
      <c r="B122" s="8" t="n"/>
    </row>
    <row r="123" ht="16" customHeight="1">
      <c r="A123" s="8" t="n"/>
      <c r="B123" s="8" t="n"/>
    </row>
    <row r="124" ht="16" customHeight="1">
      <c r="A124" s="8" t="n"/>
      <c r="B124" s="8" t="n"/>
    </row>
    <row r="125" ht="16" customHeight="1">
      <c r="A125" s="8" t="n"/>
      <c r="B125" s="8" t="n"/>
    </row>
    <row r="126" ht="16" customHeight="1">
      <c r="A126" s="8" t="n"/>
      <c r="B126" s="8" t="n"/>
    </row>
    <row r="127" ht="16" customHeight="1">
      <c r="A127" s="8" t="n"/>
      <c r="B127" s="8" t="n"/>
    </row>
    <row r="128" ht="16" customHeight="1">
      <c r="A128" s="8" t="n"/>
      <c r="B128" s="8" t="n"/>
    </row>
    <row r="129" ht="16" customHeight="1">
      <c r="A129" s="8" t="n"/>
      <c r="B129" s="8" t="n"/>
    </row>
    <row r="130" ht="16" customHeight="1">
      <c r="A130" s="8" t="n"/>
      <c r="B130" s="8" t="n"/>
    </row>
    <row r="131" ht="16" customHeight="1">
      <c r="A131" s="8" t="n"/>
      <c r="B131" s="8" t="n"/>
    </row>
    <row r="132" ht="16" customHeight="1">
      <c r="A132" s="8" t="n"/>
      <c r="B132" s="8" t="n"/>
    </row>
    <row r="133" ht="16" customHeight="1">
      <c r="A133" s="8" t="n"/>
      <c r="B133" s="8" t="n"/>
    </row>
    <row r="134" ht="16" customHeight="1">
      <c r="A134" s="8" t="n"/>
      <c r="B134" s="8" t="n"/>
    </row>
    <row r="135" ht="16" customHeight="1">
      <c r="A135" s="8" t="n"/>
      <c r="B135" s="8" t="n"/>
    </row>
    <row r="136" ht="16" customHeight="1">
      <c r="A136" s="8" t="n"/>
      <c r="B136" s="8" t="n"/>
    </row>
    <row r="137" ht="16" customHeight="1">
      <c r="A137" s="8" t="n"/>
      <c r="B137" s="8" t="n"/>
    </row>
    <row r="138" ht="16" customHeight="1">
      <c r="A138" s="8" t="n"/>
      <c r="B138" s="8" t="n"/>
    </row>
    <row r="139" ht="16" customHeight="1">
      <c r="A139" s="8" t="n"/>
      <c r="B139" s="8" t="n"/>
    </row>
    <row r="140" ht="16" customHeight="1">
      <c r="A140" s="8" t="n"/>
      <c r="B140" s="8" t="n"/>
    </row>
    <row r="141" ht="16" customHeight="1">
      <c r="A141" s="8" t="n"/>
      <c r="B141" s="8" t="n"/>
    </row>
    <row r="142" ht="16" customHeight="1">
      <c r="A142" s="8" t="n"/>
      <c r="B142" s="8" t="n"/>
    </row>
    <row r="143" ht="16" customHeight="1">
      <c r="A143" s="8" t="n"/>
      <c r="B143" s="8" t="n"/>
    </row>
    <row r="144" ht="16" customHeight="1">
      <c r="A144" s="8" t="n"/>
      <c r="B144" s="8" t="n"/>
    </row>
    <row r="145" ht="16" customHeight="1">
      <c r="A145" s="8" t="n"/>
      <c r="B145" s="8" t="n"/>
    </row>
    <row r="146" ht="16" customHeight="1">
      <c r="A146" s="8" t="n"/>
      <c r="B146" s="8" t="n"/>
    </row>
    <row r="147" ht="16" customHeight="1">
      <c r="A147" s="8" t="n"/>
      <c r="B147" s="8" t="n"/>
    </row>
    <row r="148" ht="16" customHeight="1">
      <c r="A148" s="8" t="n"/>
      <c r="B148" s="8" t="n"/>
    </row>
    <row r="149" ht="16" customHeight="1">
      <c r="A149" s="8" t="n"/>
      <c r="B149" s="8" t="n"/>
    </row>
    <row r="150" ht="16" customHeight="1">
      <c r="A150" s="8" t="n"/>
      <c r="B150" s="8" t="n"/>
    </row>
    <row r="151" ht="16" customHeight="1">
      <c r="A151" s="8" t="n"/>
      <c r="B151" s="8" t="n"/>
    </row>
    <row r="152" ht="16" customHeight="1">
      <c r="A152" s="8" t="n"/>
      <c r="B152" s="8" t="n"/>
    </row>
    <row r="153" ht="16" customHeight="1">
      <c r="A153" s="8" t="n"/>
      <c r="B153" s="8" t="n"/>
    </row>
    <row r="154" ht="16" customHeight="1">
      <c r="A154" s="8" t="n"/>
      <c r="B154" s="8" t="n"/>
    </row>
    <row r="155" ht="16" customHeight="1">
      <c r="A155" s="8" t="n"/>
      <c r="B155" s="8" t="n"/>
    </row>
    <row r="156" ht="16" customHeight="1">
      <c r="A156" s="8" t="n"/>
      <c r="B156" s="8" t="n"/>
    </row>
    <row r="157" ht="16" customHeight="1">
      <c r="A157" s="8" t="n"/>
      <c r="B157" s="8" t="n"/>
    </row>
    <row r="158" ht="16" customHeight="1">
      <c r="A158" s="8" t="n"/>
      <c r="B158" s="8" t="n"/>
    </row>
    <row r="159" ht="16" customHeight="1">
      <c r="A159" s="8" t="n"/>
      <c r="B159" s="8" t="n"/>
    </row>
    <row r="160" ht="16" customHeight="1">
      <c r="A160" s="8" t="n"/>
      <c r="B160" s="8" t="n"/>
    </row>
    <row r="161" ht="16" customHeight="1">
      <c r="A161" s="8" t="n"/>
      <c r="B161" s="8" t="n"/>
    </row>
    <row r="162" ht="16" customHeight="1">
      <c r="A162" s="8" t="n"/>
      <c r="B162" s="8" t="n"/>
    </row>
    <row r="163" ht="16" customHeight="1">
      <c r="A163" s="8" t="n"/>
      <c r="B163" s="8" t="n"/>
    </row>
    <row r="164" ht="16" customHeight="1">
      <c r="A164" s="8" t="n"/>
      <c r="B164" s="8" t="n"/>
    </row>
    <row r="165" ht="16" customHeight="1">
      <c r="A165" s="8" t="n"/>
      <c r="B165" s="8" t="n"/>
    </row>
    <row r="166" ht="16" customHeight="1">
      <c r="A166" s="8" t="n"/>
      <c r="B166" s="8" t="n"/>
    </row>
    <row r="167" ht="16" customHeight="1">
      <c r="A167" s="8" t="n"/>
      <c r="B167" s="8" t="n"/>
    </row>
    <row r="168" ht="16" customHeight="1">
      <c r="A168" s="8" t="n"/>
      <c r="B168" s="8" t="n"/>
    </row>
    <row r="169" ht="16" customHeight="1">
      <c r="A169" s="8" t="n"/>
      <c r="B169" s="8" t="n"/>
    </row>
    <row r="170" ht="16" customHeight="1">
      <c r="A170" s="8" t="n"/>
      <c r="B170" s="8" t="n"/>
    </row>
    <row r="171" ht="16" customHeight="1">
      <c r="A171" s="8" t="n"/>
      <c r="B171" s="8" t="n"/>
    </row>
    <row r="172" ht="16" customHeight="1">
      <c r="A172" s="8" t="n"/>
      <c r="B172" s="8" t="n"/>
    </row>
    <row r="173" ht="16" customHeight="1">
      <c r="A173" s="8" t="n"/>
      <c r="B173" s="8" t="n"/>
    </row>
    <row r="174" ht="16" customHeight="1">
      <c r="A174" s="8" t="n"/>
      <c r="B174" s="8" t="n"/>
    </row>
    <row r="175" ht="16" customHeight="1">
      <c r="A175" s="8" t="n"/>
      <c r="B175" s="8" t="n"/>
    </row>
    <row r="176" ht="16" customHeight="1">
      <c r="A176" s="8" t="n"/>
      <c r="B176" s="8" t="n"/>
    </row>
    <row r="177" ht="16" customHeight="1">
      <c r="A177" s="8" t="n"/>
      <c r="B177" s="8" t="n"/>
    </row>
    <row r="178" ht="16" customHeight="1">
      <c r="A178" s="8" t="n"/>
      <c r="B178" s="8" t="n"/>
    </row>
    <row r="179" ht="16" customHeight="1">
      <c r="A179" s="8" t="n"/>
      <c r="B179" s="8" t="n"/>
    </row>
    <row r="180" ht="16" customHeight="1">
      <c r="A180" s="8" t="n"/>
      <c r="B180" s="8" t="n"/>
    </row>
    <row r="181" ht="16" customHeight="1">
      <c r="A181" s="8" t="n"/>
      <c r="B181" s="8" t="n"/>
    </row>
    <row r="182" ht="16" customHeight="1">
      <c r="A182" s="8" t="n"/>
      <c r="B182" s="8" t="n"/>
    </row>
    <row r="183" ht="16" customHeight="1">
      <c r="A183" s="8" t="n"/>
      <c r="B183" s="8" t="n"/>
    </row>
    <row r="184" ht="16" customHeight="1">
      <c r="A184" s="8" t="n"/>
      <c r="B184" s="8" t="n"/>
    </row>
    <row r="185" ht="16" customHeight="1">
      <c r="A185" s="8" t="n"/>
      <c r="B185" s="8" t="n"/>
    </row>
    <row r="186" ht="16" customHeight="1">
      <c r="A186" s="8" t="n"/>
      <c r="B186" s="8" t="n"/>
    </row>
    <row r="187" ht="16" customHeight="1">
      <c r="A187" s="8" t="n"/>
      <c r="B187" s="8" t="n"/>
    </row>
    <row r="188" ht="16" customHeight="1">
      <c r="A188" s="8" t="n"/>
      <c r="B188" s="8" t="n"/>
    </row>
    <row r="189" ht="16" customHeight="1">
      <c r="A189" s="8" t="n"/>
      <c r="B189" s="8" t="n"/>
    </row>
    <row r="190" ht="16" customHeight="1">
      <c r="A190" s="8" t="n"/>
      <c r="B190" s="8" t="n"/>
    </row>
    <row r="191" ht="16" customHeight="1">
      <c r="A191" s="8" t="n"/>
      <c r="B191" s="8" t="n"/>
    </row>
    <row r="192" ht="16" customHeight="1">
      <c r="A192" s="8" t="n"/>
      <c r="B192" s="8" t="n"/>
    </row>
    <row r="193" ht="16" customHeight="1">
      <c r="A193" s="8" t="n"/>
      <c r="B193" s="8" t="n"/>
    </row>
    <row r="194" ht="16" customHeight="1">
      <c r="A194" s="8" t="n"/>
      <c r="B194" s="8" t="n"/>
    </row>
    <row r="195" ht="16" customHeight="1">
      <c r="A195" s="8" t="n"/>
      <c r="B195" s="8" t="n"/>
    </row>
    <row r="196" ht="16" customHeight="1">
      <c r="A196" s="8" t="n"/>
      <c r="B196" s="8" t="n"/>
    </row>
    <row r="197" ht="16" customHeight="1">
      <c r="A197" s="8" t="n"/>
      <c r="B197" s="8" t="n"/>
    </row>
    <row r="198" ht="16" customHeight="1">
      <c r="A198" s="8" t="n"/>
      <c r="B198" s="8" t="n"/>
    </row>
    <row r="199" ht="16" customHeight="1">
      <c r="A199" s="8" t="n"/>
      <c r="B199" s="8" t="n"/>
    </row>
    <row r="200" ht="16" customHeight="1">
      <c r="A200" s="8" t="n"/>
      <c r="B200" s="8" t="n"/>
    </row>
    <row r="201" ht="16" customHeight="1">
      <c r="A201" s="8" t="n"/>
      <c r="B201" s="8" t="n"/>
    </row>
    <row r="202" ht="16" customHeight="1">
      <c r="A202" s="8" t="n"/>
      <c r="B202" s="8" t="n"/>
    </row>
    <row r="203" ht="16" customHeight="1">
      <c r="A203" s="8" t="n"/>
      <c r="B203" s="8" t="n"/>
    </row>
    <row r="204" ht="16" customHeight="1">
      <c r="A204" s="8" t="n"/>
      <c r="B204" s="8" t="n"/>
    </row>
    <row r="205" ht="16" customHeight="1">
      <c r="A205" s="8" t="n"/>
      <c r="B205" s="8" t="n"/>
    </row>
    <row r="206" ht="16" customHeight="1">
      <c r="A206" s="8" t="n"/>
      <c r="B206" s="8" t="n"/>
    </row>
    <row r="207" ht="16" customHeight="1">
      <c r="A207" s="8" t="n"/>
      <c r="B207" s="8" t="n"/>
    </row>
    <row r="208" ht="16" customHeight="1">
      <c r="A208" s="8" t="n"/>
      <c r="B208" s="8" t="n"/>
    </row>
    <row r="209" ht="16" customHeight="1">
      <c r="A209" s="8" t="n"/>
      <c r="B209" s="8" t="n"/>
    </row>
    <row r="210" ht="16" customHeight="1">
      <c r="A210" s="8" t="n"/>
      <c r="B210" s="8" t="n"/>
    </row>
    <row r="211" ht="16" customHeight="1">
      <c r="A211" s="8" t="n"/>
      <c r="B211" s="8" t="n"/>
    </row>
    <row r="212" ht="16" customHeight="1">
      <c r="A212" s="8" t="n"/>
      <c r="B212" s="8" t="n"/>
    </row>
    <row r="213" ht="16" customHeight="1">
      <c r="A213" s="8" t="n"/>
      <c r="B213" s="8" t="n"/>
    </row>
    <row r="214" ht="16" customHeight="1">
      <c r="A214" s="8" t="n"/>
      <c r="B214" s="8" t="n"/>
    </row>
    <row r="215" ht="16" customHeight="1">
      <c r="A215" s="8" t="n"/>
      <c r="B215" s="8" t="n"/>
    </row>
    <row r="216" ht="16" customHeight="1">
      <c r="A216" s="8" t="n"/>
      <c r="B216" s="8" t="n"/>
    </row>
    <row r="217" ht="16" customHeight="1">
      <c r="A217" s="8" t="n"/>
      <c r="B217" s="8" t="n"/>
    </row>
    <row r="218" ht="16" customHeight="1">
      <c r="A218" s="8" t="n"/>
      <c r="B218" s="8" t="n"/>
    </row>
    <row r="219" ht="16" customHeight="1">
      <c r="A219" s="8" t="n"/>
      <c r="B219" s="8" t="n"/>
    </row>
    <row r="220" ht="16" customHeight="1">
      <c r="A220" s="8" t="n"/>
      <c r="B220" s="8" t="n"/>
    </row>
    <row r="221" ht="16" customHeight="1">
      <c r="A221" s="8" t="n"/>
      <c r="B221" s="8" t="n"/>
    </row>
    <row r="222" ht="16" customHeight="1">
      <c r="A222" s="8" t="n"/>
      <c r="B222" s="8" t="n"/>
    </row>
    <row r="223" ht="16" customHeight="1">
      <c r="A223" s="8" t="n"/>
      <c r="B223" s="8" t="n"/>
    </row>
    <row r="224" ht="16" customHeight="1">
      <c r="A224" s="8" t="n"/>
      <c r="B224" s="8" t="n"/>
    </row>
    <row r="225" ht="16" customHeight="1">
      <c r="A225" s="8" t="n"/>
      <c r="B225" s="8" t="n"/>
    </row>
    <row r="226" ht="16" customHeight="1">
      <c r="A226" s="8" t="n"/>
      <c r="B226" s="8" t="n"/>
    </row>
    <row r="227" ht="16" customHeight="1">
      <c r="A227" s="8" t="n"/>
      <c r="B227" s="8" t="n"/>
    </row>
    <row r="228" ht="16" customHeight="1">
      <c r="A228" s="8" t="n"/>
      <c r="B228" s="8" t="n"/>
    </row>
    <row r="229" ht="16" customHeight="1">
      <c r="A229" s="8" t="n"/>
      <c r="B229" s="8" t="n"/>
    </row>
    <row r="230" ht="16" customHeight="1">
      <c r="A230" s="8" t="n"/>
      <c r="B230" s="8" t="n"/>
    </row>
    <row r="231" ht="16" customHeight="1">
      <c r="A231" s="8" t="n"/>
      <c r="B231" s="8" t="n"/>
    </row>
    <row r="232" ht="16" customHeight="1">
      <c r="A232" s="8" t="n"/>
      <c r="B232" s="8" t="n"/>
    </row>
    <row r="233" ht="16" customHeight="1">
      <c r="A233" s="8" t="n"/>
      <c r="B233" s="8" t="n"/>
    </row>
    <row r="234" ht="16" customHeight="1">
      <c r="A234" s="8" t="n"/>
      <c r="B234" s="8" t="n"/>
    </row>
    <row r="235" ht="16" customHeight="1">
      <c r="A235" s="8" t="n"/>
      <c r="B235" s="8" t="n"/>
    </row>
    <row r="236" ht="16" customHeight="1">
      <c r="A236" s="8" t="n"/>
      <c r="B236" s="8" t="n"/>
    </row>
    <row r="237" ht="16" customHeight="1">
      <c r="A237" s="8" t="n"/>
      <c r="B237" s="8" t="n"/>
    </row>
    <row r="238" ht="16" customHeight="1">
      <c r="A238" s="8" t="n"/>
      <c r="B238" s="8" t="n"/>
    </row>
    <row r="239" ht="16" customHeight="1">
      <c r="A239" s="8" t="n"/>
      <c r="B239" s="8" t="n"/>
    </row>
    <row r="240" ht="16" customHeight="1">
      <c r="A240" s="8" t="n"/>
      <c r="B240" s="8" t="n"/>
    </row>
    <row r="241" ht="16" customHeight="1">
      <c r="A241" s="8" t="n"/>
      <c r="B241" s="8" t="n"/>
    </row>
    <row r="242" ht="16" customHeight="1">
      <c r="A242" s="8" t="n"/>
      <c r="B242" s="8" t="n"/>
    </row>
    <row r="243" ht="16" customHeight="1">
      <c r="A243" s="8" t="n"/>
      <c r="B243" s="8" t="n"/>
    </row>
    <row r="244" ht="16" customHeight="1">
      <c r="A244" s="8" t="n"/>
      <c r="B244" s="8" t="n"/>
    </row>
    <row r="245" ht="16" customHeight="1">
      <c r="A245" s="8" t="n"/>
      <c r="B245" s="8" t="n"/>
    </row>
    <row r="246" ht="16" customHeight="1">
      <c r="A246" s="8" t="n"/>
      <c r="B246" s="8" t="n"/>
    </row>
    <row r="247" ht="16" customHeight="1">
      <c r="A247" s="8" t="n"/>
      <c r="B247" s="8" t="n"/>
    </row>
    <row r="248" ht="16" customHeight="1">
      <c r="A248" s="8" t="n"/>
      <c r="B248" s="8" t="n"/>
    </row>
    <row r="249" ht="16" customHeight="1">
      <c r="A249" s="8" t="n"/>
      <c r="B249" s="8" t="n"/>
    </row>
    <row r="250" ht="16" customHeight="1">
      <c r="A250" s="8" t="n"/>
      <c r="B250" s="8" t="n"/>
    </row>
    <row r="251" ht="16" customHeight="1">
      <c r="A251" s="8" t="n"/>
      <c r="B251" s="8" t="n"/>
    </row>
    <row r="252" ht="16" customHeight="1">
      <c r="A252" s="8" t="n"/>
      <c r="B252" s="8" t="n"/>
    </row>
    <row r="253" ht="16" customHeight="1">
      <c r="A253" s="8" t="n"/>
      <c r="B253" s="8" t="n"/>
    </row>
    <row r="254" ht="16" customHeight="1">
      <c r="A254" s="8" t="n"/>
      <c r="B254" s="8" t="n"/>
    </row>
    <row r="255" ht="16" customHeight="1">
      <c r="A255" s="8" t="n"/>
      <c r="B255" s="8" t="n"/>
    </row>
    <row r="256" ht="16" customHeight="1">
      <c r="A256" s="8" t="n"/>
      <c r="B256" s="8" t="n"/>
    </row>
    <row r="257" ht="16" customHeight="1">
      <c r="A257" s="8" t="n"/>
      <c r="B257" s="8" t="n"/>
    </row>
    <row r="258" ht="16" customHeight="1">
      <c r="A258" s="8" t="n"/>
      <c r="B258" s="8" t="n"/>
    </row>
    <row r="259" ht="16" customHeight="1">
      <c r="A259" s="8" t="n"/>
      <c r="B259" s="8" t="n"/>
    </row>
    <row r="260" ht="16" customHeight="1">
      <c r="A260" s="8" t="n"/>
      <c r="B260" s="8" t="n"/>
    </row>
    <row r="261" ht="16" customHeight="1">
      <c r="A261" s="8" t="n"/>
      <c r="B261" s="8" t="n"/>
    </row>
    <row r="262" ht="16" customHeight="1">
      <c r="A262" s="8" t="n"/>
      <c r="B262" s="8" t="n"/>
    </row>
    <row r="263" ht="16" customHeight="1">
      <c r="A263" s="8" t="n"/>
      <c r="B263" s="8" t="n"/>
    </row>
    <row r="264" ht="16" customHeight="1">
      <c r="A264" s="8" t="n"/>
      <c r="B264" s="8" t="n"/>
    </row>
    <row r="265" ht="16" customHeight="1">
      <c r="A265" s="8" t="n"/>
      <c r="B265" s="8" t="n"/>
    </row>
    <row r="266" ht="16" customHeight="1">
      <c r="A266" s="8" t="n"/>
      <c r="B266" s="8" t="n"/>
    </row>
    <row r="267" ht="16" customHeight="1">
      <c r="A267" s="8" t="n"/>
      <c r="B267" s="8" t="n"/>
    </row>
    <row r="268" ht="16" customHeight="1">
      <c r="A268" s="8" t="n"/>
      <c r="B268" s="8" t="n"/>
    </row>
    <row r="269" ht="16" customHeight="1">
      <c r="A269" s="8" t="n"/>
      <c r="B269" s="8" t="n"/>
    </row>
    <row r="270" ht="16" customHeight="1">
      <c r="A270" s="8" t="n"/>
      <c r="B270" s="8" t="n"/>
    </row>
    <row r="271" ht="16" customHeight="1">
      <c r="A271" s="8" t="n"/>
      <c r="B271" s="8" t="n"/>
    </row>
    <row r="272" ht="16" customHeight="1">
      <c r="A272" s="8" t="n"/>
      <c r="B272" s="8" t="n"/>
    </row>
    <row r="273" ht="16" customHeight="1">
      <c r="A273" s="8" t="n"/>
      <c r="B273" s="8" t="n"/>
    </row>
    <row r="274" ht="16" customHeight="1">
      <c r="A274" s="8" t="n"/>
      <c r="B274" s="8" t="n"/>
    </row>
    <row r="275" ht="16" customHeight="1">
      <c r="A275" s="8" t="n"/>
      <c r="B275" s="8" t="n"/>
    </row>
    <row r="276" ht="16" customHeight="1">
      <c r="A276" s="8" t="n"/>
      <c r="B276" s="8" t="n"/>
    </row>
    <row r="277" ht="16" customHeight="1">
      <c r="A277" s="8" t="n"/>
      <c r="B277" s="8" t="n"/>
    </row>
    <row r="278" ht="16" customHeight="1">
      <c r="A278" s="8" t="n"/>
      <c r="B278" s="8" t="n"/>
    </row>
    <row r="279" ht="16" customHeight="1">
      <c r="A279" s="8" t="n"/>
      <c r="B279" s="8" t="n"/>
    </row>
    <row r="280" ht="16" customHeight="1">
      <c r="A280" s="8" t="n"/>
      <c r="B280" s="8" t="n"/>
    </row>
    <row r="281" ht="16" customHeight="1">
      <c r="A281" s="8" t="n"/>
      <c r="B281" s="8" t="n"/>
    </row>
    <row r="282" ht="16" customHeight="1">
      <c r="A282" s="8" t="n"/>
      <c r="B282" s="8" t="n"/>
    </row>
    <row r="283" ht="16" customHeight="1">
      <c r="A283" s="8" t="n"/>
      <c r="B283" s="8" t="n"/>
    </row>
    <row r="284" ht="16" customHeight="1">
      <c r="A284" s="8" t="n"/>
      <c r="B284" s="8" t="n"/>
    </row>
    <row r="285" ht="16" customHeight="1">
      <c r="A285" s="8" t="n"/>
      <c r="B285" s="8" t="n"/>
    </row>
    <row r="286" ht="16" customHeight="1">
      <c r="A286" s="8" t="n"/>
      <c r="B286" s="8" t="n"/>
    </row>
    <row r="287" ht="16" customHeight="1">
      <c r="A287" s="8" t="n"/>
      <c r="B287" s="8" t="n"/>
    </row>
    <row r="288" ht="16" customHeight="1">
      <c r="A288" s="8" t="n"/>
      <c r="B288" s="8" t="n"/>
    </row>
    <row r="289" ht="16" customHeight="1">
      <c r="A289" s="8" t="n"/>
      <c r="B289" s="8" t="n"/>
    </row>
    <row r="290" ht="16" customHeight="1">
      <c r="A290" s="8" t="n"/>
      <c r="B290" s="8" t="n"/>
    </row>
    <row r="291" ht="16" customHeight="1">
      <c r="A291" s="8" t="n"/>
      <c r="B291" s="8" t="n"/>
    </row>
    <row r="292" ht="16" customHeight="1">
      <c r="A292" s="8" t="n"/>
      <c r="B292" s="8" t="n"/>
    </row>
    <row r="293" ht="16" customHeight="1">
      <c r="A293" s="8" t="n"/>
      <c r="B293" s="8" t="n"/>
    </row>
    <row r="294" ht="16" customHeight="1">
      <c r="A294" s="8" t="n"/>
      <c r="B294" s="8" t="n"/>
    </row>
    <row r="295" ht="16" customHeight="1">
      <c r="A295" s="8" t="n"/>
      <c r="B295" s="8" t="n"/>
    </row>
    <row r="296" ht="16" customHeight="1">
      <c r="A296" s="8" t="n"/>
      <c r="B296" s="8" t="n"/>
    </row>
    <row r="297" ht="16" customHeight="1">
      <c r="A297" s="8" t="n"/>
      <c r="B297" s="8" t="n"/>
    </row>
    <row r="298" ht="16" customHeight="1">
      <c r="A298" s="8" t="n"/>
      <c r="B298" s="8" t="n"/>
    </row>
    <row r="299" ht="16" customHeight="1">
      <c r="A299" s="8" t="n"/>
      <c r="B299" s="8" t="n"/>
    </row>
    <row r="300" ht="16" customHeight="1">
      <c r="A300" s="8" t="n"/>
      <c r="B300" s="8" t="n"/>
    </row>
    <row r="301" ht="16" customHeight="1">
      <c r="A301" s="8" t="n"/>
      <c r="B301" s="8" t="n"/>
    </row>
    <row r="302" ht="16" customHeight="1">
      <c r="A302" s="8" t="n"/>
      <c r="B302" s="8" t="n"/>
    </row>
    <row r="303" ht="16" customHeight="1">
      <c r="A303" s="8" t="n"/>
      <c r="B303" s="8" t="n"/>
    </row>
    <row r="304" ht="16" customHeight="1">
      <c r="A304" s="8" t="n"/>
      <c r="B304" s="8" t="n"/>
    </row>
    <row r="305" ht="16" customHeight="1">
      <c r="A305" s="8" t="n"/>
      <c r="B305" s="8" t="n"/>
    </row>
    <row r="306" ht="16" customHeight="1">
      <c r="A306" s="8" t="n"/>
      <c r="B306" s="8" t="n"/>
    </row>
    <row r="307" ht="16" customHeight="1">
      <c r="A307" s="8" t="n"/>
      <c r="B307" s="8" t="n"/>
    </row>
    <row r="308" ht="16" customHeight="1">
      <c r="A308" s="8" t="n"/>
      <c r="B308" s="8" t="n"/>
    </row>
    <row r="309" ht="16" customHeight="1">
      <c r="A309" s="8" t="n"/>
      <c r="B309" s="8" t="n"/>
    </row>
    <row r="310" ht="16" customHeight="1">
      <c r="A310" s="8" t="n"/>
      <c r="B310" s="8" t="n"/>
    </row>
    <row r="311" ht="16" customHeight="1">
      <c r="A311" s="8" t="n"/>
      <c r="B311" s="8" t="n"/>
    </row>
    <row r="312" ht="16" customHeight="1">
      <c r="A312" s="8" t="n"/>
      <c r="B312" s="8" t="n"/>
    </row>
    <row r="313" ht="16" customHeight="1">
      <c r="A313" s="8" t="n"/>
      <c r="B313" s="8" t="n"/>
    </row>
    <row r="314" ht="16" customHeight="1">
      <c r="A314" s="8" t="n"/>
      <c r="B314" s="8" t="n"/>
    </row>
    <row r="315" ht="16" customHeight="1">
      <c r="A315" s="8" t="n"/>
      <c r="B315" s="8" t="n"/>
    </row>
    <row r="316" ht="16" customHeight="1">
      <c r="A316" s="8" t="n"/>
      <c r="B316" s="8" t="n"/>
    </row>
    <row r="317" ht="16" customHeight="1">
      <c r="A317" s="8" t="n"/>
      <c r="B317" s="8" t="n"/>
    </row>
    <row r="318" ht="16" customHeight="1">
      <c r="A318" s="8" t="n"/>
      <c r="B318" s="8" t="n"/>
    </row>
    <row r="319" ht="16" customHeight="1">
      <c r="A319" s="8" t="n"/>
      <c r="B319" s="8" t="n"/>
    </row>
    <row r="320" ht="16" customHeight="1">
      <c r="A320" s="8" t="n"/>
      <c r="B320" s="8" t="n"/>
    </row>
    <row r="321" ht="16" customHeight="1">
      <c r="A321" s="8" t="n"/>
      <c r="B321" s="8" t="n"/>
    </row>
    <row r="322" ht="16" customHeight="1">
      <c r="A322" s="8" t="n"/>
      <c r="B322" s="8" t="n"/>
    </row>
    <row r="323" ht="16" customHeight="1">
      <c r="A323" s="8" t="n"/>
      <c r="B323" s="8" t="n"/>
    </row>
    <row r="324" ht="16" customHeight="1">
      <c r="A324" s="8" t="n"/>
      <c r="B324" s="8" t="n"/>
    </row>
    <row r="325" ht="16" customHeight="1">
      <c r="A325" s="8" t="n"/>
      <c r="B325" s="8" t="n"/>
    </row>
    <row r="326" ht="16" customHeight="1">
      <c r="A326" s="8" t="n"/>
      <c r="B326" s="8" t="n"/>
    </row>
    <row r="327" ht="16" customHeight="1">
      <c r="A327" s="8" t="n"/>
      <c r="B327" s="8" t="n"/>
    </row>
    <row r="328" ht="16" customHeight="1">
      <c r="A328" s="8" t="n"/>
      <c r="B328" s="8" t="n"/>
    </row>
    <row r="329" ht="16" customHeight="1">
      <c r="A329" s="8" t="n"/>
      <c r="B329" s="8" t="n"/>
    </row>
    <row r="330" ht="16" customHeight="1">
      <c r="A330" s="8" t="n"/>
      <c r="B330" s="8" t="n"/>
    </row>
    <row r="331" ht="16" customHeight="1">
      <c r="A331" s="8" t="n"/>
      <c r="B331" s="8" t="n"/>
    </row>
    <row r="332" ht="16" customHeight="1">
      <c r="A332" s="8" t="n"/>
      <c r="B332" s="8" t="n"/>
    </row>
    <row r="333" ht="16" customHeight="1">
      <c r="A333" s="8" t="n"/>
      <c r="B333" s="8" t="n"/>
    </row>
    <row r="334" ht="16" customHeight="1">
      <c r="A334" s="8" t="n"/>
      <c r="B334" s="8" t="n"/>
    </row>
    <row r="335" ht="16" customHeight="1">
      <c r="A335" s="8" t="n"/>
      <c r="B335" s="8" t="n"/>
    </row>
    <row r="336" ht="16" customHeight="1">
      <c r="A336" s="8" t="n"/>
      <c r="B336" s="8" t="n"/>
    </row>
    <row r="337" ht="16" customHeight="1">
      <c r="A337" s="8" t="n"/>
      <c r="B337" s="8" t="n"/>
    </row>
    <row r="338" ht="16" customHeight="1">
      <c r="A338" s="8" t="n"/>
      <c r="B338" s="8" t="n"/>
    </row>
    <row r="339" ht="16" customHeight="1">
      <c r="A339" s="8" t="n"/>
      <c r="B339" s="8" t="n"/>
    </row>
    <row r="340" ht="16" customHeight="1">
      <c r="A340" s="8" t="n"/>
      <c r="B340" s="8" t="n"/>
    </row>
    <row r="341" ht="16" customHeight="1">
      <c r="A341" s="8" t="n"/>
      <c r="B341" s="8" t="n"/>
    </row>
    <row r="342" ht="16" customHeight="1">
      <c r="A342" s="8" t="n"/>
      <c r="B342" s="8" t="n"/>
    </row>
    <row r="343" ht="16" customHeight="1">
      <c r="A343" s="8" t="n"/>
      <c r="B343" s="8" t="n"/>
    </row>
    <row r="344" ht="16" customHeight="1">
      <c r="A344" s="8" t="n"/>
      <c r="B344" s="8" t="n"/>
    </row>
    <row r="345" ht="16" customHeight="1">
      <c r="A345" s="8" t="n"/>
      <c r="B345" s="8" t="n"/>
    </row>
    <row r="346" ht="16" customHeight="1">
      <c r="A346" s="8" t="n"/>
      <c r="B346" s="8" t="n"/>
    </row>
    <row r="347" ht="16" customHeight="1">
      <c r="A347" s="8" t="n"/>
      <c r="B347" s="8" t="n"/>
    </row>
    <row r="348" ht="16" customHeight="1">
      <c r="A348" s="8" t="n"/>
      <c r="B348" s="8" t="n"/>
    </row>
    <row r="349" ht="16" customHeight="1">
      <c r="A349" s="8" t="n"/>
      <c r="B349" s="8" t="n"/>
    </row>
    <row r="350" ht="16" customHeight="1">
      <c r="A350" s="8" t="n"/>
      <c r="B350" s="8" t="n"/>
    </row>
    <row r="351" ht="16" customHeight="1">
      <c r="A351" s="8" t="n"/>
      <c r="B351" s="8" t="n"/>
    </row>
    <row r="352" ht="16" customHeight="1">
      <c r="A352" s="8" t="n"/>
      <c r="B352" s="8" t="n"/>
    </row>
    <row r="353" ht="16" customHeight="1">
      <c r="A353" s="8" t="n"/>
      <c r="B353" s="8" t="n"/>
    </row>
    <row r="354" ht="16" customHeight="1">
      <c r="A354" s="8" t="n"/>
      <c r="B354" s="8" t="n"/>
    </row>
    <row r="355" ht="16" customHeight="1">
      <c r="A355" s="8" t="n"/>
      <c r="B355" s="8" t="n"/>
    </row>
    <row r="356" ht="16" customHeight="1">
      <c r="A356" s="8" t="n"/>
      <c r="B356" s="8" t="n"/>
    </row>
    <row r="357" ht="16" customHeight="1">
      <c r="A357" s="8" t="n"/>
      <c r="B357" s="8" t="n"/>
    </row>
    <row r="358" ht="16" customHeight="1">
      <c r="A358" s="8" t="n"/>
      <c r="B358" s="8" t="n"/>
    </row>
    <row r="359" ht="16" customHeight="1">
      <c r="A359" s="8" t="n"/>
      <c r="B359" s="8" t="n"/>
    </row>
    <row r="360" ht="16" customHeight="1">
      <c r="A360" s="8" t="n"/>
      <c r="B360" s="8" t="n"/>
    </row>
    <row r="361" ht="16" customHeight="1">
      <c r="A361" s="8" t="n"/>
      <c r="B361" s="8" t="n"/>
    </row>
    <row r="362" ht="16" customHeight="1">
      <c r="A362" s="8" t="n"/>
      <c r="B362" s="8" t="n"/>
    </row>
    <row r="363" ht="16" customHeight="1">
      <c r="A363" s="8" t="n"/>
      <c r="B363" s="8" t="n"/>
    </row>
    <row r="364" ht="16" customHeight="1">
      <c r="A364" s="8" t="n"/>
      <c r="B364" s="8" t="n"/>
    </row>
    <row r="365" ht="16" customHeight="1">
      <c r="A365" s="8" t="n"/>
      <c r="B365" s="8" t="n"/>
    </row>
    <row r="366" ht="16" customHeight="1">
      <c r="A366" s="8" t="n"/>
      <c r="B366" s="8" t="n"/>
    </row>
    <row r="367" ht="16" customHeight="1">
      <c r="A367" s="8" t="n"/>
      <c r="B367" s="8" t="n"/>
    </row>
    <row r="368" ht="16" customHeight="1">
      <c r="A368" s="8" t="n"/>
      <c r="B368" s="8" t="n"/>
    </row>
    <row r="369" ht="16" customHeight="1">
      <c r="A369" s="8" t="n"/>
      <c r="B369" s="8" t="n"/>
    </row>
    <row r="370" ht="16" customHeight="1">
      <c r="A370" s="8" t="n"/>
      <c r="B370" s="8" t="n"/>
    </row>
    <row r="371" ht="16" customHeight="1">
      <c r="A371" s="8" t="n"/>
      <c r="B371" s="8" t="n"/>
    </row>
    <row r="372" ht="16" customHeight="1">
      <c r="A372" s="8" t="n"/>
      <c r="B372" s="8" t="n"/>
    </row>
    <row r="373" ht="16" customHeight="1">
      <c r="A373" s="8" t="n"/>
      <c r="B373" s="8" t="n"/>
    </row>
    <row r="374" ht="16" customHeight="1">
      <c r="A374" s="8" t="n"/>
      <c r="B374" s="8" t="n"/>
    </row>
    <row r="375" ht="16" customHeight="1">
      <c r="A375" s="8" t="n"/>
      <c r="B375" s="8" t="n"/>
    </row>
    <row r="376" ht="16" customHeight="1">
      <c r="A376" s="8" t="n"/>
      <c r="B376" s="8" t="n"/>
    </row>
    <row r="377" ht="16" customHeight="1">
      <c r="A377" s="8" t="n"/>
      <c r="B377" s="8" t="n"/>
    </row>
    <row r="378" ht="16" customHeight="1">
      <c r="A378" s="8" t="n"/>
      <c r="B378" s="8" t="n"/>
    </row>
    <row r="379" ht="16" customHeight="1">
      <c r="A379" s="8" t="n"/>
      <c r="B379" s="8" t="n"/>
    </row>
    <row r="380" ht="16" customHeight="1">
      <c r="A380" s="8" t="n"/>
      <c r="B380" s="8" t="n"/>
    </row>
    <row r="381" ht="16" customHeight="1">
      <c r="A381" s="8" t="n"/>
      <c r="B381" s="8" t="n"/>
    </row>
    <row r="382" ht="16" customHeight="1">
      <c r="A382" s="8" t="n"/>
      <c r="B382" s="8" t="n"/>
    </row>
    <row r="383" ht="16" customHeight="1">
      <c r="A383" s="8" t="n"/>
      <c r="B383" s="8" t="n"/>
    </row>
    <row r="384" ht="16" customHeight="1">
      <c r="A384" s="8" t="n"/>
      <c r="B384" s="8" t="n"/>
    </row>
    <row r="385" ht="16" customHeight="1">
      <c r="A385" s="8" t="n"/>
      <c r="B385" s="8" t="n"/>
    </row>
    <row r="386" ht="16" customHeight="1">
      <c r="A386" s="8" t="n"/>
      <c r="B386" s="8" t="n"/>
    </row>
    <row r="387" ht="16" customHeight="1">
      <c r="A387" s="8" t="n"/>
      <c r="B387" s="8" t="n"/>
    </row>
    <row r="388" ht="16" customHeight="1">
      <c r="A388" s="8" t="n"/>
      <c r="B388" s="8" t="n"/>
    </row>
    <row r="389" ht="16" customHeight="1">
      <c r="A389" s="8" t="n"/>
      <c r="B389" s="8" t="n"/>
    </row>
    <row r="390" ht="16" customHeight="1">
      <c r="A390" s="8" t="n"/>
      <c r="B390" s="8" t="n"/>
    </row>
    <row r="391" ht="16" customHeight="1">
      <c r="A391" s="8" t="n"/>
      <c r="B391" s="8" t="n"/>
    </row>
    <row r="392" ht="16" customHeight="1">
      <c r="A392" s="8" t="n"/>
      <c r="B392" s="8" t="n"/>
    </row>
    <row r="393" ht="16" customHeight="1">
      <c r="A393" s="8" t="n"/>
      <c r="B393" s="8" t="n"/>
    </row>
    <row r="394" ht="16" customHeight="1">
      <c r="A394" s="8" t="n"/>
      <c r="B394" s="8" t="n"/>
    </row>
    <row r="395" ht="16" customHeight="1">
      <c r="A395" s="8" t="n"/>
      <c r="B395" s="8" t="n"/>
    </row>
    <row r="396" ht="16" customHeight="1">
      <c r="A396" s="8" t="n"/>
      <c r="B396" s="8" t="n"/>
    </row>
    <row r="397" ht="16" customHeight="1">
      <c r="A397" s="8" t="n"/>
      <c r="B397" s="8" t="n"/>
    </row>
    <row r="398" ht="16" customHeight="1">
      <c r="A398" s="8" t="n"/>
      <c r="B398" s="8" t="n"/>
    </row>
    <row r="399" ht="16" customHeight="1">
      <c r="A399" s="8" t="n"/>
      <c r="B399" s="8" t="n"/>
    </row>
    <row r="400" ht="16" customHeight="1">
      <c r="A400" s="8" t="n"/>
      <c r="B400" s="8" t="n"/>
    </row>
    <row r="401" ht="16" customHeight="1">
      <c r="A401" s="8" t="n"/>
      <c r="B401" s="8" t="n"/>
    </row>
    <row r="402" ht="16" customHeight="1">
      <c r="A402" s="8" t="n"/>
      <c r="B402" s="8" t="n"/>
    </row>
    <row r="403" ht="16" customHeight="1">
      <c r="A403" s="8" t="n"/>
      <c r="B403" s="8" t="n"/>
    </row>
    <row r="404" ht="16" customHeight="1">
      <c r="A404" s="8" t="n"/>
      <c r="B404" s="8" t="n"/>
    </row>
    <row r="405" ht="16" customHeight="1">
      <c r="A405" s="8" t="n"/>
      <c r="B405" s="8" t="n"/>
    </row>
    <row r="406" ht="16" customHeight="1">
      <c r="A406" s="8" t="n"/>
      <c r="B406" s="8" t="n"/>
    </row>
    <row r="407" ht="16" customHeight="1">
      <c r="A407" s="8" t="n"/>
      <c r="B407" s="8" t="n"/>
    </row>
    <row r="408" ht="16" customHeight="1">
      <c r="A408" s="8" t="n"/>
      <c r="B408" s="8" t="n"/>
    </row>
    <row r="409" ht="16" customHeight="1">
      <c r="A409" s="8" t="n"/>
      <c r="B409" s="8" t="n"/>
    </row>
    <row r="410" ht="16" customHeight="1">
      <c r="A410" s="8" t="n"/>
      <c r="B410" s="8" t="n"/>
    </row>
    <row r="411" ht="16" customHeight="1">
      <c r="A411" s="8" t="n"/>
      <c r="B411" s="8" t="n"/>
    </row>
    <row r="412" ht="16" customHeight="1">
      <c r="A412" s="8" t="n"/>
      <c r="B412" s="8" t="n"/>
    </row>
    <row r="413" ht="16" customHeight="1">
      <c r="A413" s="8" t="n"/>
      <c r="B413" s="8" t="n"/>
    </row>
    <row r="414" ht="16" customHeight="1">
      <c r="A414" s="8" t="n"/>
      <c r="B414" s="8" t="n"/>
    </row>
    <row r="415" ht="16" customHeight="1">
      <c r="A415" s="8" t="n"/>
      <c r="B415" s="8" t="n"/>
    </row>
    <row r="416" ht="16" customHeight="1">
      <c r="A416" s="8" t="n"/>
      <c r="B416" s="8" t="n"/>
    </row>
    <row r="417" ht="16" customHeight="1">
      <c r="A417" s="8" t="n"/>
      <c r="B417" s="8" t="n"/>
    </row>
    <row r="418" ht="16" customHeight="1">
      <c r="A418" s="8" t="n"/>
      <c r="B418" s="8" t="n"/>
    </row>
    <row r="419" ht="16" customHeight="1">
      <c r="A419" s="8" t="n"/>
      <c r="B419" s="8" t="n"/>
    </row>
    <row r="420" ht="16" customHeight="1">
      <c r="A420" s="8" t="n"/>
      <c r="B420" s="8" t="n"/>
    </row>
    <row r="421" ht="16" customHeight="1">
      <c r="A421" s="8" t="n"/>
      <c r="B421" s="8" t="n"/>
    </row>
    <row r="422" ht="16" customHeight="1">
      <c r="A422" s="8" t="n"/>
      <c r="B422" s="8" t="n"/>
    </row>
    <row r="423" ht="16" customHeight="1">
      <c r="A423" s="8" t="n"/>
      <c r="B423" s="8" t="n"/>
    </row>
    <row r="424" ht="16" customHeight="1">
      <c r="A424" s="8" t="n"/>
      <c r="B424" s="8" t="n"/>
    </row>
    <row r="425" ht="16" customHeight="1">
      <c r="A425" s="8" t="n"/>
      <c r="B425" s="8" t="n"/>
    </row>
    <row r="426" ht="16" customHeight="1">
      <c r="A426" s="8" t="n"/>
      <c r="B426" s="8" t="n"/>
    </row>
    <row r="427" ht="16" customHeight="1">
      <c r="A427" s="8" t="n"/>
      <c r="B427" s="8" t="n"/>
    </row>
    <row r="428" ht="16" customHeight="1">
      <c r="A428" s="8" t="n"/>
      <c r="B428" s="8" t="n"/>
    </row>
    <row r="429" ht="16" customHeight="1">
      <c r="A429" s="8" t="n"/>
      <c r="B429" s="8" t="n"/>
    </row>
    <row r="430" ht="16" customHeight="1">
      <c r="A430" s="8" t="n"/>
      <c r="B430" s="8" t="n"/>
    </row>
    <row r="431" ht="16" customHeight="1">
      <c r="A431" s="8" t="n"/>
      <c r="B431" s="8" t="n"/>
    </row>
    <row r="432" ht="16" customHeight="1">
      <c r="A432" s="8" t="n"/>
      <c r="B432" s="8" t="n"/>
    </row>
    <row r="433" ht="16" customHeight="1">
      <c r="A433" s="8" t="n"/>
      <c r="B433" s="8" t="n"/>
    </row>
    <row r="434" ht="16" customHeight="1">
      <c r="A434" s="8" t="n"/>
      <c r="B434" s="8" t="n"/>
    </row>
    <row r="435" ht="16" customHeight="1">
      <c r="A435" s="8" t="n"/>
      <c r="B435" s="8" t="n"/>
    </row>
    <row r="436" ht="16" customHeight="1">
      <c r="A436" s="8" t="n"/>
      <c r="B436" s="8" t="n"/>
    </row>
    <row r="437" ht="16" customHeight="1">
      <c r="A437" s="8" t="n"/>
      <c r="B437" s="8" t="n"/>
    </row>
    <row r="438" ht="16" customHeight="1">
      <c r="A438" s="8" t="n"/>
      <c r="B438" s="8" t="n"/>
    </row>
    <row r="439" ht="16" customHeight="1">
      <c r="A439" s="8" t="n"/>
      <c r="B439" s="8" t="n"/>
    </row>
    <row r="440" ht="16" customHeight="1">
      <c r="A440" s="8" t="n"/>
      <c r="B440" s="8" t="n"/>
    </row>
    <row r="441" ht="16" customHeight="1">
      <c r="A441" s="8" t="n"/>
      <c r="B441" s="8" t="n"/>
    </row>
    <row r="442" ht="16" customHeight="1">
      <c r="A442" s="8" t="n"/>
      <c r="B442" s="8" t="n"/>
    </row>
    <row r="443" ht="16" customHeight="1">
      <c r="A443" s="8" t="n"/>
      <c r="B443" s="8" t="n"/>
    </row>
    <row r="444" ht="16" customHeight="1">
      <c r="A444" s="8" t="n"/>
      <c r="B444" s="8" t="n"/>
    </row>
    <row r="445" ht="16" customHeight="1">
      <c r="A445" s="8" t="n"/>
      <c r="B445" s="8" t="n"/>
    </row>
    <row r="446" ht="16" customHeight="1">
      <c r="A446" s="8" t="n"/>
      <c r="B446" s="8" t="n"/>
    </row>
    <row r="447" ht="16" customHeight="1">
      <c r="A447" s="8" t="n"/>
      <c r="B447" s="8" t="n"/>
    </row>
    <row r="448" ht="16" customHeight="1">
      <c r="A448" s="8" t="n"/>
      <c r="B448" s="8" t="n"/>
    </row>
    <row r="449" ht="16" customHeight="1">
      <c r="A449" s="8" t="n"/>
      <c r="B449" s="8" t="n"/>
    </row>
    <row r="450" ht="16" customHeight="1">
      <c r="A450" s="8" t="n"/>
      <c r="B450" s="8" t="n"/>
    </row>
    <row r="451" ht="16" customHeight="1">
      <c r="A451" s="8" t="n"/>
      <c r="B451" s="8" t="n"/>
    </row>
    <row r="452" ht="16" customHeight="1">
      <c r="A452" s="8" t="n"/>
      <c r="B452" s="8" t="n"/>
    </row>
    <row r="453" ht="16" customHeight="1">
      <c r="A453" s="8" t="n"/>
      <c r="B453" s="8" t="n"/>
    </row>
    <row r="454" ht="16" customHeight="1">
      <c r="A454" s="8" t="n"/>
      <c r="B454" s="8" t="n"/>
    </row>
    <row r="455" ht="16" customHeight="1">
      <c r="A455" s="8" t="n"/>
      <c r="B455" s="8" t="n"/>
    </row>
    <row r="456" ht="16" customHeight="1">
      <c r="A456" s="8" t="n"/>
      <c r="B456" s="8" t="n"/>
    </row>
    <row r="457" ht="16" customHeight="1">
      <c r="A457" s="8" t="n"/>
      <c r="B457" s="8" t="n"/>
    </row>
    <row r="458" ht="16" customHeight="1">
      <c r="A458" s="8" t="n"/>
      <c r="B458" s="8" t="n"/>
    </row>
    <row r="459" ht="16" customHeight="1">
      <c r="A459" s="8" t="n"/>
      <c r="B459" s="8" t="n"/>
    </row>
    <row r="460" ht="16" customHeight="1">
      <c r="A460" s="8" t="n"/>
      <c r="B460" s="8" t="n"/>
    </row>
    <row r="461" ht="16" customHeight="1">
      <c r="A461" s="8" t="n"/>
      <c r="B461" s="8" t="n"/>
    </row>
    <row r="462" ht="16" customHeight="1">
      <c r="A462" s="8" t="n"/>
      <c r="B462" s="8" t="n"/>
    </row>
    <row r="463" ht="16" customHeight="1">
      <c r="A463" s="8" t="n"/>
      <c r="B463" s="8" t="n"/>
    </row>
    <row r="464" ht="16" customHeight="1">
      <c r="A464" s="8" t="n"/>
      <c r="B464" s="8" t="n"/>
    </row>
    <row r="465" ht="16" customHeight="1">
      <c r="A465" s="8" t="n"/>
      <c r="B465" s="8" t="n"/>
    </row>
    <row r="466" ht="16" customHeight="1">
      <c r="A466" s="8" t="n"/>
      <c r="B466" s="8" t="n"/>
    </row>
    <row r="467" ht="16" customHeight="1">
      <c r="A467" s="8" t="n"/>
      <c r="B467" s="8" t="n"/>
    </row>
    <row r="468" ht="16" customHeight="1">
      <c r="A468" s="8" t="n"/>
      <c r="B468" s="8" t="n"/>
    </row>
    <row r="469" ht="16" customHeight="1">
      <c r="A469" s="8" t="n"/>
      <c r="B469" s="8" t="n"/>
    </row>
    <row r="470" ht="16" customHeight="1">
      <c r="A470" s="8" t="n"/>
      <c r="B470" s="8" t="n"/>
    </row>
    <row r="471" ht="16" customHeight="1">
      <c r="A471" s="8" t="n"/>
      <c r="B471" s="8" t="n"/>
    </row>
    <row r="472" ht="16" customHeight="1">
      <c r="A472" s="8" t="n"/>
      <c r="B472" s="8" t="n"/>
    </row>
    <row r="473" ht="16" customHeight="1">
      <c r="A473" s="8" t="n"/>
      <c r="B473" s="8" t="n"/>
    </row>
    <row r="474" ht="16" customHeight="1">
      <c r="A474" s="8" t="n"/>
      <c r="B474" s="8" t="n"/>
    </row>
    <row r="475" ht="16" customHeight="1">
      <c r="A475" s="8" t="n"/>
      <c r="B475" s="8" t="n"/>
    </row>
    <row r="476" ht="16" customHeight="1">
      <c r="A476" s="8" t="n"/>
      <c r="B476" s="8" t="n"/>
    </row>
    <row r="477" ht="16" customHeight="1">
      <c r="A477" s="8" t="n"/>
      <c r="B477" s="8" t="n"/>
    </row>
    <row r="478" ht="16" customHeight="1">
      <c r="A478" s="8" t="n"/>
      <c r="B478" s="8" t="n"/>
    </row>
    <row r="479" ht="16" customHeight="1">
      <c r="A479" s="8" t="n"/>
      <c r="B479" s="8" t="n"/>
    </row>
    <row r="480" ht="16" customHeight="1">
      <c r="A480" s="8" t="n"/>
      <c r="B480" s="8" t="n"/>
    </row>
    <row r="481" ht="16" customHeight="1">
      <c r="A481" s="8" t="n"/>
      <c r="B481" s="8" t="n"/>
    </row>
    <row r="482" ht="16" customHeight="1">
      <c r="A482" s="8" t="n"/>
      <c r="B482" s="8" t="n"/>
    </row>
    <row r="483" ht="16" customHeight="1">
      <c r="A483" s="8" t="n"/>
      <c r="B483" s="8" t="n"/>
    </row>
    <row r="484" ht="16" customHeight="1">
      <c r="A484" s="8" t="n"/>
      <c r="B484" s="8" t="n"/>
    </row>
    <row r="485" ht="16" customHeight="1">
      <c r="A485" s="8" t="n"/>
      <c r="B485" s="8" t="n"/>
    </row>
    <row r="486" ht="16" customHeight="1">
      <c r="A486" s="8" t="n"/>
      <c r="B486" s="8" t="n"/>
    </row>
    <row r="487" ht="16" customHeight="1">
      <c r="A487" s="8" t="n"/>
      <c r="B487" s="8" t="n"/>
    </row>
    <row r="488" ht="16" customHeight="1">
      <c r="A488" s="8" t="n"/>
      <c r="B488" s="8" t="n"/>
    </row>
    <row r="489" ht="16" customHeight="1">
      <c r="A489" s="8" t="n"/>
      <c r="B489" s="8" t="n"/>
    </row>
    <row r="490" ht="16" customHeight="1">
      <c r="A490" s="8" t="n"/>
      <c r="B490" s="8" t="n"/>
    </row>
    <row r="491" ht="16" customHeight="1">
      <c r="A491" s="8" t="n"/>
      <c r="B491" s="8" t="n"/>
    </row>
    <row r="492" ht="16" customHeight="1">
      <c r="A492" s="8" t="n"/>
      <c r="B492" s="8" t="n"/>
    </row>
    <row r="493" ht="16" customHeight="1">
      <c r="A493" s="8" t="n"/>
      <c r="B493" s="8" t="n"/>
    </row>
    <row r="494" ht="16" customHeight="1">
      <c r="A494" s="8" t="n"/>
      <c r="B494" s="8" t="n"/>
    </row>
    <row r="495" ht="16" customHeight="1">
      <c r="A495" s="8" t="n"/>
      <c r="B495" s="8" t="n"/>
    </row>
    <row r="496" ht="16" customHeight="1">
      <c r="A496" s="8" t="n"/>
      <c r="B496" s="8" t="n"/>
    </row>
    <row r="497" ht="16" customHeight="1">
      <c r="A497" s="8" t="n"/>
      <c r="B497" s="8" t="n"/>
    </row>
    <row r="498" ht="16" customHeight="1">
      <c r="A498" s="8" t="n"/>
      <c r="B498" s="8" t="n"/>
    </row>
    <row r="499" ht="16" customHeight="1">
      <c r="A499" s="8" t="n"/>
      <c r="B499" s="8" t="n"/>
    </row>
    <row r="500" ht="16" customHeight="1">
      <c r="A500" s="8" t="n"/>
      <c r="B500" s="8" t="n"/>
    </row>
    <row r="501" ht="16" customHeight="1">
      <c r="A501" s="8" t="n"/>
      <c r="B501" s="8" t="n"/>
    </row>
    <row r="502" ht="16" customHeight="1">
      <c r="A502" s="8" t="n"/>
      <c r="B502" s="8" t="n"/>
    </row>
    <row r="503" ht="16" customHeight="1">
      <c r="A503" s="8" t="n"/>
      <c r="B503" s="8" t="n"/>
    </row>
    <row r="504" ht="16" customHeight="1">
      <c r="A504" s="8" t="n"/>
      <c r="B504" s="8" t="n"/>
    </row>
    <row r="505" ht="16" customHeight="1">
      <c r="A505" s="8" t="n"/>
      <c r="B505" s="8" t="n"/>
    </row>
    <row r="506" ht="16" customHeight="1">
      <c r="A506" s="8" t="n"/>
      <c r="B506" s="8" t="n"/>
    </row>
    <row r="507" ht="16" customHeight="1">
      <c r="A507" s="8" t="n"/>
      <c r="B507" s="8" t="n"/>
    </row>
    <row r="508" ht="16" customHeight="1">
      <c r="A508" s="8" t="n"/>
      <c r="B508" s="8" t="n"/>
    </row>
    <row r="509" ht="16" customHeight="1">
      <c r="A509" s="8" t="n"/>
      <c r="B509" s="8" t="n"/>
    </row>
    <row r="510" ht="16" customHeight="1">
      <c r="A510" s="8" t="n"/>
      <c r="B510" s="8" t="n"/>
    </row>
    <row r="511" ht="16" customHeight="1">
      <c r="A511" s="8" t="n"/>
      <c r="B511" s="8" t="n"/>
    </row>
    <row r="512" ht="16" customHeight="1">
      <c r="A512" s="8" t="n"/>
      <c r="B512" s="8" t="n"/>
    </row>
    <row r="513" ht="16" customHeight="1">
      <c r="A513" s="8" t="n"/>
      <c r="B513" s="8" t="n"/>
    </row>
    <row r="514" ht="16" customHeight="1">
      <c r="A514" s="8" t="n"/>
      <c r="B514" s="8" t="n"/>
    </row>
    <row r="515" ht="16" customHeight="1">
      <c r="A515" s="8" t="n"/>
      <c r="B515" s="8" t="n"/>
    </row>
    <row r="516" ht="16" customHeight="1">
      <c r="A516" s="8" t="n"/>
      <c r="B516" s="8" t="n"/>
    </row>
    <row r="517" ht="16" customHeight="1">
      <c r="A517" s="8" t="n"/>
      <c r="B517" s="8" t="n"/>
    </row>
    <row r="518" ht="16" customHeight="1">
      <c r="A518" s="8" t="n"/>
      <c r="B518" s="8" t="n"/>
    </row>
    <row r="519" ht="16" customHeight="1">
      <c r="A519" s="8" t="n"/>
      <c r="B519" s="8" t="n"/>
    </row>
    <row r="520" ht="16" customHeight="1">
      <c r="A520" s="8" t="n"/>
      <c r="B520" s="8" t="n"/>
    </row>
    <row r="521" ht="16" customHeight="1">
      <c r="A521" s="8" t="n"/>
      <c r="B521" s="8" t="n"/>
    </row>
    <row r="522" ht="16" customHeight="1">
      <c r="A522" s="8" t="n"/>
      <c r="B522" s="8" t="n"/>
    </row>
    <row r="523" ht="16" customHeight="1">
      <c r="A523" s="8" t="n"/>
      <c r="B523" s="8" t="n"/>
    </row>
    <row r="524" ht="16" customHeight="1">
      <c r="A524" s="8" t="n"/>
      <c r="B524" s="8" t="n"/>
    </row>
    <row r="525" ht="16" customHeight="1">
      <c r="A525" s="8" t="n"/>
      <c r="B525" s="8" t="n"/>
    </row>
    <row r="526" ht="16" customHeight="1">
      <c r="A526" s="8" t="n"/>
      <c r="B526" s="8" t="n"/>
    </row>
    <row r="527" ht="16" customHeight="1">
      <c r="A527" s="8" t="n"/>
      <c r="B527" s="8" t="n"/>
    </row>
    <row r="528" ht="16" customHeight="1">
      <c r="A528" s="8" t="n"/>
      <c r="B528" s="8" t="n"/>
    </row>
    <row r="529" ht="16" customHeight="1">
      <c r="A529" s="8" t="n"/>
      <c r="B529" s="8" t="n"/>
    </row>
    <row r="530" ht="16" customHeight="1">
      <c r="A530" s="8" t="n"/>
      <c r="B530" s="8" t="n"/>
    </row>
    <row r="531" ht="16" customHeight="1">
      <c r="A531" s="8" t="n"/>
      <c r="B531" s="8" t="n"/>
    </row>
    <row r="532" ht="16" customHeight="1">
      <c r="A532" s="8" t="n"/>
      <c r="B532" s="8" t="n"/>
    </row>
    <row r="533" ht="16" customHeight="1">
      <c r="A533" s="8" t="n"/>
      <c r="B533" s="8" t="n"/>
    </row>
    <row r="534" ht="16" customHeight="1">
      <c r="A534" s="8" t="n"/>
      <c r="B534" s="8" t="n"/>
    </row>
    <row r="535" ht="16" customHeight="1">
      <c r="A535" s="8" t="n"/>
      <c r="B535" s="8" t="n"/>
    </row>
    <row r="536" ht="16" customHeight="1">
      <c r="A536" s="8" t="n"/>
      <c r="B536" s="8" t="n"/>
    </row>
    <row r="537" ht="16" customHeight="1">
      <c r="A537" s="8" t="n"/>
      <c r="B537" s="8" t="n"/>
    </row>
    <row r="538" ht="16" customHeight="1">
      <c r="A538" s="8" t="n"/>
      <c r="B538" s="8" t="n"/>
    </row>
    <row r="539" ht="16" customHeight="1">
      <c r="A539" s="8" t="n"/>
      <c r="B539" s="8" t="n"/>
    </row>
    <row r="540" ht="16" customHeight="1">
      <c r="A540" s="8" t="n"/>
      <c r="B540" s="8" t="n"/>
    </row>
    <row r="541" ht="16" customHeight="1">
      <c r="A541" s="8" t="n"/>
      <c r="B541" s="8" t="n"/>
    </row>
    <row r="542" ht="16" customHeight="1">
      <c r="A542" s="8" t="n"/>
      <c r="B542" s="8" t="n"/>
    </row>
    <row r="543" ht="16" customHeight="1">
      <c r="A543" s="8" t="n"/>
      <c r="B543" s="8" t="n"/>
    </row>
    <row r="544" ht="16" customHeight="1">
      <c r="A544" s="8" t="n"/>
      <c r="B544" s="8" t="n"/>
    </row>
    <row r="545" ht="16" customHeight="1">
      <c r="A545" s="8" t="n"/>
      <c r="B545" s="8" t="n"/>
    </row>
    <row r="546" ht="16" customHeight="1">
      <c r="A546" s="8" t="n"/>
      <c r="B546" s="8" t="n"/>
    </row>
    <row r="547" ht="16" customHeight="1">
      <c r="A547" s="8" t="n"/>
      <c r="B547" s="8" t="n"/>
    </row>
    <row r="548" ht="16" customHeight="1">
      <c r="A548" s="8" t="n"/>
      <c r="B548" s="8" t="n"/>
    </row>
    <row r="549" ht="16" customHeight="1">
      <c r="A549" s="8" t="n"/>
      <c r="B549" s="8" t="n"/>
    </row>
    <row r="550" ht="16" customHeight="1">
      <c r="A550" s="8" t="n"/>
      <c r="B550" s="8" t="n"/>
    </row>
    <row r="551" ht="16" customHeight="1">
      <c r="A551" s="8" t="n"/>
      <c r="B551" s="8" t="n"/>
    </row>
    <row r="552" ht="16" customHeight="1">
      <c r="A552" s="8" t="n"/>
      <c r="B552" s="8" t="n"/>
    </row>
    <row r="553" ht="16" customHeight="1">
      <c r="A553" s="8" t="n"/>
      <c r="B553" s="8" t="n"/>
    </row>
    <row r="554" ht="16" customHeight="1">
      <c r="A554" s="8" t="n"/>
      <c r="B554" s="8" t="n"/>
    </row>
    <row r="555" ht="16" customHeight="1">
      <c r="A555" s="8" t="n"/>
      <c r="B555" s="8" t="n"/>
    </row>
    <row r="556" ht="16" customHeight="1">
      <c r="A556" s="8" t="n"/>
      <c r="B556" s="8" t="n"/>
    </row>
    <row r="557" ht="16" customHeight="1">
      <c r="A557" s="8" t="n"/>
      <c r="B557" s="8" t="n"/>
    </row>
    <row r="558" ht="16" customHeight="1">
      <c r="A558" s="8" t="n"/>
      <c r="B558" s="8" t="n"/>
    </row>
    <row r="559" ht="16" customHeight="1">
      <c r="A559" s="8" t="n"/>
      <c r="B559" s="8" t="n"/>
    </row>
    <row r="560" ht="16" customHeight="1">
      <c r="A560" s="8" t="n"/>
      <c r="B560" s="8" t="n"/>
    </row>
    <row r="561" ht="16" customHeight="1">
      <c r="A561" s="8" t="n"/>
      <c r="B561" s="8" t="n"/>
    </row>
    <row r="562" ht="16" customHeight="1">
      <c r="A562" s="8" t="n"/>
      <c r="B562" s="8" t="n"/>
    </row>
    <row r="563" ht="16" customHeight="1">
      <c r="A563" s="8" t="n"/>
      <c r="B563" s="8" t="n"/>
    </row>
    <row r="564" ht="16" customHeight="1">
      <c r="A564" s="8" t="n"/>
      <c r="B564" s="8" t="n"/>
    </row>
    <row r="565" ht="16" customHeight="1">
      <c r="A565" s="8" t="n"/>
      <c r="B565" s="8" t="n"/>
    </row>
    <row r="566" ht="16" customHeight="1">
      <c r="A566" s="8" t="n"/>
      <c r="B566" s="8" t="n"/>
    </row>
    <row r="567" ht="16" customHeight="1">
      <c r="A567" s="8" t="n"/>
      <c r="B567" s="8" t="n"/>
    </row>
    <row r="568" ht="16" customHeight="1">
      <c r="A568" s="8" t="n"/>
      <c r="B568" s="8" t="n"/>
    </row>
    <row r="569" ht="16" customHeight="1">
      <c r="A569" s="8" t="n"/>
      <c r="B569" s="8" t="n"/>
    </row>
    <row r="570" ht="16" customHeight="1">
      <c r="A570" s="8" t="n"/>
      <c r="B570" s="8" t="n"/>
    </row>
    <row r="571" ht="16" customHeight="1">
      <c r="A571" s="8" t="n"/>
      <c r="B571" s="8" t="n"/>
    </row>
    <row r="572" ht="16" customHeight="1">
      <c r="A572" s="8" t="n"/>
      <c r="B572" s="8" t="n"/>
    </row>
    <row r="573" ht="16" customHeight="1">
      <c r="A573" s="8" t="n"/>
      <c r="B573" s="8" t="n"/>
    </row>
    <row r="574" ht="16" customHeight="1">
      <c r="A574" s="8" t="n"/>
      <c r="B574" s="8" t="n"/>
    </row>
    <row r="575" ht="16" customHeight="1">
      <c r="A575" s="8" t="n"/>
      <c r="B575" s="8" t="n"/>
    </row>
    <row r="576" ht="16" customHeight="1">
      <c r="A576" s="8" t="n"/>
      <c r="B576" s="8" t="n"/>
    </row>
    <row r="577" ht="16" customHeight="1">
      <c r="A577" s="8" t="n"/>
      <c r="B577" s="8" t="n"/>
    </row>
    <row r="578" ht="16" customHeight="1">
      <c r="A578" s="8" t="n"/>
      <c r="B578" s="8" t="n"/>
    </row>
    <row r="579" ht="16" customHeight="1">
      <c r="A579" s="8" t="n"/>
      <c r="B579" s="8" t="n"/>
    </row>
    <row r="580" ht="16" customHeight="1">
      <c r="A580" s="8" t="n"/>
      <c r="B580" s="8" t="n"/>
    </row>
    <row r="581" ht="16" customHeight="1">
      <c r="A581" s="8" t="n"/>
      <c r="B581" s="8" t="n"/>
    </row>
    <row r="582" ht="16" customHeight="1">
      <c r="A582" s="8" t="n"/>
      <c r="B582" s="8" t="n"/>
    </row>
    <row r="583" ht="16" customHeight="1">
      <c r="A583" s="8" t="n"/>
      <c r="B583" s="8" t="n"/>
    </row>
    <row r="584" ht="16" customHeight="1">
      <c r="A584" s="8" t="n"/>
      <c r="B584" s="8" t="n"/>
    </row>
    <row r="585" ht="16" customHeight="1">
      <c r="A585" s="8" t="n"/>
      <c r="B585" s="8" t="n"/>
    </row>
    <row r="586" ht="16" customHeight="1">
      <c r="A586" s="8" t="n"/>
      <c r="B586" s="8" t="n"/>
    </row>
    <row r="587" ht="16" customHeight="1">
      <c r="A587" s="8" t="n"/>
      <c r="B587" s="8" t="n"/>
    </row>
    <row r="588" ht="16" customHeight="1">
      <c r="A588" s="8" t="n"/>
      <c r="B588" s="8" t="n"/>
    </row>
    <row r="589" ht="16" customHeight="1">
      <c r="A589" s="8" t="n"/>
      <c r="B589" s="8" t="n"/>
    </row>
    <row r="590" ht="16" customHeight="1">
      <c r="A590" s="8" t="n"/>
      <c r="B590" s="8" t="n"/>
    </row>
    <row r="591" ht="16" customHeight="1">
      <c r="A591" s="8" t="n"/>
      <c r="B591" s="8" t="n"/>
    </row>
    <row r="592" ht="16" customHeight="1">
      <c r="A592" s="8" t="n"/>
      <c r="B592" s="8" t="n"/>
    </row>
    <row r="593" ht="16" customHeight="1">
      <c r="A593" s="8" t="n"/>
      <c r="B593" s="8" t="n"/>
    </row>
    <row r="594" ht="16" customHeight="1">
      <c r="A594" s="8" t="n"/>
      <c r="B594" s="8" t="n"/>
    </row>
    <row r="595" ht="16" customHeight="1">
      <c r="A595" s="8" t="n"/>
      <c r="B595" s="8" t="n"/>
    </row>
    <row r="596" ht="16" customHeight="1">
      <c r="A596" s="8" t="n"/>
      <c r="B596" s="8" t="n"/>
    </row>
    <row r="597" ht="16" customHeight="1">
      <c r="A597" s="8" t="n"/>
      <c r="B597" s="8" t="n"/>
    </row>
    <row r="598" ht="16" customHeight="1">
      <c r="A598" s="8" t="n"/>
      <c r="B598" s="8" t="n"/>
    </row>
    <row r="599" ht="16" customHeight="1">
      <c r="A599" s="8" t="n"/>
      <c r="B599" s="8" t="n"/>
    </row>
    <row r="600" ht="16" customHeight="1">
      <c r="A600" s="8" t="n"/>
      <c r="B600" s="8" t="n"/>
    </row>
    <row r="601" ht="16" customHeight="1">
      <c r="A601" s="8" t="n"/>
      <c r="B601" s="8" t="n"/>
    </row>
    <row r="602" ht="16" customHeight="1">
      <c r="A602" s="8" t="n"/>
      <c r="B602" s="8" t="n"/>
    </row>
    <row r="603" ht="16" customHeight="1">
      <c r="A603" s="8" t="n"/>
      <c r="B603" s="8" t="n"/>
    </row>
    <row r="604" ht="16" customHeight="1">
      <c r="A604" s="8" t="n"/>
      <c r="B604" s="8" t="n"/>
    </row>
    <row r="605" ht="16" customHeight="1">
      <c r="A605" s="8" t="n"/>
      <c r="B605" s="8" t="n"/>
    </row>
    <row r="606" ht="16" customHeight="1">
      <c r="A606" s="8" t="n"/>
      <c r="B606" s="8" t="n"/>
    </row>
    <row r="607" ht="16" customHeight="1">
      <c r="A607" s="8" t="n"/>
      <c r="B607" s="8" t="n"/>
    </row>
    <row r="608" ht="16" customHeight="1">
      <c r="A608" s="8" t="n"/>
      <c r="B608" s="8" t="n"/>
    </row>
    <row r="609" ht="16" customHeight="1">
      <c r="A609" s="8" t="n"/>
      <c r="B609" s="8" t="n"/>
    </row>
    <row r="610" ht="16" customHeight="1">
      <c r="A610" s="8" t="n"/>
      <c r="B610" s="8" t="n"/>
    </row>
    <row r="611" ht="16" customHeight="1">
      <c r="A611" s="8" t="n"/>
      <c r="B611" s="8" t="n"/>
    </row>
    <row r="612" ht="16" customHeight="1">
      <c r="A612" s="8" t="n"/>
      <c r="B612" s="8" t="n"/>
    </row>
    <row r="613" ht="16" customHeight="1">
      <c r="A613" s="8" t="n"/>
      <c r="B613" s="8" t="n"/>
    </row>
    <row r="614" ht="16" customHeight="1">
      <c r="A614" s="8" t="n"/>
      <c r="B614" s="8" t="n"/>
    </row>
    <row r="615" ht="16" customHeight="1">
      <c r="A615" s="8" t="n"/>
      <c r="B615" s="8" t="n"/>
    </row>
    <row r="616" ht="16" customHeight="1">
      <c r="A616" s="8" t="n"/>
      <c r="B616" s="8" t="n"/>
    </row>
    <row r="617" ht="16" customHeight="1">
      <c r="A617" s="8" t="n"/>
      <c r="B617" s="8" t="n"/>
    </row>
    <row r="618" ht="16" customHeight="1">
      <c r="A618" s="8" t="n"/>
      <c r="B618" s="8" t="n"/>
    </row>
    <row r="619" ht="16" customHeight="1">
      <c r="A619" s="8" t="n"/>
      <c r="B619" s="8" t="n"/>
    </row>
    <row r="620" ht="16" customHeight="1">
      <c r="A620" s="8" t="n"/>
      <c r="B620" s="8" t="n"/>
    </row>
    <row r="621" ht="16" customHeight="1">
      <c r="A621" s="8" t="n"/>
      <c r="B621" s="8" t="n"/>
    </row>
    <row r="622" ht="16" customHeight="1">
      <c r="A622" s="8" t="n"/>
      <c r="B622" s="8" t="n"/>
    </row>
    <row r="623" ht="16" customHeight="1">
      <c r="A623" s="8" t="n"/>
      <c r="B623" s="8" t="n"/>
    </row>
    <row r="624" ht="16" customHeight="1">
      <c r="A624" s="8" t="n"/>
      <c r="B624" s="8" t="n"/>
    </row>
    <row r="625" ht="16" customHeight="1">
      <c r="A625" s="8" t="n"/>
      <c r="B625" s="8" t="n"/>
    </row>
    <row r="626" ht="16" customHeight="1">
      <c r="A626" s="8" t="n"/>
      <c r="B626" s="8" t="n"/>
    </row>
    <row r="627" ht="16" customHeight="1">
      <c r="A627" s="8" t="n"/>
      <c r="B627" s="8" t="n"/>
    </row>
    <row r="628" ht="16" customHeight="1">
      <c r="A628" s="8" t="n"/>
      <c r="B628" s="8" t="n"/>
    </row>
    <row r="629" ht="16" customHeight="1">
      <c r="A629" s="8" t="n"/>
      <c r="B629" s="8" t="n"/>
    </row>
    <row r="630" ht="16" customHeight="1">
      <c r="A630" s="8" t="n"/>
      <c r="B630" s="8" t="n"/>
    </row>
    <row r="631" ht="16" customHeight="1">
      <c r="A631" s="8" t="n"/>
      <c r="B631" s="8" t="n"/>
    </row>
    <row r="632" ht="16" customHeight="1">
      <c r="A632" s="8" t="n"/>
      <c r="B632" s="8" t="n"/>
    </row>
    <row r="633" ht="16" customHeight="1">
      <c r="A633" s="8" t="n"/>
      <c r="B633" s="8" t="n"/>
    </row>
    <row r="634" ht="16" customHeight="1">
      <c r="A634" s="8" t="n"/>
      <c r="B634" s="8" t="n"/>
    </row>
    <row r="635" ht="16" customHeight="1">
      <c r="A635" s="8" t="n"/>
      <c r="B635" s="8" t="n"/>
    </row>
    <row r="636" ht="16" customHeight="1">
      <c r="A636" s="8" t="n"/>
      <c r="B636" s="8" t="n"/>
    </row>
    <row r="637" ht="16" customHeight="1">
      <c r="A637" s="8" t="n"/>
      <c r="B637" s="8" t="n"/>
    </row>
    <row r="638" ht="16" customHeight="1">
      <c r="A638" s="8" t="n"/>
      <c r="B638" s="8" t="n"/>
    </row>
    <row r="639" ht="16" customHeight="1">
      <c r="A639" s="8" t="n"/>
      <c r="B639" s="8" t="n"/>
    </row>
    <row r="640" ht="16" customHeight="1">
      <c r="A640" s="8" t="n"/>
      <c r="B640" s="8" t="n"/>
    </row>
    <row r="641" ht="16" customHeight="1">
      <c r="A641" s="8" t="n"/>
      <c r="B641" s="8" t="n"/>
    </row>
    <row r="642" ht="16" customHeight="1">
      <c r="A642" s="8" t="n"/>
      <c r="B642" s="8" t="n"/>
    </row>
    <row r="643" ht="16" customHeight="1">
      <c r="A643" s="8" t="n"/>
      <c r="B643" s="8" t="n"/>
    </row>
    <row r="644" ht="16" customHeight="1">
      <c r="A644" s="8" t="n"/>
      <c r="B644" s="8" t="n"/>
    </row>
    <row r="645" ht="16" customHeight="1">
      <c r="A645" s="8" t="n"/>
      <c r="B645" s="8" t="n"/>
    </row>
    <row r="646" ht="16" customHeight="1">
      <c r="A646" s="8" t="n"/>
      <c r="B646" s="8" t="n"/>
    </row>
    <row r="647" ht="16" customHeight="1">
      <c r="A647" s="8" t="n"/>
      <c r="B647" s="8" t="n"/>
    </row>
    <row r="648" ht="16" customHeight="1">
      <c r="A648" s="8" t="n"/>
      <c r="B648" s="8" t="n"/>
    </row>
    <row r="649" ht="16" customHeight="1">
      <c r="A649" s="8" t="n"/>
      <c r="B649" s="8" t="n"/>
    </row>
    <row r="650" ht="16" customHeight="1">
      <c r="A650" s="8" t="n"/>
      <c r="B650" s="8" t="n"/>
    </row>
    <row r="651" ht="16" customHeight="1">
      <c r="A651" s="8" t="n"/>
      <c r="B651" s="8" t="n"/>
    </row>
    <row r="652" ht="16" customHeight="1">
      <c r="A652" s="8" t="n"/>
      <c r="B652" s="8" t="n"/>
    </row>
    <row r="653" ht="16" customHeight="1">
      <c r="A653" s="8" t="n"/>
      <c r="B653" s="8" t="n"/>
    </row>
    <row r="654" ht="16" customHeight="1">
      <c r="A654" s="8" t="n"/>
      <c r="B654" s="8" t="n"/>
    </row>
    <row r="655" ht="16" customHeight="1">
      <c r="A655" s="8" t="n"/>
      <c r="B655" s="8" t="n"/>
    </row>
    <row r="656" ht="16" customHeight="1">
      <c r="A656" s="8" t="n"/>
      <c r="B656" s="8" t="n"/>
    </row>
    <row r="657" ht="16" customHeight="1">
      <c r="A657" s="8" t="n"/>
      <c r="B657" s="8" t="n"/>
    </row>
    <row r="658" ht="16" customHeight="1">
      <c r="A658" s="8" t="n"/>
      <c r="B658" s="8" t="n"/>
    </row>
    <row r="659" ht="16" customHeight="1">
      <c r="A659" s="8" t="n"/>
      <c r="B659" s="8" t="n"/>
    </row>
    <row r="660" ht="16" customHeight="1">
      <c r="A660" s="8" t="n"/>
      <c r="B660" s="8" t="n"/>
    </row>
    <row r="661" ht="16" customHeight="1">
      <c r="A661" s="8" t="n"/>
      <c r="B661" s="8" t="n"/>
    </row>
    <row r="662" ht="16" customHeight="1">
      <c r="A662" s="8" t="n"/>
      <c r="B662" s="8" t="n"/>
    </row>
    <row r="663" ht="16" customHeight="1">
      <c r="A663" s="8" t="n"/>
      <c r="B663" s="8" t="n"/>
    </row>
    <row r="664" ht="16" customHeight="1">
      <c r="A664" s="8" t="n"/>
      <c r="B664" s="8" t="n"/>
    </row>
    <row r="665" ht="16" customHeight="1">
      <c r="A665" s="8" t="n"/>
      <c r="B665" s="8" t="n"/>
    </row>
    <row r="666" ht="16" customHeight="1">
      <c r="A666" s="8" t="n"/>
      <c r="B666" s="8" t="n"/>
    </row>
    <row r="667" ht="16" customHeight="1">
      <c r="A667" s="8" t="n"/>
      <c r="B667" s="8" t="n"/>
    </row>
    <row r="668" ht="16" customHeight="1">
      <c r="A668" s="8" t="n"/>
      <c r="B668" s="8" t="n"/>
    </row>
    <row r="669" ht="16" customHeight="1">
      <c r="A669" s="8" t="n"/>
      <c r="B669" s="8" t="n"/>
    </row>
    <row r="670" ht="16" customHeight="1">
      <c r="A670" s="8" t="n"/>
      <c r="B670" s="8" t="n"/>
    </row>
    <row r="671" ht="16" customHeight="1">
      <c r="A671" s="8" t="n"/>
      <c r="B671" s="8" t="n"/>
    </row>
    <row r="672" ht="16" customHeight="1">
      <c r="A672" s="8" t="n"/>
      <c r="B672" s="8" t="n"/>
    </row>
    <row r="673" ht="16" customHeight="1">
      <c r="A673" s="8" t="n"/>
      <c r="B673" s="8" t="n"/>
    </row>
    <row r="674" ht="16" customHeight="1">
      <c r="A674" s="8" t="n"/>
      <c r="B674" s="8" t="n"/>
    </row>
    <row r="675" ht="16" customHeight="1">
      <c r="A675" s="8" t="n"/>
      <c r="B675" s="8" t="n"/>
    </row>
    <row r="676" ht="16" customHeight="1">
      <c r="A676" s="8" t="n"/>
      <c r="B676" s="8" t="n"/>
    </row>
    <row r="677" ht="16" customHeight="1">
      <c r="A677" s="8" t="n"/>
      <c r="B677" s="8" t="n"/>
    </row>
    <row r="678" ht="16" customHeight="1">
      <c r="A678" s="8" t="n"/>
      <c r="B678" s="8" t="n"/>
    </row>
    <row r="679" ht="16" customHeight="1">
      <c r="A679" s="8" t="n"/>
      <c r="B679" s="8" t="n"/>
    </row>
    <row r="680" ht="16" customHeight="1">
      <c r="A680" s="8" t="n"/>
      <c r="B680" s="8" t="n"/>
    </row>
    <row r="681" ht="16" customHeight="1">
      <c r="A681" s="8" t="n"/>
      <c r="B681" s="8" t="n"/>
    </row>
    <row r="682" ht="16" customHeight="1">
      <c r="A682" s="8" t="n"/>
      <c r="B682" s="8" t="n"/>
    </row>
    <row r="683" ht="16" customHeight="1">
      <c r="A683" s="8" t="n"/>
      <c r="B683" s="8" t="n"/>
    </row>
    <row r="684" ht="16" customHeight="1">
      <c r="A684" s="8" t="n"/>
      <c r="B684" s="8" t="n"/>
    </row>
    <row r="685" ht="16" customHeight="1">
      <c r="A685" s="8" t="n"/>
      <c r="B685" s="8" t="n"/>
    </row>
    <row r="686" ht="16" customHeight="1">
      <c r="A686" s="8" t="n"/>
      <c r="B686" s="8" t="n"/>
    </row>
    <row r="687" ht="16" customHeight="1">
      <c r="A687" s="8" t="n"/>
      <c r="B687" s="8" t="n"/>
    </row>
    <row r="688" ht="16" customHeight="1">
      <c r="A688" s="8" t="n"/>
      <c r="B688" s="8" t="n"/>
    </row>
    <row r="689" ht="16" customHeight="1">
      <c r="A689" s="8" t="n"/>
      <c r="B689" s="8" t="n"/>
    </row>
    <row r="690" ht="16" customHeight="1">
      <c r="A690" s="8" t="n"/>
      <c r="B690" s="8" t="n"/>
    </row>
    <row r="691" ht="16" customHeight="1">
      <c r="A691" s="8" t="n"/>
      <c r="B691" s="8" t="n"/>
    </row>
    <row r="692" ht="16" customHeight="1">
      <c r="A692" s="8" t="n"/>
      <c r="B692" s="8" t="n"/>
    </row>
    <row r="693" ht="16" customHeight="1">
      <c r="A693" s="8" t="n"/>
      <c r="B693" s="8" t="n"/>
    </row>
    <row r="694" ht="16" customHeight="1">
      <c r="A694" s="8" t="n"/>
      <c r="B694" s="8" t="n"/>
    </row>
    <row r="695" ht="16" customHeight="1">
      <c r="A695" s="8" t="n"/>
      <c r="B695" s="8" t="n"/>
    </row>
    <row r="696" ht="16" customHeight="1">
      <c r="A696" s="8" t="n"/>
      <c r="B696" s="8" t="n"/>
    </row>
    <row r="697" ht="16" customHeight="1">
      <c r="A697" s="8" t="n"/>
      <c r="B697" s="8" t="n"/>
    </row>
    <row r="698" ht="16" customHeight="1">
      <c r="A698" s="8" t="n"/>
      <c r="B698" s="8" t="n"/>
    </row>
    <row r="699" ht="16" customHeight="1">
      <c r="A699" s="8" t="n"/>
      <c r="B699" s="8" t="n"/>
    </row>
    <row r="700" ht="16" customHeight="1">
      <c r="A700" s="8" t="n"/>
      <c r="B700" s="8" t="n"/>
    </row>
    <row r="701" ht="16" customHeight="1">
      <c r="A701" s="8" t="n"/>
      <c r="B701" s="8" t="n"/>
    </row>
    <row r="702" ht="16" customHeight="1">
      <c r="A702" s="8" t="n"/>
      <c r="B702" s="8" t="n"/>
    </row>
    <row r="703" ht="16" customHeight="1">
      <c r="A703" s="8" t="n"/>
      <c r="B703" s="8" t="n"/>
    </row>
    <row r="704" ht="16" customHeight="1">
      <c r="A704" s="8" t="n"/>
      <c r="B704" s="8" t="n"/>
    </row>
    <row r="705" ht="16" customHeight="1">
      <c r="A705" s="8" t="n"/>
      <c r="B705" s="8" t="n"/>
    </row>
    <row r="706" ht="16" customHeight="1">
      <c r="A706" s="8" t="n"/>
      <c r="B706" s="8" t="n"/>
    </row>
    <row r="707" ht="16" customHeight="1">
      <c r="A707" s="8" t="n"/>
      <c r="B707" s="8" t="n"/>
    </row>
    <row r="708" ht="16" customHeight="1">
      <c r="A708" s="8" t="n"/>
      <c r="B708" s="8" t="n"/>
    </row>
    <row r="709" ht="16" customHeight="1">
      <c r="A709" s="8" t="n"/>
      <c r="B709" s="8" t="n"/>
    </row>
    <row r="710" ht="16" customHeight="1">
      <c r="A710" s="8" t="n"/>
      <c r="B710" s="8" t="n"/>
    </row>
    <row r="711" ht="16" customHeight="1">
      <c r="A711" s="8" t="n"/>
      <c r="B711" s="8" t="n"/>
    </row>
    <row r="712" ht="16" customHeight="1">
      <c r="A712" s="8" t="n"/>
      <c r="B712" s="8" t="n"/>
    </row>
    <row r="713" ht="16" customHeight="1">
      <c r="A713" s="8" t="n"/>
      <c r="B713" s="8" t="n"/>
    </row>
    <row r="714" ht="16" customHeight="1">
      <c r="A714" s="8" t="n"/>
      <c r="B714" s="8" t="n"/>
    </row>
    <row r="715" ht="16" customHeight="1">
      <c r="A715" s="8" t="n"/>
      <c r="B715" s="8" t="n"/>
    </row>
    <row r="716" ht="16" customHeight="1">
      <c r="A716" s="8" t="n"/>
      <c r="B716" s="8" t="n"/>
    </row>
    <row r="717" ht="16" customHeight="1">
      <c r="A717" s="8" t="n"/>
      <c r="B717" s="8" t="n"/>
    </row>
    <row r="718" ht="16" customHeight="1">
      <c r="A718" s="8" t="n"/>
      <c r="B718" s="8" t="n"/>
    </row>
    <row r="719" ht="16" customHeight="1">
      <c r="A719" s="8" t="n"/>
      <c r="B719" s="8" t="n"/>
    </row>
    <row r="720" ht="16" customHeight="1">
      <c r="A720" s="8" t="n"/>
      <c r="B720" s="8" t="n"/>
    </row>
    <row r="721" ht="16" customHeight="1">
      <c r="A721" s="8" t="n"/>
      <c r="B721" s="8" t="n"/>
    </row>
    <row r="722" ht="16" customHeight="1">
      <c r="A722" s="8" t="n"/>
      <c r="B722" s="8" t="n"/>
    </row>
    <row r="723" ht="16" customHeight="1">
      <c r="A723" s="8" t="n"/>
      <c r="B723" s="8" t="n"/>
    </row>
    <row r="724" ht="16" customHeight="1">
      <c r="A724" s="8" t="n"/>
      <c r="B724" s="8" t="n"/>
    </row>
    <row r="725" ht="16" customHeight="1">
      <c r="A725" s="8" t="n"/>
      <c r="B725" s="8" t="n"/>
    </row>
    <row r="726" ht="16" customHeight="1">
      <c r="A726" s="8" t="n"/>
      <c r="B726" s="8" t="n"/>
    </row>
    <row r="727" ht="16" customHeight="1">
      <c r="A727" s="8" t="n"/>
      <c r="B727" s="8" t="n"/>
    </row>
    <row r="728" ht="16" customHeight="1">
      <c r="A728" s="8" t="n"/>
      <c r="B728" s="8" t="n"/>
    </row>
    <row r="729" ht="16" customHeight="1">
      <c r="A729" s="8" t="n"/>
      <c r="B729" s="8" t="n"/>
    </row>
    <row r="730" ht="16" customHeight="1">
      <c r="A730" s="8" t="n"/>
      <c r="B730" s="8" t="n"/>
    </row>
    <row r="731" ht="16" customHeight="1">
      <c r="A731" s="8" t="n"/>
      <c r="B731" s="8" t="n"/>
    </row>
    <row r="732" ht="16" customHeight="1">
      <c r="A732" s="8" t="n"/>
      <c r="B732" s="8" t="n"/>
    </row>
    <row r="733" ht="16" customHeight="1">
      <c r="A733" s="8" t="n"/>
      <c r="B733" s="8" t="n"/>
    </row>
    <row r="734" ht="16" customHeight="1">
      <c r="A734" s="8" t="n"/>
      <c r="B734" s="8" t="n"/>
    </row>
    <row r="735" ht="16" customHeight="1">
      <c r="A735" s="8" t="n"/>
      <c r="B735" s="8" t="n"/>
    </row>
    <row r="736" ht="16" customHeight="1">
      <c r="A736" s="8" t="n"/>
      <c r="B736" s="8" t="n"/>
    </row>
    <row r="737" ht="16" customHeight="1">
      <c r="A737" s="8" t="n"/>
      <c r="B737" s="8" t="n"/>
    </row>
    <row r="738" ht="16" customHeight="1">
      <c r="A738" s="8" t="n"/>
      <c r="B738" s="8" t="n"/>
    </row>
    <row r="739" ht="16" customHeight="1">
      <c r="A739" s="8" t="n"/>
      <c r="B739" s="8" t="n"/>
    </row>
    <row r="740" ht="16" customHeight="1">
      <c r="A740" s="8" t="n"/>
      <c r="B740" s="8" t="n"/>
    </row>
    <row r="741" ht="16" customHeight="1">
      <c r="A741" s="8" t="n"/>
      <c r="B741" s="8" t="n"/>
    </row>
    <row r="742" ht="16" customHeight="1">
      <c r="A742" s="8" t="n"/>
      <c r="B742" s="8" t="n"/>
    </row>
    <row r="743" ht="16" customHeight="1">
      <c r="A743" s="8" t="n"/>
      <c r="B743" s="8" t="n"/>
    </row>
    <row r="744" ht="16" customHeight="1">
      <c r="A744" s="8" t="n"/>
      <c r="B744" s="8" t="n"/>
    </row>
    <row r="745" ht="16" customHeight="1">
      <c r="A745" s="8" t="n"/>
      <c r="B745" s="8" t="n"/>
    </row>
    <row r="746" ht="16" customHeight="1">
      <c r="A746" s="8" t="n"/>
      <c r="B746" s="8" t="n"/>
    </row>
    <row r="747" ht="16" customHeight="1">
      <c r="A747" s="8" t="n"/>
      <c r="B747" s="8" t="n"/>
    </row>
    <row r="748" ht="16" customHeight="1">
      <c r="A748" s="8" t="n"/>
      <c r="B748" s="8" t="n"/>
    </row>
    <row r="749" ht="16" customHeight="1">
      <c r="A749" s="8" t="n"/>
      <c r="B749" s="8" t="n"/>
    </row>
    <row r="750" ht="16" customHeight="1">
      <c r="A750" s="8" t="n"/>
      <c r="B750" s="8" t="n"/>
    </row>
    <row r="751" ht="16" customHeight="1">
      <c r="A751" s="8" t="n"/>
      <c r="B751" s="8" t="n"/>
    </row>
    <row r="752" ht="16" customHeight="1">
      <c r="A752" s="8" t="n"/>
      <c r="B752" s="8" t="n"/>
    </row>
    <row r="753" ht="16" customHeight="1">
      <c r="A753" s="8" t="n"/>
      <c r="B753" s="8" t="n"/>
    </row>
    <row r="754" ht="16" customHeight="1">
      <c r="A754" s="8" t="n"/>
      <c r="B754" s="8" t="n"/>
    </row>
    <row r="755" ht="16" customHeight="1">
      <c r="A755" s="8" t="n"/>
      <c r="B755" s="8" t="n"/>
    </row>
    <row r="756" ht="16" customHeight="1">
      <c r="A756" s="8" t="n"/>
      <c r="B756" s="8" t="n"/>
    </row>
    <row r="757" ht="16" customHeight="1">
      <c r="A757" s="8" t="n"/>
      <c r="B757" s="8" t="n"/>
    </row>
    <row r="758" ht="16" customHeight="1">
      <c r="A758" s="8" t="n"/>
      <c r="B758" s="8" t="n"/>
    </row>
    <row r="759" ht="16" customHeight="1">
      <c r="A759" s="8" t="n"/>
      <c r="B759" s="8" t="n"/>
    </row>
    <row r="760" ht="16" customHeight="1">
      <c r="A760" s="8" t="n"/>
      <c r="B760" s="8" t="n"/>
    </row>
    <row r="761" ht="16" customHeight="1">
      <c r="A761" s="8" t="n"/>
      <c r="B761" s="8" t="n"/>
    </row>
    <row r="762" ht="16" customHeight="1">
      <c r="A762" s="8" t="n"/>
      <c r="B762" s="8" t="n"/>
    </row>
    <row r="763" ht="16" customHeight="1">
      <c r="A763" s="8" t="n"/>
      <c r="B763" s="8" t="n"/>
    </row>
    <row r="764" ht="16" customHeight="1">
      <c r="A764" s="8" t="n"/>
      <c r="B764" s="8" t="n"/>
    </row>
    <row r="765" ht="16" customHeight="1">
      <c r="A765" s="8" t="n"/>
      <c r="B765" s="8" t="n"/>
    </row>
    <row r="766" ht="16" customHeight="1">
      <c r="A766" s="8" t="n"/>
      <c r="B766" s="8" t="n"/>
    </row>
    <row r="767" ht="16" customHeight="1">
      <c r="A767" s="8" t="n"/>
      <c r="B767" s="8" t="n"/>
    </row>
    <row r="768" ht="16" customHeight="1">
      <c r="A768" s="8" t="n"/>
      <c r="B768" s="8" t="n"/>
    </row>
    <row r="769" ht="16" customHeight="1">
      <c r="A769" s="8" t="n"/>
      <c r="B769" s="8" t="n"/>
    </row>
    <row r="770" ht="16" customHeight="1">
      <c r="A770" s="8" t="n"/>
      <c r="B770" s="8" t="n"/>
    </row>
    <row r="771" ht="16" customHeight="1">
      <c r="A771" s="8" t="n"/>
      <c r="B771" s="8" t="n"/>
    </row>
    <row r="772" ht="16" customHeight="1">
      <c r="A772" s="8" t="n"/>
      <c r="B772" s="8" t="n"/>
    </row>
    <row r="773" ht="16" customHeight="1">
      <c r="A773" s="8" t="n"/>
      <c r="B773" s="8" t="n"/>
    </row>
    <row r="774" ht="16" customHeight="1">
      <c r="A774" s="8" t="n"/>
      <c r="B774" s="8" t="n"/>
    </row>
    <row r="775" ht="16" customHeight="1">
      <c r="A775" s="8" t="n"/>
      <c r="B775" s="8" t="n"/>
    </row>
    <row r="776" ht="16" customHeight="1">
      <c r="A776" s="8" t="n"/>
      <c r="B776" s="8" t="n"/>
    </row>
    <row r="777" ht="16" customHeight="1">
      <c r="A777" s="8" t="n"/>
      <c r="B777" s="8" t="n"/>
    </row>
    <row r="778" ht="16" customHeight="1">
      <c r="A778" s="8" t="n"/>
      <c r="B778" s="8" t="n"/>
    </row>
    <row r="779" ht="16" customHeight="1">
      <c r="A779" s="8" t="n"/>
      <c r="B779" s="8" t="n"/>
    </row>
    <row r="780" ht="16" customHeight="1">
      <c r="A780" s="8" t="n"/>
      <c r="B780" s="8" t="n"/>
    </row>
    <row r="781" ht="16" customHeight="1">
      <c r="A781" s="8" t="n"/>
      <c r="B781" s="8" t="n"/>
    </row>
    <row r="782" ht="16" customHeight="1">
      <c r="A782" s="8" t="n"/>
      <c r="B782" s="8" t="n"/>
    </row>
    <row r="783" ht="16" customHeight="1">
      <c r="A783" s="8" t="n"/>
      <c r="B783" s="8" t="n"/>
    </row>
    <row r="784" ht="16" customHeight="1">
      <c r="A784" s="8" t="n"/>
      <c r="B784" s="8" t="n"/>
    </row>
    <row r="785" ht="16" customHeight="1">
      <c r="A785" s="8" t="n"/>
      <c r="B785" s="8" t="n"/>
    </row>
    <row r="786" ht="16" customHeight="1">
      <c r="A786" s="8" t="n"/>
      <c r="B786" s="8" t="n"/>
    </row>
    <row r="787" ht="16" customHeight="1">
      <c r="A787" s="8" t="n"/>
      <c r="B787" s="8" t="n"/>
    </row>
    <row r="788" ht="16" customHeight="1">
      <c r="A788" s="8" t="n"/>
      <c r="B788" s="8" t="n"/>
    </row>
    <row r="789" ht="16" customHeight="1">
      <c r="A789" s="8" t="n"/>
      <c r="B789" s="8" t="n"/>
    </row>
    <row r="790" ht="16" customHeight="1">
      <c r="A790" s="8" t="n"/>
      <c r="B790" s="8" t="n"/>
    </row>
    <row r="791" ht="16" customHeight="1">
      <c r="A791" s="8" t="n"/>
      <c r="B791" s="8" t="n"/>
    </row>
    <row r="792" ht="16" customHeight="1">
      <c r="A792" s="8" t="n"/>
      <c r="B792" s="8" t="n"/>
    </row>
    <row r="793" ht="16" customHeight="1">
      <c r="A793" s="8" t="n"/>
      <c r="B793" s="8" t="n"/>
    </row>
    <row r="794" ht="16" customHeight="1">
      <c r="A794" s="8" t="n"/>
      <c r="B794" s="8" t="n"/>
    </row>
    <row r="795" ht="16" customHeight="1">
      <c r="A795" s="8" t="n"/>
      <c r="B795" s="8" t="n"/>
    </row>
    <row r="796" ht="16" customHeight="1">
      <c r="A796" s="8" t="n"/>
      <c r="B796" s="8" t="n"/>
    </row>
    <row r="797" ht="16" customHeight="1">
      <c r="A797" s="8" t="n"/>
      <c r="B797" s="8" t="n"/>
    </row>
    <row r="798" ht="16" customHeight="1">
      <c r="A798" s="8" t="n"/>
      <c r="B798" s="8" t="n"/>
    </row>
    <row r="799" ht="16" customHeight="1">
      <c r="A799" s="8" t="n"/>
      <c r="B799" s="8" t="n"/>
    </row>
    <row r="800" ht="16" customHeight="1">
      <c r="A800" s="8" t="n"/>
      <c r="B800" s="8" t="n"/>
    </row>
    <row r="801" ht="16" customHeight="1">
      <c r="A801" s="8" t="n"/>
      <c r="B801" s="8" t="n"/>
    </row>
    <row r="802" ht="16" customHeight="1">
      <c r="A802" s="8" t="n"/>
      <c r="B802" s="8" t="n"/>
    </row>
    <row r="803" ht="16" customHeight="1">
      <c r="A803" s="8" t="n"/>
      <c r="B803" s="8" t="n"/>
    </row>
    <row r="804" ht="16" customHeight="1">
      <c r="A804" s="8" t="n"/>
      <c r="B804" s="8" t="n"/>
    </row>
    <row r="805" ht="16" customHeight="1">
      <c r="A805" s="8" t="n"/>
      <c r="B805" s="8" t="n"/>
    </row>
    <row r="806" ht="16" customHeight="1">
      <c r="A806" s="8" t="n"/>
      <c r="B806" s="8" t="n"/>
    </row>
    <row r="807" ht="16" customHeight="1">
      <c r="A807" s="8" t="n"/>
      <c r="B807" s="8" t="n"/>
    </row>
    <row r="808" ht="16" customHeight="1">
      <c r="A808" s="8" t="n"/>
      <c r="B808" s="8" t="n"/>
    </row>
    <row r="809" ht="16" customHeight="1">
      <c r="A809" s="8" t="n"/>
      <c r="B809" s="8" t="n"/>
    </row>
    <row r="810" ht="16" customHeight="1">
      <c r="A810" s="8" t="n"/>
      <c r="B810" s="8" t="n"/>
    </row>
    <row r="811" ht="16" customHeight="1">
      <c r="A811" s="8" t="n"/>
      <c r="B811" s="8" t="n"/>
    </row>
    <row r="812" ht="16" customHeight="1">
      <c r="A812" s="8" t="n"/>
      <c r="B812" s="8" t="n"/>
    </row>
    <row r="813" ht="16" customHeight="1">
      <c r="A813" s="8" t="n"/>
      <c r="B813" s="8" t="n"/>
    </row>
    <row r="814" ht="16" customHeight="1">
      <c r="A814" s="8" t="n"/>
      <c r="B814" s="8" t="n"/>
    </row>
    <row r="815" ht="16" customHeight="1">
      <c r="A815" s="8" t="n"/>
      <c r="B815" s="8" t="n"/>
    </row>
    <row r="816" ht="16" customHeight="1">
      <c r="A816" s="8" t="n"/>
      <c r="B816" s="8" t="n"/>
    </row>
    <row r="817" ht="16" customHeight="1">
      <c r="A817" s="8" t="n"/>
      <c r="B817" s="8" t="n"/>
    </row>
    <row r="818" ht="16" customHeight="1">
      <c r="A818" s="8" t="n"/>
      <c r="B818" s="8" t="n"/>
    </row>
    <row r="819" ht="16" customHeight="1">
      <c r="A819" s="8" t="n"/>
      <c r="B819" s="8" t="n"/>
    </row>
    <row r="820" ht="16" customHeight="1">
      <c r="A820" s="8" t="n"/>
      <c r="B820" s="8" t="n"/>
    </row>
    <row r="821" ht="16" customHeight="1">
      <c r="A821" s="8" t="n"/>
      <c r="B821" s="8" t="n"/>
    </row>
    <row r="822" ht="16" customHeight="1">
      <c r="A822" s="8" t="n"/>
      <c r="B822" s="8" t="n"/>
    </row>
    <row r="823" ht="16" customHeight="1">
      <c r="A823" s="8" t="n"/>
      <c r="B823" s="8" t="n"/>
    </row>
    <row r="824" ht="16" customHeight="1">
      <c r="A824" s="8" t="n"/>
      <c r="B824" s="8" t="n"/>
    </row>
    <row r="825" ht="16" customHeight="1">
      <c r="A825" s="8" t="n"/>
      <c r="B825" s="8" t="n"/>
    </row>
    <row r="826" ht="16" customHeight="1">
      <c r="A826" s="8" t="n"/>
      <c r="B826" s="8" t="n"/>
    </row>
    <row r="827" ht="16" customHeight="1">
      <c r="A827" s="8" t="n"/>
      <c r="B827" s="8" t="n"/>
    </row>
    <row r="828" ht="16" customHeight="1">
      <c r="A828" s="8" t="n"/>
      <c r="B828" s="8" t="n"/>
    </row>
    <row r="829" ht="16" customHeight="1">
      <c r="A829" s="8" t="n"/>
      <c r="B829" s="8" t="n"/>
    </row>
    <row r="830" ht="16" customHeight="1">
      <c r="A830" s="8" t="n"/>
      <c r="B830" s="8" t="n"/>
    </row>
    <row r="831" ht="16" customHeight="1">
      <c r="A831" s="8" t="n"/>
      <c r="B831" s="8" t="n"/>
    </row>
    <row r="832" ht="16" customHeight="1">
      <c r="A832" s="8" t="n"/>
      <c r="B832" s="8" t="n"/>
    </row>
    <row r="833" ht="16" customHeight="1">
      <c r="A833" s="8" t="n"/>
      <c r="B833" s="8" t="n"/>
    </row>
    <row r="834" ht="16" customHeight="1">
      <c r="A834" s="8" t="n"/>
      <c r="B834" s="8" t="n"/>
    </row>
    <row r="835" ht="16" customHeight="1">
      <c r="A835" s="8" t="n"/>
      <c r="B835" s="8" t="n"/>
    </row>
    <row r="836" ht="16" customHeight="1">
      <c r="A836" s="8" t="n"/>
      <c r="B836" s="8" t="n"/>
    </row>
    <row r="837" ht="16" customHeight="1">
      <c r="A837" s="8" t="n"/>
      <c r="B837" s="8" t="n"/>
    </row>
    <row r="838" ht="16" customHeight="1">
      <c r="A838" s="8" t="n"/>
      <c r="B838" s="8" t="n"/>
    </row>
    <row r="839" ht="16" customHeight="1">
      <c r="A839" s="8" t="n"/>
      <c r="B839" s="8" t="n"/>
    </row>
    <row r="840" ht="16" customHeight="1">
      <c r="A840" s="8" t="n"/>
      <c r="B840" s="8" t="n"/>
    </row>
    <row r="841" ht="16" customHeight="1">
      <c r="A841" s="8" t="n"/>
      <c r="B841" s="8" t="n"/>
    </row>
    <row r="842" ht="16" customHeight="1">
      <c r="A842" s="8" t="n"/>
      <c r="B842" s="8" t="n"/>
    </row>
    <row r="843" ht="16" customHeight="1">
      <c r="A843" s="8" t="n"/>
      <c r="B843" s="8" t="n"/>
    </row>
    <row r="844" ht="16" customHeight="1">
      <c r="A844" s="8" t="n"/>
      <c r="B844" s="8" t="n"/>
    </row>
    <row r="845" ht="16" customHeight="1">
      <c r="A845" s="8" t="n"/>
      <c r="B845" s="8" t="n"/>
    </row>
    <row r="846" ht="16" customHeight="1">
      <c r="A846" s="8" t="n"/>
      <c r="B846" s="8" t="n"/>
    </row>
    <row r="847" ht="16" customHeight="1">
      <c r="A847" s="8" t="n"/>
      <c r="B847" s="8" t="n"/>
    </row>
    <row r="848" ht="16" customHeight="1">
      <c r="A848" s="8" t="n"/>
      <c r="B848" s="8" t="n"/>
    </row>
    <row r="849" ht="16" customHeight="1">
      <c r="A849" s="8" t="n"/>
      <c r="B849" s="8" t="n"/>
    </row>
    <row r="850" ht="16" customHeight="1">
      <c r="A850" s="8" t="n"/>
      <c r="B850" s="8" t="n"/>
    </row>
    <row r="851" ht="16" customHeight="1">
      <c r="A851" s="8" t="n"/>
      <c r="B851" s="8" t="n"/>
    </row>
    <row r="852" ht="16" customHeight="1">
      <c r="A852" s="8" t="n"/>
      <c r="B852" s="8" t="n"/>
    </row>
    <row r="853" ht="16" customHeight="1">
      <c r="A853" s="8" t="n"/>
      <c r="B853" s="8" t="n"/>
    </row>
    <row r="854" ht="16" customHeight="1">
      <c r="A854" s="8" t="n"/>
      <c r="B854" s="8" t="n"/>
    </row>
    <row r="855" ht="16" customHeight="1">
      <c r="A855" s="8" t="n"/>
      <c r="B855" s="8" t="n"/>
    </row>
    <row r="856" ht="16" customHeight="1">
      <c r="A856" s="8" t="n"/>
      <c r="B856" s="8" t="n"/>
    </row>
    <row r="857" ht="16" customHeight="1">
      <c r="A857" s="8" t="n"/>
      <c r="B857" s="8" t="n"/>
    </row>
    <row r="858" ht="16" customHeight="1">
      <c r="A858" s="8" t="n"/>
      <c r="B858" s="8" t="n"/>
    </row>
    <row r="859" ht="16" customHeight="1">
      <c r="A859" s="8" t="n"/>
      <c r="B859" s="8" t="n"/>
    </row>
    <row r="860" ht="16" customHeight="1">
      <c r="A860" s="8" t="n"/>
      <c r="B860" s="8" t="n"/>
    </row>
    <row r="861" ht="16" customHeight="1">
      <c r="A861" s="8" t="n"/>
      <c r="B861" s="8" t="n"/>
    </row>
    <row r="862" ht="16" customHeight="1">
      <c r="A862" s="8" t="n"/>
      <c r="B862" s="8" t="n"/>
    </row>
    <row r="863" ht="16" customHeight="1">
      <c r="A863" s="8" t="n"/>
      <c r="B863" s="8" t="n"/>
    </row>
    <row r="864" ht="16" customHeight="1">
      <c r="A864" s="8" t="n"/>
      <c r="B864" s="8" t="n"/>
    </row>
    <row r="865" ht="16" customHeight="1">
      <c r="A865" s="8" t="n"/>
      <c r="B865" s="8" t="n"/>
    </row>
    <row r="866" ht="16" customHeight="1">
      <c r="A866" s="8" t="n"/>
      <c r="B866" s="8" t="n"/>
    </row>
    <row r="867" ht="16" customHeight="1">
      <c r="A867" s="8" t="n"/>
      <c r="B867" s="8" t="n"/>
    </row>
    <row r="868" ht="16" customHeight="1">
      <c r="A868" s="8" t="n"/>
      <c r="B868" s="8" t="n"/>
    </row>
    <row r="869" ht="16" customHeight="1">
      <c r="A869" s="8" t="n"/>
      <c r="B869" s="8" t="n"/>
    </row>
    <row r="870" ht="16" customHeight="1">
      <c r="A870" s="8" t="n"/>
      <c r="B870" s="8" t="n"/>
    </row>
    <row r="871" ht="16" customHeight="1">
      <c r="A871" s="8" t="n"/>
      <c r="B871" s="8" t="n"/>
    </row>
    <row r="872" ht="16" customHeight="1">
      <c r="A872" s="8" t="n"/>
      <c r="B872" s="8" t="n"/>
    </row>
    <row r="873" ht="16" customHeight="1">
      <c r="A873" s="8" t="n"/>
      <c r="B873" s="8" t="n"/>
    </row>
    <row r="874" ht="16" customHeight="1">
      <c r="A874" s="8" t="n"/>
      <c r="B874" s="8" t="n"/>
    </row>
    <row r="875" ht="16" customHeight="1">
      <c r="A875" s="8" t="n"/>
      <c r="B875" s="8" t="n"/>
    </row>
    <row r="876" ht="16" customHeight="1">
      <c r="A876" s="8" t="n"/>
      <c r="B876" s="8" t="n"/>
    </row>
    <row r="877" ht="16" customHeight="1">
      <c r="A877" s="8" t="n"/>
      <c r="B877" s="8" t="n"/>
    </row>
    <row r="878" ht="16" customHeight="1">
      <c r="A878" s="8" t="n"/>
      <c r="B878" s="8" t="n"/>
    </row>
    <row r="879" ht="16" customHeight="1">
      <c r="A879" s="8" t="n"/>
      <c r="B879" s="8" t="n"/>
    </row>
    <row r="880" ht="16" customHeight="1">
      <c r="A880" s="8" t="n"/>
      <c r="B880" s="8" t="n"/>
    </row>
    <row r="881" ht="16" customHeight="1">
      <c r="A881" s="8" t="n"/>
      <c r="B881" s="8" t="n"/>
    </row>
    <row r="882" ht="16" customHeight="1">
      <c r="A882" s="8" t="n"/>
      <c r="B882" s="8" t="n"/>
    </row>
    <row r="883" ht="16" customHeight="1">
      <c r="A883" s="8" t="n"/>
      <c r="B883" s="8" t="n"/>
    </row>
    <row r="884" ht="16" customHeight="1">
      <c r="A884" s="8" t="n"/>
      <c r="B884" s="8" t="n"/>
    </row>
    <row r="885" ht="16" customHeight="1">
      <c r="A885" s="8" t="n"/>
      <c r="B885" s="8" t="n"/>
    </row>
    <row r="886" ht="16" customHeight="1">
      <c r="A886" s="8" t="n"/>
      <c r="B886" s="8" t="n"/>
    </row>
    <row r="887" ht="16" customHeight="1">
      <c r="A887" s="8" t="n"/>
      <c r="B887" s="8" t="n"/>
    </row>
    <row r="888" ht="16" customHeight="1">
      <c r="A888" s="8" t="n"/>
      <c r="B888" s="8" t="n"/>
    </row>
    <row r="889" ht="16" customHeight="1">
      <c r="A889" s="8" t="n"/>
      <c r="B889" s="8" t="n"/>
    </row>
    <row r="890" ht="16" customHeight="1">
      <c r="A890" s="8" t="n"/>
      <c r="B890" s="8" t="n"/>
    </row>
    <row r="891" ht="16" customHeight="1">
      <c r="A891" s="8" t="n"/>
      <c r="B891" s="8" t="n"/>
    </row>
    <row r="892" ht="16" customHeight="1">
      <c r="A892" s="8" t="n"/>
      <c r="B892" s="8" t="n"/>
    </row>
    <row r="893" ht="16" customHeight="1">
      <c r="A893" s="8" t="n"/>
      <c r="B893" s="8" t="n"/>
    </row>
    <row r="894" ht="16" customHeight="1">
      <c r="A894" s="8" t="n"/>
      <c r="B894" s="8" t="n"/>
    </row>
    <row r="895" ht="16" customHeight="1">
      <c r="A895" s="8" t="n"/>
      <c r="B895" s="8" t="n"/>
    </row>
    <row r="896" ht="16" customHeight="1">
      <c r="A896" s="8" t="n"/>
      <c r="B896" s="8" t="n"/>
    </row>
    <row r="897" ht="16" customHeight="1">
      <c r="A897" s="8" t="n"/>
      <c r="B897" s="8" t="n"/>
    </row>
    <row r="898" ht="16" customHeight="1">
      <c r="A898" s="8" t="n"/>
      <c r="B898" s="8" t="n"/>
    </row>
    <row r="899" ht="16" customHeight="1">
      <c r="A899" s="8" t="n"/>
      <c r="B899" s="8" t="n"/>
    </row>
    <row r="900" ht="16" customHeight="1">
      <c r="A900" s="8" t="n"/>
      <c r="B900" s="8" t="n"/>
    </row>
    <row r="901" ht="16" customHeight="1">
      <c r="A901" s="8" t="n"/>
      <c r="B901" s="8" t="n"/>
    </row>
    <row r="902" ht="16" customHeight="1">
      <c r="A902" s="8" t="n"/>
      <c r="B902" s="8" t="n"/>
    </row>
    <row r="903" ht="16" customHeight="1">
      <c r="A903" s="8" t="n"/>
      <c r="B903" s="8" t="n"/>
    </row>
    <row r="904" ht="16" customHeight="1">
      <c r="A904" s="8" t="n"/>
      <c r="B904" s="8" t="n"/>
    </row>
    <row r="905" ht="16" customHeight="1">
      <c r="A905" s="8" t="n"/>
      <c r="B905" s="8" t="n"/>
    </row>
    <row r="906" ht="16" customHeight="1">
      <c r="A906" s="8" t="n"/>
      <c r="B906" s="8" t="n"/>
    </row>
    <row r="907" ht="16" customHeight="1">
      <c r="A907" s="8" t="n"/>
      <c r="B907" s="8" t="n"/>
    </row>
    <row r="908" ht="16" customHeight="1">
      <c r="A908" s="8" t="n"/>
      <c r="B908" s="8" t="n"/>
    </row>
    <row r="909" ht="16" customHeight="1">
      <c r="A909" s="8" t="n"/>
      <c r="B909" s="8" t="n"/>
    </row>
    <row r="910" ht="16" customHeight="1">
      <c r="A910" s="8" t="n"/>
      <c r="B910" s="8" t="n"/>
    </row>
    <row r="911" ht="16" customHeight="1">
      <c r="A911" s="8" t="n"/>
      <c r="B911" s="8" t="n"/>
    </row>
    <row r="912" ht="16" customHeight="1">
      <c r="A912" s="8" t="n"/>
      <c r="B912" s="8" t="n"/>
    </row>
    <row r="913" ht="16" customHeight="1">
      <c r="A913" s="8" t="n"/>
      <c r="B913" s="8" t="n"/>
    </row>
    <row r="914" ht="16" customHeight="1">
      <c r="A914" s="8" t="n"/>
      <c r="B914" s="8" t="n"/>
    </row>
    <row r="915" ht="16" customHeight="1">
      <c r="A915" s="8" t="n"/>
      <c r="B915" s="8" t="n"/>
    </row>
    <row r="916" ht="16" customHeight="1">
      <c r="A916" s="8" t="n"/>
      <c r="B916" s="8" t="n"/>
    </row>
    <row r="917" ht="16" customHeight="1">
      <c r="A917" s="8" t="n"/>
      <c r="B917" s="8" t="n"/>
    </row>
    <row r="918" ht="16" customHeight="1">
      <c r="A918" s="8" t="n"/>
      <c r="B918" s="8" t="n"/>
    </row>
    <row r="919" ht="16" customHeight="1">
      <c r="A919" s="8" t="n"/>
      <c r="B919" s="8" t="n"/>
    </row>
    <row r="920" ht="16" customHeight="1">
      <c r="A920" s="8" t="n"/>
      <c r="B920" s="8" t="n"/>
    </row>
    <row r="921" ht="16" customHeight="1">
      <c r="A921" s="8" t="n"/>
      <c r="B921" s="8" t="n"/>
    </row>
    <row r="922" ht="16" customHeight="1">
      <c r="A922" s="8" t="n"/>
      <c r="B922" s="8" t="n"/>
    </row>
    <row r="923" ht="16" customHeight="1">
      <c r="A923" s="8" t="n"/>
      <c r="B923" s="8" t="n"/>
    </row>
    <row r="924" ht="16" customHeight="1">
      <c r="A924" s="8" t="n"/>
      <c r="B924" s="8" t="n"/>
    </row>
    <row r="925" ht="16" customHeight="1">
      <c r="A925" s="8" t="n"/>
      <c r="B925" s="8" t="n"/>
    </row>
    <row r="926" ht="16" customHeight="1">
      <c r="A926" s="8" t="n"/>
      <c r="B926" s="8" t="n"/>
    </row>
    <row r="927" ht="16" customHeight="1">
      <c r="A927" s="8" t="n"/>
      <c r="B927" s="8" t="n"/>
    </row>
    <row r="928" ht="16" customHeight="1">
      <c r="A928" s="8" t="n"/>
      <c r="B928" s="8" t="n"/>
    </row>
    <row r="929" ht="16" customHeight="1">
      <c r="A929" s="8" t="n"/>
      <c r="B929" s="8" t="n"/>
    </row>
    <row r="930" ht="16" customHeight="1">
      <c r="A930" s="8" t="n"/>
      <c r="B930" s="8" t="n"/>
    </row>
    <row r="931" ht="16" customHeight="1">
      <c r="A931" s="8" t="n"/>
      <c r="B931" s="8" t="n"/>
    </row>
    <row r="932" ht="16" customHeight="1">
      <c r="A932" s="8" t="n"/>
      <c r="B932" s="8" t="n"/>
    </row>
    <row r="933" ht="16" customHeight="1">
      <c r="A933" s="8" t="n"/>
      <c r="B933" s="8" t="n"/>
    </row>
    <row r="934" ht="16" customHeight="1">
      <c r="A934" s="8" t="n"/>
      <c r="B934" s="8" t="n"/>
    </row>
    <row r="935" ht="16" customHeight="1">
      <c r="A935" s="8" t="n"/>
      <c r="B935" s="8" t="n"/>
    </row>
    <row r="936" ht="16" customHeight="1">
      <c r="A936" s="8" t="n"/>
      <c r="B936" s="8" t="n"/>
    </row>
    <row r="937" ht="16" customHeight="1">
      <c r="A937" s="8" t="n"/>
      <c r="B937" s="8" t="n"/>
    </row>
    <row r="938" ht="16" customHeight="1">
      <c r="A938" s="8" t="n"/>
      <c r="B938" s="8" t="n"/>
    </row>
    <row r="939" ht="16" customHeight="1">
      <c r="A939" s="8" t="n"/>
      <c r="B939" s="8" t="n"/>
    </row>
    <row r="940" ht="16" customHeight="1">
      <c r="A940" s="8" t="n"/>
      <c r="B940" s="8" t="n"/>
    </row>
    <row r="941" ht="16" customHeight="1">
      <c r="A941" s="8" t="n"/>
      <c r="B941" s="8" t="n"/>
    </row>
    <row r="942" ht="16" customHeight="1">
      <c r="A942" s="8" t="n"/>
      <c r="B942" s="8" t="n"/>
    </row>
    <row r="943" ht="16" customHeight="1">
      <c r="A943" s="8" t="n"/>
      <c r="B943" s="8" t="n"/>
    </row>
    <row r="944" ht="16" customHeight="1">
      <c r="A944" s="8" t="n"/>
      <c r="B944" s="8" t="n"/>
    </row>
    <row r="945" ht="16" customHeight="1">
      <c r="A945" s="8" t="n"/>
      <c r="B945" s="8" t="n"/>
    </row>
    <row r="946" ht="16" customHeight="1">
      <c r="A946" s="8" t="n"/>
      <c r="B946" s="8" t="n"/>
    </row>
    <row r="947" ht="16" customHeight="1">
      <c r="A947" s="8" t="n"/>
      <c r="B947" s="8" t="n"/>
    </row>
    <row r="948" ht="16" customHeight="1">
      <c r="A948" s="8" t="n"/>
      <c r="B948" s="8" t="n"/>
    </row>
    <row r="949" ht="16" customHeight="1">
      <c r="A949" s="8" t="n"/>
      <c r="B949" s="8" t="n"/>
    </row>
    <row r="950" ht="16" customHeight="1">
      <c r="A950" s="8" t="n"/>
      <c r="B950" s="8" t="n"/>
    </row>
    <row r="951" ht="16" customHeight="1">
      <c r="A951" s="8" t="n"/>
      <c r="B951" s="8" t="n"/>
    </row>
    <row r="952" ht="16" customHeight="1">
      <c r="A952" s="8" t="n"/>
      <c r="B952" s="8" t="n"/>
    </row>
    <row r="953" ht="16" customHeight="1">
      <c r="A953" s="8" t="n"/>
      <c r="B953" s="8" t="n"/>
    </row>
    <row r="954" ht="16" customHeight="1">
      <c r="A954" s="8" t="n"/>
      <c r="B954" s="8" t="n"/>
    </row>
    <row r="955" ht="16" customHeight="1">
      <c r="A955" s="8" t="n"/>
      <c r="B955" s="8" t="n"/>
    </row>
    <row r="956" ht="16" customHeight="1">
      <c r="A956" s="8" t="n"/>
      <c r="B956" s="8" t="n"/>
    </row>
    <row r="957" ht="16" customHeight="1">
      <c r="A957" s="8" t="n"/>
      <c r="B957" s="8" t="n"/>
    </row>
    <row r="958" ht="16" customHeight="1">
      <c r="A958" s="8" t="n"/>
      <c r="B958" s="8" t="n"/>
    </row>
    <row r="959" ht="16" customHeight="1">
      <c r="A959" s="8" t="n"/>
      <c r="B959" s="8" t="n"/>
    </row>
    <row r="960" ht="16" customHeight="1">
      <c r="A960" s="8" t="n"/>
      <c r="B960" s="8" t="n"/>
    </row>
    <row r="961" ht="16" customHeight="1">
      <c r="A961" s="8" t="n"/>
      <c r="B961" s="8" t="n"/>
    </row>
    <row r="962" ht="16" customHeight="1">
      <c r="A962" s="8" t="n"/>
      <c r="B962" s="8" t="n"/>
    </row>
    <row r="963" ht="16" customHeight="1">
      <c r="A963" s="8" t="n"/>
      <c r="B963" s="8" t="n"/>
    </row>
    <row r="964" ht="16" customHeight="1">
      <c r="A964" s="8" t="n"/>
      <c r="B964" s="8" t="n"/>
    </row>
    <row r="965" ht="16" customHeight="1">
      <c r="A965" s="8" t="n"/>
      <c r="B965" s="8" t="n"/>
    </row>
    <row r="966" ht="16" customHeight="1">
      <c r="A966" s="8" t="n"/>
      <c r="B966" s="8" t="n"/>
    </row>
    <row r="967" ht="16" customHeight="1">
      <c r="A967" s="8" t="n"/>
      <c r="B967" s="8" t="n"/>
    </row>
    <row r="968" ht="16" customHeight="1">
      <c r="A968" s="8" t="n"/>
      <c r="B968" s="8" t="n"/>
    </row>
    <row r="969" ht="16" customHeight="1">
      <c r="A969" s="8" t="n"/>
      <c r="B969" s="8" t="n"/>
    </row>
    <row r="970" ht="16" customHeight="1">
      <c r="A970" s="8" t="n"/>
      <c r="B970" s="8" t="n"/>
    </row>
    <row r="971" ht="16" customHeight="1">
      <c r="A971" s="8" t="n"/>
      <c r="B971" s="8" t="n"/>
    </row>
    <row r="972" ht="16" customHeight="1">
      <c r="A972" s="8" t="n"/>
      <c r="B972" s="8" t="n"/>
    </row>
    <row r="973" ht="16" customHeight="1">
      <c r="A973" s="8" t="n"/>
      <c r="B973" s="8" t="n"/>
    </row>
    <row r="974" ht="16" customHeight="1">
      <c r="A974" s="8" t="n"/>
      <c r="B974" s="8" t="n"/>
    </row>
    <row r="975" ht="16" customHeight="1">
      <c r="A975" s="8" t="n"/>
      <c r="B975" s="8" t="n"/>
    </row>
    <row r="976" ht="16" customHeight="1">
      <c r="A976" s="8" t="n"/>
      <c r="B976" s="8" t="n"/>
    </row>
    <row r="977" ht="16" customHeight="1">
      <c r="A977" s="8" t="n"/>
      <c r="B977" s="8" t="n"/>
    </row>
    <row r="978" ht="16" customHeight="1">
      <c r="A978" s="8" t="n"/>
      <c r="B978" s="8" t="n"/>
    </row>
    <row r="979" ht="16" customHeight="1">
      <c r="A979" s="8" t="n"/>
      <c r="B979" s="8" t="n"/>
    </row>
    <row r="980" ht="16" customHeight="1">
      <c r="A980" s="8" t="n"/>
      <c r="B980" s="8" t="n"/>
    </row>
    <row r="981" ht="16" customHeight="1">
      <c r="A981" s="8" t="n"/>
      <c r="B981" s="8" t="n"/>
    </row>
    <row r="982" ht="16" customHeight="1">
      <c r="A982" s="8" t="n"/>
      <c r="B982" s="8" t="n"/>
    </row>
    <row r="983" ht="16" customHeight="1">
      <c r="A983" s="8" t="n"/>
      <c r="B983" s="8" t="n"/>
    </row>
    <row r="984" ht="16" customHeight="1">
      <c r="A984" s="8" t="n"/>
      <c r="B984" s="8" t="n"/>
    </row>
    <row r="985" ht="16" customHeight="1">
      <c r="A985" s="8" t="n"/>
      <c r="B985" s="8" t="n"/>
    </row>
    <row r="986" ht="16" customHeight="1">
      <c r="A986" s="8" t="n"/>
      <c r="B986" s="8" t="n"/>
    </row>
    <row r="987" ht="16" customHeight="1">
      <c r="A987" s="8" t="n"/>
      <c r="B987" s="8" t="n"/>
    </row>
    <row r="988" ht="16" customHeight="1">
      <c r="A988" s="8" t="n"/>
      <c r="B988" s="8" t="n"/>
    </row>
    <row r="989" ht="16" customHeight="1">
      <c r="A989" s="8" t="n"/>
      <c r="B989" s="8" t="n"/>
    </row>
    <row r="990" ht="16" customHeight="1">
      <c r="A990" s="8" t="n"/>
      <c r="B990" s="8" t="n"/>
    </row>
    <row r="991" ht="16" customHeight="1">
      <c r="A991" s="8" t="n"/>
      <c r="B991" s="8" t="n"/>
    </row>
    <row r="992" ht="16" customHeight="1">
      <c r="A992" s="8" t="n"/>
      <c r="B992" s="8" t="n"/>
    </row>
    <row r="993" ht="16" customHeight="1">
      <c r="A993" s="8" t="n"/>
      <c r="B993" s="8" t="n"/>
    </row>
    <row r="994" ht="16" customHeight="1">
      <c r="A994" s="8" t="n"/>
      <c r="B994" s="8" t="n"/>
    </row>
    <row r="995" ht="16" customHeight="1">
      <c r="A995" s="8" t="n"/>
      <c r="B995" s="8" t="n"/>
    </row>
    <row r="996" ht="16" customHeight="1">
      <c r="A996" s="8" t="n"/>
      <c r="B996" s="8" t="n"/>
    </row>
    <row r="997" ht="16" customHeight="1">
      <c r="A997" s="8" t="n"/>
      <c r="B997" s="8" t="n"/>
    </row>
    <row r="998" ht="16" customHeight="1">
      <c r="A998" s="8" t="n"/>
      <c r="B998" s="8" t="n"/>
    </row>
    <row r="999" ht="16" customHeight="1">
      <c r="A999" s="8" t="n"/>
      <c r="B999" s="8" t="n"/>
    </row>
    <row r="1000" ht="16" customHeight="1">
      <c r="A1000" s="8" t="n"/>
      <c r="B1000" s="8" t="n"/>
    </row>
    <row r="1001" ht="16" customHeight="1">
      <c r="A1001" s="8" t="n"/>
      <c r="B1001" s="8" t="n"/>
    </row>
    <row r="1002" ht="16" customHeight="1">
      <c r="A1002" s="8" t="n"/>
      <c r="B1002" s="8" t="n"/>
    </row>
    <row r="1003" ht="16" customHeight="1">
      <c r="A1003" s="8" t="n"/>
      <c r="B1003" s="8" t="n"/>
    </row>
    <row r="1004" ht="16" customHeight="1">
      <c r="A1004" s="8" t="n"/>
      <c r="B1004" s="8" t="n"/>
    </row>
    <row r="1005" ht="16" customHeight="1">
      <c r="A1005" s="8" t="n"/>
      <c r="B1005" s="8" t="n"/>
    </row>
    <row r="1006" ht="16" customHeight="1">
      <c r="A1006" s="8" t="n"/>
      <c r="B1006" s="8" t="n"/>
    </row>
    <row r="1007" ht="16" customHeight="1">
      <c r="A1007" s="8" t="n"/>
      <c r="B1007" s="8" t="n"/>
    </row>
    <row r="1008" ht="16" customHeight="1">
      <c r="A1008" s="8" t="n"/>
      <c r="B1008" s="8" t="n"/>
    </row>
    <row r="1009" ht="16" customHeight="1">
      <c r="A1009" s="8" t="n"/>
      <c r="B1009" s="8" t="n"/>
    </row>
    <row r="1010" ht="16" customHeight="1">
      <c r="A1010" s="8" t="n"/>
      <c r="B1010" s="8" t="n"/>
    </row>
    <row r="1011" ht="16" customHeight="1">
      <c r="A1011" s="8" t="n"/>
      <c r="B1011" s="8" t="n"/>
    </row>
    <row r="1012" ht="16" customHeight="1">
      <c r="A1012" s="8" t="n"/>
      <c r="B1012" s="8" t="n"/>
    </row>
    <row r="1013" ht="16" customHeight="1">
      <c r="A1013" s="8" t="n"/>
      <c r="B1013" s="8" t="n"/>
    </row>
    <row r="1014" ht="16" customHeight="1">
      <c r="A1014" s="8" t="n"/>
      <c r="B1014" s="8" t="n"/>
    </row>
    <row r="1015" ht="16" customHeight="1">
      <c r="A1015" s="8" t="n"/>
      <c r="B1015" s="8" t="n"/>
    </row>
    <row r="1016" ht="16" customHeight="1">
      <c r="A1016" s="8" t="n"/>
      <c r="B1016" s="8" t="n"/>
    </row>
    <row r="1017" ht="16" customHeight="1">
      <c r="A1017" s="8" t="n"/>
      <c r="B1017" s="8" t="n"/>
    </row>
    <row r="1018" ht="16" customHeight="1">
      <c r="A1018" s="8" t="n"/>
      <c r="B1018" s="8" t="n"/>
    </row>
    <row r="1019" ht="16" customHeight="1">
      <c r="A1019" s="8" t="n"/>
      <c r="B1019" s="8" t="n"/>
    </row>
    <row r="1020" ht="16" customHeight="1">
      <c r="A1020" s="8" t="n"/>
      <c r="B1020" s="8" t="n"/>
    </row>
    <row r="1021" ht="16" customHeight="1">
      <c r="A1021" s="8" t="n"/>
      <c r="B1021" s="8" t="n"/>
    </row>
    <row r="1022" ht="16" customHeight="1">
      <c r="A1022" s="8" t="n"/>
      <c r="B1022" s="8" t="n"/>
    </row>
    <row r="1023" ht="16" customHeight="1">
      <c r="A1023" s="8" t="n"/>
      <c r="B1023" s="8" t="n"/>
    </row>
    <row r="1024" ht="16" customHeight="1">
      <c r="A1024" s="8" t="n"/>
      <c r="B1024" s="8" t="n"/>
    </row>
    <row r="1025" ht="16" customHeight="1">
      <c r="A1025" s="8" t="n"/>
      <c r="B1025" s="8" t="n"/>
    </row>
    <row r="1026" ht="16" customHeight="1">
      <c r="A1026" s="8" t="n"/>
      <c r="B1026" s="8" t="n"/>
    </row>
    <row r="1027" ht="16" customHeight="1">
      <c r="A1027" s="8" t="n"/>
      <c r="B1027" s="8" t="n"/>
    </row>
    <row r="1028" ht="16" customHeight="1">
      <c r="A1028" s="8" t="n"/>
      <c r="B1028" s="8" t="n"/>
    </row>
    <row r="1029" ht="16" customHeight="1">
      <c r="A1029" s="8" t="n"/>
      <c r="B1029" s="8" t="n"/>
    </row>
    <row r="1030" ht="16" customHeight="1">
      <c r="A1030" s="8" t="n"/>
      <c r="B1030" s="8" t="n"/>
    </row>
    <row r="1031" ht="16" customHeight="1">
      <c r="A1031" s="8" t="n"/>
      <c r="B1031" s="8" t="n"/>
    </row>
    <row r="1032" ht="16" customHeight="1">
      <c r="A1032" s="8" t="n"/>
      <c r="B1032" s="8" t="n"/>
    </row>
    <row r="1033" ht="16" customHeight="1">
      <c r="A1033" s="8" t="n"/>
      <c r="B1033" s="8" t="n"/>
    </row>
    <row r="1034" ht="16" customHeight="1">
      <c r="A1034" s="8" t="n"/>
      <c r="B1034" s="8" t="n"/>
    </row>
    <row r="1035" ht="16" customHeight="1">
      <c r="A1035" s="8" t="n"/>
      <c r="B1035" s="8" t="n"/>
    </row>
    <row r="1036" ht="16" customHeight="1">
      <c r="A1036" s="8" t="n"/>
      <c r="B1036" s="8" t="n"/>
    </row>
    <row r="1037" ht="16" customHeight="1">
      <c r="A1037" s="8" t="n"/>
      <c r="B1037" s="8" t="n"/>
    </row>
    <row r="1038" ht="16" customHeight="1">
      <c r="A1038" s="8" t="n"/>
      <c r="B1038" s="8" t="n"/>
    </row>
    <row r="1039" ht="16" customHeight="1">
      <c r="A1039" s="8" t="n"/>
      <c r="B1039" s="8" t="n"/>
    </row>
    <row r="1040" ht="16" customHeight="1">
      <c r="A1040" s="8" t="n"/>
      <c r="B1040" s="8" t="n"/>
    </row>
    <row r="1041" ht="16" customHeight="1">
      <c r="A1041" s="8" t="n"/>
      <c r="B1041" s="8" t="n"/>
    </row>
    <row r="1042" ht="16" customHeight="1">
      <c r="A1042" s="8" t="n"/>
      <c r="B1042" s="8" t="n"/>
    </row>
    <row r="1043" ht="16" customHeight="1">
      <c r="A1043" s="8" t="n"/>
      <c r="B1043" s="8" t="n"/>
    </row>
    <row r="1044" ht="16" customHeight="1">
      <c r="A1044" s="8" t="n"/>
      <c r="B1044" s="8" t="n"/>
    </row>
    <row r="1045" ht="16" customHeight="1">
      <c r="A1045" s="8" t="n"/>
      <c r="B1045" s="8" t="n"/>
    </row>
    <row r="1046" ht="16" customHeight="1">
      <c r="A1046" s="8" t="n"/>
      <c r="B1046" s="8" t="n"/>
    </row>
    <row r="1047" ht="16" customHeight="1">
      <c r="A1047" s="8" t="n"/>
      <c r="B1047" s="8" t="n"/>
    </row>
    <row r="1048" ht="16" customHeight="1">
      <c r="A1048" s="8" t="n"/>
      <c r="B1048" s="8" t="n"/>
    </row>
    <row r="1049" ht="16" customHeight="1">
      <c r="A1049" s="8" t="n"/>
      <c r="B1049" s="8" t="n"/>
    </row>
    <row r="1050" ht="16" customHeight="1">
      <c r="A1050" s="8" t="n"/>
      <c r="B1050" s="8" t="n"/>
    </row>
    <row r="1051" ht="16" customHeight="1">
      <c r="A1051" s="8" t="n"/>
      <c r="B1051" s="8" t="n"/>
    </row>
    <row r="1052" ht="16" customHeight="1">
      <c r="A1052" s="8" t="n"/>
      <c r="B1052" s="8" t="n"/>
    </row>
    <row r="1053" ht="16" customHeight="1">
      <c r="A1053" s="8" t="n"/>
      <c r="B1053" s="8" t="n"/>
    </row>
    <row r="1054" ht="16" customHeight="1">
      <c r="A1054" s="8" t="n"/>
      <c r="B1054" s="8" t="n"/>
    </row>
    <row r="1055" ht="16" customHeight="1">
      <c r="A1055" s="8" t="n"/>
      <c r="B1055" s="8" t="n"/>
    </row>
    <row r="1056" ht="16" customHeight="1">
      <c r="A1056" s="8" t="n"/>
      <c r="B1056" s="8" t="n"/>
    </row>
    <row r="1057" ht="16" customHeight="1">
      <c r="A1057" s="8" t="n"/>
      <c r="B1057" s="8" t="n"/>
    </row>
    <row r="1058" ht="16" customHeight="1">
      <c r="A1058" s="8" t="n"/>
      <c r="B1058" s="8" t="n"/>
    </row>
    <row r="1059" ht="16" customHeight="1">
      <c r="A1059" s="8" t="n"/>
      <c r="B1059" s="8" t="n"/>
    </row>
    <row r="1060" ht="16" customHeight="1">
      <c r="A1060" s="8" t="n"/>
      <c r="B1060" s="8" t="n"/>
    </row>
    <row r="1061" ht="16" customHeight="1">
      <c r="A1061" s="8" t="n"/>
      <c r="B1061" s="8" t="n"/>
    </row>
    <row r="1062" ht="16" customHeight="1">
      <c r="A1062" s="8" t="n"/>
      <c r="B1062" s="8" t="n"/>
    </row>
    <row r="1063" ht="16" customHeight="1">
      <c r="A1063" s="8" t="n"/>
      <c r="B1063" s="8" t="n"/>
    </row>
    <row r="1064" ht="16" customHeight="1">
      <c r="A1064" s="8" t="n"/>
      <c r="B1064" s="8" t="n"/>
    </row>
    <row r="1065" ht="16" customHeight="1">
      <c r="A1065" s="8" t="n"/>
      <c r="B1065" s="8" t="n"/>
    </row>
    <row r="1066" ht="16" customHeight="1">
      <c r="A1066" s="8" t="n"/>
      <c r="B1066" s="8" t="n"/>
    </row>
    <row r="1067" ht="16" customHeight="1">
      <c r="A1067" s="8" t="n"/>
      <c r="B1067" s="8" t="n"/>
    </row>
    <row r="1068" ht="16" customHeight="1">
      <c r="A1068" s="8" t="n"/>
      <c r="B1068" s="8" t="n"/>
    </row>
    <row r="1069" ht="16" customHeight="1">
      <c r="A1069" s="8" t="n"/>
      <c r="B1069" s="8" t="n"/>
    </row>
    <row r="1070" ht="16" customHeight="1">
      <c r="A1070" s="8" t="n"/>
      <c r="B1070" s="8" t="n"/>
    </row>
    <row r="1071" ht="16" customHeight="1">
      <c r="A1071" s="8" t="n"/>
      <c r="B1071" s="8" t="n"/>
    </row>
    <row r="1072" ht="16" customHeight="1">
      <c r="A1072" s="8" t="n"/>
      <c r="B1072" s="8" t="n"/>
    </row>
    <row r="1073" ht="16" customHeight="1">
      <c r="A1073" s="8" t="n"/>
      <c r="B1073" s="8" t="n"/>
    </row>
    <row r="1074" ht="16" customHeight="1">
      <c r="A1074" s="8" t="n"/>
      <c r="B1074" s="8" t="n"/>
    </row>
    <row r="1075" ht="16" customHeight="1">
      <c r="A1075" s="8" t="n"/>
      <c r="B1075" s="8" t="n"/>
    </row>
    <row r="1076" ht="16" customHeight="1">
      <c r="A1076" s="8" t="n"/>
      <c r="B1076" s="8" t="n"/>
    </row>
    <row r="1077" ht="16" customHeight="1">
      <c r="A1077" s="8" t="n"/>
      <c r="B1077" s="8" t="n"/>
    </row>
    <row r="1078" ht="16" customHeight="1">
      <c r="A1078" s="8" t="n"/>
      <c r="B1078" s="8" t="n"/>
    </row>
    <row r="1079" ht="16" customHeight="1">
      <c r="A1079" s="8" t="n"/>
      <c r="B1079" s="8" t="n"/>
    </row>
    <row r="1080" ht="16" customHeight="1">
      <c r="A1080" s="8" t="n"/>
      <c r="B1080" s="8" t="n"/>
    </row>
    <row r="1081" ht="16" customHeight="1">
      <c r="A1081" s="8" t="n"/>
      <c r="B1081" s="8" t="n"/>
    </row>
    <row r="1082" ht="16" customHeight="1">
      <c r="A1082" s="8" t="n"/>
      <c r="B1082" s="8" t="n"/>
    </row>
    <row r="1083" ht="16" customHeight="1">
      <c r="A1083" s="8" t="n"/>
      <c r="B1083" s="8" t="n"/>
    </row>
    <row r="1084" ht="16" customHeight="1">
      <c r="A1084" s="8" t="n"/>
      <c r="B1084" s="8" t="n"/>
    </row>
    <row r="1085" ht="16" customHeight="1">
      <c r="A1085" s="8" t="n"/>
      <c r="B1085" s="8" t="n"/>
    </row>
    <row r="1086" ht="16" customHeight="1">
      <c r="A1086" s="8" t="n"/>
      <c r="B1086" s="8" t="n"/>
    </row>
    <row r="1087" ht="16" customHeight="1">
      <c r="A1087" s="8" t="n"/>
      <c r="B1087" s="8" t="n"/>
    </row>
    <row r="1088" ht="16" customHeight="1">
      <c r="A1088" s="8" t="n"/>
      <c r="B1088" s="8" t="n"/>
    </row>
    <row r="1089" ht="16" customHeight="1">
      <c r="A1089" s="8" t="n"/>
      <c r="B1089" s="8" t="n"/>
    </row>
    <row r="1090" ht="16" customHeight="1">
      <c r="A1090" s="8" t="n"/>
      <c r="B1090" s="8" t="n"/>
    </row>
    <row r="1091" ht="16" customHeight="1">
      <c r="A1091" s="8" t="n"/>
      <c r="B1091" s="8" t="n"/>
    </row>
    <row r="1092" ht="16" customHeight="1">
      <c r="A1092" s="8" t="n"/>
      <c r="B1092" s="8" t="n"/>
    </row>
    <row r="1093" ht="16" customHeight="1">
      <c r="A1093" s="8" t="n"/>
      <c r="B1093" s="8" t="n"/>
    </row>
    <row r="1094" ht="16" customHeight="1">
      <c r="A1094" s="8" t="n"/>
      <c r="B1094" s="8" t="n"/>
    </row>
    <row r="1095" ht="16" customHeight="1">
      <c r="A1095" s="8" t="n"/>
      <c r="B1095" s="8" t="n"/>
    </row>
    <row r="1096" ht="16" customHeight="1">
      <c r="A1096" s="8" t="n"/>
      <c r="B1096" s="8" t="n"/>
    </row>
    <row r="1097" ht="16" customHeight="1">
      <c r="A1097" s="8" t="n"/>
      <c r="B1097" s="8" t="n"/>
    </row>
    <row r="1098" ht="16" customHeight="1">
      <c r="A1098" s="8" t="n"/>
      <c r="B1098" s="8" t="n"/>
    </row>
    <row r="1099" ht="16" customHeight="1">
      <c r="A1099" s="8" t="n"/>
      <c r="B1099" s="8" t="n"/>
    </row>
    <row r="1100" ht="16" customHeight="1">
      <c r="A1100" s="8" t="n"/>
      <c r="B1100" s="8" t="n"/>
    </row>
    <row r="1101" ht="16" customHeight="1">
      <c r="A1101" s="8" t="n"/>
      <c r="B1101" s="8" t="n"/>
    </row>
    <row r="1102" ht="16" customHeight="1">
      <c r="A1102" s="8" t="n"/>
      <c r="B1102" s="8" t="n"/>
    </row>
    <row r="1103" ht="16" customHeight="1">
      <c r="A1103" s="8" t="n"/>
      <c r="B1103" s="8" t="n"/>
    </row>
    <row r="1104" ht="16" customHeight="1">
      <c r="A1104" s="8" t="n"/>
      <c r="B1104" s="8" t="n"/>
    </row>
    <row r="1105" ht="16" customHeight="1">
      <c r="A1105" s="8" t="n"/>
      <c r="B1105" s="8" t="n"/>
    </row>
    <row r="1106" ht="16" customHeight="1">
      <c r="A1106" s="8" t="n"/>
      <c r="B1106" s="8" t="n"/>
    </row>
    <row r="1107" ht="16" customHeight="1">
      <c r="A1107" s="8" t="n"/>
      <c r="B1107" s="8" t="n"/>
    </row>
    <row r="1108" ht="16" customHeight="1">
      <c r="A1108" s="8" t="n"/>
      <c r="B1108" s="8" t="n"/>
    </row>
    <row r="1109" ht="16" customHeight="1">
      <c r="A1109" s="8" t="n"/>
      <c r="B1109" s="8" t="n"/>
    </row>
    <row r="1110" ht="16" customHeight="1">
      <c r="A1110" s="8" t="n"/>
      <c r="B1110" s="8" t="n"/>
    </row>
    <row r="1111" ht="16" customHeight="1">
      <c r="A1111" s="8" t="n"/>
      <c r="B1111" s="8" t="n"/>
    </row>
    <row r="1112" ht="16" customHeight="1">
      <c r="A1112" s="8" t="n"/>
      <c r="B1112" s="8" t="n"/>
    </row>
    <row r="1113" ht="16" customHeight="1">
      <c r="A1113" s="8" t="n"/>
      <c r="B1113" s="8" t="n"/>
    </row>
    <row r="1114" ht="16" customHeight="1">
      <c r="A1114" s="8" t="n"/>
      <c r="B1114" s="8" t="n"/>
    </row>
    <row r="1115" ht="16" customHeight="1">
      <c r="A1115" s="8" t="n"/>
      <c r="B1115" s="8" t="n"/>
    </row>
    <row r="1116" ht="16" customHeight="1">
      <c r="A1116" s="8" t="n"/>
      <c r="B1116" s="8" t="n"/>
    </row>
    <row r="1117" ht="16" customHeight="1">
      <c r="A1117" s="8" t="n"/>
      <c r="B1117" s="8" t="n"/>
    </row>
    <row r="1118" ht="16" customHeight="1">
      <c r="A1118" s="8" t="n"/>
      <c r="B1118" s="8" t="n"/>
    </row>
    <row r="1119" ht="16" customHeight="1">
      <c r="A1119" s="8" t="n"/>
      <c r="B1119" s="8" t="n"/>
    </row>
    <row r="1120" ht="16" customHeight="1">
      <c r="A1120" s="8" t="n"/>
      <c r="B1120" s="8" t="n"/>
    </row>
    <row r="1121" ht="16" customHeight="1">
      <c r="A1121" s="8" t="n"/>
      <c r="B1121" s="8" t="n"/>
    </row>
    <row r="1122" ht="16" customHeight="1">
      <c r="A1122" s="8" t="n"/>
      <c r="B1122" s="8" t="n"/>
    </row>
    <row r="1123" ht="16" customHeight="1">
      <c r="A1123" s="8" t="n"/>
      <c r="B1123" s="8" t="n"/>
    </row>
    <row r="1124" ht="16" customHeight="1">
      <c r="A1124" s="8" t="n"/>
      <c r="B1124" s="8" t="n"/>
    </row>
    <row r="1125" ht="16" customHeight="1">
      <c r="A1125" s="8" t="n"/>
      <c r="B1125" s="8" t="n"/>
    </row>
    <row r="1126" ht="16" customHeight="1">
      <c r="A1126" s="8" t="n"/>
      <c r="B1126" s="8" t="n"/>
    </row>
    <row r="1127" ht="16" customHeight="1">
      <c r="A1127" s="8" t="n"/>
      <c r="B1127" s="8" t="n"/>
    </row>
    <row r="1128" ht="16" customHeight="1">
      <c r="A1128" s="8" t="n"/>
      <c r="B1128" s="8" t="n"/>
    </row>
    <row r="1129" ht="16" customHeight="1">
      <c r="A1129" s="8" t="n"/>
      <c r="B1129" s="8" t="n"/>
    </row>
    <row r="1130" ht="16" customHeight="1">
      <c r="A1130" s="8" t="n"/>
      <c r="B1130" s="8" t="n"/>
    </row>
    <row r="1131" ht="16" customHeight="1">
      <c r="A1131" s="8" t="n"/>
      <c r="B1131" s="8" t="n"/>
    </row>
    <row r="1132" ht="16" customHeight="1">
      <c r="A1132" s="8" t="n"/>
      <c r="B1132" s="8" t="n"/>
    </row>
    <row r="1133" ht="16" customHeight="1">
      <c r="A1133" s="8" t="n"/>
      <c r="B1133" s="8" t="n"/>
    </row>
    <row r="1134" ht="16" customHeight="1">
      <c r="A1134" s="8" t="n"/>
      <c r="B1134" s="8" t="n"/>
    </row>
    <row r="1135" ht="16" customHeight="1">
      <c r="A1135" s="8" t="n"/>
      <c r="B1135" s="8" t="n"/>
    </row>
    <row r="1136" ht="16" customHeight="1">
      <c r="A1136" s="8" t="n"/>
      <c r="B1136" s="8" t="n"/>
    </row>
    <row r="1137" ht="16" customHeight="1">
      <c r="A1137" s="8" t="n"/>
      <c r="B1137" s="8" t="n"/>
    </row>
    <row r="1138" ht="16" customHeight="1">
      <c r="A1138" s="8" t="n"/>
      <c r="B1138" s="8" t="n"/>
    </row>
    <row r="1139" ht="16" customHeight="1">
      <c r="A1139" s="8" t="n"/>
      <c r="B1139" s="8" t="n"/>
    </row>
    <row r="1140" ht="16" customHeight="1">
      <c r="A1140" s="8" t="n"/>
      <c r="B1140" s="8" t="n"/>
    </row>
    <row r="1141" ht="16" customHeight="1">
      <c r="A1141" s="8" t="n"/>
      <c r="B1141" s="8" t="n"/>
    </row>
    <row r="1142" ht="16" customHeight="1">
      <c r="A1142" s="8" t="n"/>
      <c r="B1142" s="8" t="n"/>
    </row>
    <row r="1143" ht="16" customHeight="1">
      <c r="A1143" s="8" t="n"/>
      <c r="B1143" s="8" t="n"/>
    </row>
    <row r="1144" ht="16" customHeight="1">
      <c r="A1144" s="8" t="n"/>
      <c r="B1144" s="8" t="n"/>
    </row>
    <row r="1145" ht="16" customHeight="1">
      <c r="A1145" s="8" t="n"/>
      <c r="B1145" s="8" t="n"/>
    </row>
    <row r="1146" ht="16" customHeight="1">
      <c r="A1146" s="8" t="n"/>
      <c r="B1146" s="8" t="n"/>
    </row>
    <row r="1147" ht="16" customHeight="1">
      <c r="A1147" s="8" t="n"/>
      <c r="B1147" s="8" t="n"/>
    </row>
    <row r="1148" ht="16" customHeight="1">
      <c r="A1148" s="8" t="n"/>
      <c r="B1148" s="8" t="n"/>
    </row>
    <row r="1149" ht="16" customHeight="1">
      <c r="A1149" s="8" t="n"/>
      <c r="B1149" s="8" t="n"/>
    </row>
    <row r="1150" ht="16" customHeight="1">
      <c r="A1150" s="8" t="n"/>
      <c r="B1150" s="8" t="n"/>
    </row>
    <row r="1151" ht="16" customHeight="1">
      <c r="A1151" s="8" t="n"/>
      <c r="B1151" s="8" t="n"/>
    </row>
    <row r="1152" ht="16" customHeight="1">
      <c r="A1152" s="8" t="n"/>
      <c r="B1152" s="8" t="n"/>
    </row>
    <row r="1153" ht="16" customHeight="1">
      <c r="A1153" s="8" t="n"/>
      <c r="B1153" s="8" t="n"/>
    </row>
    <row r="1154" ht="16" customHeight="1">
      <c r="A1154" s="8" t="n"/>
      <c r="B1154" s="8" t="n"/>
    </row>
    <row r="1155" ht="16" customHeight="1">
      <c r="A1155" s="8" t="n"/>
      <c r="B1155" s="8" t="n"/>
    </row>
    <row r="1156" ht="16" customHeight="1">
      <c r="A1156" s="8" t="n"/>
      <c r="B1156" s="8" t="n"/>
    </row>
    <row r="1157" ht="16" customHeight="1">
      <c r="A1157" s="8" t="n"/>
      <c r="B1157" s="8" t="n"/>
    </row>
    <row r="1158" ht="16" customHeight="1">
      <c r="A1158" s="8" t="n"/>
      <c r="B1158" s="8" t="n"/>
    </row>
    <row r="1159" ht="16" customHeight="1">
      <c r="A1159" s="8" t="n"/>
      <c r="B1159" s="8" t="n"/>
    </row>
    <row r="1160" ht="16" customHeight="1">
      <c r="A1160" s="8" t="n"/>
      <c r="B1160" s="8" t="n"/>
    </row>
    <row r="1161" ht="16" customHeight="1">
      <c r="A1161" s="8" t="n"/>
      <c r="B1161" s="8" t="n"/>
    </row>
    <row r="1162" ht="16" customHeight="1">
      <c r="A1162" s="8" t="n"/>
      <c r="B1162" s="8" t="n"/>
    </row>
    <row r="1163" ht="16" customHeight="1">
      <c r="A1163" s="8" t="n"/>
      <c r="B1163" s="8" t="n"/>
    </row>
    <row r="1164" ht="16" customHeight="1">
      <c r="A1164" s="8" t="n"/>
      <c r="B1164" s="8" t="n"/>
    </row>
    <row r="1165" ht="16" customHeight="1">
      <c r="A1165" s="8" t="n"/>
      <c r="B1165" s="8" t="n"/>
    </row>
    <row r="1166" ht="16" customHeight="1">
      <c r="A1166" s="8" t="n"/>
      <c r="B1166" s="8" t="n"/>
    </row>
    <row r="1167" ht="16" customHeight="1">
      <c r="A1167" s="8" t="n"/>
      <c r="B1167" s="8" t="n"/>
    </row>
    <row r="1168" ht="16" customHeight="1">
      <c r="A1168" s="8" t="n"/>
      <c r="B1168" s="8" t="n"/>
    </row>
    <row r="1169" ht="16" customHeight="1">
      <c r="A1169" s="8" t="n"/>
      <c r="B1169" s="8" t="n"/>
    </row>
    <row r="1170" ht="16" customHeight="1">
      <c r="A1170" s="8" t="n"/>
      <c r="B1170" s="8" t="n"/>
    </row>
    <row r="1171" ht="16" customHeight="1">
      <c r="A1171" s="8" t="n"/>
      <c r="B1171" s="8" t="n"/>
    </row>
    <row r="1172" ht="16" customHeight="1">
      <c r="A1172" s="8" t="n"/>
      <c r="B1172" s="8" t="n"/>
    </row>
    <row r="1173" ht="16" customHeight="1">
      <c r="A1173" s="8" t="n"/>
      <c r="B1173" s="8" t="n"/>
    </row>
    <row r="1174" ht="16" customHeight="1">
      <c r="A1174" s="8" t="n"/>
      <c r="B1174" s="8" t="n"/>
    </row>
    <row r="1175" ht="16" customHeight="1">
      <c r="A1175" s="8" t="n"/>
      <c r="B1175" s="8" t="n"/>
    </row>
    <row r="1176" ht="16" customHeight="1">
      <c r="A1176" s="8" t="n"/>
      <c r="B1176" s="8" t="n"/>
    </row>
    <row r="1177" ht="16" customHeight="1">
      <c r="A1177" s="8" t="n"/>
      <c r="B1177" s="8" t="n"/>
    </row>
    <row r="1178" ht="16" customHeight="1">
      <c r="A1178" s="8" t="n"/>
      <c r="B1178" s="8" t="n"/>
    </row>
    <row r="1179" ht="16" customHeight="1">
      <c r="A1179" s="8" t="n"/>
      <c r="B1179" s="8" t="n"/>
    </row>
    <row r="1180" ht="16" customHeight="1">
      <c r="A1180" s="8" t="n"/>
      <c r="B1180" s="8" t="n"/>
    </row>
    <row r="1181" ht="16" customHeight="1">
      <c r="A1181" s="8" t="n"/>
      <c r="B1181" s="8" t="n"/>
    </row>
    <row r="1182" ht="16" customHeight="1">
      <c r="A1182" s="8" t="n"/>
      <c r="B1182" s="8" t="n"/>
    </row>
    <row r="1183" ht="16" customHeight="1">
      <c r="A1183" s="8" t="n"/>
      <c r="B1183" s="8" t="n"/>
    </row>
    <row r="1184" ht="16" customHeight="1">
      <c r="A1184" s="8" t="n"/>
      <c r="B1184" s="8" t="n"/>
    </row>
    <row r="1185" ht="16" customHeight="1">
      <c r="A1185" s="8" t="n"/>
      <c r="B1185" s="8" t="n"/>
    </row>
    <row r="1186" ht="16" customHeight="1">
      <c r="A1186" s="8" t="n"/>
      <c r="B1186" s="8" t="n"/>
    </row>
    <row r="1187" ht="16" customHeight="1">
      <c r="A1187" s="8" t="n"/>
      <c r="B1187" s="8" t="n"/>
    </row>
    <row r="1188" ht="16" customHeight="1">
      <c r="A1188" s="8" t="n"/>
      <c r="B1188" s="8" t="n"/>
    </row>
    <row r="1189" ht="16" customHeight="1">
      <c r="A1189" s="8" t="n"/>
      <c r="B1189" s="8" t="n"/>
    </row>
    <row r="1190" ht="16" customHeight="1">
      <c r="A1190" s="8" t="n"/>
      <c r="B1190" s="8" t="n"/>
    </row>
    <row r="1191" ht="16" customHeight="1">
      <c r="A1191" s="8" t="n"/>
      <c r="B1191" s="8" t="n"/>
    </row>
    <row r="1192" ht="16" customHeight="1">
      <c r="A1192" s="8" t="n"/>
      <c r="B1192" s="8" t="n"/>
    </row>
    <row r="1193" ht="16" customHeight="1">
      <c r="A1193" s="8" t="n"/>
      <c r="B1193" s="8" t="n"/>
    </row>
    <row r="1194" ht="16" customHeight="1">
      <c r="A1194" s="8" t="n"/>
      <c r="B1194" s="8" t="n"/>
    </row>
    <row r="1195" ht="16" customHeight="1">
      <c r="A1195" s="8" t="n"/>
      <c r="B1195" s="8" t="n"/>
    </row>
    <row r="1196" ht="16" customHeight="1">
      <c r="A1196" s="8" t="n"/>
      <c r="B1196" s="8" t="n"/>
    </row>
    <row r="1197" ht="16" customHeight="1">
      <c r="A1197" s="8" t="n"/>
      <c r="B1197" s="8" t="n"/>
    </row>
    <row r="1198" ht="16" customHeight="1">
      <c r="A1198" s="8" t="n"/>
      <c r="B1198" s="8" t="n"/>
    </row>
    <row r="1199" ht="16" customHeight="1">
      <c r="A1199" s="8" t="n"/>
      <c r="B1199" s="8" t="n"/>
    </row>
    <row r="1200" ht="16" customHeight="1">
      <c r="A1200" s="8" t="n"/>
      <c r="B1200" s="8" t="n"/>
    </row>
    <row r="1201" ht="16" customHeight="1">
      <c r="A1201" s="8" t="n"/>
      <c r="B1201" s="8" t="n"/>
    </row>
    <row r="1202" ht="16" customHeight="1">
      <c r="A1202" s="8" t="n"/>
      <c r="B1202" s="8" t="n"/>
    </row>
    <row r="1203" ht="16" customHeight="1">
      <c r="A1203" s="8" t="n"/>
      <c r="B1203" s="8" t="n"/>
    </row>
    <row r="1204" ht="16" customHeight="1">
      <c r="A1204" s="8" t="n"/>
      <c r="B1204" s="8" t="n"/>
    </row>
    <row r="1205" ht="16" customHeight="1">
      <c r="A1205" s="8" t="n"/>
      <c r="B1205" s="8" t="n"/>
    </row>
    <row r="1206" ht="16" customHeight="1">
      <c r="A1206" s="8" t="n"/>
      <c r="B1206" s="8" t="n"/>
    </row>
    <row r="1207" ht="16" customHeight="1">
      <c r="A1207" s="8" t="n"/>
      <c r="B1207" s="8" t="n"/>
    </row>
    <row r="1208" ht="16" customHeight="1">
      <c r="A1208" s="8" t="n"/>
      <c r="B1208" s="8" t="n"/>
    </row>
    <row r="1209" ht="16" customHeight="1">
      <c r="A1209" s="8" t="n"/>
      <c r="B1209" s="8" t="n"/>
    </row>
    <row r="1210" ht="16" customHeight="1">
      <c r="A1210" s="8" t="n"/>
      <c r="B1210" s="8" t="n"/>
    </row>
    <row r="1211" ht="16" customHeight="1">
      <c r="A1211" s="8" t="n"/>
      <c r="B1211" s="8" t="n"/>
    </row>
    <row r="1212" ht="16" customHeight="1">
      <c r="A1212" s="8" t="n"/>
      <c r="B1212" s="8" t="n"/>
    </row>
    <row r="1213" ht="16" customHeight="1">
      <c r="A1213" s="8" t="n"/>
      <c r="B1213" s="8" t="n"/>
    </row>
  </sheetData>
  <mergeCells count="7">
    <mergeCell ref="A5:D5"/>
    <mergeCell ref="A9:D9"/>
    <mergeCell ref="A8:D8"/>
    <mergeCell ref="A6:D6"/>
    <mergeCell ref="A10:E10"/>
    <mergeCell ref="A7:D7"/>
    <mergeCell ref="A12:B12"/>
  </mergeCells>
  <conditionalFormatting sqref="A10:E10">
    <cfRule type="expression" priority="1" dxfId="0">
      <formula>LEN($A$10)&gt;0</formula>
    </cfRule>
  </conditionalFormatting>
  <conditionalFormatting sqref="A14:B1213">
    <cfRule type="expression" priority="2" dxfId="1">
      <formula>AND($A14&lt;&gt;"",$A14&lt;&gt;$A13)</formula>
    </cfRule>
  </conditionalFormatting>
  <pageMargins left="0.7" right="0.7" top="0.75" bottom="0.75" header="0.3" footer="0.3"/>
  <pageSetup orientation="landscape" fitToHeight="0"/>
</worksheet>
</file>

<file path=xl/worksheets/sheet2.xml><?xml version="1.0" encoding="utf-8"?>
<worksheet xmlns="http://schemas.openxmlformats.org/spreadsheetml/2006/main">
  <sheetPr>
    <outlinePr summaryBelow="1" summaryRight="1"/>
    <pageSetUpPr fitToPage="1"/>
  </sheetPr>
  <dimension ref="A1:AO1213"/>
  <sheetViews>
    <sheetView showGridLines="0" workbookViewId="0">
      <selection activeCell="A1" sqref="A1"/>
    </sheetView>
  </sheetViews>
  <sheetFormatPr baseColWidth="8" defaultRowHeight="15"/>
  <cols>
    <col width="20.7109375" customWidth="1" min="1" max="1"/>
    <col width="44.7109375" customWidth="1" min="2" max="2"/>
    <col width="11.7109375" customWidth="1" min="3" max="4"/>
    <col width="13.7109375" customWidth="1" min="5" max="5"/>
    <col width="11.7109375" customWidth="1" min="6" max="6"/>
    <col width="2.7109375" customWidth="1" min="7" max="7"/>
    <col width="20.7109375" customWidth="1" min="8" max="8"/>
    <col width="30.7109375" customWidth="1" min="9" max="9"/>
    <col width="10.7109375" customWidth="1" min="10" max="10"/>
    <col width="30.7109375" customWidth="1" min="11" max="11"/>
    <col width="10.7109375" customWidth="1" min="12" max="12"/>
    <col width="11.7109375" customWidth="1" min="13" max="14"/>
    <col width="2.7109375" customWidth="1" min="15" max="15"/>
    <col width="9.7109375" customWidth="1" min="16" max="20"/>
    <col width="2.7109375" customWidth="1" min="21" max="21"/>
    <col hidden="1" width="12.7109375" customWidth="1" min="22" max="41"/>
  </cols>
  <sheetData>
    <row r="1" ht="20" customHeight="1">
      <c r="A1" s="1" t="inlineStr">
        <is>
          <t>Account</t>
        </is>
      </c>
      <c r="B1" s="9">
        <f>'Enter messages'!B1</f>
        <v/>
      </c>
      <c r="H1" s="10" t="inlineStr">
        <is>
          <t>How to use this sheet</t>
        </is>
      </c>
    </row>
    <row r="2" ht="20" customHeight="1">
      <c r="A2" s="1" t="inlineStr">
        <is>
          <t>Channel</t>
        </is>
      </c>
      <c r="B2" s="9">
        <f>'Enter messages'!B2</f>
        <v/>
      </c>
      <c r="H2" s="11" t="inlineStr">
        <is>
          <t>Columns A and B come from the “Enter messages” sheet. Edit them there, not here.</t>
        </is>
      </c>
    </row>
    <row r="3" ht="30" customHeight="1">
      <c r="A3" s="1" t="inlineStr">
        <is>
          <t>Industry</t>
        </is>
      </c>
      <c r="B3" s="9">
        <f>'Enter messages'!B3</f>
        <v/>
      </c>
      <c r="H3" s="11" t="inlineStr">
        <is>
          <t>Column C is not typed in: it is the mean of that message's five runs in Table 4. The scorer is deterministic, so the five agree and the mean equals any one of them.</t>
        </is>
      </c>
    </row>
    <row r="4" ht="42" customHeight="1">
      <c r="H4" s="11" t="inlineStr">
        <is>
          <t>Table 2, columns D and E (yellow) are the only columns you fill in here — unique clicks and messages delivered (or impressions) per message. Column F divides one by the other, so the Click-Through Rate (CTR) is computed the same way for everyone. Use the same basis for every variant of a campaign and avoid open rates, which are unreliable due to auto-tracking.</t>
        </is>
      </c>
    </row>
    <row r="5" ht="42" customHeight="1">
      <c r="A5" s="6" t="inlineStr">
        <is>
          <t>Calls the winner</t>
        </is>
      </c>
      <c r="C5" s="12">
        <f>IFERROR(COUNTIFS($J$14:$J$313,"Hit",$M$14:$M$313,"Yes")/(COUNTIFS($J$14:$J$313,"Hit",$M$14:$M$313,"Yes")+COUNTIFS($J$14:$J$313,"Miss",$M$14:$M$313,"Yes")),"Fill clicks + impressions")</f>
        <v/>
      </c>
      <c r="D5" s="28" t="n"/>
      <c r="E5" s="13">
        <f>IF(COUNT($F$14:$F$1213)=0,"",COUNTIFS($J$14:$J$313,"Hit",$M$14:$M$313,"Yes")+COUNTIFS($J$14:$J$313,"Miss",$M$14:$M$313,"Yes")&amp;" of "&amp;COUNTIF($J$14:$J$313,"?*")&amp;" campaigns judged · "&amp;COUNTIF($J$14:$J$313,"Tie")&amp;" tied · "&amp;COUNTIFS($M$14:$M$313,"No",$J$14:$J$313,"&lt;&gt;Tie")&amp;" too close to call"&amp;IF(COUNTIFS($M$14:$M$313,"—",$J$14:$J$313,"&lt;&gt;Tie")&gt;0," · "&amp;COUNTIFS($M$14:$M$313,"—",$J$14:$J$313,"&lt;&gt;Tie")&amp;" without two results",""))</f>
        <v/>
      </c>
      <c r="H5" s="11" t="inlineStr">
        <is>
          <t>Campaigns are defined by the text in column A, not by fixed blocks — add as many as you like. Every rank and every per-campaign figure is bounded to the rows sharing one campaign name, so no message is ever compared with one from another campaign. Spell the name identically on every row of a campaign.</t>
        </is>
      </c>
    </row>
    <row r="6" ht="30" customHeight="1">
      <c r="A6" s="14">
        <f>"Persado performance scores for "&amp;$B$1&amp;" · "&amp;$B$2&amp;" · "&amp;$B$3</f>
        <v/>
      </c>
      <c r="H6" s="11" t="inlineStr">
        <is>
          <t>Blank rows are ignored, so nothing needs configuring for a smaller or larger set. A red warning appears above Table 2 if anything is pasted below the prepared range.</t>
        </is>
      </c>
    </row>
    <row r="7" ht="44" customHeight="1">
      <c r="A7" s="15" t="inlineStr">
        <is>
          <t>Spearman rank correlation
Ranking of messages compared pair-wise within each campaign and rank correlation computed across all campaigns (i.e. pooled)</t>
        </is>
      </c>
      <c r="C7" s="16">
        <f>IFERROR(CORREL($X$14:$X$1213,$Y$14:$Y$1213),"Fill clicks + impressions")</f>
        <v/>
      </c>
      <c r="D7" s="28" t="n"/>
      <c r="E7" s="13">
        <f>IF(NOT(ISNUMBER($C$7)),"strong ≥0.7 · moderate ≥0.4 · weak ≥0 · inverted &lt;0",IF($C$7&gt;=0.7,"strong",IF($C$7&gt;=0.4,"moderate",IF($C$7&gt;=0,"weak","inverted")))&amp;CHAR(10)&amp;"strong ≥0.7 · moderate ≥0.4 · weak ≥0 · inverted &lt;0")</f>
        <v/>
      </c>
      <c r="H7" s="11" t="inlineStr">
        <is>
          <t>Table 3 decides which campaigns carry a winner at all. It runs a two-proportion test between the campaign's two best-performing messages and reports the p-value; “No” means the top two are statistically indistinguishable, so that campaign is set aside, exactly as a tie is.</t>
        </is>
      </c>
    </row>
    <row r="8" ht="54" customHeight="1">
      <c r="A8" s="6" t="inlineStr">
        <is>
          <t>Ranking stability</t>
        </is>
      </c>
      <c r="C8" s="12">
        <f>IFERROR(COUNTIF($L$14:$L$313,"Yes")/(COUNTIF($L$14:$L$313,"Yes")+COUNTIF($L$14:$L$313,"No")),"Score 2+ runs")</f>
        <v/>
      </c>
      <c r="D8" s="28" t="n"/>
      <c r="E8" s="13">
        <f>IF(COUNT($P$14:$P$1213)=0,"",COUNTIF($L$14:$L$313,"No")&amp;" of "&amp;COUNTIF($L$14:$L$313,"?*")&amp;" campaigns unstable")</f>
        <v/>
      </c>
      <c r="H8" s="11" t="inlineStr">
        <is>
          <t>Ranking stability needs no results — it asks only whether the order within a campaign is identical in every run, so it is available immediately after scoring, and it is strict: one swapped pair anywhere fails that campaign. Neither it nor the rank correlation is filtered by the top-two test in Table 3: a campaign whose top two are close can still have a meaningful overall ordering (provided that it includes more than two messages).</t>
        </is>
      </c>
    </row>
    <row r="9" ht="30" customHeight="1">
      <c r="H9" s="11" t="inlineStr">
        <is>
          <t>Calls the winner counts a campaign as a hit when the top-scored message also has the highest CTR. A campaign is left out of both numerator and denominator when its top score or top CTR is tied, or when its two best messages are too close to separate.</t>
        </is>
      </c>
    </row>
    <row r="10" ht="18" customHeight="1">
      <c r="A10" s="5">
        <f>IF(COUNTA('Enter messages'!$B$1214:'Enter messages'!$B$4213)&gt;0,"⚠  DATA BELOW ROW 1213 IS NOT INCLUDED IN ANY RESULT — trim to 1200 messages","")</f>
        <v/>
      </c>
      <c r="H10" s="11" t="inlineStr">
        <is>
          <t>Columns V–AO are working columns, hidden by default. Unhide them to audit the maths; do not delete them.</t>
        </is>
      </c>
    </row>
    <row r="12" ht="18" customHeight="1">
      <c r="A12" s="6" t="inlineStr">
        <is>
          <t>Table 2 · Messages, scores and results</t>
        </is>
      </c>
      <c r="H12" s="6" t="inlineStr">
        <is>
          <t>Table 3 · Per-campaign results</t>
        </is>
      </c>
      <c r="P12" s="6" t="inlineStr">
        <is>
          <t>Table 4 · Consistency — 5 scoring runs per message</t>
        </is>
      </c>
    </row>
    <row r="13" ht="28" customHeight="1">
      <c r="A13" s="7" t="inlineStr">
        <is>
          <t>Campaign</t>
        </is>
      </c>
      <c r="B13" s="7" t="inlineStr">
        <is>
          <t>Marketing message</t>
        </is>
      </c>
      <c r="C13" s="7" t="inlineStr">
        <is>
          <t>Persado score</t>
        </is>
      </c>
      <c r="D13" s="7" t="inlineStr">
        <is>
          <t>Unique clicks</t>
        </is>
      </c>
      <c r="E13" s="7" t="inlineStr">
        <is>
          <t>Delivered / impressions</t>
        </is>
      </c>
      <c r="F13" s="7" t="inlineStr">
        <is>
          <t>CTR</t>
        </is>
      </c>
      <c r="H13" s="17" t="inlineStr">
        <is>
          <t>Campaign</t>
        </is>
      </c>
      <c r="I13" s="17" t="inlineStr">
        <is>
          <t>Persado's top message</t>
        </is>
      </c>
      <c r="J13" s="18" t="inlineStr">
        <is>
          <t>Winner called?</t>
        </is>
      </c>
      <c r="K13" s="17" t="inlineStr">
        <is>
          <t>Highest CTR</t>
        </is>
      </c>
      <c r="L13" s="18" t="inlineStr">
        <is>
          <t>Ranking stable?</t>
        </is>
      </c>
      <c r="M13" s="18" t="inlineStr">
        <is>
          <t>Winner clear?</t>
        </is>
      </c>
      <c r="N13" s="18" t="inlineStr">
        <is>
          <t>p (top two)</t>
        </is>
      </c>
      <c r="P13" s="18" t="inlineStr">
        <is>
          <t>Run 1</t>
        </is>
      </c>
      <c r="Q13" s="18" t="inlineStr">
        <is>
          <t>Run 2</t>
        </is>
      </c>
      <c r="R13" s="18" t="inlineStr">
        <is>
          <t>Run 3</t>
        </is>
      </c>
      <c r="S13" s="18" t="inlineStr">
        <is>
          <t>Run 4</t>
        </is>
      </c>
      <c r="T13" s="18" t="inlineStr">
        <is>
          <t>Run 5</t>
        </is>
      </c>
    </row>
    <row r="14" ht="24" customHeight="1">
      <c r="A14" s="19">
        <f>IF('Enter messages'!A14="","",'Enter messages'!A14)</f>
        <v/>
      </c>
      <c r="B14" s="20">
        <f>IF('Enter messages'!B14="","",'Enter messages'!B14)</f>
        <v/>
      </c>
      <c r="C14" s="21">
        <f>IFERROR(AVERAGE(P14:T14),"")</f>
        <v/>
      </c>
      <c r="D14" s="29" t="n"/>
      <c r="E14" s="29" t="n"/>
      <c r="F14" s="30">
        <f>IF(AND(ISNUMBER($D14),ISNUMBER($E14),$E14&gt;0,$D14&lt;=$E14),$D14/$E14,"")</f>
        <v/>
      </c>
      <c r="H14" s="19">
        <f>IFERROR(INDEX($A$14:$A$1213,MATCH(1,$AI$14:$AI$1213,0)),"")</f>
        <v/>
      </c>
      <c r="I14" s="24">
        <f>IF($H14="","",IF(COUNTIFS($A$14:$A$1213,$H14,$C$14:$C$1213,"&gt;=0")=0,"—",IFERROR(INDEX($B$14:$B$1213,MATCH($H14&amp;"|1",$Z$14:$Z$1213,0)),"(tied)")))</f>
        <v/>
      </c>
      <c r="J14" s="25">
        <f>IF($H14="","",IF(OR(COUNTIFS($A$14:$A$1213,$H14,$C$14:$C$1213,"&gt;=0")=0,COUNTIFS($A$14:$A$1213,$H14,$F$14:$F$1213,"&gt;=0")=0),"—",IF(OR(ISERROR(MATCH($H14&amp;"|1",$Z$14:$Z$1213,0)),ISERROR(MATCH($H14&amp;"|1",$AA$14:$AA$1213,0))),"Tie",IF(MATCH($H14&amp;"|1",$Z$14:$Z$1213,0)=MATCH($H14&amp;"|1",$AA$14:$AA$1213,0),"Hit","Miss"))))</f>
        <v/>
      </c>
      <c r="K14" s="24">
        <f>IF($H14="","",IF(COUNTIFS($A$14:$A$1213,$H14,$F$14:$F$1213,"&gt;=0")=0,"—",IFERROR(INDEX($B$14:$B$1213,MATCH($H14&amp;"|1",$AA$14:$AA$1213,0)),"(tied)")))</f>
        <v/>
      </c>
      <c r="L14" s="25">
        <f>IF($H14="","",IF((--(COUNTIFS($A$14:$A$1213,$H14,$P$14:$P$1213,"&gt;=0")&gt;0)+--(COUNTIFS($A$14:$A$1213,$H14,$Q$14:$Q$1213,"&gt;=0")&gt;0)+--(COUNTIFS($A$14:$A$1213,$H14,$R$14:$R$1213,"&gt;=0")&gt;0)+--(COUNTIFS($A$14:$A$1213,$H14,$S$14:$S$1213,"&gt;=0")&gt;0)+--(COUNTIFS($A$14:$A$1213,$H14,$T$14:$T$1213,"&gt;=0")&gt;0))&lt;2,"—",IF(SUMIFS($AH$14:$AH$1213,$A$14:$A$1213,$H14)=0,"Yes","No")))</f>
        <v/>
      </c>
      <c r="M14" s="25">
        <f>IF($H14="","",IF(COUNTIFS($A$14:$A$1213,$H14,$F$14:$F$1213,"&gt;=0")&lt;2,"—",IF(COUNTIFS($A$14:$A$1213,$H14,$F$14:$F$1213,_xlfn.MAXIFS($F$14:$F$1213,$A$14:$A$1213,$H14))&gt;1,"No",IF(NOT(ISNUMBER($AN14)),"—",IF((2*(1-NORMSDIST(ABS($AN14))))&lt;0.05,"Yes","No")))))</f>
        <v/>
      </c>
      <c r="N14" s="21">
        <f>IF($H14="","",IF(NOT(ISNUMBER($AN14)),"—",IF((2*(1-NORMSDIST(ABS($AN14))))&lt;0.001,"&lt;0.001",TEXT((2*(1-NORMSDIST(ABS($AN14)))),"0.000"))))</f>
        <v/>
      </c>
      <c r="P14" s="26" t="n"/>
      <c r="Q14" s="26" t="n"/>
      <c r="R14" s="26" t="n"/>
      <c r="S14" s="26" t="n"/>
      <c r="T14" s="26" t="n"/>
      <c r="V14" s="27">
        <f>IF(ISNUMBER($C14),COUNTIFS($A$14:$A$1213,$A14,$C$14:$C$1213,"&gt;"&amp;$C14)+(COUNTIFS($A$14:$A$1213,$A14,$C$14:$C$1213,"="&amp;$C14)+1)/2,"")</f>
        <v/>
      </c>
      <c r="W14" s="27">
        <f>IF(ISNUMBER($F14),COUNTIFS($A$14:$A$1213,$A14,$F$14:$F$1213,"&gt;"&amp;$F14)+(COUNTIFS($A$14:$A$1213,$A14,$F$14:$F$1213,"="&amp;$F14)+1)/2,"")</f>
        <v/>
      </c>
      <c r="X14" s="27">
        <f>IF(OR(NOT(ISNUMBER($V14)),$AO14=1),"",$V14-(COUNTIFS($A$14:$A$1213,$A14,$C$14:$C$1213,"&gt;=0")+1)/2)</f>
        <v/>
      </c>
      <c r="Y14" s="27">
        <f>IF(OR(NOT(ISNUMBER($W14)),$AO14=1),"",$W14-(COUNTIFS($A$14:$A$1213,$A14,$F$14:$F$1213,"&gt;=0")+1)/2)</f>
        <v/>
      </c>
      <c r="Z14" s="27">
        <f>IF(ISNUMBER($V14),$A14&amp;"|"&amp;$V14,"")</f>
        <v/>
      </c>
      <c r="AA14" s="27">
        <f>IF(ISNUMBER($W14),$A14&amp;"|"&amp;$W14,"")</f>
        <v/>
      </c>
      <c r="AB14" s="27">
        <f>IF(ISNUMBER($F14),$A14&amp;"|"&amp;$F14,"")</f>
        <v/>
      </c>
      <c r="AC14" s="27">
        <f>IF(ISNUMBER($P14),COUNTIFS($A$14:$A$1213,$A14,$P$14:$P$1213,"&gt;"&amp;$P14)+(COUNTIFS($A$14:$A$1213,$A14,$P$14:$P$1213,"="&amp;$P14)+1)/2,"")</f>
        <v/>
      </c>
      <c r="AD14" s="27">
        <f>IF(ISNUMBER($Q14),COUNTIFS($A$14:$A$1213,$A14,$Q$14:$Q$1213,"&gt;"&amp;$Q14)+(COUNTIFS($A$14:$A$1213,$A14,$Q$14:$Q$1213,"="&amp;$Q14)+1)/2,"")</f>
        <v/>
      </c>
      <c r="AE14" s="27">
        <f>IF(ISNUMBER($R14),COUNTIFS($A$14:$A$1213,$A14,$R$14:$R$1213,"&gt;"&amp;$R14)+(COUNTIFS($A$14:$A$1213,$A14,$R$14:$R$1213,"="&amp;$R14)+1)/2,"")</f>
        <v/>
      </c>
      <c r="AF14" s="27">
        <f>IF(ISNUMBER($S14),COUNTIFS($A$14:$A$1213,$A14,$S$14:$S$1213,"&gt;"&amp;$S14)+(COUNTIFS($A$14:$A$1213,$A14,$S$14:$S$1213,"="&amp;$S14)+1)/2,"")</f>
        <v/>
      </c>
      <c r="AG14" s="27">
        <f>IF(ISNUMBER($T14),COUNTIFS($A$14:$A$1213,$A14,$T$14:$T$1213,"&gt;"&amp;$T14)+(COUNTIFS($A$14:$A$1213,$A14,$T$14:$T$1213,"="&amp;$T14)+1)/2,"")</f>
        <v/>
      </c>
      <c r="AH14" s="27">
        <f>IF(COUNT($AC14:$AG14)&lt;2,"",IF(MAX($AC14:$AG14)=MIN($AC14:$AG14),0,1))</f>
        <v/>
      </c>
      <c r="AI14" s="27">
        <f>IF($A14="","",IF(COUNTIF($A$14:$A14,$A14)=1,COUNTIF($AI$13:AI13,"&gt;0")+1,""))</f>
        <v/>
      </c>
      <c r="AJ14" s="27">
        <f>IF(OR($H14="",COUNTIFS($A$14:$A$1213,$H14,$F$14:$F$1213,"&gt;=0")&lt;2,COUNTIFS($A$14:$A$1213,$H14,$F$14:$F$1213,_xlfn.MAXIFS($F$14:$F$1213,$A$14:$A$1213,$H14))&gt;1),"",IFERROR(INDEX($D$14:$D$1213,MATCH($H14&amp;"|"&amp;_xlfn.MAXIFS($F$14:$F$1213,$A$14:$A$1213,$H14),$AB$14:$AB$1213,0)),""))</f>
        <v/>
      </c>
      <c r="AK14" s="27">
        <f>IF(OR($H14="",COUNTIFS($A$14:$A$1213,$H14,$F$14:$F$1213,"&gt;=0")&lt;2,COUNTIFS($A$14:$A$1213,$H14,$F$14:$F$1213,_xlfn.MAXIFS($F$14:$F$1213,$A$14:$A$1213,$H14))&gt;1),"",IFERROR(INDEX($E$14:$E$1213,MATCH($H14&amp;"|"&amp;_xlfn.MAXIFS($F$14:$F$1213,$A$14:$A$1213,$H14),$AB$14:$AB$1213,0)),""))</f>
        <v/>
      </c>
      <c r="AL14" s="27">
        <f>IF(OR($H14="",COUNTIFS($A$14:$A$1213,$H14,$F$14:$F$1213,"&gt;=0")&lt;2,COUNTIFS($A$14:$A$1213,$H14,$F$14:$F$1213,_xlfn.MAXIFS($F$14:$F$1213,$A$14:$A$1213,$H14))&gt;1),"",IFERROR(INDEX($D$14:$D$1213,MATCH($H14&amp;"|"&amp;_xlfn.MAXIFS($F$14:$F$1213,$A$14:$A$1213,$H14,$F$14:$F$1213,"&lt;"&amp;_xlfn.MAXIFS($F$14:$F$1213,$A$14:$A$1213,$H14)),$AB$14:$AB$1213,0)),""))</f>
        <v/>
      </c>
      <c r="AM14" s="27">
        <f>IF(OR($H14="",COUNTIFS($A$14:$A$1213,$H14,$F$14:$F$1213,"&gt;=0")&lt;2,COUNTIFS($A$14:$A$1213,$H14,$F$14:$F$1213,_xlfn.MAXIFS($F$14:$F$1213,$A$14:$A$1213,$H14))&gt;1),"",IFERROR(INDEX($E$14:$E$1213,MATCH($H14&amp;"|"&amp;_xlfn.MAXIFS($F$14:$F$1213,$A$14:$A$1213,$H14,$F$14:$F$1213,"&lt;"&amp;_xlfn.MAXIFS($F$14:$F$1213,$A$14:$A$1213,$H14)),$AB$14:$AB$1213,0)),""))</f>
        <v/>
      </c>
      <c r="AN14" s="27">
        <f>IF(OR(NOT(ISNUMBER($AJ14)),NOT(ISNUMBER($AL14)),$AK14=0,$AM14=0),"",IF(OR((($AJ14+$AL14)/($AK14+$AM14))&lt;=0,(($AJ14+$AL14)/($AK14+$AM14))&gt;=1),"",($AJ14/$AK14-$AL14/$AM14)/SQRT((($AJ14+$AL14)/($AK14+$AM14))*(1-(($AJ14+$AL14)/($AK14+$AM14)))*(1/$AK14+1/$AM14))))</f>
        <v/>
      </c>
      <c r="AO14" s="27">
        <f>IF($A14="","",IF(AND(COUNTIFS($A$14:$A$1213,$A14,$F$14:$F$1213,"&gt;=0")=2,IFERROR(INDEX($M$14:$M$313,MATCH($A14,$H$14:$H$313,0)),"Yes")&lt;&gt;"Yes"),1,0))</f>
        <v/>
      </c>
    </row>
    <row r="15" ht="24" customHeight="1">
      <c r="A15" s="19">
        <f>IF('Enter messages'!A15="","",'Enter messages'!A15)</f>
        <v/>
      </c>
      <c r="B15" s="20">
        <f>IF('Enter messages'!B15="","",'Enter messages'!B15)</f>
        <v/>
      </c>
      <c r="C15" s="21">
        <f>IFERROR(AVERAGE(P15:T15),"")</f>
        <v/>
      </c>
      <c r="D15" s="29" t="n"/>
      <c r="E15" s="29" t="n"/>
      <c r="F15" s="30">
        <f>IF(AND(ISNUMBER($D15),ISNUMBER($E15),$E15&gt;0,$D15&lt;=$E15),$D15/$E15,"")</f>
        <v/>
      </c>
      <c r="H15" s="19">
        <f>IFERROR(INDEX($A$14:$A$1213,MATCH(2,$AI$14:$AI$1213,0)),"")</f>
        <v/>
      </c>
      <c r="I15" s="24">
        <f>IF($H15="","",IF(COUNTIFS($A$14:$A$1213,$H15,$C$14:$C$1213,"&gt;=0")=0,"—",IFERROR(INDEX($B$14:$B$1213,MATCH($H15&amp;"|1",$Z$14:$Z$1213,0)),"(tied)")))</f>
        <v/>
      </c>
      <c r="J15" s="25">
        <f>IF($H15="","",IF(OR(COUNTIFS($A$14:$A$1213,$H15,$C$14:$C$1213,"&gt;=0")=0,COUNTIFS($A$14:$A$1213,$H15,$F$14:$F$1213,"&gt;=0")=0),"—",IF(OR(ISERROR(MATCH($H15&amp;"|1",$Z$14:$Z$1213,0)),ISERROR(MATCH($H15&amp;"|1",$AA$14:$AA$1213,0))),"Tie",IF(MATCH($H15&amp;"|1",$Z$14:$Z$1213,0)=MATCH($H15&amp;"|1",$AA$14:$AA$1213,0),"Hit","Miss"))))</f>
        <v/>
      </c>
      <c r="K15" s="24">
        <f>IF($H15="","",IF(COUNTIFS($A$14:$A$1213,$H15,$F$14:$F$1213,"&gt;=0")=0,"—",IFERROR(INDEX($B$14:$B$1213,MATCH($H15&amp;"|1",$AA$14:$AA$1213,0)),"(tied)")))</f>
        <v/>
      </c>
      <c r="L15" s="25">
        <f>IF($H15="","",IF((--(COUNTIFS($A$14:$A$1213,$H15,$P$14:$P$1213,"&gt;=0")&gt;0)+--(COUNTIFS($A$14:$A$1213,$H15,$Q$14:$Q$1213,"&gt;=0")&gt;0)+--(COUNTIFS($A$14:$A$1213,$H15,$R$14:$R$1213,"&gt;=0")&gt;0)+--(COUNTIFS($A$14:$A$1213,$H15,$S$14:$S$1213,"&gt;=0")&gt;0)+--(COUNTIFS($A$14:$A$1213,$H15,$T$14:$T$1213,"&gt;=0")&gt;0))&lt;2,"—",IF(SUMIFS($AH$14:$AH$1213,$A$14:$A$1213,$H15)=0,"Yes","No")))</f>
        <v/>
      </c>
      <c r="M15" s="25">
        <f>IF($H15="","",IF(COUNTIFS($A$14:$A$1213,$H15,$F$14:$F$1213,"&gt;=0")&lt;2,"—",IF(COUNTIFS($A$14:$A$1213,$H15,$F$14:$F$1213,_xlfn.MAXIFS($F$14:$F$1213,$A$14:$A$1213,$H15))&gt;1,"No",IF(NOT(ISNUMBER($AN15)),"—",IF((2*(1-NORMSDIST(ABS($AN15))))&lt;0.05,"Yes","No")))))</f>
        <v/>
      </c>
      <c r="N15" s="21">
        <f>IF($H15="","",IF(NOT(ISNUMBER($AN15)),"—",IF((2*(1-NORMSDIST(ABS($AN15))))&lt;0.001,"&lt;0.001",TEXT((2*(1-NORMSDIST(ABS($AN15)))),"0.000"))))</f>
        <v/>
      </c>
      <c r="P15" s="26" t="n"/>
      <c r="Q15" s="26" t="n"/>
      <c r="R15" s="26" t="n"/>
      <c r="S15" s="26" t="n"/>
      <c r="T15" s="26" t="n"/>
      <c r="V15" s="27">
        <f>IF(ISNUMBER($C15),COUNTIFS($A$14:$A$1213,$A15,$C$14:$C$1213,"&gt;"&amp;$C15)+(COUNTIFS($A$14:$A$1213,$A15,$C$14:$C$1213,"="&amp;$C15)+1)/2,"")</f>
        <v/>
      </c>
      <c r="W15" s="27">
        <f>IF(ISNUMBER($F15),COUNTIFS($A$14:$A$1213,$A15,$F$14:$F$1213,"&gt;"&amp;$F15)+(COUNTIFS($A$14:$A$1213,$A15,$F$14:$F$1213,"="&amp;$F15)+1)/2,"")</f>
        <v/>
      </c>
      <c r="X15" s="27">
        <f>IF(OR(NOT(ISNUMBER($V15)),$AO15=1),"",$V15-(COUNTIFS($A$14:$A$1213,$A15,$C$14:$C$1213,"&gt;=0")+1)/2)</f>
        <v/>
      </c>
      <c r="Y15" s="27">
        <f>IF(OR(NOT(ISNUMBER($W15)),$AO15=1),"",$W15-(COUNTIFS($A$14:$A$1213,$A15,$F$14:$F$1213,"&gt;=0")+1)/2)</f>
        <v/>
      </c>
      <c r="Z15" s="27">
        <f>IF(ISNUMBER($V15),$A15&amp;"|"&amp;$V15,"")</f>
        <v/>
      </c>
      <c r="AA15" s="27">
        <f>IF(ISNUMBER($W15),$A15&amp;"|"&amp;$W15,"")</f>
        <v/>
      </c>
      <c r="AB15" s="27">
        <f>IF(ISNUMBER($F15),$A15&amp;"|"&amp;$F15,"")</f>
        <v/>
      </c>
      <c r="AC15" s="27">
        <f>IF(ISNUMBER($P15),COUNTIFS($A$14:$A$1213,$A15,$P$14:$P$1213,"&gt;"&amp;$P15)+(COUNTIFS($A$14:$A$1213,$A15,$P$14:$P$1213,"="&amp;$P15)+1)/2,"")</f>
        <v/>
      </c>
      <c r="AD15" s="27">
        <f>IF(ISNUMBER($Q15),COUNTIFS($A$14:$A$1213,$A15,$Q$14:$Q$1213,"&gt;"&amp;$Q15)+(COUNTIFS($A$14:$A$1213,$A15,$Q$14:$Q$1213,"="&amp;$Q15)+1)/2,"")</f>
        <v/>
      </c>
      <c r="AE15" s="27">
        <f>IF(ISNUMBER($R15),COUNTIFS($A$14:$A$1213,$A15,$R$14:$R$1213,"&gt;"&amp;$R15)+(COUNTIFS($A$14:$A$1213,$A15,$R$14:$R$1213,"="&amp;$R15)+1)/2,"")</f>
        <v/>
      </c>
      <c r="AF15" s="27">
        <f>IF(ISNUMBER($S15),COUNTIFS($A$14:$A$1213,$A15,$S$14:$S$1213,"&gt;"&amp;$S15)+(COUNTIFS($A$14:$A$1213,$A15,$S$14:$S$1213,"="&amp;$S15)+1)/2,"")</f>
        <v/>
      </c>
      <c r="AG15" s="27">
        <f>IF(ISNUMBER($T15),COUNTIFS($A$14:$A$1213,$A15,$T$14:$T$1213,"&gt;"&amp;$T15)+(COUNTIFS($A$14:$A$1213,$A15,$T$14:$T$1213,"="&amp;$T15)+1)/2,"")</f>
        <v/>
      </c>
      <c r="AH15" s="27">
        <f>IF(COUNT($AC15:$AG15)&lt;2,"",IF(MAX($AC15:$AG15)=MIN($AC15:$AG15),0,1))</f>
        <v/>
      </c>
      <c r="AI15" s="27">
        <f>IF($A15="","",IF(COUNTIF($A$14:$A15,$A15)=1,COUNTIF($AI$13:AI14,"&gt;0")+1,""))</f>
        <v/>
      </c>
      <c r="AJ15" s="27">
        <f>IF(OR($H15="",COUNTIFS($A$14:$A$1213,$H15,$F$14:$F$1213,"&gt;=0")&lt;2,COUNTIFS($A$14:$A$1213,$H15,$F$14:$F$1213,_xlfn.MAXIFS($F$14:$F$1213,$A$14:$A$1213,$H15))&gt;1),"",IFERROR(INDEX($D$14:$D$1213,MATCH($H15&amp;"|"&amp;_xlfn.MAXIFS($F$14:$F$1213,$A$14:$A$1213,$H15),$AB$14:$AB$1213,0)),""))</f>
        <v/>
      </c>
      <c r="AK15" s="27">
        <f>IF(OR($H15="",COUNTIFS($A$14:$A$1213,$H15,$F$14:$F$1213,"&gt;=0")&lt;2,COUNTIFS($A$14:$A$1213,$H15,$F$14:$F$1213,_xlfn.MAXIFS($F$14:$F$1213,$A$14:$A$1213,$H15))&gt;1),"",IFERROR(INDEX($E$14:$E$1213,MATCH($H15&amp;"|"&amp;_xlfn.MAXIFS($F$14:$F$1213,$A$14:$A$1213,$H15),$AB$14:$AB$1213,0)),""))</f>
        <v/>
      </c>
      <c r="AL15" s="27">
        <f>IF(OR($H15="",COUNTIFS($A$14:$A$1213,$H15,$F$14:$F$1213,"&gt;=0")&lt;2,COUNTIFS($A$14:$A$1213,$H15,$F$14:$F$1213,_xlfn.MAXIFS($F$14:$F$1213,$A$14:$A$1213,$H15))&gt;1),"",IFERROR(INDEX($D$14:$D$1213,MATCH($H15&amp;"|"&amp;_xlfn.MAXIFS($F$14:$F$1213,$A$14:$A$1213,$H15,$F$14:$F$1213,"&lt;"&amp;_xlfn.MAXIFS($F$14:$F$1213,$A$14:$A$1213,$H15)),$AB$14:$AB$1213,0)),""))</f>
        <v/>
      </c>
      <c r="AM15" s="27">
        <f>IF(OR($H15="",COUNTIFS($A$14:$A$1213,$H15,$F$14:$F$1213,"&gt;=0")&lt;2,COUNTIFS($A$14:$A$1213,$H15,$F$14:$F$1213,_xlfn.MAXIFS($F$14:$F$1213,$A$14:$A$1213,$H15))&gt;1),"",IFERROR(INDEX($E$14:$E$1213,MATCH($H15&amp;"|"&amp;_xlfn.MAXIFS($F$14:$F$1213,$A$14:$A$1213,$H15,$F$14:$F$1213,"&lt;"&amp;_xlfn.MAXIFS($F$14:$F$1213,$A$14:$A$1213,$H15)),$AB$14:$AB$1213,0)),""))</f>
        <v/>
      </c>
      <c r="AN15" s="27">
        <f>IF(OR(NOT(ISNUMBER($AJ15)),NOT(ISNUMBER($AL15)),$AK15=0,$AM15=0),"",IF(OR((($AJ15+$AL15)/($AK15+$AM15))&lt;=0,(($AJ15+$AL15)/($AK15+$AM15))&gt;=1),"",($AJ15/$AK15-$AL15/$AM15)/SQRT((($AJ15+$AL15)/($AK15+$AM15))*(1-(($AJ15+$AL15)/($AK15+$AM15)))*(1/$AK15+1/$AM15))))</f>
        <v/>
      </c>
      <c r="AO15" s="27">
        <f>IF($A15="","",IF(AND(COUNTIFS($A$14:$A$1213,$A15,$F$14:$F$1213,"&gt;=0")=2,IFERROR(INDEX($M$14:$M$313,MATCH($A15,$H$14:$H$313,0)),"Yes")&lt;&gt;"Yes"),1,0))</f>
        <v/>
      </c>
    </row>
    <row r="16" ht="24" customHeight="1">
      <c r="A16" s="19">
        <f>IF('Enter messages'!A16="","",'Enter messages'!A16)</f>
        <v/>
      </c>
      <c r="B16" s="20">
        <f>IF('Enter messages'!B16="","",'Enter messages'!B16)</f>
        <v/>
      </c>
      <c r="C16" s="21">
        <f>IFERROR(AVERAGE(P16:T16),"")</f>
        <v/>
      </c>
      <c r="D16" s="29" t="n"/>
      <c r="E16" s="29" t="n"/>
      <c r="F16" s="30">
        <f>IF(AND(ISNUMBER($D16),ISNUMBER($E16),$E16&gt;0,$D16&lt;=$E16),$D16/$E16,"")</f>
        <v/>
      </c>
      <c r="H16" s="19">
        <f>IFERROR(INDEX($A$14:$A$1213,MATCH(3,$AI$14:$AI$1213,0)),"")</f>
        <v/>
      </c>
      <c r="I16" s="24">
        <f>IF($H16="","",IF(COUNTIFS($A$14:$A$1213,$H16,$C$14:$C$1213,"&gt;=0")=0,"—",IFERROR(INDEX($B$14:$B$1213,MATCH($H16&amp;"|1",$Z$14:$Z$1213,0)),"(tied)")))</f>
        <v/>
      </c>
      <c r="J16" s="25">
        <f>IF($H16="","",IF(OR(COUNTIFS($A$14:$A$1213,$H16,$C$14:$C$1213,"&gt;=0")=0,COUNTIFS($A$14:$A$1213,$H16,$F$14:$F$1213,"&gt;=0")=0),"—",IF(OR(ISERROR(MATCH($H16&amp;"|1",$Z$14:$Z$1213,0)),ISERROR(MATCH($H16&amp;"|1",$AA$14:$AA$1213,0))),"Tie",IF(MATCH($H16&amp;"|1",$Z$14:$Z$1213,0)=MATCH($H16&amp;"|1",$AA$14:$AA$1213,0),"Hit","Miss"))))</f>
        <v/>
      </c>
      <c r="K16" s="24">
        <f>IF($H16="","",IF(COUNTIFS($A$14:$A$1213,$H16,$F$14:$F$1213,"&gt;=0")=0,"—",IFERROR(INDEX($B$14:$B$1213,MATCH($H16&amp;"|1",$AA$14:$AA$1213,0)),"(tied)")))</f>
        <v/>
      </c>
      <c r="L16" s="25">
        <f>IF($H16="","",IF((--(COUNTIFS($A$14:$A$1213,$H16,$P$14:$P$1213,"&gt;=0")&gt;0)+--(COUNTIFS($A$14:$A$1213,$H16,$Q$14:$Q$1213,"&gt;=0")&gt;0)+--(COUNTIFS($A$14:$A$1213,$H16,$R$14:$R$1213,"&gt;=0")&gt;0)+--(COUNTIFS($A$14:$A$1213,$H16,$S$14:$S$1213,"&gt;=0")&gt;0)+--(COUNTIFS($A$14:$A$1213,$H16,$T$14:$T$1213,"&gt;=0")&gt;0))&lt;2,"—",IF(SUMIFS($AH$14:$AH$1213,$A$14:$A$1213,$H16)=0,"Yes","No")))</f>
        <v/>
      </c>
      <c r="M16" s="25">
        <f>IF($H16="","",IF(COUNTIFS($A$14:$A$1213,$H16,$F$14:$F$1213,"&gt;=0")&lt;2,"—",IF(COUNTIFS($A$14:$A$1213,$H16,$F$14:$F$1213,_xlfn.MAXIFS($F$14:$F$1213,$A$14:$A$1213,$H16))&gt;1,"No",IF(NOT(ISNUMBER($AN16)),"—",IF((2*(1-NORMSDIST(ABS($AN16))))&lt;0.05,"Yes","No")))))</f>
        <v/>
      </c>
      <c r="N16" s="21">
        <f>IF($H16="","",IF(NOT(ISNUMBER($AN16)),"—",IF((2*(1-NORMSDIST(ABS($AN16))))&lt;0.001,"&lt;0.001",TEXT((2*(1-NORMSDIST(ABS($AN16)))),"0.000"))))</f>
        <v/>
      </c>
      <c r="P16" s="26" t="n"/>
      <c r="Q16" s="26" t="n"/>
      <c r="R16" s="26" t="n"/>
      <c r="S16" s="26" t="n"/>
      <c r="T16" s="26" t="n"/>
      <c r="V16" s="27">
        <f>IF(ISNUMBER($C16),COUNTIFS($A$14:$A$1213,$A16,$C$14:$C$1213,"&gt;"&amp;$C16)+(COUNTIFS($A$14:$A$1213,$A16,$C$14:$C$1213,"="&amp;$C16)+1)/2,"")</f>
        <v/>
      </c>
      <c r="W16" s="27">
        <f>IF(ISNUMBER($F16),COUNTIFS($A$14:$A$1213,$A16,$F$14:$F$1213,"&gt;"&amp;$F16)+(COUNTIFS($A$14:$A$1213,$A16,$F$14:$F$1213,"="&amp;$F16)+1)/2,"")</f>
        <v/>
      </c>
      <c r="X16" s="27">
        <f>IF(OR(NOT(ISNUMBER($V16)),$AO16=1),"",$V16-(COUNTIFS($A$14:$A$1213,$A16,$C$14:$C$1213,"&gt;=0")+1)/2)</f>
        <v/>
      </c>
      <c r="Y16" s="27">
        <f>IF(OR(NOT(ISNUMBER($W16)),$AO16=1),"",$W16-(COUNTIFS($A$14:$A$1213,$A16,$F$14:$F$1213,"&gt;=0")+1)/2)</f>
        <v/>
      </c>
      <c r="Z16" s="27">
        <f>IF(ISNUMBER($V16),$A16&amp;"|"&amp;$V16,"")</f>
        <v/>
      </c>
      <c r="AA16" s="27">
        <f>IF(ISNUMBER($W16),$A16&amp;"|"&amp;$W16,"")</f>
        <v/>
      </c>
      <c r="AB16" s="27">
        <f>IF(ISNUMBER($F16),$A16&amp;"|"&amp;$F16,"")</f>
        <v/>
      </c>
      <c r="AC16" s="27">
        <f>IF(ISNUMBER($P16),COUNTIFS($A$14:$A$1213,$A16,$P$14:$P$1213,"&gt;"&amp;$P16)+(COUNTIFS($A$14:$A$1213,$A16,$P$14:$P$1213,"="&amp;$P16)+1)/2,"")</f>
        <v/>
      </c>
      <c r="AD16" s="27">
        <f>IF(ISNUMBER($Q16),COUNTIFS($A$14:$A$1213,$A16,$Q$14:$Q$1213,"&gt;"&amp;$Q16)+(COUNTIFS($A$14:$A$1213,$A16,$Q$14:$Q$1213,"="&amp;$Q16)+1)/2,"")</f>
        <v/>
      </c>
      <c r="AE16" s="27">
        <f>IF(ISNUMBER($R16),COUNTIFS($A$14:$A$1213,$A16,$R$14:$R$1213,"&gt;"&amp;$R16)+(COUNTIFS($A$14:$A$1213,$A16,$R$14:$R$1213,"="&amp;$R16)+1)/2,"")</f>
        <v/>
      </c>
      <c r="AF16" s="27">
        <f>IF(ISNUMBER($S16),COUNTIFS($A$14:$A$1213,$A16,$S$14:$S$1213,"&gt;"&amp;$S16)+(COUNTIFS($A$14:$A$1213,$A16,$S$14:$S$1213,"="&amp;$S16)+1)/2,"")</f>
        <v/>
      </c>
      <c r="AG16" s="27">
        <f>IF(ISNUMBER($T16),COUNTIFS($A$14:$A$1213,$A16,$T$14:$T$1213,"&gt;"&amp;$T16)+(COUNTIFS($A$14:$A$1213,$A16,$T$14:$T$1213,"="&amp;$T16)+1)/2,"")</f>
        <v/>
      </c>
      <c r="AH16" s="27">
        <f>IF(COUNT($AC16:$AG16)&lt;2,"",IF(MAX($AC16:$AG16)=MIN($AC16:$AG16),0,1))</f>
        <v/>
      </c>
      <c r="AI16" s="27">
        <f>IF($A16="","",IF(COUNTIF($A$14:$A16,$A16)=1,COUNTIF($AI$13:AI15,"&gt;0")+1,""))</f>
        <v/>
      </c>
      <c r="AJ16" s="27">
        <f>IF(OR($H16="",COUNTIFS($A$14:$A$1213,$H16,$F$14:$F$1213,"&gt;=0")&lt;2,COUNTIFS($A$14:$A$1213,$H16,$F$14:$F$1213,_xlfn.MAXIFS($F$14:$F$1213,$A$14:$A$1213,$H16))&gt;1),"",IFERROR(INDEX($D$14:$D$1213,MATCH($H16&amp;"|"&amp;_xlfn.MAXIFS($F$14:$F$1213,$A$14:$A$1213,$H16),$AB$14:$AB$1213,0)),""))</f>
        <v/>
      </c>
      <c r="AK16" s="27">
        <f>IF(OR($H16="",COUNTIFS($A$14:$A$1213,$H16,$F$14:$F$1213,"&gt;=0")&lt;2,COUNTIFS($A$14:$A$1213,$H16,$F$14:$F$1213,_xlfn.MAXIFS($F$14:$F$1213,$A$14:$A$1213,$H16))&gt;1),"",IFERROR(INDEX($E$14:$E$1213,MATCH($H16&amp;"|"&amp;_xlfn.MAXIFS($F$14:$F$1213,$A$14:$A$1213,$H16),$AB$14:$AB$1213,0)),""))</f>
        <v/>
      </c>
      <c r="AL16" s="27">
        <f>IF(OR($H16="",COUNTIFS($A$14:$A$1213,$H16,$F$14:$F$1213,"&gt;=0")&lt;2,COUNTIFS($A$14:$A$1213,$H16,$F$14:$F$1213,_xlfn.MAXIFS($F$14:$F$1213,$A$14:$A$1213,$H16))&gt;1),"",IFERROR(INDEX($D$14:$D$1213,MATCH($H16&amp;"|"&amp;_xlfn.MAXIFS($F$14:$F$1213,$A$14:$A$1213,$H16,$F$14:$F$1213,"&lt;"&amp;_xlfn.MAXIFS($F$14:$F$1213,$A$14:$A$1213,$H16)),$AB$14:$AB$1213,0)),""))</f>
        <v/>
      </c>
      <c r="AM16" s="27">
        <f>IF(OR($H16="",COUNTIFS($A$14:$A$1213,$H16,$F$14:$F$1213,"&gt;=0")&lt;2,COUNTIFS($A$14:$A$1213,$H16,$F$14:$F$1213,_xlfn.MAXIFS($F$14:$F$1213,$A$14:$A$1213,$H16))&gt;1),"",IFERROR(INDEX($E$14:$E$1213,MATCH($H16&amp;"|"&amp;_xlfn.MAXIFS($F$14:$F$1213,$A$14:$A$1213,$H16,$F$14:$F$1213,"&lt;"&amp;_xlfn.MAXIFS($F$14:$F$1213,$A$14:$A$1213,$H16)),$AB$14:$AB$1213,0)),""))</f>
        <v/>
      </c>
      <c r="AN16" s="27">
        <f>IF(OR(NOT(ISNUMBER($AJ16)),NOT(ISNUMBER($AL16)),$AK16=0,$AM16=0),"",IF(OR((($AJ16+$AL16)/($AK16+$AM16))&lt;=0,(($AJ16+$AL16)/($AK16+$AM16))&gt;=1),"",($AJ16/$AK16-$AL16/$AM16)/SQRT((($AJ16+$AL16)/($AK16+$AM16))*(1-(($AJ16+$AL16)/($AK16+$AM16)))*(1/$AK16+1/$AM16))))</f>
        <v/>
      </c>
      <c r="AO16" s="27">
        <f>IF($A16="","",IF(AND(COUNTIFS($A$14:$A$1213,$A16,$F$14:$F$1213,"&gt;=0")=2,IFERROR(INDEX($M$14:$M$313,MATCH($A16,$H$14:$H$313,0)),"Yes")&lt;&gt;"Yes"),1,0))</f>
        <v/>
      </c>
    </row>
    <row r="17" ht="24" customHeight="1">
      <c r="A17" s="19">
        <f>IF('Enter messages'!A17="","",'Enter messages'!A17)</f>
        <v/>
      </c>
      <c r="B17" s="20">
        <f>IF('Enter messages'!B17="","",'Enter messages'!B17)</f>
        <v/>
      </c>
      <c r="C17" s="21">
        <f>IFERROR(AVERAGE(P17:T17),"")</f>
        <v/>
      </c>
      <c r="D17" s="29" t="n"/>
      <c r="E17" s="29" t="n"/>
      <c r="F17" s="30">
        <f>IF(AND(ISNUMBER($D17),ISNUMBER($E17),$E17&gt;0,$D17&lt;=$E17),$D17/$E17,"")</f>
        <v/>
      </c>
      <c r="H17" s="19">
        <f>IFERROR(INDEX($A$14:$A$1213,MATCH(4,$AI$14:$AI$1213,0)),"")</f>
        <v/>
      </c>
      <c r="I17" s="24">
        <f>IF($H17="","",IF(COUNTIFS($A$14:$A$1213,$H17,$C$14:$C$1213,"&gt;=0")=0,"—",IFERROR(INDEX($B$14:$B$1213,MATCH($H17&amp;"|1",$Z$14:$Z$1213,0)),"(tied)")))</f>
        <v/>
      </c>
      <c r="J17" s="25">
        <f>IF($H17="","",IF(OR(COUNTIFS($A$14:$A$1213,$H17,$C$14:$C$1213,"&gt;=0")=0,COUNTIFS($A$14:$A$1213,$H17,$F$14:$F$1213,"&gt;=0")=0),"—",IF(OR(ISERROR(MATCH($H17&amp;"|1",$Z$14:$Z$1213,0)),ISERROR(MATCH($H17&amp;"|1",$AA$14:$AA$1213,0))),"Tie",IF(MATCH($H17&amp;"|1",$Z$14:$Z$1213,0)=MATCH($H17&amp;"|1",$AA$14:$AA$1213,0),"Hit","Miss"))))</f>
        <v/>
      </c>
      <c r="K17" s="24">
        <f>IF($H17="","",IF(COUNTIFS($A$14:$A$1213,$H17,$F$14:$F$1213,"&gt;=0")=0,"—",IFERROR(INDEX($B$14:$B$1213,MATCH($H17&amp;"|1",$AA$14:$AA$1213,0)),"(tied)")))</f>
        <v/>
      </c>
      <c r="L17" s="25">
        <f>IF($H17="","",IF((--(COUNTIFS($A$14:$A$1213,$H17,$P$14:$P$1213,"&gt;=0")&gt;0)+--(COUNTIFS($A$14:$A$1213,$H17,$Q$14:$Q$1213,"&gt;=0")&gt;0)+--(COUNTIFS($A$14:$A$1213,$H17,$R$14:$R$1213,"&gt;=0")&gt;0)+--(COUNTIFS($A$14:$A$1213,$H17,$S$14:$S$1213,"&gt;=0")&gt;0)+--(COUNTIFS($A$14:$A$1213,$H17,$T$14:$T$1213,"&gt;=0")&gt;0))&lt;2,"—",IF(SUMIFS($AH$14:$AH$1213,$A$14:$A$1213,$H17)=0,"Yes","No")))</f>
        <v/>
      </c>
      <c r="M17" s="25">
        <f>IF($H17="","",IF(COUNTIFS($A$14:$A$1213,$H17,$F$14:$F$1213,"&gt;=0")&lt;2,"—",IF(COUNTIFS($A$14:$A$1213,$H17,$F$14:$F$1213,_xlfn.MAXIFS($F$14:$F$1213,$A$14:$A$1213,$H17))&gt;1,"No",IF(NOT(ISNUMBER($AN17)),"—",IF((2*(1-NORMSDIST(ABS($AN17))))&lt;0.05,"Yes","No")))))</f>
        <v/>
      </c>
      <c r="N17" s="21">
        <f>IF($H17="","",IF(NOT(ISNUMBER($AN17)),"—",IF((2*(1-NORMSDIST(ABS($AN17))))&lt;0.001,"&lt;0.001",TEXT((2*(1-NORMSDIST(ABS($AN17)))),"0.000"))))</f>
        <v/>
      </c>
      <c r="P17" s="26" t="n"/>
      <c r="Q17" s="26" t="n"/>
      <c r="R17" s="26" t="n"/>
      <c r="S17" s="26" t="n"/>
      <c r="T17" s="26" t="n"/>
      <c r="V17" s="27">
        <f>IF(ISNUMBER($C17),COUNTIFS($A$14:$A$1213,$A17,$C$14:$C$1213,"&gt;"&amp;$C17)+(COUNTIFS($A$14:$A$1213,$A17,$C$14:$C$1213,"="&amp;$C17)+1)/2,"")</f>
        <v/>
      </c>
      <c r="W17" s="27">
        <f>IF(ISNUMBER($F17),COUNTIFS($A$14:$A$1213,$A17,$F$14:$F$1213,"&gt;"&amp;$F17)+(COUNTIFS($A$14:$A$1213,$A17,$F$14:$F$1213,"="&amp;$F17)+1)/2,"")</f>
        <v/>
      </c>
      <c r="X17" s="27">
        <f>IF(OR(NOT(ISNUMBER($V17)),$AO17=1),"",$V17-(COUNTIFS($A$14:$A$1213,$A17,$C$14:$C$1213,"&gt;=0")+1)/2)</f>
        <v/>
      </c>
      <c r="Y17" s="27">
        <f>IF(OR(NOT(ISNUMBER($W17)),$AO17=1),"",$W17-(COUNTIFS($A$14:$A$1213,$A17,$F$14:$F$1213,"&gt;=0")+1)/2)</f>
        <v/>
      </c>
      <c r="Z17" s="27">
        <f>IF(ISNUMBER($V17),$A17&amp;"|"&amp;$V17,"")</f>
        <v/>
      </c>
      <c r="AA17" s="27">
        <f>IF(ISNUMBER($W17),$A17&amp;"|"&amp;$W17,"")</f>
        <v/>
      </c>
      <c r="AB17" s="27">
        <f>IF(ISNUMBER($F17),$A17&amp;"|"&amp;$F17,"")</f>
        <v/>
      </c>
      <c r="AC17" s="27">
        <f>IF(ISNUMBER($P17),COUNTIFS($A$14:$A$1213,$A17,$P$14:$P$1213,"&gt;"&amp;$P17)+(COUNTIFS($A$14:$A$1213,$A17,$P$14:$P$1213,"="&amp;$P17)+1)/2,"")</f>
        <v/>
      </c>
      <c r="AD17" s="27">
        <f>IF(ISNUMBER($Q17),COUNTIFS($A$14:$A$1213,$A17,$Q$14:$Q$1213,"&gt;"&amp;$Q17)+(COUNTIFS($A$14:$A$1213,$A17,$Q$14:$Q$1213,"="&amp;$Q17)+1)/2,"")</f>
        <v/>
      </c>
      <c r="AE17" s="27">
        <f>IF(ISNUMBER($R17),COUNTIFS($A$14:$A$1213,$A17,$R$14:$R$1213,"&gt;"&amp;$R17)+(COUNTIFS($A$14:$A$1213,$A17,$R$14:$R$1213,"="&amp;$R17)+1)/2,"")</f>
        <v/>
      </c>
      <c r="AF17" s="27">
        <f>IF(ISNUMBER($S17),COUNTIFS($A$14:$A$1213,$A17,$S$14:$S$1213,"&gt;"&amp;$S17)+(COUNTIFS($A$14:$A$1213,$A17,$S$14:$S$1213,"="&amp;$S17)+1)/2,"")</f>
        <v/>
      </c>
      <c r="AG17" s="27">
        <f>IF(ISNUMBER($T17),COUNTIFS($A$14:$A$1213,$A17,$T$14:$T$1213,"&gt;"&amp;$T17)+(COUNTIFS($A$14:$A$1213,$A17,$T$14:$T$1213,"="&amp;$T17)+1)/2,"")</f>
        <v/>
      </c>
      <c r="AH17" s="27">
        <f>IF(COUNT($AC17:$AG17)&lt;2,"",IF(MAX($AC17:$AG17)=MIN($AC17:$AG17),0,1))</f>
        <v/>
      </c>
      <c r="AI17" s="27">
        <f>IF($A17="","",IF(COUNTIF($A$14:$A17,$A17)=1,COUNTIF($AI$13:AI16,"&gt;0")+1,""))</f>
        <v/>
      </c>
      <c r="AJ17" s="27">
        <f>IF(OR($H17="",COUNTIFS($A$14:$A$1213,$H17,$F$14:$F$1213,"&gt;=0")&lt;2,COUNTIFS($A$14:$A$1213,$H17,$F$14:$F$1213,_xlfn.MAXIFS($F$14:$F$1213,$A$14:$A$1213,$H17))&gt;1),"",IFERROR(INDEX($D$14:$D$1213,MATCH($H17&amp;"|"&amp;_xlfn.MAXIFS($F$14:$F$1213,$A$14:$A$1213,$H17),$AB$14:$AB$1213,0)),""))</f>
        <v/>
      </c>
      <c r="AK17" s="27">
        <f>IF(OR($H17="",COUNTIFS($A$14:$A$1213,$H17,$F$14:$F$1213,"&gt;=0")&lt;2,COUNTIFS($A$14:$A$1213,$H17,$F$14:$F$1213,_xlfn.MAXIFS($F$14:$F$1213,$A$14:$A$1213,$H17))&gt;1),"",IFERROR(INDEX($E$14:$E$1213,MATCH($H17&amp;"|"&amp;_xlfn.MAXIFS($F$14:$F$1213,$A$14:$A$1213,$H17),$AB$14:$AB$1213,0)),""))</f>
        <v/>
      </c>
      <c r="AL17" s="27">
        <f>IF(OR($H17="",COUNTIFS($A$14:$A$1213,$H17,$F$14:$F$1213,"&gt;=0")&lt;2,COUNTIFS($A$14:$A$1213,$H17,$F$14:$F$1213,_xlfn.MAXIFS($F$14:$F$1213,$A$14:$A$1213,$H17))&gt;1),"",IFERROR(INDEX($D$14:$D$1213,MATCH($H17&amp;"|"&amp;_xlfn.MAXIFS($F$14:$F$1213,$A$14:$A$1213,$H17,$F$14:$F$1213,"&lt;"&amp;_xlfn.MAXIFS($F$14:$F$1213,$A$14:$A$1213,$H17)),$AB$14:$AB$1213,0)),""))</f>
        <v/>
      </c>
      <c r="AM17" s="27">
        <f>IF(OR($H17="",COUNTIFS($A$14:$A$1213,$H17,$F$14:$F$1213,"&gt;=0")&lt;2,COUNTIFS($A$14:$A$1213,$H17,$F$14:$F$1213,_xlfn.MAXIFS($F$14:$F$1213,$A$14:$A$1213,$H17))&gt;1),"",IFERROR(INDEX($E$14:$E$1213,MATCH($H17&amp;"|"&amp;_xlfn.MAXIFS($F$14:$F$1213,$A$14:$A$1213,$H17,$F$14:$F$1213,"&lt;"&amp;_xlfn.MAXIFS($F$14:$F$1213,$A$14:$A$1213,$H17)),$AB$14:$AB$1213,0)),""))</f>
        <v/>
      </c>
      <c r="AN17" s="27">
        <f>IF(OR(NOT(ISNUMBER($AJ17)),NOT(ISNUMBER($AL17)),$AK17=0,$AM17=0),"",IF(OR((($AJ17+$AL17)/($AK17+$AM17))&lt;=0,(($AJ17+$AL17)/($AK17+$AM17))&gt;=1),"",($AJ17/$AK17-$AL17/$AM17)/SQRT((($AJ17+$AL17)/($AK17+$AM17))*(1-(($AJ17+$AL17)/($AK17+$AM17)))*(1/$AK17+1/$AM17))))</f>
        <v/>
      </c>
      <c r="AO17" s="27">
        <f>IF($A17="","",IF(AND(COUNTIFS($A$14:$A$1213,$A17,$F$14:$F$1213,"&gt;=0")=2,IFERROR(INDEX($M$14:$M$313,MATCH($A17,$H$14:$H$313,0)),"Yes")&lt;&gt;"Yes"),1,0))</f>
        <v/>
      </c>
    </row>
    <row r="18" ht="24" customHeight="1">
      <c r="A18" s="19">
        <f>IF('Enter messages'!A18="","",'Enter messages'!A18)</f>
        <v/>
      </c>
      <c r="B18" s="20">
        <f>IF('Enter messages'!B18="","",'Enter messages'!B18)</f>
        <v/>
      </c>
      <c r="C18" s="21">
        <f>IFERROR(AVERAGE(P18:T18),"")</f>
        <v/>
      </c>
      <c r="D18" s="29" t="n"/>
      <c r="E18" s="29" t="n"/>
      <c r="F18" s="30">
        <f>IF(AND(ISNUMBER($D18),ISNUMBER($E18),$E18&gt;0,$D18&lt;=$E18),$D18/$E18,"")</f>
        <v/>
      </c>
      <c r="H18" s="19">
        <f>IFERROR(INDEX($A$14:$A$1213,MATCH(5,$AI$14:$AI$1213,0)),"")</f>
        <v/>
      </c>
      <c r="I18" s="24">
        <f>IF($H18="","",IF(COUNTIFS($A$14:$A$1213,$H18,$C$14:$C$1213,"&gt;=0")=0,"—",IFERROR(INDEX($B$14:$B$1213,MATCH($H18&amp;"|1",$Z$14:$Z$1213,0)),"(tied)")))</f>
        <v/>
      </c>
      <c r="J18" s="25">
        <f>IF($H18="","",IF(OR(COUNTIFS($A$14:$A$1213,$H18,$C$14:$C$1213,"&gt;=0")=0,COUNTIFS($A$14:$A$1213,$H18,$F$14:$F$1213,"&gt;=0")=0),"—",IF(OR(ISERROR(MATCH($H18&amp;"|1",$Z$14:$Z$1213,0)),ISERROR(MATCH($H18&amp;"|1",$AA$14:$AA$1213,0))),"Tie",IF(MATCH($H18&amp;"|1",$Z$14:$Z$1213,0)=MATCH($H18&amp;"|1",$AA$14:$AA$1213,0),"Hit","Miss"))))</f>
        <v/>
      </c>
      <c r="K18" s="24">
        <f>IF($H18="","",IF(COUNTIFS($A$14:$A$1213,$H18,$F$14:$F$1213,"&gt;=0")=0,"—",IFERROR(INDEX($B$14:$B$1213,MATCH($H18&amp;"|1",$AA$14:$AA$1213,0)),"(tied)")))</f>
        <v/>
      </c>
      <c r="L18" s="25">
        <f>IF($H18="","",IF((--(COUNTIFS($A$14:$A$1213,$H18,$P$14:$P$1213,"&gt;=0")&gt;0)+--(COUNTIFS($A$14:$A$1213,$H18,$Q$14:$Q$1213,"&gt;=0")&gt;0)+--(COUNTIFS($A$14:$A$1213,$H18,$R$14:$R$1213,"&gt;=0")&gt;0)+--(COUNTIFS($A$14:$A$1213,$H18,$S$14:$S$1213,"&gt;=0")&gt;0)+--(COUNTIFS($A$14:$A$1213,$H18,$T$14:$T$1213,"&gt;=0")&gt;0))&lt;2,"—",IF(SUMIFS($AH$14:$AH$1213,$A$14:$A$1213,$H18)=0,"Yes","No")))</f>
        <v/>
      </c>
      <c r="M18" s="25">
        <f>IF($H18="","",IF(COUNTIFS($A$14:$A$1213,$H18,$F$14:$F$1213,"&gt;=0")&lt;2,"—",IF(COUNTIFS($A$14:$A$1213,$H18,$F$14:$F$1213,_xlfn.MAXIFS($F$14:$F$1213,$A$14:$A$1213,$H18))&gt;1,"No",IF(NOT(ISNUMBER($AN18)),"—",IF((2*(1-NORMSDIST(ABS($AN18))))&lt;0.05,"Yes","No")))))</f>
        <v/>
      </c>
      <c r="N18" s="21">
        <f>IF($H18="","",IF(NOT(ISNUMBER($AN18)),"—",IF((2*(1-NORMSDIST(ABS($AN18))))&lt;0.001,"&lt;0.001",TEXT((2*(1-NORMSDIST(ABS($AN18)))),"0.000"))))</f>
        <v/>
      </c>
      <c r="P18" s="26" t="n"/>
      <c r="Q18" s="26" t="n"/>
      <c r="R18" s="26" t="n"/>
      <c r="S18" s="26" t="n"/>
      <c r="T18" s="26" t="n"/>
      <c r="V18" s="27">
        <f>IF(ISNUMBER($C18),COUNTIFS($A$14:$A$1213,$A18,$C$14:$C$1213,"&gt;"&amp;$C18)+(COUNTIFS($A$14:$A$1213,$A18,$C$14:$C$1213,"="&amp;$C18)+1)/2,"")</f>
        <v/>
      </c>
      <c r="W18" s="27">
        <f>IF(ISNUMBER($F18),COUNTIFS($A$14:$A$1213,$A18,$F$14:$F$1213,"&gt;"&amp;$F18)+(COUNTIFS($A$14:$A$1213,$A18,$F$14:$F$1213,"="&amp;$F18)+1)/2,"")</f>
        <v/>
      </c>
      <c r="X18" s="27">
        <f>IF(OR(NOT(ISNUMBER($V18)),$AO18=1),"",$V18-(COUNTIFS($A$14:$A$1213,$A18,$C$14:$C$1213,"&gt;=0")+1)/2)</f>
        <v/>
      </c>
      <c r="Y18" s="27">
        <f>IF(OR(NOT(ISNUMBER($W18)),$AO18=1),"",$W18-(COUNTIFS($A$14:$A$1213,$A18,$F$14:$F$1213,"&gt;=0")+1)/2)</f>
        <v/>
      </c>
      <c r="Z18" s="27">
        <f>IF(ISNUMBER($V18),$A18&amp;"|"&amp;$V18,"")</f>
        <v/>
      </c>
      <c r="AA18" s="27">
        <f>IF(ISNUMBER($W18),$A18&amp;"|"&amp;$W18,"")</f>
        <v/>
      </c>
      <c r="AB18" s="27">
        <f>IF(ISNUMBER($F18),$A18&amp;"|"&amp;$F18,"")</f>
        <v/>
      </c>
      <c r="AC18" s="27">
        <f>IF(ISNUMBER($P18),COUNTIFS($A$14:$A$1213,$A18,$P$14:$P$1213,"&gt;"&amp;$P18)+(COUNTIFS($A$14:$A$1213,$A18,$P$14:$P$1213,"="&amp;$P18)+1)/2,"")</f>
        <v/>
      </c>
      <c r="AD18" s="27">
        <f>IF(ISNUMBER($Q18),COUNTIFS($A$14:$A$1213,$A18,$Q$14:$Q$1213,"&gt;"&amp;$Q18)+(COUNTIFS($A$14:$A$1213,$A18,$Q$14:$Q$1213,"="&amp;$Q18)+1)/2,"")</f>
        <v/>
      </c>
      <c r="AE18" s="27">
        <f>IF(ISNUMBER($R18),COUNTIFS($A$14:$A$1213,$A18,$R$14:$R$1213,"&gt;"&amp;$R18)+(COUNTIFS($A$14:$A$1213,$A18,$R$14:$R$1213,"="&amp;$R18)+1)/2,"")</f>
        <v/>
      </c>
      <c r="AF18" s="27">
        <f>IF(ISNUMBER($S18),COUNTIFS($A$14:$A$1213,$A18,$S$14:$S$1213,"&gt;"&amp;$S18)+(COUNTIFS($A$14:$A$1213,$A18,$S$14:$S$1213,"="&amp;$S18)+1)/2,"")</f>
        <v/>
      </c>
      <c r="AG18" s="27">
        <f>IF(ISNUMBER($T18),COUNTIFS($A$14:$A$1213,$A18,$T$14:$T$1213,"&gt;"&amp;$T18)+(COUNTIFS($A$14:$A$1213,$A18,$T$14:$T$1213,"="&amp;$T18)+1)/2,"")</f>
        <v/>
      </c>
      <c r="AH18" s="27">
        <f>IF(COUNT($AC18:$AG18)&lt;2,"",IF(MAX($AC18:$AG18)=MIN($AC18:$AG18),0,1))</f>
        <v/>
      </c>
      <c r="AI18" s="27">
        <f>IF($A18="","",IF(COUNTIF($A$14:$A18,$A18)=1,COUNTIF($AI$13:AI17,"&gt;0")+1,""))</f>
        <v/>
      </c>
      <c r="AJ18" s="27">
        <f>IF(OR($H18="",COUNTIFS($A$14:$A$1213,$H18,$F$14:$F$1213,"&gt;=0")&lt;2,COUNTIFS($A$14:$A$1213,$H18,$F$14:$F$1213,_xlfn.MAXIFS($F$14:$F$1213,$A$14:$A$1213,$H18))&gt;1),"",IFERROR(INDEX($D$14:$D$1213,MATCH($H18&amp;"|"&amp;_xlfn.MAXIFS($F$14:$F$1213,$A$14:$A$1213,$H18),$AB$14:$AB$1213,0)),""))</f>
        <v/>
      </c>
      <c r="AK18" s="27">
        <f>IF(OR($H18="",COUNTIFS($A$14:$A$1213,$H18,$F$14:$F$1213,"&gt;=0")&lt;2,COUNTIFS($A$14:$A$1213,$H18,$F$14:$F$1213,_xlfn.MAXIFS($F$14:$F$1213,$A$14:$A$1213,$H18))&gt;1),"",IFERROR(INDEX($E$14:$E$1213,MATCH($H18&amp;"|"&amp;_xlfn.MAXIFS($F$14:$F$1213,$A$14:$A$1213,$H18),$AB$14:$AB$1213,0)),""))</f>
        <v/>
      </c>
      <c r="AL18" s="27">
        <f>IF(OR($H18="",COUNTIFS($A$14:$A$1213,$H18,$F$14:$F$1213,"&gt;=0")&lt;2,COUNTIFS($A$14:$A$1213,$H18,$F$14:$F$1213,_xlfn.MAXIFS($F$14:$F$1213,$A$14:$A$1213,$H18))&gt;1),"",IFERROR(INDEX($D$14:$D$1213,MATCH($H18&amp;"|"&amp;_xlfn.MAXIFS($F$14:$F$1213,$A$14:$A$1213,$H18,$F$14:$F$1213,"&lt;"&amp;_xlfn.MAXIFS($F$14:$F$1213,$A$14:$A$1213,$H18)),$AB$14:$AB$1213,0)),""))</f>
        <v/>
      </c>
      <c r="AM18" s="27">
        <f>IF(OR($H18="",COUNTIFS($A$14:$A$1213,$H18,$F$14:$F$1213,"&gt;=0")&lt;2,COUNTIFS($A$14:$A$1213,$H18,$F$14:$F$1213,_xlfn.MAXIFS($F$14:$F$1213,$A$14:$A$1213,$H18))&gt;1),"",IFERROR(INDEX($E$14:$E$1213,MATCH($H18&amp;"|"&amp;_xlfn.MAXIFS($F$14:$F$1213,$A$14:$A$1213,$H18,$F$14:$F$1213,"&lt;"&amp;_xlfn.MAXIFS($F$14:$F$1213,$A$14:$A$1213,$H18)),$AB$14:$AB$1213,0)),""))</f>
        <v/>
      </c>
      <c r="AN18" s="27">
        <f>IF(OR(NOT(ISNUMBER($AJ18)),NOT(ISNUMBER($AL18)),$AK18=0,$AM18=0),"",IF(OR((($AJ18+$AL18)/($AK18+$AM18))&lt;=0,(($AJ18+$AL18)/($AK18+$AM18))&gt;=1),"",($AJ18/$AK18-$AL18/$AM18)/SQRT((($AJ18+$AL18)/($AK18+$AM18))*(1-(($AJ18+$AL18)/($AK18+$AM18)))*(1/$AK18+1/$AM18))))</f>
        <v/>
      </c>
      <c r="AO18" s="27">
        <f>IF($A18="","",IF(AND(COUNTIFS($A$14:$A$1213,$A18,$F$14:$F$1213,"&gt;=0")=2,IFERROR(INDEX($M$14:$M$313,MATCH($A18,$H$14:$H$313,0)),"Yes")&lt;&gt;"Yes"),1,0))</f>
        <v/>
      </c>
    </row>
    <row r="19" ht="24" customHeight="1">
      <c r="A19" s="19">
        <f>IF('Enter messages'!A19="","",'Enter messages'!A19)</f>
        <v/>
      </c>
      <c r="B19" s="20">
        <f>IF('Enter messages'!B19="","",'Enter messages'!B19)</f>
        <v/>
      </c>
      <c r="C19" s="21">
        <f>IFERROR(AVERAGE(P19:T19),"")</f>
        <v/>
      </c>
      <c r="D19" s="29" t="n"/>
      <c r="E19" s="29" t="n"/>
      <c r="F19" s="30">
        <f>IF(AND(ISNUMBER($D19),ISNUMBER($E19),$E19&gt;0,$D19&lt;=$E19),$D19/$E19,"")</f>
        <v/>
      </c>
      <c r="H19" s="19">
        <f>IFERROR(INDEX($A$14:$A$1213,MATCH(6,$AI$14:$AI$1213,0)),"")</f>
        <v/>
      </c>
      <c r="I19" s="24">
        <f>IF($H19="","",IF(COUNTIFS($A$14:$A$1213,$H19,$C$14:$C$1213,"&gt;=0")=0,"—",IFERROR(INDEX($B$14:$B$1213,MATCH($H19&amp;"|1",$Z$14:$Z$1213,0)),"(tied)")))</f>
        <v/>
      </c>
      <c r="J19" s="25">
        <f>IF($H19="","",IF(OR(COUNTIFS($A$14:$A$1213,$H19,$C$14:$C$1213,"&gt;=0")=0,COUNTIFS($A$14:$A$1213,$H19,$F$14:$F$1213,"&gt;=0")=0),"—",IF(OR(ISERROR(MATCH($H19&amp;"|1",$Z$14:$Z$1213,0)),ISERROR(MATCH($H19&amp;"|1",$AA$14:$AA$1213,0))),"Tie",IF(MATCH($H19&amp;"|1",$Z$14:$Z$1213,0)=MATCH($H19&amp;"|1",$AA$14:$AA$1213,0),"Hit","Miss"))))</f>
        <v/>
      </c>
      <c r="K19" s="24">
        <f>IF($H19="","",IF(COUNTIFS($A$14:$A$1213,$H19,$F$14:$F$1213,"&gt;=0")=0,"—",IFERROR(INDEX($B$14:$B$1213,MATCH($H19&amp;"|1",$AA$14:$AA$1213,0)),"(tied)")))</f>
        <v/>
      </c>
      <c r="L19" s="25">
        <f>IF($H19="","",IF((--(COUNTIFS($A$14:$A$1213,$H19,$P$14:$P$1213,"&gt;=0")&gt;0)+--(COUNTIFS($A$14:$A$1213,$H19,$Q$14:$Q$1213,"&gt;=0")&gt;0)+--(COUNTIFS($A$14:$A$1213,$H19,$R$14:$R$1213,"&gt;=0")&gt;0)+--(COUNTIFS($A$14:$A$1213,$H19,$S$14:$S$1213,"&gt;=0")&gt;0)+--(COUNTIFS($A$14:$A$1213,$H19,$T$14:$T$1213,"&gt;=0")&gt;0))&lt;2,"—",IF(SUMIFS($AH$14:$AH$1213,$A$14:$A$1213,$H19)=0,"Yes","No")))</f>
        <v/>
      </c>
      <c r="M19" s="25">
        <f>IF($H19="","",IF(COUNTIFS($A$14:$A$1213,$H19,$F$14:$F$1213,"&gt;=0")&lt;2,"—",IF(COUNTIFS($A$14:$A$1213,$H19,$F$14:$F$1213,_xlfn.MAXIFS($F$14:$F$1213,$A$14:$A$1213,$H19))&gt;1,"No",IF(NOT(ISNUMBER($AN19)),"—",IF((2*(1-NORMSDIST(ABS($AN19))))&lt;0.05,"Yes","No")))))</f>
        <v/>
      </c>
      <c r="N19" s="21">
        <f>IF($H19="","",IF(NOT(ISNUMBER($AN19)),"—",IF((2*(1-NORMSDIST(ABS($AN19))))&lt;0.001,"&lt;0.001",TEXT((2*(1-NORMSDIST(ABS($AN19)))),"0.000"))))</f>
        <v/>
      </c>
      <c r="P19" s="26" t="n"/>
      <c r="Q19" s="26" t="n"/>
      <c r="R19" s="26" t="n"/>
      <c r="S19" s="26" t="n"/>
      <c r="T19" s="26" t="n"/>
      <c r="V19" s="27">
        <f>IF(ISNUMBER($C19),COUNTIFS($A$14:$A$1213,$A19,$C$14:$C$1213,"&gt;"&amp;$C19)+(COUNTIFS($A$14:$A$1213,$A19,$C$14:$C$1213,"="&amp;$C19)+1)/2,"")</f>
        <v/>
      </c>
      <c r="W19" s="27">
        <f>IF(ISNUMBER($F19),COUNTIFS($A$14:$A$1213,$A19,$F$14:$F$1213,"&gt;"&amp;$F19)+(COUNTIFS($A$14:$A$1213,$A19,$F$14:$F$1213,"="&amp;$F19)+1)/2,"")</f>
        <v/>
      </c>
      <c r="X19" s="27">
        <f>IF(OR(NOT(ISNUMBER($V19)),$AO19=1),"",$V19-(COUNTIFS($A$14:$A$1213,$A19,$C$14:$C$1213,"&gt;=0")+1)/2)</f>
        <v/>
      </c>
      <c r="Y19" s="27">
        <f>IF(OR(NOT(ISNUMBER($W19)),$AO19=1),"",$W19-(COUNTIFS($A$14:$A$1213,$A19,$F$14:$F$1213,"&gt;=0")+1)/2)</f>
        <v/>
      </c>
      <c r="Z19" s="27">
        <f>IF(ISNUMBER($V19),$A19&amp;"|"&amp;$V19,"")</f>
        <v/>
      </c>
      <c r="AA19" s="27">
        <f>IF(ISNUMBER($W19),$A19&amp;"|"&amp;$W19,"")</f>
        <v/>
      </c>
      <c r="AB19" s="27">
        <f>IF(ISNUMBER($F19),$A19&amp;"|"&amp;$F19,"")</f>
        <v/>
      </c>
      <c r="AC19" s="27">
        <f>IF(ISNUMBER($P19),COUNTIFS($A$14:$A$1213,$A19,$P$14:$P$1213,"&gt;"&amp;$P19)+(COUNTIFS($A$14:$A$1213,$A19,$P$14:$P$1213,"="&amp;$P19)+1)/2,"")</f>
        <v/>
      </c>
      <c r="AD19" s="27">
        <f>IF(ISNUMBER($Q19),COUNTIFS($A$14:$A$1213,$A19,$Q$14:$Q$1213,"&gt;"&amp;$Q19)+(COUNTIFS($A$14:$A$1213,$A19,$Q$14:$Q$1213,"="&amp;$Q19)+1)/2,"")</f>
        <v/>
      </c>
      <c r="AE19" s="27">
        <f>IF(ISNUMBER($R19),COUNTIFS($A$14:$A$1213,$A19,$R$14:$R$1213,"&gt;"&amp;$R19)+(COUNTIFS($A$14:$A$1213,$A19,$R$14:$R$1213,"="&amp;$R19)+1)/2,"")</f>
        <v/>
      </c>
      <c r="AF19" s="27">
        <f>IF(ISNUMBER($S19),COUNTIFS($A$14:$A$1213,$A19,$S$14:$S$1213,"&gt;"&amp;$S19)+(COUNTIFS($A$14:$A$1213,$A19,$S$14:$S$1213,"="&amp;$S19)+1)/2,"")</f>
        <v/>
      </c>
      <c r="AG19" s="27">
        <f>IF(ISNUMBER($T19),COUNTIFS($A$14:$A$1213,$A19,$T$14:$T$1213,"&gt;"&amp;$T19)+(COUNTIFS($A$14:$A$1213,$A19,$T$14:$T$1213,"="&amp;$T19)+1)/2,"")</f>
        <v/>
      </c>
      <c r="AH19" s="27">
        <f>IF(COUNT($AC19:$AG19)&lt;2,"",IF(MAX($AC19:$AG19)=MIN($AC19:$AG19),0,1))</f>
        <v/>
      </c>
      <c r="AI19" s="27">
        <f>IF($A19="","",IF(COUNTIF($A$14:$A19,$A19)=1,COUNTIF($AI$13:AI18,"&gt;0")+1,""))</f>
        <v/>
      </c>
      <c r="AJ19" s="27">
        <f>IF(OR($H19="",COUNTIFS($A$14:$A$1213,$H19,$F$14:$F$1213,"&gt;=0")&lt;2,COUNTIFS($A$14:$A$1213,$H19,$F$14:$F$1213,_xlfn.MAXIFS($F$14:$F$1213,$A$14:$A$1213,$H19))&gt;1),"",IFERROR(INDEX($D$14:$D$1213,MATCH($H19&amp;"|"&amp;_xlfn.MAXIFS($F$14:$F$1213,$A$14:$A$1213,$H19),$AB$14:$AB$1213,0)),""))</f>
        <v/>
      </c>
      <c r="AK19" s="27">
        <f>IF(OR($H19="",COUNTIFS($A$14:$A$1213,$H19,$F$14:$F$1213,"&gt;=0")&lt;2,COUNTIFS($A$14:$A$1213,$H19,$F$14:$F$1213,_xlfn.MAXIFS($F$14:$F$1213,$A$14:$A$1213,$H19))&gt;1),"",IFERROR(INDEX($E$14:$E$1213,MATCH($H19&amp;"|"&amp;_xlfn.MAXIFS($F$14:$F$1213,$A$14:$A$1213,$H19),$AB$14:$AB$1213,0)),""))</f>
        <v/>
      </c>
      <c r="AL19" s="27">
        <f>IF(OR($H19="",COUNTIFS($A$14:$A$1213,$H19,$F$14:$F$1213,"&gt;=0")&lt;2,COUNTIFS($A$14:$A$1213,$H19,$F$14:$F$1213,_xlfn.MAXIFS($F$14:$F$1213,$A$14:$A$1213,$H19))&gt;1),"",IFERROR(INDEX($D$14:$D$1213,MATCH($H19&amp;"|"&amp;_xlfn.MAXIFS($F$14:$F$1213,$A$14:$A$1213,$H19,$F$14:$F$1213,"&lt;"&amp;_xlfn.MAXIFS($F$14:$F$1213,$A$14:$A$1213,$H19)),$AB$14:$AB$1213,0)),""))</f>
        <v/>
      </c>
      <c r="AM19" s="27">
        <f>IF(OR($H19="",COUNTIFS($A$14:$A$1213,$H19,$F$14:$F$1213,"&gt;=0")&lt;2,COUNTIFS($A$14:$A$1213,$H19,$F$14:$F$1213,_xlfn.MAXIFS($F$14:$F$1213,$A$14:$A$1213,$H19))&gt;1),"",IFERROR(INDEX($E$14:$E$1213,MATCH($H19&amp;"|"&amp;_xlfn.MAXIFS($F$14:$F$1213,$A$14:$A$1213,$H19,$F$14:$F$1213,"&lt;"&amp;_xlfn.MAXIFS($F$14:$F$1213,$A$14:$A$1213,$H19)),$AB$14:$AB$1213,0)),""))</f>
        <v/>
      </c>
      <c r="AN19" s="27">
        <f>IF(OR(NOT(ISNUMBER($AJ19)),NOT(ISNUMBER($AL19)),$AK19=0,$AM19=0),"",IF(OR((($AJ19+$AL19)/($AK19+$AM19))&lt;=0,(($AJ19+$AL19)/($AK19+$AM19))&gt;=1),"",($AJ19/$AK19-$AL19/$AM19)/SQRT((($AJ19+$AL19)/($AK19+$AM19))*(1-(($AJ19+$AL19)/($AK19+$AM19)))*(1/$AK19+1/$AM19))))</f>
        <v/>
      </c>
      <c r="AO19" s="27">
        <f>IF($A19="","",IF(AND(COUNTIFS($A$14:$A$1213,$A19,$F$14:$F$1213,"&gt;=0")=2,IFERROR(INDEX($M$14:$M$313,MATCH($A19,$H$14:$H$313,0)),"Yes")&lt;&gt;"Yes"),1,0))</f>
        <v/>
      </c>
    </row>
    <row r="20" ht="24" customHeight="1">
      <c r="A20" s="19">
        <f>IF('Enter messages'!A20="","",'Enter messages'!A20)</f>
        <v/>
      </c>
      <c r="B20" s="20">
        <f>IF('Enter messages'!B20="","",'Enter messages'!B20)</f>
        <v/>
      </c>
      <c r="C20" s="21">
        <f>IFERROR(AVERAGE(P20:T20),"")</f>
        <v/>
      </c>
      <c r="D20" s="29" t="n"/>
      <c r="E20" s="29" t="n"/>
      <c r="F20" s="30">
        <f>IF(AND(ISNUMBER($D20),ISNUMBER($E20),$E20&gt;0,$D20&lt;=$E20),$D20/$E20,"")</f>
        <v/>
      </c>
      <c r="H20" s="19">
        <f>IFERROR(INDEX($A$14:$A$1213,MATCH(7,$AI$14:$AI$1213,0)),"")</f>
        <v/>
      </c>
      <c r="I20" s="24">
        <f>IF($H20="","",IF(COUNTIFS($A$14:$A$1213,$H20,$C$14:$C$1213,"&gt;=0")=0,"—",IFERROR(INDEX($B$14:$B$1213,MATCH($H20&amp;"|1",$Z$14:$Z$1213,0)),"(tied)")))</f>
        <v/>
      </c>
      <c r="J20" s="25">
        <f>IF($H20="","",IF(OR(COUNTIFS($A$14:$A$1213,$H20,$C$14:$C$1213,"&gt;=0")=0,COUNTIFS($A$14:$A$1213,$H20,$F$14:$F$1213,"&gt;=0")=0),"—",IF(OR(ISERROR(MATCH($H20&amp;"|1",$Z$14:$Z$1213,0)),ISERROR(MATCH($H20&amp;"|1",$AA$14:$AA$1213,0))),"Tie",IF(MATCH($H20&amp;"|1",$Z$14:$Z$1213,0)=MATCH($H20&amp;"|1",$AA$14:$AA$1213,0),"Hit","Miss"))))</f>
        <v/>
      </c>
      <c r="K20" s="24">
        <f>IF($H20="","",IF(COUNTIFS($A$14:$A$1213,$H20,$F$14:$F$1213,"&gt;=0")=0,"—",IFERROR(INDEX($B$14:$B$1213,MATCH($H20&amp;"|1",$AA$14:$AA$1213,0)),"(tied)")))</f>
        <v/>
      </c>
      <c r="L20" s="25">
        <f>IF($H20="","",IF((--(COUNTIFS($A$14:$A$1213,$H20,$P$14:$P$1213,"&gt;=0")&gt;0)+--(COUNTIFS($A$14:$A$1213,$H20,$Q$14:$Q$1213,"&gt;=0")&gt;0)+--(COUNTIFS($A$14:$A$1213,$H20,$R$14:$R$1213,"&gt;=0")&gt;0)+--(COUNTIFS($A$14:$A$1213,$H20,$S$14:$S$1213,"&gt;=0")&gt;0)+--(COUNTIFS($A$14:$A$1213,$H20,$T$14:$T$1213,"&gt;=0")&gt;0))&lt;2,"—",IF(SUMIFS($AH$14:$AH$1213,$A$14:$A$1213,$H20)=0,"Yes","No")))</f>
        <v/>
      </c>
      <c r="M20" s="25">
        <f>IF($H20="","",IF(COUNTIFS($A$14:$A$1213,$H20,$F$14:$F$1213,"&gt;=0")&lt;2,"—",IF(COUNTIFS($A$14:$A$1213,$H20,$F$14:$F$1213,_xlfn.MAXIFS($F$14:$F$1213,$A$14:$A$1213,$H20))&gt;1,"No",IF(NOT(ISNUMBER($AN20)),"—",IF((2*(1-NORMSDIST(ABS($AN20))))&lt;0.05,"Yes","No")))))</f>
        <v/>
      </c>
      <c r="N20" s="21">
        <f>IF($H20="","",IF(NOT(ISNUMBER($AN20)),"—",IF((2*(1-NORMSDIST(ABS($AN20))))&lt;0.001,"&lt;0.001",TEXT((2*(1-NORMSDIST(ABS($AN20)))),"0.000"))))</f>
        <v/>
      </c>
      <c r="P20" s="26" t="n"/>
      <c r="Q20" s="26" t="n"/>
      <c r="R20" s="26" t="n"/>
      <c r="S20" s="26" t="n"/>
      <c r="T20" s="26" t="n"/>
      <c r="V20" s="27">
        <f>IF(ISNUMBER($C20),COUNTIFS($A$14:$A$1213,$A20,$C$14:$C$1213,"&gt;"&amp;$C20)+(COUNTIFS($A$14:$A$1213,$A20,$C$14:$C$1213,"="&amp;$C20)+1)/2,"")</f>
        <v/>
      </c>
      <c r="W20" s="27">
        <f>IF(ISNUMBER($F20),COUNTIFS($A$14:$A$1213,$A20,$F$14:$F$1213,"&gt;"&amp;$F20)+(COUNTIFS($A$14:$A$1213,$A20,$F$14:$F$1213,"="&amp;$F20)+1)/2,"")</f>
        <v/>
      </c>
      <c r="X20" s="27">
        <f>IF(OR(NOT(ISNUMBER($V20)),$AO20=1),"",$V20-(COUNTIFS($A$14:$A$1213,$A20,$C$14:$C$1213,"&gt;=0")+1)/2)</f>
        <v/>
      </c>
      <c r="Y20" s="27">
        <f>IF(OR(NOT(ISNUMBER($W20)),$AO20=1),"",$W20-(COUNTIFS($A$14:$A$1213,$A20,$F$14:$F$1213,"&gt;=0")+1)/2)</f>
        <v/>
      </c>
      <c r="Z20" s="27">
        <f>IF(ISNUMBER($V20),$A20&amp;"|"&amp;$V20,"")</f>
        <v/>
      </c>
      <c r="AA20" s="27">
        <f>IF(ISNUMBER($W20),$A20&amp;"|"&amp;$W20,"")</f>
        <v/>
      </c>
      <c r="AB20" s="27">
        <f>IF(ISNUMBER($F20),$A20&amp;"|"&amp;$F20,"")</f>
        <v/>
      </c>
      <c r="AC20" s="27">
        <f>IF(ISNUMBER($P20),COUNTIFS($A$14:$A$1213,$A20,$P$14:$P$1213,"&gt;"&amp;$P20)+(COUNTIFS($A$14:$A$1213,$A20,$P$14:$P$1213,"="&amp;$P20)+1)/2,"")</f>
        <v/>
      </c>
      <c r="AD20" s="27">
        <f>IF(ISNUMBER($Q20),COUNTIFS($A$14:$A$1213,$A20,$Q$14:$Q$1213,"&gt;"&amp;$Q20)+(COUNTIFS($A$14:$A$1213,$A20,$Q$14:$Q$1213,"="&amp;$Q20)+1)/2,"")</f>
        <v/>
      </c>
      <c r="AE20" s="27">
        <f>IF(ISNUMBER($R20),COUNTIFS($A$14:$A$1213,$A20,$R$14:$R$1213,"&gt;"&amp;$R20)+(COUNTIFS($A$14:$A$1213,$A20,$R$14:$R$1213,"="&amp;$R20)+1)/2,"")</f>
        <v/>
      </c>
      <c r="AF20" s="27">
        <f>IF(ISNUMBER($S20),COUNTIFS($A$14:$A$1213,$A20,$S$14:$S$1213,"&gt;"&amp;$S20)+(COUNTIFS($A$14:$A$1213,$A20,$S$14:$S$1213,"="&amp;$S20)+1)/2,"")</f>
        <v/>
      </c>
      <c r="AG20" s="27">
        <f>IF(ISNUMBER($T20),COUNTIFS($A$14:$A$1213,$A20,$T$14:$T$1213,"&gt;"&amp;$T20)+(COUNTIFS($A$14:$A$1213,$A20,$T$14:$T$1213,"="&amp;$T20)+1)/2,"")</f>
        <v/>
      </c>
      <c r="AH20" s="27">
        <f>IF(COUNT($AC20:$AG20)&lt;2,"",IF(MAX($AC20:$AG20)=MIN($AC20:$AG20),0,1))</f>
        <v/>
      </c>
      <c r="AI20" s="27">
        <f>IF($A20="","",IF(COUNTIF($A$14:$A20,$A20)=1,COUNTIF($AI$13:AI19,"&gt;0")+1,""))</f>
        <v/>
      </c>
      <c r="AJ20" s="27">
        <f>IF(OR($H20="",COUNTIFS($A$14:$A$1213,$H20,$F$14:$F$1213,"&gt;=0")&lt;2,COUNTIFS($A$14:$A$1213,$H20,$F$14:$F$1213,_xlfn.MAXIFS($F$14:$F$1213,$A$14:$A$1213,$H20))&gt;1),"",IFERROR(INDEX($D$14:$D$1213,MATCH($H20&amp;"|"&amp;_xlfn.MAXIFS($F$14:$F$1213,$A$14:$A$1213,$H20),$AB$14:$AB$1213,0)),""))</f>
        <v/>
      </c>
      <c r="AK20" s="27">
        <f>IF(OR($H20="",COUNTIFS($A$14:$A$1213,$H20,$F$14:$F$1213,"&gt;=0")&lt;2,COUNTIFS($A$14:$A$1213,$H20,$F$14:$F$1213,_xlfn.MAXIFS($F$14:$F$1213,$A$14:$A$1213,$H20))&gt;1),"",IFERROR(INDEX($E$14:$E$1213,MATCH($H20&amp;"|"&amp;_xlfn.MAXIFS($F$14:$F$1213,$A$14:$A$1213,$H20),$AB$14:$AB$1213,0)),""))</f>
        <v/>
      </c>
      <c r="AL20" s="27">
        <f>IF(OR($H20="",COUNTIFS($A$14:$A$1213,$H20,$F$14:$F$1213,"&gt;=0")&lt;2,COUNTIFS($A$14:$A$1213,$H20,$F$14:$F$1213,_xlfn.MAXIFS($F$14:$F$1213,$A$14:$A$1213,$H20))&gt;1),"",IFERROR(INDEX($D$14:$D$1213,MATCH($H20&amp;"|"&amp;_xlfn.MAXIFS($F$14:$F$1213,$A$14:$A$1213,$H20,$F$14:$F$1213,"&lt;"&amp;_xlfn.MAXIFS($F$14:$F$1213,$A$14:$A$1213,$H20)),$AB$14:$AB$1213,0)),""))</f>
        <v/>
      </c>
      <c r="AM20" s="27">
        <f>IF(OR($H20="",COUNTIFS($A$14:$A$1213,$H20,$F$14:$F$1213,"&gt;=0")&lt;2,COUNTIFS($A$14:$A$1213,$H20,$F$14:$F$1213,_xlfn.MAXIFS($F$14:$F$1213,$A$14:$A$1213,$H20))&gt;1),"",IFERROR(INDEX($E$14:$E$1213,MATCH($H20&amp;"|"&amp;_xlfn.MAXIFS($F$14:$F$1213,$A$14:$A$1213,$H20,$F$14:$F$1213,"&lt;"&amp;_xlfn.MAXIFS($F$14:$F$1213,$A$14:$A$1213,$H20)),$AB$14:$AB$1213,0)),""))</f>
        <v/>
      </c>
      <c r="AN20" s="27">
        <f>IF(OR(NOT(ISNUMBER($AJ20)),NOT(ISNUMBER($AL20)),$AK20=0,$AM20=0),"",IF(OR((($AJ20+$AL20)/($AK20+$AM20))&lt;=0,(($AJ20+$AL20)/($AK20+$AM20))&gt;=1),"",($AJ20/$AK20-$AL20/$AM20)/SQRT((($AJ20+$AL20)/($AK20+$AM20))*(1-(($AJ20+$AL20)/($AK20+$AM20)))*(1/$AK20+1/$AM20))))</f>
        <v/>
      </c>
      <c r="AO20" s="27">
        <f>IF($A20="","",IF(AND(COUNTIFS($A$14:$A$1213,$A20,$F$14:$F$1213,"&gt;=0")=2,IFERROR(INDEX($M$14:$M$313,MATCH($A20,$H$14:$H$313,0)),"Yes")&lt;&gt;"Yes"),1,0))</f>
        <v/>
      </c>
    </row>
    <row r="21" ht="24" customHeight="1">
      <c r="A21" s="19">
        <f>IF('Enter messages'!A21="","",'Enter messages'!A21)</f>
        <v/>
      </c>
      <c r="B21" s="20">
        <f>IF('Enter messages'!B21="","",'Enter messages'!B21)</f>
        <v/>
      </c>
      <c r="C21" s="21">
        <f>IFERROR(AVERAGE(P21:T21),"")</f>
        <v/>
      </c>
      <c r="D21" s="29" t="n"/>
      <c r="E21" s="29" t="n"/>
      <c r="F21" s="30">
        <f>IF(AND(ISNUMBER($D21),ISNUMBER($E21),$E21&gt;0,$D21&lt;=$E21),$D21/$E21,"")</f>
        <v/>
      </c>
      <c r="H21" s="19">
        <f>IFERROR(INDEX($A$14:$A$1213,MATCH(8,$AI$14:$AI$1213,0)),"")</f>
        <v/>
      </c>
      <c r="I21" s="24">
        <f>IF($H21="","",IF(COUNTIFS($A$14:$A$1213,$H21,$C$14:$C$1213,"&gt;=0")=0,"—",IFERROR(INDEX($B$14:$B$1213,MATCH($H21&amp;"|1",$Z$14:$Z$1213,0)),"(tied)")))</f>
        <v/>
      </c>
      <c r="J21" s="25">
        <f>IF($H21="","",IF(OR(COUNTIFS($A$14:$A$1213,$H21,$C$14:$C$1213,"&gt;=0")=0,COUNTIFS($A$14:$A$1213,$H21,$F$14:$F$1213,"&gt;=0")=0),"—",IF(OR(ISERROR(MATCH($H21&amp;"|1",$Z$14:$Z$1213,0)),ISERROR(MATCH($H21&amp;"|1",$AA$14:$AA$1213,0))),"Tie",IF(MATCH($H21&amp;"|1",$Z$14:$Z$1213,0)=MATCH($H21&amp;"|1",$AA$14:$AA$1213,0),"Hit","Miss"))))</f>
        <v/>
      </c>
      <c r="K21" s="24">
        <f>IF($H21="","",IF(COUNTIFS($A$14:$A$1213,$H21,$F$14:$F$1213,"&gt;=0")=0,"—",IFERROR(INDEX($B$14:$B$1213,MATCH($H21&amp;"|1",$AA$14:$AA$1213,0)),"(tied)")))</f>
        <v/>
      </c>
      <c r="L21" s="25">
        <f>IF($H21="","",IF((--(COUNTIFS($A$14:$A$1213,$H21,$P$14:$P$1213,"&gt;=0")&gt;0)+--(COUNTIFS($A$14:$A$1213,$H21,$Q$14:$Q$1213,"&gt;=0")&gt;0)+--(COUNTIFS($A$14:$A$1213,$H21,$R$14:$R$1213,"&gt;=0")&gt;0)+--(COUNTIFS($A$14:$A$1213,$H21,$S$14:$S$1213,"&gt;=0")&gt;0)+--(COUNTIFS($A$14:$A$1213,$H21,$T$14:$T$1213,"&gt;=0")&gt;0))&lt;2,"—",IF(SUMIFS($AH$14:$AH$1213,$A$14:$A$1213,$H21)=0,"Yes","No")))</f>
        <v/>
      </c>
      <c r="M21" s="25">
        <f>IF($H21="","",IF(COUNTIFS($A$14:$A$1213,$H21,$F$14:$F$1213,"&gt;=0")&lt;2,"—",IF(COUNTIFS($A$14:$A$1213,$H21,$F$14:$F$1213,_xlfn.MAXIFS($F$14:$F$1213,$A$14:$A$1213,$H21))&gt;1,"No",IF(NOT(ISNUMBER($AN21)),"—",IF((2*(1-NORMSDIST(ABS($AN21))))&lt;0.05,"Yes","No")))))</f>
        <v/>
      </c>
      <c r="N21" s="21">
        <f>IF($H21="","",IF(NOT(ISNUMBER($AN21)),"—",IF((2*(1-NORMSDIST(ABS($AN21))))&lt;0.001,"&lt;0.001",TEXT((2*(1-NORMSDIST(ABS($AN21)))),"0.000"))))</f>
        <v/>
      </c>
      <c r="P21" s="26" t="n"/>
      <c r="Q21" s="26" t="n"/>
      <c r="R21" s="26" t="n"/>
      <c r="S21" s="26" t="n"/>
      <c r="T21" s="26" t="n"/>
      <c r="V21" s="27">
        <f>IF(ISNUMBER($C21),COUNTIFS($A$14:$A$1213,$A21,$C$14:$C$1213,"&gt;"&amp;$C21)+(COUNTIFS($A$14:$A$1213,$A21,$C$14:$C$1213,"="&amp;$C21)+1)/2,"")</f>
        <v/>
      </c>
      <c r="W21" s="27">
        <f>IF(ISNUMBER($F21),COUNTIFS($A$14:$A$1213,$A21,$F$14:$F$1213,"&gt;"&amp;$F21)+(COUNTIFS($A$14:$A$1213,$A21,$F$14:$F$1213,"="&amp;$F21)+1)/2,"")</f>
        <v/>
      </c>
      <c r="X21" s="27">
        <f>IF(OR(NOT(ISNUMBER($V21)),$AO21=1),"",$V21-(COUNTIFS($A$14:$A$1213,$A21,$C$14:$C$1213,"&gt;=0")+1)/2)</f>
        <v/>
      </c>
      <c r="Y21" s="27">
        <f>IF(OR(NOT(ISNUMBER($W21)),$AO21=1),"",$W21-(COUNTIFS($A$14:$A$1213,$A21,$F$14:$F$1213,"&gt;=0")+1)/2)</f>
        <v/>
      </c>
      <c r="Z21" s="27">
        <f>IF(ISNUMBER($V21),$A21&amp;"|"&amp;$V21,"")</f>
        <v/>
      </c>
      <c r="AA21" s="27">
        <f>IF(ISNUMBER($W21),$A21&amp;"|"&amp;$W21,"")</f>
        <v/>
      </c>
      <c r="AB21" s="27">
        <f>IF(ISNUMBER($F21),$A21&amp;"|"&amp;$F21,"")</f>
        <v/>
      </c>
      <c r="AC21" s="27">
        <f>IF(ISNUMBER($P21),COUNTIFS($A$14:$A$1213,$A21,$P$14:$P$1213,"&gt;"&amp;$P21)+(COUNTIFS($A$14:$A$1213,$A21,$P$14:$P$1213,"="&amp;$P21)+1)/2,"")</f>
        <v/>
      </c>
      <c r="AD21" s="27">
        <f>IF(ISNUMBER($Q21),COUNTIFS($A$14:$A$1213,$A21,$Q$14:$Q$1213,"&gt;"&amp;$Q21)+(COUNTIFS($A$14:$A$1213,$A21,$Q$14:$Q$1213,"="&amp;$Q21)+1)/2,"")</f>
        <v/>
      </c>
      <c r="AE21" s="27">
        <f>IF(ISNUMBER($R21),COUNTIFS($A$14:$A$1213,$A21,$R$14:$R$1213,"&gt;"&amp;$R21)+(COUNTIFS($A$14:$A$1213,$A21,$R$14:$R$1213,"="&amp;$R21)+1)/2,"")</f>
        <v/>
      </c>
      <c r="AF21" s="27">
        <f>IF(ISNUMBER($S21),COUNTIFS($A$14:$A$1213,$A21,$S$14:$S$1213,"&gt;"&amp;$S21)+(COUNTIFS($A$14:$A$1213,$A21,$S$14:$S$1213,"="&amp;$S21)+1)/2,"")</f>
        <v/>
      </c>
      <c r="AG21" s="27">
        <f>IF(ISNUMBER($T21),COUNTIFS($A$14:$A$1213,$A21,$T$14:$T$1213,"&gt;"&amp;$T21)+(COUNTIFS($A$14:$A$1213,$A21,$T$14:$T$1213,"="&amp;$T21)+1)/2,"")</f>
        <v/>
      </c>
      <c r="AH21" s="27">
        <f>IF(COUNT($AC21:$AG21)&lt;2,"",IF(MAX($AC21:$AG21)=MIN($AC21:$AG21),0,1))</f>
        <v/>
      </c>
      <c r="AI21" s="27">
        <f>IF($A21="","",IF(COUNTIF($A$14:$A21,$A21)=1,COUNTIF($AI$13:AI20,"&gt;0")+1,""))</f>
        <v/>
      </c>
      <c r="AJ21" s="27">
        <f>IF(OR($H21="",COUNTIFS($A$14:$A$1213,$H21,$F$14:$F$1213,"&gt;=0")&lt;2,COUNTIFS($A$14:$A$1213,$H21,$F$14:$F$1213,_xlfn.MAXIFS($F$14:$F$1213,$A$14:$A$1213,$H21))&gt;1),"",IFERROR(INDEX($D$14:$D$1213,MATCH($H21&amp;"|"&amp;_xlfn.MAXIFS($F$14:$F$1213,$A$14:$A$1213,$H21),$AB$14:$AB$1213,0)),""))</f>
        <v/>
      </c>
      <c r="AK21" s="27">
        <f>IF(OR($H21="",COUNTIFS($A$14:$A$1213,$H21,$F$14:$F$1213,"&gt;=0")&lt;2,COUNTIFS($A$14:$A$1213,$H21,$F$14:$F$1213,_xlfn.MAXIFS($F$14:$F$1213,$A$14:$A$1213,$H21))&gt;1),"",IFERROR(INDEX($E$14:$E$1213,MATCH($H21&amp;"|"&amp;_xlfn.MAXIFS($F$14:$F$1213,$A$14:$A$1213,$H21),$AB$14:$AB$1213,0)),""))</f>
        <v/>
      </c>
      <c r="AL21" s="27">
        <f>IF(OR($H21="",COUNTIFS($A$14:$A$1213,$H21,$F$14:$F$1213,"&gt;=0")&lt;2,COUNTIFS($A$14:$A$1213,$H21,$F$14:$F$1213,_xlfn.MAXIFS($F$14:$F$1213,$A$14:$A$1213,$H21))&gt;1),"",IFERROR(INDEX($D$14:$D$1213,MATCH($H21&amp;"|"&amp;_xlfn.MAXIFS($F$14:$F$1213,$A$14:$A$1213,$H21,$F$14:$F$1213,"&lt;"&amp;_xlfn.MAXIFS($F$14:$F$1213,$A$14:$A$1213,$H21)),$AB$14:$AB$1213,0)),""))</f>
        <v/>
      </c>
      <c r="AM21" s="27">
        <f>IF(OR($H21="",COUNTIFS($A$14:$A$1213,$H21,$F$14:$F$1213,"&gt;=0")&lt;2,COUNTIFS($A$14:$A$1213,$H21,$F$14:$F$1213,_xlfn.MAXIFS($F$14:$F$1213,$A$14:$A$1213,$H21))&gt;1),"",IFERROR(INDEX($E$14:$E$1213,MATCH($H21&amp;"|"&amp;_xlfn.MAXIFS($F$14:$F$1213,$A$14:$A$1213,$H21,$F$14:$F$1213,"&lt;"&amp;_xlfn.MAXIFS($F$14:$F$1213,$A$14:$A$1213,$H21)),$AB$14:$AB$1213,0)),""))</f>
        <v/>
      </c>
      <c r="AN21" s="27">
        <f>IF(OR(NOT(ISNUMBER($AJ21)),NOT(ISNUMBER($AL21)),$AK21=0,$AM21=0),"",IF(OR((($AJ21+$AL21)/($AK21+$AM21))&lt;=0,(($AJ21+$AL21)/($AK21+$AM21))&gt;=1),"",($AJ21/$AK21-$AL21/$AM21)/SQRT((($AJ21+$AL21)/($AK21+$AM21))*(1-(($AJ21+$AL21)/($AK21+$AM21)))*(1/$AK21+1/$AM21))))</f>
        <v/>
      </c>
      <c r="AO21" s="27">
        <f>IF($A21="","",IF(AND(COUNTIFS($A$14:$A$1213,$A21,$F$14:$F$1213,"&gt;=0")=2,IFERROR(INDEX($M$14:$M$313,MATCH($A21,$H$14:$H$313,0)),"Yes")&lt;&gt;"Yes"),1,0))</f>
        <v/>
      </c>
    </row>
    <row r="22" ht="24" customHeight="1">
      <c r="A22" s="19">
        <f>IF('Enter messages'!A22="","",'Enter messages'!A22)</f>
        <v/>
      </c>
      <c r="B22" s="20">
        <f>IF('Enter messages'!B22="","",'Enter messages'!B22)</f>
        <v/>
      </c>
      <c r="C22" s="21">
        <f>IFERROR(AVERAGE(P22:T22),"")</f>
        <v/>
      </c>
      <c r="D22" s="29" t="n"/>
      <c r="E22" s="29" t="n"/>
      <c r="F22" s="30">
        <f>IF(AND(ISNUMBER($D22),ISNUMBER($E22),$E22&gt;0,$D22&lt;=$E22),$D22/$E22,"")</f>
        <v/>
      </c>
      <c r="H22" s="19">
        <f>IFERROR(INDEX($A$14:$A$1213,MATCH(9,$AI$14:$AI$1213,0)),"")</f>
        <v/>
      </c>
      <c r="I22" s="24">
        <f>IF($H22="","",IF(COUNTIFS($A$14:$A$1213,$H22,$C$14:$C$1213,"&gt;=0")=0,"—",IFERROR(INDEX($B$14:$B$1213,MATCH($H22&amp;"|1",$Z$14:$Z$1213,0)),"(tied)")))</f>
        <v/>
      </c>
      <c r="J22" s="25">
        <f>IF($H22="","",IF(OR(COUNTIFS($A$14:$A$1213,$H22,$C$14:$C$1213,"&gt;=0")=0,COUNTIFS($A$14:$A$1213,$H22,$F$14:$F$1213,"&gt;=0")=0),"—",IF(OR(ISERROR(MATCH($H22&amp;"|1",$Z$14:$Z$1213,0)),ISERROR(MATCH($H22&amp;"|1",$AA$14:$AA$1213,0))),"Tie",IF(MATCH($H22&amp;"|1",$Z$14:$Z$1213,0)=MATCH($H22&amp;"|1",$AA$14:$AA$1213,0),"Hit","Miss"))))</f>
        <v/>
      </c>
      <c r="K22" s="24">
        <f>IF($H22="","",IF(COUNTIFS($A$14:$A$1213,$H22,$F$14:$F$1213,"&gt;=0")=0,"—",IFERROR(INDEX($B$14:$B$1213,MATCH($H22&amp;"|1",$AA$14:$AA$1213,0)),"(tied)")))</f>
        <v/>
      </c>
      <c r="L22" s="25">
        <f>IF($H22="","",IF((--(COUNTIFS($A$14:$A$1213,$H22,$P$14:$P$1213,"&gt;=0")&gt;0)+--(COUNTIFS($A$14:$A$1213,$H22,$Q$14:$Q$1213,"&gt;=0")&gt;0)+--(COUNTIFS($A$14:$A$1213,$H22,$R$14:$R$1213,"&gt;=0")&gt;0)+--(COUNTIFS($A$14:$A$1213,$H22,$S$14:$S$1213,"&gt;=0")&gt;0)+--(COUNTIFS($A$14:$A$1213,$H22,$T$14:$T$1213,"&gt;=0")&gt;0))&lt;2,"—",IF(SUMIFS($AH$14:$AH$1213,$A$14:$A$1213,$H22)=0,"Yes","No")))</f>
        <v/>
      </c>
      <c r="M22" s="25">
        <f>IF($H22="","",IF(COUNTIFS($A$14:$A$1213,$H22,$F$14:$F$1213,"&gt;=0")&lt;2,"—",IF(COUNTIFS($A$14:$A$1213,$H22,$F$14:$F$1213,_xlfn.MAXIFS($F$14:$F$1213,$A$14:$A$1213,$H22))&gt;1,"No",IF(NOT(ISNUMBER($AN22)),"—",IF((2*(1-NORMSDIST(ABS($AN22))))&lt;0.05,"Yes","No")))))</f>
        <v/>
      </c>
      <c r="N22" s="21">
        <f>IF($H22="","",IF(NOT(ISNUMBER($AN22)),"—",IF((2*(1-NORMSDIST(ABS($AN22))))&lt;0.001,"&lt;0.001",TEXT((2*(1-NORMSDIST(ABS($AN22)))),"0.000"))))</f>
        <v/>
      </c>
      <c r="P22" s="26" t="n"/>
      <c r="Q22" s="26" t="n"/>
      <c r="R22" s="26" t="n"/>
      <c r="S22" s="26" t="n"/>
      <c r="T22" s="26" t="n"/>
      <c r="V22" s="27">
        <f>IF(ISNUMBER($C22),COUNTIFS($A$14:$A$1213,$A22,$C$14:$C$1213,"&gt;"&amp;$C22)+(COUNTIFS($A$14:$A$1213,$A22,$C$14:$C$1213,"="&amp;$C22)+1)/2,"")</f>
        <v/>
      </c>
      <c r="W22" s="27">
        <f>IF(ISNUMBER($F22),COUNTIFS($A$14:$A$1213,$A22,$F$14:$F$1213,"&gt;"&amp;$F22)+(COUNTIFS($A$14:$A$1213,$A22,$F$14:$F$1213,"="&amp;$F22)+1)/2,"")</f>
        <v/>
      </c>
      <c r="X22" s="27">
        <f>IF(OR(NOT(ISNUMBER($V22)),$AO22=1),"",$V22-(COUNTIFS($A$14:$A$1213,$A22,$C$14:$C$1213,"&gt;=0")+1)/2)</f>
        <v/>
      </c>
      <c r="Y22" s="27">
        <f>IF(OR(NOT(ISNUMBER($W22)),$AO22=1),"",$W22-(COUNTIFS($A$14:$A$1213,$A22,$F$14:$F$1213,"&gt;=0")+1)/2)</f>
        <v/>
      </c>
      <c r="Z22" s="27">
        <f>IF(ISNUMBER($V22),$A22&amp;"|"&amp;$V22,"")</f>
        <v/>
      </c>
      <c r="AA22" s="27">
        <f>IF(ISNUMBER($W22),$A22&amp;"|"&amp;$W22,"")</f>
        <v/>
      </c>
      <c r="AB22" s="27">
        <f>IF(ISNUMBER($F22),$A22&amp;"|"&amp;$F22,"")</f>
        <v/>
      </c>
      <c r="AC22" s="27">
        <f>IF(ISNUMBER($P22),COUNTIFS($A$14:$A$1213,$A22,$P$14:$P$1213,"&gt;"&amp;$P22)+(COUNTIFS($A$14:$A$1213,$A22,$P$14:$P$1213,"="&amp;$P22)+1)/2,"")</f>
        <v/>
      </c>
      <c r="AD22" s="27">
        <f>IF(ISNUMBER($Q22),COUNTIFS($A$14:$A$1213,$A22,$Q$14:$Q$1213,"&gt;"&amp;$Q22)+(COUNTIFS($A$14:$A$1213,$A22,$Q$14:$Q$1213,"="&amp;$Q22)+1)/2,"")</f>
        <v/>
      </c>
      <c r="AE22" s="27">
        <f>IF(ISNUMBER($R22),COUNTIFS($A$14:$A$1213,$A22,$R$14:$R$1213,"&gt;"&amp;$R22)+(COUNTIFS($A$14:$A$1213,$A22,$R$14:$R$1213,"="&amp;$R22)+1)/2,"")</f>
        <v/>
      </c>
      <c r="AF22" s="27">
        <f>IF(ISNUMBER($S22),COUNTIFS($A$14:$A$1213,$A22,$S$14:$S$1213,"&gt;"&amp;$S22)+(COUNTIFS($A$14:$A$1213,$A22,$S$14:$S$1213,"="&amp;$S22)+1)/2,"")</f>
        <v/>
      </c>
      <c r="AG22" s="27">
        <f>IF(ISNUMBER($T22),COUNTIFS($A$14:$A$1213,$A22,$T$14:$T$1213,"&gt;"&amp;$T22)+(COUNTIFS($A$14:$A$1213,$A22,$T$14:$T$1213,"="&amp;$T22)+1)/2,"")</f>
        <v/>
      </c>
      <c r="AH22" s="27">
        <f>IF(COUNT($AC22:$AG22)&lt;2,"",IF(MAX($AC22:$AG22)=MIN($AC22:$AG22),0,1))</f>
        <v/>
      </c>
      <c r="AI22" s="27">
        <f>IF($A22="","",IF(COUNTIF($A$14:$A22,$A22)=1,COUNTIF($AI$13:AI21,"&gt;0")+1,""))</f>
        <v/>
      </c>
      <c r="AJ22" s="27">
        <f>IF(OR($H22="",COUNTIFS($A$14:$A$1213,$H22,$F$14:$F$1213,"&gt;=0")&lt;2,COUNTIFS($A$14:$A$1213,$H22,$F$14:$F$1213,_xlfn.MAXIFS($F$14:$F$1213,$A$14:$A$1213,$H22))&gt;1),"",IFERROR(INDEX($D$14:$D$1213,MATCH($H22&amp;"|"&amp;_xlfn.MAXIFS($F$14:$F$1213,$A$14:$A$1213,$H22),$AB$14:$AB$1213,0)),""))</f>
        <v/>
      </c>
      <c r="AK22" s="27">
        <f>IF(OR($H22="",COUNTIFS($A$14:$A$1213,$H22,$F$14:$F$1213,"&gt;=0")&lt;2,COUNTIFS($A$14:$A$1213,$H22,$F$14:$F$1213,_xlfn.MAXIFS($F$14:$F$1213,$A$14:$A$1213,$H22))&gt;1),"",IFERROR(INDEX($E$14:$E$1213,MATCH($H22&amp;"|"&amp;_xlfn.MAXIFS($F$14:$F$1213,$A$14:$A$1213,$H22),$AB$14:$AB$1213,0)),""))</f>
        <v/>
      </c>
      <c r="AL22" s="27">
        <f>IF(OR($H22="",COUNTIFS($A$14:$A$1213,$H22,$F$14:$F$1213,"&gt;=0")&lt;2,COUNTIFS($A$14:$A$1213,$H22,$F$14:$F$1213,_xlfn.MAXIFS($F$14:$F$1213,$A$14:$A$1213,$H22))&gt;1),"",IFERROR(INDEX($D$14:$D$1213,MATCH($H22&amp;"|"&amp;_xlfn.MAXIFS($F$14:$F$1213,$A$14:$A$1213,$H22,$F$14:$F$1213,"&lt;"&amp;_xlfn.MAXIFS($F$14:$F$1213,$A$14:$A$1213,$H22)),$AB$14:$AB$1213,0)),""))</f>
        <v/>
      </c>
      <c r="AM22" s="27">
        <f>IF(OR($H22="",COUNTIFS($A$14:$A$1213,$H22,$F$14:$F$1213,"&gt;=0")&lt;2,COUNTIFS($A$14:$A$1213,$H22,$F$14:$F$1213,_xlfn.MAXIFS($F$14:$F$1213,$A$14:$A$1213,$H22))&gt;1),"",IFERROR(INDEX($E$14:$E$1213,MATCH($H22&amp;"|"&amp;_xlfn.MAXIFS($F$14:$F$1213,$A$14:$A$1213,$H22,$F$14:$F$1213,"&lt;"&amp;_xlfn.MAXIFS($F$14:$F$1213,$A$14:$A$1213,$H22)),$AB$14:$AB$1213,0)),""))</f>
        <v/>
      </c>
      <c r="AN22" s="27">
        <f>IF(OR(NOT(ISNUMBER($AJ22)),NOT(ISNUMBER($AL22)),$AK22=0,$AM22=0),"",IF(OR((($AJ22+$AL22)/($AK22+$AM22))&lt;=0,(($AJ22+$AL22)/($AK22+$AM22))&gt;=1),"",($AJ22/$AK22-$AL22/$AM22)/SQRT((($AJ22+$AL22)/($AK22+$AM22))*(1-(($AJ22+$AL22)/($AK22+$AM22)))*(1/$AK22+1/$AM22))))</f>
        <v/>
      </c>
      <c r="AO22" s="27">
        <f>IF($A22="","",IF(AND(COUNTIFS($A$14:$A$1213,$A22,$F$14:$F$1213,"&gt;=0")=2,IFERROR(INDEX($M$14:$M$313,MATCH($A22,$H$14:$H$313,0)),"Yes")&lt;&gt;"Yes"),1,0))</f>
        <v/>
      </c>
    </row>
    <row r="23" ht="24" customHeight="1">
      <c r="A23" s="19">
        <f>IF('Enter messages'!A23="","",'Enter messages'!A23)</f>
        <v/>
      </c>
      <c r="B23" s="20">
        <f>IF('Enter messages'!B23="","",'Enter messages'!B23)</f>
        <v/>
      </c>
      <c r="C23" s="21">
        <f>IFERROR(AVERAGE(P23:T23),"")</f>
        <v/>
      </c>
      <c r="D23" s="29" t="n"/>
      <c r="E23" s="29" t="n"/>
      <c r="F23" s="30">
        <f>IF(AND(ISNUMBER($D23),ISNUMBER($E23),$E23&gt;0,$D23&lt;=$E23),$D23/$E23,"")</f>
        <v/>
      </c>
      <c r="H23" s="19">
        <f>IFERROR(INDEX($A$14:$A$1213,MATCH(10,$AI$14:$AI$1213,0)),"")</f>
        <v/>
      </c>
      <c r="I23" s="24">
        <f>IF($H23="","",IF(COUNTIFS($A$14:$A$1213,$H23,$C$14:$C$1213,"&gt;=0")=0,"—",IFERROR(INDEX($B$14:$B$1213,MATCH($H23&amp;"|1",$Z$14:$Z$1213,0)),"(tied)")))</f>
        <v/>
      </c>
      <c r="J23" s="25">
        <f>IF($H23="","",IF(OR(COUNTIFS($A$14:$A$1213,$H23,$C$14:$C$1213,"&gt;=0")=0,COUNTIFS($A$14:$A$1213,$H23,$F$14:$F$1213,"&gt;=0")=0),"—",IF(OR(ISERROR(MATCH($H23&amp;"|1",$Z$14:$Z$1213,0)),ISERROR(MATCH($H23&amp;"|1",$AA$14:$AA$1213,0))),"Tie",IF(MATCH($H23&amp;"|1",$Z$14:$Z$1213,0)=MATCH($H23&amp;"|1",$AA$14:$AA$1213,0),"Hit","Miss"))))</f>
        <v/>
      </c>
      <c r="K23" s="24">
        <f>IF($H23="","",IF(COUNTIFS($A$14:$A$1213,$H23,$F$14:$F$1213,"&gt;=0")=0,"—",IFERROR(INDEX($B$14:$B$1213,MATCH($H23&amp;"|1",$AA$14:$AA$1213,0)),"(tied)")))</f>
        <v/>
      </c>
      <c r="L23" s="25">
        <f>IF($H23="","",IF((--(COUNTIFS($A$14:$A$1213,$H23,$P$14:$P$1213,"&gt;=0")&gt;0)+--(COUNTIFS($A$14:$A$1213,$H23,$Q$14:$Q$1213,"&gt;=0")&gt;0)+--(COUNTIFS($A$14:$A$1213,$H23,$R$14:$R$1213,"&gt;=0")&gt;0)+--(COUNTIFS($A$14:$A$1213,$H23,$S$14:$S$1213,"&gt;=0")&gt;0)+--(COUNTIFS($A$14:$A$1213,$H23,$T$14:$T$1213,"&gt;=0")&gt;0))&lt;2,"—",IF(SUMIFS($AH$14:$AH$1213,$A$14:$A$1213,$H23)=0,"Yes","No")))</f>
        <v/>
      </c>
      <c r="M23" s="25">
        <f>IF($H23="","",IF(COUNTIFS($A$14:$A$1213,$H23,$F$14:$F$1213,"&gt;=0")&lt;2,"—",IF(COUNTIFS($A$14:$A$1213,$H23,$F$14:$F$1213,_xlfn.MAXIFS($F$14:$F$1213,$A$14:$A$1213,$H23))&gt;1,"No",IF(NOT(ISNUMBER($AN23)),"—",IF((2*(1-NORMSDIST(ABS($AN23))))&lt;0.05,"Yes","No")))))</f>
        <v/>
      </c>
      <c r="N23" s="21">
        <f>IF($H23="","",IF(NOT(ISNUMBER($AN23)),"—",IF((2*(1-NORMSDIST(ABS($AN23))))&lt;0.001,"&lt;0.001",TEXT((2*(1-NORMSDIST(ABS($AN23)))),"0.000"))))</f>
        <v/>
      </c>
      <c r="P23" s="26" t="n"/>
      <c r="Q23" s="26" t="n"/>
      <c r="R23" s="26" t="n"/>
      <c r="S23" s="26" t="n"/>
      <c r="T23" s="26" t="n"/>
      <c r="V23" s="27">
        <f>IF(ISNUMBER($C23),COUNTIFS($A$14:$A$1213,$A23,$C$14:$C$1213,"&gt;"&amp;$C23)+(COUNTIFS($A$14:$A$1213,$A23,$C$14:$C$1213,"="&amp;$C23)+1)/2,"")</f>
        <v/>
      </c>
      <c r="W23" s="27">
        <f>IF(ISNUMBER($F23),COUNTIFS($A$14:$A$1213,$A23,$F$14:$F$1213,"&gt;"&amp;$F23)+(COUNTIFS($A$14:$A$1213,$A23,$F$14:$F$1213,"="&amp;$F23)+1)/2,"")</f>
        <v/>
      </c>
      <c r="X23" s="27">
        <f>IF(OR(NOT(ISNUMBER($V23)),$AO23=1),"",$V23-(COUNTIFS($A$14:$A$1213,$A23,$C$14:$C$1213,"&gt;=0")+1)/2)</f>
        <v/>
      </c>
      <c r="Y23" s="27">
        <f>IF(OR(NOT(ISNUMBER($W23)),$AO23=1),"",$W23-(COUNTIFS($A$14:$A$1213,$A23,$F$14:$F$1213,"&gt;=0")+1)/2)</f>
        <v/>
      </c>
      <c r="Z23" s="27">
        <f>IF(ISNUMBER($V23),$A23&amp;"|"&amp;$V23,"")</f>
        <v/>
      </c>
      <c r="AA23" s="27">
        <f>IF(ISNUMBER($W23),$A23&amp;"|"&amp;$W23,"")</f>
        <v/>
      </c>
      <c r="AB23" s="27">
        <f>IF(ISNUMBER($F23),$A23&amp;"|"&amp;$F23,"")</f>
        <v/>
      </c>
      <c r="AC23" s="27">
        <f>IF(ISNUMBER($P23),COUNTIFS($A$14:$A$1213,$A23,$P$14:$P$1213,"&gt;"&amp;$P23)+(COUNTIFS($A$14:$A$1213,$A23,$P$14:$P$1213,"="&amp;$P23)+1)/2,"")</f>
        <v/>
      </c>
      <c r="AD23" s="27">
        <f>IF(ISNUMBER($Q23),COUNTIFS($A$14:$A$1213,$A23,$Q$14:$Q$1213,"&gt;"&amp;$Q23)+(COUNTIFS($A$14:$A$1213,$A23,$Q$14:$Q$1213,"="&amp;$Q23)+1)/2,"")</f>
        <v/>
      </c>
      <c r="AE23" s="27">
        <f>IF(ISNUMBER($R23),COUNTIFS($A$14:$A$1213,$A23,$R$14:$R$1213,"&gt;"&amp;$R23)+(COUNTIFS($A$14:$A$1213,$A23,$R$14:$R$1213,"="&amp;$R23)+1)/2,"")</f>
        <v/>
      </c>
      <c r="AF23" s="27">
        <f>IF(ISNUMBER($S23),COUNTIFS($A$14:$A$1213,$A23,$S$14:$S$1213,"&gt;"&amp;$S23)+(COUNTIFS($A$14:$A$1213,$A23,$S$14:$S$1213,"="&amp;$S23)+1)/2,"")</f>
        <v/>
      </c>
      <c r="AG23" s="27">
        <f>IF(ISNUMBER($T23),COUNTIFS($A$14:$A$1213,$A23,$T$14:$T$1213,"&gt;"&amp;$T23)+(COUNTIFS($A$14:$A$1213,$A23,$T$14:$T$1213,"="&amp;$T23)+1)/2,"")</f>
        <v/>
      </c>
      <c r="AH23" s="27">
        <f>IF(COUNT($AC23:$AG23)&lt;2,"",IF(MAX($AC23:$AG23)=MIN($AC23:$AG23),0,1))</f>
        <v/>
      </c>
      <c r="AI23" s="27">
        <f>IF($A23="","",IF(COUNTIF($A$14:$A23,$A23)=1,COUNTIF($AI$13:AI22,"&gt;0")+1,""))</f>
        <v/>
      </c>
      <c r="AJ23" s="27">
        <f>IF(OR($H23="",COUNTIFS($A$14:$A$1213,$H23,$F$14:$F$1213,"&gt;=0")&lt;2,COUNTIFS($A$14:$A$1213,$H23,$F$14:$F$1213,_xlfn.MAXIFS($F$14:$F$1213,$A$14:$A$1213,$H23))&gt;1),"",IFERROR(INDEX($D$14:$D$1213,MATCH($H23&amp;"|"&amp;_xlfn.MAXIFS($F$14:$F$1213,$A$14:$A$1213,$H23),$AB$14:$AB$1213,0)),""))</f>
        <v/>
      </c>
      <c r="AK23" s="27">
        <f>IF(OR($H23="",COUNTIFS($A$14:$A$1213,$H23,$F$14:$F$1213,"&gt;=0")&lt;2,COUNTIFS($A$14:$A$1213,$H23,$F$14:$F$1213,_xlfn.MAXIFS($F$14:$F$1213,$A$14:$A$1213,$H23))&gt;1),"",IFERROR(INDEX($E$14:$E$1213,MATCH($H23&amp;"|"&amp;_xlfn.MAXIFS($F$14:$F$1213,$A$14:$A$1213,$H23),$AB$14:$AB$1213,0)),""))</f>
        <v/>
      </c>
      <c r="AL23" s="27">
        <f>IF(OR($H23="",COUNTIFS($A$14:$A$1213,$H23,$F$14:$F$1213,"&gt;=0")&lt;2,COUNTIFS($A$14:$A$1213,$H23,$F$14:$F$1213,_xlfn.MAXIFS($F$14:$F$1213,$A$14:$A$1213,$H23))&gt;1),"",IFERROR(INDEX($D$14:$D$1213,MATCH($H23&amp;"|"&amp;_xlfn.MAXIFS($F$14:$F$1213,$A$14:$A$1213,$H23,$F$14:$F$1213,"&lt;"&amp;_xlfn.MAXIFS($F$14:$F$1213,$A$14:$A$1213,$H23)),$AB$14:$AB$1213,0)),""))</f>
        <v/>
      </c>
      <c r="AM23" s="27">
        <f>IF(OR($H23="",COUNTIFS($A$14:$A$1213,$H23,$F$14:$F$1213,"&gt;=0")&lt;2,COUNTIFS($A$14:$A$1213,$H23,$F$14:$F$1213,_xlfn.MAXIFS($F$14:$F$1213,$A$14:$A$1213,$H23))&gt;1),"",IFERROR(INDEX($E$14:$E$1213,MATCH($H23&amp;"|"&amp;_xlfn.MAXIFS($F$14:$F$1213,$A$14:$A$1213,$H23,$F$14:$F$1213,"&lt;"&amp;_xlfn.MAXIFS($F$14:$F$1213,$A$14:$A$1213,$H23)),$AB$14:$AB$1213,0)),""))</f>
        <v/>
      </c>
      <c r="AN23" s="27">
        <f>IF(OR(NOT(ISNUMBER($AJ23)),NOT(ISNUMBER($AL23)),$AK23=0,$AM23=0),"",IF(OR((($AJ23+$AL23)/($AK23+$AM23))&lt;=0,(($AJ23+$AL23)/($AK23+$AM23))&gt;=1),"",($AJ23/$AK23-$AL23/$AM23)/SQRT((($AJ23+$AL23)/($AK23+$AM23))*(1-(($AJ23+$AL23)/($AK23+$AM23)))*(1/$AK23+1/$AM23))))</f>
        <v/>
      </c>
      <c r="AO23" s="27">
        <f>IF($A23="","",IF(AND(COUNTIFS($A$14:$A$1213,$A23,$F$14:$F$1213,"&gt;=0")=2,IFERROR(INDEX($M$14:$M$313,MATCH($A23,$H$14:$H$313,0)),"Yes")&lt;&gt;"Yes"),1,0))</f>
        <v/>
      </c>
    </row>
    <row r="24" ht="24" customHeight="1">
      <c r="A24" s="19">
        <f>IF('Enter messages'!A24="","",'Enter messages'!A24)</f>
        <v/>
      </c>
      <c r="B24" s="20">
        <f>IF('Enter messages'!B24="","",'Enter messages'!B24)</f>
        <v/>
      </c>
      <c r="C24" s="21">
        <f>IFERROR(AVERAGE(P24:T24),"")</f>
        <v/>
      </c>
      <c r="D24" s="29" t="n"/>
      <c r="E24" s="29" t="n"/>
      <c r="F24" s="30">
        <f>IF(AND(ISNUMBER($D24),ISNUMBER($E24),$E24&gt;0,$D24&lt;=$E24),$D24/$E24,"")</f>
        <v/>
      </c>
      <c r="H24" s="19">
        <f>IFERROR(INDEX($A$14:$A$1213,MATCH(11,$AI$14:$AI$1213,0)),"")</f>
        <v/>
      </c>
      <c r="I24" s="24">
        <f>IF($H24="","",IF(COUNTIFS($A$14:$A$1213,$H24,$C$14:$C$1213,"&gt;=0")=0,"—",IFERROR(INDEX($B$14:$B$1213,MATCH($H24&amp;"|1",$Z$14:$Z$1213,0)),"(tied)")))</f>
        <v/>
      </c>
      <c r="J24" s="25">
        <f>IF($H24="","",IF(OR(COUNTIFS($A$14:$A$1213,$H24,$C$14:$C$1213,"&gt;=0")=0,COUNTIFS($A$14:$A$1213,$H24,$F$14:$F$1213,"&gt;=0")=0),"—",IF(OR(ISERROR(MATCH($H24&amp;"|1",$Z$14:$Z$1213,0)),ISERROR(MATCH($H24&amp;"|1",$AA$14:$AA$1213,0))),"Tie",IF(MATCH($H24&amp;"|1",$Z$14:$Z$1213,0)=MATCH($H24&amp;"|1",$AA$14:$AA$1213,0),"Hit","Miss"))))</f>
        <v/>
      </c>
      <c r="K24" s="24">
        <f>IF($H24="","",IF(COUNTIFS($A$14:$A$1213,$H24,$F$14:$F$1213,"&gt;=0")=0,"—",IFERROR(INDEX($B$14:$B$1213,MATCH($H24&amp;"|1",$AA$14:$AA$1213,0)),"(tied)")))</f>
        <v/>
      </c>
      <c r="L24" s="25">
        <f>IF($H24="","",IF((--(COUNTIFS($A$14:$A$1213,$H24,$P$14:$P$1213,"&gt;=0")&gt;0)+--(COUNTIFS($A$14:$A$1213,$H24,$Q$14:$Q$1213,"&gt;=0")&gt;0)+--(COUNTIFS($A$14:$A$1213,$H24,$R$14:$R$1213,"&gt;=0")&gt;0)+--(COUNTIFS($A$14:$A$1213,$H24,$S$14:$S$1213,"&gt;=0")&gt;0)+--(COUNTIFS($A$14:$A$1213,$H24,$T$14:$T$1213,"&gt;=0")&gt;0))&lt;2,"—",IF(SUMIFS($AH$14:$AH$1213,$A$14:$A$1213,$H24)=0,"Yes","No")))</f>
        <v/>
      </c>
      <c r="M24" s="25">
        <f>IF($H24="","",IF(COUNTIFS($A$14:$A$1213,$H24,$F$14:$F$1213,"&gt;=0")&lt;2,"—",IF(COUNTIFS($A$14:$A$1213,$H24,$F$14:$F$1213,_xlfn.MAXIFS($F$14:$F$1213,$A$14:$A$1213,$H24))&gt;1,"No",IF(NOT(ISNUMBER($AN24)),"—",IF((2*(1-NORMSDIST(ABS($AN24))))&lt;0.05,"Yes","No")))))</f>
        <v/>
      </c>
      <c r="N24" s="21">
        <f>IF($H24="","",IF(NOT(ISNUMBER($AN24)),"—",IF((2*(1-NORMSDIST(ABS($AN24))))&lt;0.001,"&lt;0.001",TEXT((2*(1-NORMSDIST(ABS($AN24)))),"0.000"))))</f>
        <v/>
      </c>
      <c r="P24" s="26" t="n"/>
      <c r="Q24" s="26" t="n"/>
      <c r="R24" s="26" t="n"/>
      <c r="S24" s="26" t="n"/>
      <c r="T24" s="26" t="n"/>
      <c r="V24" s="27">
        <f>IF(ISNUMBER($C24),COUNTIFS($A$14:$A$1213,$A24,$C$14:$C$1213,"&gt;"&amp;$C24)+(COUNTIFS($A$14:$A$1213,$A24,$C$14:$C$1213,"="&amp;$C24)+1)/2,"")</f>
        <v/>
      </c>
      <c r="W24" s="27">
        <f>IF(ISNUMBER($F24),COUNTIFS($A$14:$A$1213,$A24,$F$14:$F$1213,"&gt;"&amp;$F24)+(COUNTIFS($A$14:$A$1213,$A24,$F$14:$F$1213,"="&amp;$F24)+1)/2,"")</f>
        <v/>
      </c>
      <c r="X24" s="27">
        <f>IF(OR(NOT(ISNUMBER($V24)),$AO24=1),"",$V24-(COUNTIFS($A$14:$A$1213,$A24,$C$14:$C$1213,"&gt;=0")+1)/2)</f>
        <v/>
      </c>
      <c r="Y24" s="27">
        <f>IF(OR(NOT(ISNUMBER($W24)),$AO24=1),"",$W24-(COUNTIFS($A$14:$A$1213,$A24,$F$14:$F$1213,"&gt;=0")+1)/2)</f>
        <v/>
      </c>
      <c r="Z24" s="27">
        <f>IF(ISNUMBER($V24),$A24&amp;"|"&amp;$V24,"")</f>
        <v/>
      </c>
      <c r="AA24" s="27">
        <f>IF(ISNUMBER($W24),$A24&amp;"|"&amp;$W24,"")</f>
        <v/>
      </c>
      <c r="AB24" s="27">
        <f>IF(ISNUMBER($F24),$A24&amp;"|"&amp;$F24,"")</f>
        <v/>
      </c>
      <c r="AC24" s="27">
        <f>IF(ISNUMBER($P24),COUNTIFS($A$14:$A$1213,$A24,$P$14:$P$1213,"&gt;"&amp;$P24)+(COUNTIFS($A$14:$A$1213,$A24,$P$14:$P$1213,"="&amp;$P24)+1)/2,"")</f>
        <v/>
      </c>
      <c r="AD24" s="27">
        <f>IF(ISNUMBER($Q24),COUNTIFS($A$14:$A$1213,$A24,$Q$14:$Q$1213,"&gt;"&amp;$Q24)+(COUNTIFS($A$14:$A$1213,$A24,$Q$14:$Q$1213,"="&amp;$Q24)+1)/2,"")</f>
        <v/>
      </c>
      <c r="AE24" s="27">
        <f>IF(ISNUMBER($R24),COUNTIFS($A$14:$A$1213,$A24,$R$14:$R$1213,"&gt;"&amp;$R24)+(COUNTIFS($A$14:$A$1213,$A24,$R$14:$R$1213,"="&amp;$R24)+1)/2,"")</f>
        <v/>
      </c>
      <c r="AF24" s="27">
        <f>IF(ISNUMBER($S24),COUNTIFS($A$14:$A$1213,$A24,$S$14:$S$1213,"&gt;"&amp;$S24)+(COUNTIFS($A$14:$A$1213,$A24,$S$14:$S$1213,"="&amp;$S24)+1)/2,"")</f>
        <v/>
      </c>
      <c r="AG24" s="27">
        <f>IF(ISNUMBER($T24),COUNTIFS($A$14:$A$1213,$A24,$T$14:$T$1213,"&gt;"&amp;$T24)+(COUNTIFS($A$14:$A$1213,$A24,$T$14:$T$1213,"="&amp;$T24)+1)/2,"")</f>
        <v/>
      </c>
      <c r="AH24" s="27">
        <f>IF(COUNT($AC24:$AG24)&lt;2,"",IF(MAX($AC24:$AG24)=MIN($AC24:$AG24),0,1))</f>
        <v/>
      </c>
      <c r="AI24" s="27">
        <f>IF($A24="","",IF(COUNTIF($A$14:$A24,$A24)=1,COUNTIF($AI$13:AI23,"&gt;0")+1,""))</f>
        <v/>
      </c>
      <c r="AJ24" s="27">
        <f>IF(OR($H24="",COUNTIFS($A$14:$A$1213,$H24,$F$14:$F$1213,"&gt;=0")&lt;2,COUNTIFS($A$14:$A$1213,$H24,$F$14:$F$1213,_xlfn.MAXIFS($F$14:$F$1213,$A$14:$A$1213,$H24))&gt;1),"",IFERROR(INDEX($D$14:$D$1213,MATCH($H24&amp;"|"&amp;_xlfn.MAXIFS($F$14:$F$1213,$A$14:$A$1213,$H24),$AB$14:$AB$1213,0)),""))</f>
        <v/>
      </c>
      <c r="AK24" s="27">
        <f>IF(OR($H24="",COUNTIFS($A$14:$A$1213,$H24,$F$14:$F$1213,"&gt;=0")&lt;2,COUNTIFS($A$14:$A$1213,$H24,$F$14:$F$1213,_xlfn.MAXIFS($F$14:$F$1213,$A$14:$A$1213,$H24))&gt;1),"",IFERROR(INDEX($E$14:$E$1213,MATCH($H24&amp;"|"&amp;_xlfn.MAXIFS($F$14:$F$1213,$A$14:$A$1213,$H24),$AB$14:$AB$1213,0)),""))</f>
        <v/>
      </c>
      <c r="AL24" s="27">
        <f>IF(OR($H24="",COUNTIFS($A$14:$A$1213,$H24,$F$14:$F$1213,"&gt;=0")&lt;2,COUNTIFS($A$14:$A$1213,$H24,$F$14:$F$1213,_xlfn.MAXIFS($F$14:$F$1213,$A$14:$A$1213,$H24))&gt;1),"",IFERROR(INDEX($D$14:$D$1213,MATCH($H24&amp;"|"&amp;_xlfn.MAXIFS($F$14:$F$1213,$A$14:$A$1213,$H24,$F$14:$F$1213,"&lt;"&amp;_xlfn.MAXIFS($F$14:$F$1213,$A$14:$A$1213,$H24)),$AB$14:$AB$1213,0)),""))</f>
        <v/>
      </c>
      <c r="AM24" s="27">
        <f>IF(OR($H24="",COUNTIFS($A$14:$A$1213,$H24,$F$14:$F$1213,"&gt;=0")&lt;2,COUNTIFS($A$14:$A$1213,$H24,$F$14:$F$1213,_xlfn.MAXIFS($F$14:$F$1213,$A$14:$A$1213,$H24))&gt;1),"",IFERROR(INDEX($E$14:$E$1213,MATCH($H24&amp;"|"&amp;_xlfn.MAXIFS($F$14:$F$1213,$A$14:$A$1213,$H24,$F$14:$F$1213,"&lt;"&amp;_xlfn.MAXIFS($F$14:$F$1213,$A$14:$A$1213,$H24)),$AB$14:$AB$1213,0)),""))</f>
        <v/>
      </c>
      <c r="AN24" s="27">
        <f>IF(OR(NOT(ISNUMBER($AJ24)),NOT(ISNUMBER($AL24)),$AK24=0,$AM24=0),"",IF(OR((($AJ24+$AL24)/($AK24+$AM24))&lt;=0,(($AJ24+$AL24)/($AK24+$AM24))&gt;=1),"",($AJ24/$AK24-$AL24/$AM24)/SQRT((($AJ24+$AL24)/($AK24+$AM24))*(1-(($AJ24+$AL24)/($AK24+$AM24)))*(1/$AK24+1/$AM24))))</f>
        <v/>
      </c>
      <c r="AO24" s="27">
        <f>IF($A24="","",IF(AND(COUNTIFS($A$14:$A$1213,$A24,$F$14:$F$1213,"&gt;=0")=2,IFERROR(INDEX($M$14:$M$313,MATCH($A24,$H$14:$H$313,0)),"Yes")&lt;&gt;"Yes"),1,0))</f>
        <v/>
      </c>
    </row>
    <row r="25" ht="24" customHeight="1">
      <c r="A25" s="19">
        <f>IF('Enter messages'!A25="","",'Enter messages'!A25)</f>
        <v/>
      </c>
      <c r="B25" s="20">
        <f>IF('Enter messages'!B25="","",'Enter messages'!B25)</f>
        <v/>
      </c>
      <c r="C25" s="21">
        <f>IFERROR(AVERAGE(P25:T25),"")</f>
        <v/>
      </c>
      <c r="D25" s="29" t="n"/>
      <c r="E25" s="29" t="n"/>
      <c r="F25" s="30">
        <f>IF(AND(ISNUMBER($D25),ISNUMBER($E25),$E25&gt;0,$D25&lt;=$E25),$D25/$E25,"")</f>
        <v/>
      </c>
      <c r="H25" s="19">
        <f>IFERROR(INDEX($A$14:$A$1213,MATCH(12,$AI$14:$AI$1213,0)),"")</f>
        <v/>
      </c>
      <c r="I25" s="24">
        <f>IF($H25="","",IF(COUNTIFS($A$14:$A$1213,$H25,$C$14:$C$1213,"&gt;=0")=0,"—",IFERROR(INDEX($B$14:$B$1213,MATCH($H25&amp;"|1",$Z$14:$Z$1213,0)),"(tied)")))</f>
        <v/>
      </c>
      <c r="J25" s="25">
        <f>IF($H25="","",IF(OR(COUNTIFS($A$14:$A$1213,$H25,$C$14:$C$1213,"&gt;=0")=0,COUNTIFS($A$14:$A$1213,$H25,$F$14:$F$1213,"&gt;=0")=0),"—",IF(OR(ISERROR(MATCH($H25&amp;"|1",$Z$14:$Z$1213,0)),ISERROR(MATCH($H25&amp;"|1",$AA$14:$AA$1213,0))),"Tie",IF(MATCH($H25&amp;"|1",$Z$14:$Z$1213,0)=MATCH($H25&amp;"|1",$AA$14:$AA$1213,0),"Hit","Miss"))))</f>
        <v/>
      </c>
      <c r="K25" s="24">
        <f>IF($H25="","",IF(COUNTIFS($A$14:$A$1213,$H25,$F$14:$F$1213,"&gt;=0")=0,"—",IFERROR(INDEX($B$14:$B$1213,MATCH($H25&amp;"|1",$AA$14:$AA$1213,0)),"(tied)")))</f>
        <v/>
      </c>
      <c r="L25" s="25">
        <f>IF($H25="","",IF((--(COUNTIFS($A$14:$A$1213,$H25,$P$14:$P$1213,"&gt;=0")&gt;0)+--(COUNTIFS($A$14:$A$1213,$H25,$Q$14:$Q$1213,"&gt;=0")&gt;0)+--(COUNTIFS($A$14:$A$1213,$H25,$R$14:$R$1213,"&gt;=0")&gt;0)+--(COUNTIFS($A$14:$A$1213,$H25,$S$14:$S$1213,"&gt;=0")&gt;0)+--(COUNTIFS($A$14:$A$1213,$H25,$T$14:$T$1213,"&gt;=0")&gt;0))&lt;2,"—",IF(SUMIFS($AH$14:$AH$1213,$A$14:$A$1213,$H25)=0,"Yes","No")))</f>
        <v/>
      </c>
      <c r="M25" s="25">
        <f>IF($H25="","",IF(COUNTIFS($A$14:$A$1213,$H25,$F$14:$F$1213,"&gt;=0")&lt;2,"—",IF(COUNTIFS($A$14:$A$1213,$H25,$F$14:$F$1213,_xlfn.MAXIFS($F$14:$F$1213,$A$14:$A$1213,$H25))&gt;1,"No",IF(NOT(ISNUMBER($AN25)),"—",IF((2*(1-NORMSDIST(ABS($AN25))))&lt;0.05,"Yes","No")))))</f>
        <v/>
      </c>
      <c r="N25" s="21">
        <f>IF($H25="","",IF(NOT(ISNUMBER($AN25)),"—",IF((2*(1-NORMSDIST(ABS($AN25))))&lt;0.001,"&lt;0.001",TEXT((2*(1-NORMSDIST(ABS($AN25)))),"0.000"))))</f>
        <v/>
      </c>
      <c r="P25" s="26" t="n"/>
      <c r="Q25" s="26" t="n"/>
      <c r="R25" s="26" t="n"/>
      <c r="S25" s="26" t="n"/>
      <c r="T25" s="26" t="n"/>
      <c r="V25" s="27">
        <f>IF(ISNUMBER($C25),COUNTIFS($A$14:$A$1213,$A25,$C$14:$C$1213,"&gt;"&amp;$C25)+(COUNTIFS($A$14:$A$1213,$A25,$C$14:$C$1213,"="&amp;$C25)+1)/2,"")</f>
        <v/>
      </c>
      <c r="W25" s="27">
        <f>IF(ISNUMBER($F25),COUNTIFS($A$14:$A$1213,$A25,$F$14:$F$1213,"&gt;"&amp;$F25)+(COUNTIFS($A$14:$A$1213,$A25,$F$14:$F$1213,"="&amp;$F25)+1)/2,"")</f>
        <v/>
      </c>
      <c r="X25" s="27">
        <f>IF(OR(NOT(ISNUMBER($V25)),$AO25=1),"",$V25-(COUNTIFS($A$14:$A$1213,$A25,$C$14:$C$1213,"&gt;=0")+1)/2)</f>
        <v/>
      </c>
      <c r="Y25" s="27">
        <f>IF(OR(NOT(ISNUMBER($W25)),$AO25=1),"",$W25-(COUNTIFS($A$14:$A$1213,$A25,$F$14:$F$1213,"&gt;=0")+1)/2)</f>
        <v/>
      </c>
      <c r="Z25" s="27">
        <f>IF(ISNUMBER($V25),$A25&amp;"|"&amp;$V25,"")</f>
        <v/>
      </c>
      <c r="AA25" s="27">
        <f>IF(ISNUMBER($W25),$A25&amp;"|"&amp;$W25,"")</f>
        <v/>
      </c>
      <c r="AB25" s="27">
        <f>IF(ISNUMBER($F25),$A25&amp;"|"&amp;$F25,"")</f>
        <v/>
      </c>
      <c r="AC25" s="27">
        <f>IF(ISNUMBER($P25),COUNTIFS($A$14:$A$1213,$A25,$P$14:$P$1213,"&gt;"&amp;$P25)+(COUNTIFS($A$14:$A$1213,$A25,$P$14:$P$1213,"="&amp;$P25)+1)/2,"")</f>
        <v/>
      </c>
      <c r="AD25" s="27">
        <f>IF(ISNUMBER($Q25),COUNTIFS($A$14:$A$1213,$A25,$Q$14:$Q$1213,"&gt;"&amp;$Q25)+(COUNTIFS($A$14:$A$1213,$A25,$Q$14:$Q$1213,"="&amp;$Q25)+1)/2,"")</f>
        <v/>
      </c>
      <c r="AE25" s="27">
        <f>IF(ISNUMBER($R25),COUNTIFS($A$14:$A$1213,$A25,$R$14:$R$1213,"&gt;"&amp;$R25)+(COUNTIFS($A$14:$A$1213,$A25,$R$14:$R$1213,"="&amp;$R25)+1)/2,"")</f>
        <v/>
      </c>
      <c r="AF25" s="27">
        <f>IF(ISNUMBER($S25),COUNTIFS($A$14:$A$1213,$A25,$S$14:$S$1213,"&gt;"&amp;$S25)+(COUNTIFS($A$14:$A$1213,$A25,$S$14:$S$1213,"="&amp;$S25)+1)/2,"")</f>
        <v/>
      </c>
      <c r="AG25" s="27">
        <f>IF(ISNUMBER($T25),COUNTIFS($A$14:$A$1213,$A25,$T$14:$T$1213,"&gt;"&amp;$T25)+(COUNTIFS($A$14:$A$1213,$A25,$T$14:$T$1213,"="&amp;$T25)+1)/2,"")</f>
        <v/>
      </c>
      <c r="AH25" s="27">
        <f>IF(COUNT($AC25:$AG25)&lt;2,"",IF(MAX($AC25:$AG25)=MIN($AC25:$AG25),0,1))</f>
        <v/>
      </c>
      <c r="AI25" s="27">
        <f>IF($A25="","",IF(COUNTIF($A$14:$A25,$A25)=1,COUNTIF($AI$13:AI24,"&gt;0")+1,""))</f>
        <v/>
      </c>
      <c r="AJ25" s="27">
        <f>IF(OR($H25="",COUNTIFS($A$14:$A$1213,$H25,$F$14:$F$1213,"&gt;=0")&lt;2,COUNTIFS($A$14:$A$1213,$H25,$F$14:$F$1213,_xlfn.MAXIFS($F$14:$F$1213,$A$14:$A$1213,$H25))&gt;1),"",IFERROR(INDEX($D$14:$D$1213,MATCH($H25&amp;"|"&amp;_xlfn.MAXIFS($F$14:$F$1213,$A$14:$A$1213,$H25),$AB$14:$AB$1213,0)),""))</f>
        <v/>
      </c>
      <c r="AK25" s="27">
        <f>IF(OR($H25="",COUNTIFS($A$14:$A$1213,$H25,$F$14:$F$1213,"&gt;=0")&lt;2,COUNTIFS($A$14:$A$1213,$H25,$F$14:$F$1213,_xlfn.MAXIFS($F$14:$F$1213,$A$14:$A$1213,$H25))&gt;1),"",IFERROR(INDEX($E$14:$E$1213,MATCH($H25&amp;"|"&amp;_xlfn.MAXIFS($F$14:$F$1213,$A$14:$A$1213,$H25),$AB$14:$AB$1213,0)),""))</f>
        <v/>
      </c>
      <c r="AL25" s="27">
        <f>IF(OR($H25="",COUNTIFS($A$14:$A$1213,$H25,$F$14:$F$1213,"&gt;=0")&lt;2,COUNTIFS($A$14:$A$1213,$H25,$F$14:$F$1213,_xlfn.MAXIFS($F$14:$F$1213,$A$14:$A$1213,$H25))&gt;1),"",IFERROR(INDEX($D$14:$D$1213,MATCH($H25&amp;"|"&amp;_xlfn.MAXIFS($F$14:$F$1213,$A$14:$A$1213,$H25,$F$14:$F$1213,"&lt;"&amp;_xlfn.MAXIFS($F$14:$F$1213,$A$14:$A$1213,$H25)),$AB$14:$AB$1213,0)),""))</f>
        <v/>
      </c>
      <c r="AM25" s="27">
        <f>IF(OR($H25="",COUNTIFS($A$14:$A$1213,$H25,$F$14:$F$1213,"&gt;=0")&lt;2,COUNTIFS($A$14:$A$1213,$H25,$F$14:$F$1213,_xlfn.MAXIFS($F$14:$F$1213,$A$14:$A$1213,$H25))&gt;1),"",IFERROR(INDEX($E$14:$E$1213,MATCH($H25&amp;"|"&amp;_xlfn.MAXIFS($F$14:$F$1213,$A$14:$A$1213,$H25,$F$14:$F$1213,"&lt;"&amp;_xlfn.MAXIFS($F$14:$F$1213,$A$14:$A$1213,$H25)),$AB$14:$AB$1213,0)),""))</f>
        <v/>
      </c>
      <c r="AN25" s="27">
        <f>IF(OR(NOT(ISNUMBER($AJ25)),NOT(ISNUMBER($AL25)),$AK25=0,$AM25=0),"",IF(OR((($AJ25+$AL25)/($AK25+$AM25))&lt;=0,(($AJ25+$AL25)/($AK25+$AM25))&gt;=1),"",($AJ25/$AK25-$AL25/$AM25)/SQRT((($AJ25+$AL25)/($AK25+$AM25))*(1-(($AJ25+$AL25)/($AK25+$AM25)))*(1/$AK25+1/$AM25))))</f>
        <v/>
      </c>
      <c r="AO25" s="27">
        <f>IF($A25="","",IF(AND(COUNTIFS($A$14:$A$1213,$A25,$F$14:$F$1213,"&gt;=0")=2,IFERROR(INDEX($M$14:$M$313,MATCH($A25,$H$14:$H$313,0)),"Yes")&lt;&gt;"Yes"),1,0))</f>
        <v/>
      </c>
    </row>
    <row r="26" ht="24" customHeight="1">
      <c r="A26" s="19">
        <f>IF('Enter messages'!A26="","",'Enter messages'!A26)</f>
        <v/>
      </c>
      <c r="B26" s="20">
        <f>IF('Enter messages'!B26="","",'Enter messages'!B26)</f>
        <v/>
      </c>
      <c r="C26" s="21">
        <f>IFERROR(AVERAGE(P26:T26),"")</f>
        <v/>
      </c>
      <c r="D26" s="29" t="n"/>
      <c r="E26" s="29" t="n"/>
      <c r="F26" s="30">
        <f>IF(AND(ISNUMBER($D26),ISNUMBER($E26),$E26&gt;0,$D26&lt;=$E26),$D26/$E26,"")</f>
        <v/>
      </c>
      <c r="H26" s="19">
        <f>IFERROR(INDEX($A$14:$A$1213,MATCH(13,$AI$14:$AI$1213,0)),"")</f>
        <v/>
      </c>
      <c r="I26" s="24">
        <f>IF($H26="","",IF(COUNTIFS($A$14:$A$1213,$H26,$C$14:$C$1213,"&gt;=0")=0,"—",IFERROR(INDEX($B$14:$B$1213,MATCH($H26&amp;"|1",$Z$14:$Z$1213,0)),"(tied)")))</f>
        <v/>
      </c>
      <c r="J26" s="25">
        <f>IF($H26="","",IF(OR(COUNTIFS($A$14:$A$1213,$H26,$C$14:$C$1213,"&gt;=0")=0,COUNTIFS($A$14:$A$1213,$H26,$F$14:$F$1213,"&gt;=0")=0),"—",IF(OR(ISERROR(MATCH($H26&amp;"|1",$Z$14:$Z$1213,0)),ISERROR(MATCH($H26&amp;"|1",$AA$14:$AA$1213,0))),"Tie",IF(MATCH($H26&amp;"|1",$Z$14:$Z$1213,0)=MATCH($H26&amp;"|1",$AA$14:$AA$1213,0),"Hit","Miss"))))</f>
        <v/>
      </c>
      <c r="K26" s="24">
        <f>IF($H26="","",IF(COUNTIFS($A$14:$A$1213,$H26,$F$14:$F$1213,"&gt;=0")=0,"—",IFERROR(INDEX($B$14:$B$1213,MATCH($H26&amp;"|1",$AA$14:$AA$1213,0)),"(tied)")))</f>
        <v/>
      </c>
      <c r="L26" s="25">
        <f>IF($H26="","",IF((--(COUNTIFS($A$14:$A$1213,$H26,$P$14:$P$1213,"&gt;=0")&gt;0)+--(COUNTIFS($A$14:$A$1213,$H26,$Q$14:$Q$1213,"&gt;=0")&gt;0)+--(COUNTIFS($A$14:$A$1213,$H26,$R$14:$R$1213,"&gt;=0")&gt;0)+--(COUNTIFS($A$14:$A$1213,$H26,$S$14:$S$1213,"&gt;=0")&gt;0)+--(COUNTIFS($A$14:$A$1213,$H26,$T$14:$T$1213,"&gt;=0")&gt;0))&lt;2,"—",IF(SUMIFS($AH$14:$AH$1213,$A$14:$A$1213,$H26)=0,"Yes","No")))</f>
        <v/>
      </c>
      <c r="M26" s="25">
        <f>IF($H26="","",IF(COUNTIFS($A$14:$A$1213,$H26,$F$14:$F$1213,"&gt;=0")&lt;2,"—",IF(COUNTIFS($A$14:$A$1213,$H26,$F$14:$F$1213,_xlfn.MAXIFS($F$14:$F$1213,$A$14:$A$1213,$H26))&gt;1,"No",IF(NOT(ISNUMBER($AN26)),"—",IF((2*(1-NORMSDIST(ABS($AN26))))&lt;0.05,"Yes","No")))))</f>
        <v/>
      </c>
      <c r="N26" s="21">
        <f>IF($H26="","",IF(NOT(ISNUMBER($AN26)),"—",IF((2*(1-NORMSDIST(ABS($AN26))))&lt;0.001,"&lt;0.001",TEXT((2*(1-NORMSDIST(ABS($AN26)))),"0.000"))))</f>
        <v/>
      </c>
      <c r="P26" s="26" t="n"/>
      <c r="Q26" s="26" t="n"/>
      <c r="R26" s="26" t="n"/>
      <c r="S26" s="26" t="n"/>
      <c r="T26" s="26" t="n"/>
      <c r="V26" s="27">
        <f>IF(ISNUMBER($C26),COUNTIFS($A$14:$A$1213,$A26,$C$14:$C$1213,"&gt;"&amp;$C26)+(COUNTIFS($A$14:$A$1213,$A26,$C$14:$C$1213,"="&amp;$C26)+1)/2,"")</f>
        <v/>
      </c>
      <c r="W26" s="27">
        <f>IF(ISNUMBER($F26),COUNTIFS($A$14:$A$1213,$A26,$F$14:$F$1213,"&gt;"&amp;$F26)+(COUNTIFS($A$14:$A$1213,$A26,$F$14:$F$1213,"="&amp;$F26)+1)/2,"")</f>
        <v/>
      </c>
      <c r="X26" s="27">
        <f>IF(OR(NOT(ISNUMBER($V26)),$AO26=1),"",$V26-(COUNTIFS($A$14:$A$1213,$A26,$C$14:$C$1213,"&gt;=0")+1)/2)</f>
        <v/>
      </c>
      <c r="Y26" s="27">
        <f>IF(OR(NOT(ISNUMBER($W26)),$AO26=1),"",$W26-(COUNTIFS($A$14:$A$1213,$A26,$F$14:$F$1213,"&gt;=0")+1)/2)</f>
        <v/>
      </c>
      <c r="Z26" s="27">
        <f>IF(ISNUMBER($V26),$A26&amp;"|"&amp;$V26,"")</f>
        <v/>
      </c>
      <c r="AA26" s="27">
        <f>IF(ISNUMBER($W26),$A26&amp;"|"&amp;$W26,"")</f>
        <v/>
      </c>
      <c r="AB26" s="27">
        <f>IF(ISNUMBER($F26),$A26&amp;"|"&amp;$F26,"")</f>
        <v/>
      </c>
      <c r="AC26" s="27">
        <f>IF(ISNUMBER($P26),COUNTIFS($A$14:$A$1213,$A26,$P$14:$P$1213,"&gt;"&amp;$P26)+(COUNTIFS($A$14:$A$1213,$A26,$P$14:$P$1213,"="&amp;$P26)+1)/2,"")</f>
        <v/>
      </c>
      <c r="AD26" s="27">
        <f>IF(ISNUMBER($Q26),COUNTIFS($A$14:$A$1213,$A26,$Q$14:$Q$1213,"&gt;"&amp;$Q26)+(COUNTIFS($A$14:$A$1213,$A26,$Q$14:$Q$1213,"="&amp;$Q26)+1)/2,"")</f>
        <v/>
      </c>
      <c r="AE26" s="27">
        <f>IF(ISNUMBER($R26),COUNTIFS($A$14:$A$1213,$A26,$R$14:$R$1213,"&gt;"&amp;$R26)+(COUNTIFS($A$14:$A$1213,$A26,$R$14:$R$1213,"="&amp;$R26)+1)/2,"")</f>
        <v/>
      </c>
      <c r="AF26" s="27">
        <f>IF(ISNUMBER($S26),COUNTIFS($A$14:$A$1213,$A26,$S$14:$S$1213,"&gt;"&amp;$S26)+(COUNTIFS($A$14:$A$1213,$A26,$S$14:$S$1213,"="&amp;$S26)+1)/2,"")</f>
        <v/>
      </c>
      <c r="AG26" s="27">
        <f>IF(ISNUMBER($T26),COUNTIFS($A$14:$A$1213,$A26,$T$14:$T$1213,"&gt;"&amp;$T26)+(COUNTIFS($A$14:$A$1213,$A26,$T$14:$T$1213,"="&amp;$T26)+1)/2,"")</f>
        <v/>
      </c>
      <c r="AH26" s="27">
        <f>IF(COUNT($AC26:$AG26)&lt;2,"",IF(MAX($AC26:$AG26)=MIN($AC26:$AG26),0,1))</f>
        <v/>
      </c>
      <c r="AI26" s="27">
        <f>IF($A26="","",IF(COUNTIF($A$14:$A26,$A26)=1,COUNTIF($AI$13:AI25,"&gt;0")+1,""))</f>
        <v/>
      </c>
      <c r="AJ26" s="27">
        <f>IF(OR($H26="",COUNTIFS($A$14:$A$1213,$H26,$F$14:$F$1213,"&gt;=0")&lt;2,COUNTIFS($A$14:$A$1213,$H26,$F$14:$F$1213,_xlfn.MAXIFS($F$14:$F$1213,$A$14:$A$1213,$H26))&gt;1),"",IFERROR(INDEX($D$14:$D$1213,MATCH($H26&amp;"|"&amp;_xlfn.MAXIFS($F$14:$F$1213,$A$14:$A$1213,$H26),$AB$14:$AB$1213,0)),""))</f>
        <v/>
      </c>
      <c r="AK26" s="27">
        <f>IF(OR($H26="",COUNTIFS($A$14:$A$1213,$H26,$F$14:$F$1213,"&gt;=0")&lt;2,COUNTIFS($A$14:$A$1213,$H26,$F$14:$F$1213,_xlfn.MAXIFS($F$14:$F$1213,$A$14:$A$1213,$H26))&gt;1),"",IFERROR(INDEX($E$14:$E$1213,MATCH($H26&amp;"|"&amp;_xlfn.MAXIFS($F$14:$F$1213,$A$14:$A$1213,$H26),$AB$14:$AB$1213,0)),""))</f>
        <v/>
      </c>
      <c r="AL26" s="27">
        <f>IF(OR($H26="",COUNTIFS($A$14:$A$1213,$H26,$F$14:$F$1213,"&gt;=0")&lt;2,COUNTIFS($A$14:$A$1213,$H26,$F$14:$F$1213,_xlfn.MAXIFS($F$14:$F$1213,$A$14:$A$1213,$H26))&gt;1),"",IFERROR(INDEX($D$14:$D$1213,MATCH($H26&amp;"|"&amp;_xlfn.MAXIFS($F$14:$F$1213,$A$14:$A$1213,$H26,$F$14:$F$1213,"&lt;"&amp;_xlfn.MAXIFS($F$14:$F$1213,$A$14:$A$1213,$H26)),$AB$14:$AB$1213,0)),""))</f>
        <v/>
      </c>
      <c r="AM26" s="27">
        <f>IF(OR($H26="",COUNTIFS($A$14:$A$1213,$H26,$F$14:$F$1213,"&gt;=0")&lt;2,COUNTIFS($A$14:$A$1213,$H26,$F$14:$F$1213,_xlfn.MAXIFS($F$14:$F$1213,$A$14:$A$1213,$H26))&gt;1),"",IFERROR(INDEX($E$14:$E$1213,MATCH($H26&amp;"|"&amp;_xlfn.MAXIFS($F$14:$F$1213,$A$14:$A$1213,$H26,$F$14:$F$1213,"&lt;"&amp;_xlfn.MAXIFS($F$14:$F$1213,$A$14:$A$1213,$H26)),$AB$14:$AB$1213,0)),""))</f>
        <v/>
      </c>
      <c r="AN26" s="27">
        <f>IF(OR(NOT(ISNUMBER($AJ26)),NOT(ISNUMBER($AL26)),$AK26=0,$AM26=0),"",IF(OR((($AJ26+$AL26)/($AK26+$AM26))&lt;=0,(($AJ26+$AL26)/($AK26+$AM26))&gt;=1),"",($AJ26/$AK26-$AL26/$AM26)/SQRT((($AJ26+$AL26)/($AK26+$AM26))*(1-(($AJ26+$AL26)/($AK26+$AM26)))*(1/$AK26+1/$AM26))))</f>
        <v/>
      </c>
      <c r="AO26" s="27">
        <f>IF($A26="","",IF(AND(COUNTIFS($A$14:$A$1213,$A26,$F$14:$F$1213,"&gt;=0")=2,IFERROR(INDEX($M$14:$M$313,MATCH($A26,$H$14:$H$313,0)),"Yes")&lt;&gt;"Yes"),1,0))</f>
        <v/>
      </c>
    </row>
    <row r="27" ht="24" customHeight="1">
      <c r="A27" s="19">
        <f>IF('Enter messages'!A27="","",'Enter messages'!A27)</f>
        <v/>
      </c>
      <c r="B27" s="20">
        <f>IF('Enter messages'!B27="","",'Enter messages'!B27)</f>
        <v/>
      </c>
      <c r="C27" s="21">
        <f>IFERROR(AVERAGE(P27:T27),"")</f>
        <v/>
      </c>
      <c r="D27" s="29" t="n"/>
      <c r="E27" s="29" t="n"/>
      <c r="F27" s="30">
        <f>IF(AND(ISNUMBER($D27),ISNUMBER($E27),$E27&gt;0,$D27&lt;=$E27),$D27/$E27,"")</f>
        <v/>
      </c>
      <c r="H27" s="19">
        <f>IFERROR(INDEX($A$14:$A$1213,MATCH(14,$AI$14:$AI$1213,0)),"")</f>
        <v/>
      </c>
      <c r="I27" s="24">
        <f>IF($H27="","",IF(COUNTIFS($A$14:$A$1213,$H27,$C$14:$C$1213,"&gt;=0")=0,"—",IFERROR(INDEX($B$14:$B$1213,MATCH($H27&amp;"|1",$Z$14:$Z$1213,0)),"(tied)")))</f>
        <v/>
      </c>
      <c r="J27" s="25">
        <f>IF($H27="","",IF(OR(COUNTIFS($A$14:$A$1213,$H27,$C$14:$C$1213,"&gt;=0")=0,COUNTIFS($A$14:$A$1213,$H27,$F$14:$F$1213,"&gt;=0")=0),"—",IF(OR(ISERROR(MATCH($H27&amp;"|1",$Z$14:$Z$1213,0)),ISERROR(MATCH($H27&amp;"|1",$AA$14:$AA$1213,0))),"Tie",IF(MATCH($H27&amp;"|1",$Z$14:$Z$1213,0)=MATCH($H27&amp;"|1",$AA$14:$AA$1213,0),"Hit","Miss"))))</f>
        <v/>
      </c>
      <c r="K27" s="24">
        <f>IF($H27="","",IF(COUNTIFS($A$14:$A$1213,$H27,$F$14:$F$1213,"&gt;=0")=0,"—",IFERROR(INDEX($B$14:$B$1213,MATCH($H27&amp;"|1",$AA$14:$AA$1213,0)),"(tied)")))</f>
        <v/>
      </c>
      <c r="L27" s="25">
        <f>IF($H27="","",IF((--(COUNTIFS($A$14:$A$1213,$H27,$P$14:$P$1213,"&gt;=0")&gt;0)+--(COUNTIFS($A$14:$A$1213,$H27,$Q$14:$Q$1213,"&gt;=0")&gt;0)+--(COUNTIFS($A$14:$A$1213,$H27,$R$14:$R$1213,"&gt;=0")&gt;0)+--(COUNTIFS($A$14:$A$1213,$H27,$S$14:$S$1213,"&gt;=0")&gt;0)+--(COUNTIFS($A$14:$A$1213,$H27,$T$14:$T$1213,"&gt;=0")&gt;0))&lt;2,"—",IF(SUMIFS($AH$14:$AH$1213,$A$14:$A$1213,$H27)=0,"Yes","No")))</f>
        <v/>
      </c>
      <c r="M27" s="25">
        <f>IF($H27="","",IF(COUNTIFS($A$14:$A$1213,$H27,$F$14:$F$1213,"&gt;=0")&lt;2,"—",IF(COUNTIFS($A$14:$A$1213,$H27,$F$14:$F$1213,_xlfn.MAXIFS($F$14:$F$1213,$A$14:$A$1213,$H27))&gt;1,"No",IF(NOT(ISNUMBER($AN27)),"—",IF((2*(1-NORMSDIST(ABS($AN27))))&lt;0.05,"Yes","No")))))</f>
        <v/>
      </c>
      <c r="N27" s="21">
        <f>IF($H27="","",IF(NOT(ISNUMBER($AN27)),"—",IF((2*(1-NORMSDIST(ABS($AN27))))&lt;0.001,"&lt;0.001",TEXT((2*(1-NORMSDIST(ABS($AN27)))),"0.000"))))</f>
        <v/>
      </c>
      <c r="P27" s="26" t="n"/>
      <c r="Q27" s="26" t="n"/>
      <c r="R27" s="26" t="n"/>
      <c r="S27" s="26" t="n"/>
      <c r="T27" s="26" t="n"/>
      <c r="V27" s="27">
        <f>IF(ISNUMBER($C27),COUNTIFS($A$14:$A$1213,$A27,$C$14:$C$1213,"&gt;"&amp;$C27)+(COUNTIFS($A$14:$A$1213,$A27,$C$14:$C$1213,"="&amp;$C27)+1)/2,"")</f>
        <v/>
      </c>
      <c r="W27" s="27">
        <f>IF(ISNUMBER($F27),COUNTIFS($A$14:$A$1213,$A27,$F$14:$F$1213,"&gt;"&amp;$F27)+(COUNTIFS($A$14:$A$1213,$A27,$F$14:$F$1213,"="&amp;$F27)+1)/2,"")</f>
        <v/>
      </c>
      <c r="X27" s="27">
        <f>IF(OR(NOT(ISNUMBER($V27)),$AO27=1),"",$V27-(COUNTIFS($A$14:$A$1213,$A27,$C$14:$C$1213,"&gt;=0")+1)/2)</f>
        <v/>
      </c>
      <c r="Y27" s="27">
        <f>IF(OR(NOT(ISNUMBER($W27)),$AO27=1),"",$W27-(COUNTIFS($A$14:$A$1213,$A27,$F$14:$F$1213,"&gt;=0")+1)/2)</f>
        <v/>
      </c>
      <c r="Z27" s="27">
        <f>IF(ISNUMBER($V27),$A27&amp;"|"&amp;$V27,"")</f>
        <v/>
      </c>
      <c r="AA27" s="27">
        <f>IF(ISNUMBER($W27),$A27&amp;"|"&amp;$W27,"")</f>
        <v/>
      </c>
      <c r="AB27" s="27">
        <f>IF(ISNUMBER($F27),$A27&amp;"|"&amp;$F27,"")</f>
        <v/>
      </c>
      <c r="AC27" s="27">
        <f>IF(ISNUMBER($P27),COUNTIFS($A$14:$A$1213,$A27,$P$14:$P$1213,"&gt;"&amp;$P27)+(COUNTIFS($A$14:$A$1213,$A27,$P$14:$P$1213,"="&amp;$P27)+1)/2,"")</f>
        <v/>
      </c>
      <c r="AD27" s="27">
        <f>IF(ISNUMBER($Q27),COUNTIFS($A$14:$A$1213,$A27,$Q$14:$Q$1213,"&gt;"&amp;$Q27)+(COUNTIFS($A$14:$A$1213,$A27,$Q$14:$Q$1213,"="&amp;$Q27)+1)/2,"")</f>
        <v/>
      </c>
      <c r="AE27" s="27">
        <f>IF(ISNUMBER($R27),COUNTIFS($A$14:$A$1213,$A27,$R$14:$R$1213,"&gt;"&amp;$R27)+(COUNTIFS($A$14:$A$1213,$A27,$R$14:$R$1213,"="&amp;$R27)+1)/2,"")</f>
        <v/>
      </c>
      <c r="AF27" s="27">
        <f>IF(ISNUMBER($S27),COUNTIFS($A$14:$A$1213,$A27,$S$14:$S$1213,"&gt;"&amp;$S27)+(COUNTIFS($A$14:$A$1213,$A27,$S$14:$S$1213,"="&amp;$S27)+1)/2,"")</f>
        <v/>
      </c>
      <c r="AG27" s="27">
        <f>IF(ISNUMBER($T27),COUNTIFS($A$14:$A$1213,$A27,$T$14:$T$1213,"&gt;"&amp;$T27)+(COUNTIFS($A$14:$A$1213,$A27,$T$14:$T$1213,"="&amp;$T27)+1)/2,"")</f>
        <v/>
      </c>
      <c r="AH27" s="27">
        <f>IF(COUNT($AC27:$AG27)&lt;2,"",IF(MAX($AC27:$AG27)=MIN($AC27:$AG27),0,1))</f>
        <v/>
      </c>
      <c r="AI27" s="27">
        <f>IF($A27="","",IF(COUNTIF($A$14:$A27,$A27)=1,COUNTIF($AI$13:AI26,"&gt;0")+1,""))</f>
        <v/>
      </c>
      <c r="AJ27" s="27">
        <f>IF(OR($H27="",COUNTIFS($A$14:$A$1213,$H27,$F$14:$F$1213,"&gt;=0")&lt;2,COUNTIFS($A$14:$A$1213,$H27,$F$14:$F$1213,_xlfn.MAXIFS($F$14:$F$1213,$A$14:$A$1213,$H27))&gt;1),"",IFERROR(INDEX($D$14:$D$1213,MATCH($H27&amp;"|"&amp;_xlfn.MAXIFS($F$14:$F$1213,$A$14:$A$1213,$H27),$AB$14:$AB$1213,0)),""))</f>
        <v/>
      </c>
      <c r="AK27" s="27">
        <f>IF(OR($H27="",COUNTIFS($A$14:$A$1213,$H27,$F$14:$F$1213,"&gt;=0")&lt;2,COUNTIFS($A$14:$A$1213,$H27,$F$14:$F$1213,_xlfn.MAXIFS($F$14:$F$1213,$A$14:$A$1213,$H27))&gt;1),"",IFERROR(INDEX($E$14:$E$1213,MATCH($H27&amp;"|"&amp;_xlfn.MAXIFS($F$14:$F$1213,$A$14:$A$1213,$H27),$AB$14:$AB$1213,0)),""))</f>
        <v/>
      </c>
      <c r="AL27" s="27">
        <f>IF(OR($H27="",COUNTIFS($A$14:$A$1213,$H27,$F$14:$F$1213,"&gt;=0")&lt;2,COUNTIFS($A$14:$A$1213,$H27,$F$14:$F$1213,_xlfn.MAXIFS($F$14:$F$1213,$A$14:$A$1213,$H27))&gt;1),"",IFERROR(INDEX($D$14:$D$1213,MATCH($H27&amp;"|"&amp;_xlfn.MAXIFS($F$14:$F$1213,$A$14:$A$1213,$H27,$F$14:$F$1213,"&lt;"&amp;_xlfn.MAXIFS($F$14:$F$1213,$A$14:$A$1213,$H27)),$AB$14:$AB$1213,0)),""))</f>
        <v/>
      </c>
      <c r="AM27" s="27">
        <f>IF(OR($H27="",COUNTIFS($A$14:$A$1213,$H27,$F$14:$F$1213,"&gt;=0")&lt;2,COUNTIFS($A$14:$A$1213,$H27,$F$14:$F$1213,_xlfn.MAXIFS($F$14:$F$1213,$A$14:$A$1213,$H27))&gt;1),"",IFERROR(INDEX($E$14:$E$1213,MATCH($H27&amp;"|"&amp;_xlfn.MAXIFS($F$14:$F$1213,$A$14:$A$1213,$H27,$F$14:$F$1213,"&lt;"&amp;_xlfn.MAXIFS($F$14:$F$1213,$A$14:$A$1213,$H27)),$AB$14:$AB$1213,0)),""))</f>
        <v/>
      </c>
      <c r="AN27" s="27">
        <f>IF(OR(NOT(ISNUMBER($AJ27)),NOT(ISNUMBER($AL27)),$AK27=0,$AM27=0),"",IF(OR((($AJ27+$AL27)/($AK27+$AM27))&lt;=0,(($AJ27+$AL27)/($AK27+$AM27))&gt;=1),"",($AJ27/$AK27-$AL27/$AM27)/SQRT((($AJ27+$AL27)/($AK27+$AM27))*(1-(($AJ27+$AL27)/($AK27+$AM27)))*(1/$AK27+1/$AM27))))</f>
        <v/>
      </c>
      <c r="AO27" s="27">
        <f>IF($A27="","",IF(AND(COUNTIFS($A$14:$A$1213,$A27,$F$14:$F$1213,"&gt;=0")=2,IFERROR(INDEX($M$14:$M$313,MATCH($A27,$H$14:$H$313,0)),"Yes")&lt;&gt;"Yes"),1,0))</f>
        <v/>
      </c>
    </row>
    <row r="28" ht="24" customHeight="1">
      <c r="A28" s="19">
        <f>IF('Enter messages'!A28="","",'Enter messages'!A28)</f>
        <v/>
      </c>
      <c r="B28" s="20">
        <f>IF('Enter messages'!B28="","",'Enter messages'!B28)</f>
        <v/>
      </c>
      <c r="C28" s="21">
        <f>IFERROR(AVERAGE(P28:T28),"")</f>
        <v/>
      </c>
      <c r="D28" s="29" t="n"/>
      <c r="E28" s="29" t="n"/>
      <c r="F28" s="30">
        <f>IF(AND(ISNUMBER($D28),ISNUMBER($E28),$E28&gt;0,$D28&lt;=$E28),$D28/$E28,"")</f>
        <v/>
      </c>
      <c r="H28" s="19">
        <f>IFERROR(INDEX($A$14:$A$1213,MATCH(15,$AI$14:$AI$1213,0)),"")</f>
        <v/>
      </c>
      <c r="I28" s="24">
        <f>IF($H28="","",IF(COUNTIFS($A$14:$A$1213,$H28,$C$14:$C$1213,"&gt;=0")=0,"—",IFERROR(INDEX($B$14:$B$1213,MATCH($H28&amp;"|1",$Z$14:$Z$1213,0)),"(tied)")))</f>
        <v/>
      </c>
      <c r="J28" s="25">
        <f>IF($H28="","",IF(OR(COUNTIFS($A$14:$A$1213,$H28,$C$14:$C$1213,"&gt;=0")=0,COUNTIFS($A$14:$A$1213,$H28,$F$14:$F$1213,"&gt;=0")=0),"—",IF(OR(ISERROR(MATCH($H28&amp;"|1",$Z$14:$Z$1213,0)),ISERROR(MATCH($H28&amp;"|1",$AA$14:$AA$1213,0))),"Tie",IF(MATCH($H28&amp;"|1",$Z$14:$Z$1213,0)=MATCH($H28&amp;"|1",$AA$14:$AA$1213,0),"Hit","Miss"))))</f>
        <v/>
      </c>
      <c r="K28" s="24">
        <f>IF($H28="","",IF(COUNTIFS($A$14:$A$1213,$H28,$F$14:$F$1213,"&gt;=0")=0,"—",IFERROR(INDEX($B$14:$B$1213,MATCH($H28&amp;"|1",$AA$14:$AA$1213,0)),"(tied)")))</f>
        <v/>
      </c>
      <c r="L28" s="25">
        <f>IF($H28="","",IF((--(COUNTIFS($A$14:$A$1213,$H28,$P$14:$P$1213,"&gt;=0")&gt;0)+--(COUNTIFS($A$14:$A$1213,$H28,$Q$14:$Q$1213,"&gt;=0")&gt;0)+--(COUNTIFS($A$14:$A$1213,$H28,$R$14:$R$1213,"&gt;=0")&gt;0)+--(COUNTIFS($A$14:$A$1213,$H28,$S$14:$S$1213,"&gt;=0")&gt;0)+--(COUNTIFS($A$14:$A$1213,$H28,$T$14:$T$1213,"&gt;=0")&gt;0))&lt;2,"—",IF(SUMIFS($AH$14:$AH$1213,$A$14:$A$1213,$H28)=0,"Yes","No")))</f>
        <v/>
      </c>
      <c r="M28" s="25">
        <f>IF($H28="","",IF(COUNTIFS($A$14:$A$1213,$H28,$F$14:$F$1213,"&gt;=0")&lt;2,"—",IF(COUNTIFS($A$14:$A$1213,$H28,$F$14:$F$1213,_xlfn.MAXIFS($F$14:$F$1213,$A$14:$A$1213,$H28))&gt;1,"No",IF(NOT(ISNUMBER($AN28)),"—",IF((2*(1-NORMSDIST(ABS($AN28))))&lt;0.05,"Yes","No")))))</f>
        <v/>
      </c>
      <c r="N28" s="21">
        <f>IF($H28="","",IF(NOT(ISNUMBER($AN28)),"—",IF((2*(1-NORMSDIST(ABS($AN28))))&lt;0.001,"&lt;0.001",TEXT((2*(1-NORMSDIST(ABS($AN28)))),"0.000"))))</f>
        <v/>
      </c>
      <c r="P28" s="26" t="n"/>
      <c r="Q28" s="26" t="n"/>
      <c r="R28" s="26" t="n"/>
      <c r="S28" s="26" t="n"/>
      <c r="T28" s="26" t="n"/>
      <c r="V28" s="27">
        <f>IF(ISNUMBER($C28),COUNTIFS($A$14:$A$1213,$A28,$C$14:$C$1213,"&gt;"&amp;$C28)+(COUNTIFS($A$14:$A$1213,$A28,$C$14:$C$1213,"="&amp;$C28)+1)/2,"")</f>
        <v/>
      </c>
      <c r="W28" s="27">
        <f>IF(ISNUMBER($F28),COUNTIFS($A$14:$A$1213,$A28,$F$14:$F$1213,"&gt;"&amp;$F28)+(COUNTIFS($A$14:$A$1213,$A28,$F$14:$F$1213,"="&amp;$F28)+1)/2,"")</f>
        <v/>
      </c>
      <c r="X28" s="27">
        <f>IF(OR(NOT(ISNUMBER($V28)),$AO28=1),"",$V28-(COUNTIFS($A$14:$A$1213,$A28,$C$14:$C$1213,"&gt;=0")+1)/2)</f>
        <v/>
      </c>
      <c r="Y28" s="27">
        <f>IF(OR(NOT(ISNUMBER($W28)),$AO28=1),"",$W28-(COUNTIFS($A$14:$A$1213,$A28,$F$14:$F$1213,"&gt;=0")+1)/2)</f>
        <v/>
      </c>
      <c r="Z28" s="27">
        <f>IF(ISNUMBER($V28),$A28&amp;"|"&amp;$V28,"")</f>
        <v/>
      </c>
      <c r="AA28" s="27">
        <f>IF(ISNUMBER($W28),$A28&amp;"|"&amp;$W28,"")</f>
        <v/>
      </c>
      <c r="AB28" s="27">
        <f>IF(ISNUMBER($F28),$A28&amp;"|"&amp;$F28,"")</f>
        <v/>
      </c>
      <c r="AC28" s="27">
        <f>IF(ISNUMBER($P28),COUNTIFS($A$14:$A$1213,$A28,$P$14:$P$1213,"&gt;"&amp;$P28)+(COUNTIFS($A$14:$A$1213,$A28,$P$14:$P$1213,"="&amp;$P28)+1)/2,"")</f>
        <v/>
      </c>
      <c r="AD28" s="27">
        <f>IF(ISNUMBER($Q28),COUNTIFS($A$14:$A$1213,$A28,$Q$14:$Q$1213,"&gt;"&amp;$Q28)+(COUNTIFS($A$14:$A$1213,$A28,$Q$14:$Q$1213,"="&amp;$Q28)+1)/2,"")</f>
        <v/>
      </c>
      <c r="AE28" s="27">
        <f>IF(ISNUMBER($R28),COUNTIFS($A$14:$A$1213,$A28,$R$14:$R$1213,"&gt;"&amp;$R28)+(COUNTIFS($A$14:$A$1213,$A28,$R$14:$R$1213,"="&amp;$R28)+1)/2,"")</f>
        <v/>
      </c>
      <c r="AF28" s="27">
        <f>IF(ISNUMBER($S28),COUNTIFS($A$14:$A$1213,$A28,$S$14:$S$1213,"&gt;"&amp;$S28)+(COUNTIFS($A$14:$A$1213,$A28,$S$14:$S$1213,"="&amp;$S28)+1)/2,"")</f>
        <v/>
      </c>
      <c r="AG28" s="27">
        <f>IF(ISNUMBER($T28),COUNTIFS($A$14:$A$1213,$A28,$T$14:$T$1213,"&gt;"&amp;$T28)+(COUNTIFS($A$14:$A$1213,$A28,$T$14:$T$1213,"="&amp;$T28)+1)/2,"")</f>
        <v/>
      </c>
      <c r="AH28" s="27">
        <f>IF(COUNT($AC28:$AG28)&lt;2,"",IF(MAX($AC28:$AG28)=MIN($AC28:$AG28),0,1))</f>
        <v/>
      </c>
      <c r="AI28" s="27">
        <f>IF($A28="","",IF(COUNTIF($A$14:$A28,$A28)=1,COUNTIF($AI$13:AI27,"&gt;0")+1,""))</f>
        <v/>
      </c>
      <c r="AJ28" s="27">
        <f>IF(OR($H28="",COUNTIFS($A$14:$A$1213,$H28,$F$14:$F$1213,"&gt;=0")&lt;2,COUNTIFS($A$14:$A$1213,$H28,$F$14:$F$1213,_xlfn.MAXIFS($F$14:$F$1213,$A$14:$A$1213,$H28))&gt;1),"",IFERROR(INDEX($D$14:$D$1213,MATCH($H28&amp;"|"&amp;_xlfn.MAXIFS($F$14:$F$1213,$A$14:$A$1213,$H28),$AB$14:$AB$1213,0)),""))</f>
        <v/>
      </c>
      <c r="AK28" s="27">
        <f>IF(OR($H28="",COUNTIFS($A$14:$A$1213,$H28,$F$14:$F$1213,"&gt;=0")&lt;2,COUNTIFS($A$14:$A$1213,$H28,$F$14:$F$1213,_xlfn.MAXIFS($F$14:$F$1213,$A$14:$A$1213,$H28))&gt;1),"",IFERROR(INDEX($E$14:$E$1213,MATCH($H28&amp;"|"&amp;_xlfn.MAXIFS($F$14:$F$1213,$A$14:$A$1213,$H28),$AB$14:$AB$1213,0)),""))</f>
        <v/>
      </c>
      <c r="AL28" s="27">
        <f>IF(OR($H28="",COUNTIFS($A$14:$A$1213,$H28,$F$14:$F$1213,"&gt;=0")&lt;2,COUNTIFS($A$14:$A$1213,$H28,$F$14:$F$1213,_xlfn.MAXIFS($F$14:$F$1213,$A$14:$A$1213,$H28))&gt;1),"",IFERROR(INDEX($D$14:$D$1213,MATCH($H28&amp;"|"&amp;_xlfn.MAXIFS($F$14:$F$1213,$A$14:$A$1213,$H28,$F$14:$F$1213,"&lt;"&amp;_xlfn.MAXIFS($F$14:$F$1213,$A$14:$A$1213,$H28)),$AB$14:$AB$1213,0)),""))</f>
        <v/>
      </c>
      <c r="AM28" s="27">
        <f>IF(OR($H28="",COUNTIFS($A$14:$A$1213,$H28,$F$14:$F$1213,"&gt;=0")&lt;2,COUNTIFS($A$14:$A$1213,$H28,$F$14:$F$1213,_xlfn.MAXIFS($F$14:$F$1213,$A$14:$A$1213,$H28))&gt;1),"",IFERROR(INDEX($E$14:$E$1213,MATCH($H28&amp;"|"&amp;_xlfn.MAXIFS($F$14:$F$1213,$A$14:$A$1213,$H28,$F$14:$F$1213,"&lt;"&amp;_xlfn.MAXIFS($F$14:$F$1213,$A$14:$A$1213,$H28)),$AB$14:$AB$1213,0)),""))</f>
        <v/>
      </c>
      <c r="AN28" s="27">
        <f>IF(OR(NOT(ISNUMBER($AJ28)),NOT(ISNUMBER($AL28)),$AK28=0,$AM28=0),"",IF(OR((($AJ28+$AL28)/($AK28+$AM28))&lt;=0,(($AJ28+$AL28)/($AK28+$AM28))&gt;=1),"",($AJ28/$AK28-$AL28/$AM28)/SQRT((($AJ28+$AL28)/($AK28+$AM28))*(1-(($AJ28+$AL28)/($AK28+$AM28)))*(1/$AK28+1/$AM28))))</f>
        <v/>
      </c>
      <c r="AO28" s="27">
        <f>IF($A28="","",IF(AND(COUNTIFS($A$14:$A$1213,$A28,$F$14:$F$1213,"&gt;=0")=2,IFERROR(INDEX($M$14:$M$313,MATCH($A28,$H$14:$H$313,0)),"Yes")&lt;&gt;"Yes"),1,0))</f>
        <v/>
      </c>
    </row>
    <row r="29" ht="24" customHeight="1">
      <c r="A29" s="19">
        <f>IF('Enter messages'!A29="","",'Enter messages'!A29)</f>
        <v/>
      </c>
      <c r="B29" s="20">
        <f>IF('Enter messages'!B29="","",'Enter messages'!B29)</f>
        <v/>
      </c>
      <c r="C29" s="21">
        <f>IFERROR(AVERAGE(P29:T29),"")</f>
        <v/>
      </c>
      <c r="D29" s="29" t="n"/>
      <c r="E29" s="29" t="n"/>
      <c r="F29" s="30">
        <f>IF(AND(ISNUMBER($D29),ISNUMBER($E29),$E29&gt;0,$D29&lt;=$E29),$D29/$E29,"")</f>
        <v/>
      </c>
      <c r="H29" s="19">
        <f>IFERROR(INDEX($A$14:$A$1213,MATCH(16,$AI$14:$AI$1213,0)),"")</f>
        <v/>
      </c>
      <c r="I29" s="24">
        <f>IF($H29="","",IF(COUNTIFS($A$14:$A$1213,$H29,$C$14:$C$1213,"&gt;=0")=0,"—",IFERROR(INDEX($B$14:$B$1213,MATCH($H29&amp;"|1",$Z$14:$Z$1213,0)),"(tied)")))</f>
        <v/>
      </c>
      <c r="J29" s="25">
        <f>IF($H29="","",IF(OR(COUNTIFS($A$14:$A$1213,$H29,$C$14:$C$1213,"&gt;=0")=0,COUNTIFS($A$14:$A$1213,$H29,$F$14:$F$1213,"&gt;=0")=0),"—",IF(OR(ISERROR(MATCH($H29&amp;"|1",$Z$14:$Z$1213,0)),ISERROR(MATCH($H29&amp;"|1",$AA$14:$AA$1213,0))),"Tie",IF(MATCH($H29&amp;"|1",$Z$14:$Z$1213,0)=MATCH($H29&amp;"|1",$AA$14:$AA$1213,0),"Hit","Miss"))))</f>
        <v/>
      </c>
      <c r="K29" s="24">
        <f>IF($H29="","",IF(COUNTIFS($A$14:$A$1213,$H29,$F$14:$F$1213,"&gt;=0")=0,"—",IFERROR(INDEX($B$14:$B$1213,MATCH($H29&amp;"|1",$AA$14:$AA$1213,0)),"(tied)")))</f>
        <v/>
      </c>
      <c r="L29" s="25">
        <f>IF($H29="","",IF((--(COUNTIFS($A$14:$A$1213,$H29,$P$14:$P$1213,"&gt;=0")&gt;0)+--(COUNTIFS($A$14:$A$1213,$H29,$Q$14:$Q$1213,"&gt;=0")&gt;0)+--(COUNTIFS($A$14:$A$1213,$H29,$R$14:$R$1213,"&gt;=0")&gt;0)+--(COUNTIFS($A$14:$A$1213,$H29,$S$14:$S$1213,"&gt;=0")&gt;0)+--(COUNTIFS($A$14:$A$1213,$H29,$T$14:$T$1213,"&gt;=0")&gt;0))&lt;2,"—",IF(SUMIFS($AH$14:$AH$1213,$A$14:$A$1213,$H29)=0,"Yes","No")))</f>
        <v/>
      </c>
      <c r="M29" s="25">
        <f>IF($H29="","",IF(COUNTIFS($A$14:$A$1213,$H29,$F$14:$F$1213,"&gt;=0")&lt;2,"—",IF(COUNTIFS($A$14:$A$1213,$H29,$F$14:$F$1213,_xlfn.MAXIFS($F$14:$F$1213,$A$14:$A$1213,$H29))&gt;1,"No",IF(NOT(ISNUMBER($AN29)),"—",IF((2*(1-NORMSDIST(ABS($AN29))))&lt;0.05,"Yes","No")))))</f>
        <v/>
      </c>
      <c r="N29" s="21">
        <f>IF($H29="","",IF(NOT(ISNUMBER($AN29)),"—",IF((2*(1-NORMSDIST(ABS($AN29))))&lt;0.001,"&lt;0.001",TEXT((2*(1-NORMSDIST(ABS($AN29)))),"0.000"))))</f>
        <v/>
      </c>
      <c r="P29" s="26" t="n"/>
      <c r="Q29" s="26" t="n"/>
      <c r="R29" s="26" t="n"/>
      <c r="S29" s="26" t="n"/>
      <c r="T29" s="26" t="n"/>
      <c r="V29" s="27">
        <f>IF(ISNUMBER($C29),COUNTIFS($A$14:$A$1213,$A29,$C$14:$C$1213,"&gt;"&amp;$C29)+(COUNTIFS($A$14:$A$1213,$A29,$C$14:$C$1213,"="&amp;$C29)+1)/2,"")</f>
        <v/>
      </c>
      <c r="W29" s="27">
        <f>IF(ISNUMBER($F29),COUNTIFS($A$14:$A$1213,$A29,$F$14:$F$1213,"&gt;"&amp;$F29)+(COUNTIFS($A$14:$A$1213,$A29,$F$14:$F$1213,"="&amp;$F29)+1)/2,"")</f>
        <v/>
      </c>
      <c r="X29" s="27">
        <f>IF(OR(NOT(ISNUMBER($V29)),$AO29=1),"",$V29-(COUNTIFS($A$14:$A$1213,$A29,$C$14:$C$1213,"&gt;=0")+1)/2)</f>
        <v/>
      </c>
      <c r="Y29" s="27">
        <f>IF(OR(NOT(ISNUMBER($W29)),$AO29=1),"",$W29-(COUNTIFS($A$14:$A$1213,$A29,$F$14:$F$1213,"&gt;=0")+1)/2)</f>
        <v/>
      </c>
      <c r="Z29" s="27">
        <f>IF(ISNUMBER($V29),$A29&amp;"|"&amp;$V29,"")</f>
        <v/>
      </c>
      <c r="AA29" s="27">
        <f>IF(ISNUMBER($W29),$A29&amp;"|"&amp;$W29,"")</f>
        <v/>
      </c>
      <c r="AB29" s="27">
        <f>IF(ISNUMBER($F29),$A29&amp;"|"&amp;$F29,"")</f>
        <v/>
      </c>
      <c r="AC29" s="27">
        <f>IF(ISNUMBER($P29),COUNTIFS($A$14:$A$1213,$A29,$P$14:$P$1213,"&gt;"&amp;$P29)+(COUNTIFS($A$14:$A$1213,$A29,$P$14:$P$1213,"="&amp;$P29)+1)/2,"")</f>
        <v/>
      </c>
      <c r="AD29" s="27">
        <f>IF(ISNUMBER($Q29),COUNTIFS($A$14:$A$1213,$A29,$Q$14:$Q$1213,"&gt;"&amp;$Q29)+(COUNTIFS($A$14:$A$1213,$A29,$Q$14:$Q$1213,"="&amp;$Q29)+1)/2,"")</f>
        <v/>
      </c>
      <c r="AE29" s="27">
        <f>IF(ISNUMBER($R29),COUNTIFS($A$14:$A$1213,$A29,$R$14:$R$1213,"&gt;"&amp;$R29)+(COUNTIFS($A$14:$A$1213,$A29,$R$14:$R$1213,"="&amp;$R29)+1)/2,"")</f>
        <v/>
      </c>
      <c r="AF29" s="27">
        <f>IF(ISNUMBER($S29),COUNTIFS($A$14:$A$1213,$A29,$S$14:$S$1213,"&gt;"&amp;$S29)+(COUNTIFS($A$14:$A$1213,$A29,$S$14:$S$1213,"="&amp;$S29)+1)/2,"")</f>
        <v/>
      </c>
      <c r="AG29" s="27">
        <f>IF(ISNUMBER($T29),COUNTIFS($A$14:$A$1213,$A29,$T$14:$T$1213,"&gt;"&amp;$T29)+(COUNTIFS($A$14:$A$1213,$A29,$T$14:$T$1213,"="&amp;$T29)+1)/2,"")</f>
        <v/>
      </c>
      <c r="AH29" s="27">
        <f>IF(COUNT($AC29:$AG29)&lt;2,"",IF(MAX($AC29:$AG29)=MIN($AC29:$AG29),0,1))</f>
        <v/>
      </c>
      <c r="AI29" s="27">
        <f>IF($A29="","",IF(COUNTIF($A$14:$A29,$A29)=1,COUNTIF($AI$13:AI28,"&gt;0")+1,""))</f>
        <v/>
      </c>
      <c r="AJ29" s="27">
        <f>IF(OR($H29="",COUNTIFS($A$14:$A$1213,$H29,$F$14:$F$1213,"&gt;=0")&lt;2,COUNTIFS($A$14:$A$1213,$H29,$F$14:$F$1213,_xlfn.MAXIFS($F$14:$F$1213,$A$14:$A$1213,$H29))&gt;1),"",IFERROR(INDEX($D$14:$D$1213,MATCH($H29&amp;"|"&amp;_xlfn.MAXIFS($F$14:$F$1213,$A$14:$A$1213,$H29),$AB$14:$AB$1213,0)),""))</f>
        <v/>
      </c>
      <c r="AK29" s="27">
        <f>IF(OR($H29="",COUNTIFS($A$14:$A$1213,$H29,$F$14:$F$1213,"&gt;=0")&lt;2,COUNTIFS($A$14:$A$1213,$H29,$F$14:$F$1213,_xlfn.MAXIFS($F$14:$F$1213,$A$14:$A$1213,$H29))&gt;1),"",IFERROR(INDEX($E$14:$E$1213,MATCH($H29&amp;"|"&amp;_xlfn.MAXIFS($F$14:$F$1213,$A$14:$A$1213,$H29),$AB$14:$AB$1213,0)),""))</f>
        <v/>
      </c>
      <c r="AL29" s="27">
        <f>IF(OR($H29="",COUNTIFS($A$14:$A$1213,$H29,$F$14:$F$1213,"&gt;=0")&lt;2,COUNTIFS($A$14:$A$1213,$H29,$F$14:$F$1213,_xlfn.MAXIFS($F$14:$F$1213,$A$14:$A$1213,$H29))&gt;1),"",IFERROR(INDEX($D$14:$D$1213,MATCH($H29&amp;"|"&amp;_xlfn.MAXIFS($F$14:$F$1213,$A$14:$A$1213,$H29,$F$14:$F$1213,"&lt;"&amp;_xlfn.MAXIFS($F$14:$F$1213,$A$14:$A$1213,$H29)),$AB$14:$AB$1213,0)),""))</f>
        <v/>
      </c>
      <c r="AM29" s="27">
        <f>IF(OR($H29="",COUNTIFS($A$14:$A$1213,$H29,$F$14:$F$1213,"&gt;=0")&lt;2,COUNTIFS($A$14:$A$1213,$H29,$F$14:$F$1213,_xlfn.MAXIFS($F$14:$F$1213,$A$14:$A$1213,$H29))&gt;1),"",IFERROR(INDEX($E$14:$E$1213,MATCH($H29&amp;"|"&amp;_xlfn.MAXIFS($F$14:$F$1213,$A$14:$A$1213,$H29,$F$14:$F$1213,"&lt;"&amp;_xlfn.MAXIFS($F$14:$F$1213,$A$14:$A$1213,$H29)),$AB$14:$AB$1213,0)),""))</f>
        <v/>
      </c>
      <c r="AN29" s="27">
        <f>IF(OR(NOT(ISNUMBER($AJ29)),NOT(ISNUMBER($AL29)),$AK29=0,$AM29=0),"",IF(OR((($AJ29+$AL29)/($AK29+$AM29))&lt;=0,(($AJ29+$AL29)/($AK29+$AM29))&gt;=1),"",($AJ29/$AK29-$AL29/$AM29)/SQRT((($AJ29+$AL29)/($AK29+$AM29))*(1-(($AJ29+$AL29)/($AK29+$AM29)))*(1/$AK29+1/$AM29))))</f>
        <v/>
      </c>
      <c r="AO29" s="27">
        <f>IF($A29="","",IF(AND(COUNTIFS($A$14:$A$1213,$A29,$F$14:$F$1213,"&gt;=0")=2,IFERROR(INDEX($M$14:$M$313,MATCH($A29,$H$14:$H$313,0)),"Yes")&lt;&gt;"Yes"),1,0))</f>
        <v/>
      </c>
    </row>
    <row r="30" ht="24" customHeight="1">
      <c r="A30" s="19">
        <f>IF('Enter messages'!A30="","",'Enter messages'!A30)</f>
        <v/>
      </c>
      <c r="B30" s="20">
        <f>IF('Enter messages'!B30="","",'Enter messages'!B30)</f>
        <v/>
      </c>
      <c r="C30" s="21">
        <f>IFERROR(AVERAGE(P30:T30),"")</f>
        <v/>
      </c>
      <c r="D30" s="29" t="n"/>
      <c r="E30" s="29" t="n"/>
      <c r="F30" s="30">
        <f>IF(AND(ISNUMBER($D30),ISNUMBER($E30),$E30&gt;0,$D30&lt;=$E30),$D30/$E30,"")</f>
        <v/>
      </c>
      <c r="H30" s="19">
        <f>IFERROR(INDEX($A$14:$A$1213,MATCH(17,$AI$14:$AI$1213,0)),"")</f>
        <v/>
      </c>
      <c r="I30" s="24">
        <f>IF($H30="","",IF(COUNTIFS($A$14:$A$1213,$H30,$C$14:$C$1213,"&gt;=0")=0,"—",IFERROR(INDEX($B$14:$B$1213,MATCH($H30&amp;"|1",$Z$14:$Z$1213,0)),"(tied)")))</f>
        <v/>
      </c>
      <c r="J30" s="25">
        <f>IF($H30="","",IF(OR(COUNTIFS($A$14:$A$1213,$H30,$C$14:$C$1213,"&gt;=0")=0,COUNTIFS($A$14:$A$1213,$H30,$F$14:$F$1213,"&gt;=0")=0),"—",IF(OR(ISERROR(MATCH($H30&amp;"|1",$Z$14:$Z$1213,0)),ISERROR(MATCH($H30&amp;"|1",$AA$14:$AA$1213,0))),"Tie",IF(MATCH($H30&amp;"|1",$Z$14:$Z$1213,0)=MATCH($H30&amp;"|1",$AA$14:$AA$1213,0),"Hit","Miss"))))</f>
        <v/>
      </c>
      <c r="K30" s="24">
        <f>IF($H30="","",IF(COUNTIFS($A$14:$A$1213,$H30,$F$14:$F$1213,"&gt;=0")=0,"—",IFERROR(INDEX($B$14:$B$1213,MATCH($H30&amp;"|1",$AA$14:$AA$1213,0)),"(tied)")))</f>
        <v/>
      </c>
      <c r="L30" s="25">
        <f>IF($H30="","",IF((--(COUNTIFS($A$14:$A$1213,$H30,$P$14:$P$1213,"&gt;=0")&gt;0)+--(COUNTIFS($A$14:$A$1213,$H30,$Q$14:$Q$1213,"&gt;=0")&gt;0)+--(COUNTIFS($A$14:$A$1213,$H30,$R$14:$R$1213,"&gt;=0")&gt;0)+--(COUNTIFS($A$14:$A$1213,$H30,$S$14:$S$1213,"&gt;=0")&gt;0)+--(COUNTIFS($A$14:$A$1213,$H30,$T$14:$T$1213,"&gt;=0")&gt;0))&lt;2,"—",IF(SUMIFS($AH$14:$AH$1213,$A$14:$A$1213,$H30)=0,"Yes","No")))</f>
        <v/>
      </c>
      <c r="M30" s="25">
        <f>IF($H30="","",IF(COUNTIFS($A$14:$A$1213,$H30,$F$14:$F$1213,"&gt;=0")&lt;2,"—",IF(COUNTIFS($A$14:$A$1213,$H30,$F$14:$F$1213,_xlfn.MAXIFS($F$14:$F$1213,$A$14:$A$1213,$H30))&gt;1,"No",IF(NOT(ISNUMBER($AN30)),"—",IF((2*(1-NORMSDIST(ABS($AN30))))&lt;0.05,"Yes","No")))))</f>
        <v/>
      </c>
      <c r="N30" s="21">
        <f>IF($H30="","",IF(NOT(ISNUMBER($AN30)),"—",IF((2*(1-NORMSDIST(ABS($AN30))))&lt;0.001,"&lt;0.001",TEXT((2*(1-NORMSDIST(ABS($AN30)))),"0.000"))))</f>
        <v/>
      </c>
      <c r="P30" s="26" t="n"/>
      <c r="Q30" s="26" t="n"/>
      <c r="R30" s="26" t="n"/>
      <c r="S30" s="26" t="n"/>
      <c r="T30" s="26" t="n"/>
      <c r="V30" s="27">
        <f>IF(ISNUMBER($C30),COUNTIFS($A$14:$A$1213,$A30,$C$14:$C$1213,"&gt;"&amp;$C30)+(COUNTIFS($A$14:$A$1213,$A30,$C$14:$C$1213,"="&amp;$C30)+1)/2,"")</f>
        <v/>
      </c>
      <c r="W30" s="27">
        <f>IF(ISNUMBER($F30),COUNTIFS($A$14:$A$1213,$A30,$F$14:$F$1213,"&gt;"&amp;$F30)+(COUNTIFS($A$14:$A$1213,$A30,$F$14:$F$1213,"="&amp;$F30)+1)/2,"")</f>
        <v/>
      </c>
      <c r="X30" s="27">
        <f>IF(OR(NOT(ISNUMBER($V30)),$AO30=1),"",$V30-(COUNTIFS($A$14:$A$1213,$A30,$C$14:$C$1213,"&gt;=0")+1)/2)</f>
        <v/>
      </c>
      <c r="Y30" s="27">
        <f>IF(OR(NOT(ISNUMBER($W30)),$AO30=1),"",$W30-(COUNTIFS($A$14:$A$1213,$A30,$F$14:$F$1213,"&gt;=0")+1)/2)</f>
        <v/>
      </c>
      <c r="Z30" s="27">
        <f>IF(ISNUMBER($V30),$A30&amp;"|"&amp;$V30,"")</f>
        <v/>
      </c>
      <c r="AA30" s="27">
        <f>IF(ISNUMBER($W30),$A30&amp;"|"&amp;$W30,"")</f>
        <v/>
      </c>
      <c r="AB30" s="27">
        <f>IF(ISNUMBER($F30),$A30&amp;"|"&amp;$F30,"")</f>
        <v/>
      </c>
      <c r="AC30" s="27">
        <f>IF(ISNUMBER($P30),COUNTIFS($A$14:$A$1213,$A30,$P$14:$P$1213,"&gt;"&amp;$P30)+(COUNTIFS($A$14:$A$1213,$A30,$P$14:$P$1213,"="&amp;$P30)+1)/2,"")</f>
        <v/>
      </c>
      <c r="AD30" s="27">
        <f>IF(ISNUMBER($Q30),COUNTIFS($A$14:$A$1213,$A30,$Q$14:$Q$1213,"&gt;"&amp;$Q30)+(COUNTIFS($A$14:$A$1213,$A30,$Q$14:$Q$1213,"="&amp;$Q30)+1)/2,"")</f>
        <v/>
      </c>
      <c r="AE30" s="27">
        <f>IF(ISNUMBER($R30),COUNTIFS($A$14:$A$1213,$A30,$R$14:$R$1213,"&gt;"&amp;$R30)+(COUNTIFS($A$14:$A$1213,$A30,$R$14:$R$1213,"="&amp;$R30)+1)/2,"")</f>
        <v/>
      </c>
      <c r="AF30" s="27">
        <f>IF(ISNUMBER($S30),COUNTIFS($A$14:$A$1213,$A30,$S$14:$S$1213,"&gt;"&amp;$S30)+(COUNTIFS($A$14:$A$1213,$A30,$S$14:$S$1213,"="&amp;$S30)+1)/2,"")</f>
        <v/>
      </c>
      <c r="AG30" s="27">
        <f>IF(ISNUMBER($T30),COUNTIFS($A$14:$A$1213,$A30,$T$14:$T$1213,"&gt;"&amp;$T30)+(COUNTIFS($A$14:$A$1213,$A30,$T$14:$T$1213,"="&amp;$T30)+1)/2,"")</f>
        <v/>
      </c>
      <c r="AH30" s="27">
        <f>IF(COUNT($AC30:$AG30)&lt;2,"",IF(MAX($AC30:$AG30)=MIN($AC30:$AG30),0,1))</f>
        <v/>
      </c>
      <c r="AI30" s="27">
        <f>IF($A30="","",IF(COUNTIF($A$14:$A30,$A30)=1,COUNTIF($AI$13:AI29,"&gt;0")+1,""))</f>
        <v/>
      </c>
      <c r="AJ30" s="27">
        <f>IF(OR($H30="",COUNTIFS($A$14:$A$1213,$H30,$F$14:$F$1213,"&gt;=0")&lt;2,COUNTIFS($A$14:$A$1213,$H30,$F$14:$F$1213,_xlfn.MAXIFS($F$14:$F$1213,$A$14:$A$1213,$H30))&gt;1),"",IFERROR(INDEX($D$14:$D$1213,MATCH($H30&amp;"|"&amp;_xlfn.MAXIFS($F$14:$F$1213,$A$14:$A$1213,$H30),$AB$14:$AB$1213,0)),""))</f>
        <v/>
      </c>
      <c r="AK30" s="27">
        <f>IF(OR($H30="",COUNTIFS($A$14:$A$1213,$H30,$F$14:$F$1213,"&gt;=0")&lt;2,COUNTIFS($A$14:$A$1213,$H30,$F$14:$F$1213,_xlfn.MAXIFS($F$14:$F$1213,$A$14:$A$1213,$H30))&gt;1),"",IFERROR(INDEX($E$14:$E$1213,MATCH($H30&amp;"|"&amp;_xlfn.MAXIFS($F$14:$F$1213,$A$14:$A$1213,$H30),$AB$14:$AB$1213,0)),""))</f>
        <v/>
      </c>
      <c r="AL30" s="27">
        <f>IF(OR($H30="",COUNTIFS($A$14:$A$1213,$H30,$F$14:$F$1213,"&gt;=0")&lt;2,COUNTIFS($A$14:$A$1213,$H30,$F$14:$F$1213,_xlfn.MAXIFS($F$14:$F$1213,$A$14:$A$1213,$H30))&gt;1),"",IFERROR(INDEX($D$14:$D$1213,MATCH($H30&amp;"|"&amp;_xlfn.MAXIFS($F$14:$F$1213,$A$14:$A$1213,$H30,$F$14:$F$1213,"&lt;"&amp;_xlfn.MAXIFS($F$14:$F$1213,$A$14:$A$1213,$H30)),$AB$14:$AB$1213,0)),""))</f>
        <v/>
      </c>
      <c r="AM30" s="27">
        <f>IF(OR($H30="",COUNTIFS($A$14:$A$1213,$H30,$F$14:$F$1213,"&gt;=0")&lt;2,COUNTIFS($A$14:$A$1213,$H30,$F$14:$F$1213,_xlfn.MAXIFS($F$14:$F$1213,$A$14:$A$1213,$H30))&gt;1),"",IFERROR(INDEX($E$14:$E$1213,MATCH($H30&amp;"|"&amp;_xlfn.MAXIFS($F$14:$F$1213,$A$14:$A$1213,$H30,$F$14:$F$1213,"&lt;"&amp;_xlfn.MAXIFS($F$14:$F$1213,$A$14:$A$1213,$H30)),$AB$14:$AB$1213,0)),""))</f>
        <v/>
      </c>
      <c r="AN30" s="27">
        <f>IF(OR(NOT(ISNUMBER($AJ30)),NOT(ISNUMBER($AL30)),$AK30=0,$AM30=0),"",IF(OR((($AJ30+$AL30)/($AK30+$AM30))&lt;=0,(($AJ30+$AL30)/($AK30+$AM30))&gt;=1),"",($AJ30/$AK30-$AL30/$AM30)/SQRT((($AJ30+$AL30)/($AK30+$AM30))*(1-(($AJ30+$AL30)/($AK30+$AM30)))*(1/$AK30+1/$AM30))))</f>
        <v/>
      </c>
      <c r="AO30" s="27">
        <f>IF($A30="","",IF(AND(COUNTIFS($A$14:$A$1213,$A30,$F$14:$F$1213,"&gt;=0")=2,IFERROR(INDEX($M$14:$M$313,MATCH($A30,$H$14:$H$313,0)),"Yes")&lt;&gt;"Yes"),1,0))</f>
        <v/>
      </c>
    </row>
    <row r="31" ht="24" customHeight="1">
      <c r="A31" s="19">
        <f>IF('Enter messages'!A31="","",'Enter messages'!A31)</f>
        <v/>
      </c>
      <c r="B31" s="20">
        <f>IF('Enter messages'!B31="","",'Enter messages'!B31)</f>
        <v/>
      </c>
      <c r="C31" s="21">
        <f>IFERROR(AVERAGE(P31:T31),"")</f>
        <v/>
      </c>
      <c r="D31" s="29" t="n"/>
      <c r="E31" s="29" t="n"/>
      <c r="F31" s="30">
        <f>IF(AND(ISNUMBER($D31),ISNUMBER($E31),$E31&gt;0,$D31&lt;=$E31),$D31/$E31,"")</f>
        <v/>
      </c>
      <c r="H31" s="19">
        <f>IFERROR(INDEX($A$14:$A$1213,MATCH(18,$AI$14:$AI$1213,0)),"")</f>
        <v/>
      </c>
      <c r="I31" s="24">
        <f>IF($H31="","",IF(COUNTIFS($A$14:$A$1213,$H31,$C$14:$C$1213,"&gt;=0")=0,"—",IFERROR(INDEX($B$14:$B$1213,MATCH($H31&amp;"|1",$Z$14:$Z$1213,0)),"(tied)")))</f>
        <v/>
      </c>
      <c r="J31" s="25">
        <f>IF($H31="","",IF(OR(COUNTIFS($A$14:$A$1213,$H31,$C$14:$C$1213,"&gt;=0")=0,COUNTIFS($A$14:$A$1213,$H31,$F$14:$F$1213,"&gt;=0")=0),"—",IF(OR(ISERROR(MATCH($H31&amp;"|1",$Z$14:$Z$1213,0)),ISERROR(MATCH($H31&amp;"|1",$AA$14:$AA$1213,0))),"Tie",IF(MATCH($H31&amp;"|1",$Z$14:$Z$1213,0)=MATCH($H31&amp;"|1",$AA$14:$AA$1213,0),"Hit","Miss"))))</f>
        <v/>
      </c>
      <c r="K31" s="24">
        <f>IF($H31="","",IF(COUNTIFS($A$14:$A$1213,$H31,$F$14:$F$1213,"&gt;=0")=0,"—",IFERROR(INDEX($B$14:$B$1213,MATCH($H31&amp;"|1",$AA$14:$AA$1213,0)),"(tied)")))</f>
        <v/>
      </c>
      <c r="L31" s="25">
        <f>IF($H31="","",IF((--(COUNTIFS($A$14:$A$1213,$H31,$P$14:$P$1213,"&gt;=0")&gt;0)+--(COUNTIFS($A$14:$A$1213,$H31,$Q$14:$Q$1213,"&gt;=0")&gt;0)+--(COUNTIFS($A$14:$A$1213,$H31,$R$14:$R$1213,"&gt;=0")&gt;0)+--(COUNTIFS($A$14:$A$1213,$H31,$S$14:$S$1213,"&gt;=0")&gt;0)+--(COUNTIFS($A$14:$A$1213,$H31,$T$14:$T$1213,"&gt;=0")&gt;0))&lt;2,"—",IF(SUMIFS($AH$14:$AH$1213,$A$14:$A$1213,$H31)=0,"Yes","No")))</f>
        <v/>
      </c>
      <c r="M31" s="25">
        <f>IF($H31="","",IF(COUNTIFS($A$14:$A$1213,$H31,$F$14:$F$1213,"&gt;=0")&lt;2,"—",IF(COUNTIFS($A$14:$A$1213,$H31,$F$14:$F$1213,_xlfn.MAXIFS($F$14:$F$1213,$A$14:$A$1213,$H31))&gt;1,"No",IF(NOT(ISNUMBER($AN31)),"—",IF((2*(1-NORMSDIST(ABS($AN31))))&lt;0.05,"Yes","No")))))</f>
        <v/>
      </c>
      <c r="N31" s="21">
        <f>IF($H31="","",IF(NOT(ISNUMBER($AN31)),"—",IF((2*(1-NORMSDIST(ABS($AN31))))&lt;0.001,"&lt;0.001",TEXT((2*(1-NORMSDIST(ABS($AN31)))),"0.000"))))</f>
        <v/>
      </c>
      <c r="P31" s="26" t="n"/>
      <c r="Q31" s="26" t="n"/>
      <c r="R31" s="26" t="n"/>
      <c r="S31" s="26" t="n"/>
      <c r="T31" s="26" t="n"/>
      <c r="V31" s="27">
        <f>IF(ISNUMBER($C31),COUNTIFS($A$14:$A$1213,$A31,$C$14:$C$1213,"&gt;"&amp;$C31)+(COUNTIFS($A$14:$A$1213,$A31,$C$14:$C$1213,"="&amp;$C31)+1)/2,"")</f>
        <v/>
      </c>
      <c r="W31" s="27">
        <f>IF(ISNUMBER($F31),COUNTIFS($A$14:$A$1213,$A31,$F$14:$F$1213,"&gt;"&amp;$F31)+(COUNTIFS($A$14:$A$1213,$A31,$F$14:$F$1213,"="&amp;$F31)+1)/2,"")</f>
        <v/>
      </c>
      <c r="X31" s="27">
        <f>IF(OR(NOT(ISNUMBER($V31)),$AO31=1),"",$V31-(COUNTIFS($A$14:$A$1213,$A31,$C$14:$C$1213,"&gt;=0")+1)/2)</f>
        <v/>
      </c>
      <c r="Y31" s="27">
        <f>IF(OR(NOT(ISNUMBER($W31)),$AO31=1),"",$W31-(COUNTIFS($A$14:$A$1213,$A31,$F$14:$F$1213,"&gt;=0")+1)/2)</f>
        <v/>
      </c>
      <c r="Z31" s="27">
        <f>IF(ISNUMBER($V31),$A31&amp;"|"&amp;$V31,"")</f>
        <v/>
      </c>
      <c r="AA31" s="27">
        <f>IF(ISNUMBER($W31),$A31&amp;"|"&amp;$W31,"")</f>
        <v/>
      </c>
      <c r="AB31" s="27">
        <f>IF(ISNUMBER($F31),$A31&amp;"|"&amp;$F31,"")</f>
        <v/>
      </c>
      <c r="AC31" s="27">
        <f>IF(ISNUMBER($P31),COUNTIFS($A$14:$A$1213,$A31,$P$14:$P$1213,"&gt;"&amp;$P31)+(COUNTIFS($A$14:$A$1213,$A31,$P$14:$P$1213,"="&amp;$P31)+1)/2,"")</f>
        <v/>
      </c>
      <c r="AD31" s="27">
        <f>IF(ISNUMBER($Q31),COUNTIFS($A$14:$A$1213,$A31,$Q$14:$Q$1213,"&gt;"&amp;$Q31)+(COUNTIFS($A$14:$A$1213,$A31,$Q$14:$Q$1213,"="&amp;$Q31)+1)/2,"")</f>
        <v/>
      </c>
      <c r="AE31" s="27">
        <f>IF(ISNUMBER($R31),COUNTIFS($A$14:$A$1213,$A31,$R$14:$R$1213,"&gt;"&amp;$R31)+(COUNTIFS($A$14:$A$1213,$A31,$R$14:$R$1213,"="&amp;$R31)+1)/2,"")</f>
        <v/>
      </c>
      <c r="AF31" s="27">
        <f>IF(ISNUMBER($S31),COUNTIFS($A$14:$A$1213,$A31,$S$14:$S$1213,"&gt;"&amp;$S31)+(COUNTIFS($A$14:$A$1213,$A31,$S$14:$S$1213,"="&amp;$S31)+1)/2,"")</f>
        <v/>
      </c>
      <c r="AG31" s="27">
        <f>IF(ISNUMBER($T31),COUNTIFS($A$14:$A$1213,$A31,$T$14:$T$1213,"&gt;"&amp;$T31)+(COUNTIFS($A$14:$A$1213,$A31,$T$14:$T$1213,"="&amp;$T31)+1)/2,"")</f>
        <v/>
      </c>
      <c r="AH31" s="27">
        <f>IF(COUNT($AC31:$AG31)&lt;2,"",IF(MAX($AC31:$AG31)=MIN($AC31:$AG31),0,1))</f>
        <v/>
      </c>
      <c r="AI31" s="27">
        <f>IF($A31="","",IF(COUNTIF($A$14:$A31,$A31)=1,COUNTIF($AI$13:AI30,"&gt;0")+1,""))</f>
        <v/>
      </c>
      <c r="AJ31" s="27">
        <f>IF(OR($H31="",COUNTIFS($A$14:$A$1213,$H31,$F$14:$F$1213,"&gt;=0")&lt;2,COUNTIFS($A$14:$A$1213,$H31,$F$14:$F$1213,_xlfn.MAXIFS($F$14:$F$1213,$A$14:$A$1213,$H31))&gt;1),"",IFERROR(INDEX($D$14:$D$1213,MATCH($H31&amp;"|"&amp;_xlfn.MAXIFS($F$14:$F$1213,$A$14:$A$1213,$H31),$AB$14:$AB$1213,0)),""))</f>
        <v/>
      </c>
      <c r="AK31" s="27">
        <f>IF(OR($H31="",COUNTIFS($A$14:$A$1213,$H31,$F$14:$F$1213,"&gt;=0")&lt;2,COUNTIFS($A$14:$A$1213,$H31,$F$14:$F$1213,_xlfn.MAXIFS($F$14:$F$1213,$A$14:$A$1213,$H31))&gt;1),"",IFERROR(INDEX($E$14:$E$1213,MATCH($H31&amp;"|"&amp;_xlfn.MAXIFS($F$14:$F$1213,$A$14:$A$1213,$H31),$AB$14:$AB$1213,0)),""))</f>
        <v/>
      </c>
      <c r="AL31" s="27">
        <f>IF(OR($H31="",COUNTIFS($A$14:$A$1213,$H31,$F$14:$F$1213,"&gt;=0")&lt;2,COUNTIFS($A$14:$A$1213,$H31,$F$14:$F$1213,_xlfn.MAXIFS($F$14:$F$1213,$A$14:$A$1213,$H31))&gt;1),"",IFERROR(INDEX($D$14:$D$1213,MATCH($H31&amp;"|"&amp;_xlfn.MAXIFS($F$14:$F$1213,$A$14:$A$1213,$H31,$F$14:$F$1213,"&lt;"&amp;_xlfn.MAXIFS($F$14:$F$1213,$A$14:$A$1213,$H31)),$AB$14:$AB$1213,0)),""))</f>
        <v/>
      </c>
      <c r="AM31" s="27">
        <f>IF(OR($H31="",COUNTIFS($A$14:$A$1213,$H31,$F$14:$F$1213,"&gt;=0")&lt;2,COUNTIFS($A$14:$A$1213,$H31,$F$14:$F$1213,_xlfn.MAXIFS($F$14:$F$1213,$A$14:$A$1213,$H31))&gt;1),"",IFERROR(INDEX($E$14:$E$1213,MATCH($H31&amp;"|"&amp;_xlfn.MAXIFS($F$14:$F$1213,$A$14:$A$1213,$H31,$F$14:$F$1213,"&lt;"&amp;_xlfn.MAXIFS($F$14:$F$1213,$A$14:$A$1213,$H31)),$AB$14:$AB$1213,0)),""))</f>
        <v/>
      </c>
      <c r="AN31" s="27">
        <f>IF(OR(NOT(ISNUMBER($AJ31)),NOT(ISNUMBER($AL31)),$AK31=0,$AM31=0),"",IF(OR((($AJ31+$AL31)/($AK31+$AM31))&lt;=0,(($AJ31+$AL31)/($AK31+$AM31))&gt;=1),"",($AJ31/$AK31-$AL31/$AM31)/SQRT((($AJ31+$AL31)/($AK31+$AM31))*(1-(($AJ31+$AL31)/($AK31+$AM31)))*(1/$AK31+1/$AM31))))</f>
        <v/>
      </c>
      <c r="AO31" s="27">
        <f>IF($A31="","",IF(AND(COUNTIFS($A$14:$A$1213,$A31,$F$14:$F$1213,"&gt;=0")=2,IFERROR(INDEX($M$14:$M$313,MATCH($A31,$H$14:$H$313,0)),"Yes")&lt;&gt;"Yes"),1,0))</f>
        <v/>
      </c>
    </row>
    <row r="32" ht="24" customHeight="1">
      <c r="A32" s="19">
        <f>IF('Enter messages'!A32="","",'Enter messages'!A32)</f>
        <v/>
      </c>
      <c r="B32" s="20">
        <f>IF('Enter messages'!B32="","",'Enter messages'!B32)</f>
        <v/>
      </c>
      <c r="C32" s="21">
        <f>IFERROR(AVERAGE(P32:T32),"")</f>
        <v/>
      </c>
      <c r="D32" s="29" t="n"/>
      <c r="E32" s="29" t="n"/>
      <c r="F32" s="30">
        <f>IF(AND(ISNUMBER($D32),ISNUMBER($E32),$E32&gt;0,$D32&lt;=$E32),$D32/$E32,"")</f>
        <v/>
      </c>
      <c r="H32" s="19">
        <f>IFERROR(INDEX($A$14:$A$1213,MATCH(19,$AI$14:$AI$1213,0)),"")</f>
        <v/>
      </c>
      <c r="I32" s="24">
        <f>IF($H32="","",IF(COUNTIFS($A$14:$A$1213,$H32,$C$14:$C$1213,"&gt;=0")=0,"—",IFERROR(INDEX($B$14:$B$1213,MATCH($H32&amp;"|1",$Z$14:$Z$1213,0)),"(tied)")))</f>
        <v/>
      </c>
      <c r="J32" s="25">
        <f>IF($H32="","",IF(OR(COUNTIFS($A$14:$A$1213,$H32,$C$14:$C$1213,"&gt;=0")=0,COUNTIFS($A$14:$A$1213,$H32,$F$14:$F$1213,"&gt;=0")=0),"—",IF(OR(ISERROR(MATCH($H32&amp;"|1",$Z$14:$Z$1213,0)),ISERROR(MATCH($H32&amp;"|1",$AA$14:$AA$1213,0))),"Tie",IF(MATCH($H32&amp;"|1",$Z$14:$Z$1213,0)=MATCH($H32&amp;"|1",$AA$14:$AA$1213,0),"Hit","Miss"))))</f>
        <v/>
      </c>
      <c r="K32" s="24">
        <f>IF($H32="","",IF(COUNTIFS($A$14:$A$1213,$H32,$F$14:$F$1213,"&gt;=0")=0,"—",IFERROR(INDEX($B$14:$B$1213,MATCH($H32&amp;"|1",$AA$14:$AA$1213,0)),"(tied)")))</f>
        <v/>
      </c>
      <c r="L32" s="25">
        <f>IF($H32="","",IF((--(COUNTIFS($A$14:$A$1213,$H32,$P$14:$P$1213,"&gt;=0")&gt;0)+--(COUNTIFS($A$14:$A$1213,$H32,$Q$14:$Q$1213,"&gt;=0")&gt;0)+--(COUNTIFS($A$14:$A$1213,$H32,$R$14:$R$1213,"&gt;=0")&gt;0)+--(COUNTIFS($A$14:$A$1213,$H32,$S$14:$S$1213,"&gt;=0")&gt;0)+--(COUNTIFS($A$14:$A$1213,$H32,$T$14:$T$1213,"&gt;=0")&gt;0))&lt;2,"—",IF(SUMIFS($AH$14:$AH$1213,$A$14:$A$1213,$H32)=0,"Yes","No")))</f>
        <v/>
      </c>
      <c r="M32" s="25">
        <f>IF($H32="","",IF(COUNTIFS($A$14:$A$1213,$H32,$F$14:$F$1213,"&gt;=0")&lt;2,"—",IF(COUNTIFS($A$14:$A$1213,$H32,$F$14:$F$1213,_xlfn.MAXIFS($F$14:$F$1213,$A$14:$A$1213,$H32))&gt;1,"No",IF(NOT(ISNUMBER($AN32)),"—",IF((2*(1-NORMSDIST(ABS($AN32))))&lt;0.05,"Yes","No")))))</f>
        <v/>
      </c>
      <c r="N32" s="21">
        <f>IF($H32="","",IF(NOT(ISNUMBER($AN32)),"—",IF((2*(1-NORMSDIST(ABS($AN32))))&lt;0.001,"&lt;0.001",TEXT((2*(1-NORMSDIST(ABS($AN32)))),"0.000"))))</f>
        <v/>
      </c>
      <c r="P32" s="26" t="n"/>
      <c r="Q32" s="26" t="n"/>
      <c r="R32" s="26" t="n"/>
      <c r="S32" s="26" t="n"/>
      <c r="T32" s="26" t="n"/>
      <c r="V32" s="27">
        <f>IF(ISNUMBER($C32),COUNTIFS($A$14:$A$1213,$A32,$C$14:$C$1213,"&gt;"&amp;$C32)+(COUNTIFS($A$14:$A$1213,$A32,$C$14:$C$1213,"="&amp;$C32)+1)/2,"")</f>
        <v/>
      </c>
      <c r="W32" s="27">
        <f>IF(ISNUMBER($F32),COUNTIFS($A$14:$A$1213,$A32,$F$14:$F$1213,"&gt;"&amp;$F32)+(COUNTIFS($A$14:$A$1213,$A32,$F$14:$F$1213,"="&amp;$F32)+1)/2,"")</f>
        <v/>
      </c>
      <c r="X32" s="27">
        <f>IF(OR(NOT(ISNUMBER($V32)),$AO32=1),"",$V32-(COUNTIFS($A$14:$A$1213,$A32,$C$14:$C$1213,"&gt;=0")+1)/2)</f>
        <v/>
      </c>
      <c r="Y32" s="27">
        <f>IF(OR(NOT(ISNUMBER($W32)),$AO32=1),"",$W32-(COUNTIFS($A$14:$A$1213,$A32,$F$14:$F$1213,"&gt;=0")+1)/2)</f>
        <v/>
      </c>
      <c r="Z32" s="27">
        <f>IF(ISNUMBER($V32),$A32&amp;"|"&amp;$V32,"")</f>
        <v/>
      </c>
      <c r="AA32" s="27">
        <f>IF(ISNUMBER($W32),$A32&amp;"|"&amp;$W32,"")</f>
        <v/>
      </c>
      <c r="AB32" s="27">
        <f>IF(ISNUMBER($F32),$A32&amp;"|"&amp;$F32,"")</f>
        <v/>
      </c>
      <c r="AC32" s="27">
        <f>IF(ISNUMBER($P32),COUNTIFS($A$14:$A$1213,$A32,$P$14:$P$1213,"&gt;"&amp;$P32)+(COUNTIFS($A$14:$A$1213,$A32,$P$14:$P$1213,"="&amp;$P32)+1)/2,"")</f>
        <v/>
      </c>
      <c r="AD32" s="27">
        <f>IF(ISNUMBER($Q32),COUNTIFS($A$14:$A$1213,$A32,$Q$14:$Q$1213,"&gt;"&amp;$Q32)+(COUNTIFS($A$14:$A$1213,$A32,$Q$14:$Q$1213,"="&amp;$Q32)+1)/2,"")</f>
        <v/>
      </c>
      <c r="AE32" s="27">
        <f>IF(ISNUMBER($R32),COUNTIFS($A$14:$A$1213,$A32,$R$14:$R$1213,"&gt;"&amp;$R32)+(COUNTIFS($A$14:$A$1213,$A32,$R$14:$R$1213,"="&amp;$R32)+1)/2,"")</f>
        <v/>
      </c>
      <c r="AF32" s="27">
        <f>IF(ISNUMBER($S32),COUNTIFS($A$14:$A$1213,$A32,$S$14:$S$1213,"&gt;"&amp;$S32)+(COUNTIFS($A$14:$A$1213,$A32,$S$14:$S$1213,"="&amp;$S32)+1)/2,"")</f>
        <v/>
      </c>
      <c r="AG32" s="27">
        <f>IF(ISNUMBER($T32),COUNTIFS($A$14:$A$1213,$A32,$T$14:$T$1213,"&gt;"&amp;$T32)+(COUNTIFS($A$14:$A$1213,$A32,$T$14:$T$1213,"="&amp;$T32)+1)/2,"")</f>
        <v/>
      </c>
      <c r="AH32" s="27">
        <f>IF(COUNT($AC32:$AG32)&lt;2,"",IF(MAX($AC32:$AG32)=MIN($AC32:$AG32),0,1))</f>
        <v/>
      </c>
      <c r="AI32" s="27">
        <f>IF($A32="","",IF(COUNTIF($A$14:$A32,$A32)=1,COUNTIF($AI$13:AI31,"&gt;0")+1,""))</f>
        <v/>
      </c>
      <c r="AJ32" s="27">
        <f>IF(OR($H32="",COUNTIFS($A$14:$A$1213,$H32,$F$14:$F$1213,"&gt;=0")&lt;2,COUNTIFS($A$14:$A$1213,$H32,$F$14:$F$1213,_xlfn.MAXIFS($F$14:$F$1213,$A$14:$A$1213,$H32))&gt;1),"",IFERROR(INDEX($D$14:$D$1213,MATCH($H32&amp;"|"&amp;_xlfn.MAXIFS($F$14:$F$1213,$A$14:$A$1213,$H32),$AB$14:$AB$1213,0)),""))</f>
        <v/>
      </c>
      <c r="AK32" s="27">
        <f>IF(OR($H32="",COUNTIFS($A$14:$A$1213,$H32,$F$14:$F$1213,"&gt;=0")&lt;2,COUNTIFS($A$14:$A$1213,$H32,$F$14:$F$1213,_xlfn.MAXIFS($F$14:$F$1213,$A$14:$A$1213,$H32))&gt;1),"",IFERROR(INDEX($E$14:$E$1213,MATCH($H32&amp;"|"&amp;_xlfn.MAXIFS($F$14:$F$1213,$A$14:$A$1213,$H32),$AB$14:$AB$1213,0)),""))</f>
        <v/>
      </c>
      <c r="AL32" s="27">
        <f>IF(OR($H32="",COUNTIFS($A$14:$A$1213,$H32,$F$14:$F$1213,"&gt;=0")&lt;2,COUNTIFS($A$14:$A$1213,$H32,$F$14:$F$1213,_xlfn.MAXIFS($F$14:$F$1213,$A$14:$A$1213,$H32))&gt;1),"",IFERROR(INDEX($D$14:$D$1213,MATCH($H32&amp;"|"&amp;_xlfn.MAXIFS($F$14:$F$1213,$A$14:$A$1213,$H32,$F$14:$F$1213,"&lt;"&amp;_xlfn.MAXIFS($F$14:$F$1213,$A$14:$A$1213,$H32)),$AB$14:$AB$1213,0)),""))</f>
        <v/>
      </c>
      <c r="AM32" s="27">
        <f>IF(OR($H32="",COUNTIFS($A$14:$A$1213,$H32,$F$14:$F$1213,"&gt;=0")&lt;2,COUNTIFS($A$14:$A$1213,$H32,$F$14:$F$1213,_xlfn.MAXIFS($F$14:$F$1213,$A$14:$A$1213,$H32))&gt;1),"",IFERROR(INDEX($E$14:$E$1213,MATCH($H32&amp;"|"&amp;_xlfn.MAXIFS($F$14:$F$1213,$A$14:$A$1213,$H32,$F$14:$F$1213,"&lt;"&amp;_xlfn.MAXIFS($F$14:$F$1213,$A$14:$A$1213,$H32)),$AB$14:$AB$1213,0)),""))</f>
        <v/>
      </c>
      <c r="AN32" s="27">
        <f>IF(OR(NOT(ISNUMBER($AJ32)),NOT(ISNUMBER($AL32)),$AK32=0,$AM32=0),"",IF(OR((($AJ32+$AL32)/($AK32+$AM32))&lt;=0,(($AJ32+$AL32)/($AK32+$AM32))&gt;=1),"",($AJ32/$AK32-$AL32/$AM32)/SQRT((($AJ32+$AL32)/($AK32+$AM32))*(1-(($AJ32+$AL32)/($AK32+$AM32)))*(1/$AK32+1/$AM32))))</f>
        <v/>
      </c>
      <c r="AO32" s="27">
        <f>IF($A32="","",IF(AND(COUNTIFS($A$14:$A$1213,$A32,$F$14:$F$1213,"&gt;=0")=2,IFERROR(INDEX($M$14:$M$313,MATCH($A32,$H$14:$H$313,0)),"Yes")&lt;&gt;"Yes"),1,0))</f>
        <v/>
      </c>
    </row>
    <row r="33" ht="24" customHeight="1">
      <c r="A33" s="19">
        <f>IF('Enter messages'!A33="","",'Enter messages'!A33)</f>
        <v/>
      </c>
      <c r="B33" s="20">
        <f>IF('Enter messages'!B33="","",'Enter messages'!B33)</f>
        <v/>
      </c>
      <c r="C33" s="21">
        <f>IFERROR(AVERAGE(P33:T33),"")</f>
        <v/>
      </c>
      <c r="D33" s="29" t="n"/>
      <c r="E33" s="29" t="n"/>
      <c r="F33" s="30">
        <f>IF(AND(ISNUMBER($D33),ISNUMBER($E33),$E33&gt;0,$D33&lt;=$E33),$D33/$E33,"")</f>
        <v/>
      </c>
      <c r="H33" s="19">
        <f>IFERROR(INDEX($A$14:$A$1213,MATCH(20,$AI$14:$AI$1213,0)),"")</f>
        <v/>
      </c>
      <c r="I33" s="24">
        <f>IF($H33="","",IF(COUNTIFS($A$14:$A$1213,$H33,$C$14:$C$1213,"&gt;=0")=0,"—",IFERROR(INDEX($B$14:$B$1213,MATCH($H33&amp;"|1",$Z$14:$Z$1213,0)),"(tied)")))</f>
        <v/>
      </c>
      <c r="J33" s="25">
        <f>IF($H33="","",IF(OR(COUNTIFS($A$14:$A$1213,$H33,$C$14:$C$1213,"&gt;=0")=0,COUNTIFS($A$14:$A$1213,$H33,$F$14:$F$1213,"&gt;=0")=0),"—",IF(OR(ISERROR(MATCH($H33&amp;"|1",$Z$14:$Z$1213,0)),ISERROR(MATCH($H33&amp;"|1",$AA$14:$AA$1213,0))),"Tie",IF(MATCH($H33&amp;"|1",$Z$14:$Z$1213,0)=MATCH($H33&amp;"|1",$AA$14:$AA$1213,0),"Hit","Miss"))))</f>
        <v/>
      </c>
      <c r="K33" s="24">
        <f>IF($H33="","",IF(COUNTIFS($A$14:$A$1213,$H33,$F$14:$F$1213,"&gt;=0")=0,"—",IFERROR(INDEX($B$14:$B$1213,MATCH($H33&amp;"|1",$AA$14:$AA$1213,0)),"(tied)")))</f>
        <v/>
      </c>
      <c r="L33" s="25">
        <f>IF($H33="","",IF((--(COUNTIFS($A$14:$A$1213,$H33,$P$14:$P$1213,"&gt;=0")&gt;0)+--(COUNTIFS($A$14:$A$1213,$H33,$Q$14:$Q$1213,"&gt;=0")&gt;0)+--(COUNTIFS($A$14:$A$1213,$H33,$R$14:$R$1213,"&gt;=0")&gt;0)+--(COUNTIFS($A$14:$A$1213,$H33,$S$14:$S$1213,"&gt;=0")&gt;0)+--(COUNTIFS($A$14:$A$1213,$H33,$T$14:$T$1213,"&gt;=0")&gt;0))&lt;2,"—",IF(SUMIFS($AH$14:$AH$1213,$A$14:$A$1213,$H33)=0,"Yes","No")))</f>
        <v/>
      </c>
      <c r="M33" s="25">
        <f>IF($H33="","",IF(COUNTIFS($A$14:$A$1213,$H33,$F$14:$F$1213,"&gt;=0")&lt;2,"—",IF(COUNTIFS($A$14:$A$1213,$H33,$F$14:$F$1213,_xlfn.MAXIFS($F$14:$F$1213,$A$14:$A$1213,$H33))&gt;1,"No",IF(NOT(ISNUMBER($AN33)),"—",IF((2*(1-NORMSDIST(ABS($AN33))))&lt;0.05,"Yes","No")))))</f>
        <v/>
      </c>
      <c r="N33" s="21">
        <f>IF($H33="","",IF(NOT(ISNUMBER($AN33)),"—",IF((2*(1-NORMSDIST(ABS($AN33))))&lt;0.001,"&lt;0.001",TEXT((2*(1-NORMSDIST(ABS($AN33)))),"0.000"))))</f>
        <v/>
      </c>
      <c r="P33" s="26" t="n"/>
      <c r="Q33" s="26" t="n"/>
      <c r="R33" s="26" t="n"/>
      <c r="S33" s="26" t="n"/>
      <c r="T33" s="26" t="n"/>
      <c r="V33" s="27">
        <f>IF(ISNUMBER($C33),COUNTIFS($A$14:$A$1213,$A33,$C$14:$C$1213,"&gt;"&amp;$C33)+(COUNTIFS($A$14:$A$1213,$A33,$C$14:$C$1213,"="&amp;$C33)+1)/2,"")</f>
        <v/>
      </c>
      <c r="W33" s="27">
        <f>IF(ISNUMBER($F33),COUNTIFS($A$14:$A$1213,$A33,$F$14:$F$1213,"&gt;"&amp;$F33)+(COUNTIFS($A$14:$A$1213,$A33,$F$14:$F$1213,"="&amp;$F33)+1)/2,"")</f>
        <v/>
      </c>
      <c r="X33" s="27">
        <f>IF(OR(NOT(ISNUMBER($V33)),$AO33=1),"",$V33-(COUNTIFS($A$14:$A$1213,$A33,$C$14:$C$1213,"&gt;=0")+1)/2)</f>
        <v/>
      </c>
      <c r="Y33" s="27">
        <f>IF(OR(NOT(ISNUMBER($W33)),$AO33=1),"",$W33-(COUNTIFS($A$14:$A$1213,$A33,$F$14:$F$1213,"&gt;=0")+1)/2)</f>
        <v/>
      </c>
      <c r="Z33" s="27">
        <f>IF(ISNUMBER($V33),$A33&amp;"|"&amp;$V33,"")</f>
        <v/>
      </c>
      <c r="AA33" s="27">
        <f>IF(ISNUMBER($W33),$A33&amp;"|"&amp;$W33,"")</f>
        <v/>
      </c>
      <c r="AB33" s="27">
        <f>IF(ISNUMBER($F33),$A33&amp;"|"&amp;$F33,"")</f>
        <v/>
      </c>
      <c r="AC33" s="27">
        <f>IF(ISNUMBER($P33),COUNTIFS($A$14:$A$1213,$A33,$P$14:$P$1213,"&gt;"&amp;$P33)+(COUNTIFS($A$14:$A$1213,$A33,$P$14:$P$1213,"="&amp;$P33)+1)/2,"")</f>
        <v/>
      </c>
      <c r="AD33" s="27">
        <f>IF(ISNUMBER($Q33),COUNTIFS($A$14:$A$1213,$A33,$Q$14:$Q$1213,"&gt;"&amp;$Q33)+(COUNTIFS($A$14:$A$1213,$A33,$Q$14:$Q$1213,"="&amp;$Q33)+1)/2,"")</f>
        <v/>
      </c>
      <c r="AE33" s="27">
        <f>IF(ISNUMBER($R33),COUNTIFS($A$14:$A$1213,$A33,$R$14:$R$1213,"&gt;"&amp;$R33)+(COUNTIFS($A$14:$A$1213,$A33,$R$14:$R$1213,"="&amp;$R33)+1)/2,"")</f>
        <v/>
      </c>
      <c r="AF33" s="27">
        <f>IF(ISNUMBER($S33),COUNTIFS($A$14:$A$1213,$A33,$S$14:$S$1213,"&gt;"&amp;$S33)+(COUNTIFS($A$14:$A$1213,$A33,$S$14:$S$1213,"="&amp;$S33)+1)/2,"")</f>
        <v/>
      </c>
      <c r="AG33" s="27">
        <f>IF(ISNUMBER($T33),COUNTIFS($A$14:$A$1213,$A33,$T$14:$T$1213,"&gt;"&amp;$T33)+(COUNTIFS($A$14:$A$1213,$A33,$T$14:$T$1213,"="&amp;$T33)+1)/2,"")</f>
        <v/>
      </c>
      <c r="AH33" s="27">
        <f>IF(COUNT($AC33:$AG33)&lt;2,"",IF(MAX($AC33:$AG33)=MIN($AC33:$AG33),0,1))</f>
        <v/>
      </c>
      <c r="AI33" s="27">
        <f>IF($A33="","",IF(COUNTIF($A$14:$A33,$A33)=1,COUNTIF($AI$13:AI32,"&gt;0")+1,""))</f>
        <v/>
      </c>
      <c r="AJ33" s="27">
        <f>IF(OR($H33="",COUNTIFS($A$14:$A$1213,$H33,$F$14:$F$1213,"&gt;=0")&lt;2,COUNTIFS($A$14:$A$1213,$H33,$F$14:$F$1213,_xlfn.MAXIFS($F$14:$F$1213,$A$14:$A$1213,$H33))&gt;1),"",IFERROR(INDEX($D$14:$D$1213,MATCH($H33&amp;"|"&amp;_xlfn.MAXIFS($F$14:$F$1213,$A$14:$A$1213,$H33),$AB$14:$AB$1213,0)),""))</f>
        <v/>
      </c>
      <c r="AK33" s="27">
        <f>IF(OR($H33="",COUNTIFS($A$14:$A$1213,$H33,$F$14:$F$1213,"&gt;=0")&lt;2,COUNTIFS($A$14:$A$1213,$H33,$F$14:$F$1213,_xlfn.MAXIFS($F$14:$F$1213,$A$14:$A$1213,$H33))&gt;1),"",IFERROR(INDEX($E$14:$E$1213,MATCH($H33&amp;"|"&amp;_xlfn.MAXIFS($F$14:$F$1213,$A$14:$A$1213,$H33),$AB$14:$AB$1213,0)),""))</f>
        <v/>
      </c>
      <c r="AL33" s="27">
        <f>IF(OR($H33="",COUNTIFS($A$14:$A$1213,$H33,$F$14:$F$1213,"&gt;=0")&lt;2,COUNTIFS($A$14:$A$1213,$H33,$F$14:$F$1213,_xlfn.MAXIFS($F$14:$F$1213,$A$14:$A$1213,$H33))&gt;1),"",IFERROR(INDEX($D$14:$D$1213,MATCH($H33&amp;"|"&amp;_xlfn.MAXIFS($F$14:$F$1213,$A$14:$A$1213,$H33,$F$14:$F$1213,"&lt;"&amp;_xlfn.MAXIFS($F$14:$F$1213,$A$14:$A$1213,$H33)),$AB$14:$AB$1213,0)),""))</f>
        <v/>
      </c>
      <c r="AM33" s="27">
        <f>IF(OR($H33="",COUNTIFS($A$14:$A$1213,$H33,$F$14:$F$1213,"&gt;=0")&lt;2,COUNTIFS($A$14:$A$1213,$H33,$F$14:$F$1213,_xlfn.MAXIFS($F$14:$F$1213,$A$14:$A$1213,$H33))&gt;1),"",IFERROR(INDEX($E$14:$E$1213,MATCH($H33&amp;"|"&amp;_xlfn.MAXIFS($F$14:$F$1213,$A$14:$A$1213,$H33,$F$14:$F$1213,"&lt;"&amp;_xlfn.MAXIFS($F$14:$F$1213,$A$14:$A$1213,$H33)),$AB$14:$AB$1213,0)),""))</f>
        <v/>
      </c>
      <c r="AN33" s="27">
        <f>IF(OR(NOT(ISNUMBER($AJ33)),NOT(ISNUMBER($AL33)),$AK33=0,$AM33=0),"",IF(OR((($AJ33+$AL33)/($AK33+$AM33))&lt;=0,(($AJ33+$AL33)/($AK33+$AM33))&gt;=1),"",($AJ33/$AK33-$AL33/$AM33)/SQRT((($AJ33+$AL33)/($AK33+$AM33))*(1-(($AJ33+$AL33)/($AK33+$AM33)))*(1/$AK33+1/$AM33))))</f>
        <v/>
      </c>
      <c r="AO33" s="27">
        <f>IF($A33="","",IF(AND(COUNTIFS($A$14:$A$1213,$A33,$F$14:$F$1213,"&gt;=0")=2,IFERROR(INDEX($M$14:$M$313,MATCH($A33,$H$14:$H$313,0)),"Yes")&lt;&gt;"Yes"),1,0))</f>
        <v/>
      </c>
    </row>
    <row r="34" ht="24" customHeight="1">
      <c r="A34" s="19">
        <f>IF('Enter messages'!A34="","",'Enter messages'!A34)</f>
        <v/>
      </c>
      <c r="B34" s="20">
        <f>IF('Enter messages'!B34="","",'Enter messages'!B34)</f>
        <v/>
      </c>
      <c r="C34" s="21">
        <f>IFERROR(AVERAGE(P34:T34),"")</f>
        <v/>
      </c>
      <c r="D34" s="29" t="n"/>
      <c r="E34" s="29" t="n"/>
      <c r="F34" s="30">
        <f>IF(AND(ISNUMBER($D34),ISNUMBER($E34),$E34&gt;0,$D34&lt;=$E34),$D34/$E34,"")</f>
        <v/>
      </c>
      <c r="H34" s="19">
        <f>IFERROR(INDEX($A$14:$A$1213,MATCH(21,$AI$14:$AI$1213,0)),"")</f>
        <v/>
      </c>
      <c r="I34" s="24">
        <f>IF($H34="","",IF(COUNTIFS($A$14:$A$1213,$H34,$C$14:$C$1213,"&gt;=0")=0,"—",IFERROR(INDEX($B$14:$B$1213,MATCH($H34&amp;"|1",$Z$14:$Z$1213,0)),"(tied)")))</f>
        <v/>
      </c>
      <c r="J34" s="25">
        <f>IF($H34="","",IF(OR(COUNTIFS($A$14:$A$1213,$H34,$C$14:$C$1213,"&gt;=0")=0,COUNTIFS($A$14:$A$1213,$H34,$F$14:$F$1213,"&gt;=0")=0),"—",IF(OR(ISERROR(MATCH($H34&amp;"|1",$Z$14:$Z$1213,0)),ISERROR(MATCH($H34&amp;"|1",$AA$14:$AA$1213,0))),"Tie",IF(MATCH($H34&amp;"|1",$Z$14:$Z$1213,0)=MATCH($H34&amp;"|1",$AA$14:$AA$1213,0),"Hit","Miss"))))</f>
        <v/>
      </c>
      <c r="K34" s="24">
        <f>IF($H34="","",IF(COUNTIFS($A$14:$A$1213,$H34,$F$14:$F$1213,"&gt;=0")=0,"—",IFERROR(INDEX($B$14:$B$1213,MATCH($H34&amp;"|1",$AA$14:$AA$1213,0)),"(tied)")))</f>
        <v/>
      </c>
      <c r="L34" s="25">
        <f>IF($H34="","",IF((--(COUNTIFS($A$14:$A$1213,$H34,$P$14:$P$1213,"&gt;=0")&gt;0)+--(COUNTIFS($A$14:$A$1213,$H34,$Q$14:$Q$1213,"&gt;=0")&gt;0)+--(COUNTIFS($A$14:$A$1213,$H34,$R$14:$R$1213,"&gt;=0")&gt;0)+--(COUNTIFS($A$14:$A$1213,$H34,$S$14:$S$1213,"&gt;=0")&gt;0)+--(COUNTIFS($A$14:$A$1213,$H34,$T$14:$T$1213,"&gt;=0")&gt;0))&lt;2,"—",IF(SUMIFS($AH$14:$AH$1213,$A$14:$A$1213,$H34)=0,"Yes","No")))</f>
        <v/>
      </c>
      <c r="M34" s="25">
        <f>IF($H34="","",IF(COUNTIFS($A$14:$A$1213,$H34,$F$14:$F$1213,"&gt;=0")&lt;2,"—",IF(COUNTIFS($A$14:$A$1213,$H34,$F$14:$F$1213,_xlfn.MAXIFS($F$14:$F$1213,$A$14:$A$1213,$H34))&gt;1,"No",IF(NOT(ISNUMBER($AN34)),"—",IF((2*(1-NORMSDIST(ABS($AN34))))&lt;0.05,"Yes","No")))))</f>
        <v/>
      </c>
      <c r="N34" s="21">
        <f>IF($H34="","",IF(NOT(ISNUMBER($AN34)),"—",IF((2*(1-NORMSDIST(ABS($AN34))))&lt;0.001,"&lt;0.001",TEXT((2*(1-NORMSDIST(ABS($AN34)))),"0.000"))))</f>
        <v/>
      </c>
      <c r="P34" s="26" t="n"/>
      <c r="Q34" s="26" t="n"/>
      <c r="R34" s="26" t="n"/>
      <c r="S34" s="26" t="n"/>
      <c r="T34" s="26" t="n"/>
      <c r="V34" s="27">
        <f>IF(ISNUMBER($C34),COUNTIFS($A$14:$A$1213,$A34,$C$14:$C$1213,"&gt;"&amp;$C34)+(COUNTIFS($A$14:$A$1213,$A34,$C$14:$C$1213,"="&amp;$C34)+1)/2,"")</f>
        <v/>
      </c>
      <c r="W34" s="27">
        <f>IF(ISNUMBER($F34),COUNTIFS($A$14:$A$1213,$A34,$F$14:$F$1213,"&gt;"&amp;$F34)+(COUNTIFS($A$14:$A$1213,$A34,$F$14:$F$1213,"="&amp;$F34)+1)/2,"")</f>
        <v/>
      </c>
      <c r="X34" s="27">
        <f>IF(OR(NOT(ISNUMBER($V34)),$AO34=1),"",$V34-(COUNTIFS($A$14:$A$1213,$A34,$C$14:$C$1213,"&gt;=0")+1)/2)</f>
        <v/>
      </c>
      <c r="Y34" s="27">
        <f>IF(OR(NOT(ISNUMBER($W34)),$AO34=1),"",$W34-(COUNTIFS($A$14:$A$1213,$A34,$F$14:$F$1213,"&gt;=0")+1)/2)</f>
        <v/>
      </c>
      <c r="Z34" s="27">
        <f>IF(ISNUMBER($V34),$A34&amp;"|"&amp;$V34,"")</f>
        <v/>
      </c>
      <c r="AA34" s="27">
        <f>IF(ISNUMBER($W34),$A34&amp;"|"&amp;$W34,"")</f>
        <v/>
      </c>
      <c r="AB34" s="27">
        <f>IF(ISNUMBER($F34),$A34&amp;"|"&amp;$F34,"")</f>
        <v/>
      </c>
      <c r="AC34" s="27">
        <f>IF(ISNUMBER($P34),COUNTIFS($A$14:$A$1213,$A34,$P$14:$P$1213,"&gt;"&amp;$P34)+(COUNTIFS($A$14:$A$1213,$A34,$P$14:$P$1213,"="&amp;$P34)+1)/2,"")</f>
        <v/>
      </c>
      <c r="AD34" s="27">
        <f>IF(ISNUMBER($Q34),COUNTIFS($A$14:$A$1213,$A34,$Q$14:$Q$1213,"&gt;"&amp;$Q34)+(COUNTIFS($A$14:$A$1213,$A34,$Q$14:$Q$1213,"="&amp;$Q34)+1)/2,"")</f>
        <v/>
      </c>
      <c r="AE34" s="27">
        <f>IF(ISNUMBER($R34),COUNTIFS($A$14:$A$1213,$A34,$R$14:$R$1213,"&gt;"&amp;$R34)+(COUNTIFS($A$14:$A$1213,$A34,$R$14:$R$1213,"="&amp;$R34)+1)/2,"")</f>
        <v/>
      </c>
      <c r="AF34" s="27">
        <f>IF(ISNUMBER($S34),COUNTIFS($A$14:$A$1213,$A34,$S$14:$S$1213,"&gt;"&amp;$S34)+(COUNTIFS($A$14:$A$1213,$A34,$S$14:$S$1213,"="&amp;$S34)+1)/2,"")</f>
        <v/>
      </c>
      <c r="AG34" s="27">
        <f>IF(ISNUMBER($T34),COUNTIFS($A$14:$A$1213,$A34,$T$14:$T$1213,"&gt;"&amp;$T34)+(COUNTIFS($A$14:$A$1213,$A34,$T$14:$T$1213,"="&amp;$T34)+1)/2,"")</f>
        <v/>
      </c>
      <c r="AH34" s="27">
        <f>IF(COUNT($AC34:$AG34)&lt;2,"",IF(MAX($AC34:$AG34)=MIN($AC34:$AG34),0,1))</f>
        <v/>
      </c>
      <c r="AI34" s="27">
        <f>IF($A34="","",IF(COUNTIF($A$14:$A34,$A34)=1,COUNTIF($AI$13:AI33,"&gt;0")+1,""))</f>
        <v/>
      </c>
      <c r="AJ34" s="27">
        <f>IF(OR($H34="",COUNTIFS($A$14:$A$1213,$H34,$F$14:$F$1213,"&gt;=0")&lt;2,COUNTIFS($A$14:$A$1213,$H34,$F$14:$F$1213,_xlfn.MAXIFS($F$14:$F$1213,$A$14:$A$1213,$H34))&gt;1),"",IFERROR(INDEX($D$14:$D$1213,MATCH($H34&amp;"|"&amp;_xlfn.MAXIFS($F$14:$F$1213,$A$14:$A$1213,$H34),$AB$14:$AB$1213,0)),""))</f>
        <v/>
      </c>
      <c r="AK34" s="27">
        <f>IF(OR($H34="",COUNTIFS($A$14:$A$1213,$H34,$F$14:$F$1213,"&gt;=0")&lt;2,COUNTIFS($A$14:$A$1213,$H34,$F$14:$F$1213,_xlfn.MAXIFS($F$14:$F$1213,$A$14:$A$1213,$H34))&gt;1),"",IFERROR(INDEX($E$14:$E$1213,MATCH($H34&amp;"|"&amp;_xlfn.MAXIFS($F$14:$F$1213,$A$14:$A$1213,$H34),$AB$14:$AB$1213,0)),""))</f>
        <v/>
      </c>
      <c r="AL34" s="27">
        <f>IF(OR($H34="",COUNTIFS($A$14:$A$1213,$H34,$F$14:$F$1213,"&gt;=0")&lt;2,COUNTIFS($A$14:$A$1213,$H34,$F$14:$F$1213,_xlfn.MAXIFS($F$14:$F$1213,$A$14:$A$1213,$H34))&gt;1),"",IFERROR(INDEX($D$14:$D$1213,MATCH($H34&amp;"|"&amp;_xlfn.MAXIFS($F$14:$F$1213,$A$14:$A$1213,$H34,$F$14:$F$1213,"&lt;"&amp;_xlfn.MAXIFS($F$14:$F$1213,$A$14:$A$1213,$H34)),$AB$14:$AB$1213,0)),""))</f>
        <v/>
      </c>
      <c r="AM34" s="27">
        <f>IF(OR($H34="",COUNTIFS($A$14:$A$1213,$H34,$F$14:$F$1213,"&gt;=0")&lt;2,COUNTIFS($A$14:$A$1213,$H34,$F$14:$F$1213,_xlfn.MAXIFS($F$14:$F$1213,$A$14:$A$1213,$H34))&gt;1),"",IFERROR(INDEX($E$14:$E$1213,MATCH($H34&amp;"|"&amp;_xlfn.MAXIFS($F$14:$F$1213,$A$14:$A$1213,$H34,$F$14:$F$1213,"&lt;"&amp;_xlfn.MAXIFS($F$14:$F$1213,$A$14:$A$1213,$H34)),$AB$14:$AB$1213,0)),""))</f>
        <v/>
      </c>
      <c r="AN34" s="27">
        <f>IF(OR(NOT(ISNUMBER($AJ34)),NOT(ISNUMBER($AL34)),$AK34=0,$AM34=0),"",IF(OR((($AJ34+$AL34)/($AK34+$AM34))&lt;=0,(($AJ34+$AL34)/($AK34+$AM34))&gt;=1),"",($AJ34/$AK34-$AL34/$AM34)/SQRT((($AJ34+$AL34)/($AK34+$AM34))*(1-(($AJ34+$AL34)/($AK34+$AM34)))*(1/$AK34+1/$AM34))))</f>
        <v/>
      </c>
      <c r="AO34" s="27">
        <f>IF($A34="","",IF(AND(COUNTIFS($A$14:$A$1213,$A34,$F$14:$F$1213,"&gt;=0")=2,IFERROR(INDEX($M$14:$M$313,MATCH($A34,$H$14:$H$313,0)),"Yes")&lt;&gt;"Yes"),1,0))</f>
        <v/>
      </c>
    </row>
    <row r="35" ht="24" customHeight="1">
      <c r="A35" s="19">
        <f>IF('Enter messages'!A35="","",'Enter messages'!A35)</f>
        <v/>
      </c>
      <c r="B35" s="20">
        <f>IF('Enter messages'!B35="","",'Enter messages'!B35)</f>
        <v/>
      </c>
      <c r="C35" s="21">
        <f>IFERROR(AVERAGE(P35:T35),"")</f>
        <v/>
      </c>
      <c r="D35" s="29" t="n"/>
      <c r="E35" s="29" t="n"/>
      <c r="F35" s="30">
        <f>IF(AND(ISNUMBER($D35),ISNUMBER($E35),$E35&gt;0,$D35&lt;=$E35),$D35/$E35,"")</f>
        <v/>
      </c>
      <c r="H35" s="19">
        <f>IFERROR(INDEX($A$14:$A$1213,MATCH(22,$AI$14:$AI$1213,0)),"")</f>
        <v/>
      </c>
      <c r="I35" s="24">
        <f>IF($H35="","",IF(COUNTIFS($A$14:$A$1213,$H35,$C$14:$C$1213,"&gt;=0")=0,"—",IFERROR(INDEX($B$14:$B$1213,MATCH($H35&amp;"|1",$Z$14:$Z$1213,0)),"(tied)")))</f>
        <v/>
      </c>
      <c r="J35" s="25">
        <f>IF($H35="","",IF(OR(COUNTIFS($A$14:$A$1213,$H35,$C$14:$C$1213,"&gt;=0")=0,COUNTIFS($A$14:$A$1213,$H35,$F$14:$F$1213,"&gt;=0")=0),"—",IF(OR(ISERROR(MATCH($H35&amp;"|1",$Z$14:$Z$1213,0)),ISERROR(MATCH($H35&amp;"|1",$AA$14:$AA$1213,0))),"Tie",IF(MATCH($H35&amp;"|1",$Z$14:$Z$1213,0)=MATCH($H35&amp;"|1",$AA$14:$AA$1213,0),"Hit","Miss"))))</f>
        <v/>
      </c>
      <c r="K35" s="24">
        <f>IF($H35="","",IF(COUNTIFS($A$14:$A$1213,$H35,$F$14:$F$1213,"&gt;=0")=0,"—",IFERROR(INDEX($B$14:$B$1213,MATCH($H35&amp;"|1",$AA$14:$AA$1213,0)),"(tied)")))</f>
        <v/>
      </c>
      <c r="L35" s="25">
        <f>IF($H35="","",IF((--(COUNTIFS($A$14:$A$1213,$H35,$P$14:$P$1213,"&gt;=0")&gt;0)+--(COUNTIFS($A$14:$A$1213,$H35,$Q$14:$Q$1213,"&gt;=0")&gt;0)+--(COUNTIFS($A$14:$A$1213,$H35,$R$14:$R$1213,"&gt;=0")&gt;0)+--(COUNTIFS($A$14:$A$1213,$H35,$S$14:$S$1213,"&gt;=0")&gt;0)+--(COUNTIFS($A$14:$A$1213,$H35,$T$14:$T$1213,"&gt;=0")&gt;0))&lt;2,"—",IF(SUMIFS($AH$14:$AH$1213,$A$14:$A$1213,$H35)=0,"Yes","No")))</f>
        <v/>
      </c>
      <c r="M35" s="25">
        <f>IF($H35="","",IF(COUNTIFS($A$14:$A$1213,$H35,$F$14:$F$1213,"&gt;=0")&lt;2,"—",IF(COUNTIFS($A$14:$A$1213,$H35,$F$14:$F$1213,_xlfn.MAXIFS($F$14:$F$1213,$A$14:$A$1213,$H35))&gt;1,"No",IF(NOT(ISNUMBER($AN35)),"—",IF((2*(1-NORMSDIST(ABS($AN35))))&lt;0.05,"Yes","No")))))</f>
        <v/>
      </c>
      <c r="N35" s="21">
        <f>IF($H35="","",IF(NOT(ISNUMBER($AN35)),"—",IF((2*(1-NORMSDIST(ABS($AN35))))&lt;0.001,"&lt;0.001",TEXT((2*(1-NORMSDIST(ABS($AN35)))),"0.000"))))</f>
        <v/>
      </c>
      <c r="P35" s="26" t="n"/>
      <c r="Q35" s="26" t="n"/>
      <c r="R35" s="26" t="n"/>
      <c r="S35" s="26" t="n"/>
      <c r="T35" s="26" t="n"/>
      <c r="V35" s="27">
        <f>IF(ISNUMBER($C35),COUNTIFS($A$14:$A$1213,$A35,$C$14:$C$1213,"&gt;"&amp;$C35)+(COUNTIFS($A$14:$A$1213,$A35,$C$14:$C$1213,"="&amp;$C35)+1)/2,"")</f>
        <v/>
      </c>
      <c r="W35" s="27">
        <f>IF(ISNUMBER($F35),COUNTIFS($A$14:$A$1213,$A35,$F$14:$F$1213,"&gt;"&amp;$F35)+(COUNTIFS($A$14:$A$1213,$A35,$F$14:$F$1213,"="&amp;$F35)+1)/2,"")</f>
        <v/>
      </c>
      <c r="X35" s="27">
        <f>IF(OR(NOT(ISNUMBER($V35)),$AO35=1),"",$V35-(COUNTIFS($A$14:$A$1213,$A35,$C$14:$C$1213,"&gt;=0")+1)/2)</f>
        <v/>
      </c>
      <c r="Y35" s="27">
        <f>IF(OR(NOT(ISNUMBER($W35)),$AO35=1),"",$W35-(COUNTIFS($A$14:$A$1213,$A35,$F$14:$F$1213,"&gt;=0")+1)/2)</f>
        <v/>
      </c>
      <c r="Z35" s="27">
        <f>IF(ISNUMBER($V35),$A35&amp;"|"&amp;$V35,"")</f>
        <v/>
      </c>
      <c r="AA35" s="27">
        <f>IF(ISNUMBER($W35),$A35&amp;"|"&amp;$W35,"")</f>
        <v/>
      </c>
      <c r="AB35" s="27">
        <f>IF(ISNUMBER($F35),$A35&amp;"|"&amp;$F35,"")</f>
        <v/>
      </c>
      <c r="AC35" s="27">
        <f>IF(ISNUMBER($P35),COUNTIFS($A$14:$A$1213,$A35,$P$14:$P$1213,"&gt;"&amp;$P35)+(COUNTIFS($A$14:$A$1213,$A35,$P$14:$P$1213,"="&amp;$P35)+1)/2,"")</f>
        <v/>
      </c>
      <c r="AD35" s="27">
        <f>IF(ISNUMBER($Q35),COUNTIFS($A$14:$A$1213,$A35,$Q$14:$Q$1213,"&gt;"&amp;$Q35)+(COUNTIFS($A$14:$A$1213,$A35,$Q$14:$Q$1213,"="&amp;$Q35)+1)/2,"")</f>
        <v/>
      </c>
      <c r="AE35" s="27">
        <f>IF(ISNUMBER($R35),COUNTIFS($A$14:$A$1213,$A35,$R$14:$R$1213,"&gt;"&amp;$R35)+(COUNTIFS($A$14:$A$1213,$A35,$R$14:$R$1213,"="&amp;$R35)+1)/2,"")</f>
        <v/>
      </c>
      <c r="AF35" s="27">
        <f>IF(ISNUMBER($S35),COUNTIFS($A$14:$A$1213,$A35,$S$14:$S$1213,"&gt;"&amp;$S35)+(COUNTIFS($A$14:$A$1213,$A35,$S$14:$S$1213,"="&amp;$S35)+1)/2,"")</f>
        <v/>
      </c>
      <c r="AG35" s="27">
        <f>IF(ISNUMBER($T35),COUNTIFS($A$14:$A$1213,$A35,$T$14:$T$1213,"&gt;"&amp;$T35)+(COUNTIFS($A$14:$A$1213,$A35,$T$14:$T$1213,"="&amp;$T35)+1)/2,"")</f>
        <v/>
      </c>
      <c r="AH35" s="27">
        <f>IF(COUNT($AC35:$AG35)&lt;2,"",IF(MAX($AC35:$AG35)=MIN($AC35:$AG35),0,1))</f>
        <v/>
      </c>
      <c r="AI35" s="27">
        <f>IF($A35="","",IF(COUNTIF($A$14:$A35,$A35)=1,COUNTIF($AI$13:AI34,"&gt;0")+1,""))</f>
        <v/>
      </c>
      <c r="AJ35" s="27">
        <f>IF(OR($H35="",COUNTIFS($A$14:$A$1213,$H35,$F$14:$F$1213,"&gt;=0")&lt;2,COUNTIFS($A$14:$A$1213,$H35,$F$14:$F$1213,_xlfn.MAXIFS($F$14:$F$1213,$A$14:$A$1213,$H35))&gt;1),"",IFERROR(INDEX($D$14:$D$1213,MATCH($H35&amp;"|"&amp;_xlfn.MAXIFS($F$14:$F$1213,$A$14:$A$1213,$H35),$AB$14:$AB$1213,0)),""))</f>
        <v/>
      </c>
      <c r="AK35" s="27">
        <f>IF(OR($H35="",COUNTIFS($A$14:$A$1213,$H35,$F$14:$F$1213,"&gt;=0")&lt;2,COUNTIFS($A$14:$A$1213,$H35,$F$14:$F$1213,_xlfn.MAXIFS($F$14:$F$1213,$A$14:$A$1213,$H35))&gt;1),"",IFERROR(INDEX($E$14:$E$1213,MATCH($H35&amp;"|"&amp;_xlfn.MAXIFS($F$14:$F$1213,$A$14:$A$1213,$H35),$AB$14:$AB$1213,0)),""))</f>
        <v/>
      </c>
      <c r="AL35" s="27">
        <f>IF(OR($H35="",COUNTIFS($A$14:$A$1213,$H35,$F$14:$F$1213,"&gt;=0")&lt;2,COUNTIFS($A$14:$A$1213,$H35,$F$14:$F$1213,_xlfn.MAXIFS($F$14:$F$1213,$A$14:$A$1213,$H35))&gt;1),"",IFERROR(INDEX($D$14:$D$1213,MATCH($H35&amp;"|"&amp;_xlfn.MAXIFS($F$14:$F$1213,$A$14:$A$1213,$H35,$F$14:$F$1213,"&lt;"&amp;_xlfn.MAXIFS($F$14:$F$1213,$A$14:$A$1213,$H35)),$AB$14:$AB$1213,0)),""))</f>
        <v/>
      </c>
      <c r="AM35" s="27">
        <f>IF(OR($H35="",COUNTIFS($A$14:$A$1213,$H35,$F$14:$F$1213,"&gt;=0")&lt;2,COUNTIFS($A$14:$A$1213,$H35,$F$14:$F$1213,_xlfn.MAXIFS($F$14:$F$1213,$A$14:$A$1213,$H35))&gt;1),"",IFERROR(INDEX($E$14:$E$1213,MATCH($H35&amp;"|"&amp;_xlfn.MAXIFS($F$14:$F$1213,$A$14:$A$1213,$H35,$F$14:$F$1213,"&lt;"&amp;_xlfn.MAXIFS($F$14:$F$1213,$A$14:$A$1213,$H35)),$AB$14:$AB$1213,0)),""))</f>
        <v/>
      </c>
      <c r="AN35" s="27">
        <f>IF(OR(NOT(ISNUMBER($AJ35)),NOT(ISNUMBER($AL35)),$AK35=0,$AM35=0),"",IF(OR((($AJ35+$AL35)/($AK35+$AM35))&lt;=0,(($AJ35+$AL35)/($AK35+$AM35))&gt;=1),"",($AJ35/$AK35-$AL35/$AM35)/SQRT((($AJ35+$AL35)/($AK35+$AM35))*(1-(($AJ35+$AL35)/($AK35+$AM35)))*(1/$AK35+1/$AM35))))</f>
        <v/>
      </c>
      <c r="AO35" s="27">
        <f>IF($A35="","",IF(AND(COUNTIFS($A$14:$A$1213,$A35,$F$14:$F$1213,"&gt;=0")=2,IFERROR(INDEX($M$14:$M$313,MATCH($A35,$H$14:$H$313,0)),"Yes")&lt;&gt;"Yes"),1,0))</f>
        <v/>
      </c>
    </row>
    <row r="36" ht="24" customHeight="1">
      <c r="A36" s="19">
        <f>IF('Enter messages'!A36="","",'Enter messages'!A36)</f>
        <v/>
      </c>
      <c r="B36" s="20">
        <f>IF('Enter messages'!B36="","",'Enter messages'!B36)</f>
        <v/>
      </c>
      <c r="C36" s="21">
        <f>IFERROR(AVERAGE(P36:T36),"")</f>
        <v/>
      </c>
      <c r="D36" s="29" t="n"/>
      <c r="E36" s="29" t="n"/>
      <c r="F36" s="30">
        <f>IF(AND(ISNUMBER($D36),ISNUMBER($E36),$E36&gt;0,$D36&lt;=$E36),$D36/$E36,"")</f>
        <v/>
      </c>
      <c r="H36" s="19">
        <f>IFERROR(INDEX($A$14:$A$1213,MATCH(23,$AI$14:$AI$1213,0)),"")</f>
        <v/>
      </c>
      <c r="I36" s="24">
        <f>IF($H36="","",IF(COUNTIFS($A$14:$A$1213,$H36,$C$14:$C$1213,"&gt;=0")=0,"—",IFERROR(INDEX($B$14:$B$1213,MATCH($H36&amp;"|1",$Z$14:$Z$1213,0)),"(tied)")))</f>
        <v/>
      </c>
      <c r="J36" s="25">
        <f>IF($H36="","",IF(OR(COUNTIFS($A$14:$A$1213,$H36,$C$14:$C$1213,"&gt;=0")=0,COUNTIFS($A$14:$A$1213,$H36,$F$14:$F$1213,"&gt;=0")=0),"—",IF(OR(ISERROR(MATCH($H36&amp;"|1",$Z$14:$Z$1213,0)),ISERROR(MATCH($H36&amp;"|1",$AA$14:$AA$1213,0))),"Tie",IF(MATCH($H36&amp;"|1",$Z$14:$Z$1213,0)=MATCH($H36&amp;"|1",$AA$14:$AA$1213,0),"Hit","Miss"))))</f>
        <v/>
      </c>
      <c r="K36" s="24">
        <f>IF($H36="","",IF(COUNTIFS($A$14:$A$1213,$H36,$F$14:$F$1213,"&gt;=0")=0,"—",IFERROR(INDEX($B$14:$B$1213,MATCH($H36&amp;"|1",$AA$14:$AA$1213,0)),"(tied)")))</f>
        <v/>
      </c>
      <c r="L36" s="25">
        <f>IF($H36="","",IF((--(COUNTIFS($A$14:$A$1213,$H36,$P$14:$P$1213,"&gt;=0")&gt;0)+--(COUNTIFS($A$14:$A$1213,$H36,$Q$14:$Q$1213,"&gt;=0")&gt;0)+--(COUNTIFS($A$14:$A$1213,$H36,$R$14:$R$1213,"&gt;=0")&gt;0)+--(COUNTIFS($A$14:$A$1213,$H36,$S$14:$S$1213,"&gt;=0")&gt;0)+--(COUNTIFS($A$14:$A$1213,$H36,$T$14:$T$1213,"&gt;=0")&gt;0))&lt;2,"—",IF(SUMIFS($AH$14:$AH$1213,$A$14:$A$1213,$H36)=0,"Yes","No")))</f>
        <v/>
      </c>
      <c r="M36" s="25">
        <f>IF($H36="","",IF(COUNTIFS($A$14:$A$1213,$H36,$F$14:$F$1213,"&gt;=0")&lt;2,"—",IF(COUNTIFS($A$14:$A$1213,$H36,$F$14:$F$1213,_xlfn.MAXIFS($F$14:$F$1213,$A$14:$A$1213,$H36))&gt;1,"No",IF(NOT(ISNUMBER($AN36)),"—",IF((2*(1-NORMSDIST(ABS($AN36))))&lt;0.05,"Yes","No")))))</f>
        <v/>
      </c>
      <c r="N36" s="21">
        <f>IF($H36="","",IF(NOT(ISNUMBER($AN36)),"—",IF((2*(1-NORMSDIST(ABS($AN36))))&lt;0.001,"&lt;0.001",TEXT((2*(1-NORMSDIST(ABS($AN36)))),"0.000"))))</f>
        <v/>
      </c>
      <c r="P36" s="26" t="n"/>
      <c r="Q36" s="26" t="n"/>
      <c r="R36" s="26" t="n"/>
      <c r="S36" s="26" t="n"/>
      <c r="T36" s="26" t="n"/>
      <c r="V36" s="27">
        <f>IF(ISNUMBER($C36),COUNTIFS($A$14:$A$1213,$A36,$C$14:$C$1213,"&gt;"&amp;$C36)+(COUNTIFS($A$14:$A$1213,$A36,$C$14:$C$1213,"="&amp;$C36)+1)/2,"")</f>
        <v/>
      </c>
      <c r="W36" s="27">
        <f>IF(ISNUMBER($F36),COUNTIFS($A$14:$A$1213,$A36,$F$14:$F$1213,"&gt;"&amp;$F36)+(COUNTIFS($A$14:$A$1213,$A36,$F$14:$F$1213,"="&amp;$F36)+1)/2,"")</f>
        <v/>
      </c>
      <c r="X36" s="27">
        <f>IF(OR(NOT(ISNUMBER($V36)),$AO36=1),"",$V36-(COUNTIFS($A$14:$A$1213,$A36,$C$14:$C$1213,"&gt;=0")+1)/2)</f>
        <v/>
      </c>
      <c r="Y36" s="27">
        <f>IF(OR(NOT(ISNUMBER($W36)),$AO36=1),"",$W36-(COUNTIFS($A$14:$A$1213,$A36,$F$14:$F$1213,"&gt;=0")+1)/2)</f>
        <v/>
      </c>
      <c r="Z36" s="27">
        <f>IF(ISNUMBER($V36),$A36&amp;"|"&amp;$V36,"")</f>
        <v/>
      </c>
      <c r="AA36" s="27">
        <f>IF(ISNUMBER($W36),$A36&amp;"|"&amp;$W36,"")</f>
        <v/>
      </c>
      <c r="AB36" s="27">
        <f>IF(ISNUMBER($F36),$A36&amp;"|"&amp;$F36,"")</f>
        <v/>
      </c>
      <c r="AC36" s="27">
        <f>IF(ISNUMBER($P36),COUNTIFS($A$14:$A$1213,$A36,$P$14:$P$1213,"&gt;"&amp;$P36)+(COUNTIFS($A$14:$A$1213,$A36,$P$14:$P$1213,"="&amp;$P36)+1)/2,"")</f>
        <v/>
      </c>
      <c r="AD36" s="27">
        <f>IF(ISNUMBER($Q36),COUNTIFS($A$14:$A$1213,$A36,$Q$14:$Q$1213,"&gt;"&amp;$Q36)+(COUNTIFS($A$14:$A$1213,$A36,$Q$14:$Q$1213,"="&amp;$Q36)+1)/2,"")</f>
        <v/>
      </c>
      <c r="AE36" s="27">
        <f>IF(ISNUMBER($R36),COUNTIFS($A$14:$A$1213,$A36,$R$14:$R$1213,"&gt;"&amp;$R36)+(COUNTIFS($A$14:$A$1213,$A36,$R$14:$R$1213,"="&amp;$R36)+1)/2,"")</f>
        <v/>
      </c>
      <c r="AF36" s="27">
        <f>IF(ISNUMBER($S36),COUNTIFS($A$14:$A$1213,$A36,$S$14:$S$1213,"&gt;"&amp;$S36)+(COUNTIFS($A$14:$A$1213,$A36,$S$14:$S$1213,"="&amp;$S36)+1)/2,"")</f>
        <v/>
      </c>
      <c r="AG36" s="27">
        <f>IF(ISNUMBER($T36),COUNTIFS($A$14:$A$1213,$A36,$T$14:$T$1213,"&gt;"&amp;$T36)+(COUNTIFS($A$14:$A$1213,$A36,$T$14:$T$1213,"="&amp;$T36)+1)/2,"")</f>
        <v/>
      </c>
      <c r="AH36" s="27">
        <f>IF(COUNT($AC36:$AG36)&lt;2,"",IF(MAX($AC36:$AG36)=MIN($AC36:$AG36),0,1))</f>
        <v/>
      </c>
      <c r="AI36" s="27">
        <f>IF($A36="","",IF(COUNTIF($A$14:$A36,$A36)=1,COUNTIF($AI$13:AI35,"&gt;0")+1,""))</f>
        <v/>
      </c>
      <c r="AJ36" s="27">
        <f>IF(OR($H36="",COUNTIFS($A$14:$A$1213,$H36,$F$14:$F$1213,"&gt;=0")&lt;2,COUNTIFS($A$14:$A$1213,$H36,$F$14:$F$1213,_xlfn.MAXIFS($F$14:$F$1213,$A$14:$A$1213,$H36))&gt;1),"",IFERROR(INDEX($D$14:$D$1213,MATCH($H36&amp;"|"&amp;_xlfn.MAXIFS($F$14:$F$1213,$A$14:$A$1213,$H36),$AB$14:$AB$1213,0)),""))</f>
        <v/>
      </c>
      <c r="AK36" s="27">
        <f>IF(OR($H36="",COUNTIFS($A$14:$A$1213,$H36,$F$14:$F$1213,"&gt;=0")&lt;2,COUNTIFS($A$14:$A$1213,$H36,$F$14:$F$1213,_xlfn.MAXIFS($F$14:$F$1213,$A$14:$A$1213,$H36))&gt;1),"",IFERROR(INDEX($E$14:$E$1213,MATCH($H36&amp;"|"&amp;_xlfn.MAXIFS($F$14:$F$1213,$A$14:$A$1213,$H36),$AB$14:$AB$1213,0)),""))</f>
        <v/>
      </c>
      <c r="AL36" s="27">
        <f>IF(OR($H36="",COUNTIFS($A$14:$A$1213,$H36,$F$14:$F$1213,"&gt;=0")&lt;2,COUNTIFS($A$14:$A$1213,$H36,$F$14:$F$1213,_xlfn.MAXIFS($F$14:$F$1213,$A$14:$A$1213,$H36))&gt;1),"",IFERROR(INDEX($D$14:$D$1213,MATCH($H36&amp;"|"&amp;_xlfn.MAXIFS($F$14:$F$1213,$A$14:$A$1213,$H36,$F$14:$F$1213,"&lt;"&amp;_xlfn.MAXIFS($F$14:$F$1213,$A$14:$A$1213,$H36)),$AB$14:$AB$1213,0)),""))</f>
        <v/>
      </c>
      <c r="AM36" s="27">
        <f>IF(OR($H36="",COUNTIFS($A$14:$A$1213,$H36,$F$14:$F$1213,"&gt;=0")&lt;2,COUNTIFS($A$14:$A$1213,$H36,$F$14:$F$1213,_xlfn.MAXIFS($F$14:$F$1213,$A$14:$A$1213,$H36))&gt;1),"",IFERROR(INDEX($E$14:$E$1213,MATCH($H36&amp;"|"&amp;_xlfn.MAXIFS($F$14:$F$1213,$A$14:$A$1213,$H36,$F$14:$F$1213,"&lt;"&amp;_xlfn.MAXIFS($F$14:$F$1213,$A$14:$A$1213,$H36)),$AB$14:$AB$1213,0)),""))</f>
        <v/>
      </c>
      <c r="AN36" s="27">
        <f>IF(OR(NOT(ISNUMBER($AJ36)),NOT(ISNUMBER($AL36)),$AK36=0,$AM36=0),"",IF(OR((($AJ36+$AL36)/($AK36+$AM36))&lt;=0,(($AJ36+$AL36)/($AK36+$AM36))&gt;=1),"",($AJ36/$AK36-$AL36/$AM36)/SQRT((($AJ36+$AL36)/($AK36+$AM36))*(1-(($AJ36+$AL36)/($AK36+$AM36)))*(1/$AK36+1/$AM36))))</f>
        <v/>
      </c>
      <c r="AO36" s="27">
        <f>IF($A36="","",IF(AND(COUNTIFS($A$14:$A$1213,$A36,$F$14:$F$1213,"&gt;=0")=2,IFERROR(INDEX($M$14:$M$313,MATCH($A36,$H$14:$H$313,0)),"Yes")&lt;&gt;"Yes"),1,0))</f>
        <v/>
      </c>
    </row>
    <row r="37" ht="24" customHeight="1">
      <c r="A37" s="19">
        <f>IF('Enter messages'!A37="","",'Enter messages'!A37)</f>
        <v/>
      </c>
      <c r="B37" s="20">
        <f>IF('Enter messages'!B37="","",'Enter messages'!B37)</f>
        <v/>
      </c>
      <c r="C37" s="21">
        <f>IFERROR(AVERAGE(P37:T37),"")</f>
        <v/>
      </c>
      <c r="D37" s="29" t="n"/>
      <c r="E37" s="29" t="n"/>
      <c r="F37" s="30">
        <f>IF(AND(ISNUMBER($D37),ISNUMBER($E37),$E37&gt;0,$D37&lt;=$E37),$D37/$E37,"")</f>
        <v/>
      </c>
      <c r="H37" s="19">
        <f>IFERROR(INDEX($A$14:$A$1213,MATCH(24,$AI$14:$AI$1213,0)),"")</f>
        <v/>
      </c>
      <c r="I37" s="24">
        <f>IF($H37="","",IF(COUNTIFS($A$14:$A$1213,$H37,$C$14:$C$1213,"&gt;=0")=0,"—",IFERROR(INDEX($B$14:$B$1213,MATCH($H37&amp;"|1",$Z$14:$Z$1213,0)),"(tied)")))</f>
        <v/>
      </c>
      <c r="J37" s="25">
        <f>IF($H37="","",IF(OR(COUNTIFS($A$14:$A$1213,$H37,$C$14:$C$1213,"&gt;=0")=0,COUNTIFS($A$14:$A$1213,$H37,$F$14:$F$1213,"&gt;=0")=0),"—",IF(OR(ISERROR(MATCH($H37&amp;"|1",$Z$14:$Z$1213,0)),ISERROR(MATCH($H37&amp;"|1",$AA$14:$AA$1213,0))),"Tie",IF(MATCH($H37&amp;"|1",$Z$14:$Z$1213,0)=MATCH($H37&amp;"|1",$AA$14:$AA$1213,0),"Hit","Miss"))))</f>
        <v/>
      </c>
      <c r="K37" s="24">
        <f>IF($H37="","",IF(COUNTIFS($A$14:$A$1213,$H37,$F$14:$F$1213,"&gt;=0")=0,"—",IFERROR(INDEX($B$14:$B$1213,MATCH($H37&amp;"|1",$AA$14:$AA$1213,0)),"(tied)")))</f>
        <v/>
      </c>
      <c r="L37" s="25">
        <f>IF($H37="","",IF((--(COUNTIFS($A$14:$A$1213,$H37,$P$14:$P$1213,"&gt;=0")&gt;0)+--(COUNTIFS($A$14:$A$1213,$H37,$Q$14:$Q$1213,"&gt;=0")&gt;0)+--(COUNTIFS($A$14:$A$1213,$H37,$R$14:$R$1213,"&gt;=0")&gt;0)+--(COUNTIFS($A$14:$A$1213,$H37,$S$14:$S$1213,"&gt;=0")&gt;0)+--(COUNTIFS($A$14:$A$1213,$H37,$T$14:$T$1213,"&gt;=0")&gt;0))&lt;2,"—",IF(SUMIFS($AH$14:$AH$1213,$A$14:$A$1213,$H37)=0,"Yes","No")))</f>
        <v/>
      </c>
      <c r="M37" s="25">
        <f>IF($H37="","",IF(COUNTIFS($A$14:$A$1213,$H37,$F$14:$F$1213,"&gt;=0")&lt;2,"—",IF(COUNTIFS($A$14:$A$1213,$H37,$F$14:$F$1213,_xlfn.MAXIFS($F$14:$F$1213,$A$14:$A$1213,$H37))&gt;1,"No",IF(NOT(ISNUMBER($AN37)),"—",IF((2*(1-NORMSDIST(ABS($AN37))))&lt;0.05,"Yes","No")))))</f>
        <v/>
      </c>
      <c r="N37" s="21">
        <f>IF($H37="","",IF(NOT(ISNUMBER($AN37)),"—",IF((2*(1-NORMSDIST(ABS($AN37))))&lt;0.001,"&lt;0.001",TEXT((2*(1-NORMSDIST(ABS($AN37)))),"0.000"))))</f>
        <v/>
      </c>
      <c r="P37" s="26" t="n"/>
      <c r="Q37" s="26" t="n"/>
      <c r="R37" s="26" t="n"/>
      <c r="S37" s="26" t="n"/>
      <c r="T37" s="26" t="n"/>
      <c r="V37" s="27">
        <f>IF(ISNUMBER($C37),COUNTIFS($A$14:$A$1213,$A37,$C$14:$C$1213,"&gt;"&amp;$C37)+(COUNTIFS($A$14:$A$1213,$A37,$C$14:$C$1213,"="&amp;$C37)+1)/2,"")</f>
        <v/>
      </c>
      <c r="W37" s="27">
        <f>IF(ISNUMBER($F37),COUNTIFS($A$14:$A$1213,$A37,$F$14:$F$1213,"&gt;"&amp;$F37)+(COUNTIFS($A$14:$A$1213,$A37,$F$14:$F$1213,"="&amp;$F37)+1)/2,"")</f>
        <v/>
      </c>
      <c r="X37" s="27">
        <f>IF(OR(NOT(ISNUMBER($V37)),$AO37=1),"",$V37-(COUNTIFS($A$14:$A$1213,$A37,$C$14:$C$1213,"&gt;=0")+1)/2)</f>
        <v/>
      </c>
      <c r="Y37" s="27">
        <f>IF(OR(NOT(ISNUMBER($W37)),$AO37=1),"",$W37-(COUNTIFS($A$14:$A$1213,$A37,$F$14:$F$1213,"&gt;=0")+1)/2)</f>
        <v/>
      </c>
      <c r="Z37" s="27">
        <f>IF(ISNUMBER($V37),$A37&amp;"|"&amp;$V37,"")</f>
        <v/>
      </c>
      <c r="AA37" s="27">
        <f>IF(ISNUMBER($W37),$A37&amp;"|"&amp;$W37,"")</f>
        <v/>
      </c>
      <c r="AB37" s="27">
        <f>IF(ISNUMBER($F37),$A37&amp;"|"&amp;$F37,"")</f>
        <v/>
      </c>
      <c r="AC37" s="27">
        <f>IF(ISNUMBER($P37),COUNTIFS($A$14:$A$1213,$A37,$P$14:$P$1213,"&gt;"&amp;$P37)+(COUNTIFS($A$14:$A$1213,$A37,$P$14:$P$1213,"="&amp;$P37)+1)/2,"")</f>
        <v/>
      </c>
      <c r="AD37" s="27">
        <f>IF(ISNUMBER($Q37),COUNTIFS($A$14:$A$1213,$A37,$Q$14:$Q$1213,"&gt;"&amp;$Q37)+(COUNTIFS($A$14:$A$1213,$A37,$Q$14:$Q$1213,"="&amp;$Q37)+1)/2,"")</f>
        <v/>
      </c>
      <c r="AE37" s="27">
        <f>IF(ISNUMBER($R37),COUNTIFS($A$14:$A$1213,$A37,$R$14:$R$1213,"&gt;"&amp;$R37)+(COUNTIFS($A$14:$A$1213,$A37,$R$14:$R$1213,"="&amp;$R37)+1)/2,"")</f>
        <v/>
      </c>
      <c r="AF37" s="27">
        <f>IF(ISNUMBER($S37),COUNTIFS($A$14:$A$1213,$A37,$S$14:$S$1213,"&gt;"&amp;$S37)+(COUNTIFS($A$14:$A$1213,$A37,$S$14:$S$1213,"="&amp;$S37)+1)/2,"")</f>
        <v/>
      </c>
      <c r="AG37" s="27">
        <f>IF(ISNUMBER($T37),COUNTIFS($A$14:$A$1213,$A37,$T$14:$T$1213,"&gt;"&amp;$T37)+(COUNTIFS($A$14:$A$1213,$A37,$T$14:$T$1213,"="&amp;$T37)+1)/2,"")</f>
        <v/>
      </c>
      <c r="AH37" s="27">
        <f>IF(COUNT($AC37:$AG37)&lt;2,"",IF(MAX($AC37:$AG37)=MIN($AC37:$AG37),0,1))</f>
        <v/>
      </c>
      <c r="AI37" s="27">
        <f>IF($A37="","",IF(COUNTIF($A$14:$A37,$A37)=1,COUNTIF($AI$13:AI36,"&gt;0")+1,""))</f>
        <v/>
      </c>
      <c r="AJ37" s="27">
        <f>IF(OR($H37="",COUNTIFS($A$14:$A$1213,$H37,$F$14:$F$1213,"&gt;=0")&lt;2,COUNTIFS($A$14:$A$1213,$H37,$F$14:$F$1213,_xlfn.MAXIFS($F$14:$F$1213,$A$14:$A$1213,$H37))&gt;1),"",IFERROR(INDEX($D$14:$D$1213,MATCH($H37&amp;"|"&amp;_xlfn.MAXIFS($F$14:$F$1213,$A$14:$A$1213,$H37),$AB$14:$AB$1213,0)),""))</f>
        <v/>
      </c>
      <c r="AK37" s="27">
        <f>IF(OR($H37="",COUNTIFS($A$14:$A$1213,$H37,$F$14:$F$1213,"&gt;=0")&lt;2,COUNTIFS($A$14:$A$1213,$H37,$F$14:$F$1213,_xlfn.MAXIFS($F$14:$F$1213,$A$14:$A$1213,$H37))&gt;1),"",IFERROR(INDEX($E$14:$E$1213,MATCH($H37&amp;"|"&amp;_xlfn.MAXIFS($F$14:$F$1213,$A$14:$A$1213,$H37),$AB$14:$AB$1213,0)),""))</f>
        <v/>
      </c>
      <c r="AL37" s="27">
        <f>IF(OR($H37="",COUNTIFS($A$14:$A$1213,$H37,$F$14:$F$1213,"&gt;=0")&lt;2,COUNTIFS($A$14:$A$1213,$H37,$F$14:$F$1213,_xlfn.MAXIFS($F$14:$F$1213,$A$14:$A$1213,$H37))&gt;1),"",IFERROR(INDEX($D$14:$D$1213,MATCH($H37&amp;"|"&amp;_xlfn.MAXIFS($F$14:$F$1213,$A$14:$A$1213,$H37,$F$14:$F$1213,"&lt;"&amp;_xlfn.MAXIFS($F$14:$F$1213,$A$14:$A$1213,$H37)),$AB$14:$AB$1213,0)),""))</f>
        <v/>
      </c>
      <c r="AM37" s="27">
        <f>IF(OR($H37="",COUNTIFS($A$14:$A$1213,$H37,$F$14:$F$1213,"&gt;=0")&lt;2,COUNTIFS($A$14:$A$1213,$H37,$F$14:$F$1213,_xlfn.MAXIFS($F$14:$F$1213,$A$14:$A$1213,$H37))&gt;1),"",IFERROR(INDEX($E$14:$E$1213,MATCH($H37&amp;"|"&amp;_xlfn.MAXIFS($F$14:$F$1213,$A$14:$A$1213,$H37,$F$14:$F$1213,"&lt;"&amp;_xlfn.MAXIFS($F$14:$F$1213,$A$14:$A$1213,$H37)),$AB$14:$AB$1213,0)),""))</f>
        <v/>
      </c>
      <c r="AN37" s="27">
        <f>IF(OR(NOT(ISNUMBER($AJ37)),NOT(ISNUMBER($AL37)),$AK37=0,$AM37=0),"",IF(OR((($AJ37+$AL37)/($AK37+$AM37))&lt;=0,(($AJ37+$AL37)/($AK37+$AM37))&gt;=1),"",($AJ37/$AK37-$AL37/$AM37)/SQRT((($AJ37+$AL37)/($AK37+$AM37))*(1-(($AJ37+$AL37)/($AK37+$AM37)))*(1/$AK37+1/$AM37))))</f>
        <v/>
      </c>
      <c r="AO37" s="27">
        <f>IF($A37="","",IF(AND(COUNTIFS($A$14:$A$1213,$A37,$F$14:$F$1213,"&gt;=0")=2,IFERROR(INDEX($M$14:$M$313,MATCH($A37,$H$14:$H$313,0)),"Yes")&lt;&gt;"Yes"),1,0))</f>
        <v/>
      </c>
    </row>
    <row r="38" ht="24" customHeight="1">
      <c r="A38" s="19">
        <f>IF('Enter messages'!A38="","",'Enter messages'!A38)</f>
        <v/>
      </c>
      <c r="B38" s="20">
        <f>IF('Enter messages'!B38="","",'Enter messages'!B38)</f>
        <v/>
      </c>
      <c r="C38" s="21">
        <f>IFERROR(AVERAGE(P38:T38),"")</f>
        <v/>
      </c>
      <c r="D38" s="29" t="n"/>
      <c r="E38" s="29" t="n"/>
      <c r="F38" s="30">
        <f>IF(AND(ISNUMBER($D38),ISNUMBER($E38),$E38&gt;0,$D38&lt;=$E38),$D38/$E38,"")</f>
        <v/>
      </c>
      <c r="H38" s="19">
        <f>IFERROR(INDEX($A$14:$A$1213,MATCH(25,$AI$14:$AI$1213,0)),"")</f>
        <v/>
      </c>
      <c r="I38" s="24">
        <f>IF($H38="","",IF(COUNTIFS($A$14:$A$1213,$H38,$C$14:$C$1213,"&gt;=0")=0,"—",IFERROR(INDEX($B$14:$B$1213,MATCH($H38&amp;"|1",$Z$14:$Z$1213,0)),"(tied)")))</f>
        <v/>
      </c>
      <c r="J38" s="25">
        <f>IF($H38="","",IF(OR(COUNTIFS($A$14:$A$1213,$H38,$C$14:$C$1213,"&gt;=0")=0,COUNTIFS($A$14:$A$1213,$H38,$F$14:$F$1213,"&gt;=0")=0),"—",IF(OR(ISERROR(MATCH($H38&amp;"|1",$Z$14:$Z$1213,0)),ISERROR(MATCH($H38&amp;"|1",$AA$14:$AA$1213,0))),"Tie",IF(MATCH($H38&amp;"|1",$Z$14:$Z$1213,0)=MATCH($H38&amp;"|1",$AA$14:$AA$1213,0),"Hit","Miss"))))</f>
        <v/>
      </c>
      <c r="K38" s="24">
        <f>IF($H38="","",IF(COUNTIFS($A$14:$A$1213,$H38,$F$14:$F$1213,"&gt;=0")=0,"—",IFERROR(INDEX($B$14:$B$1213,MATCH($H38&amp;"|1",$AA$14:$AA$1213,0)),"(tied)")))</f>
        <v/>
      </c>
      <c r="L38" s="25">
        <f>IF($H38="","",IF((--(COUNTIFS($A$14:$A$1213,$H38,$P$14:$P$1213,"&gt;=0")&gt;0)+--(COUNTIFS($A$14:$A$1213,$H38,$Q$14:$Q$1213,"&gt;=0")&gt;0)+--(COUNTIFS($A$14:$A$1213,$H38,$R$14:$R$1213,"&gt;=0")&gt;0)+--(COUNTIFS($A$14:$A$1213,$H38,$S$14:$S$1213,"&gt;=0")&gt;0)+--(COUNTIFS($A$14:$A$1213,$H38,$T$14:$T$1213,"&gt;=0")&gt;0))&lt;2,"—",IF(SUMIFS($AH$14:$AH$1213,$A$14:$A$1213,$H38)=0,"Yes","No")))</f>
        <v/>
      </c>
      <c r="M38" s="25">
        <f>IF($H38="","",IF(COUNTIFS($A$14:$A$1213,$H38,$F$14:$F$1213,"&gt;=0")&lt;2,"—",IF(COUNTIFS($A$14:$A$1213,$H38,$F$14:$F$1213,_xlfn.MAXIFS($F$14:$F$1213,$A$14:$A$1213,$H38))&gt;1,"No",IF(NOT(ISNUMBER($AN38)),"—",IF((2*(1-NORMSDIST(ABS($AN38))))&lt;0.05,"Yes","No")))))</f>
        <v/>
      </c>
      <c r="N38" s="21">
        <f>IF($H38="","",IF(NOT(ISNUMBER($AN38)),"—",IF((2*(1-NORMSDIST(ABS($AN38))))&lt;0.001,"&lt;0.001",TEXT((2*(1-NORMSDIST(ABS($AN38)))),"0.000"))))</f>
        <v/>
      </c>
      <c r="P38" s="26" t="n"/>
      <c r="Q38" s="26" t="n"/>
      <c r="R38" s="26" t="n"/>
      <c r="S38" s="26" t="n"/>
      <c r="T38" s="26" t="n"/>
      <c r="V38" s="27">
        <f>IF(ISNUMBER($C38),COUNTIFS($A$14:$A$1213,$A38,$C$14:$C$1213,"&gt;"&amp;$C38)+(COUNTIFS($A$14:$A$1213,$A38,$C$14:$C$1213,"="&amp;$C38)+1)/2,"")</f>
        <v/>
      </c>
      <c r="W38" s="27">
        <f>IF(ISNUMBER($F38),COUNTIFS($A$14:$A$1213,$A38,$F$14:$F$1213,"&gt;"&amp;$F38)+(COUNTIFS($A$14:$A$1213,$A38,$F$14:$F$1213,"="&amp;$F38)+1)/2,"")</f>
        <v/>
      </c>
      <c r="X38" s="27">
        <f>IF(OR(NOT(ISNUMBER($V38)),$AO38=1),"",$V38-(COUNTIFS($A$14:$A$1213,$A38,$C$14:$C$1213,"&gt;=0")+1)/2)</f>
        <v/>
      </c>
      <c r="Y38" s="27">
        <f>IF(OR(NOT(ISNUMBER($W38)),$AO38=1),"",$W38-(COUNTIFS($A$14:$A$1213,$A38,$F$14:$F$1213,"&gt;=0")+1)/2)</f>
        <v/>
      </c>
      <c r="Z38" s="27">
        <f>IF(ISNUMBER($V38),$A38&amp;"|"&amp;$V38,"")</f>
        <v/>
      </c>
      <c r="AA38" s="27">
        <f>IF(ISNUMBER($W38),$A38&amp;"|"&amp;$W38,"")</f>
        <v/>
      </c>
      <c r="AB38" s="27">
        <f>IF(ISNUMBER($F38),$A38&amp;"|"&amp;$F38,"")</f>
        <v/>
      </c>
      <c r="AC38" s="27">
        <f>IF(ISNUMBER($P38),COUNTIFS($A$14:$A$1213,$A38,$P$14:$P$1213,"&gt;"&amp;$P38)+(COUNTIFS($A$14:$A$1213,$A38,$P$14:$P$1213,"="&amp;$P38)+1)/2,"")</f>
        <v/>
      </c>
      <c r="AD38" s="27">
        <f>IF(ISNUMBER($Q38),COUNTIFS($A$14:$A$1213,$A38,$Q$14:$Q$1213,"&gt;"&amp;$Q38)+(COUNTIFS($A$14:$A$1213,$A38,$Q$14:$Q$1213,"="&amp;$Q38)+1)/2,"")</f>
        <v/>
      </c>
      <c r="AE38" s="27">
        <f>IF(ISNUMBER($R38),COUNTIFS($A$14:$A$1213,$A38,$R$14:$R$1213,"&gt;"&amp;$R38)+(COUNTIFS($A$14:$A$1213,$A38,$R$14:$R$1213,"="&amp;$R38)+1)/2,"")</f>
        <v/>
      </c>
      <c r="AF38" s="27">
        <f>IF(ISNUMBER($S38),COUNTIFS($A$14:$A$1213,$A38,$S$14:$S$1213,"&gt;"&amp;$S38)+(COUNTIFS($A$14:$A$1213,$A38,$S$14:$S$1213,"="&amp;$S38)+1)/2,"")</f>
        <v/>
      </c>
      <c r="AG38" s="27">
        <f>IF(ISNUMBER($T38),COUNTIFS($A$14:$A$1213,$A38,$T$14:$T$1213,"&gt;"&amp;$T38)+(COUNTIFS($A$14:$A$1213,$A38,$T$14:$T$1213,"="&amp;$T38)+1)/2,"")</f>
        <v/>
      </c>
      <c r="AH38" s="27">
        <f>IF(COUNT($AC38:$AG38)&lt;2,"",IF(MAX($AC38:$AG38)=MIN($AC38:$AG38),0,1))</f>
        <v/>
      </c>
      <c r="AI38" s="27">
        <f>IF($A38="","",IF(COUNTIF($A$14:$A38,$A38)=1,COUNTIF($AI$13:AI37,"&gt;0")+1,""))</f>
        <v/>
      </c>
      <c r="AJ38" s="27">
        <f>IF(OR($H38="",COUNTIFS($A$14:$A$1213,$H38,$F$14:$F$1213,"&gt;=0")&lt;2,COUNTIFS($A$14:$A$1213,$H38,$F$14:$F$1213,_xlfn.MAXIFS($F$14:$F$1213,$A$14:$A$1213,$H38))&gt;1),"",IFERROR(INDEX($D$14:$D$1213,MATCH($H38&amp;"|"&amp;_xlfn.MAXIFS($F$14:$F$1213,$A$14:$A$1213,$H38),$AB$14:$AB$1213,0)),""))</f>
        <v/>
      </c>
      <c r="AK38" s="27">
        <f>IF(OR($H38="",COUNTIFS($A$14:$A$1213,$H38,$F$14:$F$1213,"&gt;=0")&lt;2,COUNTIFS($A$14:$A$1213,$H38,$F$14:$F$1213,_xlfn.MAXIFS($F$14:$F$1213,$A$14:$A$1213,$H38))&gt;1),"",IFERROR(INDEX($E$14:$E$1213,MATCH($H38&amp;"|"&amp;_xlfn.MAXIFS($F$14:$F$1213,$A$14:$A$1213,$H38),$AB$14:$AB$1213,0)),""))</f>
        <v/>
      </c>
      <c r="AL38" s="27">
        <f>IF(OR($H38="",COUNTIFS($A$14:$A$1213,$H38,$F$14:$F$1213,"&gt;=0")&lt;2,COUNTIFS($A$14:$A$1213,$H38,$F$14:$F$1213,_xlfn.MAXIFS($F$14:$F$1213,$A$14:$A$1213,$H38))&gt;1),"",IFERROR(INDEX($D$14:$D$1213,MATCH($H38&amp;"|"&amp;_xlfn.MAXIFS($F$14:$F$1213,$A$14:$A$1213,$H38,$F$14:$F$1213,"&lt;"&amp;_xlfn.MAXIFS($F$14:$F$1213,$A$14:$A$1213,$H38)),$AB$14:$AB$1213,0)),""))</f>
        <v/>
      </c>
      <c r="AM38" s="27">
        <f>IF(OR($H38="",COUNTIFS($A$14:$A$1213,$H38,$F$14:$F$1213,"&gt;=0")&lt;2,COUNTIFS($A$14:$A$1213,$H38,$F$14:$F$1213,_xlfn.MAXIFS($F$14:$F$1213,$A$14:$A$1213,$H38))&gt;1),"",IFERROR(INDEX($E$14:$E$1213,MATCH($H38&amp;"|"&amp;_xlfn.MAXIFS($F$14:$F$1213,$A$14:$A$1213,$H38,$F$14:$F$1213,"&lt;"&amp;_xlfn.MAXIFS($F$14:$F$1213,$A$14:$A$1213,$H38)),$AB$14:$AB$1213,0)),""))</f>
        <v/>
      </c>
      <c r="AN38" s="27">
        <f>IF(OR(NOT(ISNUMBER($AJ38)),NOT(ISNUMBER($AL38)),$AK38=0,$AM38=0),"",IF(OR((($AJ38+$AL38)/($AK38+$AM38))&lt;=0,(($AJ38+$AL38)/($AK38+$AM38))&gt;=1),"",($AJ38/$AK38-$AL38/$AM38)/SQRT((($AJ38+$AL38)/($AK38+$AM38))*(1-(($AJ38+$AL38)/($AK38+$AM38)))*(1/$AK38+1/$AM38))))</f>
        <v/>
      </c>
      <c r="AO38" s="27">
        <f>IF($A38="","",IF(AND(COUNTIFS($A$14:$A$1213,$A38,$F$14:$F$1213,"&gt;=0")=2,IFERROR(INDEX($M$14:$M$313,MATCH($A38,$H$14:$H$313,0)),"Yes")&lt;&gt;"Yes"),1,0))</f>
        <v/>
      </c>
    </row>
    <row r="39" ht="24" customHeight="1">
      <c r="A39" s="19">
        <f>IF('Enter messages'!A39="","",'Enter messages'!A39)</f>
        <v/>
      </c>
      <c r="B39" s="20">
        <f>IF('Enter messages'!B39="","",'Enter messages'!B39)</f>
        <v/>
      </c>
      <c r="C39" s="21">
        <f>IFERROR(AVERAGE(P39:T39),"")</f>
        <v/>
      </c>
      <c r="D39" s="29" t="n"/>
      <c r="E39" s="29" t="n"/>
      <c r="F39" s="30">
        <f>IF(AND(ISNUMBER($D39),ISNUMBER($E39),$E39&gt;0,$D39&lt;=$E39),$D39/$E39,"")</f>
        <v/>
      </c>
      <c r="H39" s="19">
        <f>IFERROR(INDEX($A$14:$A$1213,MATCH(26,$AI$14:$AI$1213,0)),"")</f>
        <v/>
      </c>
      <c r="I39" s="24">
        <f>IF($H39="","",IF(COUNTIFS($A$14:$A$1213,$H39,$C$14:$C$1213,"&gt;=0")=0,"—",IFERROR(INDEX($B$14:$B$1213,MATCH($H39&amp;"|1",$Z$14:$Z$1213,0)),"(tied)")))</f>
        <v/>
      </c>
      <c r="J39" s="25">
        <f>IF($H39="","",IF(OR(COUNTIFS($A$14:$A$1213,$H39,$C$14:$C$1213,"&gt;=0")=0,COUNTIFS($A$14:$A$1213,$H39,$F$14:$F$1213,"&gt;=0")=0),"—",IF(OR(ISERROR(MATCH($H39&amp;"|1",$Z$14:$Z$1213,0)),ISERROR(MATCH($H39&amp;"|1",$AA$14:$AA$1213,0))),"Tie",IF(MATCH($H39&amp;"|1",$Z$14:$Z$1213,0)=MATCH($H39&amp;"|1",$AA$14:$AA$1213,0),"Hit","Miss"))))</f>
        <v/>
      </c>
      <c r="K39" s="24">
        <f>IF($H39="","",IF(COUNTIFS($A$14:$A$1213,$H39,$F$14:$F$1213,"&gt;=0")=0,"—",IFERROR(INDEX($B$14:$B$1213,MATCH($H39&amp;"|1",$AA$14:$AA$1213,0)),"(tied)")))</f>
        <v/>
      </c>
      <c r="L39" s="25">
        <f>IF($H39="","",IF((--(COUNTIFS($A$14:$A$1213,$H39,$P$14:$P$1213,"&gt;=0")&gt;0)+--(COUNTIFS($A$14:$A$1213,$H39,$Q$14:$Q$1213,"&gt;=0")&gt;0)+--(COUNTIFS($A$14:$A$1213,$H39,$R$14:$R$1213,"&gt;=0")&gt;0)+--(COUNTIFS($A$14:$A$1213,$H39,$S$14:$S$1213,"&gt;=0")&gt;0)+--(COUNTIFS($A$14:$A$1213,$H39,$T$14:$T$1213,"&gt;=0")&gt;0))&lt;2,"—",IF(SUMIFS($AH$14:$AH$1213,$A$14:$A$1213,$H39)=0,"Yes","No")))</f>
        <v/>
      </c>
      <c r="M39" s="25">
        <f>IF($H39="","",IF(COUNTIFS($A$14:$A$1213,$H39,$F$14:$F$1213,"&gt;=0")&lt;2,"—",IF(COUNTIFS($A$14:$A$1213,$H39,$F$14:$F$1213,_xlfn.MAXIFS($F$14:$F$1213,$A$14:$A$1213,$H39))&gt;1,"No",IF(NOT(ISNUMBER($AN39)),"—",IF((2*(1-NORMSDIST(ABS($AN39))))&lt;0.05,"Yes","No")))))</f>
        <v/>
      </c>
      <c r="N39" s="21">
        <f>IF($H39="","",IF(NOT(ISNUMBER($AN39)),"—",IF((2*(1-NORMSDIST(ABS($AN39))))&lt;0.001,"&lt;0.001",TEXT((2*(1-NORMSDIST(ABS($AN39)))),"0.000"))))</f>
        <v/>
      </c>
      <c r="P39" s="26" t="n"/>
      <c r="Q39" s="26" t="n"/>
      <c r="R39" s="26" t="n"/>
      <c r="S39" s="26" t="n"/>
      <c r="T39" s="26" t="n"/>
      <c r="V39" s="27">
        <f>IF(ISNUMBER($C39),COUNTIFS($A$14:$A$1213,$A39,$C$14:$C$1213,"&gt;"&amp;$C39)+(COUNTIFS($A$14:$A$1213,$A39,$C$14:$C$1213,"="&amp;$C39)+1)/2,"")</f>
        <v/>
      </c>
      <c r="W39" s="27">
        <f>IF(ISNUMBER($F39),COUNTIFS($A$14:$A$1213,$A39,$F$14:$F$1213,"&gt;"&amp;$F39)+(COUNTIFS($A$14:$A$1213,$A39,$F$14:$F$1213,"="&amp;$F39)+1)/2,"")</f>
        <v/>
      </c>
      <c r="X39" s="27">
        <f>IF(OR(NOT(ISNUMBER($V39)),$AO39=1),"",$V39-(COUNTIFS($A$14:$A$1213,$A39,$C$14:$C$1213,"&gt;=0")+1)/2)</f>
        <v/>
      </c>
      <c r="Y39" s="27">
        <f>IF(OR(NOT(ISNUMBER($W39)),$AO39=1),"",$W39-(COUNTIFS($A$14:$A$1213,$A39,$F$14:$F$1213,"&gt;=0")+1)/2)</f>
        <v/>
      </c>
      <c r="Z39" s="27">
        <f>IF(ISNUMBER($V39),$A39&amp;"|"&amp;$V39,"")</f>
        <v/>
      </c>
      <c r="AA39" s="27">
        <f>IF(ISNUMBER($W39),$A39&amp;"|"&amp;$W39,"")</f>
        <v/>
      </c>
      <c r="AB39" s="27">
        <f>IF(ISNUMBER($F39),$A39&amp;"|"&amp;$F39,"")</f>
        <v/>
      </c>
      <c r="AC39" s="27">
        <f>IF(ISNUMBER($P39),COUNTIFS($A$14:$A$1213,$A39,$P$14:$P$1213,"&gt;"&amp;$P39)+(COUNTIFS($A$14:$A$1213,$A39,$P$14:$P$1213,"="&amp;$P39)+1)/2,"")</f>
        <v/>
      </c>
      <c r="AD39" s="27">
        <f>IF(ISNUMBER($Q39),COUNTIFS($A$14:$A$1213,$A39,$Q$14:$Q$1213,"&gt;"&amp;$Q39)+(COUNTIFS($A$14:$A$1213,$A39,$Q$14:$Q$1213,"="&amp;$Q39)+1)/2,"")</f>
        <v/>
      </c>
      <c r="AE39" s="27">
        <f>IF(ISNUMBER($R39),COUNTIFS($A$14:$A$1213,$A39,$R$14:$R$1213,"&gt;"&amp;$R39)+(COUNTIFS($A$14:$A$1213,$A39,$R$14:$R$1213,"="&amp;$R39)+1)/2,"")</f>
        <v/>
      </c>
      <c r="AF39" s="27">
        <f>IF(ISNUMBER($S39),COUNTIFS($A$14:$A$1213,$A39,$S$14:$S$1213,"&gt;"&amp;$S39)+(COUNTIFS($A$14:$A$1213,$A39,$S$14:$S$1213,"="&amp;$S39)+1)/2,"")</f>
        <v/>
      </c>
      <c r="AG39" s="27">
        <f>IF(ISNUMBER($T39),COUNTIFS($A$14:$A$1213,$A39,$T$14:$T$1213,"&gt;"&amp;$T39)+(COUNTIFS($A$14:$A$1213,$A39,$T$14:$T$1213,"="&amp;$T39)+1)/2,"")</f>
        <v/>
      </c>
      <c r="AH39" s="27">
        <f>IF(COUNT($AC39:$AG39)&lt;2,"",IF(MAX($AC39:$AG39)=MIN($AC39:$AG39),0,1))</f>
        <v/>
      </c>
      <c r="AI39" s="27">
        <f>IF($A39="","",IF(COUNTIF($A$14:$A39,$A39)=1,COUNTIF($AI$13:AI38,"&gt;0")+1,""))</f>
        <v/>
      </c>
      <c r="AJ39" s="27">
        <f>IF(OR($H39="",COUNTIFS($A$14:$A$1213,$H39,$F$14:$F$1213,"&gt;=0")&lt;2,COUNTIFS($A$14:$A$1213,$H39,$F$14:$F$1213,_xlfn.MAXIFS($F$14:$F$1213,$A$14:$A$1213,$H39))&gt;1),"",IFERROR(INDEX($D$14:$D$1213,MATCH($H39&amp;"|"&amp;_xlfn.MAXIFS($F$14:$F$1213,$A$14:$A$1213,$H39),$AB$14:$AB$1213,0)),""))</f>
        <v/>
      </c>
      <c r="AK39" s="27">
        <f>IF(OR($H39="",COUNTIFS($A$14:$A$1213,$H39,$F$14:$F$1213,"&gt;=0")&lt;2,COUNTIFS($A$14:$A$1213,$H39,$F$14:$F$1213,_xlfn.MAXIFS($F$14:$F$1213,$A$14:$A$1213,$H39))&gt;1),"",IFERROR(INDEX($E$14:$E$1213,MATCH($H39&amp;"|"&amp;_xlfn.MAXIFS($F$14:$F$1213,$A$14:$A$1213,$H39),$AB$14:$AB$1213,0)),""))</f>
        <v/>
      </c>
      <c r="AL39" s="27">
        <f>IF(OR($H39="",COUNTIFS($A$14:$A$1213,$H39,$F$14:$F$1213,"&gt;=0")&lt;2,COUNTIFS($A$14:$A$1213,$H39,$F$14:$F$1213,_xlfn.MAXIFS($F$14:$F$1213,$A$14:$A$1213,$H39))&gt;1),"",IFERROR(INDEX($D$14:$D$1213,MATCH($H39&amp;"|"&amp;_xlfn.MAXIFS($F$14:$F$1213,$A$14:$A$1213,$H39,$F$14:$F$1213,"&lt;"&amp;_xlfn.MAXIFS($F$14:$F$1213,$A$14:$A$1213,$H39)),$AB$14:$AB$1213,0)),""))</f>
        <v/>
      </c>
      <c r="AM39" s="27">
        <f>IF(OR($H39="",COUNTIFS($A$14:$A$1213,$H39,$F$14:$F$1213,"&gt;=0")&lt;2,COUNTIFS($A$14:$A$1213,$H39,$F$14:$F$1213,_xlfn.MAXIFS($F$14:$F$1213,$A$14:$A$1213,$H39))&gt;1),"",IFERROR(INDEX($E$14:$E$1213,MATCH($H39&amp;"|"&amp;_xlfn.MAXIFS($F$14:$F$1213,$A$14:$A$1213,$H39,$F$14:$F$1213,"&lt;"&amp;_xlfn.MAXIFS($F$14:$F$1213,$A$14:$A$1213,$H39)),$AB$14:$AB$1213,0)),""))</f>
        <v/>
      </c>
      <c r="AN39" s="27">
        <f>IF(OR(NOT(ISNUMBER($AJ39)),NOT(ISNUMBER($AL39)),$AK39=0,$AM39=0),"",IF(OR((($AJ39+$AL39)/($AK39+$AM39))&lt;=0,(($AJ39+$AL39)/($AK39+$AM39))&gt;=1),"",($AJ39/$AK39-$AL39/$AM39)/SQRT((($AJ39+$AL39)/($AK39+$AM39))*(1-(($AJ39+$AL39)/($AK39+$AM39)))*(1/$AK39+1/$AM39))))</f>
        <v/>
      </c>
      <c r="AO39" s="27">
        <f>IF($A39="","",IF(AND(COUNTIFS($A$14:$A$1213,$A39,$F$14:$F$1213,"&gt;=0")=2,IFERROR(INDEX($M$14:$M$313,MATCH($A39,$H$14:$H$313,0)),"Yes")&lt;&gt;"Yes"),1,0))</f>
        <v/>
      </c>
    </row>
    <row r="40" ht="24" customHeight="1">
      <c r="A40" s="19">
        <f>IF('Enter messages'!A40="","",'Enter messages'!A40)</f>
        <v/>
      </c>
      <c r="B40" s="20">
        <f>IF('Enter messages'!B40="","",'Enter messages'!B40)</f>
        <v/>
      </c>
      <c r="C40" s="21">
        <f>IFERROR(AVERAGE(P40:T40),"")</f>
        <v/>
      </c>
      <c r="D40" s="29" t="n"/>
      <c r="E40" s="29" t="n"/>
      <c r="F40" s="30">
        <f>IF(AND(ISNUMBER($D40),ISNUMBER($E40),$E40&gt;0,$D40&lt;=$E40),$D40/$E40,"")</f>
        <v/>
      </c>
      <c r="H40" s="19">
        <f>IFERROR(INDEX($A$14:$A$1213,MATCH(27,$AI$14:$AI$1213,0)),"")</f>
        <v/>
      </c>
      <c r="I40" s="24">
        <f>IF($H40="","",IF(COUNTIFS($A$14:$A$1213,$H40,$C$14:$C$1213,"&gt;=0")=0,"—",IFERROR(INDEX($B$14:$B$1213,MATCH($H40&amp;"|1",$Z$14:$Z$1213,0)),"(tied)")))</f>
        <v/>
      </c>
      <c r="J40" s="25">
        <f>IF($H40="","",IF(OR(COUNTIFS($A$14:$A$1213,$H40,$C$14:$C$1213,"&gt;=0")=0,COUNTIFS($A$14:$A$1213,$H40,$F$14:$F$1213,"&gt;=0")=0),"—",IF(OR(ISERROR(MATCH($H40&amp;"|1",$Z$14:$Z$1213,0)),ISERROR(MATCH($H40&amp;"|1",$AA$14:$AA$1213,0))),"Tie",IF(MATCH($H40&amp;"|1",$Z$14:$Z$1213,0)=MATCH($H40&amp;"|1",$AA$14:$AA$1213,0),"Hit","Miss"))))</f>
        <v/>
      </c>
      <c r="K40" s="24">
        <f>IF($H40="","",IF(COUNTIFS($A$14:$A$1213,$H40,$F$14:$F$1213,"&gt;=0")=0,"—",IFERROR(INDEX($B$14:$B$1213,MATCH($H40&amp;"|1",$AA$14:$AA$1213,0)),"(tied)")))</f>
        <v/>
      </c>
      <c r="L40" s="25">
        <f>IF($H40="","",IF((--(COUNTIFS($A$14:$A$1213,$H40,$P$14:$P$1213,"&gt;=0")&gt;0)+--(COUNTIFS($A$14:$A$1213,$H40,$Q$14:$Q$1213,"&gt;=0")&gt;0)+--(COUNTIFS($A$14:$A$1213,$H40,$R$14:$R$1213,"&gt;=0")&gt;0)+--(COUNTIFS($A$14:$A$1213,$H40,$S$14:$S$1213,"&gt;=0")&gt;0)+--(COUNTIFS($A$14:$A$1213,$H40,$T$14:$T$1213,"&gt;=0")&gt;0))&lt;2,"—",IF(SUMIFS($AH$14:$AH$1213,$A$14:$A$1213,$H40)=0,"Yes","No")))</f>
        <v/>
      </c>
      <c r="M40" s="25">
        <f>IF($H40="","",IF(COUNTIFS($A$14:$A$1213,$H40,$F$14:$F$1213,"&gt;=0")&lt;2,"—",IF(COUNTIFS($A$14:$A$1213,$H40,$F$14:$F$1213,_xlfn.MAXIFS($F$14:$F$1213,$A$14:$A$1213,$H40))&gt;1,"No",IF(NOT(ISNUMBER($AN40)),"—",IF((2*(1-NORMSDIST(ABS($AN40))))&lt;0.05,"Yes","No")))))</f>
        <v/>
      </c>
      <c r="N40" s="21">
        <f>IF($H40="","",IF(NOT(ISNUMBER($AN40)),"—",IF((2*(1-NORMSDIST(ABS($AN40))))&lt;0.001,"&lt;0.001",TEXT((2*(1-NORMSDIST(ABS($AN40)))),"0.000"))))</f>
        <v/>
      </c>
      <c r="P40" s="26" t="n"/>
      <c r="Q40" s="26" t="n"/>
      <c r="R40" s="26" t="n"/>
      <c r="S40" s="26" t="n"/>
      <c r="T40" s="26" t="n"/>
      <c r="V40" s="27">
        <f>IF(ISNUMBER($C40),COUNTIFS($A$14:$A$1213,$A40,$C$14:$C$1213,"&gt;"&amp;$C40)+(COUNTIFS($A$14:$A$1213,$A40,$C$14:$C$1213,"="&amp;$C40)+1)/2,"")</f>
        <v/>
      </c>
      <c r="W40" s="27">
        <f>IF(ISNUMBER($F40),COUNTIFS($A$14:$A$1213,$A40,$F$14:$F$1213,"&gt;"&amp;$F40)+(COUNTIFS($A$14:$A$1213,$A40,$F$14:$F$1213,"="&amp;$F40)+1)/2,"")</f>
        <v/>
      </c>
      <c r="X40" s="27">
        <f>IF(OR(NOT(ISNUMBER($V40)),$AO40=1),"",$V40-(COUNTIFS($A$14:$A$1213,$A40,$C$14:$C$1213,"&gt;=0")+1)/2)</f>
        <v/>
      </c>
      <c r="Y40" s="27">
        <f>IF(OR(NOT(ISNUMBER($W40)),$AO40=1),"",$W40-(COUNTIFS($A$14:$A$1213,$A40,$F$14:$F$1213,"&gt;=0")+1)/2)</f>
        <v/>
      </c>
      <c r="Z40" s="27">
        <f>IF(ISNUMBER($V40),$A40&amp;"|"&amp;$V40,"")</f>
        <v/>
      </c>
      <c r="AA40" s="27">
        <f>IF(ISNUMBER($W40),$A40&amp;"|"&amp;$W40,"")</f>
        <v/>
      </c>
      <c r="AB40" s="27">
        <f>IF(ISNUMBER($F40),$A40&amp;"|"&amp;$F40,"")</f>
        <v/>
      </c>
      <c r="AC40" s="27">
        <f>IF(ISNUMBER($P40),COUNTIFS($A$14:$A$1213,$A40,$P$14:$P$1213,"&gt;"&amp;$P40)+(COUNTIFS($A$14:$A$1213,$A40,$P$14:$P$1213,"="&amp;$P40)+1)/2,"")</f>
        <v/>
      </c>
      <c r="AD40" s="27">
        <f>IF(ISNUMBER($Q40),COUNTIFS($A$14:$A$1213,$A40,$Q$14:$Q$1213,"&gt;"&amp;$Q40)+(COUNTIFS($A$14:$A$1213,$A40,$Q$14:$Q$1213,"="&amp;$Q40)+1)/2,"")</f>
        <v/>
      </c>
      <c r="AE40" s="27">
        <f>IF(ISNUMBER($R40),COUNTIFS($A$14:$A$1213,$A40,$R$14:$R$1213,"&gt;"&amp;$R40)+(COUNTIFS($A$14:$A$1213,$A40,$R$14:$R$1213,"="&amp;$R40)+1)/2,"")</f>
        <v/>
      </c>
      <c r="AF40" s="27">
        <f>IF(ISNUMBER($S40),COUNTIFS($A$14:$A$1213,$A40,$S$14:$S$1213,"&gt;"&amp;$S40)+(COUNTIFS($A$14:$A$1213,$A40,$S$14:$S$1213,"="&amp;$S40)+1)/2,"")</f>
        <v/>
      </c>
      <c r="AG40" s="27">
        <f>IF(ISNUMBER($T40),COUNTIFS($A$14:$A$1213,$A40,$T$14:$T$1213,"&gt;"&amp;$T40)+(COUNTIFS($A$14:$A$1213,$A40,$T$14:$T$1213,"="&amp;$T40)+1)/2,"")</f>
        <v/>
      </c>
      <c r="AH40" s="27">
        <f>IF(COUNT($AC40:$AG40)&lt;2,"",IF(MAX($AC40:$AG40)=MIN($AC40:$AG40),0,1))</f>
        <v/>
      </c>
      <c r="AI40" s="27">
        <f>IF($A40="","",IF(COUNTIF($A$14:$A40,$A40)=1,COUNTIF($AI$13:AI39,"&gt;0")+1,""))</f>
        <v/>
      </c>
      <c r="AJ40" s="27">
        <f>IF(OR($H40="",COUNTIFS($A$14:$A$1213,$H40,$F$14:$F$1213,"&gt;=0")&lt;2,COUNTIFS($A$14:$A$1213,$H40,$F$14:$F$1213,_xlfn.MAXIFS($F$14:$F$1213,$A$14:$A$1213,$H40))&gt;1),"",IFERROR(INDEX($D$14:$D$1213,MATCH($H40&amp;"|"&amp;_xlfn.MAXIFS($F$14:$F$1213,$A$14:$A$1213,$H40),$AB$14:$AB$1213,0)),""))</f>
        <v/>
      </c>
      <c r="AK40" s="27">
        <f>IF(OR($H40="",COUNTIFS($A$14:$A$1213,$H40,$F$14:$F$1213,"&gt;=0")&lt;2,COUNTIFS($A$14:$A$1213,$H40,$F$14:$F$1213,_xlfn.MAXIFS($F$14:$F$1213,$A$14:$A$1213,$H40))&gt;1),"",IFERROR(INDEX($E$14:$E$1213,MATCH($H40&amp;"|"&amp;_xlfn.MAXIFS($F$14:$F$1213,$A$14:$A$1213,$H40),$AB$14:$AB$1213,0)),""))</f>
        <v/>
      </c>
      <c r="AL40" s="27">
        <f>IF(OR($H40="",COUNTIFS($A$14:$A$1213,$H40,$F$14:$F$1213,"&gt;=0")&lt;2,COUNTIFS($A$14:$A$1213,$H40,$F$14:$F$1213,_xlfn.MAXIFS($F$14:$F$1213,$A$14:$A$1213,$H40))&gt;1),"",IFERROR(INDEX($D$14:$D$1213,MATCH($H40&amp;"|"&amp;_xlfn.MAXIFS($F$14:$F$1213,$A$14:$A$1213,$H40,$F$14:$F$1213,"&lt;"&amp;_xlfn.MAXIFS($F$14:$F$1213,$A$14:$A$1213,$H40)),$AB$14:$AB$1213,0)),""))</f>
        <v/>
      </c>
      <c r="AM40" s="27">
        <f>IF(OR($H40="",COUNTIFS($A$14:$A$1213,$H40,$F$14:$F$1213,"&gt;=0")&lt;2,COUNTIFS($A$14:$A$1213,$H40,$F$14:$F$1213,_xlfn.MAXIFS($F$14:$F$1213,$A$14:$A$1213,$H40))&gt;1),"",IFERROR(INDEX($E$14:$E$1213,MATCH($H40&amp;"|"&amp;_xlfn.MAXIFS($F$14:$F$1213,$A$14:$A$1213,$H40,$F$14:$F$1213,"&lt;"&amp;_xlfn.MAXIFS($F$14:$F$1213,$A$14:$A$1213,$H40)),$AB$14:$AB$1213,0)),""))</f>
        <v/>
      </c>
      <c r="AN40" s="27">
        <f>IF(OR(NOT(ISNUMBER($AJ40)),NOT(ISNUMBER($AL40)),$AK40=0,$AM40=0),"",IF(OR((($AJ40+$AL40)/($AK40+$AM40))&lt;=0,(($AJ40+$AL40)/($AK40+$AM40))&gt;=1),"",($AJ40/$AK40-$AL40/$AM40)/SQRT((($AJ40+$AL40)/($AK40+$AM40))*(1-(($AJ40+$AL40)/($AK40+$AM40)))*(1/$AK40+1/$AM40))))</f>
        <v/>
      </c>
      <c r="AO40" s="27">
        <f>IF($A40="","",IF(AND(COUNTIFS($A$14:$A$1213,$A40,$F$14:$F$1213,"&gt;=0")=2,IFERROR(INDEX($M$14:$M$313,MATCH($A40,$H$14:$H$313,0)),"Yes")&lt;&gt;"Yes"),1,0))</f>
        <v/>
      </c>
    </row>
    <row r="41" ht="24" customHeight="1">
      <c r="A41" s="19">
        <f>IF('Enter messages'!A41="","",'Enter messages'!A41)</f>
        <v/>
      </c>
      <c r="B41" s="20">
        <f>IF('Enter messages'!B41="","",'Enter messages'!B41)</f>
        <v/>
      </c>
      <c r="C41" s="21">
        <f>IFERROR(AVERAGE(P41:T41),"")</f>
        <v/>
      </c>
      <c r="D41" s="29" t="n"/>
      <c r="E41" s="29" t="n"/>
      <c r="F41" s="30">
        <f>IF(AND(ISNUMBER($D41),ISNUMBER($E41),$E41&gt;0,$D41&lt;=$E41),$D41/$E41,"")</f>
        <v/>
      </c>
      <c r="H41" s="19">
        <f>IFERROR(INDEX($A$14:$A$1213,MATCH(28,$AI$14:$AI$1213,0)),"")</f>
        <v/>
      </c>
      <c r="I41" s="24">
        <f>IF($H41="","",IF(COUNTIFS($A$14:$A$1213,$H41,$C$14:$C$1213,"&gt;=0")=0,"—",IFERROR(INDEX($B$14:$B$1213,MATCH($H41&amp;"|1",$Z$14:$Z$1213,0)),"(tied)")))</f>
        <v/>
      </c>
      <c r="J41" s="25">
        <f>IF($H41="","",IF(OR(COUNTIFS($A$14:$A$1213,$H41,$C$14:$C$1213,"&gt;=0")=0,COUNTIFS($A$14:$A$1213,$H41,$F$14:$F$1213,"&gt;=0")=0),"—",IF(OR(ISERROR(MATCH($H41&amp;"|1",$Z$14:$Z$1213,0)),ISERROR(MATCH($H41&amp;"|1",$AA$14:$AA$1213,0))),"Tie",IF(MATCH($H41&amp;"|1",$Z$14:$Z$1213,0)=MATCH($H41&amp;"|1",$AA$14:$AA$1213,0),"Hit","Miss"))))</f>
        <v/>
      </c>
      <c r="K41" s="24">
        <f>IF($H41="","",IF(COUNTIFS($A$14:$A$1213,$H41,$F$14:$F$1213,"&gt;=0")=0,"—",IFERROR(INDEX($B$14:$B$1213,MATCH($H41&amp;"|1",$AA$14:$AA$1213,0)),"(tied)")))</f>
        <v/>
      </c>
      <c r="L41" s="25">
        <f>IF($H41="","",IF((--(COUNTIFS($A$14:$A$1213,$H41,$P$14:$P$1213,"&gt;=0")&gt;0)+--(COUNTIFS($A$14:$A$1213,$H41,$Q$14:$Q$1213,"&gt;=0")&gt;0)+--(COUNTIFS($A$14:$A$1213,$H41,$R$14:$R$1213,"&gt;=0")&gt;0)+--(COUNTIFS($A$14:$A$1213,$H41,$S$14:$S$1213,"&gt;=0")&gt;0)+--(COUNTIFS($A$14:$A$1213,$H41,$T$14:$T$1213,"&gt;=0")&gt;0))&lt;2,"—",IF(SUMIFS($AH$14:$AH$1213,$A$14:$A$1213,$H41)=0,"Yes","No")))</f>
        <v/>
      </c>
      <c r="M41" s="25">
        <f>IF($H41="","",IF(COUNTIFS($A$14:$A$1213,$H41,$F$14:$F$1213,"&gt;=0")&lt;2,"—",IF(COUNTIFS($A$14:$A$1213,$H41,$F$14:$F$1213,_xlfn.MAXIFS($F$14:$F$1213,$A$14:$A$1213,$H41))&gt;1,"No",IF(NOT(ISNUMBER($AN41)),"—",IF((2*(1-NORMSDIST(ABS($AN41))))&lt;0.05,"Yes","No")))))</f>
        <v/>
      </c>
      <c r="N41" s="21">
        <f>IF($H41="","",IF(NOT(ISNUMBER($AN41)),"—",IF((2*(1-NORMSDIST(ABS($AN41))))&lt;0.001,"&lt;0.001",TEXT((2*(1-NORMSDIST(ABS($AN41)))),"0.000"))))</f>
        <v/>
      </c>
      <c r="P41" s="26" t="n"/>
      <c r="Q41" s="26" t="n"/>
      <c r="R41" s="26" t="n"/>
      <c r="S41" s="26" t="n"/>
      <c r="T41" s="26" t="n"/>
      <c r="V41" s="27">
        <f>IF(ISNUMBER($C41),COUNTIFS($A$14:$A$1213,$A41,$C$14:$C$1213,"&gt;"&amp;$C41)+(COUNTIFS($A$14:$A$1213,$A41,$C$14:$C$1213,"="&amp;$C41)+1)/2,"")</f>
        <v/>
      </c>
      <c r="W41" s="27">
        <f>IF(ISNUMBER($F41),COUNTIFS($A$14:$A$1213,$A41,$F$14:$F$1213,"&gt;"&amp;$F41)+(COUNTIFS($A$14:$A$1213,$A41,$F$14:$F$1213,"="&amp;$F41)+1)/2,"")</f>
        <v/>
      </c>
      <c r="X41" s="27">
        <f>IF(OR(NOT(ISNUMBER($V41)),$AO41=1),"",$V41-(COUNTIFS($A$14:$A$1213,$A41,$C$14:$C$1213,"&gt;=0")+1)/2)</f>
        <v/>
      </c>
      <c r="Y41" s="27">
        <f>IF(OR(NOT(ISNUMBER($W41)),$AO41=1),"",$W41-(COUNTIFS($A$14:$A$1213,$A41,$F$14:$F$1213,"&gt;=0")+1)/2)</f>
        <v/>
      </c>
      <c r="Z41" s="27">
        <f>IF(ISNUMBER($V41),$A41&amp;"|"&amp;$V41,"")</f>
        <v/>
      </c>
      <c r="AA41" s="27">
        <f>IF(ISNUMBER($W41),$A41&amp;"|"&amp;$W41,"")</f>
        <v/>
      </c>
      <c r="AB41" s="27">
        <f>IF(ISNUMBER($F41),$A41&amp;"|"&amp;$F41,"")</f>
        <v/>
      </c>
      <c r="AC41" s="27">
        <f>IF(ISNUMBER($P41),COUNTIFS($A$14:$A$1213,$A41,$P$14:$P$1213,"&gt;"&amp;$P41)+(COUNTIFS($A$14:$A$1213,$A41,$P$14:$P$1213,"="&amp;$P41)+1)/2,"")</f>
        <v/>
      </c>
      <c r="AD41" s="27">
        <f>IF(ISNUMBER($Q41),COUNTIFS($A$14:$A$1213,$A41,$Q$14:$Q$1213,"&gt;"&amp;$Q41)+(COUNTIFS($A$14:$A$1213,$A41,$Q$14:$Q$1213,"="&amp;$Q41)+1)/2,"")</f>
        <v/>
      </c>
      <c r="AE41" s="27">
        <f>IF(ISNUMBER($R41),COUNTIFS($A$14:$A$1213,$A41,$R$14:$R$1213,"&gt;"&amp;$R41)+(COUNTIFS($A$14:$A$1213,$A41,$R$14:$R$1213,"="&amp;$R41)+1)/2,"")</f>
        <v/>
      </c>
      <c r="AF41" s="27">
        <f>IF(ISNUMBER($S41),COUNTIFS($A$14:$A$1213,$A41,$S$14:$S$1213,"&gt;"&amp;$S41)+(COUNTIFS($A$14:$A$1213,$A41,$S$14:$S$1213,"="&amp;$S41)+1)/2,"")</f>
        <v/>
      </c>
      <c r="AG41" s="27">
        <f>IF(ISNUMBER($T41),COUNTIFS($A$14:$A$1213,$A41,$T$14:$T$1213,"&gt;"&amp;$T41)+(COUNTIFS($A$14:$A$1213,$A41,$T$14:$T$1213,"="&amp;$T41)+1)/2,"")</f>
        <v/>
      </c>
      <c r="AH41" s="27">
        <f>IF(COUNT($AC41:$AG41)&lt;2,"",IF(MAX($AC41:$AG41)=MIN($AC41:$AG41),0,1))</f>
        <v/>
      </c>
      <c r="AI41" s="27">
        <f>IF($A41="","",IF(COUNTIF($A$14:$A41,$A41)=1,COUNTIF($AI$13:AI40,"&gt;0")+1,""))</f>
        <v/>
      </c>
      <c r="AJ41" s="27">
        <f>IF(OR($H41="",COUNTIFS($A$14:$A$1213,$H41,$F$14:$F$1213,"&gt;=0")&lt;2,COUNTIFS($A$14:$A$1213,$H41,$F$14:$F$1213,_xlfn.MAXIFS($F$14:$F$1213,$A$14:$A$1213,$H41))&gt;1),"",IFERROR(INDEX($D$14:$D$1213,MATCH($H41&amp;"|"&amp;_xlfn.MAXIFS($F$14:$F$1213,$A$14:$A$1213,$H41),$AB$14:$AB$1213,0)),""))</f>
        <v/>
      </c>
      <c r="AK41" s="27">
        <f>IF(OR($H41="",COUNTIFS($A$14:$A$1213,$H41,$F$14:$F$1213,"&gt;=0")&lt;2,COUNTIFS($A$14:$A$1213,$H41,$F$14:$F$1213,_xlfn.MAXIFS($F$14:$F$1213,$A$14:$A$1213,$H41))&gt;1),"",IFERROR(INDEX($E$14:$E$1213,MATCH($H41&amp;"|"&amp;_xlfn.MAXIFS($F$14:$F$1213,$A$14:$A$1213,$H41),$AB$14:$AB$1213,0)),""))</f>
        <v/>
      </c>
      <c r="AL41" s="27">
        <f>IF(OR($H41="",COUNTIFS($A$14:$A$1213,$H41,$F$14:$F$1213,"&gt;=0")&lt;2,COUNTIFS($A$14:$A$1213,$H41,$F$14:$F$1213,_xlfn.MAXIFS($F$14:$F$1213,$A$14:$A$1213,$H41))&gt;1),"",IFERROR(INDEX($D$14:$D$1213,MATCH($H41&amp;"|"&amp;_xlfn.MAXIFS($F$14:$F$1213,$A$14:$A$1213,$H41,$F$14:$F$1213,"&lt;"&amp;_xlfn.MAXIFS($F$14:$F$1213,$A$14:$A$1213,$H41)),$AB$14:$AB$1213,0)),""))</f>
        <v/>
      </c>
      <c r="AM41" s="27">
        <f>IF(OR($H41="",COUNTIFS($A$14:$A$1213,$H41,$F$14:$F$1213,"&gt;=0")&lt;2,COUNTIFS($A$14:$A$1213,$H41,$F$14:$F$1213,_xlfn.MAXIFS($F$14:$F$1213,$A$14:$A$1213,$H41))&gt;1),"",IFERROR(INDEX($E$14:$E$1213,MATCH($H41&amp;"|"&amp;_xlfn.MAXIFS($F$14:$F$1213,$A$14:$A$1213,$H41,$F$14:$F$1213,"&lt;"&amp;_xlfn.MAXIFS($F$14:$F$1213,$A$14:$A$1213,$H41)),$AB$14:$AB$1213,0)),""))</f>
        <v/>
      </c>
      <c r="AN41" s="27">
        <f>IF(OR(NOT(ISNUMBER($AJ41)),NOT(ISNUMBER($AL41)),$AK41=0,$AM41=0),"",IF(OR((($AJ41+$AL41)/($AK41+$AM41))&lt;=0,(($AJ41+$AL41)/($AK41+$AM41))&gt;=1),"",($AJ41/$AK41-$AL41/$AM41)/SQRT((($AJ41+$AL41)/($AK41+$AM41))*(1-(($AJ41+$AL41)/($AK41+$AM41)))*(1/$AK41+1/$AM41))))</f>
        <v/>
      </c>
      <c r="AO41" s="27">
        <f>IF($A41="","",IF(AND(COUNTIFS($A$14:$A$1213,$A41,$F$14:$F$1213,"&gt;=0")=2,IFERROR(INDEX($M$14:$M$313,MATCH($A41,$H$14:$H$313,0)),"Yes")&lt;&gt;"Yes"),1,0))</f>
        <v/>
      </c>
    </row>
    <row r="42" ht="24" customHeight="1">
      <c r="A42" s="19">
        <f>IF('Enter messages'!A42="","",'Enter messages'!A42)</f>
        <v/>
      </c>
      <c r="B42" s="20">
        <f>IF('Enter messages'!B42="","",'Enter messages'!B42)</f>
        <v/>
      </c>
      <c r="C42" s="21">
        <f>IFERROR(AVERAGE(P42:T42),"")</f>
        <v/>
      </c>
      <c r="D42" s="29" t="n"/>
      <c r="E42" s="29" t="n"/>
      <c r="F42" s="30">
        <f>IF(AND(ISNUMBER($D42),ISNUMBER($E42),$E42&gt;0,$D42&lt;=$E42),$D42/$E42,"")</f>
        <v/>
      </c>
      <c r="H42" s="19">
        <f>IFERROR(INDEX($A$14:$A$1213,MATCH(29,$AI$14:$AI$1213,0)),"")</f>
        <v/>
      </c>
      <c r="I42" s="24">
        <f>IF($H42="","",IF(COUNTIFS($A$14:$A$1213,$H42,$C$14:$C$1213,"&gt;=0")=0,"—",IFERROR(INDEX($B$14:$B$1213,MATCH($H42&amp;"|1",$Z$14:$Z$1213,0)),"(tied)")))</f>
        <v/>
      </c>
      <c r="J42" s="25">
        <f>IF($H42="","",IF(OR(COUNTIFS($A$14:$A$1213,$H42,$C$14:$C$1213,"&gt;=0")=0,COUNTIFS($A$14:$A$1213,$H42,$F$14:$F$1213,"&gt;=0")=0),"—",IF(OR(ISERROR(MATCH($H42&amp;"|1",$Z$14:$Z$1213,0)),ISERROR(MATCH($H42&amp;"|1",$AA$14:$AA$1213,0))),"Tie",IF(MATCH($H42&amp;"|1",$Z$14:$Z$1213,0)=MATCH($H42&amp;"|1",$AA$14:$AA$1213,0),"Hit","Miss"))))</f>
        <v/>
      </c>
      <c r="K42" s="24">
        <f>IF($H42="","",IF(COUNTIFS($A$14:$A$1213,$H42,$F$14:$F$1213,"&gt;=0")=0,"—",IFERROR(INDEX($B$14:$B$1213,MATCH($H42&amp;"|1",$AA$14:$AA$1213,0)),"(tied)")))</f>
        <v/>
      </c>
      <c r="L42" s="25">
        <f>IF($H42="","",IF((--(COUNTIFS($A$14:$A$1213,$H42,$P$14:$P$1213,"&gt;=0")&gt;0)+--(COUNTIFS($A$14:$A$1213,$H42,$Q$14:$Q$1213,"&gt;=0")&gt;0)+--(COUNTIFS($A$14:$A$1213,$H42,$R$14:$R$1213,"&gt;=0")&gt;0)+--(COUNTIFS($A$14:$A$1213,$H42,$S$14:$S$1213,"&gt;=0")&gt;0)+--(COUNTIFS($A$14:$A$1213,$H42,$T$14:$T$1213,"&gt;=0")&gt;0))&lt;2,"—",IF(SUMIFS($AH$14:$AH$1213,$A$14:$A$1213,$H42)=0,"Yes","No")))</f>
        <v/>
      </c>
      <c r="M42" s="25">
        <f>IF($H42="","",IF(COUNTIFS($A$14:$A$1213,$H42,$F$14:$F$1213,"&gt;=0")&lt;2,"—",IF(COUNTIFS($A$14:$A$1213,$H42,$F$14:$F$1213,_xlfn.MAXIFS($F$14:$F$1213,$A$14:$A$1213,$H42))&gt;1,"No",IF(NOT(ISNUMBER($AN42)),"—",IF((2*(1-NORMSDIST(ABS($AN42))))&lt;0.05,"Yes","No")))))</f>
        <v/>
      </c>
      <c r="N42" s="21">
        <f>IF($H42="","",IF(NOT(ISNUMBER($AN42)),"—",IF((2*(1-NORMSDIST(ABS($AN42))))&lt;0.001,"&lt;0.001",TEXT((2*(1-NORMSDIST(ABS($AN42)))),"0.000"))))</f>
        <v/>
      </c>
      <c r="P42" s="26" t="n"/>
      <c r="Q42" s="26" t="n"/>
      <c r="R42" s="26" t="n"/>
      <c r="S42" s="26" t="n"/>
      <c r="T42" s="26" t="n"/>
      <c r="V42" s="27">
        <f>IF(ISNUMBER($C42),COUNTIFS($A$14:$A$1213,$A42,$C$14:$C$1213,"&gt;"&amp;$C42)+(COUNTIFS($A$14:$A$1213,$A42,$C$14:$C$1213,"="&amp;$C42)+1)/2,"")</f>
        <v/>
      </c>
      <c r="W42" s="27">
        <f>IF(ISNUMBER($F42),COUNTIFS($A$14:$A$1213,$A42,$F$14:$F$1213,"&gt;"&amp;$F42)+(COUNTIFS($A$14:$A$1213,$A42,$F$14:$F$1213,"="&amp;$F42)+1)/2,"")</f>
        <v/>
      </c>
      <c r="X42" s="27">
        <f>IF(OR(NOT(ISNUMBER($V42)),$AO42=1),"",$V42-(COUNTIFS($A$14:$A$1213,$A42,$C$14:$C$1213,"&gt;=0")+1)/2)</f>
        <v/>
      </c>
      <c r="Y42" s="27">
        <f>IF(OR(NOT(ISNUMBER($W42)),$AO42=1),"",$W42-(COUNTIFS($A$14:$A$1213,$A42,$F$14:$F$1213,"&gt;=0")+1)/2)</f>
        <v/>
      </c>
      <c r="Z42" s="27">
        <f>IF(ISNUMBER($V42),$A42&amp;"|"&amp;$V42,"")</f>
        <v/>
      </c>
      <c r="AA42" s="27">
        <f>IF(ISNUMBER($W42),$A42&amp;"|"&amp;$W42,"")</f>
        <v/>
      </c>
      <c r="AB42" s="27">
        <f>IF(ISNUMBER($F42),$A42&amp;"|"&amp;$F42,"")</f>
        <v/>
      </c>
      <c r="AC42" s="27">
        <f>IF(ISNUMBER($P42),COUNTIFS($A$14:$A$1213,$A42,$P$14:$P$1213,"&gt;"&amp;$P42)+(COUNTIFS($A$14:$A$1213,$A42,$P$14:$P$1213,"="&amp;$P42)+1)/2,"")</f>
        <v/>
      </c>
      <c r="AD42" s="27">
        <f>IF(ISNUMBER($Q42),COUNTIFS($A$14:$A$1213,$A42,$Q$14:$Q$1213,"&gt;"&amp;$Q42)+(COUNTIFS($A$14:$A$1213,$A42,$Q$14:$Q$1213,"="&amp;$Q42)+1)/2,"")</f>
        <v/>
      </c>
      <c r="AE42" s="27">
        <f>IF(ISNUMBER($R42),COUNTIFS($A$14:$A$1213,$A42,$R$14:$R$1213,"&gt;"&amp;$R42)+(COUNTIFS($A$14:$A$1213,$A42,$R$14:$R$1213,"="&amp;$R42)+1)/2,"")</f>
        <v/>
      </c>
      <c r="AF42" s="27">
        <f>IF(ISNUMBER($S42),COUNTIFS($A$14:$A$1213,$A42,$S$14:$S$1213,"&gt;"&amp;$S42)+(COUNTIFS($A$14:$A$1213,$A42,$S$14:$S$1213,"="&amp;$S42)+1)/2,"")</f>
        <v/>
      </c>
      <c r="AG42" s="27">
        <f>IF(ISNUMBER($T42),COUNTIFS($A$14:$A$1213,$A42,$T$14:$T$1213,"&gt;"&amp;$T42)+(COUNTIFS($A$14:$A$1213,$A42,$T$14:$T$1213,"="&amp;$T42)+1)/2,"")</f>
        <v/>
      </c>
      <c r="AH42" s="27">
        <f>IF(COUNT($AC42:$AG42)&lt;2,"",IF(MAX($AC42:$AG42)=MIN($AC42:$AG42),0,1))</f>
        <v/>
      </c>
      <c r="AI42" s="27">
        <f>IF($A42="","",IF(COUNTIF($A$14:$A42,$A42)=1,COUNTIF($AI$13:AI41,"&gt;0")+1,""))</f>
        <v/>
      </c>
      <c r="AJ42" s="27">
        <f>IF(OR($H42="",COUNTIFS($A$14:$A$1213,$H42,$F$14:$F$1213,"&gt;=0")&lt;2,COUNTIFS($A$14:$A$1213,$H42,$F$14:$F$1213,_xlfn.MAXIFS($F$14:$F$1213,$A$14:$A$1213,$H42))&gt;1),"",IFERROR(INDEX($D$14:$D$1213,MATCH($H42&amp;"|"&amp;_xlfn.MAXIFS($F$14:$F$1213,$A$14:$A$1213,$H42),$AB$14:$AB$1213,0)),""))</f>
        <v/>
      </c>
      <c r="AK42" s="27">
        <f>IF(OR($H42="",COUNTIFS($A$14:$A$1213,$H42,$F$14:$F$1213,"&gt;=0")&lt;2,COUNTIFS($A$14:$A$1213,$H42,$F$14:$F$1213,_xlfn.MAXIFS($F$14:$F$1213,$A$14:$A$1213,$H42))&gt;1),"",IFERROR(INDEX($E$14:$E$1213,MATCH($H42&amp;"|"&amp;_xlfn.MAXIFS($F$14:$F$1213,$A$14:$A$1213,$H42),$AB$14:$AB$1213,0)),""))</f>
        <v/>
      </c>
      <c r="AL42" s="27">
        <f>IF(OR($H42="",COUNTIFS($A$14:$A$1213,$H42,$F$14:$F$1213,"&gt;=0")&lt;2,COUNTIFS($A$14:$A$1213,$H42,$F$14:$F$1213,_xlfn.MAXIFS($F$14:$F$1213,$A$14:$A$1213,$H42))&gt;1),"",IFERROR(INDEX($D$14:$D$1213,MATCH($H42&amp;"|"&amp;_xlfn.MAXIFS($F$14:$F$1213,$A$14:$A$1213,$H42,$F$14:$F$1213,"&lt;"&amp;_xlfn.MAXIFS($F$14:$F$1213,$A$14:$A$1213,$H42)),$AB$14:$AB$1213,0)),""))</f>
        <v/>
      </c>
      <c r="AM42" s="27">
        <f>IF(OR($H42="",COUNTIFS($A$14:$A$1213,$H42,$F$14:$F$1213,"&gt;=0")&lt;2,COUNTIFS($A$14:$A$1213,$H42,$F$14:$F$1213,_xlfn.MAXIFS($F$14:$F$1213,$A$14:$A$1213,$H42))&gt;1),"",IFERROR(INDEX($E$14:$E$1213,MATCH($H42&amp;"|"&amp;_xlfn.MAXIFS($F$14:$F$1213,$A$14:$A$1213,$H42,$F$14:$F$1213,"&lt;"&amp;_xlfn.MAXIFS($F$14:$F$1213,$A$14:$A$1213,$H42)),$AB$14:$AB$1213,0)),""))</f>
        <v/>
      </c>
      <c r="AN42" s="27">
        <f>IF(OR(NOT(ISNUMBER($AJ42)),NOT(ISNUMBER($AL42)),$AK42=0,$AM42=0),"",IF(OR((($AJ42+$AL42)/($AK42+$AM42))&lt;=0,(($AJ42+$AL42)/($AK42+$AM42))&gt;=1),"",($AJ42/$AK42-$AL42/$AM42)/SQRT((($AJ42+$AL42)/($AK42+$AM42))*(1-(($AJ42+$AL42)/($AK42+$AM42)))*(1/$AK42+1/$AM42))))</f>
        <v/>
      </c>
      <c r="AO42" s="27">
        <f>IF($A42="","",IF(AND(COUNTIFS($A$14:$A$1213,$A42,$F$14:$F$1213,"&gt;=0")=2,IFERROR(INDEX($M$14:$M$313,MATCH($A42,$H$14:$H$313,0)),"Yes")&lt;&gt;"Yes"),1,0))</f>
        <v/>
      </c>
    </row>
    <row r="43" ht="24" customHeight="1">
      <c r="A43" s="19">
        <f>IF('Enter messages'!A43="","",'Enter messages'!A43)</f>
        <v/>
      </c>
      <c r="B43" s="20">
        <f>IF('Enter messages'!B43="","",'Enter messages'!B43)</f>
        <v/>
      </c>
      <c r="C43" s="21">
        <f>IFERROR(AVERAGE(P43:T43),"")</f>
        <v/>
      </c>
      <c r="D43" s="29" t="n"/>
      <c r="E43" s="29" t="n"/>
      <c r="F43" s="30">
        <f>IF(AND(ISNUMBER($D43),ISNUMBER($E43),$E43&gt;0,$D43&lt;=$E43),$D43/$E43,"")</f>
        <v/>
      </c>
      <c r="H43" s="19">
        <f>IFERROR(INDEX($A$14:$A$1213,MATCH(30,$AI$14:$AI$1213,0)),"")</f>
        <v/>
      </c>
      <c r="I43" s="24">
        <f>IF($H43="","",IF(COUNTIFS($A$14:$A$1213,$H43,$C$14:$C$1213,"&gt;=0")=0,"—",IFERROR(INDEX($B$14:$B$1213,MATCH($H43&amp;"|1",$Z$14:$Z$1213,0)),"(tied)")))</f>
        <v/>
      </c>
      <c r="J43" s="25">
        <f>IF($H43="","",IF(OR(COUNTIFS($A$14:$A$1213,$H43,$C$14:$C$1213,"&gt;=0")=0,COUNTIFS($A$14:$A$1213,$H43,$F$14:$F$1213,"&gt;=0")=0),"—",IF(OR(ISERROR(MATCH($H43&amp;"|1",$Z$14:$Z$1213,0)),ISERROR(MATCH($H43&amp;"|1",$AA$14:$AA$1213,0))),"Tie",IF(MATCH($H43&amp;"|1",$Z$14:$Z$1213,0)=MATCH($H43&amp;"|1",$AA$14:$AA$1213,0),"Hit","Miss"))))</f>
        <v/>
      </c>
      <c r="K43" s="24">
        <f>IF($H43="","",IF(COUNTIFS($A$14:$A$1213,$H43,$F$14:$F$1213,"&gt;=0")=0,"—",IFERROR(INDEX($B$14:$B$1213,MATCH($H43&amp;"|1",$AA$14:$AA$1213,0)),"(tied)")))</f>
        <v/>
      </c>
      <c r="L43" s="25">
        <f>IF($H43="","",IF((--(COUNTIFS($A$14:$A$1213,$H43,$P$14:$P$1213,"&gt;=0")&gt;0)+--(COUNTIFS($A$14:$A$1213,$H43,$Q$14:$Q$1213,"&gt;=0")&gt;0)+--(COUNTIFS($A$14:$A$1213,$H43,$R$14:$R$1213,"&gt;=0")&gt;0)+--(COUNTIFS($A$14:$A$1213,$H43,$S$14:$S$1213,"&gt;=0")&gt;0)+--(COUNTIFS($A$14:$A$1213,$H43,$T$14:$T$1213,"&gt;=0")&gt;0))&lt;2,"—",IF(SUMIFS($AH$14:$AH$1213,$A$14:$A$1213,$H43)=0,"Yes","No")))</f>
        <v/>
      </c>
      <c r="M43" s="25">
        <f>IF($H43="","",IF(COUNTIFS($A$14:$A$1213,$H43,$F$14:$F$1213,"&gt;=0")&lt;2,"—",IF(COUNTIFS($A$14:$A$1213,$H43,$F$14:$F$1213,_xlfn.MAXIFS($F$14:$F$1213,$A$14:$A$1213,$H43))&gt;1,"No",IF(NOT(ISNUMBER($AN43)),"—",IF((2*(1-NORMSDIST(ABS($AN43))))&lt;0.05,"Yes","No")))))</f>
        <v/>
      </c>
      <c r="N43" s="21">
        <f>IF($H43="","",IF(NOT(ISNUMBER($AN43)),"—",IF((2*(1-NORMSDIST(ABS($AN43))))&lt;0.001,"&lt;0.001",TEXT((2*(1-NORMSDIST(ABS($AN43)))),"0.000"))))</f>
        <v/>
      </c>
      <c r="P43" s="26" t="n"/>
      <c r="Q43" s="26" t="n"/>
      <c r="R43" s="26" t="n"/>
      <c r="S43" s="26" t="n"/>
      <c r="T43" s="26" t="n"/>
      <c r="V43" s="27">
        <f>IF(ISNUMBER($C43),COUNTIFS($A$14:$A$1213,$A43,$C$14:$C$1213,"&gt;"&amp;$C43)+(COUNTIFS($A$14:$A$1213,$A43,$C$14:$C$1213,"="&amp;$C43)+1)/2,"")</f>
        <v/>
      </c>
      <c r="W43" s="27">
        <f>IF(ISNUMBER($F43),COUNTIFS($A$14:$A$1213,$A43,$F$14:$F$1213,"&gt;"&amp;$F43)+(COUNTIFS($A$14:$A$1213,$A43,$F$14:$F$1213,"="&amp;$F43)+1)/2,"")</f>
        <v/>
      </c>
      <c r="X43" s="27">
        <f>IF(OR(NOT(ISNUMBER($V43)),$AO43=1),"",$V43-(COUNTIFS($A$14:$A$1213,$A43,$C$14:$C$1213,"&gt;=0")+1)/2)</f>
        <v/>
      </c>
      <c r="Y43" s="27">
        <f>IF(OR(NOT(ISNUMBER($W43)),$AO43=1),"",$W43-(COUNTIFS($A$14:$A$1213,$A43,$F$14:$F$1213,"&gt;=0")+1)/2)</f>
        <v/>
      </c>
      <c r="Z43" s="27">
        <f>IF(ISNUMBER($V43),$A43&amp;"|"&amp;$V43,"")</f>
        <v/>
      </c>
      <c r="AA43" s="27">
        <f>IF(ISNUMBER($W43),$A43&amp;"|"&amp;$W43,"")</f>
        <v/>
      </c>
      <c r="AB43" s="27">
        <f>IF(ISNUMBER($F43),$A43&amp;"|"&amp;$F43,"")</f>
        <v/>
      </c>
      <c r="AC43" s="27">
        <f>IF(ISNUMBER($P43),COUNTIFS($A$14:$A$1213,$A43,$P$14:$P$1213,"&gt;"&amp;$P43)+(COUNTIFS($A$14:$A$1213,$A43,$P$14:$P$1213,"="&amp;$P43)+1)/2,"")</f>
        <v/>
      </c>
      <c r="AD43" s="27">
        <f>IF(ISNUMBER($Q43),COUNTIFS($A$14:$A$1213,$A43,$Q$14:$Q$1213,"&gt;"&amp;$Q43)+(COUNTIFS($A$14:$A$1213,$A43,$Q$14:$Q$1213,"="&amp;$Q43)+1)/2,"")</f>
        <v/>
      </c>
      <c r="AE43" s="27">
        <f>IF(ISNUMBER($R43),COUNTIFS($A$14:$A$1213,$A43,$R$14:$R$1213,"&gt;"&amp;$R43)+(COUNTIFS($A$14:$A$1213,$A43,$R$14:$R$1213,"="&amp;$R43)+1)/2,"")</f>
        <v/>
      </c>
      <c r="AF43" s="27">
        <f>IF(ISNUMBER($S43),COUNTIFS($A$14:$A$1213,$A43,$S$14:$S$1213,"&gt;"&amp;$S43)+(COUNTIFS($A$14:$A$1213,$A43,$S$14:$S$1213,"="&amp;$S43)+1)/2,"")</f>
        <v/>
      </c>
      <c r="AG43" s="27">
        <f>IF(ISNUMBER($T43),COUNTIFS($A$14:$A$1213,$A43,$T$14:$T$1213,"&gt;"&amp;$T43)+(COUNTIFS($A$14:$A$1213,$A43,$T$14:$T$1213,"="&amp;$T43)+1)/2,"")</f>
        <v/>
      </c>
      <c r="AH43" s="27">
        <f>IF(COUNT($AC43:$AG43)&lt;2,"",IF(MAX($AC43:$AG43)=MIN($AC43:$AG43),0,1))</f>
        <v/>
      </c>
      <c r="AI43" s="27">
        <f>IF($A43="","",IF(COUNTIF($A$14:$A43,$A43)=1,COUNTIF($AI$13:AI42,"&gt;0")+1,""))</f>
        <v/>
      </c>
      <c r="AJ43" s="27">
        <f>IF(OR($H43="",COUNTIFS($A$14:$A$1213,$H43,$F$14:$F$1213,"&gt;=0")&lt;2,COUNTIFS($A$14:$A$1213,$H43,$F$14:$F$1213,_xlfn.MAXIFS($F$14:$F$1213,$A$14:$A$1213,$H43))&gt;1),"",IFERROR(INDEX($D$14:$D$1213,MATCH($H43&amp;"|"&amp;_xlfn.MAXIFS($F$14:$F$1213,$A$14:$A$1213,$H43),$AB$14:$AB$1213,0)),""))</f>
        <v/>
      </c>
      <c r="AK43" s="27">
        <f>IF(OR($H43="",COUNTIFS($A$14:$A$1213,$H43,$F$14:$F$1213,"&gt;=0")&lt;2,COUNTIFS($A$14:$A$1213,$H43,$F$14:$F$1213,_xlfn.MAXIFS($F$14:$F$1213,$A$14:$A$1213,$H43))&gt;1),"",IFERROR(INDEX($E$14:$E$1213,MATCH($H43&amp;"|"&amp;_xlfn.MAXIFS($F$14:$F$1213,$A$14:$A$1213,$H43),$AB$14:$AB$1213,0)),""))</f>
        <v/>
      </c>
      <c r="AL43" s="27">
        <f>IF(OR($H43="",COUNTIFS($A$14:$A$1213,$H43,$F$14:$F$1213,"&gt;=0")&lt;2,COUNTIFS($A$14:$A$1213,$H43,$F$14:$F$1213,_xlfn.MAXIFS($F$14:$F$1213,$A$14:$A$1213,$H43))&gt;1),"",IFERROR(INDEX($D$14:$D$1213,MATCH($H43&amp;"|"&amp;_xlfn.MAXIFS($F$14:$F$1213,$A$14:$A$1213,$H43,$F$14:$F$1213,"&lt;"&amp;_xlfn.MAXIFS($F$14:$F$1213,$A$14:$A$1213,$H43)),$AB$14:$AB$1213,0)),""))</f>
        <v/>
      </c>
      <c r="AM43" s="27">
        <f>IF(OR($H43="",COUNTIFS($A$14:$A$1213,$H43,$F$14:$F$1213,"&gt;=0")&lt;2,COUNTIFS($A$14:$A$1213,$H43,$F$14:$F$1213,_xlfn.MAXIFS($F$14:$F$1213,$A$14:$A$1213,$H43))&gt;1),"",IFERROR(INDEX($E$14:$E$1213,MATCH($H43&amp;"|"&amp;_xlfn.MAXIFS($F$14:$F$1213,$A$14:$A$1213,$H43,$F$14:$F$1213,"&lt;"&amp;_xlfn.MAXIFS($F$14:$F$1213,$A$14:$A$1213,$H43)),$AB$14:$AB$1213,0)),""))</f>
        <v/>
      </c>
      <c r="AN43" s="27">
        <f>IF(OR(NOT(ISNUMBER($AJ43)),NOT(ISNUMBER($AL43)),$AK43=0,$AM43=0),"",IF(OR((($AJ43+$AL43)/($AK43+$AM43))&lt;=0,(($AJ43+$AL43)/($AK43+$AM43))&gt;=1),"",($AJ43/$AK43-$AL43/$AM43)/SQRT((($AJ43+$AL43)/($AK43+$AM43))*(1-(($AJ43+$AL43)/($AK43+$AM43)))*(1/$AK43+1/$AM43))))</f>
        <v/>
      </c>
      <c r="AO43" s="27">
        <f>IF($A43="","",IF(AND(COUNTIFS($A$14:$A$1213,$A43,$F$14:$F$1213,"&gt;=0")=2,IFERROR(INDEX($M$14:$M$313,MATCH($A43,$H$14:$H$313,0)),"Yes")&lt;&gt;"Yes"),1,0))</f>
        <v/>
      </c>
    </row>
    <row r="44" ht="24" customHeight="1">
      <c r="A44" s="19">
        <f>IF('Enter messages'!A44="","",'Enter messages'!A44)</f>
        <v/>
      </c>
      <c r="B44" s="20">
        <f>IF('Enter messages'!B44="","",'Enter messages'!B44)</f>
        <v/>
      </c>
      <c r="C44" s="21">
        <f>IFERROR(AVERAGE(P44:T44),"")</f>
        <v/>
      </c>
      <c r="D44" s="29" t="n"/>
      <c r="E44" s="29" t="n"/>
      <c r="F44" s="30">
        <f>IF(AND(ISNUMBER($D44),ISNUMBER($E44),$E44&gt;0,$D44&lt;=$E44),$D44/$E44,"")</f>
        <v/>
      </c>
      <c r="H44" s="19">
        <f>IFERROR(INDEX($A$14:$A$1213,MATCH(31,$AI$14:$AI$1213,0)),"")</f>
        <v/>
      </c>
      <c r="I44" s="24">
        <f>IF($H44="","",IF(COUNTIFS($A$14:$A$1213,$H44,$C$14:$C$1213,"&gt;=0")=0,"—",IFERROR(INDEX($B$14:$B$1213,MATCH($H44&amp;"|1",$Z$14:$Z$1213,0)),"(tied)")))</f>
        <v/>
      </c>
      <c r="J44" s="25">
        <f>IF($H44="","",IF(OR(COUNTIFS($A$14:$A$1213,$H44,$C$14:$C$1213,"&gt;=0")=0,COUNTIFS($A$14:$A$1213,$H44,$F$14:$F$1213,"&gt;=0")=0),"—",IF(OR(ISERROR(MATCH($H44&amp;"|1",$Z$14:$Z$1213,0)),ISERROR(MATCH($H44&amp;"|1",$AA$14:$AA$1213,0))),"Tie",IF(MATCH($H44&amp;"|1",$Z$14:$Z$1213,0)=MATCH($H44&amp;"|1",$AA$14:$AA$1213,0),"Hit","Miss"))))</f>
        <v/>
      </c>
      <c r="K44" s="24">
        <f>IF($H44="","",IF(COUNTIFS($A$14:$A$1213,$H44,$F$14:$F$1213,"&gt;=0")=0,"—",IFERROR(INDEX($B$14:$B$1213,MATCH($H44&amp;"|1",$AA$14:$AA$1213,0)),"(tied)")))</f>
        <v/>
      </c>
      <c r="L44" s="25">
        <f>IF($H44="","",IF((--(COUNTIFS($A$14:$A$1213,$H44,$P$14:$P$1213,"&gt;=0")&gt;0)+--(COUNTIFS($A$14:$A$1213,$H44,$Q$14:$Q$1213,"&gt;=0")&gt;0)+--(COUNTIFS($A$14:$A$1213,$H44,$R$14:$R$1213,"&gt;=0")&gt;0)+--(COUNTIFS($A$14:$A$1213,$H44,$S$14:$S$1213,"&gt;=0")&gt;0)+--(COUNTIFS($A$14:$A$1213,$H44,$T$14:$T$1213,"&gt;=0")&gt;0))&lt;2,"—",IF(SUMIFS($AH$14:$AH$1213,$A$14:$A$1213,$H44)=0,"Yes","No")))</f>
        <v/>
      </c>
      <c r="M44" s="25">
        <f>IF($H44="","",IF(COUNTIFS($A$14:$A$1213,$H44,$F$14:$F$1213,"&gt;=0")&lt;2,"—",IF(COUNTIFS($A$14:$A$1213,$H44,$F$14:$F$1213,_xlfn.MAXIFS($F$14:$F$1213,$A$14:$A$1213,$H44))&gt;1,"No",IF(NOT(ISNUMBER($AN44)),"—",IF((2*(1-NORMSDIST(ABS($AN44))))&lt;0.05,"Yes","No")))))</f>
        <v/>
      </c>
      <c r="N44" s="21">
        <f>IF($H44="","",IF(NOT(ISNUMBER($AN44)),"—",IF((2*(1-NORMSDIST(ABS($AN44))))&lt;0.001,"&lt;0.001",TEXT((2*(1-NORMSDIST(ABS($AN44)))),"0.000"))))</f>
        <v/>
      </c>
      <c r="P44" s="26" t="n"/>
      <c r="Q44" s="26" t="n"/>
      <c r="R44" s="26" t="n"/>
      <c r="S44" s="26" t="n"/>
      <c r="T44" s="26" t="n"/>
      <c r="V44" s="27">
        <f>IF(ISNUMBER($C44),COUNTIFS($A$14:$A$1213,$A44,$C$14:$C$1213,"&gt;"&amp;$C44)+(COUNTIFS($A$14:$A$1213,$A44,$C$14:$C$1213,"="&amp;$C44)+1)/2,"")</f>
        <v/>
      </c>
      <c r="W44" s="27">
        <f>IF(ISNUMBER($F44),COUNTIFS($A$14:$A$1213,$A44,$F$14:$F$1213,"&gt;"&amp;$F44)+(COUNTIFS($A$14:$A$1213,$A44,$F$14:$F$1213,"="&amp;$F44)+1)/2,"")</f>
        <v/>
      </c>
      <c r="X44" s="27">
        <f>IF(OR(NOT(ISNUMBER($V44)),$AO44=1),"",$V44-(COUNTIFS($A$14:$A$1213,$A44,$C$14:$C$1213,"&gt;=0")+1)/2)</f>
        <v/>
      </c>
      <c r="Y44" s="27">
        <f>IF(OR(NOT(ISNUMBER($W44)),$AO44=1),"",$W44-(COUNTIFS($A$14:$A$1213,$A44,$F$14:$F$1213,"&gt;=0")+1)/2)</f>
        <v/>
      </c>
      <c r="Z44" s="27">
        <f>IF(ISNUMBER($V44),$A44&amp;"|"&amp;$V44,"")</f>
        <v/>
      </c>
      <c r="AA44" s="27">
        <f>IF(ISNUMBER($W44),$A44&amp;"|"&amp;$W44,"")</f>
        <v/>
      </c>
      <c r="AB44" s="27">
        <f>IF(ISNUMBER($F44),$A44&amp;"|"&amp;$F44,"")</f>
        <v/>
      </c>
      <c r="AC44" s="27">
        <f>IF(ISNUMBER($P44),COUNTIFS($A$14:$A$1213,$A44,$P$14:$P$1213,"&gt;"&amp;$P44)+(COUNTIFS($A$14:$A$1213,$A44,$P$14:$P$1213,"="&amp;$P44)+1)/2,"")</f>
        <v/>
      </c>
      <c r="AD44" s="27">
        <f>IF(ISNUMBER($Q44),COUNTIFS($A$14:$A$1213,$A44,$Q$14:$Q$1213,"&gt;"&amp;$Q44)+(COUNTIFS($A$14:$A$1213,$A44,$Q$14:$Q$1213,"="&amp;$Q44)+1)/2,"")</f>
        <v/>
      </c>
      <c r="AE44" s="27">
        <f>IF(ISNUMBER($R44),COUNTIFS($A$14:$A$1213,$A44,$R$14:$R$1213,"&gt;"&amp;$R44)+(COUNTIFS($A$14:$A$1213,$A44,$R$14:$R$1213,"="&amp;$R44)+1)/2,"")</f>
        <v/>
      </c>
      <c r="AF44" s="27">
        <f>IF(ISNUMBER($S44),COUNTIFS($A$14:$A$1213,$A44,$S$14:$S$1213,"&gt;"&amp;$S44)+(COUNTIFS($A$14:$A$1213,$A44,$S$14:$S$1213,"="&amp;$S44)+1)/2,"")</f>
        <v/>
      </c>
      <c r="AG44" s="27">
        <f>IF(ISNUMBER($T44),COUNTIFS($A$14:$A$1213,$A44,$T$14:$T$1213,"&gt;"&amp;$T44)+(COUNTIFS($A$14:$A$1213,$A44,$T$14:$T$1213,"="&amp;$T44)+1)/2,"")</f>
        <v/>
      </c>
      <c r="AH44" s="27">
        <f>IF(COUNT($AC44:$AG44)&lt;2,"",IF(MAX($AC44:$AG44)=MIN($AC44:$AG44),0,1))</f>
        <v/>
      </c>
      <c r="AI44" s="27">
        <f>IF($A44="","",IF(COUNTIF($A$14:$A44,$A44)=1,COUNTIF($AI$13:AI43,"&gt;0")+1,""))</f>
        <v/>
      </c>
      <c r="AJ44" s="27">
        <f>IF(OR($H44="",COUNTIFS($A$14:$A$1213,$H44,$F$14:$F$1213,"&gt;=0")&lt;2,COUNTIFS($A$14:$A$1213,$H44,$F$14:$F$1213,_xlfn.MAXIFS($F$14:$F$1213,$A$14:$A$1213,$H44))&gt;1),"",IFERROR(INDEX($D$14:$D$1213,MATCH($H44&amp;"|"&amp;_xlfn.MAXIFS($F$14:$F$1213,$A$14:$A$1213,$H44),$AB$14:$AB$1213,0)),""))</f>
        <v/>
      </c>
      <c r="AK44" s="27">
        <f>IF(OR($H44="",COUNTIFS($A$14:$A$1213,$H44,$F$14:$F$1213,"&gt;=0")&lt;2,COUNTIFS($A$14:$A$1213,$H44,$F$14:$F$1213,_xlfn.MAXIFS($F$14:$F$1213,$A$14:$A$1213,$H44))&gt;1),"",IFERROR(INDEX($E$14:$E$1213,MATCH($H44&amp;"|"&amp;_xlfn.MAXIFS($F$14:$F$1213,$A$14:$A$1213,$H44),$AB$14:$AB$1213,0)),""))</f>
        <v/>
      </c>
      <c r="AL44" s="27">
        <f>IF(OR($H44="",COUNTIFS($A$14:$A$1213,$H44,$F$14:$F$1213,"&gt;=0")&lt;2,COUNTIFS($A$14:$A$1213,$H44,$F$14:$F$1213,_xlfn.MAXIFS($F$14:$F$1213,$A$14:$A$1213,$H44))&gt;1),"",IFERROR(INDEX($D$14:$D$1213,MATCH($H44&amp;"|"&amp;_xlfn.MAXIFS($F$14:$F$1213,$A$14:$A$1213,$H44,$F$14:$F$1213,"&lt;"&amp;_xlfn.MAXIFS($F$14:$F$1213,$A$14:$A$1213,$H44)),$AB$14:$AB$1213,0)),""))</f>
        <v/>
      </c>
      <c r="AM44" s="27">
        <f>IF(OR($H44="",COUNTIFS($A$14:$A$1213,$H44,$F$14:$F$1213,"&gt;=0")&lt;2,COUNTIFS($A$14:$A$1213,$H44,$F$14:$F$1213,_xlfn.MAXIFS($F$14:$F$1213,$A$14:$A$1213,$H44))&gt;1),"",IFERROR(INDEX($E$14:$E$1213,MATCH($H44&amp;"|"&amp;_xlfn.MAXIFS($F$14:$F$1213,$A$14:$A$1213,$H44,$F$14:$F$1213,"&lt;"&amp;_xlfn.MAXIFS($F$14:$F$1213,$A$14:$A$1213,$H44)),$AB$14:$AB$1213,0)),""))</f>
        <v/>
      </c>
      <c r="AN44" s="27">
        <f>IF(OR(NOT(ISNUMBER($AJ44)),NOT(ISNUMBER($AL44)),$AK44=0,$AM44=0),"",IF(OR((($AJ44+$AL44)/($AK44+$AM44))&lt;=0,(($AJ44+$AL44)/($AK44+$AM44))&gt;=1),"",($AJ44/$AK44-$AL44/$AM44)/SQRT((($AJ44+$AL44)/($AK44+$AM44))*(1-(($AJ44+$AL44)/($AK44+$AM44)))*(1/$AK44+1/$AM44))))</f>
        <v/>
      </c>
      <c r="AO44" s="27">
        <f>IF($A44="","",IF(AND(COUNTIFS($A$14:$A$1213,$A44,$F$14:$F$1213,"&gt;=0")=2,IFERROR(INDEX($M$14:$M$313,MATCH($A44,$H$14:$H$313,0)),"Yes")&lt;&gt;"Yes"),1,0))</f>
        <v/>
      </c>
    </row>
    <row r="45" ht="24" customHeight="1">
      <c r="A45" s="19">
        <f>IF('Enter messages'!A45="","",'Enter messages'!A45)</f>
        <v/>
      </c>
      <c r="B45" s="20">
        <f>IF('Enter messages'!B45="","",'Enter messages'!B45)</f>
        <v/>
      </c>
      <c r="C45" s="21">
        <f>IFERROR(AVERAGE(P45:T45),"")</f>
        <v/>
      </c>
      <c r="D45" s="29" t="n"/>
      <c r="E45" s="29" t="n"/>
      <c r="F45" s="30">
        <f>IF(AND(ISNUMBER($D45),ISNUMBER($E45),$E45&gt;0,$D45&lt;=$E45),$D45/$E45,"")</f>
        <v/>
      </c>
      <c r="H45" s="19">
        <f>IFERROR(INDEX($A$14:$A$1213,MATCH(32,$AI$14:$AI$1213,0)),"")</f>
        <v/>
      </c>
      <c r="I45" s="24">
        <f>IF($H45="","",IF(COUNTIFS($A$14:$A$1213,$H45,$C$14:$C$1213,"&gt;=0")=0,"—",IFERROR(INDEX($B$14:$B$1213,MATCH($H45&amp;"|1",$Z$14:$Z$1213,0)),"(tied)")))</f>
        <v/>
      </c>
      <c r="J45" s="25">
        <f>IF($H45="","",IF(OR(COUNTIFS($A$14:$A$1213,$H45,$C$14:$C$1213,"&gt;=0")=0,COUNTIFS($A$14:$A$1213,$H45,$F$14:$F$1213,"&gt;=0")=0),"—",IF(OR(ISERROR(MATCH($H45&amp;"|1",$Z$14:$Z$1213,0)),ISERROR(MATCH($H45&amp;"|1",$AA$14:$AA$1213,0))),"Tie",IF(MATCH($H45&amp;"|1",$Z$14:$Z$1213,0)=MATCH($H45&amp;"|1",$AA$14:$AA$1213,0),"Hit","Miss"))))</f>
        <v/>
      </c>
      <c r="K45" s="24">
        <f>IF($H45="","",IF(COUNTIFS($A$14:$A$1213,$H45,$F$14:$F$1213,"&gt;=0")=0,"—",IFERROR(INDEX($B$14:$B$1213,MATCH($H45&amp;"|1",$AA$14:$AA$1213,0)),"(tied)")))</f>
        <v/>
      </c>
      <c r="L45" s="25">
        <f>IF($H45="","",IF((--(COUNTIFS($A$14:$A$1213,$H45,$P$14:$P$1213,"&gt;=0")&gt;0)+--(COUNTIFS($A$14:$A$1213,$H45,$Q$14:$Q$1213,"&gt;=0")&gt;0)+--(COUNTIFS($A$14:$A$1213,$H45,$R$14:$R$1213,"&gt;=0")&gt;0)+--(COUNTIFS($A$14:$A$1213,$H45,$S$14:$S$1213,"&gt;=0")&gt;0)+--(COUNTIFS($A$14:$A$1213,$H45,$T$14:$T$1213,"&gt;=0")&gt;0))&lt;2,"—",IF(SUMIFS($AH$14:$AH$1213,$A$14:$A$1213,$H45)=0,"Yes","No")))</f>
        <v/>
      </c>
      <c r="M45" s="25">
        <f>IF($H45="","",IF(COUNTIFS($A$14:$A$1213,$H45,$F$14:$F$1213,"&gt;=0")&lt;2,"—",IF(COUNTIFS($A$14:$A$1213,$H45,$F$14:$F$1213,_xlfn.MAXIFS($F$14:$F$1213,$A$14:$A$1213,$H45))&gt;1,"No",IF(NOT(ISNUMBER($AN45)),"—",IF((2*(1-NORMSDIST(ABS($AN45))))&lt;0.05,"Yes","No")))))</f>
        <v/>
      </c>
      <c r="N45" s="21">
        <f>IF($H45="","",IF(NOT(ISNUMBER($AN45)),"—",IF((2*(1-NORMSDIST(ABS($AN45))))&lt;0.001,"&lt;0.001",TEXT((2*(1-NORMSDIST(ABS($AN45)))),"0.000"))))</f>
        <v/>
      </c>
      <c r="P45" s="26" t="n"/>
      <c r="Q45" s="26" t="n"/>
      <c r="R45" s="26" t="n"/>
      <c r="S45" s="26" t="n"/>
      <c r="T45" s="26" t="n"/>
      <c r="V45" s="27">
        <f>IF(ISNUMBER($C45),COUNTIFS($A$14:$A$1213,$A45,$C$14:$C$1213,"&gt;"&amp;$C45)+(COUNTIFS($A$14:$A$1213,$A45,$C$14:$C$1213,"="&amp;$C45)+1)/2,"")</f>
        <v/>
      </c>
      <c r="W45" s="27">
        <f>IF(ISNUMBER($F45),COUNTIFS($A$14:$A$1213,$A45,$F$14:$F$1213,"&gt;"&amp;$F45)+(COUNTIFS($A$14:$A$1213,$A45,$F$14:$F$1213,"="&amp;$F45)+1)/2,"")</f>
        <v/>
      </c>
      <c r="X45" s="27">
        <f>IF(OR(NOT(ISNUMBER($V45)),$AO45=1),"",$V45-(COUNTIFS($A$14:$A$1213,$A45,$C$14:$C$1213,"&gt;=0")+1)/2)</f>
        <v/>
      </c>
      <c r="Y45" s="27">
        <f>IF(OR(NOT(ISNUMBER($W45)),$AO45=1),"",$W45-(COUNTIFS($A$14:$A$1213,$A45,$F$14:$F$1213,"&gt;=0")+1)/2)</f>
        <v/>
      </c>
      <c r="Z45" s="27">
        <f>IF(ISNUMBER($V45),$A45&amp;"|"&amp;$V45,"")</f>
        <v/>
      </c>
      <c r="AA45" s="27">
        <f>IF(ISNUMBER($W45),$A45&amp;"|"&amp;$W45,"")</f>
        <v/>
      </c>
      <c r="AB45" s="27">
        <f>IF(ISNUMBER($F45),$A45&amp;"|"&amp;$F45,"")</f>
        <v/>
      </c>
      <c r="AC45" s="27">
        <f>IF(ISNUMBER($P45),COUNTIFS($A$14:$A$1213,$A45,$P$14:$P$1213,"&gt;"&amp;$P45)+(COUNTIFS($A$14:$A$1213,$A45,$P$14:$P$1213,"="&amp;$P45)+1)/2,"")</f>
        <v/>
      </c>
      <c r="AD45" s="27">
        <f>IF(ISNUMBER($Q45),COUNTIFS($A$14:$A$1213,$A45,$Q$14:$Q$1213,"&gt;"&amp;$Q45)+(COUNTIFS($A$14:$A$1213,$A45,$Q$14:$Q$1213,"="&amp;$Q45)+1)/2,"")</f>
        <v/>
      </c>
      <c r="AE45" s="27">
        <f>IF(ISNUMBER($R45),COUNTIFS($A$14:$A$1213,$A45,$R$14:$R$1213,"&gt;"&amp;$R45)+(COUNTIFS($A$14:$A$1213,$A45,$R$14:$R$1213,"="&amp;$R45)+1)/2,"")</f>
        <v/>
      </c>
      <c r="AF45" s="27">
        <f>IF(ISNUMBER($S45),COUNTIFS($A$14:$A$1213,$A45,$S$14:$S$1213,"&gt;"&amp;$S45)+(COUNTIFS($A$14:$A$1213,$A45,$S$14:$S$1213,"="&amp;$S45)+1)/2,"")</f>
        <v/>
      </c>
      <c r="AG45" s="27">
        <f>IF(ISNUMBER($T45),COUNTIFS($A$14:$A$1213,$A45,$T$14:$T$1213,"&gt;"&amp;$T45)+(COUNTIFS($A$14:$A$1213,$A45,$T$14:$T$1213,"="&amp;$T45)+1)/2,"")</f>
        <v/>
      </c>
      <c r="AH45" s="27">
        <f>IF(COUNT($AC45:$AG45)&lt;2,"",IF(MAX($AC45:$AG45)=MIN($AC45:$AG45),0,1))</f>
        <v/>
      </c>
      <c r="AI45" s="27">
        <f>IF($A45="","",IF(COUNTIF($A$14:$A45,$A45)=1,COUNTIF($AI$13:AI44,"&gt;0")+1,""))</f>
        <v/>
      </c>
      <c r="AJ45" s="27">
        <f>IF(OR($H45="",COUNTIFS($A$14:$A$1213,$H45,$F$14:$F$1213,"&gt;=0")&lt;2,COUNTIFS($A$14:$A$1213,$H45,$F$14:$F$1213,_xlfn.MAXIFS($F$14:$F$1213,$A$14:$A$1213,$H45))&gt;1),"",IFERROR(INDEX($D$14:$D$1213,MATCH($H45&amp;"|"&amp;_xlfn.MAXIFS($F$14:$F$1213,$A$14:$A$1213,$H45),$AB$14:$AB$1213,0)),""))</f>
        <v/>
      </c>
      <c r="AK45" s="27">
        <f>IF(OR($H45="",COUNTIFS($A$14:$A$1213,$H45,$F$14:$F$1213,"&gt;=0")&lt;2,COUNTIFS($A$14:$A$1213,$H45,$F$14:$F$1213,_xlfn.MAXIFS($F$14:$F$1213,$A$14:$A$1213,$H45))&gt;1),"",IFERROR(INDEX($E$14:$E$1213,MATCH($H45&amp;"|"&amp;_xlfn.MAXIFS($F$14:$F$1213,$A$14:$A$1213,$H45),$AB$14:$AB$1213,0)),""))</f>
        <v/>
      </c>
      <c r="AL45" s="27">
        <f>IF(OR($H45="",COUNTIFS($A$14:$A$1213,$H45,$F$14:$F$1213,"&gt;=0")&lt;2,COUNTIFS($A$14:$A$1213,$H45,$F$14:$F$1213,_xlfn.MAXIFS($F$14:$F$1213,$A$14:$A$1213,$H45))&gt;1),"",IFERROR(INDEX($D$14:$D$1213,MATCH($H45&amp;"|"&amp;_xlfn.MAXIFS($F$14:$F$1213,$A$14:$A$1213,$H45,$F$14:$F$1213,"&lt;"&amp;_xlfn.MAXIFS($F$14:$F$1213,$A$14:$A$1213,$H45)),$AB$14:$AB$1213,0)),""))</f>
        <v/>
      </c>
      <c r="AM45" s="27">
        <f>IF(OR($H45="",COUNTIFS($A$14:$A$1213,$H45,$F$14:$F$1213,"&gt;=0")&lt;2,COUNTIFS($A$14:$A$1213,$H45,$F$14:$F$1213,_xlfn.MAXIFS($F$14:$F$1213,$A$14:$A$1213,$H45))&gt;1),"",IFERROR(INDEX($E$14:$E$1213,MATCH($H45&amp;"|"&amp;_xlfn.MAXIFS($F$14:$F$1213,$A$14:$A$1213,$H45,$F$14:$F$1213,"&lt;"&amp;_xlfn.MAXIFS($F$14:$F$1213,$A$14:$A$1213,$H45)),$AB$14:$AB$1213,0)),""))</f>
        <v/>
      </c>
      <c r="AN45" s="27">
        <f>IF(OR(NOT(ISNUMBER($AJ45)),NOT(ISNUMBER($AL45)),$AK45=0,$AM45=0),"",IF(OR((($AJ45+$AL45)/($AK45+$AM45))&lt;=0,(($AJ45+$AL45)/($AK45+$AM45))&gt;=1),"",($AJ45/$AK45-$AL45/$AM45)/SQRT((($AJ45+$AL45)/($AK45+$AM45))*(1-(($AJ45+$AL45)/($AK45+$AM45)))*(1/$AK45+1/$AM45))))</f>
        <v/>
      </c>
      <c r="AO45" s="27">
        <f>IF($A45="","",IF(AND(COUNTIFS($A$14:$A$1213,$A45,$F$14:$F$1213,"&gt;=0")=2,IFERROR(INDEX($M$14:$M$313,MATCH($A45,$H$14:$H$313,0)),"Yes")&lt;&gt;"Yes"),1,0))</f>
        <v/>
      </c>
    </row>
    <row r="46" ht="24" customHeight="1">
      <c r="A46" s="19">
        <f>IF('Enter messages'!A46="","",'Enter messages'!A46)</f>
        <v/>
      </c>
      <c r="B46" s="20">
        <f>IF('Enter messages'!B46="","",'Enter messages'!B46)</f>
        <v/>
      </c>
      <c r="C46" s="21">
        <f>IFERROR(AVERAGE(P46:T46),"")</f>
        <v/>
      </c>
      <c r="D46" s="29" t="n"/>
      <c r="E46" s="29" t="n"/>
      <c r="F46" s="30">
        <f>IF(AND(ISNUMBER($D46),ISNUMBER($E46),$E46&gt;0,$D46&lt;=$E46),$D46/$E46,"")</f>
        <v/>
      </c>
      <c r="H46" s="19">
        <f>IFERROR(INDEX($A$14:$A$1213,MATCH(33,$AI$14:$AI$1213,0)),"")</f>
        <v/>
      </c>
      <c r="I46" s="24">
        <f>IF($H46="","",IF(COUNTIFS($A$14:$A$1213,$H46,$C$14:$C$1213,"&gt;=0")=0,"—",IFERROR(INDEX($B$14:$B$1213,MATCH($H46&amp;"|1",$Z$14:$Z$1213,0)),"(tied)")))</f>
        <v/>
      </c>
      <c r="J46" s="25">
        <f>IF($H46="","",IF(OR(COUNTIFS($A$14:$A$1213,$H46,$C$14:$C$1213,"&gt;=0")=0,COUNTIFS($A$14:$A$1213,$H46,$F$14:$F$1213,"&gt;=0")=0),"—",IF(OR(ISERROR(MATCH($H46&amp;"|1",$Z$14:$Z$1213,0)),ISERROR(MATCH($H46&amp;"|1",$AA$14:$AA$1213,0))),"Tie",IF(MATCH($H46&amp;"|1",$Z$14:$Z$1213,0)=MATCH($H46&amp;"|1",$AA$14:$AA$1213,0),"Hit","Miss"))))</f>
        <v/>
      </c>
      <c r="K46" s="24">
        <f>IF($H46="","",IF(COUNTIFS($A$14:$A$1213,$H46,$F$14:$F$1213,"&gt;=0")=0,"—",IFERROR(INDEX($B$14:$B$1213,MATCH($H46&amp;"|1",$AA$14:$AA$1213,0)),"(tied)")))</f>
        <v/>
      </c>
      <c r="L46" s="25">
        <f>IF($H46="","",IF((--(COUNTIFS($A$14:$A$1213,$H46,$P$14:$P$1213,"&gt;=0")&gt;0)+--(COUNTIFS($A$14:$A$1213,$H46,$Q$14:$Q$1213,"&gt;=0")&gt;0)+--(COUNTIFS($A$14:$A$1213,$H46,$R$14:$R$1213,"&gt;=0")&gt;0)+--(COUNTIFS($A$14:$A$1213,$H46,$S$14:$S$1213,"&gt;=0")&gt;0)+--(COUNTIFS($A$14:$A$1213,$H46,$T$14:$T$1213,"&gt;=0")&gt;0))&lt;2,"—",IF(SUMIFS($AH$14:$AH$1213,$A$14:$A$1213,$H46)=0,"Yes","No")))</f>
        <v/>
      </c>
      <c r="M46" s="25">
        <f>IF($H46="","",IF(COUNTIFS($A$14:$A$1213,$H46,$F$14:$F$1213,"&gt;=0")&lt;2,"—",IF(COUNTIFS($A$14:$A$1213,$H46,$F$14:$F$1213,_xlfn.MAXIFS($F$14:$F$1213,$A$14:$A$1213,$H46))&gt;1,"No",IF(NOT(ISNUMBER($AN46)),"—",IF((2*(1-NORMSDIST(ABS($AN46))))&lt;0.05,"Yes","No")))))</f>
        <v/>
      </c>
      <c r="N46" s="21">
        <f>IF($H46="","",IF(NOT(ISNUMBER($AN46)),"—",IF((2*(1-NORMSDIST(ABS($AN46))))&lt;0.001,"&lt;0.001",TEXT((2*(1-NORMSDIST(ABS($AN46)))),"0.000"))))</f>
        <v/>
      </c>
      <c r="P46" s="26" t="n"/>
      <c r="Q46" s="26" t="n"/>
      <c r="R46" s="26" t="n"/>
      <c r="S46" s="26" t="n"/>
      <c r="T46" s="26" t="n"/>
      <c r="V46" s="27">
        <f>IF(ISNUMBER($C46),COUNTIFS($A$14:$A$1213,$A46,$C$14:$C$1213,"&gt;"&amp;$C46)+(COUNTIFS($A$14:$A$1213,$A46,$C$14:$C$1213,"="&amp;$C46)+1)/2,"")</f>
        <v/>
      </c>
      <c r="W46" s="27">
        <f>IF(ISNUMBER($F46),COUNTIFS($A$14:$A$1213,$A46,$F$14:$F$1213,"&gt;"&amp;$F46)+(COUNTIFS($A$14:$A$1213,$A46,$F$14:$F$1213,"="&amp;$F46)+1)/2,"")</f>
        <v/>
      </c>
      <c r="X46" s="27">
        <f>IF(OR(NOT(ISNUMBER($V46)),$AO46=1),"",$V46-(COUNTIFS($A$14:$A$1213,$A46,$C$14:$C$1213,"&gt;=0")+1)/2)</f>
        <v/>
      </c>
      <c r="Y46" s="27">
        <f>IF(OR(NOT(ISNUMBER($W46)),$AO46=1),"",$W46-(COUNTIFS($A$14:$A$1213,$A46,$F$14:$F$1213,"&gt;=0")+1)/2)</f>
        <v/>
      </c>
      <c r="Z46" s="27">
        <f>IF(ISNUMBER($V46),$A46&amp;"|"&amp;$V46,"")</f>
        <v/>
      </c>
      <c r="AA46" s="27">
        <f>IF(ISNUMBER($W46),$A46&amp;"|"&amp;$W46,"")</f>
        <v/>
      </c>
      <c r="AB46" s="27">
        <f>IF(ISNUMBER($F46),$A46&amp;"|"&amp;$F46,"")</f>
        <v/>
      </c>
      <c r="AC46" s="27">
        <f>IF(ISNUMBER($P46),COUNTIFS($A$14:$A$1213,$A46,$P$14:$P$1213,"&gt;"&amp;$P46)+(COUNTIFS($A$14:$A$1213,$A46,$P$14:$P$1213,"="&amp;$P46)+1)/2,"")</f>
        <v/>
      </c>
      <c r="AD46" s="27">
        <f>IF(ISNUMBER($Q46),COUNTIFS($A$14:$A$1213,$A46,$Q$14:$Q$1213,"&gt;"&amp;$Q46)+(COUNTIFS($A$14:$A$1213,$A46,$Q$14:$Q$1213,"="&amp;$Q46)+1)/2,"")</f>
        <v/>
      </c>
      <c r="AE46" s="27">
        <f>IF(ISNUMBER($R46),COUNTIFS($A$14:$A$1213,$A46,$R$14:$R$1213,"&gt;"&amp;$R46)+(COUNTIFS($A$14:$A$1213,$A46,$R$14:$R$1213,"="&amp;$R46)+1)/2,"")</f>
        <v/>
      </c>
      <c r="AF46" s="27">
        <f>IF(ISNUMBER($S46),COUNTIFS($A$14:$A$1213,$A46,$S$14:$S$1213,"&gt;"&amp;$S46)+(COUNTIFS($A$14:$A$1213,$A46,$S$14:$S$1213,"="&amp;$S46)+1)/2,"")</f>
        <v/>
      </c>
      <c r="AG46" s="27">
        <f>IF(ISNUMBER($T46),COUNTIFS($A$14:$A$1213,$A46,$T$14:$T$1213,"&gt;"&amp;$T46)+(COUNTIFS($A$14:$A$1213,$A46,$T$14:$T$1213,"="&amp;$T46)+1)/2,"")</f>
        <v/>
      </c>
      <c r="AH46" s="27">
        <f>IF(COUNT($AC46:$AG46)&lt;2,"",IF(MAX($AC46:$AG46)=MIN($AC46:$AG46),0,1))</f>
        <v/>
      </c>
      <c r="AI46" s="27">
        <f>IF($A46="","",IF(COUNTIF($A$14:$A46,$A46)=1,COUNTIF($AI$13:AI45,"&gt;0")+1,""))</f>
        <v/>
      </c>
      <c r="AJ46" s="27">
        <f>IF(OR($H46="",COUNTIFS($A$14:$A$1213,$H46,$F$14:$F$1213,"&gt;=0")&lt;2,COUNTIFS($A$14:$A$1213,$H46,$F$14:$F$1213,_xlfn.MAXIFS($F$14:$F$1213,$A$14:$A$1213,$H46))&gt;1),"",IFERROR(INDEX($D$14:$D$1213,MATCH($H46&amp;"|"&amp;_xlfn.MAXIFS($F$14:$F$1213,$A$14:$A$1213,$H46),$AB$14:$AB$1213,0)),""))</f>
        <v/>
      </c>
      <c r="AK46" s="27">
        <f>IF(OR($H46="",COUNTIFS($A$14:$A$1213,$H46,$F$14:$F$1213,"&gt;=0")&lt;2,COUNTIFS($A$14:$A$1213,$H46,$F$14:$F$1213,_xlfn.MAXIFS($F$14:$F$1213,$A$14:$A$1213,$H46))&gt;1),"",IFERROR(INDEX($E$14:$E$1213,MATCH($H46&amp;"|"&amp;_xlfn.MAXIFS($F$14:$F$1213,$A$14:$A$1213,$H46),$AB$14:$AB$1213,0)),""))</f>
        <v/>
      </c>
      <c r="AL46" s="27">
        <f>IF(OR($H46="",COUNTIFS($A$14:$A$1213,$H46,$F$14:$F$1213,"&gt;=0")&lt;2,COUNTIFS($A$14:$A$1213,$H46,$F$14:$F$1213,_xlfn.MAXIFS($F$14:$F$1213,$A$14:$A$1213,$H46))&gt;1),"",IFERROR(INDEX($D$14:$D$1213,MATCH($H46&amp;"|"&amp;_xlfn.MAXIFS($F$14:$F$1213,$A$14:$A$1213,$H46,$F$14:$F$1213,"&lt;"&amp;_xlfn.MAXIFS($F$14:$F$1213,$A$14:$A$1213,$H46)),$AB$14:$AB$1213,0)),""))</f>
        <v/>
      </c>
      <c r="AM46" s="27">
        <f>IF(OR($H46="",COUNTIFS($A$14:$A$1213,$H46,$F$14:$F$1213,"&gt;=0")&lt;2,COUNTIFS($A$14:$A$1213,$H46,$F$14:$F$1213,_xlfn.MAXIFS($F$14:$F$1213,$A$14:$A$1213,$H46))&gt;1),"",IFERROR(INDEX($E$14:$E$1213,MATCH($H46&amp;"|"&amp;_xlfn.MAXIFS($F$14:$F$1213,$A$14:$A$1213,$H46,$F$14:$F$1213,"&lt;"&amp;_xlfn.MAXIFS($F$14:$F$1213,$A$14:$A$1213,$H46)),$AB$14:$AB$1213,0)),""))</f>
        <v/>
      </c>
      <c r="AN46" s="27">
        <f>IF(OR(NOT(ISNUMBER($AJ46)),NOT(ISNUMBER($AL46)),$AK46=0,$AM46=0),"",IF(OR((($AJ46+$AL46)/($AK46+$AM46))&lt;=0,(($AJ46+$AL46)/($AK46+$AM46))&gt;=1),"",($AJ46/$AK46-$AL46/$AM46)/SQRT((($AJ46+$AL46)/($AK46+$AM46))*(1-(($AJ46+$AL46)/($AK46+$AM46)))*(1/$AK46+1/$AM46))))</f>
        <v/>
      </c>
      <c r="AO46" s="27">
        <f>IF($A46="","",IF(AND(COUNTIFS($A$14:$A$1213,$A46,$F$14:$F$1213,"&gt;=0")=2,IFERROR(INDEX($M$14:$M$313,MATCH($A46,$H$14:$H$313,0)),"Yes")&lt;&gt;"Yes"),1,0))</f>
        <v/>
      </c>
    </row>
    <row r="47" ht="24" customHeight="1">
      <c r="A47" s="19">
        <f>IF('Enter messages'!A47="","",'Enter messages'!A47)</f>
        <v/>
      </c>
      <c r="B47" s="20">
        <f>IF('Enter messages'!B47="","",'Enter messages'!B47)</f>
        <v/>
      </c>
      <c r="C47" s="21">
        <f>IFERROR(AVERAGE(P47:T47),"")</f>
        <v/>
      </c>
      <c r="D47" s="29" t="n"/>
      <c r="E47" s="29" t="n"/>
      <c r="F47" s="30">
        <f>IF(AND(ISNUMBER($D47),ISNUMBER($E47),$E47&gt;0,$D47&lt;=$E47),$D47/$E47,"")</f>
        <v/>
      </c>
      <c r="H47" s="19">
        <f>IFERROR(INDEX($A$14:$A$1213,MATCH(34,$AI$14:$AI$1213,0)),"")</f>
        <v/>
      </c>
      <c r="I47" s="24">
        <f>IF($H47="","",IF(COUNTIFS($A$14:$A$1213,$H47,$C$14:$C$1213,"&gt;=0")=0,"—",IFERROR(INDEX($B$14:$B$1213,MATCH($H47&amp;"|1",$Z$14:$Z$1213,0)),"(tied)")))</f>
        <v/>
      </c>
      <c r="J47" s="25">
        <f>IF($H47="","",IF(OR(COUNTIFS($A$14:$A$1213,$H47,$C$14:$C$1213,"&gt;=0")=0,COUNTIFS($A$14:$A$1213,$H47,$F$14:$F$1213,"&gt;=0")=0),"—",IF(OR(ISERROR(MATCH($H47&amp;"|1",$Z$14:$Z$1213,0)),ISERROR(MATCH($H47&amp;"|1",$AA$14:$AA$1213,0))),"Tie",IF(MATCH($H47&amp;"|1",$Z$14:$Z$1213,0)=MATCH($H47&amp;"|1",$AA$14:$AA$1213,0),"Hit","Miss"))))</f>
        <v/>
      </c>
      <c r="K47" s="24">
        <f>IF($H47="","",IF(COUNTIFS($A$14:$A$1213,$H47,$F$14:$F$1213,"&gt;=0")=0,"—",IFERROR(INDEX($B$14:$B$1213,MATCH($H47&amp;"|1",$AA$14:$AA$1213,0)),"(tied)")))</f>
        <v/>
      </c>
      <c r="L47" s="25">
        <f>IF($H47="","",IF((--(COUNTIFS($A$14:$A$1213,$H47,$P$14:$P$1213,"&gt;=0")&gt;0)+--(COUNTIFS($A$14:$A$1213,$H47,$Q$14:$Q$1213,"&gt;=0")&gt;0)+--(COUNTIFS($A$14:$A$1213,$H47,$R$14:$R$1213,"&gt;=0")&gt;0)+--(COUNTIFS($A$14:$A$1213,$H47,$S$14:$S$1213,"&gt;=0")&gt;0)+--(COUNTIFS($A$14:$A$1213,$H47,$T$14:$T$1213,"&gt;=0")&gt;0))&lt;2,"—",IF(SUMIFS($AH$14:$AH$1213,$A$14:$A$1213,$H47)=0,"Yes","No")))</f>
        <v/>
      </c>
      <c r="M47" s="25">
        <f>IF($H47="","",IF(COUNTIFS($A$14:$A$1213,$H47,$F$14:$F$1213,"&gt;=0")&lt;2,"—",IF(COUNTIFS($A$14:$A$1213,$H47,$F$14:$F$1213,_xlfn.MAXIFS($F$14:$F$1213,$A$14:$A$1213,$H47))&gt;1,"No",IF(NOT(ISNUMBER($AN47)),"—",IF((2*(1-NORMSDIST(ABS($AN47))))&lt;0.05,"Yes","No")))))</f>
        <v/>
      </c>
      <c r="N47" s="21">
        <f>IF($H47="","",IF(NOT(ISNUMBER($AN47)),"—",IF((2*(1-NORMSDIST(ABS($AN47))))&lt;0.001,"&lt;0.001",TEXT((2*(1-NORMSDIST(ABS($AN47)))),"0.000"))))</f>
        <v/>
      </c>
      <c r="P47" s="26" t="n"/>
      <c r="Q47" s="26" t="n"/>
      <c r="R47" s="26" t="n"/>
      <c r="S47" s="26" t="n"/>
      <c r="T47" s="26" t="n"/>
      <c r="V47" s="27">
        <f>IF(ISNUMBER($C47),COUNTIFS($A$14:$A$1213,$A47,$C$14:$C$1213,"&gt;"&amp;$C47)+(COUNTIFS($A$14:$A$1213,$A47,$C$14:$C$1213,"="&amp;$C47)+1)/2,"")</f>
        <v/>
      </c>
      <c r="W47" s="27">
        <f>IF(ISNUMBER($F47),COUNTIFS($A$14:$A$1213,$A47,$F$14:$F$1213,"&gt;"&amp;$F47)+(COUNTIFS($A$14:$A$1213,$A47,$F$14:$F$1213,"="&amp;$F47)+1)/2,"")</f>
        <v/>
      </c>
      <c r="X47" s="27">
        <f>IF(OR(NOT(ISNUMBER($V47)),$AO47=1),"",$V47-(COUNTIFS($A$14:$A$1213,$A47,$C$14:$C$1213,"&gt;=0")+1)/2)</f>
        <v/>
      </c>
      <c r="Y47" s="27">
        <f>IF(OR(NOT(ISNUMBER($W47)),$AO47=1),"",$W47-(COUNTIFS($A$14:$A$1213,$A47,$F$14:$F$1213,"&gt;=0")+1)/2)</f>
        <v/>
      </c>
      <c r="Z47" s="27">
        <f>IF(ISNUMBER($V47),$A47&amp;"|"&amp;$V47,"")</f>
        <v/>
      </c>
      <c r="AA47" s="27">
        <f>IF(ISNUMBER($W47),$A47&amp;"|"&amp;$W47,"")</f>
        <v/>
      </c>
      <c r="AB47" s="27">
        <f>IF(ISNUMBER($F47),$A47&amp;"|"&amp;$F47,"")</f>
        <v/>
      </c>
      <c r="AC47" s="27">
        <f>IF(ISNUMBER($P47),COUNTIFS($A$14:$A$1213,$A47,$P$14:$P$1213,"&gt;"&amp;$P47)+(COUNTIFS($A$14:$A$1213,$A47,$P$14:$P$1213,"="&amp;$P47)+1)/2,"")</f>
        <v/>
      </c>
      <c r="AD47" s="27">
        <f>IF(ISNUMBER($Q47),COUNTIFS($A$14:$A$1213,$A47,$Q$14:$Q$1213,"&gt;"&amp;$Q47)+(COUNTIFS($A$14:$A$1213,$A47,$Q$14:$Q$1213,"="&amp;$Q47)+1)/2,"")</f>
        <v/>
      </c>
      <c r="AE47" s="27">
        <f>IF(ISNUMBER($R47),COUNTIFS($A$14:$A$1213,$A47,$R$14:$R$1213,"&gt;"&amp;$R47)+(COUNTIFS($A$14:$A$1213,$A47,$R$14:$R$1213,"="&amp;$R47)+1)/2,"")</f>
        <v/>
      </c>
      <c r="AF47" s="27">
        <f>IF(ISNUMBER($S47),COUNTIFS($A$14:$A$1213,$A47,$S$14:$S$1213,"&gt;"&amp;$S47)+(COUNTIFS($A$14:$A$1213,$A47,$S$14:$S$1213,"="&amp;$S47)+1)/2,"")</f>
        <v/>
      </c>
      <c r="AG47" s="27">
        <f>IF(ISNUMBER($T47),COUNTIFS($A$14:$A$1213,$A47,$T$14:$T$1213,"&gt;"&amp;$T47)+(COUNTIFS($A$14:$A$1213,$A47,$T$14:$T$1213,"="&amp;$T47)+1)/2,"")</f>
        <v/>
      </c>
      <c r="AH47" s="27">
        <f>IF(COUNT($AC47:$AG47)&lt;2,"",IF(MAX($AC47:$AG47)=MIN($AC47:$AG47),0,1))</f>
        <v/>
      </c>
      <c r="AI47" s="27">
        <f>IF($A47="","",IF(COUNTIF($A$14:$A47,$A47)=1,COUNTIF($AI$13:AI46,"&gt;0")+1,""))</f>
        <v/>
      </c>
      <c r="AJ47" s="27">
        <f>IF(OR($H47="",COUNTIFS($A$14:$A$1213,$H47,$F$14:$F$1213,"&gt;=0")&lt;2,COUNTIFS($A$14:$A$1213,$H47,$F$14:$F$1213,_xlfn.MAXIFS($F$14:$F$1213,$A$14:$A$1213,$H47))&gt;1),"",IFERROR(INDEX($D$14:$D$1213,MATCH($H47&amp;"|"&amp;_xlfn.MAXIFS($F$14:$F$1213,$A$14:$A$1213,$H47),$AB$14:$AB$1213,0)),""))</f>
        <v/>
      </c>
      <c r="AK47" s="27">
        <f>IF(OR($H47="",COUNTIFS($A$14:$A$1213,$H47,$F$14:$F$1213,"&gt;=0")&lt;2,COUNTIFS($A$14:$A$1213,$H47,$F$14:$F$1213,_xlfn.MAXIFS($F$14:$F$1213,$A$14:$A$1213,$H47))&gt;1),"",IFERROR(INDEX($E$14:$E$1213,MATCH($H47&amp;"|"&amp;_xlfn.MAXIFS($F$14:$F$1213,$A$14:$A$1213,$H47),$AB$14:$AB$1213,0)),""))</f>
        <v/>
      </c>
      <c r="AL47" s="27">
        <f>IF(OR($H47="",COUNTIFS($A$14:$A$1213,$H47,$F$14:$F$1213,"&gt;=0")&lt;2,COUNTIFS($A$14:$A$1213,$H47,$F$14:$F$1213,_xlfn.MAXIFS($F$14:$F$1213,$A$14:$A$1213,$H47))&gt;1),"",IFERROR(INDEX($D$14:$D$1213,MATCH($H47&amp;"|"&amp;_xlfn.MAXIFS($F$14:$F$1213,$A$14:$A$1213,$H47,$F$14:$F$1213,"&lt;"&amp;_xlfn.MAXIFS($F$14:$F$1213,$A$14:$A$1213,$H47)),$AB$14:$AB$1213,0)),""))</f>
        <v/>
      </c>
      <c r="AM47" s="27">
        <f>IF(OR($H47="",COUNTIFS($A$14:$A$1213,$H47,$F$14:$F$1213,"&gt;=0")&lt;2,COUNTIFS($A$14:$A$1213,$H47,$F$14:$F$1213,_xlfn.MAXIFS($F$14:$F$1213,$A$14:$A$1213,$H47))&gt;1),"",IFERROR(INDEX($E$14:$E$1213,MATCH($H47&amp;"|"&amp;_xlfn.MAXIFS($F$14:$F$1213,$A$14:$A$1213,$H47,$F$14:$F$1213,"&lt;"&amp;_xlfn.MAXIFS($F$14:$F$1213,$A$14:$A$1213,$H47)),$AB$14:$AB$1213,0)),""))</f>
        <v/>
      </c>
      <c r="AN47" s="27">
        <f>IF(OR(NOT(ISNUMBER($AJ47)),NOT(ISNUMBER($AL47)),$AK47=0,$AM47=0),"",IF(OR((($AJ47+$AL47)/($AK47+$AM47))&lt;=0,(($AJ47+$AL47)/($AK47+$AM47))&gt;=1),"",($AJ47/$AK47-$AL47/$AM47)/SQRT((($AJ47+$AL47)/($AK47+$AM47))*(1-(($AJ47+$AL47)/($AK47+$AM47)))*(1/$AK47+1/$AM47))))</f>
        <v/>
      </c>
      <c r="AO47" s="27">
        <f>IF($A47="","",IF(AND(COUNTIFS($A$14:$A$1213,$A47,$F$14:$F$1213,"&gt;=0")=2,IFERROR(INDEX($M$14:$M$313,MATCH($A47,$H$14:$H$313,0)),"Yes")&lt;&gt;"Yes"),1,0))</f>
        <v/>
      </c>
    </row>
    <row r="48" ht="24" customHeight="1">
      <c r="A48" s="19">
        <f>IF('Enter messages'!A48="","",'Enter messages'!A48)</f>
        <v/>
      </c>
      <c r="B48" s="20">
        <f>IF('Enter messages'!B48="","",'Enter messages'!B48)</f>
        <v/>
      </c>
      <c r="C48" s="21">
        <f>IFERROR(AVERAGE(P48:T48),"")</f>
        <v/>
      </c>
      <c r="D48" s="29" t="n"/>
      <c r="E48" s="29" t="n"/>
      <c r="F48" s="30">
        <f>IF(AND(ISNUMBER($D48),ISNUMBER($E48),$E48&gt;0,$D48&lt;=$E48),$D48/$E48,"")</f>
        <v/>
      </c>
      <c r="H48" s="19">
        <f>IFERROR(INDEX($A$14:$A$1213,MATCH(35,$AI$14:$AI$1213,0)),"")</f>
        <v/>
      </c>
      <c r="I48" s="24">
        <f>IF($H48="","",IF(COUNTIFS($A$14:$A$1213,$H48,$C$14:$C$1213,"&gt;=0")=0,"—",IFERROR(INDEX($B$14:$B$1213,MATCH($H48&amp;"|1",$Z$14:$Z$1213,0)),"(tied)")))</f>
        <v/>
      </c>
      <c r="J48" s="25">
        <f>IF($H48="","",IF(OR(COUNTIFS($A$14:$A$1213,$H48,$C$14:$C$1213,"&gt;=0")=0,COUNTIFS($A$14:$A$1213,$H48,$F$14:$F$1213,"&gt;=0")=0),"—",IF(OR(ISERROR(MATCH($H48&amp;"|1",$Z$14:$Z$1213,0)),ISERROR(MATCH($H48&amp;"|1",$AA$14:$AA$1213,0))),"Tie",IF(MATCH($H48&amp;"|1",$Z$14:$Z$1213,0)=MATCH($H48&amp;"|1",$AA$14:$AA$1213,0),"Hit","Miss"))))</f>
        <v/>
      </c>
      <c r="K48" s="24">
        <f>IF($H48="","",IF(COUNTIFS($A$14:$A$1213,$H48,$F$14:$F$1213,"&gt;=0")=0,"—",IFERROR(INDEX($B$14:$B$1213,MATCH($H48&amp;"|1",$AA$14:$AA$1213,0)),"(tied)")))</f>
        <v/>
      </c>
      <c r="L48" s="25">
        <f>IF($H48="","",IF((--(COUNTIFS($A$14:$A$1213,$H48,$P$14:$P$1213,"&gt;=0")&gt;0)+--(COUNTIFS($A$14:$A$1213,$H48,$Q$14:$Q$1213,"&gt;=0")&gt;0)+--(COUNTIFS($A$14:$A$1213,$H48,$R$14:$R$1213,"&gt;=0")&gt;0)+--(COUNTIFS($A$14:$A$1213,$H48,$S$14:$S$1213,"&gt;=0")&gt;0)+--(COUNTIFS($A$14:$A$1213,$H48,$T$14:$T$1213,"&gt;=0")&gt;0))&lt;2,"—",IF(SUMIFS($AH$14:$AH$1213,$A$14:$A$1213,$H48)=0,"Yes","No")))</f>
        <v/>
      </c>
      <c r="M48" s="25">
        <f>IF($H48="","",IF(COUNTIFS($A$14:$A$1213,$H48,$F$14:$F$1213,"&gt;=0")&lt;2,"—",IF(COUNTIFS($A$14:$A$1213,$H48,$F$14:$F$1213,_xlfn.MAXIFS($F$14:$F$1213,$A$14:$A$1213,$H48))&gt;1,"No",IF(NOT(ISNUMBER($AN48)),"—",IF((2*(1-NORMSDIST(ABS($AN48))))&lt;0.05,"Yes","No")))))</f>
        <v/>
      </c>
      <c r="N48" s="21">
        <f>IF($H48="","",IF(NOT(ISNUMBER($AN48)),"—",IF((2*(1-NORMSDIST(ABS($AN48))))&lt;0.001,"&lt;0.001",TEXT((2*(1-NORMSDIST(ABS($AN48)))),"0.000"))))</f>
        <v/>
      </c>
      <c r="P48" s="26" t="n"/>
      <c r="Q48" s="26" t="n"/>
      <c r="R48" s="26" t="n"/>
      <c r="S48" s="26" t="n"/>
      <c r="T48" s="26" t="n"/>
      <c r="V48" s="27">
        <f>IF(ISNUMBER($C48),COUNTIFS($A$14:$A$1213,$A48,$C$14:$C$1213,"&gt;"&amp;$C48)+(COUNTIFS($A$14:$A$1213,$A48,$C$14:$C$1213,"="&amp;$C48)+1)/2,"")</f>
        <v/>
      </c>
      <c r="W48" s="27">
        <f>IF(ISNUMBER($F48),COUNTIFS($A$14:$A$1213,$A48,$F$14:$F$1213,"&gt;"&amp;$F48)+(COUNTIFS($A$14:$A$1213,$A48,$F$14:$F$1213,"="&amp;$F48)+1)/2,"")</f>
        <v/>
      </c>
      <c r="X48" s="27">
        <f>IF(OR(NOT(ISNUMBER($V48)),$AO48=1),"",$V48-(COUNTIFS($A$14:$A$1213,$A48,$C$14:$C$1213,"&gt;=0")+1)/2)</f>
        <v/>
      </c>
      <c r="Y48" s="27">
        <f>IF(OR(NOT(ISNUMBER($W48)),$AO48=1),"",$W48-(COUNTIFS($A$14:$A$1213,$A48,$F$14:$F$1213,"&gt;=0")+1)/2)</f>
        <v/>
      </c>
      <c r="Z48" s="27">
        <f>IF(ISNUMBER($V48),$A48&amp;"|"&amp;$V48,"")</f>
        <v/>
      </c>
      <c r="AA48" s="27">
        <f>IF(ISNUMBER($W48),$A48&amp;"|"&amp;$W48,"")</f>
        <v/>
      </c>
      <c r="AB48" s="27">
        <f>IF(ISNUMBER($F48),$A48&amp;"|"&amp;$F48,"")</f>
        <v/>
      </c>
      <c r="AC48" s="27">
        <f>IF(ISNUMBER($P48),COUNTIFS($A$14:$A$1213,$A48,$P$14:$P$1213,"&gt;"&amp;$P48)+(COUNTIFS($A$14:$A$1213,$A48,$P$14:$P$1213,"="&amp;$P48)+1)/2,"")</f>
        <v/>
      </c>
      <c r="AD48" s="27">
        <f>IF(ISNUMBER($Q48),COUNTIFS($A$14:$A$1213,$A48,$Q$14:$Q$1213,"&gt;"&amp;$Q48)+(COUNTIFS($A$14:$A$1213,$A48,$Q$14:$Q$1213,"="&amp;$Q48)+1)/2,"")</f>
        <v/>
      </c>
      <c r="AE48" s="27">
        <f>IF(ISNUMBER($R48),COUNTIFS($A$14:$A$1213,$A48,$R$14:$R$1213,"&gt;"&amp;$R48)+(COUNTIFS($A$14:$A$1213,$A48,$R$14:$R$1213,"="&amp;$R48)+1)/2,"")</f>
        <v/>
      </c>
      <c r="AF48" s="27">
        <f>IF(ISNUMBER($S48),COUNTIFS($A$14:$A$1213,$A48,$S$14:$S$1213,"&gt;"&amp;$S48)+(COUNTIFS($A$14:$A$1213,$A48,$S$14:$S$1213,"="&amp;$S48)+1)/2,"")</f>
        <v/>
      </c>
      <c r="AG48" s="27">
        <f>IF(ISNUMBER($T48),COUNTIFS($A$14:$A$1213,$A48,$T$14:$T$1213,"&gt;"&amp;$T48)+(COUNTIFS($A$14:$A$1213,$A48,$T$14:$T$1213,"="&amp;$T48)+1)/2,"")</f>
        <v/>
      </c>
      <c r="AH48" s="27">
        <f>IF(COUNT($AC48:$AG48)&lt;2,"",IF(MAX($AC48:$AG48)=MIN($AC48:$AG48),0,1))</f>
        <v/>
      </c>
      <c r="AI48" s="27">
        <f>IF($A48="","",IF(COUNTIF($A$14:$A48,$A48)=1,COUNTIF($AI$13:AI47,"&gt;0")+1,""))</f>
        <v/>
      </c>
      <c r="AJ48" s="27">
        <f>IF(OR($H48="",COUNTIFS($A$14:$A$1213,$H48,$F$14:$F$1213,"&gt;=0")&lt;2,COUNTIFS($A$14:$A$1213,$H48,$F$14:$F$1213,_xlfn.MAXIFS($F$14:$F$1213,$A$14:$A$1213,$H48))&gt;1),"",IFERROR(INDEX($D$14:$D$1213,MATCH($H48&amp;"|"&amp;_xlfn.MAXIFS($F$14:$F$1213,$A$14:$A$1213,$H48),$AB$14:$AB$1213,0)),""))</f>
        <v/>
      </c>
      <c r="AK48" s="27">
        <f>IF(OR($H48="",COUNTIFS($A$14:$A$1213,$H48,$F$14:$F$1213,"&gt;=0")&lt;2,COUNTIFS($A$14:$A$1213,$H48,$F$14:$F$1213,_xlfn.MAXIFS($F$14:$F$1213,$A$14:$A$1213,$H48))&gt;1),"",IFERROR(INDEX($E$14:$E$1213,MATCH($H48&amp;"|"&amp;_xlfn.MAXIFS($F$14:$F$1213,$A$14:$A$1213,$H48),$AB$14:$AB$1213,0)),""))</f>
        <v/>
      </c>
      <c r="AL48" s="27">
        <f>IF(OR($H48="",COUNTIFS($A$14:$A$1213,$H48,$F$14:$F$1213,"&gt;=0")&lt;2,COUNTIFS($A$14:$A$1213,$H48,$F$14:$F$1213,_xlfn.MAXIFS($F$14:$F$1213,$A$14:$A$1213,$H48))&gt;1),"",IFERROR(INDEX($D$14:$D$1213,MATCH($H48&amp;"|"&amp;_xlfn.MAXIFS($F$14:$F$1213,$A$14:$A$1213,$H48,$F$14:$F$1213,"&lt;"&amp;_xlfn.MAXIFS($F$14:$F$1213,$A$14:$A$1213,$H48)),$AB$14:$AB$1213,0)),""))</f>
        <v/>
      </c>
      <c r="AM48" s="27">
        <f>IF(OR($H48="",COUNTIFS($A$14:$A$1213,$H48,$F$14:$F$1213,"&gt;=0")&lt;2,COUNTIFS($A$14:$A$1213,$H48,$F$14:$F$1213,_xlfn.MAXIFS($F$14:$F$1213,$A$14:$A$1213,$H48))&gt;1),"",IFERROR(INDEX($E$14:$E$1213,MATCH($H48&amp;"|"&amp;_xlfn.MAXIFS($F$14:$F$1213,$A$14:$A$1213,$H48,$F$14:$F$1213,"&lt;"&amp;_xlfn.MAXIFS($F$14:$F$1213,$A$14:$A$1213,$H48)),$AB$14:$AB$1213,0)),""))</f>
        <v/>
      </c>
      <c r="AN48" s="27">
        <f>IF(OR(NOT(ISNUMBER($AJ48)),NOT(ISNUMBER($AL48)),$AK48=0,$AM48=0),"",IF(OR((($AJ48+$AL48)/($AK48+$AM48))&lt;=0,(($AJ48+$AL48)/($AK48+$AM48))&gt;=1),"",($AJ48/$AK48-$AL48/$AM48)/SQRT((($AJ48+$AL48)/($AK48+$AM48))*(1-(($AJ48+$AL48)/($AK48+$AM48)))*(1/$AK48+1/$AM48))))</f>
        <v/>
      </c>
      <c r="AO48" s="27">
        <f>IF($A48="","",IF(AND(COUNTIFS($A$14:$A$1213,$A48,$F$14:$F$1213,"&gt;=0")=2,IFERROR(INDEX($M$14:$M$313,MATCH($A48,$H$14:$H$313,0)),"Yes")&lt;&gt;"Yes"),1,0))</f>
        <v/>
      </c>
    </row>
    <row r="49" ht="24" customHeight="1">
      <c r="A49" s="19">
        <f>IF('Enter messages'!A49="","",'Enter messages'!A49)</f>
        <v/>
      </c>
      <c r="B49" s="20">
        <f>IF('Enter messages'!B49="","",'Enter messages'!B49)</f>
        <v/>
      </c>
      <c r="C49" s="21">
        <f>IFERROR(AVERAGE(P49:T49),"")</f>
        <v/>
      </c>
      <c r="D49" s="29" t="n"/>
      <c r="E49" s="29" t="n"/>
      <c r="F49" s="30">
        <f>IF(AND(ISNUMBER($D49),ISNUMBER($E49),$E49&gt;0,$D49&lt;=$E49),$D49/$E49,"")</f>
        <v/>
      </c>
      <c r="H49" s="19">
        <f>IFERROR(INDEX($A$14:$A$1213,MATCH(36,$AI$14:$AI$1213,0)),"")</f>
        <v/>
      </c>
      <c r="I49" s="24">
        <f>IF($H49="","",IF(COUNTIFS($A$14:$A$1213,$H49,$C$14:$C$1213,"&gt;=0")=0,"—",IFERROR(INDEX($B$14:$B$1213,MATCH($H49&amp;"|1",$Z$14:$Z$1213,0)),"(tied)")))</f>
        <v/>
      </c>
      <c r="J49" s="25">
        <f>IF($H49="","",IF(OR(COUNTIFS($A$14:$A$1213,$H49,$C$14:$C$1213,"&gt;=0")=0,COUNTIFS($A$14:$A$1213,$H49,$F$14:$F$1213,"&gt;=0")=0),"—",IF(OR(ISERROR(MATCH($H49&amp;"|1",$Z$14:$Z$1213,0)),ISERROR(MATCH($H49&amp;"|1",$AA$14:$AA$1213,0))),"Tie",IF(MATCH($H49&amp;"|1",$Z$14:$Z$1213,0)=MATCH($H49&amp;"|1",$AA$14:$AA$1213,0),"Hit","Miss"))))</f>
        <v/>
      </c>
      <c r="K49" s="24">
        <f>IF($H49="","",IF(COUNTIFS($A$14:$A$1213,$H49,$F$14:$F$1213,"&gt;=0")=0,"—",IFERROR(INDEX($B$14:$B$1213,MATCH($H49&amp;"|1",$AA$14:$AA$1213,0)),"(tied)")))</f>
        <v/>
      </c>
      <c r="L49" s="25">
        <f>IF($H49="","",IF((--(COUNTIFS($A$14:$A$1213,$H49,$P$14:$P$1213,"&gt;=0")&gt;0)+--(COUNTIFS($A$14:$A$1213,$H49,$Q$14:$Q$1213,"&gt;=0")&gt;0)+--(COUNTIFS($A$14:$A$1213,$H49,$R$14:$R$1213,"&gt;=0")&gt;0)+--(COUNTIFS($A$14:$A$1213,$H49,$S$14:$S$1213,"&gt;=0")&gt;0)+--(COUNTIFS($A$14:$A$1213,$H49,$T$14:$T$1213,"&gt;=0")&gt;0))&lt;2,"—",IF(SUMIFS($AH$14:$AH$1213,$A$14:$A$1213,$H49)=0,"Yes","No")))</f>
        <v/>
      </c>
      <c r="M49" s="25">
        <f>IF($H49="","",IF(COUNTIFS($A$14:$A$1213,$H49,$F$14:$F$1213,"&gt;=0")&lt;2,"—",IF(COUNTIFS($A$14:$A$1213,$H49,$F$14:$F$1213,_xlfn.MAXIFS($F$14:$F$1213,$A$14:$A$1213,$H49))&gt;1,"No",IF(NOT(ISNUMBER($AN49)),"—",IF((2*(1-NORMSDIST(ABS($AN49))))&lt;0.05,"Yes","No")))))</f>
        <v/>
      </c>
      <c r="N49" s="21">
        <f>IF($H49="","",IF(NOT(ISNUMBER($AN49)),"—",IF((2*(1-NORMSDIST(ABS($AN49))))&lt;0.001,"&lt;0.001",TEXT((2*(1-NORMSDIST(ABS($AN49)))),"0.000"))))</f>
        <v/>
      </c>
      <c r="P49" s="26" t="n"/>
      <c r="Q49" s="26" t="n"/>
      <c r="R49" s="26" t="n"/>
      <c r="S49" s="26" t="n"/>
      <c r="T49" s="26" t="n"/>
      <c r="V49" s="27">
        <f>IF(ISNUMBER($C49),COUNTIFS($A$14:$A$1213,$A49,$C$14:$C$1213,"&gt;"&amp;$C49)+(COUNTIFS($A$14:$A$1213,$A49,$C$14:$C$1213,"="&amp;$C49)+1)/2,"")</f>
        <v/>
      </c>
      <c r="W49" s="27">
        <f>IF(ISNUMBER($F49),COUNTIFS($A$14:$A$1213,$A49,$F$14:$F$1213,"&gt;"&amp;$F49)+(COUNTIFS($A$14:$A$1213,$A49,$F$14:$F$1213,"="&amp;$F49)+1)/2,"")</f>
        <v/>
      </c>
      <c r="X49" s="27">
        <f>IF(OR(NOT(ISNUMBER($V49)),$AO49=1),"",$V49-(COUNTIFS($A$14:$A$1213,$A49,$C$14:$C$1213,"&gt;=0")+1)/2)</f>
        <v/>
      </c>
      <c r="Y49" s="27">
        <f>IF(OR(NOT(ISNUMBER($W49)),$AO49=1),"",$W49-(COUNTIFS($A$14:$A$1213,$A49,$F$14:$F$1213,"&gt;=0")+1)/2)</f>
        <v/>
      </c>
      <c r="Z49" s="27">
        <f>IF(ISNUMBER($V49),$A49&amp;"|"&amp;$V49,"")</f>
        <v/>
      </c>
      <c r="AA49" s="27">
        <f>IF(ISNUMBER($W49),$A49&amp;"|"&amp;$W49,"")</f>
        <v/>
      </c>
      <c r="AB49" s="27">
        <f>IF(ISNUMBER($F49),$A49&amp;"|"&amp;$F49,"")</f>
        <v/>
      </c>
      <c r="AC49" s="27">
        <f>IF(ISNUMBER($P49),COUNTIFS($A$14:$A$1213,$A49,$P$14:$P$1213,"&gt;"&amp;$P49)+(COUNTIFS($A$14:$A$1213,$A49,$P$14:$P$1213,"="&amp;$P49)+1)/2,"")</f>
        <v/>
      </c>
      <c r="AD49" s="27">
        <f>IF(ISNUMBER($Q49),COUNTIFS($A$14:$A$1213,$A49,$Q$14:$Q$1213,"&gt;"&amp;$Q49)+(COUNTIFS($A$14:$A$1213,$A49,$Q$14:$Q$1213,"="&amp;$Q49)+1)/2,"")</f>
        <v/>
      </c>
      <c r="AE49" s="27">
        <f>IF(ISNUMBER($R49),COUNTIFS($A$14:$A$1213,$A49,$R$14:$R$1213,"&gt;"&amp;$R49)+(COUNTIFS($A$14:$A$1213,$A49,$R$14:$R$1213,"="&amp;$R49)+1)/2,"")</f>
        <v/>
      </c>
      <c r="AF49" s="27">
        <f>IF(ISNUMBER($S49),COUNTIFS($A$14:$A$1213,$A49,$S$14:$S$1213,"&gt;"&amp;$S49)+(COUNTIFS($A$14:$A$1213,$A49,$S$14:$S$1213,"="&amp;$S49)+1)/2,"")</f>
        <v/>
      </c>
      <c r="AG49" s="27">
        <f>IF(ISNUMBER($T49),COUNTIFS($A$14:$A$1213,$A49,$T$14:$T$1213,"&gt;"&amp;$T49)+(COUNTIFS($A$14:$A$1213,$A49,$T$14:$T$1213,"="&amp;$T49)+1)/2,"")</f>
        <v/>
      </c>
      <c r="AH49" s="27">
        <f>IF(COUNT($AC49:$AG49)&lt;2,"",IF(MAX($AC49:$AG49)=MIN($AC49:$AG49),0,1))</f>
        <v/>
      </c>
      <c r="AI49" s="27">
        <f>IF($A49="","",IF(COUNTIF($A$14:$A49,$A49)=1,COUNTIF($AI$13:AI48,"&gt;0")+1,""))</f>
        <v/>
      </c>
      <c r="AJ49" s="27">
        <f>IF(OR($H49="",COUNTIFS($A$14:$A$1213,$H49,$F$14:$F$1213,"&gt;=0")&lt;2,COUNTIFS($A$14:$A$1213,$H49,$F$14:$F$1213,_xlfn.MAXIFS($F$14:$F$1213,$A$14:$A$1213,$H49))&gt;1),"",IFERROR(INDEX($D$14:$D$1213,MATCH($H49&amp;"|"&amp;_xlfn.MAXIFS($F$14:$F$1213,$A$14:$A$1213,$H49),$AB$14:$AB$1213,0)),""))</f>
        <v/>
      </c>
      <c r="AK49" s="27">
        <f>IF(OR($H49="",COUNTIFS($A$14:$A$1213,$H49,$F$14:$F$1213,"&gt;=0")&lt;2,COUNTIFS($A$14:$A$1213,$H49,$F$14:$F$1213,_xlfn.MAXIFS($F$14:$F$1213,$A$14:$A$1213,$H49))&gt;1),"",IFERROR(INDEX($E$14:$E$1213,MATCH($H49&amp;"|"&amp;_xlfn.MAXIFS($F$14:$F$1213,$A$14:$A$1213,$H49),$AB$14:$AB$1213,0)),""))</f>
        <v/>
      </c>
      <c r="AL49" s="27">
        <f>IF(OR($H49="",COUNTIFS($A$14:$A$1213,$H49,$F$14:$F$1213,"&gt;=0")&lt;2,COUNTIFS($A$14:$A$1213,$H49,$F$14:$F$1213,_xlfn.MAXIFS($F$14:$F$1213,$A$14:$A$1213,$H49))&gt;1),"",IFERROR(INDEX($D$14:$D$1213,MATCH($H49&amp;"|"&amp;_xlfn.MAXIFS($F$14:$F$1213,$A$14:$A$1213,$H49,$F$14:$F$1213,"&lt;"&amp;_xlfn.MAXIFS($F$14:$F$1213,$A$14:$A$1213,$H49)),$AB$14:$AB$1213,0)),""))</f>
        <v/>
      </c>
      <c r="AM49" s="27">
        <f>IF(OR($H49="",COUNTIFS($A$14:$A$1213,$H49,$F$14:$F$1213,"&gt;=0")&lt;2,COUNTIFS($A$14:$A$1213,$H49,$F$14:$F$1213,_xlfn.MAXIFS($F$14:$F$1213,$A$14:$A$1213,$H49))&gt;1),"",IFERROR(INDEX($E$14:$E$1213,MATCH($H49&amp;"|"&amp;_xlfn.MAXIFS($F$14:$F$1213,$A$14:$A$1213,$H49,$F$14:$F$1213,"&lt;"&amp;_xlfn.MAXIFS($F$14:$F$1213,$A$14:$A$1213,$H49)),$AB$14:$AB$1213,0)),""))</f>
        <v/>
      </c>
      <c r="AN49" s="27">
        <f>IF(OR(NOT(ISNUMBER($AJ49)),NOT(ISNUMBER($AL49)),$AK49=0,$AM49=0),"",IF(OR((($AJ49+$AL49)/($AK49+$AM49))&lt;=0,(($AJ49+$AL49)/($AK49+$AM49))&gt;=1),"",($AJ49/$AK49-$AL49/$AM49)/SQRT((($AJ49+$AL49)/($AK49+$AM49))*(1-(($AJ49+$AL49)/($AK49+$AM49)))*(1/$AK49+1/$AM49))))</f>
        <v/>
      </c>
      <c r="AO49" s="27">
        <f>IF($A49="","",IF(AND(COUNTIFS($A$14:$A$1213,$A49,$F$14:$F$1213,"&gt;=0")=2,IFERROR(INDEX($M$14:$M$313,MATCH($A49,$H$14:$H$313,0)),"Yes")&lt;&gt;"Yes"),1,0))</f>
        <v/>
      </c>
    </row>
    <row r="50" ht="24" customHeight="1">
      <c r="A50" s="19">
        <f>IF('Enter messages'!A50="","",'Enter messages'!A50)</f>
        <v/>
      </c>
      <c r="B50" s="20">
        <f>IF('Enter messages'!B50="","",'Enter messages'!B50)</f>
        <v/>
      </c>
      <c r="C50" s="21">
        <f>IFERROR(AVERAGE(P50:T50),"")</f>
        <v/>
      </c>
      <c r="D50" s="29" t="n"/>
      <c r="E50" s="29" t="n"/>
      <c r="F50" s="30">
        <f>IF(AND(ISNUMBER($D50),ISNUMBER($E50),$E50&gt;0,$D50&lt;=$E50),$D50/$E50,"")</f>
        <v/>
      </c>
      <c r="H50" s="19">
        <f>IFERROR(INDEX($A$14:$A$1213,MATCH(37,$AI$14:$AI$1213,0)),"")</f>
        <v/>
      </c>
      <c r="I50" s="24">
        <f>IF($H50="","",IF(COUNTIFS($A$14:$A$1213,$H50,$C$14:$C$1213,"&gt;=0")=0,"—",IFERROR(INDEX($B$14:$B$1213,MATCH($H50&amp;"|1",$Z$14:$Z$1213,0)),"(tied)")))</f>
        <v/>
      </c>
      <c r="J50" s="25">
        <f>IF($H50="","",IF(OR(COUNTIFS($A$14:$A$1213,$H50,$C$14:$C$1213,"&gt;=0")=0,COUNTIFS($A$14:$A$1213,$H50,$F$14:$F$1213,"&gt;=0")=0),"—",IF(OR(ISERROR(MATCH($H50&amp;"|1",$Z$14:$Z$1213,0)),ISERROR(MATCH($H50&amp;"|1",$AA$14:$AA$1213,0))),"Tie",IF(MATCH($H50&amp;"|1",$Z$14:$Z$1213,0)=MATCH($H50&amp;"|1",$AA$14:$AA$1213,0),"Hit","Miss"))))</f>
        <v/>
      </c>
      <c r="K50" s="24">
        <f>IF($H50="","",IF(COUNTIFS($A$14:$A$1213,$H50,$F$14:$F$1213,"&gt;=0")=0,"—",IFERROR(INDEX($B$14:$B$1213,MATCH($H50&amp;"|1",$AA$14:$AA$1213,0)),"(tied)")))</f>
        <v/>
      </c>
      <c r="L50" s="25">
        <f>IF($H50="","",IF((--(COUNTIFS($A$14:$A$1213,$H50,$P$14:$P$1213,"&gt;=0")&gt;0)+--(COUNTIFS($A$14:$A$1213,$H50,$Q$14:$Q$1213,"&gt;=0")&gt;0)+--(COUNTIFS($A$14:$A$1213,$H50,$R$14:$R$1213,"&gt;=0")&gt;0)+--(COUNTIFS($A$14:$A$1213,$H50,$S$14:$S$1213,"&gt;=0")&gt;0)+--(COUNTIFS($A$14:$A$1213,$H50,$T$14:$T$1213,"&gt;=0")&gt;0))&lt;2,"—",IF(SUMIFS($AH$14:$AH$1213,$A$14:$A$1213,$H50)=0,"Yes","No")))</f>
        <v/>
      </c>
      <c r="M50" s="25">
        <f>IF($H50="","",IF(COUNTIFS($A$14:$A$1213,$H50,$F$14:$F$1213,"&gt;=0")&lt;2,"—",IF(COUNTIFS($A$14:$A$1213,$H50,$F$14:$F$1213,_xlfn.MAXIFS($F$14:$F$1213,$A$14:$A$1213,$H50))&gt;1,"No",IF(NOT(ISNUMBER($AN50)),"—",IF((2*(1-NORMSDIST(ABS($AN50))))&lt;0.05,"Yes","No")))))</f>
        <v/>
      </c>
      <c r="N50" s="21">
        <f>IF($H50="","",IF(NOT(ISNUMBER($AN50)),"—",IF((2*(1-NORMSDIST(ABS($AN50))))&lt;0.001,"&lt;0.001",TEXT((2*(1-NORMSDIST(ABS($AN50)))),"0.000"))))</f>
        <v/>
      </c>
      <c r="P50" s="26" t="n"/>
      <c r="Q50" s="26" t="n"/>
      <c r="R50" s="26" t="n"/>
      <c r="S50" s="26" t="n"/>
      <c r="T50" s="26" t="n"/>
      <c r="V50" s="27">
        <f>IF(ISNUMBER($C50),COUNTIFS($A$14:$A$1213,$A50,$C$14:$C$1213,"&gt;"&amp;$C50)+(COUNTIFS($A$14:$A$1213,$A50,$C$14:$C$1213,"="&amp;$C50)+1)/2,"")</f>
        <v/>
      </c>
      <c r="W50" s="27">
        <f>IF(ISNUMBER($F50),COUNTIFS($A$14:$A$1213,$A50,$F$14:$F$1213,"&gt;"&amp;$F50)+(COUNTIFS($A$14:$A$1213,$A50,$F$14:$F$1213,"="&amp;$F50)+1)/2,"")</f>
        <v/>
      </c>
      <c r="X50" s="27">
        <f>IF(OR(NOT(ISNUMBER($V50)),$AO50=1),"",$V50-(COUNTIFS($A$14:$A$1213,$A50,$C$14:$C$1213,"&gt;=0")+1)/2)</f>
        <v/>
      </c>
      <c r="Y50" s="27">
        <f>IF(OR(NOT(ISNUMBER($W50)),$AO50=1),"",$W50-(COUNTIFS($A$14:$A$1213,$A50,$F$14:$F$1213,"&gt;=0")+1)/2)</f>
        <v/>
      </c>
      <c r="Z50" s="27">
        <f>IF(ISNUMBER($V50),$A50&amp;"|"&amp;$V50,"")</f>
        <v/>
      </c>
      <c r="AA50" s="27">
        <f>IF(ISNUMBER($W50),$A50&amp;"|"&amp;$W50,"")</f>
        <v/>
      </c>
      <c r="AB50" s="27">
        <f>IF(ISNUMBER($F50),$A50&amp;"|"&amp;$F50,"")</f>
        <v/>
      </c>
      <c r="AC50" s="27">
        <f>IF(ISNUMBER($P50),COUNTIFS($A$14:$A$1213,$A50,$P$14:$P$1213,"&gt;"&amp;$P50)+(COUNTIFS($A$14:$A$1213,$A50,$P$14:$P$1213,"="&amp;$P50)+1)/2,"")</f>
        <v/>
      </c>
      <c r="AD50" s="27">
        <f>IF(ISNUMBER($Q50),COUNTIFS($A$14:$A$1213,$A50,$Q$14:$Q$1213,"&gt;"&amp;$Q50)+(COUNTIFS($A$14:$A$1213,$A50,$Q$14:$Q$1213,"="&amp;$Q50)+1)/2,"")</f>
        <v/>
      </c>
      <c r="AE50" s="27">
        <f>IF(ISNUMBER($R50),COUNTIFS($A$14:$A$1213,$A50,$R$14:$R$1213,"&gt;"&amp;$R50)+(COUNTIFS($A$14:$A$1213,$A50,$R$14:$R$1213,"="&amp;$R50)+1)/2,"")</f>
        <v/>
      </c>
      <c r="AF50" s="27">
        <f>IF(ISNUMBER($S50),COUNTIFS($A$14:$A$1213,$A50,$S$14:$S$1213,"&gt;"&amp;$S50)+(COUNTIFS($A$14:$A$1213,$A50,$S$14:$S$1213,"="&amp;$S50)+1)/2,"")</f>
        <v/>
      </c>
      <c r="AG50" s="27">
        <f>IF(ISNUMBER($T50),COUNTIFS($A$14:$A$1213,$A50,$T$14:$T$1213,"&gt;"&amp;$T50)+(COUNTIFS($A$14:$A$1213,$A50,$T$14:$T$1213,"="&amp;$T50)+1)/2,"")</f>
        <v/>
      </c>
      <c r="AH50" s="27">
        <f>IF(COUNT($AC50:$AG50)&lt;2,"",IF(MAX($AC50:$AG50)=MIN($AC50:$AG50),0,1))</f>
        <v/>
      </c>
      <c r="AI50" s="27">
        <f>IF($A50="","",IF(COUNTIF($A$14:$A50,$A50)=1,COUNTIF($AI$13:AI49,"&gt;0")+1,""))</f>
        <v/>
      </c>
      <c r="AJ50" s="27">
        <f>IF(OR($H50="",COUNTIFS($A$14:$A$1213,$H50,$F$14:$F$1213,"&gt;=0")&lt;2,COUNTIFS($A$14:$A$1213,$H50,$F$14:$F$1213,_xlfn.MAXIFS($F$14:$F$1213,$A$14:$A$1213,$H50))&gt;1),"",IFERROR(INDEX($D$14:$D$1213,MATCH($H50&amp;"|"&amp;_xlfn.MAXIFS($F$14:$F$1213,$A$14:$A$1213,$H50),$AB$14:$AB$1213,0)),""))</f>
        <v/>
      </c>
      <c r="AK50" s="27">
        <f>IF(OR($H50="",COUNTIFS($A$14:$A$1213,$H50,$F$14:$F$1213,"&gt;=0")&lt;2,COUNTIFS($A$14:$A$1213,$H50,$F$14:$F$1213,_xlfn.MAXIFS($F$14:$F$1213,$A$14:$A$1213,$H50))&gt;1),"",IFERROR(INDEX($E$14:$E$1213,MATCH($H50&amp;"|"&amp;_xlfn.MAXIFS($F$14:$F$1213,$A$14:$A$1213,$H50),$AB$14:$AB$1213,0)),""))</f>
        <v/>
      </c>
      <c r="AL50" s="27">
        <f>IF(OR($H50="",COUNTIFS($A$14:$A$1213,$H50,$F$14:$F$1213,"&gt;=0")&lt;2,COUNTIFS($A$14:$A$1213,$H50,$F$14:$F$1213,_xlfn.MAXIFS($F$14:$F$1213,$A$14:$A$1213,$H50))&gt;1),"",IFERROR(INDEX($D$14:$D$1213,MATCH($H50&amp;"|"&amp;_xlfn.MAXIFS($F$14:$F$1213,$A$14:$A$1213,$H50,$F$14:$F$1213,"&lt;"&amp;_xlfn.MAXIFS($F$14:$F$1213,$A$14:$A$1213,$H50)),$AB$14:$AB$1213,0)),""))</f>
        <v/>
      </c>
      <c r="AM50" s="27">
        <f>IF(OR($H50="",COUNTIFS($A$14:$A$1213,$H50,$F$14:$F$1213,"&gt;=0")&lt;2,COUNTIFS($A$14:$A$1213,$H50,$F$14:$F$1213,_xlfn.MAXIFS($F$14:$F$1213,$A$14:$A$1213,$H50))&gt;1),"",IFERROR(INDEX($E$14:$E$1213,MATCH($H50&amp;"|"&amp;_xlfn.MAXIFS($F$14:$F$1213,$A$14:$A$1213,$H50,$F$14:$F$1213,"&lt;"&amp;_xlfn.MAXIFS($F$14:$F$1213,$A$14:$A$1213,$H50)),$AB$14:$AB$1213,0)),""))</f>
        <v/>
      </c>
      <c r="AN50" s="27">
        <f>IF(OR(NOT(ISNUMBER($AJ50)),NOT(ISNUMBER($AL50)),$AK50=0,$AM50=0),"",IF(OR((($AJ50+$AL50)/($AK50+$AM50))&lt;=0,(($AJ50+$AL50)/($AK50+$AM50))&gt;=1),"",($AJ50/$AK50-$AL50/$AM50)/SQRT((($AJ50+$AL50)/($AK50+$AM50))*(1-(($AJ50+$AL50)/($AK50+$AM50)))*(1/$AK50+1/$AM50))))</f>
        <v/>
      </c>
      <c r="AO50" s="27">
        <f>IF($A50="","",IF(AND(COUNTIFS($A$14:$A$1213,$A50,$F$14:$F$1213,"&gt;=0")=2,IFERROR(INDEX($M$14:$M$313,MATCH($A50,$H$14:$H$313,0)),"Yes")&lt;&gt;"Yes"),1,0))</f>
        <v/>
      </c>
    </row>
    <row r="51" ht="24" customHeight="1">
      <c r="A51" s="19">
        <f>IF('Enter messages'!A51="","",'Enter messages'!A51)</f>
        <v/>
      </c>
      <c r="B51" s="20">
        <f>IF('Enter messages'!B51="","",'Enter messages'!B51)</f>
        <v/>
      </c>
      <c r="C51" s="21">
        <f>IFERROR(AVERAGE(P51:T51),"")</f>
        <v/>
      </c>
      <c r="D51" s="29" t="n"/>
      <c r="E51" s="29" t="n"/>
      <c r="F51" s="30">
        <f>IF(AND(ISNUMBER($D51),ISNUMBER($E51),$E51&gt;0,$D51&lt;=$E51),$D51/$E51,"")</f>
        <v/>
      </c>
      <c r="H51" s="19">
        <f>IFERROR(INDEX($A$14:$A$1213,MATCH(38,$AI$14:$AI$1213,0)),"")</f>
        <v/>
      </c>
      <c r="I51" s="24">
        <f>IF($H51="","",IF(COUNTIFS($A$14:$A$1213,$H51,$C$14:$C$1213,"&gt;=0")=0,"—",IFERROR(INDEX($B$14:$B$1213,MATCH($H51&amp;"|1",$Z$14:$Z$1213,0)),"(tied)")))</f>
        <v/>
      </c>
      <c r="J51" s="25">
        <f>IF($H51="","",IF(OR(COUNTIFS($A$14:$A$1213,$H51,$C$14:$C$1213,"&gt;=0")=0,COUNTIFS($A$14:$A$1213,$H51,$F$14:$F$1213,"&gt;=0")=0),"—",IF(OR(ISERROR(MATCH($H51&amp;"|1",$Z$14:$Z$1213,0)),ISERROR(MATCH($H51&amp;"|1",$AA$14:$AA$1213,0))),"Tie",IF(MATCH($H51&amp;"|1",$Z$14:$Z$1213,0)=MATCH($H51&amp;"|1",$AA$14:$AA$1213,0),"Hit","Miss"))))</f>
        <v/>
      </c>
      <c r="K51" s="24">
        <f>IF($H51="","",IF(COUNTIFS($A$14:$A$1213,$H51,$F$14:$F$1213,"&gt;=0")=0,"—",IFERROR(INDEX($B$14:$B$1213,MATCH($H51&amp;"|1",$AA$14:$AA$1213,0)),"(tied)")))</f>
        <v/>
      </c>
      <c r="L51" s="25">
        <f>IF($H51="","",IF((--(COUNTIFS($A$14:$A$1213,$H51,$P$14:$P$1213,"&gt;=0")&gt;0)+--(COUNTIFS($A$14:$A$1213,$H51,$Q$14:$Q$1213,"&gt;=0")&gt;0)+--(COUNTIFS($A$14:$A$1213,$H51,$R$14:$R$1213,"&gt;=0")&gt;0)+--(COUNTIFS($A$14:$A$1213,$H51,$S$14:$S$1213,"&gt;=0")&gt;0)+--(COUNTIFS($A$14:$A$1213,$H51,$T$14:$T$1213,"&gt;=0")&gt;0))&lt;2,"—",IF(SUMIFS($AH$14:$AH$1213,$A$14:$A$1213,$H51)=0,"Yes","No")))</f>
        <v/>
      </c>
      <c r="M51" s="25">
        <f>IF($H51="","",IF(COUNTIFS($A$14:$A$1213,$H51,$F$14:$F$1213,"&gt;=0")&lt;2,"—",IF(COUNTIFS($A$14:$A$1213,$H51,$F$14:$F$1213,_xlfn.MAXIFS($F$14:$F$1213,$A$14:$A$1213,$H51))&gt;1,"No",IF(NOT(ISNUMBER($AN51)),"—",IF((2*(1-NORMSDIST(ABS($AN51))))&lt;0.05,"Yes","No")))))</f>
        <v/>
      </c>
      <c r="N51" s="21">
        <f>IF($H51="","",IF(NOT(ISNUMBER($AN51)),"—",IF((2*(1-NORMSDIST(ABS($AN51))))&lt;0.001,"&lt;0.001",TEXT((2*(1-NORMSDIST(ABS($AN51)))),"0.000"))))</f>
        <v/>
      </c>
      <c r="P51" s="26" t="n"/>
      <c r="Q51" s="26" t="n"/>
      <c r="R51" s="26" t="n"/>
      <c r="S51" s="26" t="n"/>
      <c r="T51" s="26" t="n"/>
      <c r="V51" s="27">
        <f>IF(ISNUMBER($C51),COUNTIFS($A$14:$A$1213,$A51,$C$14:$C$1213,"&gt;"&amp;$C51)+(COUNTIFS($A$14:$A$1213,$A51,$C$14:$C$1213,"="&amp;$C51)+1)/2,"")</f>
        <v/>
      </c>
      <c r="W51" s="27">
        <f>IF(ISNUMBER($F51),COUNTIFS($A$14:$A$1213,$A51,$F$14:$F$1213,"&gt;"&amp;$F51)+(COUNTIFS($A$14:$A$1213,$A51,$F$14:$F$1213,"="&amp;$F51)+1)/2,"")</f>
        <v/>
      </c>
      <c r="X51" s="27">
        <f>IF(OR(NOT(ISNUMBER($V51)),$AO51=1),"",$V51-(COUNTIFS($A$14:$A$1213,$A51,$C$14:$C$1213,"&gt;=0")+1)/2)</f>
        <v/>
      </c>
      <c r="Y51" s="27">
        <f>IF(OR(NOT(ISNUMBER($W51)),$AO51=1),"",$W51-(COUNTIFS($A$14:$A$1213,$A51,$F$14:$F$1213,"&gt;=0")+1)/2)</f>
        <v/>
      </c>
      <c r="Z51" s="27">
        <f>IF(ISNUMBER($V51),$A51&amp;"|"&amp;$V51,"")</f>
        <v/>
      </c>
      <c r="AA51" s="27">
        <f>IF(ISNUMBER($W51),$A51&amp;"|"&amp;$W51,"")</f>
        <v/>
      </c>
      <c r="AB51" s="27">
        <f>IF(ISNUMBER($F51),$A51&amp;"|"&amp;$F51,"")</f>
        <v/>
      </c>
      <c r="AC51" s="27">
        <f>IF(ISNUMBER($P51),COUNTIFS($A$14:$A$1213,$A51,$P$14:$P$1213,"&gt;"&amp;$P51)+(COUNTIFS($A$14:$A$1213,$A51,$P$14:$P$1213,"="&amp;$P51)+1)/2,"")</f>
        <v/>
      </c>
      <c r="AD51" s="27">
        <f>IF(ISNUMBER($Q51),COUNTIFS($A$14:$A$1213,$A51,$Q$14:$Q$1213,"&gt;"&amp;$Q51)+(COUNTIFS($A$14:$A$1213,$A51,$Q$14:$Q$1213,"="&amp;$Q51)+1)/2,"")</f>
        <v/>
      </c>
      <c r="AE51" s="27">
        <f>IF(ISNUMBER($R51),COUNTIFS($A$14:$A$1213,$A51,$R$14:$R$1213,"&gt;"&amp;$R51)+(COUNTIFS($A$14:$A$1213,$A51,$R$14:$R$1213,"="&amp;$R51)+1)/2,"")</f>
        <v/>
      </c>
      <c r="AF51" s="27">
        <f>IF(ISNUMBER($S51),COUNTIFS($A$14:$A$1213,$A51,$S$14:$S$1213,"&gt;"&amp;$S51)+(COUNTIFS($A$14:$A$1213,$A51,$S$14:$S$1213,"="&amp;$S51)+1)/2,"")</f>
        <v/>
      </c>
      <c r="AG51" s="27">
        <f>IF(ISNUMBER($T51),COUNTIFS($A$14:$A$1213,$A51,$T$14:$T$1213,"&gt;"&amp;$T51)+(COUNTIFS($A$14:$A$1213,$A51,$T$14:$T$1213,"="&amp;$T51)+1)/2,"")</f>
        <v/>
      </c>
      <c r="AH51" s="27">
        <f>IF(COUNT($AC51:$AG51)&lt;2,"",IF(MAX($AC51:$AG51)=MIN($AC51:$AG51),0,1))</f>
        <v/>
      </c>
      <c r="AI51" s="27">
        <f>IF($A51="","",IF(COUNTIF($A$14:$A51,$A51)=1,COUNTIF($AI$13:AI50,"&gt;0")+1,""))</f>
        <v/>
      </c>
      <c r="AJ51" s="27">
        <f>IF(OR($H51="",COUNTIFS($A$14:$A$1213,$H51,$F$14:$F$1213,"&gt;=0")&lt;2,COUNTIFS($A$14:$A$1213,$H51,$F$14:$F$1213,_xlfn.MAXIFS($F$14:$F$1213,$A$14:$A$1213,$H51))&gt;1),"",IFERROR(INDEX($D$14:$D$1213,MATCH($H51&amp;"|"&amp;_xlfn.MAXIFS($F$14:$F$1213,$A$14:$A$1213,$H51),$AB$14:$AB$1213,0)),""))</f>
        <v/>
      </c>
      <c r="AK51" s="27">
        <f>IF(OR($H51="",COUNTIFS($A$14:$A$1213,$H51,$F$14:$F$1213,"&gt;=0")&lt;2,COUNTIFS($A$14:$A$1213,$H51,$F$14:$F$1213,_xlfn.MAXIFS($F$14:$F$1213,$A$14:$A$1213,$H51))&gt;1),"",IFERROR(INDEX($E$14:$E$1213,MATCH($H51&amp;"|"&amp;_xlfn.MAXIFS($F$14:$F$1213,$A$14:$A$1213,$H51),$AB$14:$AB$1213,0)),""))</f>
        <v/>
      </c>
      <c r="AL51" s="27">
        <f>IF(OR($H51="",COUNTIFS($A$14:$A$1213,$H51,$F$14:$F$1213,"&gt;=0")&lt;2,COUNTIFS($A$14:$A$1213,$H51,$F$14:$F$1213,_xlfn.MAXIFS($F$14:$F$1213,$A$14:$A$1213,$H51))&gt;1),"",IFERROR(INDEX($D$14:$D$1213,MATCH($H51&amp;"|"&amp;_xlfn.MAXIFS($F$14:$F$1213,$A$14:$A$1213,$H51,$F$14:$F$1213,"&lt;"&amp;_xlfn.MAXIFS($F$14:$F$1213,$A$14:$A$1213,$H51)),$AB$14:$AB$1213,0)),""))</f>
        <v/>
      </c>
      <c r="AM51" s="27">
        <f>IF(OR($H51="",COUNTIFS($A$14:$A$1213,$H51,$F$14:$F$1213,"&gt;=0")&lt;2,COUNTIFS($A$14:$A$1213,$H51,$F$14:$F$1213,_xlfn.MAXIFS($F$14:$F$1213,$A$14:$A$1213,$H51))&gt;1),"",IFERROR(INDEX($E$14:$E$1213,MATCH($H51&amp;"|"&amp;_xlfn.MAXIFS($F$14:$F$1213,$A$14:$A$1213,$H51,$F$14:$F$1213,"&lt;"&amp;_xlfn.MAXIFS($F$14:$F$1213,$A$14:$A$1213,$H51)),$AB$14:$AB$1213,0)),""))</f>
        <v/>
      </c>
      <c r="AN51" s="27">
        <f>IF(OR(NOT(ISNUMBER($AJ51)),NOT(ISNUMBER($AL51)),$AK51=0,$AM51=0),"",IF(OR((($AJ51+$AL51)/($AK51+$AM51))&lt;=0,(($AJ51+$AL51)/($AK51+$AM51))&gt;=1),"",($AJ51/$AK51-$AL51/$AM51)/SQRT((($AJ51+$AL51)/($AK51+$AM51))*(1-(($AJ51+$AL51)/($AK51+$AM51)))*(1/$AK51+1/$AM51))))</f>
        <v/>
      </c>
      <c r="AO51" s="27">
        <f>IF($A51="","",IF(AND(COUNTIFS($A$14:$A$1213,$A51,$F$14:$F$1213,"&gt;=0")=2,IFERROR(INDEX($M$14:$M$313,MATCH($A51,$H$14:$H$313,0)),"Yes")&lt;&gt;"Yes"),1,0))</f>
        <v/>
      </c>
    </row>
    <row r="52" ht="24" customHeight="1">
      <c r="A52" s="19">
        <f>IF('Enter messages'!A52="","",'Enter messages'!A52)</f>
        <v/>
      </c>
      <c r="B52" s="20">
        <f>IF('Enter messages'!B52="","",'Enter messages'!B52)</f>
        <v/>
      </c>
      <c r="C52" s="21">
        <f>IFERROR(AVERAGE(P52:T52),"")</f>
        <v/>
      </c>
      <c r="D52" s="29" t="n"/>
      <c r="E52" s="29" t="n"/>
      <c r="F52" s="30">
        <f>IF(AND(ISNUMBER($D52),ISNUMBER($E52),$E52&gt;0,$D52&lt;=$E52),$D52/$E52,"")</f>
        <v/>
      </c>
      <c r="H52" s="19">
        <f>IFERROR(INDEX($A$14:$A$1213,MATCH(39,$AI$14:$AI$1213,0)),"")</f>
        <v/>
      </c>
      <c r="I52" s="24">
        <f>IF($H52="","",IF(COUNTIFS($A$14:$A$1213,$H52,$C$14:$C$1213,"&gt;=0")=0,"—",IFERROR(INDEX($B$14:$B$1213,MATCH($H52&amp;"|1",$Z$14:$Z$1213,0)),"(tied)")))</f>
        <v/>
      </c>
      <c r="J52" s="25">
        <f>IF($H52="","",IF(OR(COUNTIFS($A$14:$A$1213,$H52,$C$14:$C$1213,"&gt;=0")=0,COUNTIFS($A$14:$A$1213,$H52,$F$14:$F$1213,"&gt;=0")=0),"—",IF(OR(ISERROR(MATCH($H52&amp;"|1",$Z$14:$Z$1213,0)),ISERROR(MATCH($H52&amp;"|1",$AA$14:$AA$1213,0))),"Tie",IF(MATCH($H52&amp;"|1",$Z$14:$Z$1213,0)=MATCH($H52&amp;"|1",$AA$14:$AA$1213,0),"Hit","Miss"))))</f>
        <v/>
      </c>
      <c r="K52" s="24">
        <f>IF($H52="","",IF(COUNTIFS($A$14:$A$1213,$H52,$F$14:$F$1213,"&gt;=0")=0,"—",IFERROR(INDEX($B$14:$B$1213,MATCH($H52&amp;"|1",$AA$14:$AA$1213,0)),"(tied)")))</f>
        <v/>
      </c>
      <c r="L52" s="25">
        <f>IF($H52="","",IF((--(COUNTIFS($A$14:$A$1213,$H52,$P$14:$P$1213,"&gt;=0")&gt;0)+--(COUNTIFS($A$14:$A$1213,$H52,$Q$14:$Q$1213,"&gt;=0")&gt;0)+--(COUNTIFS($A$14:$A$1213,$H52,$R$14:$R$1213,"&gt;=0")&gt;0)+--(COUNTIFS($A$14:$A$1213,$H52,$S$14:$S$1213,"&gt;=0")&gt;0)+--(COUNTIFS($A$14:$A$1213,$H52,$T$14:$T$1213,"&gt;=0")&gt;0))&lt;2,"—",IF(SUMIFS($AH$14:$AH$1213,$A$14:$A$1213,$H52)=0,"Yes","No")))</f>
        <v/>
      </c>
      <c r="M52" s="25">
        <f>IF($H52="","",IF(COUNTIFS($A$14:$A$1213,$H52,$F$14:$F$1213,"&gt;=0")&lt;2,"—",IF(COUNTIFS($A$14:$A$1213,$H52,$F$14:$F$1213,_xlfn.MAXIFS($F$14:$F$1213,$A$14:$A$1213,$H52))&gt;1,"No",IF(NOT(ISNUMBER($AN52)),"—",IF((2*(1-NORMSDIST(ABS($AN52))))&lt;0.05,"Yes","No")))))</f>
        <v/>
      </c>
      <c r="N52" s="21">
        <f>IF($H52="","",IF(NOT(ISNUMBER($AN52)),"—",IF((2*(1-NORMSDIST(ABS($AN52))))&lt;0.001,"&lt;0.001",TEXT((2*(1-NORMSDIST(ABS($AN52)))),"0.000"))))</f>
        <v/>
      </c>
      <c r="P52" s="26" t="n"/>
      <c r="Q52" s="26" t="n"/>
      <c r="R52" s="26" t="n"/>
      <c r="S52" s="26" t="n"/>
      <c r="T52" s="26" t="n"/>
      <c r="V52" s="27">
        <f>IF(ISNUMBER($C52),COUNTIFS($A$14:$A$1213,$A52,$C$14:$C$1213,"&gt;"&amp;$C52)+(COUNTIFS($A$14:$A$1213,$A52,$C$14:$C$1213,"="&amp;$C52)+1)/2,"")</f>
        <v/>
      </c>
      <c r="W52" s="27">
        <f>IF(ISNUMBER($F52),COUNTIFS($A$14:$A$1213,$A52,$F$14:$F$1213,"&gt;"&amp;$F52)+(COUNTIFS($A$14:$A$1213,$A52,$F$14:$F$1213,"="&amp;$F52)+1)/2,"")</f>
        <v/>
      </c>
      <c r="X52" s="27">
        <f>IF(OR(NOT(ISNUMBER($V52)),$AO52=1),"",$V52-(COUNTIFS($A$14:$A$1213,$A52,$C$14:$C$1213,"&gt;=0")+1)/2)</f>
        <v/>
      </c>
      <c r="Y52" s="27">
        <f>IF(OR(NOT(ISNUMBER($W52)),$AO52=1),"",$W52-(COUNTIFS($A$14:$A$1213,$A52,$F$14:$F$1213,"&gt;=0")+1)/2)</f>
        <v/>
      </c>
      <c r="Z52" s="27">
        <f>IF(ISNUMBER($V52),$A52&amp;"|"&amp;$V52,"")</f>
        <v/>
      </c>
      <c r="AA52" s="27">
        <f>IF(ISNUMBER($W52),$A52&amp;"|"&amp;$W52,"")</f>
        <v/>
      </c>
      <c r="AB52" s="27">
        <f>IF(ISNUMBER($F52),$A52&amp;"|"&amp;$F52,"")</f>
        <v/>
      </c>
      <c r="AC52" s="27">
        <f>IF(ISNUMBER($P52),COUNTIFS($A$14:$A$1213,$A52,$P$14:$P$1213,"&gt;"&amp;$P52)+(COUNTIFS($A$14:$A$1213,$A52,$P$14:$P$1213,"="&amp;$P52)+1)/2,"")</f>
        <v/>
      </c>
      <c r="AD52" s="27">
        <f>IF(ISNUMBER($Q52),COUNTIFS($A$14:$A$1213,$A52,$Q$14:$Q$1213,"&gt;"&amp;$Q52)+(COUNTIFS($A$14:$A$1213,$A52,$Q$14:$Q$1213,"="&amp;$Q52)+1)/2,"")</f>
        <v/>
      </c>
      <c r="AE52" s="27">
        <f>IF(ISNUMBER($R52),COUNTIFS($A$14:$A$1213,$A52,$R$14:$R$1213,"&gt;"&amp;$R52)+(COUNTIFS($A$14:$A$1213,$A52,$R$14:$R$1213,"="&amp;$R52)+1)/2,"")</f>
        <v/>
      </c>
      <c r="AF52" s="27">
        <f>IF(ISNUMBER($S52),COUNTIFS($A$14:$A$1213,$A52,$S$14:$S$1213,"&gt;"&amp;$S52)+(COUNTIFS($A$14:$A$1213,$A52,$S$14:$S$1213,"="&amp;$S52)+1)/2,"")</f>
        <v/>
      </c>
      <c r="AG52" s="27">
        <f>IF(ISNUMBER($T52),COUNTIFS($A$14:$A$1213,$A52,$T$14:$T$1213,"&gt;"&amp;$T52)+(COUNTIFS($A$14:$A$1213,$A52,$T$14:$T$1213,"="&amp;$T52)+1)/2,"")</f>
        <v/>
      </c>
      <c r="AH52" s="27">
        <f>IF(COUNT($AC52:$AG52)&lt;2,"",IF(MAX($AC52:$AG52)=MIN($AC52:$AG52),0,1))</f>
        <v/>
      </c>
      <c r="AI52" s="27">
        <f>IF($A52="","",IF(COUNTIF($A$14:$A52,$A52)=1,COUNTIF($AI$13:AI51,"&gt;0")+1,""))</f>
        <v/>
      </c>
      <c r="AJ52" s="27">
        <f>IF(OR($H52="",COUNTIFS($A$14:$A$1213,$H52,$F$14:$F$1213,"&gt;=0")&lt;2,COUNTIFS($A$14:$A$1213,$H52,$F$14:$F$1213,_xlfn.MAXIFS($F$14:$F$1213,$A$14:$A$1213,$H52))&gt;1),"",IFERROR(INDEX($D$14:$D$1213,MATCH($H52&amp;"|"&amp;_xlfn.MAXIFS($F$14:$F$1213,$A$14:$A$1213,$H52),$AB$14:$AB$1213,0)),""))</f>
        <v/>
      </c>
      <c r="AK52" s="27">
        <f>IF(OR($H52="",COUNTIFS($A$14:$A$1213,$H52,$F$14:$F$1213,"&gt;=0")&lt;2,COUNTIFS($A$14:$A$1213,$H52,$F$14:$F$1213,_xlfn.MAXIFS($F$14:$F$1213,$A$14:$A$1213,$H52))&gt;1),"",IFERROR(INDEX($E$14:$E$1213,MATCH($H52&amp;"|"&amp;_xlfn.MAXIFS($F$14:$F$1213,$A$14:$A$1213,$H52),$AB$14:$AB$1213,0)),""))</f>
        <v/>
      </c>
      <c r="AL52" s="27">
        <f>IF(OR($H52="",COUNTIFS($A$14:$A$1213,$H52,$F$14:$F$1213,"&gt;=0")&lt;2,COUNTIFS($A$14:$A$1213,$H52,$F$14:$F$1213,_xlfn.MAXIFS($F$14:$F$1213,$A$14:$A$1213,$H52))&gt;1),"",IFERROR(INDEX($D$14:$D$1213,MATCH($H52&amp;"|"&amp;_xlfn.MAXIFS($F$14:$F$1213,$A$14:$A$1213,$H52,$F$14:$F$1213,"&lt;"&amp;_xlfn.MAXIFS($F$14:$F$1213,$A$14:$A$1213,$H52)),$AB$14:$AB$1213,0)),""))</f>
        <v/>
      </c>
      <c r="AM52" s="27">
        <f>IF(OR($H52="",COUNTIFS($A$14:$A$1213,$H52,$F$14:$F$1213,"&gt;=0")&lt;2,COUNTIFS($A$14:$A$1213,$H52,$F$14:$F$1213,_xlfn.MAXIFS($F$14:$F$1213,$A$14:$A$1213,$H52))&gt;1),"",IFERROR(INDEX($E$14:$E$1213,MATCH($H52&amp;"|"&amp;_xlfn.MAXIFS($F$14:$F$1213,$A$14:$A$1213,$H52,$F$14:$F$1213,"&lt;"&amp;_xlfn.MAXIFS($F$14:$F$1213,$A$14:$A$1213,$H52)),$AB$14:$AB$1213,0)),""))</f>
        <v/>
      </c>
      <c r="AN52" s="27">
        <f>IF(OR(NOT(ISNUMBER($AJ52)),NOT(ISNUMBER($AL52)),$AK52=0,$AM52=0),"",IF(OR((($AJ52+$AL52)/($AK52+$AM52))&lt;=0,(($AJ52+$AL52)/($AK52+$AM52))&gt;=1),"",($AJ52/$AK52-$AL52/$AM52)/SQRT((($AJ52+$AL52)/($AK52+$AM52))*(1-(($AJ52+$AL52)/($AK52+$AM52)))*(1/$AK52+1/$AM52))))</f>
        <v/>
      </c>
      <c r="AO52" s="27">
        <f>IF($A52="","",IF(AND(COUNTIFS($A$14:$A$1213,$A52,$F$14:$F$1213,"&gt;=0")=2,IFERROR(INDEX($M$14:$M$313,MATCH($A52,$H$14:$H$313,0)),"Yes")&lt;&gt;"Yes"),1,0))</f>
        <v/>
      </c>
    </row>
    <row r="53" ht="24" customHeight="1">
      <c r="A53" s="19">
        <f>IF('Enter messages'!A53="","",'Enter messages'!A53)</f>
        <v/>
      </c>
      <c r="B53" s="20">
        <f>IF('Enter messages'!B53="","",'Enter messages'!B53)</f>
        <v/>
      </c>
      <c r="C53" s="21">
        <f>IFERROR(AVERAGE(P53:T53),"")</f>
        <v/>
      </c>
      <c r="D53" s="29" t="n"/>
      <c r="E53" s="29" t="n"/>
      <c r="F53" s="30">
        <f>IF(AND(ISNUMBER($D53),ISNUMBER($E53),$E53&gt;0,$D53&lt;=$E53),$D53/$E53,"")</f>
        <v/>
      </c>
      <c r="H53" s="19">
        <f>IFERROR(INDEX($A$14:$A$1213,MATCH(40,$AI$14:$AI$1213,0)),"")</f>
        <v/>
      </c>
      <c r="I53" s="24">
        <f>IF($H53="","",IF(COUNTIFS($A$14:$A$1213,$H53,$C$14:$C$1213,"&gt;=0")=0,"—",IFERROR(INDEX($B$14:$B$1213,MATCH($H53&amp;"|1",$Z$14:$Z$1213,0)),"(tied)")))</f>
        <v/>
      </c>
      <c r="J53" s="25">
        <f>IF($H53="","",IF(OR(COUNTIFS($A$14:$A$1213,$H53,$C$14:$C$1213,"&gt;=0")=0,COUNTIFS($A$14:$A$1213,$H53,$F$14:$F$1213,"&gt;=0")=0),"—",IF(OR(ISERROR(MATCH($H53&amp;"|1",$Z$14:$Z$1213,0)),ISERROR(MATCH($H53&amp;"|1",$AA$14:$AA$1213,0))),"Tie",IF(MATCH($H53&amp;"|1",$Z$14:$Z$1213,0)=MATCH($H53&amp;"|1",$AA$14:$AA$1213,0),"Hit","Miss"))))</f>
        <v/>
      </c>
      <c r="K53" s="24">
        <f>IF($H53="","",IF(COUNTIFS($A$14:$A$1213,$H53,$F$14:$F$1213,"&gt;=0")=0,"—",IFERROR(INDEX($B$14:$B$1213,MATCH($H53&amp;"|1",$AA$14:$AA$1213,0)),"(tied)")))</f>
        <v/>
      </c>
      <c r="L53" s="25">
        <f>IF($H53="","",IF((--(COUNTIFS($A$14:$A$1213,$H53,$P$14:$P$1213,"&gt;=0")&gt;0)+--(COUNTIFS($A$14:$A$1213,$H53,$Q$14:$Q$1213,"&gt;=0")&gt;0)+--(COUNTIFS($A$14:$A$1213,$H53,$R$14:$R$1213,"&gt;=0")&gt;0)+--(COUNTIFS($A$14:$A$1213,$H53,$S$14:$S$1213,"&gt;=0")&gt;0)+--(COUNTIFS($A$14:$A$1213,$H53,$T$14:$T$1213,"&gt;=0")&gt;0))&lt;2,"—",IF(SUMIFS($AH$14:$AH$1213,$A$14:$A$1213,$H53)=0,"Yes","No")))</f>
        <v/>
      </c>
      <c r="M53" s="25">
        <f>IF($H53="","",IF(COUNTIFS($A$14:$A$1213,$H53,$F$14:$F$1213,"&gt;=0")&lt;2,"—",IF(COUNTIFS($A$14:$A$1213,$H53,$F$14:$F$1213,_xlfn.MAXIFS($F$14:$F$1213,$A$14:$A$1213,$H53))&gt;1,"No",IF(NOT(ISNUMBER($AN53)),"—",IF((2*(1-NORMSDIST(ABS($AN53))))&lt;0.05,"Yes","No")))))</f>
        <v/>
      </c>
      <c r="N53" s="21">
        <f>IF($H53="","",IF(NOT(ISNUMBER($AN53)),"—",IF((2*(1-NORMSDIST(ABS($AN53))))&lt;0.001,"&lt;0.001",TEXT((2*(1-NORMSDIST(ABS($AN53)))),"0.000"))))</f>
        <v/>
      </c>
      <c r="P53" s="26" t="n"/>
      <c r="Q53" s="26" t="n"/>
      <c r="R53" s="26" t="n"/>
      <c r="S53" s="26" t="n"/>
      <c r="T53" s="26" t="n"/>
      <c r="V53" s="27">
        <f>IF(ISNUMBER($C53),COUNTIFS($A$14:$A$1213,$A53,$C$14:$C$1213,"&gt;"&amp;$C53)+(COUNTIFS($A$14:$A$1213,$A53,$C$14:$C$1213,"="&amp;$C53)+1)/2,"")</f>
        <v/>
      </c>
      <c r="W53" s="27">
        <f>IF(ISNUMBER($F53),COUNTIFS($A$14:$A$1213,$A53,$F$14:$F$1213,"&gt;"&amp;$F53)+(COUNTIFS($A$14:$A$1213,$A53,$F$14:$F$1213,"="&amp;$F53)+1)/2,"")</f>
        <v/>
      </c>
      <c r="X53" s="27">
        <f>IF(OR(NOT(ISNUMBER($V53)),$AO53=1),"",$V53-(COUNTIFS($A$14:$A$1213,$A53,$C$14:$C$1213,"&gt;=0")+1)/2)</f>
        <v/>
      </c>
      <c r="Y53" s="27">
        <f>IF(OR(NOT(ISNUMBER($W53)),$AO53=1),"",$W53-(COUNTIFS($A$14:$A$1213,$A53,$F$14:$F$1213,"&gt;=0")+1)/2)</f>
        <v/>
      </c>
      <c r="Z53" s="27">
        <f>IF(ISNUMBER($V53),$A53&amp;"|"&amp;$V53,"")</f>
        <v/>
      </c>
      <c r="AA53" s="27">
        <f>IF(ISNUMBER($W53),$A53&amp;"|"&amp;$W53,"")</f>
        <v/>
      </c>
      <c r="AB53" s="27">
        <f>IF(ISNUMBER($F53),$A53&amp;"|"&amp;$F53,"")</f>
        <v/>
      </c>
      <c r="AC53" s="27">
        <f>IF(ISNUMBER($P53),COUNTIFS($A$14:$A$1213,$A53,$P$14:$P$1213,"&gt;"&amp;$P53)+(COUNTIFS($A$14:$A$1213,$A53,$P$14:$P$1213,"="&amp;$P53)+1)/2,"")</f>
        <v/>
      </c>
      <c r="AD53" s="27">
        <f>IF(ISNUMBER($Q53),COUNTIFS($A$14:$A$1213,$A53,$Q$14:$Q$1213,"&gt;"&amp;$Q53)+(COUNTIFS($A$14:$A$1213,$A53,$Q$14:$Q$1213,"="&amp;$Q53)+1)/2,"")</f>
        <v/>
      </c>
      <c r="AE53" s="27">
        <f>IF(ISNUMBER($R53),COUNTIFS($A$14:$A$1213,$A53,$R$14:$R$1213,"&gt;"&amp;$R53)+(COUNTIFS($A$14:$A$1213,$A53,$R$14:$R$1213,"="&amp;$R53)+1)/2,"")</f>
        <v/>
      </c>
      <c r="AF53" s="27">
        <f>IF(ISNUMBER($S53),COUNTIFS($A$14:$A$1213,$A53,$S$14:$S$1213,"&gt;"&amp;$S53)+(COUNTIFS($A$14:$A$1213,$A53,$S$14:$S$1213,"="&amp;$S53)+1)/2,"")</f>
        <v/>
      </c>
      <c r="AG53" s="27">
        <f>IF(ISNUMBER($T53),COUNTIFS($A$14:$A$1213,$A53,$T$14:$T$1213,"&gt;"&amp;$T53)+(COUNTIFS($A$14:$A$1213,$A53,$T$14:$T$1213,"="&amp;$T53)+1)/2,"")</f>
        <v/>
      </c>
      <c r="AH53" s="27">
        <f>IF(COUNT($AC53:$AG53)&lt;2,"",IF(MAX($AC53:$AG53)=MIN($AC53:$AG53),0,1))</f>
        <v/>
      </c>
      <c r="AI53" s="27">
        <f>IF($A53="","",IF(COUNTIF($A$14:$A53,$A53)=1,COUNTIF($AI$13:AI52,"&gt;0")+1,""))</f>
        <v/>
      </c>
      <c r="AJ53" s="27">
        <f>IF(OR($H53="",COUNTIFS($A$14:$A$1213,$H53,$F$14:$F$1213,"&gt;=0")&lt;2,COUNTIFS($A$14:$A$1213,$H53,$F$14:$F$1213,_xlfn.MAXIFS($F$14:$F$1213,$A$14:$A$1213,$H53))&gt;1),"",IFERROR(INDEX($D$14:$D$1213,MATCH($H53&amp;"|"&amp;_xlfn.MAXIFS($F$14:$F$1213,$A$14:$A$1213,$H53),$AB$14:$AB$1213,0)),""))</f>
        <v/>
      </c>
      <c r="AK53" s="27">
        <f>IF(OR($H53="",COUNTIFS($A$14:$A$1213,$H53,$F$14:$F$1213,"&gt;=0")&lt;2,COUNTIFS($A$14:$A$1213,$H53,$F$14:$F$1213,_xlfn.MAXIFS($F$14:$F$1213,$A$14:$A$1213,$H53))&gt;1),"",IFERROR(INDEX($E$14:$E$1213,MATCH($H53&amp;"|"&amp;_xlfn.MAXIFS($F$14:$F$1213,$A$14:$A$1213,$H53),$AB$14:$AB$1213,0)),""))</f>
        <v/>
      </c>
      <c r="AL53" s="27">
        <f>IF(OR($H53="",COUNTIFS($A$14:$A$1213,$H53,$F$14:$F$1213,"&gt;=0")&lt;2,COUNTIFS($A$14:$A$1213,$H53,$F$14:$F$1213,_xlfn.MAXIFS($F$14:$F$1213,$A$14:$A$1213,$H53))&gt;1),"",IFERROR(INDEX($D$14:$D$1213,MATCH($H53&amp;"|"&amp;_xlfn.MAXIFS($F$14:$F$1213,$A$14:$A$1213,$H53,$F$14:$F$1213,"&lt;"&amp;_xlfn.MAXIFS($F$14:$F$1213,$A$14:$A$1213,$H53)),$AB$14:$AB$1213,0)),""))</f>
        <v/>
      </c>
      <c r="AM53" s="27">
        <f>IF(OR($H53="",COUNTIFS($A$14:$A$1213,$H53,$F$14:$F$1213,"&gt;=0")&lt;2,COUNTIFS($A$14:$A$1213,$H53,$F$14:$F$1213,_xlfn.MAXIFS($F$14:$F$1213,$A$14:$A$1213,$H53))&gt;1),"",IFERROR(INDEX($E$14:$E$1213,MATCH($H53&amp;"|"&amp;_xlfn.MAXIFS($F$14:$F$1213,$A$14:$A$1213,$H53,$F$14:$F$1213,"&lt;"&amp;_xlfn.MAXIFS($F$14:$F$1213,$A$14:$A$1213,$H53)),$AB$14:$AB$1213,0)),""))</f>
        <v/>
      </c>
      <c r="AN53" s="27">
        <f>IF(OR(NOT(ISNUMBER($AJ53)),NOT(ISNUMBER($AL53)),$AK53=0,$AM53=0),"",IF(OR((($AJ53+$AL53)/($AK53+$AM53))&lt;=0,(($AJ53+$AL53)/($AK53+$AM53))&gt;=1),"",($AJ53/$AK53-$AL53/$AM53)/SQRT((($AJ53+$AL53)/($AK53+$AM53))*(1-(($AJ53+$AL53)/($AK53+$AM53)))*(1/$AK53+1/$AM53))))</f>
        <v/>
      </c>
      <c r="AO53" s="27">
        <f>IF($A53="","",IF(AND(COUNTIFS($A$14:$A$1213,$A53,$F$14:$F$1213,"&gt;=0")=2,IFERROR(INDEX($M$14:$M$313,MATCH($A53,$H$14:$H$313,0)),"Yes")&lt;&gt;"Yes"),1,0))</f>
        <v/>
      </c>
    </row>
    <row r="54" ht="24" customHeight="1">
      <c r="A54" s="19">
        <f>IF('Enter messages'!A54="","",'Enter messages'!A54)</f>
        <v/>
      </c>
      <c r="B54" s="20">
        <f>IF('Enter messages'!B54="","",'Enter messages'!B54)</f>
        <v/>
      </c>
      <c r="C54" s="21">
        <f>IFERROR(AVERAGE(P54:T54),"")</f>
        <v/>
      </c>
      <c r="D54" s="29" t="n"/>
      <c r="E54" s="29" t="n"/>
      <c r="F54" s="30">
        <f>IF(AND(ISNUMBER($D54),ISNUMBER($E54),$E54&gt;0,$D54&lt;=$E54),$D54/$E54,"")</f>
        <v/>
      </c>
      <c r="H54" s="19">
        <f>IFERROR(INDEX($A$14:$A$1213,MATCH(41,$AI$14:$AI$1213,0)),"")</f>
        <v/>
      </c>
      <c r="I54" s="24">
        <f>IF($H54="","",IF(COUNTIFS($A$14:$A$1213,$H54,$C$14:$C$1213,"&gt;=0")=0,"—",IFERROR(INDEX($B$14:$B$1213,MATCH($H54&amp;"|1",$Z$14:$Z$1213,0)),"(tied)")))</f>
        <v/>
      </c>
      <c r="J54" s="25">
        <f>IF($H54="","",IF(OR(COUNTIFS($A$14:$A$1213,$H54,$C$14:$C$1213,"&gt;=0")=0,COUNTIFS($A$14:$A$1213,$H54,$F$14:$F$1213,"&gt;=0")=0),"—",IF(OR(ISERROR(MATCH($H54&amp;"|1",$Z$14:$Z$1213,0)),ISERROR(MATCH($H54&amp;"|1",$AA$14:$AA$1213,0))),"Tie",IF(MATCH($H54&amp;"|1",$Z$14:$Z$1213,0)=MATCH($H54&amp;"|1",$AA$14:$AA$1213,0),"Hit","Miss"))))</f>
        <v/>
      </c>
      <c r="K54" s="24">
        <f>IF($H54="","",IF(COUNTIFS($A$14:$A$1213,$H54,$F$14:$F$1213,"&gt;=0")=0,"—",IFERROR(INDEX($B$14:$B$1213,MATCH($H54&amp;"|1",$AA$14:$AA$1213,0)),"(tied)")))</f>
        <v/>
      </c>
      <c r="L54" s="25">
        <f>IF($H54="","",IF((--(COUNTIFS($A$14:$A$1213,$H54,$P$14:$P$1213,"&gt;=0")&gt;0)+--(COUNTIFS($A$14:$A$1213,$H54,$Q$14:$Q$1213,"&gt;=0")&gt;0)+--(COUNTIFS($A$14:$A$1213,$H54,$R$14:$R$1213,"&gt;=0")&gt;0)+--(COUNTIFS($A$14:$A$1213,$H54,$S$14:$S$1213,"&gt;=0")&gt;0)+--(COUNTIFS($A$14:$A$1213,$H54,$T$14:$T$1213,"&gt;=0")&gt;0))&lt;2,"—",IF(SUMIFS($AH$14:$AH$1213,$A$14:$A$1213,$H54)=0,"Yes","No")))</f>
        <v/>
      </c>
      <c r="M54" s="25">
        <f>IF($H54="","",IF(COUNTIFS($A$14:$A$1213,$H54,$F$14:$F$1213,"&gt;=0")&lt;2,"—",IF(COUNTIFS($A$14:$A$1213,$H54,$F$14:$F$1213,_xlfn.MAXIFS($F$14:$F$1213,$A$14:$A$1213,$H54))&gt;1,"No",IF(NOT(ISNUMBER($AN54)),"—",IF((2*(1-NORMSDIST(ABS($AN54))))&lt;0.05,"Yes","No")))))</f>
        <v/>
      </c>
      <c r="N54" s="21">
        <f>IF($H54="","",IF(NOT(ISNUMBER($AN54)),"—",IF((2*(1-NORMSDIST(ABS($AN54))))&lt;0.001,"&lt;0.001",TEXT((2*(1-NORMSDIST(ABS($AN54)))),"0.000"))))</f>
        <v/>
      </c>
      <c r="P54" s="26" t="n"/>
      <c r="Q54" s="26" t="n"/>
      <c r="R54" s="26" t="n"/>
      <c r="S54" s="26" t="n"/>
      <c r="T54" s="26" t="n"/>
      <c r="V54" s="27">
        <f>IF(ISNUMBER($C54),COUNTIFS($A$14:$A$1213,$A54,$C$14:$C$1213,"&gt;"&amp;$C54)+(COUNTIFS($A$14:$A$1213,$A54,$C$14:$C$1213,"="&amp;$C54)+1)/2,"")</f>
        <v/>
      </c>
      <c r="W54" s="27">
        <f>IF(ISNUMBER($F54),COUNTIFS($A$14:$A$1213,$A54,$F$14:$F$1213,"&gt;"&amp;$F54)+(COUNTIFS($A$14:$A$1213,$A54,$F$14:$F$1213,"="&amp;$F54)+1)/2,"")</f>
        <v/>
      </c>
      <c r="X54" s="27">
        <f>IF(OR(NOT(ISNUMBER($V54)),$AO54=1),"",$V54-(COUNTIFS($A$14:$A$1213,$A54,$C$14:$C$1213,"&gt;=0")+1)/2)</f>
        <v/>
      </c>
      <c r="Y54" s="27">
        <f>IF(OR(NOT(ISNUMBER($W54)),$AO54=1),"",$W54-(COUNTIFS($A$14:$A$1213,$A54,$F$14:$F$1213,"&gt;=0")+1)/2)</f>
        <v/>
      </c>
      <c r="Z54" s="27">
        <f>IF(ISNUMBER($V54),$A54&amp;"|"&amp;$V54,"")</f>
        <v/>
      </c>
      <c r="AA54" s="27">
        <f>IF(ISNUMBER($W54),$A54&amp;"|"&amp;$W54,"")</f>
        <v/>
      </c>
      <c r="AB54" s="27">
        <f>IF(ISNUMBER($F54),$A54&amp;"|"&amp;$F54,"")</f>
        <v/>
      </c>
      <c r="AC54" s="27">
        <f>IF(ISNUMBER($P54),COUNTIFS($A$14:$A$1213,$A54,$P$14:$P$1213,"&gt;"&amp;$P54)+(COUNTIFS($A$14:$A$1213,$A54,$P$14:$P$1213,"="&amp;$P54)+1)/2,"")</f>
        <v/>
      </c>
      <c r="AD54" s="27">
        <f>IF(ISNUMBER($Q54),COUNTIFS($A$14:$A$1213,$A54,$Q$14:$Q$1213,"&gt;"&amp;$Q54)+(COUNTIFS($A$14:$A$1213,$A54,$Q$14:$Q$1213,"="&amp;$Q54)+1)/2,"")</f>
        <v/>
      </c>
      <c r="AE54" s="27">
        <f>IF(ISNUMBER($R54),COUNTIFS($A$14:$A$1213,$A54,$R$14:$R$1213,"&gt;"&amp;$R54)+(COUNTIFS($A$14:$A$1213,$A54,$R$14:$R$1213,"="&amp;$R54)+1)/2,"")</f>
        <v/>
      </c>
      <c r="AF54" s="27">
        <f>IF(ISNUMBER($S54),COUNTIFS($A$14:$A$1213,$A54,$S$14:$S$1213,"&gt;"&amp;$S54)+(COUNTIFS($A$14:$A$1213,$A54,$S$14:$S$1213,"="&amp;$S54)+1)/2,"")</f>
        <v/>
      </c>
      <c r="AG54" s="27">
        <f>IF(ISNUMBER($T54),COUNTIFS($A$14:$A$1213,$A54,$T$14:$T$1213,"&gt;"&amp;$T54)+(COUNTIFS($A$14:$A$1213,$A54,$T$14:$T$1213,"="&amp;$T54)+1)/2,"")</f>
        <v/>
      </c>
      <c r="AH54" s="27">
        <f>IF(COUNT($AC54:$AG54)&lt;2,"",IF(MAX($AC54:$AG54)=MIN($AC54:$AG54),0,1))</f>
        <v/>
      </c>
      <c r="AI54" s="27">
        <f>IF($A54="","",IF(COUNTIF($A$14:$A54,$A54)=1,COUNTIF($AI$13:AI53,"&gt;0")+1,""))</f>
        <v/>
      </c>
      <c r="AJ54" s="27">
        <f>IF(OR($H54="",COUNTIFS($A$14:$A$1213,$H54,$F$14:$F$1213,"&gt;=0")&lt;2,COUNTIFS($A$14:$A$1213,$H54,$F$14:$F$1213,_xlfn.MAXIFS($F$14:$F$1213,$A$14:$A$1213,$H54))&gt;1),"",IFERROR(INDEX($D$14:$D$1213,MATCH($H54&amp;"|"&amp;_xlfn.MAXIFS($F$14:$F$1213,$A$14:$A$1213,$H54),$AB$14:$AB$1213,0)),""))</f>
        <v/>
      </c>
      <c r="AK54" s="27">
        <f>IF(OR($H54="",COUNTIFS($A$14:$A$1213,$H54,$F$14:$F$1213,"&gt;=0")&lt;2,COUNTIFS($A$14:$A$1213,$H54,$F$14:$F$1213,_xlfn.MAXIFS($F$14:$F$1213,$A$14:$A$1213,$H54))&gt;1),"",IFERROR(INDEX($E$14:$E$1213,MATCH($H54&amp;"|"&amp;_xlfn.MAXIFS($F$14:$F$1213,$A$14:$A$1213,$H54),$AB$14:$AB$1213,0)),""))</f>
        <v/>
      </c>
      <c r="AL54" s="27">
        <f>IF(OR($H54="",COUNTIFS($A$14:$A$1213,$H54,$F$14:$F$1213,"&gt;=0")&lt;2,COUNTIFS($A$14:$A$1213,$H54,$F$14:$F$1213,_xlfn.MAXIFS($F$14:$F$1213,$A$14:$A$1213,$H54))&gt;1),"",IFERROR(INDEX($D$14:$D$1213,MATCH($H54&amp;"|"&amp;_xlfn.MAXIFS($F$14:$F$1213,$A$14:$A$1213,$H54,$F$14:$F$1213,"&lt;"&amp;_xlfn.MAXIFS($F$14:$F$1213,$A$14:$A$1213,$H54)),$AB$14:$AB$1213,0)),""))</f>
        <v/>
      </c>
      <c r="AM54" s="27">
        <f>IF(OR($H54="",COUNTIFS($A$14:$A$1213,$H54,$F$14:$F$1213,"&gt;=0")&lt;2,COUNTIFS($A$14:$A$1213,$H54,$F$14:$F$1213,_xlfn.MAXIFS($F$14:$F$1213,$A$14:$A$1213,$H54))&gt;1),"",IFERROR(INDEX($E$14:$E$1213,MATCH($H54&amp;"|"&amp;_xlfn.MAXIFS($F$14:$F$1213,$A$14:$A$1213,$H54,$F$14:$F$1213,"&lt;"&amp;_xlfn.MAXIFS($F$14:$F$1213,$A$14:$A$1213,$H54)),$AB$14:$AB$1213,0)),""))</f>
        <v/>
      </c>
      <c r="AN54" s="27">
        <f>IF(OR(NOT(ISNUMBER($AJ54)),NOT(ISNUMBER($AL54)),$AK54=0,$AM54=0),"",IF(OR((($AJ54+$AL54)/($AK54+$AM54))&lt;=0,(($AJ54+$AL54)/($AK54+$AM54))&gt;=1),"",($AJ54/$AK54-$AL54/$AM54)/SQRT((($AJ54+$AL54)/($AK54+$AM54))*(1-(($AJ54+$AL54)/($AK54+$AM54)))*(1/$AK54+1/$AM54))))</f>
        <v/>
      </c>
      <c r="AO54" s="27">
        <f>IF($A54="","",IF(AND(COUNTIFS($A$14:$A$1213,$A54,$F$14:$F$1213,"&gt;=0")=2,IFERROR(INDEX($M$14:$M$313,MATCH($A54,$H$14:$H$313,0)),"Yes")&lt;&gt;"Yes"),1,0))</f>
        <v/>
      </c>
    </row>
    <row r="55" ht="24" customHeight="1">
      <c r="A55" s="19">
        <f>IF('Enter messages'!A55="","",'Enter messages'!A55)</f>
        <v/>
      </c>
      <c r="B55" s="20">
        <f>IF('Enter messages'!B55="","",'Enter messages'!B55)</f>
        <v/>
      </c>
      <c r="C55" s="21">
        <f>IFERROR(AVERAGE(P55:T55),"")</f>
        <v/>
      </c>
      <c r="D55" s="29" t="n"/>
      <c r="E55" s="29" t="n"/>
      <c r="F55" s="30">
        <f>IF(AND(ISNUMBER($D55),ISNUMBER($E55),$E55&gt;0,$D55&lt;=$E55),$D55/$E55,"")</f>
        <v/>
      </c>
      <c r="H55" s="19">
        <f>IFERROR(INDEX($A$14:$A$1213,MATCH(42,$AI$14:$AI$1213,0)),"")</f>
        <v/>
      </c>
      <c r="I55" s="24">
        <f>IF($H55="","",IF(COUNTIFS($A$14:$A$1213,$H55,$C$14:$C$1213,"&gt;=0")=0,"—",IFERROR(INDEX($B$14:$B$1213,MATCH($H55&amp;"|1",$Z$14:$Z$1213,0)),"(tied)")))</f>
        <v/>
      </c>
      <c r="J55" s="25">
        <f>IF($H55="","",IF(OR(COUNTIFS($A$14:$A$1213,$H55,$C$14:$C$1213,"&gt;=0")=0,COUNTIFS($A$14:$A$1213,$H55,$F$14:$F$1213,"&gt;=0")=0),"—",IF(OR(ISERROR(MATCH($H55&amp;"|1",$Z$14:$Z$1213,0)),ISERROR(MATCH($H55&amp;"|1",$AA$14:$AA$1213,0))),"Tie",IF(MATCH($H55&amp;"|1",$Z$14:$Z$1213,0)=MATCH($H55&amp;"|1",$AA$14:$AA$1213,0),"Hit","Miss"))))</f>
        <v/>
      </c>
      <c r="K55" s="24">
        <f>IF($H55="","",IF(COUNTIFS($A$14:$A$1213,$H55,$F$14:$F$1213,"&gt;=0")=0,"—",IFERROR(INDEX($B$14:$B$1213,MATCH($H55&amp;"|1",$AA$14:$AA$1213,0)),"(tied)")))</f>
        <v/>
      </c>
      <c r="L55" s="25">
        <f>IF($H55="","",IF((--(COUNTIFS($A$14:$A$1213,$H55,$P$14:$P$1213,"&gt;=0")&gt;0)+--(COUNTIFS($A$14:$A$1213,$H55,$Q$14:$Q$1213,"&gt;=0")&gt;0)+--(COUNTIFS($A$14:$A$1213,$H55,$R$14:$R$1213,"&gt;=0")&gt;0)+--(COUNTIFS($A$14:$A$1213,$H55,$S$14:$S$1213,"&gt;=0")&gt;0)+--(COUNTIFS($A$14:$A$1213,$H55,$T$14:$T$1213,"&gt;=0")&gt;0))&lt;2,"—",IF(SUMIFS($AH$14:$AH$1213,$A$14:$A$1213,$H55)=0,"Yes","No")))</f>
        <v/>
      </c>
      <c r="M55" s="25">
        <f>IF($H55="","",IF(COUNTIFS($A$14:$A$1213,$H55,$F$14:$F$1213,"&gt;=0")&lt;2,"—",IF(COUNTIFS($A$14:$A$1213,$H55,$F$14:$F$1213,_xlfn.MAXIFS($F$14:$F$1213,$A$14:$A$1213,$H55))&gt;1,"No",IF(NOT(ISNUMBER($AN55)),"—",IF((2*(1-NORMSDIST(ABS($AN55))))&lt;0.05,"Yes","No")))))</f>
        <v/>
      </c>
      <c r="N55" s="21">
        <f>IF($H55="","",IF(NOT(ISNUMBER($AN55)),"—",IF((2*(1-NORMSDIST(ABS($AN55))))&lt;0.001,"&lt;0.001",TEXT((2*(1-NORMSDIST(ABS($AN55)))),"0.000"))))</f>
        <v/>
      </c>
      <c r="P55" s="26" t="n"/>
      <c r="Q55" s="26" t="n"/>
      <c r="R55" s="26" t="n"/>
      <c r="S55" s="26" t="n"/>
      <c r="T55" s="26" t="n"/>
      <c r="V55" s="27">
        <f>IF(ISNUMBER($C55),COUNTIFS($A$14:$A$1213,$A55,$C$14:$C$1213,"&gt;"&amp;$C55)+(COUNTIFS($A$14:$A$1213,$A55,$C$14:$C$1213,"="&amp;$C55)+1)/2,"")</f>
        <v/>
      </c>
      <c r="W55" s="27">
        <f>IF(ISNUMBER($F55),COUNTIFS($A$14:$A$1213,$A55,$F$14:$F$1213,"&gt;"&amp;$F55)+(COUNTIFS($A$14:$A$1213,$A55,$F$14:$F$1213,"="&amp;$F55)+1)/2,"")</f>
        <v/>
      </c>
      <c r="X55" s="27">
        <f>IF(OR(NOT(ISNUMBER($V55)),$AO55=1),"",$V55-(COUNTIFS($A$14:$A$1213,$A55,$C$14:$C$1213,"&gt;=0")+1)/2)</f>
        <v/>
      </c>
      <c r="Y55" s="27">
        <f>IF(OR(NOT(ISNUMBER($W55)),$AO55=1),"",$W55-(COUNTIFS($A$14:$A$1213,$A55,$F$14:$F$1213,"&gt;=0")+1)/2)</f>
        <v/>
      </c>
      <c r="Z55" s="27">
        <f>IF(ISNUMBER($V55),$A55&amp;"|"&amp;$V55,"")</f>
        <v/>
      </c>
      <c r="AA55" s="27">
        <f>IF(ISNUMBER($W55),$A55&amp;"|"&amp;$W55,"")</f>
        <v/>
      </c>
      <c r="AB55" s="27">
        <f>IF(ISNUMBER($F55),$A55&amp;"|"&amp;$F55,"")</f>
        <v/>
      </c>
      <c r="AC55" s="27">
        <f>IF(ISNUMBER($P55),COUNTIFS($A$14:$A$1213,$A55,$P$14:$P$1213,"&gt;"&amp;$P55)+(COUNTIFS($A$14:$A$1213,$A55,$P$14:$P$1213,"="&amp;$P55)+1)/2,"")</f>
        <v/>
      </c>
      <c r="AD55" s="27">
        <f>IF(ISNUMBER($Q55),COUNTIFS($A$14:$A$1213,$A55,$Q$14:$Q$1213,"&gt;"&amp;$Q55)+(COUNTIFS($A$14:$A$1213,$A55,$Q$14:$Q$1213,"="&amp;$Q55)+1)/2,"")</f>
        <v/>
      </c>
      <c r="AE55" s="27">
        <f>IF(ISNUMBER($R55),COUNTIFS($A$14:$A$1213,$A55,$R$14:$R$1213,"&gt;"&amp;$R55)+(COUNTIFS($A$14:$A$1213,$A55,$R$14:$R$1213,"="&amp;$R55)+1)/2,"")</f>
        <v/>
      </c>
      <c r="AF55" s="27">
        <f>IF(ISNUMBER($S55),COUNTIFS($A$14:$A$1213,$A55,$S$14:$S$1213,"&gt;"&amp;$S55)+(COUNTIFS($A$14:$A$1213,$A55,$S$14:$S$1213,"="&amp;$S55)+1)/2,"")</f>
        <v/>
      </c>
      <c r="AG55" s="27">
        <f>IF(ISNUMBER($T55),COUNTIFS($A$14:$A$1213,$A55,$T$14:$T$1213,"&gt;"&amp;$T55)+(COUNTIFS($A$14:$A$1213,$A55,$T$14:$T$1213,"="&amp;$T55)+1)/2,"")</f>
        <v/>
      </c>
      <c r="AH55" s="27">
        <f>IF(COUNT($AC55:$AG55)&lt;2,"",IF(MAX($AC55:$AG55)=MIN($AC55:$AG55),0,1))</f>
        <v/>
      </c>
      <c r="AI55" s="27">
        <f>IF($A55="","",IF(COUNTIF($A$14:$A55,$A55)=1,COUNTIF($AI$13:AI54,"&gt;0")+1,""))</f>
        <v/>
      </c>
      <c r="AJ55" s="27">
        <f>IF(OR($H55="",COUNTIFS($A$14:$A$1213,$H55,$F$14:$F$1213,"&gt;=0")&lt;2,COUNTIFS($A$14:$A$1213,$H55,$F$14:$F$1213,_xlfn.MAXIFS($F$14:$F$1213,$A$14:$A$1213,$H55))&gt;1),"",IFERROR(INDEX($D$14:$D$1213,MATCH($H55&amp;"|"&amp;_xlfn.MAXIFS($F$14:$F$1213,$A$14:$A$1213,$H55),$AB$14:$AB$1213,0)),""))</f>
        <v/>
      </c>
      <c r="AK55" s="27">
        <f>IF(OR($H55="",COUNTIFS($A$14:$A$1213,$H55,$F$14:$F$1213,"&gt;=0")&lt;2,COUNTIFS($A$14:$A$1213,$H55,$F$14:$F$1213,_xlfn.MAXIFS($F$14:$F$1213,$A$14:$A$1213,$H55))&gt;1),"",IFERROR(INDEX($E$14:$E$1213,MATCH($H55&amp;"|"&amp;_xlfn.MAXIFS($F$14:$F$1213,$A$14:$A$1213,$H55),$AB$14:$AB$1213,0)),""))</f>
        <v/>
      </c>
      <c r="AL55" s="27">
        <f>IF(OR($H55="",COUNTIFS($A$14:$A$1213,$H55,$F$14:$F$1213,"&gt;=0")&lt;2,COUNTIFS($A$14:$A$1213,$H55,$F$14:$F$1213,_xlfn.MAXIFS($F$14:$F$1213,$A$14:$A$1213,$H55))&gt;1),"",IFERROR(INDEX($D$14:$D$1213,MATCH($H55&amp;"|"&amp;_xlfn.MAXIFS($F$14:$F$1213,$A$14:$A$1213,$H55,$F$14:$F$1213,"&lt;"&amp;_xlfn.MAXIFS($F$14:$F$1213,$A$14:$A$1213,$H55)),$AB$14:$AB$1213,0)),""))</f>
        <v/>
      </c>
      <c r="AM55" s="27">
        <f>IF(OR($H55="",COUNTIFS($A$14:$A$1213,$H55,$F$14:$F$1213,"&gt;=0")&lt;2,COUNTIFS($A$14:$A$1213,$H55,$F$14:$F$1213,_xlfn.MAXIFS($F$14:$F$1213,$A$14:$A$1213,$H55))&gt;1),"",IFERROR(INDEX($E$14:$E$1213,MATCH($H55&amp;"|"&amp;_xlfn.MAXIFS($F$14:$F$1213,$A$14:$A$1213,$H55,$F$14:$F$1213,"&lt;"&amp;_xlfn.MAXIFS($F$14:$F$1213,$A$14:$A$1213,$H55)),$AB$14:$AB$1213,0)),""))</f>
        <v/>
      </c>
      <c r="AN55" s="27">
        <f>IF(OR(NOT(ISNUMBER($AJ55)),NOT(ISNUMBER($AL55)),$AK55=0,$AM55=0),"",IF(OR((($AJ55+$AL55)/($AK55+$AM55))&lt;=0,(($AJ55+$AL55)/($AK55+$AM55))&gt;=1),"",($AJ55/$AK55-$AL55/$AM55)/SQRT((($AJ55+$AL55)/($AK55+$AM55))*(1-(($AJ55+$AL55)/($AK55+$AM55)))*(1/$AK55+1/$AM55))))</f>
        <v/>
      </c>
      <c r="AO55" s="27">
        <f>IF($A55="","",IF(AND(COUNTIFS($A$14:$A$1213,$A55,$F$14:$F$1213,"&gt;=0")=2,IFERROR(INDEX($M$14:$M$313,MATCH($A55,$H$14:$H$313,0)),"Yes")&lt;&gt;"Yes"),1,0))</f>
        <v/>
      </c>
    </row>
    <row r="56" ht="24" customHeight="1">
      <c r="A56" s="19">
        <f>IF('Enter messages'!A56="","",'Enter messages'!A56)</f>
        <v/>
      </c>
      <c r="B56" s="20">
        <f>IF('Enter messages'!B56="","",'Enter messages'!B56)</f>
        <v/>
      </c>
      <c r="C56" s="21">
        <f>IFERROR(AVERAGE(P56:T56),"")</f>
        <v/>
      </c>
      <c r="D56" s="29" t="n"/>
      <c r="E56" s="29" t="n"/>
      <c r="F56" s="30">
        <f>IF(AND(ISNUMBER($D56),ISNUMBER($E56),$E56&gt;0,$D56&lt;=$E56),$D56/$E56,"")</f>
        <v/>
      </c>
      <c r="H56" s="19">
        <f>IFERROR(INDEX($A$14:$A$1213,MATCH(43,$AI$14:$AI$1213,0)),"")</f>
        <v/>
      </c>
      <c r="I56" s="24">
        <f>IF($H56="","",IF(COUNTIFS($A$14:$A$1213,$H56,$C$14:$C$1213,"&gt;=0")=0,"—",IFERROR(INDEX($B$14:$B$1213,MATCH($H56&amp;"|1",$Z$14:$Z$1213,0)),"(tied)")))</f>
        <v/>
      </c>
      <c r="J56" s="25">
        <f>IF($H56="","",IF(OR(COUNTIFS($A$14:$A$1213,$H56,$C$14:$C$1213,"&gt;=0")=0,COUNTIFS($A$14:$A$1213,$H56,$F$14:$F$1213,"&gt;=0")=0),"—",IF(OR(ISERROR(MATCH($H56&amp;"|1",$Z$14:$Z$1213,0)),ISERROR(MATCH($H56&amp;"|1",$AA$14:$AA$1213,0))),"Tie",IF(MATCH($H56&amp;"|1",$Z$14:$Z$1213,0)=MATCH($H56&amp;"|1",$AA$14:$AA$1213,0),"Hit","Miss"))))</f>
        <v/>
      </c>
      <c r="K56" s="24">
        <f>IF($H56="","",IF(COUNTIFS($A$14:$A$1213,$H56,$F$14:$F$1213,"&gt;=0")=0,"—",IFERROR(INDEX($B$14:$B$1213,MATCH($H56&amp;"|1",$AA$14:$AA$1213,0)),"(tied)")))</f>
        <v/>
      </c>
      <c r="L56" s="25">
        <f>IF($H56="","",IF((--(COUNTIFS($A$14:$A$1213,$H56,$P$14:$P$1213,"&gt;=0")&gt;0)+--(COUNTIFS($A$14:$A$1213,$H56,$Q$14:$Q$1213,"&gt;=0")&gt;0)+--(COUNTIFS($A$14:$A$1213,$H56,$R$14:$R$1213,"&gt;=0")&gt;0)+--(COUNTIFS($A$14:$A$1213,$H56,$S$14:$S$1213,"&gt;=0")&gt;0)+--(COUNTIFS($A$14:$A$1213,$H56,$T$14:$T$1213,"&gt;=0")&gt;0))&lt;2,"—",IF(SUMIFS($AH$14:$AH$1213,$A$14:$A$1213,$H56)=0,"Yes","No")))</f>
        <v/>
      </c>
      <c r="M56" s="25">
        <f>IF($H56="","",IF(COUNTIFS($A$14:$A$1213,$H56,$F$14:$F$1213,"&gt;=0")&lt;2,"—",IF(COUNTIFS($A$14:$A$1213,$H56,$F$14:$F$1213,_xlfn.MAXIFS($F$14:$F$1213,$A$14:$A$1213,$H56))&gt;1,"No",IF(NOT(ISNUMBER($AN56)),"—",IF((2*(1-NORMSDIST(ABS($AN56))))&lt;0.05,"Yes","No")))))</f>
        <v/>
      </c>
      <c r="N56" s="21">
        <f>IF($H56="","",IF(NOT(ISNUMBER($AN56)),"—",IF((2*(1-NORMSDIST(ABS($AN56))))&lt;0.001,"&lt;0.001",TEXT((2*(1-NORMSDIST(ABS($AN56)))),"0.000"))))</f>
        <v/>
      </c>
      <c r="P56" s="26" t="n"/>
      <c r="Q56" s="26" t="n"/>
      <c r="R56" s="26" t="n"/>
      <c r="S56" s="26" t="n"/>
      <c r="T56" s="26" t="n"/>
      <c r="V56" s="27">
        <f>IF(ISNUMBER($C56),COUNTIFS($A$14:$A$1213,$A56,$C$14:$C$1213,"&gt;"&amp;$C56)+(COUNTIFS($A$14:$A$1213,$A56,$C$14:$C$1213,"="&amp;$C56)+1)/2,"")</f>
        <v/>
      </c>
      <c r="W56" s="27">
        <f>IF(ISNUMBER($F56),COUNTIFS($A$14:$A$1213,$A56,$F$14:$F$1213,"&gt;"&amp;$F56)+(COUNTIFS($A$14:$A$1213,$A56,$F$14:$F$1213,"="&amp;$F56)+1)/2,"")</f>
        <v/>
      </c>
      <c r="X56" s="27">
        <f>IF(OR(NOT(ISNUMBER($V56)),$AO56=1),"",$V56-(COUNTIFS($A$14:$A$1213,$A56,$C$14:$C$1213,"&gt;=0")+1)/2)</f>
        <v/>
      </c>
      <c r="Y56" s="27">
        <f>IF(OR(NOT(ISNUMBER($W56)),$AO56=1),"",$W56-(COUNTIFS($A$14:$A$1213,$A56,$F$14:$F$1213,"&gt;=0")+1)/2)</f>
        <v/>
      </c>
      <c r="Z56" s="27">
        <f>IF(ISNUMBER($V56),$A56&amp;"|"&amp;$V56,"")</f>
        <v/>
      </c>
      <c r="AA56" s="27">
        <f>IF(ISNUMBER($W56),$A56&amp;"|"&amp;$W56,"")</f>
        <v/>
      </c>
      <c r="AB56" s="27">
        <f>IF(ISNUMBER($F56),$A56&amp;"|"&amp;$F56,"")</f>
        <v/>
      </c>
      <c r="AC56" s="27">
        <f>IF(ISNUMBER($P56),COUNTIFS($A$14:$A$1213,$A56,$P$14:$P$1213,"&gt;"&amp;$P56)+(COUNTIFS($A$14:$A$1213,$A56,$P$14:$P$1213,"="&amp;$P56)+1)/2,"")</f>
        <v/>
      </c>
      <c r="AD56" s="27">
        <f>IF(ISNUMBER($Q56),COUNTIFS($A$14:$A$1213,$A56,$Q$14:$Q$1213,"&gt;"&amp;$Q56)+(COUNTIFS($A$14:$A$1213,$A56,$Q$14:$Q$1213,"="&amp;$Q56)+1)/2,"")</f>
        <v/>
      </c>
      <c r="AE56" s="27">
        <f>IF(ISNUMBER($R56),COUNTIFS($A$14:$A$1213,$A56,$R$14:$R$1213,"&gt;"&amp;$R56)+(COUNTIFS($A$14:$A$1213,$A56,$R$14:$R$1213,"="&amp;$R56)+1)/2,"")</f>
        <v/>
      </c>
      <c r="AF56" s="27">
        <f>IF(ISNUMBER($S56),COUNTIFS($A$14:$A$1213,$A56,$S$14:$S$1213,"&gt;"&amp;$S56)+(COUNTIFS($A$14:$A$1213,$A56,$S$14:$S$1213,"="&amp;$S56)+1)/2,"")</f>
        <v/>
      </c>
      <c r="AG56" s="27">
        <f>IF(ISNUMBER($T56),COUNTIFS($A$14:$A$1213,$A56,$T$14:$T$1213,"&gt;"&amp;$T56)+(COUNTIFS($A$14:$A$1213,$A56,$T$14:$T$1213,"="&amp;$T56)+1)/2,"")</f>
        <v/>
      </c>
      <c r="AH56" s="27">
        <f>IF(COUNT($AC56:$AG56)&lt;2,"",IF(MAX($AC56:$AG56)=MIN($AC56:$AG56),0,1))</f>
        <v/>
      </c>
      <c r="AI56" s="27">
        <f>IF($A56="","",IF(COUNTIF($A$14:$A56,$A56)=1,COUNTIF($AI$13:AI55,"&gt;0")+1,""))</f>
        <v/>
      </c>
      <c r="AJ56" s="27">
        <f>IF(OR($H56="",COUNTIFS($A$14:$A$1213,$H56,$F$14:$F$1213,"&gt;=0")&lt;2,COUNTIFS($A$14:$A$1213,$H56,$F$14:$F$1213,_xlfn.MAXIFS($F$14:$F$1213,$A$14:$A$1213,$H56))&gt;1),"",IFERROR(INDEX($D$14:$D$1213,MATCH($H56&amp;"|"&amp;_xlfn.MAXIFS($F$14:$F$1213,$A$14:$A$1213,$H56),$AB$14:$AB$1213,0)),""))</f>
        <v/>
      </c>
      <c r="AK56" s="27">
        <f>IF(OR($H56="",COUNTIFS($A$14:$A$1213,$H56,$F$14:$F$1213,"&gt;=0")&lt;2,COUNTIFS($A$14:$A$1213,$H56,$F$14:$F$1213,_xlfn.MAXIFS($F$14:$F$1213,$A$14:$A$1213,$H56))&gt;1),"",IFERROR(INDEX($E$14:$E$1213,MATCH($H56&amp;"|"&amp;_xlfn.MAXIFS($F$14:$F$1213,$A$14:$A$1213,$H56),$AB$14:$AB$1213,0)),""))</f>
        <v/>
      </c>
      <c r="AL56" s="27">
        <f>IF(OR($H56="",COUNTIFS($A$14:$A$1213,$H56,$F$14:$F$1213,"&gt;=0")&lt;2,COUNTIFS($A$14:$A$1213,$H56,$F$14:$F$1213,_xlfn.MAXIFS($F$14:$F$1213,$A$14:$A$1213,$H56))&gt;1),"",IFERROR(INDEX($D$14:$D$1213,MATCH($H56&amp;"|"&amp;_xlfn.MAXIFS($F$14:$F$1213,$A$14:$A$1213,$H56,$F$14:$F$1213,"&lt;"&amp;_xlfn.MAXIFS($F$14:$F$1213,$A$14:$A$1213,$H56)),$AB$14:$AB$1213,0)),""))</f>
        <v/>
      </c>
      <c r="AM56" s="27">
        <f>IF(OR($H56="",COUNTIFS($A$14:$A$1213,$H56,$F$14:$F$1213,"&gt;=0")&lt;2,COUNTIFS($A$14:$A$1213,$H56,$F$14:$F$1213,_xlfn.MAXIFS($F$14:$F$1213,$A$14:$A$1213,$H56))&gt;1),"",IFERROR(INDEX($E$14:$E$1213,MATCH($H56&amp;"|"&amp;_xlfn.MAXIFS($F$14:$F$1213,$A$14:$A$1213,$H56,$F$14:$F$1213,"&lt;"&amp;_xlfn.MAXIFS($F$14:$F$1213,$A$14:$A$1213,$H56)),$AB$14:$AB$1213,0)),""))</f>
        <v/>
      </c>
      <c r="AN56" s="27">
        <f>IF(OR(NOT(ISNUMBER($AJ56)),NOT(ISNUMBER($AL56)),$AK56=0,$AM56=0),"",IF(OR((($AJ56+$AL56)/($AK56+$AM56))&lt;=0,(($AJ56+$AL56)/($AK56+$AM56))&gt;=1),"",($AJ56/$AK56-$AL56/$AM56)/SQRT((($AJ56+$AL56)/($AK56+$AM56))*(1-(($AJ56+$AL56)/($AK56+$AM56)))*(1/$AK56+1/$AM56))))</f>
        <v/>
      </c>
      <c r="AO56" s="27">
        <f>IF($A56="","",IF(AND(COUNTIFS($A$14:$A$1213,$A56,$F$14:$F$1213,"&gt;=0")=2,IFERROR(INDEX($M$14:$M$313,MATCH($A56,$H$14:$H$313,0)),"Yes")&lt;&gt;"Yes"),1,0))</f>
        <v/>
      </c>
    </row>
    <row r="57" ht="24" customHeight="1">
      <c r="A57" s="19">
        <f>IF('Enter messages'!A57="","",'Enter messages'!A57)</f>
        <v/>
      </c>
      <c r="B57" s="20">
        <f>IF('Enter messages'!B57="","",'Enter messages'!B57)</f>
        <v/>
      </c>
      <c r="C57" s="21">
        <f>IFERROR(AVERAGE(P57:T57),"")</f>
        <v/>
      </c>
      <c r="D57" s="29" t="n"/>
      <c r="E57" s="29" t="n"/>
      <c r="F57" s="30">
        <f>IF(AND(ISNUMBER($D57),ISNUMBER($E57),$E57&gt;0,$D57&lt;=$E57),$D57/$E57,"")</f>
        <v/>
      </c>
      <c r="H57" s="19">
        <f>IFERROR(INDEX($A$14:$A$1213,MATCH(44,$AI$14:$AI$1213,0)),"")</f>
        <v/>
      </c>
      <c r="I57" s="24">
        <f>IF($H57="","",IF(COUNTIFS($A$14:$A$1213,$H57,$C$14:$C$1213,"&gt;=0")=0,"—",IFERROR(INDEX($B$14:$B$1213,MATCH($H57&amp;"|1",$Z$14:$Z$1213,0)),"(tied)")))</f>
        <v/>
      </c>
      <c r="J57" s="25">
        <f>IF($H57="","",IF(OR(COUNTIFS($A$14:$A$1213,$H57,$C$14:$C$1213,"&gt;=0")=0,COUNTIFS($A$14:$A$1213,$H57,$F$14:$F$1213,"&gt;=0")=0),"—",IF(OR(ISERROR(MATCH($H57&amp;"|1",$Z$14:$Z$1213,0)),ISERROR(MATCH($H57&amp;"|1",$AA$14:$AA$1213,0))),"Tie",IF(MATCH($H57&amp;"|1",$Z$14:$Z$1213,0)=MATCH($H57&amp;"|1",$AA$14:$AA$1213,0),"Hit","Miss"))))</f>
        <v/>
      </c>
      <c r="K57" s="24">
        <f>IF($H57="","",IF(COUNTIFS($A$14:$A$1213,$H57,$F$14:$F$1213,"&gt;=0")=0,"—",IFERROR(INDEX($B$14:$B$1213,MATCH($H57&amp;"|1",$AA$14:$AA$1213,0)),"(tied)")))</f>
        <v/>
      </c>
      <c r="L57" s="25">
        <f>IF($H57="","",IF((--(COUNTIFS($A$14:$A$1213,$H57,$P$14:$P$1213,"&gt;=0")&gt;0)+--(COUNTIFS($A$14:$A$1213,$H57,$Q$14:$Q$1213,"&gt;=0")&gt;0)+--(COUNTIFS($A$14:$A$1213,$H57,$R$14:$R$1213,"&gt;=0")&gt;0)+--(COUNTIFS($A$14:$A$1213,$H57,$S$14:$S$1213,"&gt;=0")&gt;0)+--(COUNTIFS($A$14:$A$1213,$H57,$T$14:$T$1213,"&gt;=0")&gt;0))&lt;2,"—",IF(SUMIFS($AH$14:$AH$1213,$A$14:$A$1213,$H57)=0,"Yes","No")))</f>
        <v/>
      </c>
      <c r="M57" s="25">
        <f>IF($H57="","",IF(COUNTIFS($A$14:$A$1213,$H57,$F$14:$F$1213,"&gt;=0")&lt;2,"—",IF(COUNTIFS($A$14:$A$1213,$H57,$F$14:$F$1213,_xlfn.MAXIFS($F$14:$F$1213,$A$14:$A$1213,$H57))&gt;1,"No",IF(NOT(ISNUMBER($AN57)),"—",IF((2*(1-NORMSDIST(ABS($AN57))))&lt;0.05,"Yes","No")))))</f>
        <v/>
      </c>
      <c r="N57" s="21">
        <f>IF($H57="","",IF(NOT(ISNUMBER($AN57)),"—",IF((2*(1-NORMSDIST(ABS($AN57))))&lt;0.001,"&lt;0.001",TEXT((2*(1-NORMSDIST(ABS($AN57)))),"0.000"))))</f>
        <v/>
      </c>
      <c r="P57" s="26" t="n"/>
      <c r="Q57" s="26" t="n"/>
      <c r="R57" s="26" t="n"/>
      <c r="S57" s="26" t="n"/>
      <c r="T57" s="26" t="n"/>
      <c r="V57" s="27">
        <f>IF(ISNUMBER($C57),COUNTIFS($A$14:$A$1213,$A57,$C$14:$C$1213,"&gt;"&amp;$C57)+(COUNTIFS($A$14:$A$1213,$A57,$C$14:$C$1213,"="&amp;$C57)+1)/2,"")</f>
        <v/>
      </c>
      <c r="W57" s="27">
        <f>IF(ISNUMBER($F57),COUNTIFS($A$14:$A$1213,$A57,$F$14:$F$1213,"&gt;"&amp;$F57)+(COUNTIFS($A$14:$A$1213,$A57,$F$14:$F$1213,"="&amp;$F57)+1)/2,"")</f>
        <v/>
      </c>
      <c r="X57" s="27">
        <f>IF(OR(NOT(ISNUMBER($V57)),$AO57=1),"",$V57-(COUNTIFS($A$14:$A$1213,$A57,$C$14:$C$1213,"&gt;=0")+1)/2)</f>
        <v/>
      </c>
      <c r="Y57" s="27">
        <f>IF(OR(NOT(ISNUMBER($W57)),$AO57=1),"",$W57-(COUNTIFS($A$14:$A$1213,$A57,$F$14:$F$1213,"&gt;=0")+1)/2)</f>
        <v/>
      </c>
      <c r="Z57" s="27">
        <f>IF(ISNUMBER($V57),$A57&amp;"|"&amp;$V57,"")</f>
        <v/>
      </c>
      <c r="AA57" s="27">
        <f>IF(ISNUMBER($W57),$A57&amp;"|"&amp;$W57,"")</f>
        <v/>
      </c>
      <c r="AB57" s="27">
        <f>IF(ISNUMBER($F57),$A57&amp;"|"&amp;$F57,"")</f>
        <v/>
      </c>
      <c r="AC57" s="27">
        <f>IF(ISNUMBER($P57),COUNTIFS($A$14:$A$1213,$A57,$P$14:$P$1213,"&gt;"&amp;$P57)+(COUNTIFS($A$14:$A$1213,$A57,$P$14:$P$1213,"="&amp;$P57)+1)/2,"")</f>
        <v/>
      </c>
      <c r="AD57" s="27">
        <f>IF(ISNUMBER($Q57),COUNTIFS($A$14:$A$1213,$A57,$Q$14:$Q$1213,"&gt;"&amp;$Q57)+(COUNTIFS($A$14:$A$1213,$A57,$Q$14:$Q$1213,"="&amp;$Q57)+1)/2,"")</f>
        <v/>
      </c>
      <c r="AE57" s="27">
        <f>IF(ISNUMBER($R57),COUNTIFS($A$14:$A$1213,$A57,$R$14:$R$1213,"&gt;"&amp;$R57)+(COUNTIFS($A$14:$A$1213,$A57,$R$14:$R$1213,"="&amp;$R57)+1)/2,"")</f>
        <v/>
      </c>
      <c r="AF57" s="27">
        <f>IF(ISNUMBER($S57),COUNTIFS($A$14:$A$1213,$A57,$S$14:$S$1213,"&gt;"&amp;$S57)+(COUNTIFS($A$14:$A$1213,$A57,$S$14:$S$1213,"="&amp;$S57)+1)/2,"")</f>
        <v/>
      </c>
      <c r="AG57" s="27">
        <f>IF(ISNUMBER($T57),COUNTIFS($A$14:$A$1213,$A57,$T$14:$T$1213,"&gt;"&amp;$T57)+(COUNTIFS($A$14:$A$1213,$A57,$T$14:$T$1213,"="&amp;$T57)+1)/2,"")</f>
        <v/>
      </c>
      <c r="AH57" s="27">
        <f>IF(COUNT($AC57:$AG57)&lt;2,"",IF(MAX($AC57:$AG57)=MIN($AC57:$AG57),0,1))</f>
        <v/>
      </c>
      <c r="AI57" s="27">
        <f>IF($A57="","",IF(COUNTIF($A$14:$A57,$A57)=1,COUNTIF($AI$13:AI56,"&gt;0")+1,""))</f>
        <v/>
      </c>
      <c r="AJ57" s="27">
        <f>IF(OR($H57="",COUNTIFS($A$14:$A$1213,$H57,$F$14:$F$1213,"&gt;=0")&lt;2,COUNTIFS($A$14:$A$1213,$H57,$F$14:$F$1213,_xlfn.MAXIFS($F$14:$F$1213,$A$14:$A$1213,$H57))&gt;1),"",IFERROR(INDEX($D$14:$D$1213,MATCH($H57&amp;"|"&amp;_xlfn.MAXIFS($F$14:$F$1213,$A$14:$A$1213,$H57),$AB$14:$AB$1213,0)),""))</f>
        <v/>
      </c>
      <c r="AK57" s="27">
        <f>IF(OR($H57="",COUNTIFS($A$14:$A$1213,$H57,$F$14:$F$1213,"&gt;=0")&lt;2,COUNTIFS($A$14:$A$1213,$H57,$F$14:$F$1213,_xlfn.MAXIFS($F$14:$F$1213,$A$14:$A$1213,$H57))&gt;1),"",IFERROR(INDEX($E$14:$E$1213,MATCH($H57&amp;"|"&amp;_xlfn.MAXIFS($F$14:$F$1213,$A$14:$A$1213,$H57),$AB$14:$AB$1213,0)),""))</f>
        <v/>
      </c>
      <c r="AL57" s="27">
        <f>IF(OR($H57="",COUNTIFS($A$14:$A$1213,$H57,$F$14:$F$1213,"&gt;=0")&lt;2,COUNTIFS($A$14:$A$1213,$H57,$F$14:$F$1213,_xlfn.MAXIFS($F$14:$F$1213,$A$14:$A$1213,$H57))&gt;1),"",IFERROR(INDEX($D$14:$D$1213,MATCH($H57&amp;"|"&amp;_xlfn.MAXIFS($F$14:$F$1213,$A$14:$A$1213,$H57,$F$14:$F$1213,"&lt;"&amp;_xlfn.MAXIFS($F$14:$F$1213,$A$14:$A$1213,$H57)),$AB$14:$AB$1213,0)),""))</f>
        <v/>
      </c>
      <c r="AM57" s="27">
        <f>IF(OR($H57="",COUNTIFS($A$14:$A$1213,$H57,$F$14:$F$1213,"&gt;=0")&lt;2,COUNTIFS($A$14:$A$1213,$H57,$F$14:$F$1213,_xlfn.MAXIFS($F$14:$F$1213,$A$14:$A$1213,$H57))&gt;1),"",IFERROR(INDEX($E$14:$E$1213,MATCH($H57&amp;"|"&amp;_xlfn.MAXIFS($F$14:$F$1213,$A$14:$A$1213,$H57,$F$14:$F$1213,"&lt;"&amp;_xlfn.MAXIFS($F$14:$F$1213,$A$14:$A$1213,$H57)),$AB$14:$AB$1213,0)),""))</f>
        <v/>
      </c>
      <c r="AN57" s="27">
        <f>IF(OR(NOT(ISNUMBER($AJ57)),NOT(ISNUMBER($AL57)),$AK57=0,$AM57=0),"",IF(OR((($AJ57+$AL57)/($AK57+$AM57))&lt;=0,(($AJ57+$AL57)/($AK57+$AM57))&gt;=1),"",($AJ57/$AK57-$AL57/$AM57)/SQRT((($AJ57+$AL57)/($AK57+$AM57))*(1-(($AJ57+$AL57)/($AK57+$AM57)))*(1/$AK57+1/$AM57))))</f>
        <v/>
      </c>
      <c r="AO57" s="27">
        <f>IF($A57="","",IF(AND(COUNTIFS($A$14:$A$1213,$A57,$F$14:$F$1213,"&gt;=0")=2,IFERROR(INDEX($M$14:$M$313,MATCH($A57,$H$14:$H$313,0)),"Yes")&lt;&gt;"Yes"),1,0))</f>
        <v/>
      </c>
    </row>
    <row r="58" ht="24" customHeight="1">
      <c r="A58" s="19">
        <f>IF('Enter messages'!A58="","",'Enter messages'!A58)</f>
        <v/>
      </c>
      <c r="B58" s="20">
        <f>IF('Enter messages'!B58="","",'Enter messages'!B58)</f>
        <v/>
      </c>
      <c r="C58" s="21">
        <f>IFERROR(AVERAGE(P58:T58),"")</f>
        <v/>
      </c>
      <c r="D58" s="29" t="n"/>
      <c r="E58" s="29" t="n"/>
      <c r="F58" s="30">
        <f>IF(AND(ISNUMBER($D58),ISNUMBER($E58),$E58&gt;0,$D58&lt;=$E58),$D58/$E58,"")</f>
        <v/>
      </c>
      <c r="H58" s="19">
        <f>IFERROR(INDEX($A$14:$A$1213,MATCH(45,$AI$14:$AI$1213,0)),"")</f>
        <v/>
      </c>
      <c r="I58" s="24">
        <f>IF($H58="","",IF(COUNTIFS($A$14:$A$1213,$H58,$C$14:$C$1213,"&gt;=0")=0,"—",IFERROR(INDEX($B$14:$B$1213,MATCH($H58&amp;"|1",$Z$14:$Z$1213,0)),"(tied)")))</f>
        <v/>
      </c>
      <c r="J58" s="25">
        <f>IF($H58="","",IF(OR(COUNTIFS($A$14:$A$1213,$H58,$C$14:$C$1213,"&gt;=0")=0,COUNTIFS($A$14:$A$1213,$H58,$F$14:$F$1213,"&gt;=0")=0),"—",IF(OR(ISERROR(MATCH($H58&amp;"|1",$Z$14:$Z$1213,0)),ISERROR(MATCH($H58&amp;"|1",$AA$14:$AA$1213,0))),"Tie",IF(MATCH($H58&amp;"|1",$Z$14:$Z$1213,0)=MATCH($H58&amp;"|1",$AA$14:$AA$1213,0),"Hit","Miss"))))</f>
        <v/>
      </c>
      <c r="K58" s="24">
        <f>IF($H58="","",IF(COUNTIFS($A$14:$A$1213,$H58,$F$14:$F$1213,"&gt;=0")=0,"—",IFERROR(INDEX($B$14:$B$1213,MATCH($H58&amp;"|1",$AA$14:$AA$1213,0)),"(tied)")))</f>
        <v/>
      </c>
      <c r="L58" s="25">
        <f>IF($H58="","",IF((--(COUNTIFS($A$14:$A$1213,$H58,$P$14:$P$1213,"&gt;=0")&gt;0)+--(COUNTIFS($A$14:$A$1213,$H58,$Q$14:$Q$1213,"&gt;=0")&gt;0)+--(COUNTIFS($A$14:$A$1213,$H58,$R$14:$R$1213,"&gt;=0")&gt;0)+--(COUNTIFS($A$14:$A$1213,$H58,$S$14:$S$1213,"&gt;=0")&gt;0)+--(COUNTIFS($A$14:$A$1213,$H58,$T$14:$T$1213,"&gt;=0")&gt;0))&lt;2,"—",IF(SUMIFS($AH$14:$AH$1213,$A$14:$A$1213,$H58)=0,"Yes","No")))</f>
        <v/>
      </c>
      <c r="M58" s="25">
        <f>IF($H58="","",IF(COUNTIFS($A$14:$A$1213,$H58,$F$14:$F$1213,"&gt;=0")&lt;2,"—",IF(COUNTIFS($A$14:$A$1213,$H58,$F$14:$F$1213,_xlfn.MAXIFS($F$14:$F$1213,$A$14:$A$1213,$H58))&gt;1,"No",IF(NOT(ISNUMBER($AN58)),"—",IF((2*(1-NORMSDIST(ABS($AN58))))&lt;0.05,"Yes","No")))))</f>
        <v/>
      </c>
      <c r="N58" s="21">
        <f>IF($H58="","",IF(NOT(ISNUMBER($AN58)),"—",IF((2*(1-NORMSDIST(ABS($AN58))))&lt;0.001,"&lt;0.001",TEXT((2*(1-NORMSDIST(ABS($AN58)))),"0.000"))))</f>
        <v/>
      </c>
      <c r="P58" s="26" t="n"/>
      <c r="Q58" s="26" t="n"/>
      <c r="R58" s="26" t="n"/>
      <c r="S58" s="26" t="n"/>
      <c r="T58" s="26" t="n"/>
      <c r="V58" s="27">
        <f>IF(ISNUMBER($C58),COUNTIFS($A$14:$A$1213,$A58,$C$14:$C$1213,"&gt;"&amp;$C58)+(COUNTIFS($A$14:$A$1213,$A58,$C$14:$C$1213,"="&amp;$C58)+1)/2,"")</f>
        <v/>
      </c>
      <c r="W58" s="27">
        <f>IF(ISNUMBER($F58),COUNTIFS($A$14:$A$1213,$A58,$F$14:$F$1213,"&gt;"&amp;$F58)+(COUNTIFS($A$14:$A$1213,$A58,$F$14:$F$1213,"="&amp;$F58)+1)/2,"")</f>
        <v/>
      </c>
      <c r="X58" s="27">
        <f>IF(OR(NOT(ISNUMBER($V58)),$AO58=1),"",$V58-(COUNTIFS($A$14:$A$1213,$A58,$C$14:$C$1213,"&gt;=0")+1)/2)</f>
        <v/>
      </c>
      <c r="Y58" s="27">
        <f>IF(OR(NOT(ISNUMBER($W58)),$AO58=1),"",$W58-(COUNTIFS($A$14:$A$1213,$A58,$F$14:$F$1213,"&gt;=0")+1)/2)</f>
        <v/>
      </c>
      <c r="Z58" s="27">
        <f>IF(ISNUMBER($V58),$A58&amp;"|"&amp;$V58,"")</f>
        <v/>
      </c>
      <c r="AA58" s="27">
        <f>IF(ISNUMBER($W58),$A58&amp;"|"&amp;$W58,"")</f>
        <v/>
      </c>
      <c r="AB58" s="27">
        <f>IF(ISNUMBER($F58),$A58&amp;"|"&amp;$F58,"")</f>
        <v/>
      </c>
      <c r="AC58" s="27">
        <f>IF(ISNUMBER($P58),COUNTIFS($A$14:$A$1213,$A58,$P$14:$P$1213,"&gt;"&amp;$P58)+(COUNTIFS($A$14:$A$1213,$A58,$P$14:$P$1213,"="&amp;$P58)+1)/2,"")</f>
        <v/>
      </c>
      <c r="AD58" s="27">
        <f>IF(ISNUMBER($Q58),COUNTIFS($A$14:$A$1213,$A58,$Q$14:$Q$1213,"&gt;"&amp;$Q58)+(COUNTIFS($A$14:$A$1213,$A58,$Q$14:$Q$1213,"="&amp;$Q58)+1)/2,"")</f>
        <v/>
      </c>
      <c r="AE58" s="27">
        <f>IF(ISNUMBER($R58),COUNTIFS($A$14:$A$1213,$A58,$R$14:$R$1213,"&gt;"&amp;$R58)+(COUNTIFS($A$14:$A$1213,$A58,$R$14:$R$1213,"="&amp;$R58)+1)/2,"")</f>
        <v/>
      </c>
      <c r="AF58" s="27">
        <f>IF(ISNUMBER($S58),COUNTIFS($A$14:$A$1213,$A58,$S$14:$S$1213,"&gt;"&amp;$S58)+(COUNTIFS($A$14:$A$1213,$A58,$S$14:$S$1213,"="&amp;$S58)+1)/2,"")</f>
        <v/>
      </c>
      <c r="AG58" s="27">
        <f>IF(ISNUMBER($T58),COUNTIFS($A$14:$A$1213,$A58,$T$14:$T$1213,"&gt;"&amp;$T58)+(COUNTIFS($A$14:$A$1213,$A58,$T$14:$T$1213,"="&amp;$T58)+1)/2,"")</f>
        <v/>
      </c>
      <c r="AH58" s="27">
        <f>IF(COUNT($AC58:$AG58)&lt;2,"",IF(MAX($AC58:$AG58)=MIN($AC58:$AG58),0,1))</f>
        <v/>
      </c>
      <c r="AI58" s="27">
        <f>IF($A58="","",IF(COUNTIF($A$14:$A58,$A58)=1,COUNTIF($AI$13:AI57,"&gt;0")+1,""))</f>
        <v/>
      </c>
      <c r="AJ58" s="27">
        <f>IF(OR($H58="",COUNTIFS($A$14:$A$1213,$H58,$F$14:$F$1213,"&gt;=0")&lt;2,COUNTIFS($A$14:$A$1213,$H58,$F$14:$F$1213,_xlfn.MAXIFS($F$14:$F$1213,$A$14:$A$1213,$H58))&gt;1),"",IFERROR(INDEX($D$14:$D$1213,MATCH($H58&amp;"|"&amp;_xlfn.MAXIFS($F$14:$F$1213,$A$14:$A$1213,$H58),$AB$14:$AB$1213,0)),""))</f>
        <v/>
      </c>
      <c r="AK58" s="27">
        <f>IF(OR($H58="",COUNTIFS($A$14:$A$1213,$H58,$F$14:$F$1213,"&gt;=0")&lt;2,COUNTIFS($A$14:$A$1213,$H58,$F$14:$F$1213,_xlfn.MAXIFS($F$14:$F$1213,$A$14:$A$1213,$H58))&gt;1),"",IFERROR(INDEX($E$14:$E$1213,MATCH($H58&amp;"|"&amp;_xlfn.MAXIFS($F$14:$F$1213,$A$14:$A$1213,$H58),$AB$14:$AB$1213,0)),""))</f>
        <v/>
      </c>
      <c r="AL58" s="27">
        <f>IF(OR($H58="",COUNTIFS($A$14:$A$1213,$H58,$F$14:$F$1213,"&gt;=0")&lt;2,COUNTIFS($A$14:$A$1213,$H58,$F$14:$F$1213,_xlfn.MAXIFS($F$14:$F$1213,$A$14:$A$1213,$H58))&gt;1),"",IFERROR(INDEX($D$14:$D$1213,MATCH($H58&amp;"|"&amp;_xlfn.MAXIFS($F$14:$F$1213,$A$14:$A$1213,$H58,$F$14:$F$1213,"&lt;"&amp;_xlfn.MAXIFS($F$14:$F$1213,$A$14:$A$1213,$H58)),$AB$14:$AB$1213,0)),""))</f>
        <v/>
      </c>
      <c r="AM58" s="27">
        <f>IF(OR($H58="",COUNTIFS($A$14:$A$1213,$H58,$F$14:$F$1213,"&gt;=0")&lt;2,COUNTIFS($A$14:$A$1213,$H58,$F$14:$F$1213,_xlfn.MAXIFS($F$14:$F$1213,$A$14:$A$1213,$H58))&gt;1),"",IFERROR(INDEX($E$14:$E$1213,MATCH($H58&amp;"|"&amp;_xlfn.MAXIFS($F$14:$F$1213,$A$14:$A$1213,$H58,$F$14:$F$1213,"&lt;"&amp;_xlfn.MAXIFS($F$14:$F$1213,$A$14:$A$1213,$H58)),$AB$14:$AB$1213,0)),""))</f>
        <v/>
      </c>
      <c r="AN58" s="27">
        <f>IF(OR(NOT(ISNUMBER($AJ58)),NOT(ISNUMBER($AL58)),$AK58=0,$AM58=0),"",IF(OR((($AJ58+$AL58)/($AK58+$AM58))&lt;=0,(($AJ58+$AL58)/($AK58+$AM58))&gt;=1),"",($AJ58/$AK58-$AL58/$AM58)/SQRT((($AJ58+$AL58)/($AK58+$AM58))*(1-(($AJ58+$AL58)/($AK58+$AM58)))*(1/$AK58+1/$AM58))))</f>
        <v/>
      </c>
      <c r="AO58" s="27">
        <f>IF($A58="","",IF(AND(COUNTIFS($A$14:$A$1213,$A58,$F$14:$F$1213,"&gt;=0")=2,IFERROR(INDEX($M$14:$M$313,MATCH($A58,$H$14:$H$313,0)),"Yes")&lt;&gt;"Yes"),1,0))</f>
        <v/>
      </c>
    </row>
    <row r="59" ht="24" customHeight="1">
      <c r="A59" s="19">
        <f>IF('Enter messages'!A59="","",'Enter messages'!A59)</f>
        <v/>
      </c>
      <c r="B59" s="20">
        <f>IF('Enter messages'!B59="","",'Enter messages'!B59)</f>
        <v/>
      </c>
      <c r="C59" s="21">
        <f>IFERROR(AVERAGE(P59:T59),"")</f>
        <v/>
      </c>
      <c r="D59" s="29" t="n"/>
      <c r="E59" s="29" t="n"/>
      <c r="F59" s="30">
        <f>IF(AND(ISNUMBER($D59),ISNUMBER($E59),$E59&gt;0,$D59&lt;=$E59),$D59/$E59,"")</f>
        <v/>
      </c>
      <c r="H59" s="19">
        <f>IFERROR(INDEX($A$14:$A$1213,MATCH(46,$AI$14:$AI$1213,0)),"")</f>
        <v/>
      </c>
      <c r="I59" s="24">
        <f>IF($H59="","",IF(COUNTIFS($A$14:$A$1213,$H59,$C$14:$C$1213,"&gt;=0")=0,"—",IFERROR(INDEX($B$14:$B$1213,MATCH($H59&amp;"|1",$Z$14:$Z$1213,0)),"(tied)")))</f>
        <v/>
      </c>
      <c r="J59" s="25">
        <f>IF($H59="","",IF(OR(COUNTIFS($A$14:$A$1213,$H59,$C$14:$C$1213,"&gt;=0")=0,COUNTIFS($A$14:$A$1213,$H59,$F$14:$F$1213,"&gt;=0")=0),"—",IF(OR(ISERROR(MATCH($H59&amp;"|1",$Z$14:$Z$1213,0)),ISERROR(MATCH($H59&amp;"|1",$AA$14:$AA$1213,0))),"Tie",IF(MATCH($H59&amp;"|1",$Z$14:$Z$1213,0)=MATCH($H59&amp;"|1",$AA$14:$AA$1213,0),"Hit","Miss"))))</f>
        <v/>
      </c>
      <c r="K59" s="24">
        <f>IF($H59="","",IF(COUNTIFS($A$14:$A$1213,$H59,$F$14:$F$1213,"&gt;=0")=0,"—",IFERROR(INDEX($B$14:$B$1213,MATCH($H59&amp;"|1",$AA$14:$AA$1213,0)),"(tied)")))</f>
        <v/>
      </c>
      <c r="L59" s="25">
        <f>IF($H59="","",IF((--(COUNTIFS($A$14:$A$1213,$H59,$P$14:$P$1213,"&gt;=0")&gt;0)+--(COUNTIFS($A$14:$A$1213,$H59,$Q$14:$Q$1213,"&gt;=0")&gt;0)+--(COUNTIFS($A$14:$A$1213,$H59,$R$14:$R$1213,"&gt;=0")&gt;0)+--(COUNTIFS($A$14:$A$1213,$H59,$S$14:$S$1213,"&gt;=0")&gt;0)+--(COUNTIFS($A$14:$A$1213,$H59,$T$14:$T$1213,"&gt;=0")&gt;0))&lt;2,"—",IF(SUMIFS($AH$14:$AH$1213,$A$14:$A$1213,$H59)=0,"Yes","No")))</f>
        <v/>
      </c>
      <c r="M59" s="25">
        <f>IF($H59="","",IF(COUNTIFS($A$14:$A$1213,$H59,$F$14:$F$1213,"&gt;=0")&lt;2,"—",IF(COUNTIFS($A$14:$A$1213,$H59,$F$14:$F$1213,_xlfn.MAXIFS($F$14:$F$1213,$A$14:$A$1213,$H59))&gt;1,"No",IF(NOT(ISNUMBER($AN59)),"—",IF((2*(1-NORMSDIST(ABS($AN59))))&lt;0.05,"Yes","No")))))</f>
        <v/>
      </c>
      <c r="N59" s="21">
        <f>IF($H59="","",IF(NOT(ISNUMBER($AN59)),"—",IF((2*(1-NORMSDIST(ABS($AN59))))&lt;0.001,"&lt;0.001",TEXT((2*(1-NORMSDIST(ABS($AN59)))),"0.000"))))</f>
        <v/>
      </c>
      <c r="P59" s="26" t="n"/>
      <c r="Q59" s="26" t="n"/>
      <c r="R59" s="26" t="n"/>
      <c r="S59" s="26" t="n"/>
      <c r="T59" s="26" t="n"/>
      <c r="V59" s="27">
        <f>IF(ISNUMBER($C59),COUNTIFS($A$14:$A$1213,$A59,$C$14:$C$1213,"&gt;"&amp;$C59)+(COUNTIFS($A$14:$A$1213,$A59,$C$14:$C$1213,"="&amp;$C59)+1)/2,"")</f>
        <v/>
      </c>
      <c r="W59" s="27">
        <f>IF(ISNUMBER($F59),COUNTIFS($A$14:$A$1213,$A59,$F$14:$F$1213,"&gt;"&amp;$F59)+(COUNTIFS($A$14:$A$1213,$A59,$F$14:$F$1213,"="&amp;$F59)+1)/2,"")</f>
        <v/>
      </c>
      <c r="X59" s="27">
        <f>IF(OR(NOT(ISNUMBER($V59)),$AO59=1),"",$V59-(COUNTIFS($A$14:$A$1213,$A59,$C$14:$C$1213,"&gt;=0")+1)/2)</f>
        <v/>
      </c>
      <c r="Y59" s="27">
        <f>IF(OR(NOT(ISNUMBER($W59)),$AO59=1),"",$W59-(COUNTIFS($A$14:$A$1213,$A59,$F$14:$F$1213,"&gt;=0")+1)/2)</f>
        <v/>
      </c>
      <c r="Z59" s="27">
        <f>IF(ISNUMBER($V59),$A59&amp;"|"&amp;$V59,"")</f>
        <v/>
      </c>
      <c r="AA59" s="27">
        <f>IF(ISNUMBER($W59),$A59&amp;"|"&amp;$W59,"")</f>
        <v/>
      </c>
      <c r="AB59" s="27">
        <f>IF(ISNUMBER($F59),$A59&amp;"|"&amp;$F59,"")</f>
        <v/>
      </c>
      <c r="AC59" s="27">
        <f>IF(ISNUMBER($P59),COUNTIFS($A$14:$A$1213,$A59,$P$14:$P$1213,"&gt;"&amp;$P59)+(COUNTIFS($A$14:$A$1213,$A59,$P$14:$P$1213,"="&amp;$P59)+1)/2,"")</f>
        <v/>
      </c>
      <c r="AD59" s="27">
        <f>IF(ISNUMBER($Q59),COUNTIFS($A$14:$A$1213,$A59,$Q$14:$Q$1213,"&gt;"&amp;$Q59)+(COUNTIFS($A$14:$A$1213,$A59,$Q$14:$Q$1213,"="&amp;$Q59)+1)/2,"")</f>
        <v/>
      </c>
      <c r="AE59" s="27">
        <f>IF(ISNUMBER($R59),COUNTIFS($A$14:$A$1213,$A59,$R$14:$R$1213,"&gt;"&amp;$R59)+(COUNTIFS($A$14:$A$1213,$A59,$R$14:$R$1213,"="&amp;$R59)+1)/2,"")</f>
        <v/>
      </c>
      <c r="AF59" s="27">
        <f>IF(ISNUMBER($S59),COUNTIFS($A$14:$A$1213,$A59,$S$14:$S$1213,"&gt;"&amp;$S59)+(COUNTIFS($A$14:$A$1213,$A59,$S$14:$S$1213,"="&amp;$S59)+1)/2,"")</f>
        <v/>
      </c>
      <c r="AG59" s="27">
        <f>IF(ISNUMBER($T59),COUNTIFS($A$14:$A$1213,$A59,$T$14:$T$1213,"&gt;"&amp;$T59)+(COUNTIFS($A$14:$A$1213,$A59,$T$14:$T$1213,"="&amp;$T59)+1)/2,"")</f>
        <v/>
      </c>
      <c r="AH59" s="27">
        <f>IF(COUNT($AC59:$AG59)&lt;2,"",IF(MAX($AC59:$AG59)=MIN($AC59:$AG59),0,1))</f>
        <v/>
      </c>
      <c r="AI59" s="27">
        <f>IF($A59="","",IF(COUNTIF($A$14:$A59,$A59)=1,COUNTIF($AI$13:AI58,"&gt;0")+1,""))</f>
        <v/>
      </c>
      <c r="AJ59" s="27">
        <f>IF(OR($H59="",COUNTIFS($A$14:$A$1213,$H59,$F$14:$F$1213,"&gt;=0")&lt;2,COUNTIFS($A$14:$A$1213,$H59,$F$14:$F$1213,_xlfn.MAXIFS($F$14:$F$1213,$A$14:$A$1213,$H59))&gt;1),"",IFERROR(INDEX($D$14:$D$1213,MATCH($H59&amp;"|"&amp;_xlfn.MAXIFS($F$14:$F$1213,$A$14:$A$1213,$H59),$AB$14:$AB$1213,0)),""))</f>
        <v/>
      </c>
      <c r="AK59" s="27">
        <f>IF(OR($H59="",COUNTIFS($A$14:$A$1213,$H59,$F$14:$F$1213,"&gt;=0")&lt;2,COUNTIFS($A$14:$A$1213,$H59,$F$14:$F$1213,_xlfn.MAXIFS($F$14:$F$1213,$A$14:$A$1213,$H59))&gt;1),"",IFERROR(INDEX($E$14:$E$1213,MATCH($H59&amp;"|"&amp;_xlfn.MAXIFS($F$14:$F$1213,$A$14:$A$1213,$H59),$AB$14:$AB$1213,0)),""))</f>
        <v/>
      </c>
      <c r="AL59" s="27">
        <f>IF(OR($H59="",COUNTIFS($A$14:$A$1213,$H59,$F$14:$F$1213,"&gt;=0")&lt;2,COUNTIFS($A$14:$A$1213,$H59,$F$14:$F$1213,_xlfn.MAXIFS($F$14:$F$1213,$A$14:$A$1213,$H59))&gt;1),"",IFERROR(INDEX($D$14:$D$1213,MATCH($H59&amp;"|"&amp;_xlfn.MAXIFS($F$14:$F$1213,$A$14:$A$1213,$H59,$F$14:$F$1213,"&lt;"&amp;_xlfn.MAXIFS($F$14:$F$1213,$A$14:$A$1213,$H59)),$AB$14:$AB$1213,0)),""))</f>
        <v/>
      </c>
      <c r="AM59" s="27">
        <f>IF(OR($H59="",COUNTIFS($A$14:$A$1213,$H59,$F$14:$F$1213,"&gt;=0")&lt;2,COUNTIFS($A$14:$A$1213,$H59,$F$14:$F$1213,_xlfn.MAXIFS($F$14:$F$1213,$A$14:$A$1213,$H59))&gt;1),"",IFERROR(INDEX($E$14:$E$1213,MATCH($H59&amp;"|"&amp;_xlfn.MAXIFS($F$14:$F$1213,$A$14:$A$1213,$H59,$F$14:$F$1213,"&lt;"&amp;_xlfn.MAXIFS($F$14:$F$1213,$A$14:$A$1213,$H59)),$AB$14:$AB$1213,0)),""))</f>
        <v/>
      </c>
      <c r="AN59" s="27">
        <f>IF(OR(NOT(ISNUMBER($AJ59)),NOT(ISNUMBER($AL59)),$AK59=0,$AM59=0),"",IF(OR((($AJ59+$AL59)/($AK59+$AM59))&lt;=0,(($AJ59+$AL59)/($AK59+$AM59))&gt;=1),"",($AJ59/$AK59-$AL59/$AM59)/SQRT((($AJ59+$AL59)/($AK59+$AM59))*(1-(($AJ59+$AL59)/($AK59+$AM59)))*(1/$AK59+1/$AM59))))</f>
        <v/>
      </c>
      <c r="AO59" s="27">
        <f>IF($A59="","",IF(AND(COUNTIFS($A$14:$A$1213,$A59,$F$14:$F$1213,"&gt;=0")=2,IFERROR(INDEX($M$14:$M$313,MATCH($A59,$H$14:$H$313,0)),"Yes")&lt;&gt;"Yes"),1,0))</f>
        <v/>
      </c>
    </row>
    <row r="60" ht="24" customHeight="1">
      <c r="A60" s="19">
        <f>IF('Enter messages'!A60="","",'Enter messages'!A60)</f>
        <v/>
      </c>
      <c r="B60" s="20">
        <f>IF('Enter messages'!B60="","",'Enter messages'!B60)</f>
        <v/>
      </c>
      <c r="C60" s="21">
        <f>IFERROR(AVERAGE(P60:T60),"")</f>
        <v/>
      </c>
      <c r="D60" s="29" t="n"/>
      <c r="E60" s="29" t="n"/>
      <c r="F60" s="30">
        <f>IF(AND(ISNUMBER($D60),ISNUMBER($E60),$E60&gt;0,$D60&lt;=$E60),$D60/$E60,"")</f>
        <v/>
      </c>
      <c r="H60" s="19">
        <f>IFERROR(INDEX($A$14:$A$1213,MATCH(47,$AI$14:$AI$1213,0)),"")</f>
        <v/>
      </c>
      <c r="I60" s="24">
        <f>IF($H60="","",IF(COUNTIFS($A$14:$A$1213,$H60,$C$14:$C$1213,"&gt;=0")=0,"—",IFERROR(INDEX($B$14:$B$1213,MATCH($H60&amp;"|1",$Z$14:$Z$1213,0)),"(tied)")))</f>
        <v/>
      </c>
      <c r="J60" s="25">
        <f>IF($H60="","",IF(OR(COUNTIFS($A$14:$A$1213,$H60,$C$14:$C$1213,"&gt;=0")=0,COUNTIFS($A$14:$A$1213,$H60,$F$14:$F$1213,"&gt;=0")=0),"—",IF(OR(ISERROR(MATCH($H60&amp;"|1",$Z$14:$Z$1213,0)),ISERROR(MATCH($H60&amp;"|1",$AA$14:$AA$1213,0))),"Tie",IF(MATCH($H60&amp;"|1",$Z$14:$Z$1213,0)=MATCH($H60&amp;"|1",$AA$14:$AA$1213,0),"Hit","Miss"))))</f>
        <v/>
      </c>
      <c r="K60" s="24">
        <f>IF($H60="","",IF(COUNTIFS($A$14:$A$1213,$H60,$F$14:$F$1213,"&gt;=0")=0,"—",IFERROR(INDEX($B$14:$B$1213,MATCH($H60&amp;"|1",$AA$14:$AA$1213,0)),"(tied)")))</f>
        <v/>
      </c>
      <c r="L60" s="25">
        <f>IF($H60="","",IF((--(COUNTIFS($A$14:$A$1213,$H60,$P$14:$P$1213,"&gt;=0")&gt;0)+--(COUNTIFS($A$14:$A$1213,$H60,$Q$14:$Q$1213,"&gt;=0")&gt;0)+--(COUNTIFS($A$14:$A$1213,$H60,$R$14:$R$1213,"&gt;=0")&gt;0)+--(COUNTIFS($A$14:$A$1213,$H60,$S$14:$S$1213,"&gt;=0")&gt;0)+--(COUNTIFS($A$14:$A$1213,$H60,$T$14:$T$1213,"&gt;=0")&gt;0))&lt;2,"—",IF(SUMIFS($AH$14:$AH$1213,$A$14:$A$1213,$H60)=0,"Yes","No")))</f>
        <v/>
      </c>
      <c r="M60" s="25">
        <f>IF($H60="","",IF(COUNTIFS($A$14:$A$1213,$H60,$F$14:$F$1213,"&gt;=0")&lt;2,"—",IF(COUNTIFS($A$14:$A$1213,$H60,$F$14:$F$1213,_xlfn.MAXIFS($F$14:$F$1213,$A$14:$A$1213,$H60))&gt;1,"No",IF(NOT(ISNUMBER($AN60)),"—",IF((2*(1-NORMSDIST(ABS($AN60))))&lt;0.05,"Yes","No")))))</f>
        <v/>
      </c>
      <c r="N60" s="21">
        <f>IF($H60="","",IF(NOT(ISNUMBER($AN60)),"—",IF((2*(1-NORMSDIST(ABS($AN60))))&lt;0.001,"&lt;0.001",TEXT((2*(1-NORMSDIST(ABS($AN60)))),"0.000"))))</f>
        <v/>
      </c>
      <c r="P60" s="26" t="n"/>
      <c r="Q60" s="26" t="n"/>
      <c r="R60" s="26" t="n"/>
      <c r="S60" s="26" t="n"/>
      <c r="T60" s="26" t="n"/>
      <c r="V60" s="27">
        <f>IF(ISNUMBER($C60),COUNTIFS($A$14:$A$1213,$A60,$C$14:$C$1213,"&gt;"&amp;$C60)+(COUNTIFS($A$14:$A$1213,$A60,$C$14:$C$1213,"="&amp;$C60)+1)/2,"")</f>
        <v/>
      </c>
      <c r="W60" s="27">
        <f>IF(ISNUMBER($F60),COUNTIFS($A$14:$A$1213,$A60,$F$14:$F$1213,"&gt;"&amp;$F60)+(COUNTIFS($A$14:$A$1213,$A60,$F$14:$F$1213,"="&amp;$F60)+1)/2,"")</f>
        <v/>
      </c>
      <c r="X60" s="27">
        <f>IF(OR(NOT(ISNUMBER($V60)),$AO60=1),"",$V60-(COUNTIFS($A$14:$A$1213,$A60,$C$14:$C$1213,"&gt;=0")+1)/2)</f>
        <v/>
      </c>
      <c r="Y60" s="27">
        <f>IF(OR(NOT(ISNUMBER($W60)),$AO60=1),"",$W60-(COUNTIFS($A$14:$A$1213,$A60,$F$14:$F$1213,"&gt;=0")+1)/2)</f>
        <v/>
      </c>
      <c r="Z60" s="27">
        <f>IF(ISNUMBER($V60),$A60&amp;"|"&amp;$V60,"")</f>
        <v/>
      </c>
      <c r="AA60" s="27">
        <f>IF(ISNUMBER($W60),$A60&amp;"|"&amp;$W60,"")</f>
        <v/>
      </c>
      <c r="AB60" s="27">
        <f>IF(ISNUMBER($F60),$A60&amp;"|"&amp;$F60,"")</f>
        <v/>
      </c>
      <c r="AC60" s="27">
        <f>IF(ISNUMBER($P60),COUNTIFS($A$14:$A$1213,$A60,$P$14:$P$1213,"&gt;"&amp;$P60)+(COUNTIFS($A$14:$A$1213,$A60,$P$14:$P$1213,"="&amp;$P60)+1)/2,"")</f>
        <v/>
      </c>
      <c r="AD60" s="27">
        <f>IF(ISNUMBER($Q60),COUNTIFS($A$14:$A$1213,$A60,$Q$14:$Q$1213,"&gt;"&amp;$Q60)+(COUNTIFS($A$14:$A$1213,$A60,$Q$14:$Q$1213,"="&amp;$Q60)+1)/2,"")</f>
        <v/>
      </c>
      <c r="AE60" s="27">
        <f>IF(ISNUMBER($R60),COUNTIFS($A$14:$A$1213,$A60,$R$14:$R$1213,"&gt;"&amp;$R60)+(COUNTIFS($A$14:$A$1213,$A60,$R$14:$R$1213,"="&amp;$R60)+1)/2,"")</f>
        <v/>
      </c>
      <c r="AF60" s="27">
        <f>IF(ISNUMBER($S60),COUNTIFS($A$14:$A$1213,$A60,$S$14:$S$1213,"&gt;"&amp;$S60)+(COUNTIFS($A$14:$A$1213,$A60,$S$14:$S$1213,"="&amp;$S60)+1)/2,"")</f>
        <v/>
      </c>
      <c r="AG60" s="27">
        <f>IF(ISNUMBER($T60),COUNTIFS($A$14:$A$1213,$A60,$T$14:$T$1213,"&gt;"&amp;$T60)+(COUNTIFS($A$14:$A$1213,$A60,$T$14:$T$1213,"="&amp;$T60)+1)/2,"")</f>
        <v/>
      </c>
      <c r="AH60" s="27">
        <f>IF(COUNT($AC60:$AG60)&lt;2,"",IF(MAX($AC60:$AG60)=MIN($AC60:$AG60),0,1))</f>
        <v/>
      </c>
      <c r="AI60" s="27">
        <f>IF($A60="","",IF(COUNTIF($A$14:$A60,$A60)=1,COUNTIF($AI$13:AI59,"&gt;0")+1,""))</f>
        <v/>
      </c>
      <c r="AJ60" s="27">
        <f>IF(OR($H60="",COUNTIFS($A$14:$A$1213,$H60,$F$14:$F$1213,"&gt;=0")&lt;2,COUNTIFS($A$14:$A$1213,$H60,$F$14:$F$1213,_xlfn.MAXIFS($F$14:$F$1213,$A$14:$A$1213,$H60))&gt;1),"",IFERROR(INDEX($D$14:$D$1213,MATCH($H60&amp;"|"&amp;_xlfn.MAXIFS($F$14:$F$1213,$A$14:$A$1213,$H60),$AB$14:$AB$1213,0)),""))</f>
        <v/>
      </c>
      <c r="AK60" s="27">
        <f>IF(OR($H60="",COUNTIFS($A$14:$A$1213,$H60,$F$14:$F$1213,"&gt;=0")&lt;2,COUNTIFS($A$14:$A$1213,$H60,$F$14:$F$1213,_xlfn.MAXIFS($F$14:$F$1213,$A$14:$A$1213,$H60))&gt;1),"",IFERROR(INDEX($E$14:$E$1213,MATCH($H60&amp;"|"&amp;_xlfn.MAXIFS($F$14:$F$1213,$A$14:$A$1213,$H60),$AB$14:$AB$1213,0)),""))</f>
        <v/>
      </c>
      <c r="AL60" s="27">
        <f>IF(OR($H60="",COUNTIFS($A$14:$A$1213,$H60,$F$14:$F$1213,"&gt;=0")&lt;2,COUNTIFS($A$14:$A$1213,$H60,$F$14:$F$1213,_xlfn.MAXIFS($F$14:$F$1213,$A$14:$A$1213,$H60))&gt;1),"",IFERROR(INDEX($D$14:$D$1213,MATCH($H60&amp;"|"&amp;_xlfn.MAXIFS($F$14:$F$1213,$A$14:$A$1213,$H60,$F$14:$F$1213,"&lt;"&amp;_xlfn.MAXIFS($F$14:$F$1213,$A$14:$A$1213,$H60)),$AB$14:$AB$1213,0)),""))</f>
        <v/>
      </c>
      <c r="AM60" s="27">
        <f>IF(OR($H60="",COUNTIFS($A$14:$A$1213,$H60,$F$14:$F$1213,"&gt;=0")&lt;2,COUNTIFS($A$14:$A$1213,$H60,$F$14:$F$1213,_xlfn.MAXIFS($F$14:$F$1213,$A$14:$A$1213,$H60))&gt;1),"",IFERROR(INDEX($E$14:$E$1213,MATCH($H60&amp;"|"&amp;_xlfn.MAXIFS($F$14:$F$1213,$A$14:$A$1213,$H60,$F$14:$F$1213,"&lt;"&amp;_xlfn.MAXIFS($F$14:$F$1213,$A$14:$A$1213,$H60)),$AB$14:$AB$1213,0)),""))</f>
        <v/>
      </c>
      <c r="AN60" s="27">
        <f>IF(OR(NOT(ISNUMBER($AJ60)),NOT(ISNUMBER($AL60)),$AK60=0,$AM60=0),"",IF(OR((($AJ60+$AL60)/($AK60+$AM60))&lt;=0,(($AJ60+$AL60)/($AK60+$AM60))&gt;=1),"",($AJ60/$AK60-$AL60/$AM60)/SQRT((($AJ60+$AL60)/($AK60+$AM60))*(1-(($AJ60+$AL60)/($AK60+$AM60)))*(1/$AK60+1/$AM60))))</f>
        <v/>
      </c>
      <c r="AO60" s="27">
        <f>IF($A60="","",IF(AND(COUNTIFS($A$14:$A$1213,$A60,$F$14:$F$1213,"&gt;=0")=2,IFERROR(INDEX($M$14:$M$313,MATCH($A60,$H$14:$H$313,0)),"Yes")&lt;&gt;"Yes"),1,0))</f>
        <v/>
      </c>
    </row>
    <row r="61" ht="24" customHeight="1">
      <c r="A61" s="19">
        <f>IF('Enter messages'!A61="","",'Enter messages'!A61)</f>
        <v/>
      </c>
      <c r="B61" s="20">
        <f>IF('Enter messages'!B61="","",'Enter messages'!B61)</f>
        <v/>
      </c>
      <c r="C61" s="21">
        <f>IFERROR(AVERAGE(P61:T61),"")</f>
        <v/>
      </c>
      <c r="D61" s="29" t="n"/>
      <c r="E61" s="29" t="n"/>
      <c r="F61" s="30">
        <f>IF(AND(ISNUMBER($D61),ISNUMBER($E61),$E61&gt;0,$D61&lt;=$E61),$D61/$E61,"")</f>
        <v/>
      </c>
      <c r="H61" s="19">
        <f>IFERROR(INDEX($A$14:$A$1213,MATCH(48,$AI$14:$AI$1213,0)),"")</f>
        <v/>
      </c>
      <c r="I61" s="24">
        <f>IF($H61="","",IF(COUNTIFS($A$14:$A$1213,$H61,$C$14:$C$1213,"&gt;=0")=0,"—",IFERROR(INDEX($B$14:$B$1213,MATCH($H61&amp;"|1",$Z$14:$Z$1213,0)),"(tied)")))</f>
        <v/>
      </c>
      <c r="J61" s="25">
        <f>IF($H61="","",IF(OR(COUNTIFS($A$14:$A$1213,$H61,$C$14:$C$1213,"&gt;=0")=0,COUNTIFS($A$14:$A$1213,$H61,$F$14:$F$1213,"&gt;=0")=0),"—",IF(OR(ISERROR(MATCH($H61&amp;"|1",$Z$14:$Z$1213,0)),ISERROR(MATCH($H61&amp;"|1",$AA$14:$AA$1213,0))),"Tie",IF(MATCH($H61&amp;"|1",$Z$14:$Z$1213,0)=MATCH($H61&amp;"|1",$AA$14:$AA$1213,0),"Hit","Miss"))))</f>
        <v/>
      </c>
      <c r="K61" s="24">
        <f>IF($H61="","",IF(COUNTIFS($A$14:$A$1213,$H61,$F$14:$F$1213,"&gt;=0")=0,"—",IFERROR(INDEX($B$14:$B$1213,MATCH($H61&amp;"|1",$AA$14:$AA$1213,0)),"(tied)")))</f>
        <v/>
      </c>
      <c r="L61" s="25">
        <f>IF($H61="","",IF((--(COUNTIFS($A$14:$A$1213,$H61,$P$14:$P$1213,"&gt;=0")&gt;0)+--(COUNTIFS($A$14:$A$1213,$H61,$Q$14:$Q$1213,"&gt;=0")&gt;0)+--(COUNTIFS($A$14:$A$1213,$H61,$R$14:$R$1213,"&gt;=0")&gt;0)+--(COUNTIFS($A$14:$A$1213,$H61,$S$14:$S$1213,"&gt;=0")&gt;0)+--(COUNTIFS($A$14:$A$1213,$H61,$T$14:$T$1213,"&gt;=0")&gt;0))&lt;2,"—",IF(SUMIFS($AH$14:$AH$1213,$A$14:$A$1213,$H61)=0,"Yes","No")))</f>
        <v/>
      </c>
      <c r="M61" s="25">
        <f>IF($H61="","",IF(COUNTIFS($A$14:$A$1213,$H61,$F$14:$F$1213,"&gt;=0")&lt;2,"—",IF(COUNTIFS($A$14:$A$1213,$H61,$F$14:$F$1213,_xlfn.MAXIFS($F$14:$F$1213,$A$14:$A$1213,$H61))&gt;1,"No",IF(NOT(ISNUMBER($AN61)),"—",IF((2*(1-NORMSDIST(ABS($AN61))))&lt;0.05,"Yes","No")))))</f>
        <v/>
      </c>
      <c r="N61" s="21">
        <f>IF($H61="","",IF(NOT(ISNUMBER($AN61)),"—",IF((2*(1-NORMSDIST(ABS($AN61))))&lt;0.001,"&lt;0.001",TEXT((2*(1-NORMSDIST(ABS($AN61)))),"0.000"))))</f>
        <v/>
      </c>
      <c r="P61" s="26" t="n"/>
      <c r="Q61" s="26" t="n"/>
      <c r="R61" s="26" t="n"/>
      <c r="S61" s="26" t="n"/>
      <c r="T61" s="26" t="n"/>
      <c r="V61" s="27">
        <f>IF(ISNUMBER($C61),COUNTIFS($A$14:$A$1213,$A61,$C$14:$C$1213,"&gt;"&amp;$C61)+(COUNTIFS($A$14:$A$1213,$A61,$C$14:$C$1213,"="&amp;$C61)+1)/2,"")</f>
        <v/>
      </c>
      <c r="W61" s="27">
        <f>IF(ISNUMBER($F61),COUNTIFS($A$14:$A$1213,$A61,$F$14:$F$1213,"&gt;"&amp;$F61)+(COUNTIFS($A$14:$A$1213,$A61,$F$14:$F$1213,"="&amp;$F61)+1)/2,"")</f>
        <v/>
      </c>
      <c r="X61" s="27">
        <f>IF(OR(NOT(ISNUMBER($V61)),$AO61=1),"",$V61-(COUNTIFS($A$14:$A$1213,$A61,$C$14:$C$1213,"&gt;=0")+1)/2)</f>
        <v/>
      </c>
      <c r="Y61" s="27">
        <f>IF(OR(NOT(ISNUMBER($W61)),$AO61=1),"",$W61-(COUNTIFS($A$14:$A$1213,$A61,$F$14:$F$1213,"&gt;=0")+1)/2)</f>
        <v/>
      </c>
      <c r="Z61" s="27">
        <f>IF(ISNUMBER($V61),$A61&amp;"|"&amp;$V61,"")</f>
        <v/>
      </c>
      <c r="AA61" s="27">
        <f>IF(ISNUMBER($W61),$A61&amp;"|"&amp;$W61,"")</f>
        <v/>
      </c>
      <c r="AB61" s="27">
        <f>IF(ISNUMBER($F61),$A61&amp;"|"&amp;$F61,"")</f>
        <v/>
      </c>
      <c r="AC61" s="27">
        <f>IF(ISNUMBER($P61),COUNTIFS($A$14:$A$1213,$A61,$P$14:$P$1213,"&gt;"&amp;$P61)+(COUNTIFS($A$14:$A$1213,$A61,$P$14:$P$1213,"="&amp;$P61)+1)/2,"")</f>
        <v/>
      </c>
      <c r="AD61" s="27">
        <f>IF(ISNUMBER($Q61),COUNTIFS($A$14:$A$1213,$A61,$Q$14:$Q$1213,"&gt;"&amp;$Q61)+(COUNTIFS($A$14:$A$1213,$A61,$Q$14:$Q$1213,"="&amp;$Q61)+1)/2,"")</f>
        <v/>
      </c>
      <c r="AE61" s="27">
        <f>IF(ISNUMBER($R61),COUNTIFS($A$14:$A$1213,$A61,$R$14:$R$1213,"&gt;"&amp;$R61)+(COUNTIFS($A$14:$A$1213,$A61,$R$14:$R$1213,"="&amp;$R61)+1)/2,"")</f>
        <v/>
      </c>
      <c r="AF61" s="27">
        <f>IF(ISNUMBER($S61),COUNTIFS($A$14:$A$1213,$A61,$S$14:$S$1213,"&gt;"&amp;$S61)+(COUNTIFS($A$14:$A$1213,$A61,$S$14:$S$1213,"="&amp;$S61)+1)/2,"")</f>
        <v/>
      </c>
      <c r="AG61" s="27">
        <f>IF(ISNUMBER($T61),COUNTIFS($A$14:$A$1213,$A61,$T$14:$T$1213,"&gt;"&amp;$T61)+(COUNTIFS($A$14:$A$1213,$A61,$T$14:$T$1213,"="&amp;$T61)+1)/2,"")</f>
        <v/>
      </c>
      <c r="AH61" s="27">
        <f>IF(COUNT($AC61:$AG61)&lt;2,"",IF(MAX($AC61:$AG61)=MIN($AC61:$AG61),0,1))</f>
        <v/>
      </c>
      <c r="AI61" s="27">
        <f>IF($A61="","",IF(COUNTIF($A$14:$A61,$A61)=1,COUNTIF($AI$13:AI60,"&gt;0")+1,""))</f>
        <v/>
      </c>
      <c r="AJ61" s="27">
        <f>IF(OR($H61="",COUNTIFS($A$14:$A$1213,$H61,$F$14:$F$1213,"&gt;=0")&lt;2,COUNTIFS($A$14:$A$1213,$H61,$F$14:$F$1213,_xlfn.MAXIFS($F$14:$F$1213,$A$14:$A$1213,$H61))&gt;1),"",IFERROR(INDEX($D$14:$D$1213,MATCH($H61&amp;"|"&amp;_xlfn.MAXIFS($F$14:$F$1213,$A$14:$A$1213,$H61),$AB$14:$AB$1213,0)),""))</f>
        <v/>
      </c>
      <c r="AK61" s="27">
        <f>IF(OR($H61="",COUNTIFS($A$14:$A$1213,$H61,$F$14:$F$1213,"&gt;=0")&lt;2,COUNTIFS($A$14:$A$1213,$H61,$F$14:$F$1213,_xlfn.MAXIFS($F$14:$F$1213,$A$14:$A$1213,$H61))&gt;1),"",IFERROR(INDEX($E$14:$E$1213,MATCH($H61&amp;"|"&amp;_xlfn.MAXIFS($F$14:$F$1213,$A$14:$A$1213,$H61),$AB$14:$AB$1213,0)),""))</f>
        <v/>
      </c>
      <c r="AL61" s="27">
        <f>IF(OR($H61="",COUNTIFS($A$14:$A$1213,$H61,$F$14:$F$1213,"&gt;=0")&lt;2,COUNTIFS($A$14:$A$1213,$H61,$F$14:$F$1213,_xlfn.MAXIFS($F$14:$F$1213,$A$14:$A$1213,$H61))&gt;1),"",IFERROR(INDEX($D$14:$D$1213,MATCH($H61&amp;"|"&amp;_xlfn.MAXIFS($F$14:$F$1213,$A$14:$A$1213,$H61,$F$14:$F$1213,"&lt;"&amp;_xlfn.MAXIFS($F$14:$F$1213,$A$14:$A$1213,$H61)),$AB$14:$AB$1213,0)),""))</f>
        <v/>
      </c>
      <c r="AM61" s="27">
        <f>IF(OR($H61="",COUNTIFS($A$14:$A$1213,$H61,$F$14:$F$1213,"&gt;=0")&lt;2,COUNTIFS($A$14:$A$1213,$H61,$F$14:$F$1213,_xlfn.MAXIFS($F$14:$F$1213,$A$14:$A$1213,$H61))&gt;1),"",IFERROR(INDEX($E$14:$E$1213,MATCH($H61&amp;"|"&amp;_xlfn.MAXIFS($F$14:$F$1213,$A$14:$A$1213,$H61,$F$14:$F$1213,"&lt;"&amp;_xlfn.MAXIFS($F$14:$F$1213,$A$14:$A$1213,$H61)),$AB$14:$AB$1213,0)),""))</f>
        <v/>
      </c>
      <c r="AN61" s="27">
        <f>IF(OR(NOT(ISNUMBER($AJ61)),NOT(ISNUMBER($AL61)),$AK61=0,$AM61=0),"",IF(OR((($AJ61+$AL61)/($AK61+$AM61))&lt;=0,(($AJ61+$AL61)/($AK61+$AM61))&gt;=1),"",($AJ61/$AK61-$AL61/$AM61)/SQRT((($AJ61+$AL61)/($AK61+$AM61))*(1-(($AJ61+$AL61)/($AK61+$AM61)))*(1/$AK61+1/$AM61))))</f>
        <v/>
      </c>
      <c r="AO61" s="27">
        <f>IF($A61="","",IF(AND(COUNTIFS($A$14:$A$1213,$A61,$F$14:$F$1213,"&gt;=0")=2,IFERROR(INDEX($M$14:$M$313,MATCH($A61,$H$14:$H$313,0)),"Yes")&lt;&gt;"Yes"),1,0))</f>
        <v/>
      </c>
    </row>
    <row r="62" ht="24" customHeight="1">
      <c r="A62" s="19">
        <f>IF('Enter messages'!A62="","",'Enter messages'!A62)</f>
        <v/>
      </c>
      <c r="B62" s="20">
        <f>IF('Enter messages'!B62="","",'Enter messages'!B62)</f>
        <v/>
      </c>
      <c r="C62" s="21">
        <f>IFERROR(AVERAGE(P62:T62),"")</f>
        <v/>
      </c>
      <c r="D62" s="29" t="n"/>
      <c r="E62" s="29" t="n"/>
      <c r="F62" s="30">
        <f>IF(AND(ISNUMBER($D62),ISNUMBER($E62),$E62&gt;0,$D62&lt;=$E62),$D62/$E62,"")</f>
        <v/>
      </c>
      <c r="H62" s="19">
        <f>IFERROR(INDEX($A$14:$A$1213,MATCH(49,$AI$14:$AI$1213,0)),"")</f>
        <v/>
      </c>
      <c r="I62" s="24">
        <f>IF($H62="","",IF(COUNTIFS($A$14:$A$1213,$H62,$C$14:$C$1213,"&gt;=0")=0,"—",IFERROR(INDEX($B$14:$B$1213,MATCH($H62&amp;"|1",$Z$14:$Z$1213,0)),"(tied)")))</f>
        <v/>
      </c>
      <c r="J62" s="25">
        <f>IF($H62="","",IF(OR(COUNTIFS($A$14:$A$1213,$H62,$C$14:$C$1213,"&gt;=0")=0,COUNTIFS($A$14:$A$1213,$H62,$F$14:$F$1213,"&gt;=0")=0),"—",IF(OR(ISERROR(MATCH($H62&amp;"|1",$Z$14:$Z$1213,0)),ISERROR(MATCH($H62&amp;"|1",$AA$14:$AA$1213,0))),"Tie",IF(MATCH($H62&amp;"|1",$Z$14:$Z$1213,0)=MATCH($H62&amp;"|1",$AA$14:$AA$1213,0),"Hit","Miss"))))</f>
        <v/>
      </c>
      <c r="K62" s="24">
        <f>IF($H62="","",IF(COUNTIFS($A$14:$A$1213,$H62,$F$14:$F$1213,"&gt;=0")=0,"—",IFERROR(INDEX($B$14:$B$1213,MATCH($H62&amp;"|1",$AA$14:$AA$1213,0)),"(tied)")))</f>
        <v/>
      </c>
      <c r="L62" s="25">
        <f>IF($H62="","",IF((--(COUNTIFS($A$14:$A$1213,$H62,$P$14:$P$1213,"&gt;=0")&gt;0)+--(COUNTIFS($A$14:$A$1213,$H62,$Q$14:$Q$1213,"&gt;=0")&gt;0)+--(COUNTIFS($A$14:$A$1213,$H62,$R$14:$R$1213,"&gt;=0")&gt;0)+--(COUNTIFS($A$14:$A$1213,$H62,$S$14:$S$1213,"&gt;=0")&gt;0)+--(COUNTIFS($A$14:$A$1213,$H62,$T$14:$T$1213,"&gt;=0")&gt;0))&lt;2,"—",IF(SUMIFS($AH$14:$AH$1213,$A$14:$A$1213,$H62)=0,"Yes","No")))</f>
        <v/>
      </c>
      <c r="M62" s="25">
        <f>IF($H62="","",IF(COUNTIFS($A$14:$A$1213,$H62,$F$14:$F$1213,"&gt;=0")&lt;2,"—",IF(COUNTIFS($A$14:$A$1213,$H62,$F$14:$F$1213,_xlfn.MAXIFS($F$14:$F$1213,$A$14:$A$1213,$H62))&gt;1,"No",IF(NOT(ISNUMBER($AN62)),"—",IF((2*(1-NORMSDIST(ABS($AN62))))&lt;0.05,"Yes","No")))))</f>
        <v/>
      </c>
      <c r="N62" s="21">
        <f>IF($H62="","",IF(NOT(ISNUMBER($AN62)),"—",IF((2*(1-NORMSDIST(ABS($AN62))))&lt;0.001,"&lt;0.001",TEXT((2*(1-NORMSDIST(ABS($AN62)))),"0.000"))))</f>
        <v/>
      </c>
      <c r="P62" s="26" t="n"/>
      <c r="Q62" s="26" t="n"/>
      <c r="R62" s="26" t="n"/>
      <c r="S62" s="26" t="n"/>
      <c r="T62" s="26" t="n"/>
      <c r="V62" s="27">
        <f>IF(ISNUMBER($C62),COUNTIFS($A$14:$A$1213,$A62,$C$14:$C$1213,"&gt;"&amp;$C62)+(COUNTIFS($A$14:$A$1213,$A62,$C$14:$C$1213,"="&amp;$C62)+1)/2,"")</f>
        <v/>
      </c>
      <c r="W62" s="27">
        <f>IF(ISNUMBER($F62),COUNTIFS($A$14:$A$1213,$A62,$F$14:$F$1213,"&gt;"&amp;$F62)+(COUNTIFS($A$14:$A$1213,$A62,$F$14:$F$1213,"="&amp;$F62)+1)/2,"")</f>
        <v/>
      </c>
      <c r="X62" s="27">
        <f>IF(OR(NOT(ISNUMBER($V62)),$AO62=1),"",$V62-(COUNTIFS($A$14:$A$1213,$A62,$C$14:$C$1213,"&gt;=0")+1)/2)</f>
        <v/>
      </c>
      <c r="Y62" s="27">
        <f>IF(OR(NOT(ISNUMBER($W62)),$AO62=1),"",$W62-(COUNTIFS($A$14:$A$1213,$A62,$F$14:$F$1213,"&gt;=0")+1)/2)</f>
        <v/>
      </c>
      <c r="Z62" s="27">
        <f>IF(ISNUMBER($V62),$A62&amp;"|"&amp;$V62,"")</f>
        <v/>
      </c>
      <c r="AA62" s="27">
        <f>IF(ISNUMBER($W62),$A62&amp;"|"&amp;$W62,"")</f>
        <v/>
      </c>
      <c r="AB62" s="27">
        <f>IF(ISNUMBER($F62),$A62&amp;"|"&amp;$F62,"")</f>
        <v/>
      </c>
      <c r="AC62" s="27">
        <f>IF(ISNUMBER($P62),COUNTIFS($A$14:$A$1213,$A62,$P$14:$P$1213,"&gt;"&amp;$P62)+(COUNTIFS($A$14:$A$1213,$A62,$P$14:$P$1213,"="&amp;$P62)+1)/2,"")</f>
        <v/>
      </c>
      <c r="AD62" s="27">
        <f>IF(ISNUMBER($Q62),COUNTIFS($A$14:$A$1213,$A62,$Q$14:$Q$1213,"&gt;"&amp;$Q62)+(COUNTIFS($A$14:$A$1213,$A62,$Q$14:$Q$1213,"="&amp;$Q62)+1)/2,"")</f>
        <v/>
      </c>
      <c r="AE62" s="27">
        <f>IF(ISNUMBER($R62),COUNTIFS($A$14:$A$1213,$A62,$R$14:$R$1213,"&gt;"&amp;$R62)+(COUNTIFS($A$14:$A$1213,$A62,$R$14:$R$1213,"="&amp;$R62)+1)/2,"")</f>
        <v/>
      </c>
      <c r="AF62" s="27">
        <f>IF(ISNUMBER($S62),COUNTIFS($A$14:$A$1213,$A62,$S$14:$S$1213,"&gt;"&amp;$S62)+(COUNTIFS($A$14:$A$1213,$A62,$S$14:$S$1213,"="&amp;$S62)+1)/2,"")</f>
        <v/>
      </c>
      <c r="AG62" s="27">
        <f>IF(ISNUMBER($T62),COUNTIFS($A$14:$A$1213,$A62,$T$14:$T$1213,"&gt;"&amp;$T62)+(COUNTIFS($A$14:$A$1213,$A62,$T$14:$T$1213,"="&amp;$T62)+1)/2,"")</f>
        <v/>
      </c>
      <c r="AH62" s="27">
        <f>IF(COUNT($AC62:$AG62)&lt;2,"",IF(MAX($AC62:$AG62)=MIN($AC62:$AG62),0,1))</f>
        <v/>
      </c>
      <c r="AI62" s="27">
        <f>IF($A62="","",IF(COUNTIF($A$14:$A62,$A62)=1,COUNTIF($AI$13:AI61,"&gt;0")+1,""))</f>
        <v/>
      </c>
      <c r="AJ62" s="27">
        <f>IF(OR($H62="",COUNTIFS($A$14:$A$1213,$H62,$F$14:$F$1213,"&gt;=0")&lt;2,COUNTIFS($A$14:$A$1213,$H62,$F$14:$F$1213,_xlfn.MAXIFS($F$14:$F$1213,$A$14:$A$1213,$H62))&gt;1),"",IFERROR(INDEX($D$14:$D$1213,MATCH($H62&amp;"|"&amp;_xlfn.MAXIFS($F$14:$F$1213,$A$14:$A$1213,$H62),$AB$14:$AB$1213,0)),""))</f>
        <v/>
      </c>
      <c r="AK62" s="27">
        <f>IF(OR($H62="",COUNTIFS($A$14:$A$1213,$H62,$F$14:$F$1213,"&gt;=0")&lt;2,COUNTIFS($A$14:$A$1213,$H62,$F$14:$F$1213,_xlfn.MAXIFS($F$14:$F$1213,$A$14:$A$1213,$H62))&gt;1),"",IFERROR(INDEX($E$14:$E$1213,MATCH($H62&amp;"|"&amp;_xlfn.MAXIFS($F$14:$F$1213,$A$14:$A$1213,$H62),$AB$14:$AB$1213,0)),""))</f>
        <v/>
      </c>
      <c r="AL62" s="27">
        <f>IF(OR($H62="",COUNTIFS($A$14:$A$1213,$H62,$F$14:$F$1213,"&gt;=0")&lt;2,COUNTIFS($A$14:$A$1213,$H62,$F$14:$F$1213,_xlfn.MAXIFS($F$14:$F$1213,$A$14:$A$1213,$H62))&gt;1),"",IFERROR(INDEX($D$14:$D$1213,MATCH($H62&amp;"|"&amp;_xlfn.MAXIFS($F$14:$F$1213,$A$14:$A$1213,$H62,$F$14:$F$1213,"&lt;"&amp;_xlfn.MAXIFS($F$14:$F$1213,$A$14:$A$1213,$H62)),$AB$14:$AB$1213,0)),""))</f>
        <v/>
      </c>
      <c r="AM62" s="27">
        <f>IF(OR($H62="",COUNTIFS($A$14:$A$1213,$H62,$F$14:$F$1213,"&gt;=0")&lt;2,COUNTIFS($A$14:$A$1213,$H62,$F$14:$F$1213,_xlfn.MAXIFS($F$14:$F$1213,$A$14:$A$1213,$H62))&gt;1),"",IFERROR(INDEX($E$14:$E$1213,MATCH($H62&amp;"|"&amp;_xlfn.MAXIFS($F$14:$F$1213,$A$14:$A$1213,$H62,$F$14:$F$1213,"&lt;"&amp;_xlfn.MAXIFS($F$14:$F$1213,$A$14:$A$1213,$H62)),$AB$14:$AB$1213,0)),""))</f>
        <v/>
      </c>
      <c r="AN62" s="27">
        <f>IF(OR(NOT(ISNUMBER($AJ62)),NOT(ISNUMBER($AL62)),$AK62=0,$AM62=0),"",IF(OR((($AJ62+$AL62)/($AK62+$AM62))&lt;=0,(($AJ62+$AL62)/($AK62+$AM62))&gt;=1),"",($AJ62/$AK62-$AL62/$AM62)/SQRT((($AJ62+$AL62)/($AK62+$AM62))*(1-(($AJ62+$AL62)/($AK62+$AM62)))*(1/$AK62+1/$AM62))))</f>
        <v/>
      </c>
      <c r="AO62" s="27">
        <f>IF($A62="","",IF(AND(COUNTIFS($A$14:$A$1213,$A62,$F$14:$F$1213,"&gt;=0")=2,IFERROR(INDEX($M$14:$M$313,MATCH($A62,$H$14:$H$313,0)),"Yes")&lt;&gt;"Yes"),1,0))</f>
        <v/>
      </c>
    </row>
    <row r="63" ht="24" customHeight="1">
      <c r="A63" s="19">
        <f>IF('Enter messages'!A63="","",'Enter messages'!A63)</f>
        <v/>
      </c>
      <c r="B63" s="20">
        <f>IF('Enter messages'!B63="","",'Enter messages'!B63)</f>
        <v/>
      </c>
      <c r="C63" s="21">
        <f>IFERROR(AVERAGE(P63:T63),"")</f>
        <v/>
      </c>
      <c r="D63" s="29" t="n"/>
      <c r="E63" s="29" t="n"/>
      <c r="F63" s="30">
        <f>IF(AND(ISNUMBER($D63),ISNUMBER($E63),$E63&gt;0,$D63&lt;=$E63),$D63/$E63,"")</f>
        <v/>
      </c>
      <c r="H63" s="19">
        <f>IFERROR(INDEX($A$14:$A$1213,MATCH(50,$AI$14:$AI$1213,0)),"")</f>
        <v/>
      </c>
      <c r="I63" s="24">
        <f>IF($H63="","",IF(COUNTIFS($A$14:$A$1213,$H63,$C$14:$C$1213,"&gt;=0")=0,"—",IFERROR(INDEX($B$14:$B$1213,MATCH($H63&amp;"|1",$Z$14:$Z$1213,0)),"(tied)")))</f>
        <v/>
      </c>
      <c r="J63" s="25">
        <f>IF($H63="","",IF(OR(COUNTIFS($A$14:$A$1213,$H63,$C$14:$C$1213,"&gt;=0")=0,COUNTIFS($A$14:$A$1213,$H63,$F$14:$F$1213,"&gt;=0")=0),"—",IF(OR(ISERROR(MATCH($H63&amp;"|1",$Z$14:$Z$1213,0)),ISERROR(MATCH($H63&amp;"|1",$AA$14:$AA$1213,0))),"Tie",IF(MATCH($H63&amp;"|1",$Z$14:$Z$1213,0)=MATCH($H63&amp;"|1",$AA$14:$AA$1213,0),"Hit","Miss"))))</f>
        <v/>
      </c>
      <c r="K63" s="24">
        <f>IF($H63="","",IF(COUNTIFS($A$14:$A$1213,$H63,$F$14:$F$1213,"&gt;=0")=0,"—",IFERROR(INDEX($B$14:$B$1213,MATCH($H63&amp;"|1",$AA$14:$AA$1213,0)),"(tied)")))</f>
        <v/>
      </c>
      <c r="L63" s="25">
        <f>IF($H63="","",IF((--(COUNTIFS($A$14:$A$1213,$H63,$P$14:$P$1213,"&gt;=0")&gt;0)+--(COUNTIFS($A$14:$A$1213,$H63,$Q$14:$Q$1213,"&gt;=0")&gt;0)+--(COUNTIFS($A$14:$A$1213,$H63,$R$14:$R$1213,"&gt;=0")&gt;0)+--(COUNTIFS($A$14:$A$1213,$H63,$S$14:$S$1213,"&gt;=0")&gt;0)+--(COUNTIFS($A$14:$A$1213,$H63,$T$14:$T$1213,"&gt;=0")&gt;0))&lt;2,"—",IF(SUMIFS($AH$14:$AH$1213,$A$14:$A$1213,$H63)=0,"Yes","No")))</f>
        <v/>
      </c>
      <c r="M63" s="25">
        <f>IF($H63="","",IF(COUNTIFS($A$14:$A$1213,$H63,$F$14:$F$1213,"&gt;=0")&lt;2,"—",IF(COUNTIFS($A$14:$A$1213,$H63,$F$14:$F$1213,_xlfn.MAXIFS($F$14:$F$1213,$A$14:$A$1213,$H63))&gt;1,"No",IF(NOT(ISNUMBER($AN63)),"—",IF((2*(1-NORMSDIST(ABS($AN63))))&lt;0.05,"Yes","No")))))</f>
        <v/>
      </c>
      <c r="N63" s="21">
        <f>IF($H63="","",IF(NOT(ISNUMBER($AN63)),"—",IF((2*(1-NORMSDIST(ABS($AN63))))&lt;0.001,"&lt;0.001",TEXT((2*(1-NORMSDIST(ABS($AN63)))),"0.000"))))</f>
        <v/>
      </c>
      <c r="P63" s="26" t="n"/>
      <c r="Q63" s="26" t="n"/>
      <c r="R63" s="26" t="n"/>
      <c r="S63" s="26" t="n"/>
      <c r="T63" s="26" t="n"/>
      <c r="V63" s="27">
        <f>IF(ISNUMBER($C63),COUNTIFS($A$14:$A$1213,$A63,$C$14:$C$1213,"&gt;"&amp;$C63)+(COUNTIFS($A$14:$A$1213,$A63,$C$14:$C$1213,"="&amp;$C63)+1)/2,"")</f>
        <v/>
      </c>
      <c r="W63" s="27">
        <f>IF(ISNUMBER($F63),COUNTIFS($A$14:$A$1213,$A63,$F$14:$F$1213,"&gt;"&amp;$F63)+(COUNTIFS($A$14:$A$1213,$A63,$F$14:$F$1213,"="&amp;$F63)+1)/2,"")</f>
        <v/>
      </c>
      <c r="X63" s="27">
        <f>IF(OR(NOT(ISNUMBER($V63)),$AO63=1),"",$V63-(COUNTIFS($A$14:$A$1213,$A63,$C$14:$C$1213,"&gt;=0")+1)/2)</f>
        <v/>
      </c>
      <c r="Y63" s="27">
        <f>IF(OR(NOT(ISNUMBER($W63)),$AO63=1),"",$W63-(COUNTIFS($A$14:$A$1213,$A63,$F$14:$F$1213,"&gt;=0")+1)/2)</f>
        <v/>
      </c>
      <c r="Z63" s="27">
        <f>IF(ISNUMBER($V63),$A63&amp;"|"&amp;$V63,"")</f>
        <v/>
      </c>
      <c r="AA63" s="27">
        <f>IF(ISNUMBER($W63),$A63&amp;"|"&amp;$W63,"")</f>
        <v/>
      </c>
      <c r="AB63" s="27">
        <f>IF(ISNUMBER($F63),$A63&amp;"|"&amp;$F63,"")</f>
        <v/>
      </c>
      <c r="AC63" s="27">
        <f>IF(ISNUMBER($P63),COUNTIFS($A$14:$A$1213,$A63,$P$14:$P$1213,"&gt;"&amp;$P63)+(COUNTIFS($A$14:$A$1213,$A63,$P$14:$P$1213,"="&amp;$P63)+1)/2,"")</f>
        <v/>
      </c>
      <c r="AD63" s="27">
        <f>IF(ISNUMBER($Q63),COUNTIFS($A$14:$A$1213,$A63,$Q$14:$Q$1213,"&gt;"&amp;$Q63)+(COUNTIFS($A$14:$A$1213,$A63,$Q$14:$Q$1213,"="&amp;$Q63)+1)/2,"")</f>
        <v/>
      </c>
      <c r="AE63" s="27">
        <f>IF(ISNUMBER($R63),COUNTIFS($A$14:$A$1213,$A63,$R$14:$R$1213,"&gt;"&amp;$R63)+(COUNTIFS($A$14:$A$1213,$A63,$R$14:$R$1213,"="&amp;$R63)+1)/2,"")</f>
        <v/>
      </c>
      <c r="AF63" s="27">
        <f>IF(ISNUMBER($S63),COUNTIFS($A$14:$A$1213,$A63,$S$14:$S$1213,"&gt;"&amp;$S63)+(COUNTIFS($A$14:$A$1213,$A63,$S$14:$S$1213,"="&amp;$S63)+1)/2,"")</f>
        <v/>
      </c>
      <c r="AG63" s="27">
        <f>IF(ISNUMBER($T63),COUNTIFS($A$14:$A$1213,$A63,$T$14:$T$1213,"&gt;"&amp;$T63)+(COUNTIFS($A$14:$A$1213,$A63,$T$14:$T$1213,"="&amp;$T63)+1)/2,"")</f>
        <v/>
      </c>
      <c r="AH63" s="27">
        <f>IF(COUNT($AC63:$AG63)&lt;2,"",IF(MAX($AC63:$AG63)=MIN($AC63:$AG63),0,1))</f>
        <v/>
      </c>
      <c r="AI63" s="27">
        <f>IF($A63="","",IF(COUNTIF($A$14:$A63,$A63)=1,COUNTIF($AI$13:AI62,"&gt;0")+1,""))</f>
        <v/>
      </c>
      <c r="AJ63" s="27">
        <f>IF(OR($H63="",COUNTIFS($A$14:$A$1213,$H63,$F$14:$F$1213,"&gt;=0")&lt;2,COUNTIFS($A$14:$A$1213,$H63,$F$14:$F$1213,_xlfn.MAXIFS($F$14:$F$1213,$A$14:$A$1213,$H63))&gt;1),"",IFERROR(INDEX($D$14:$D$1213,MATCH($H63&amp;"|"&amp;_xlfn.MAXIFS($F$14:$F$1213,$A$14:$A$1213,$H63),$AB$14:$AB$1213,0)),""))</f>
        <v/>
      </c>
      <c r="AK63" s="27">
        <f>IF(OR($H63="",COUNTIFS($A$14:$A$1213,$H63,$F$14:$F$1213,"&gt;=0")&lt;2,COUNTIFS($A$14:$A$1213,$H63,$F$14:$F$1213,_xlfn.MAXIFS($F$14:$F$1213,$A$14:$A$1213,$H63))&gt;1),"",IFERROR(INDEX($E$14:$E$1213,MATCH($H63&amp;"|"&amp;_xlfn.MAXIFS($F$14:$F$1213,$A$14:$A$1213,$H63),$AB$14:$AB$1213,0)),""))</f>
        <v/>
      </c>
      <c r="AL63" s="27">
        <f>IF(OR($H63="",COUNTIFS($A$14:$A$1213,$H63,$F$14:$F$1213,"&gt;=0")&lt;2,COUNTIFS($A$14:$A$1213,$H63,$F$14:$F$1213,_xlfn.MAXIFS($F$14:$F$1213,$A$14:$A$1213,$H63))&gt;1),"",IFERROR(INDEX($D$14:$D$1213,MATCH($H63&amp;"|"&amp;_xlfn.MAXIFS($F$14:$F$1213,$A$14:$A$1213,$H63,$F$14:$F$1213,"&lt;"&amp;_xlfn.MAXIFS($F$14:$F$1213,$A$14:$A$1213,$H63)),$AB$14:$AB$1213,0)),""))</f>
        <v/>
      </c>
      <c r="AM63" s="27">
        <f>IF(OR($H63="",COUNTIFS($A$14:$A$1213,$H63,$F$14:$F$1213,"&gt;=0")&lt;2,COUNTIFS($A$14:$A$1213,$H63,$F$14:$F$1213,_xlfn.MAXIFS($F$14:$F$1213,$A$14:$A$1213,$H63))&gt;1),"",IFERROR(INDEX($E$14:$E$1213,MATCH($H63&amp;"|"&amp;_xlfn.MAXIFS($F$14:$F$1213,$A$14:$A$1213,$H63,$F$14:$F$1213,"&lt;"&amp;_xlfn.MAXIFS($F$14:$F$1213,$A$14:$A$1213,$H63)),$AB$14:$AB$1213,0)),""))</f>
        <v/>
      </c>
      <c r="AN63" s="27">
        <f>IF(OR(NOT(ISNUMBER($AJ63)),NOT(ISNUMBER($AL63)),$AK63=0,$AM63=0),"",IF(OR((($AJ63+$AL63)/($AK63+$AM63))&lt;=0,(($AJ63+$AL63)/($AK63+$AM63))&gt;=1),"",($AJ63/$AK63-$AL63/$AM63)/SQRT((($AJ63+$AL63)/($AK63+$AM63))*(1-(($AJ63+$AL63)/($AK63+$AM63)))*(1/$AK63+1/$AM63))))</f>
        <v/>
      </c>
      <c r="AO63" s="27">
        <f>IF($A63="","",IF(AND(COUNTIFS($A$14:$A$1213,$A63,$F$14:$F$1213,"&gt;=0")=2,IFERROR(INDEX($M$14:$M$313,MATCH($A63,$H$14:$H$313,0)),"Yes")&lt;&gt;"Yes"),1,0))</f>
        <v/>
      </c>
    </row>
    <row r="64" ht="24" customHeight="1">
      <c r="A64" s="19">
        <f>IF('Enter messages'!A64="","",'Enter messages'!A64)</f>
        <v/>
      </c>
      <c r="B64" s="20">
        <f>IF('Enter messages'!B64="","",'Enter messages'!B64)</f>
        <v/>
      </c>
      <c r="C64" s="21">
        <f>IFERROR(AVERAGE(P64:T64),"")</f>
        <v/>
      </c>
      <c r="D64" s="29" t="n"/>
      <c r="E64" s="29" t="n"/>
      <c r="F64" s="30">
        <f>IF(AND(ISNUMBER($D64),ISNUMBER($E64),$E64&gt;0,$D64&lt;=$E64),$D64/$E64,"")</f>
        <v/>
      </c>
      <c r="H64" s="19">
        <f>IFERROR(INDEX($A$14:$A$1213,MATCH(51,$AI$14:$AI$1213,0)),"")</f>
        <v/>
      </c>
      <c r="I64" s="24">
        <f>IF($H64="","",IF(COUNTIFS($A$14:$A$1213,$H64,$C$14:$C$1213,"&gt;=0")=0,"—",IFERROR(INDEX($B$14:$B$1213,MATCH($H64&amp;"|1",$Z$14:$Z$1213,0)),"(tied)")))</f>
        <v/>
      </c>
      <c r="J64" s="25">
        <f>IF($H64="","",IF(OR(COUNTIFS($A$14:$A$1213,$H64,$C$14:$C$1213,"&gt;=0")=0,COUNTIFS($A$14:$A$1213,$H64,$F$14:$F$1213,"&gt;=0")=0),"—",IF(OR(ISERROR(MATCH($H64&amp;"|1",$Z$14:$Z$1213,0)),ISERROR(MATCH($H64&amp;"|1",$AA$14:$AA$1213,0))),"Tie",IF(MATCH($H64&amp;"|1",$Z$14:$Z$1213,0)=MATCH($H64&amp;"|1",$AA$14:$AA$1213,0),"Hit","Miss"))))</f>
        <v/>
      </c>
      <c r="K64" s="24">
        <f>IF($H64="","",IF(COUNTIFS($A$14:$A$1213,$H64,$F$14:$F$1213,"&gt;=0")=0,"—",IFERROR(INDEX($B$14:$B$1213,MATCH($H64&amp;"|1",$AA$14:$AA$1213,0)),"(tied)")))</f>
        <v/>
      </c>
      <c r="L64" s="25">
        <f>IF($H64="","",IF((--(COUNTIFS($A$14:$A$1213,$H64,$P$14:$P$1213,"&gt;=0")&gt;0)+--(COUNTIFS($A$14:$A$1213,$H64,$Q$14:$Q$1213,"&gt;=0")&gt;0)+--(COUNTIFS($A$14:$A$1213,$H64,$R$14:$R$1213,"&gt;=0")&gt;0)+--(COUNTIFS($A$14:$A$1213,$H64,$S$14:$S$1213,"&gt;=0")&gt;0)+--(COUNTIFS($A$14:$A$1213,$H64,$T$14:$T$1213,"&gt;=0")&gt;0))&lt;2,"—",IF(SUMIFS($AH$14:$AH$1213,$A$14:$A$1213,$H64)=0,"Yes","No")))</f>
        <v/>
      </c>
      <c r="M64" s="25">
        <f>IF($H64="","",IF(COUNTIFS($A$14:$A$1213,$H64,$F$14:$F$1213,"&gt;=0")&lt;2,"—",IF(COUNTIFS($A$14:$A$1213,$H64,$F$14:$F$1213,_xlfn.MAXIFS($F$14:$F$1213,$A$14:$A$1213,$H64))&gt;1,"No",IF(NOT(ISNUMBER($AN64)),"—",IF((2*(1-NORMSDIST(ABS($AN64))))&lt;0.05,"Yes","No")))))</f>
        <v/>
      </c>
      <c r="N64" s="21">
        <f>IF($H64="","",IF(NOT(ISNUMBER($AN64)),"—",IF((2*(1-NORMSDIST(ABS($AN64))))&lt;0.001,"&lt;0.001",TEXT((2*(1-NORMSDIST(ABS($AN64)))),"0.000"))))</f>
        <v/>
      </c>
      <c r="P64" s="26" t="n"/>
      <c r="Q64" s="26" t="n"/>
      <c r="R64" s="26" t="n"/>
      <c r="S64" s="26" t="n"/>
      <c r="T64" s="26" t="n"/>
      <c r="V64" s="27">
        <f>IF(ISNUMBER($C64),COUNTIFS($A$14:$A$1213,$A64,$C$14:$C$1213,"&gt;"&amp;$C64)+(COUNTIFS($A$14:$A$1213,$A64,$C$14:$C$1213,"="&amp;$C64)+1)/2,"")</f>
        <v/>
      </c>
      <c r="W64" s="27">
        <f>IF(ISNUMBER($F64),COUNTIFS($A$14:$A$1213,$A64,$F$14:$F$1213,"&gt;"&amp;$F64)+(COUNTIFS($A$14:$A$1213,$A64,$F$14:$F$1213,"="&amp;$F64)+1)/2,"")</f>
        <v/>
      </c>
      <c r="X64" s="27">
        <f>IF(OR(NOT(ISNUMBER($V64)),$AO64=1),"",$V64-(COUNTIFS($A$14:$A$1213,$A64,$C$14:$C$1213,"&gt;=0")+1)/2)</f>
        <v/>
      </c>
      <c r="Y64" s="27">
        <f>IF(OR(NOT(ISNUMBER($W64)),$AO64=1),"",$W64-(COUNTIFS($A$14:$A$1213,$A64,$F$14:$F$1213,"&gt;=0")+1)/2)</f>
        <v/>
      </c>
      <c r="Z64" s="27">
        <f>IF(ISNUMBER($V64),$A64&amp;"|"&amp;$V64,"")</f>
        <v/>
      </c>
      <c r="AA64" s="27">
        <f>IF(ISNUMBER($W64),$A64&amp;"|"&amp;$W64,"")</f>
        <v/>
      </c>
      <c r="AB64" s="27">
        <f>IF(ISNUMBER($F64),$A64&amp;"|"&amp;$F64,"")</f>
        <v/>
      </c>
      <c r="AC64" s="27">
        <f>IF(ISNUMBER($P64),COUNTIFS($A$14:$A$1213,$A64,$P$14:$P$1213,"&gt;"&amp;$P64)+(COUNTIFS($A$14:$A$1213,$A64,$P$14:$P$1213,"="&amp;$P64)+1)/2,"")</f>
        <v/>
      </c>
      <c r="AD64" s="27">
        <f>IF(ISNUMBER($Q64),COUNTIFS($A$14:$A$1213,$A64,$Q$14:$Q$1213,"&gt;"&amp;$Q64)+(COUNTIFS($A$14:$A$1213,$A64,$Q$14:$Q$1213,"="&amp;$Q64)+1)/2,"")</f>
        <v/>
      </c>
      <c r="AE64" s="27">
        <f>IF(ISNUMBER($R64),COUNTIFS($A$14:$A$1213,$A64,$R$14:$R$1213,"&gt;"&amp;$R64)+(COUNTIFS($A$14:$A$1213,$A64,$R$14:$R$1213,"="&amp;$R64)+1)/2,"")</f>
        <v/>
      </c>
      <c r="AF64" s="27">
        <f>IF(ISNUMBER($S64),COUNTIFS($A$14:$A$1213,$A64,$S$14:$S$1213,"&gt;"&amp;$S64)+(COUNTIFS($A$14:$A$1213,$A64,$S$14:$S$1213,"="&amp;$S64)+1)/2,"")</f>
        <v/>
      </c>
      <c r="AG64" s="27">
        <f>IF(ISNUMBER($T64),COUNTIFS($A$14:$A$1213,$A64,$T$14:$T$1213,"&gt;"&amp;$T64)+(COUNTIFS($A$14:$A$1213,$A64,$T$14:$T$1213,"="&amp;$T64)+1)/2,"")</f>
        <v/>
      </c>
      <c r="AH64" s="27">
        <f>IF(COUNT($AC64:$AG64)&lt;2,"",IF(MAX($AC64:$AG64)=MIN($AC64:$AG64),0,1))</f>
        <v/>
      </c>
      <c r="AI64" s="27">
        <f>IF($A64="","",IF(COUNTIF($A$14:$A64,$A64)=1,COUNTIF($AI$13:AI63,"&gt;0")+1,""))</f>
        <v/>
      </c>
      <c r="AJ64" s="27">
        <f>IF(OR($H64="",COUNTIFS($A$14:$A$1213,$H64,$F$14:$F$1213,"&gt;=0")&lt;2,COUNTIFS($A$14:$A$1213,$H64,$F$14:$F$1213,_xlfn.MAXIFS($F$14:$F$1213,$A$14:$A$1213,$H64))&gt;1),"",IFERROR(INDEX($D$14:$D$1213,MATCH($H64&amp;"|"&amp;_xlfn.MAXIFS($F$14:$F$1213,$A$14:$A$1213,$H64),$AB$14:$AB$1213,0)),""))</f>
        <v/>
      </c>
      <c r="AK64" s="27">
        <f>IF(OR($H64="",COUNTIFS($A$14:$A$1213,$H64,$F$14:$F$1213,"&gt;=0")&lt;2,COUNTIFS($A$14:$A$1213,$H64,$F$14:$F$1213,_xlfn.MAXIFS($F$14:$F$1213,$A$14:$A$1213,$H64))&gt;1),"",IFERROR(INDEX($E$14:$E$1213,MATCH($H64&amp;"|"&amp;_xlfn.MAXIFS($F$14:$F$1213,$A$14:$A$1213,$H64),$AB$14:$AB$1213,0)),""))</f>
        <v/>
      </c>
      <c r="AL64" s="27">
        <f>IF(OR($H64="",COUNTIFS($A$14:$A$1213,$H64,$F$14:$F$1213,"&gt;=0")&lt;2,COUNTIFS($A$14:$A$1213,$H64,$F$14:$F$1213,_xlfn.MAXIFS($F$14:$F$1213,$A$14:$A$1213,$H64))&gt;1),"",IFERROR(INDEX($D$14:$D$1213,MATCH($H64&amp;"|"&amp;_xlfn.MAXIFS($F$14:$F$1213,$A$14:$A$1213,$H64,$F$14:$F$1213,"&lt;"&amp;_xlfn.MAXIFS($F$14:$F$1213,$A$14:$A$1213,$H64)),$AB$14:$AB$1213,0)),""))</f>
        <v/>
      </c>
      <c r="AM64" s="27">
        <f>IF(OR($H64="",COUNTIFS($A$14:$A$1213,$H64,$F$14:$F$1213,"&gt;=0")&lt;2,COUNTIFS($A$14:$A$1213,$H64,$F$14:$F$1213,_xlfn.MAXIFS($F$14:$F$1213,$A$14:$A$1213,$H64))&gt;1),"",IFERROR(INDEX($E$14:$E$1213,MATCH($H64&amp;"|"&amp;_xlfn.MAXIFS($F$14:$F$1213,$A$14:$A$1213,$H64,$F$14:$F$1213,"&lt;"&amp;_xlfn.MAXIFS($F$14:$F$1213,$A$14:$A$1213,$H64)),$AB$14:$AB$1213,0)),""))</f>
        <v/>
      </c>
      <c r="AN64" s="27">
        <f>IF(OR(NOT(ISNUMBER($AJ64)),NOT(ISNUMBER($AL64)),$AK64=0,$AM64=0),"",IF(OR((($AJ64+$AL64)/($AK64+$AM64))&lt;=0,(($AJ64+$AL64)/($AK64+$AM64))&gt;=1),"",($AJ64/$AK64-$AL64/$AM64)/SQRT((($AJ64+$AL64)/($AK64+$AM64))*(1-(($AJ64+$AL64)/($AK64+$AM64)))*(1/$AK64+1/$AM64))))</f>
        <v/>
      </c>
      <c r="AO64" s="27">
        <f>IF($A64="","",IF(AND(COUNTIFS($A$14:$A$1213,$A64,$F$14:$F$1213,"&gt;=0")=2,IFERROR(INDEX($M$14:$M$313,MATCH($A64,$H$14:$H$313,0)),"Yes")&lt;&gt;"Yes"),1,0))</f>
        <v/>
      </c>
    </row>
    <row r="65" ht="24" customHeight="1">
      <c r="A65" s="19">
        <f>IF('Enter messages'!A65="","",'Enter messages'!A65)</f>
        <v/>
      </c>
      <c r="B65" s="20">
        <f>IF('Enter messages'!B65="","",'Enter messages'!B65)</f>
        <v/>
      </c>
      <c r="C65" s="21">
        <f>IFERROR(AVERAGE(P65:T65),"")</f>
        <v/>
      </c>
      <c r="D65" s="29" t="n"/>
      <c r="E65" s="29" t="n"/>
      <c r="F65" s="30">
        <f>IF(AND(ISNUMBER($D65),ISNUMBER($E65),$E65&gt;0,$D65&lt;=$E65),$D65/$E65,"")</f>
        <v/>
      </c>
      <c r="H65" s="19">
        <f>IFERROR(INDEX($A$14:$A$1213,MATCH(52,$AI$14:$AI$1213,0)),"")</f>
        <v/>
      </c>
      <c r="I65" s="24">
        <f>IF($H65="","",IF(COUNTIFS($A$14:$A$1213,$H65,$C$14:$C$1213,"&gt;=0")=0,"—",IFERROR(INDEX($B$14:$B$1213,MATCH($H65&amp;"|1",$Z$14:$Z$1213,0)),"(tied)")))</f>
        <v/>
      </c>
      <c r="J65" s="25">
        <f>IF($H65="","",IF(OR(COUNTIFS($A$14:$A$1213,$H65,$C$14:$C$1213,"&gt;=0")=0,COUNTIFS($A$14:$A$1213,$H65,$F$14:$F$1213,"&gt;=0")=0),"—",IF(OR(ISERROR(MATCH($H65&amp;"|1",$Z$14:$Z$1213,0)),ISERROR(MATCH($H65&amp;"|1",$AA$14:$AA$1213,0))),"Tie",IF(MATCH($H65&amp;"|1",$Z$14:$Z$1213,0)=MATCH($H65&amp;"|1",$AA$14:$AA$1213,0),"Hit","Miss"))))</f>
        <v/>
      </c>
      <c r="K65" s="24">
        <f>IF($H65="","",IF(COUNTIFS($A$14:$A$1213,$H65,$F$14:$F$1213,"&gt;=0")=0,"—",IFERROR(INDEX($B$14:$B$1213,MATCH($H65&amp;"|1",$AA$14:$AA$1213,0)),"(tied)")))</f>
        <v/>
      </c>
      <c r="L65" s="25">
        <f>IF($H65="","",IF((--(COUNTIFS($A$14:$A$1213,$H65,$P$14:$P$1213,"&gt;=0")&gt;0)+--(COUNTIFS($A$14:$A$1213,$H65,$Q$14:$Q$1213,"&gt;=0")&gt;0)+--(COUNTIFS($A$14:$A$1213,$H65,$R$14:$R$1213,"&gt;=0")&gt;0)+--(COUNTIFS($A$14:$A$1213,$H65,$S$14:$S$1213,"&gt;=0")&gt;0)+--(COUNTIFS($A$14:$A$1213,$H65,$T$14:$T$1213,"&gt;=0")&gt;0))&lt;2,"—",IF(SUMIFS($AH$14:$AH$1213,$A$14:$A$1213,$H65)=0,"Yes","No")))</f>
        <v/>
      </c>
      <c r="M65" s="25">
        <f>IF($H65="","",IF(COUNTIFS($A$14:$A$1213,$H65,$F$14:$F$1213,"&gt;=0")&lt;2,"—",IF(COUNTIFS($A$14:$A$1213,$H65,$F$14:$F$1213,_xlfn.MAXIFS($F$14:$F$1213,$A$14:$A$1213,$H65))&gt;1,"No",IF(NOT(ISNUMBER($AN65)),"—",IF((2*(1-NORMSDIST(ABS($AN65))))&lt;0.05,"Yes","No")))))</f>
        <v/>
      </c>
      <c r="N65" s="21">
        <f>IF($H65="","",IF(NOT(ISNUMBER($AN65)),"—",IF((2*(1-NORMSDIST(ABS($AN65))))&lt;0.001,"&lt;0.001",TEXT((2*(1-NORMSDIST(ABS($AN65)))),"0.000"))))</f>
        <v/>
      </c>
      <c r="P65" s="26" t="n"/>
      <c r="Q65" s="26" t="n"/>
      <c r="R65" s="26" t="n"/>
      <c r="S65" s="26" t="n"/>
      <c r="T65" s="26" t="n"/>
      <c r="V65" s="27">
        <f>IF(ISNUMBER($C65),COUNTIFS($A$14:$A$1213,$A65,$C$14:$C$1213,"&gt;"&amp;$C65)+(COUNTIFS($A$14:$A$1213,$A65,$C$14:$C$1213,"="&amp;$C65)+1)/2,"")</f>
        <v/>
      </c>
      <c r="W65" s="27">
        <f>IF(ISNUMBER($F65),COUNTIFS($A$14:$A$1213,$A65,$F$14:$F$1213,"&gt;"&amp;$F65)+(COUNTIFS($A$14:$A$1213,$A65,$F$14:$F$1213,"="&amp;$F65)+1)/2,"")</f>
        <v/>
      </c>
      <c r="X65" s="27">
        <f>IF(OR(NOT(ISNUMBER($V65)),$AO65=1),"",$V65-(COUNTIFS($A$14:$A$1213,$A65,$C$14:$C$1213,"&gt;=0")+1)/2)</f>
        <v/>
      </c>
      <c r="Y65" s="27">
        <f>IF(OR(NOT(ISNUMBER($W65)),$AO65=1),"",$W65-(COUNTIFS($A$14:$A$1213,$A65,$F$14:$F$1213,"&gt;=0")+1)/2)</f>
        <v/>
      </c>
      <c r="Z65" s="27">
        <f>IF(ISNUMBER($V65),$A65&amp;"|"&amp;$V65,"")</f>
        <v/>
      </c>
      <c r="AA65" s="27">
        <f>IF(ISNUMBER($W65),$A65&amp;"|"&amp;$W65,"")</f>
        <v/>
      </c>
      <c r="AB65" s="27">
        <f>IF(ISNUMBER($F65),$A65&amp;"|"&amp;$F65,"")</f>
        <v/>
      </c>
      <c r="AC65" s="27">
        <f>IF(ISNUMBER($P65),COUNTIFS($A$14:$A$1213,$A65,$P$14:$P$1213,"&gt;"&amp;$P65)+(COUNTIFS($A$14:$A$1213,$A65,$P$14:$P$1213,"="&amp;$P65)+1)/2,"")</f>
        <v/>
      </c>
      <c r="AD65" s="27">
        <f>IF(ISNUMBER($Q65),COUNTIFS($A$14:$A$1213,$A65,$Q$14:$Q$1213,"&gt;"&amp;$Q65)+(COUNTIFS($A$14:$A$1213,$A65,$Q$14:$Q$1213,"="&amp;$Q65)+1)/2,"")</f>
        <v/>
      </c>
      <c r="AE65" s="27">
        <f>IF(ISNUMBER($R65),COUNTIFS($A$14:$A$1213,$A65,$R$14:$R$1213,"&gt;"&amp;$R65)+(COUNTIFS($A$14:$A$1213,$A65,$R$14:$R$1213,"="&amp;$R65)+1)/2,"")</f>
        <v/>
      </c>
      <c r="AF65" s="27">
        <f>IF(ISNUMBER($S65),COUNTIFS($A$14:$A$1213,$A65,$S$14:$S$1213,"&gt;"&amp;$S65)+(COUNTIFS($A$14:$A$1213,$A65,$S$14:$S$1213,"="&amp;$S65)+1)/2,"")</f>
        <v/>
      </c>
      <c r="AG65" s="27">
        <f>IF(ISNUMBER($T65),COUNTIFS($A$14:$A$1213,$A65,$T$14:$T$1213,"&gt;"&amp;$T65)+(COUNTIFS($A$14:$A$1213,$A65,$T$14:$T$1213,"="&amp;$T65)+1)/2,"")</f>
        <v/>
      </c>
      <c r="AH65" s="27">
        <f>IF(COUNT($AC65:$AG65)&lt;2,"",IF(MAX($AC65:$AG65)=MIN($AC65:$AG65),0,1))</f>
        <v/>
      </c>
      <c r="AI65" s="27">
        <f>IF($A65="","",IF(COUNTIF($A$14:$A65,$A65)=1,COUNTIF($AI$13:AI64,"&gt;0")+1,""))</f>
        <v/>
      </c>
      <c r="AJ65" s="27">
        <f>IF(OR($H65="",COUNTIFS($A$14:$A$1213,$H65,$F$14:$F$1213,"&gt;=0")&lt;2,COUNTIFS($A$14:$A$1213,$H65,$F$14:$F$1213,_xlfn.MAXIFS($F$14:$F$1213,$A$14:$A$1213,$H65))&gt;1),"",IFERROR(INDEX($D$14:$D$1213,MATCH($H65&amp;"|"&amp;_xlfn.MAXIFS($F$14:$F$1213,$A$14:$A$1213,$H65),$AB$14:$AB$1213,0)),""))</f>
        <v/>
      </c>
      <c r="AK65" s="27">
        <f>IF(OR($H65="",COUNTIFS($A$14:$A$1213,$H65,$F$14:$F$1213,"&gt;=0")&lt;2,COUNTIFS($A$14:$A$1213,$H65,$F$14:$F$1213,_xlfn.MAXIFS($F$14:$F$1213,$A$14:$A$1213,$H65))&gt;1),"",IFERROR(INDEX($E$14:$E$1213,MATCH($H65&amp;"|"&amp;_xlfn.MAXIFS($F$14:$F$1213,$A$14:$A$1213,$H65),$AB$14:$AB$1213,0)),""))</f>
        <v/>
      </c>
      <c r="AL65" s="27">
        <f>IF(OR($H65="",COUNTIFS($A$14:$A$1213,$H65,$F$14:$F$1213,"&gt;=0")&lt;2,COUNTIFS($A$14:$A$1213,$H65,$F$14:$F$1213,_xlfn.MAXIFS($F$14:$F$1213,$A$14:$A$1213,$H65))&gt;1),"",IFERROR(INDEX($D$14:$D$1213,MATCH($H65&amp;"|"&amp;_xlfn.MAXIFS($F$14:$F$1213,$A$14:$A$1213,$H65,$F$14:$F$1213,"&lt;"&amp;_xlfn.MAXIFS($F$14:$F$1213,$A$14:$A$1213,$H65)),$AB$14:$AB$1213,0)),""))</f>
        <v/>
      </c>
      <c r="AM65" s="27">
        <f>IF(OR($H65="",COUNTIFS($A$14:$A$1213,$H65,$F$14:$F$1213,"&gt;=0")&lt;2,COUNTIFS($A$14:$A$1213,$H65,$F$14:$F$1213,_xlfn.MAXIFS($F$14:$F$1213,$A$14:$A$1213,$H65))&gt;1),"",IFERROR(INDEX($E$14:$E$1213,MATCH($H65&amp;"|"&amp;_xlfn.MAXIFS($F$14:$F$1213,$A$14:$A$1213,$H65,$F$14:$F$1213,"&lt;"&amp;_xlfn.MAXIFS($F$14:$F$1213,$A$14:$A$1213,$H65)),$AB$14:$AB$1213,0)),""))</f>
        <v/>
      </c>
      <c r="AN65" s="27">
        <f>IF(OR(NOT(ISNUMBER($AJ65)),NOT(ISNUMBER($AL65)),$AK65=0,$AM65=0),"",IF(OR((($AJ65+$AL65)/($AK65+$AM65))&lt;=0,(($AJ65+$AL65)/($AK65+$AM65))&gt;=1),"",($AJ65/$AK65-$AL65/$AM65)/SQRT((($AJ65+$AL65)/($AK65+$AM65))*(1-(($AJ65+$AL65)/($AK65+$AM65)))*(1/$AK65+1/$AM65))))</f>
        <v/>
      </c>
      <c r="AO65" s="27">
        <f>IF($A65="","",IF(AND(COUNTIFS($A$14:$A$1213,$A65,$F$14:$F$1213,"&gt;=0")=2,IFERROR(INDEX($M$14:$M$313,MATCH($A65,$H$14:$H$313,0)),"Yes")&lt;&gt;"Yes"),1,0))</f>
        <v/>
      </c>
    </row>
    <row r="66" ht="24" customHeight="1">
      <c r="A66" s="19">
        <f>IF('Enter messages'!A66="","",'Enter messages'!A66)</f>
        <v/>
      </c>
      <c r="B66" s="20">
        <f>IF('Enter messages'!B66="","",'Enter messages'!B66)</f>
        <v/>
      </c>
      <c r="C66" s="21">
        <f>IFERROR(AVERAGE(P66:T66),"")</f>
        <v/>
      </c>
      <c r="D66" s="29" t="n"/>
      <c r="E66" s="29" t="n"/>
      <c r="F66" s="30">
        <f>IF(AND(ISNUMBER($D66),ISNUMBER($E66),$E66&gt;0,$D66&lt;=$E66),$D66/$E66,"")</f>
        <v/>
      </c>
      <c r="H66" s="19">
        <f>IFERROR(INDEX($A$14:$A$1213,MATCH(53,$AI$14:$AI$1213,0)),"")</f>
        <v/>
      </c>
      <c r="I66" s="24">
        <f>IF($H66="","",IF(COUNTIFS($A$14:$A$1213,$H66,$C$14:$C$1213,"&gt;=0")=0,"—",IFERROR(INDEX($B$14:$B$1213,MATCH($H66&amp;"|1",$Z$14:$Z$1213,0)),"(tied)")))</f>
        <v/>
      </c>
      <c r="J66" s="25">
        <f>IF($H66="","",IF(OR(COUNTIFS($A$14:$A$1213,$H66,$C$14:$C$1213,"&gt;=0")=0,COUNTIFS($A$14:$A$1213,$H66,$F$14:$F$1213,"&gt;=0")=0),"—",IF(OR(ISERROR(MATCH($H66&amp;"|1",$Z$14:$Z$1213,0)),ISERROR(MATCH($H66&amp;"|1",$AA$14:$AA$1213,0))),"Tie",IF(MATCH($H66&amp;"|1",$Z$14:$Z$1213,0)=MATCH($H66&amp;"|1",$AA$14:$AA$1213,0),"Hit","Miss"))))</f>
        <v/>
      </c>
      <c r="K66" s="24">
        <f>IF($H66="","",IF(COUNTIFS($A$14:$A$1213,$H66,$F$14:$F$1213,"&gt;=0")=0,"—",IFERROR(INDEX($B$14:$B$1213,MATCH($H66&amp;"|1",$AA$14:$AA$1213,0)),"(tied)")))</f>
        <v/>
      </c>
      <c r="L66" s="25">
        <f>IF($H66="","",IF((--(COUNTIFS($A$14:$A$1213,$H66,$P$14:$P$1213,"&gt;=0")&gt;0)+--(COUNTIFS($A$14:$A$1213,$H66,$Q$14:$Q$1213,"&gt;=0")&gt;0)+--(COUNTIFS($A$14:$A$1213,$H66,$R$14:$R$1213,"&gt;=0")&gt;0)+--(COUNTIFS($A$14:$A$1213,$H66,$S$14:$S$1213,"&gt;=0")&gt;0)+--(COUNTIFS($A$14:$A$1213,$H66,$T$14:$T$1213,"&gt;=0")&gt;0))&lt;2,"—",IF(SUMIFS($AH$14:$AH$1213,$A$14:$A$1213,$H66)=0,"Yes","No")))</f>
        <v/>
      </c>
      <c r="M66" s="25">
        <f>IF($H66="","",IF(COUNTIFS($A$14:$A$1213,$H66,$F$14:$F$1213,"&gt;=0")&lt;2,"—",IF(COUNTIFS($A$14:$A$1213,$H66,$F$14:$F$1213,_xlfn.MAXIFS($F$14:$F$1213,$A$14:$A$1213,$H66))&gt;1,"No",IF(NOT(ISNUMBER($AN66)),"—",IF((2*(1-NORMSDIST(ABS($AN66))))&lt;0.05,"Yes","No")))))</f>
        <v/>
      </c>
      <c r="N66" s="21">
        <f>IF($H66="","",IF(NOT(ISNUMBER($AN66)),"—",IF((2*(1-NORMSDIST(ABS($AN66))))&lt;0.001,"&lt;0.001",TEXT((2*(1-NORMSDIST(ABS($AN66)))),"0.000"))))</f>
        <v/>
      </c>
      <c r="P66" s="26" t="n"/>
      <c r="Q66" s="26" t="n"/>
      <c r="R66" s="26" t="n"/>
      <c r="S66" s="26" t="n"/>
      <c r="T66" s="26" t="n"/>
      <c r="V66" s="27">
        <f>IF(ISNUMBER($C66),COUNTIFS($A$14:$A$1213,$A66,$C$14:$C$1213,"&gt;"&amp;$C66)+(COUNTIFS($A$14:$A$1213,$A66,$C$14:$C$1213,"="&amp;$C66)+1)/2,"")</f>
        <v/>
      </c>
      <c r="W66" s="27">
        <f>IF(ISNUMBER($F66),COUNTIFS($A$14:$A$1213,$A66,$F$14:$F$1213,"&gt;"&amp;$F66)+(COUNTIFS($A$14:$A$1213,$A66,$F$14:$F$1213,"="&amp;$F66)+1)/2,"")</f>
        <v/>
      </c>
      <c r="X66" s="27">
        <f>IF(OR(NOT(ISNUMBER($V66)),$AO66=1),"",$V66-(COUNTIFS($A$14:$A$1213,$A66,$C$14:$C$1213,"&gt;=0")+1)/2)</f>
        <v/>
      </c>
      <c r="Y66" s="27">
        <f>IF(OR(NOT(ISNUMBER($W66)),$AO66=1),"",$W66-(COUNTIFS($A$14:$A$1213,$A66,$F$14:$F$1213,"&gt;=0")+1)/2)</f>
        <v/>
      </c>
      <c r="Z66" s="27">
        <f>IF(ISNUMBER($V66),$A66&amp;"|"&amp;$V66,"")</f>
        <v/>
      </c>
      <c r="AA66" s="27">
        <f>IF(ISNUMBER($W66),$A66&amp;"|"&amp;$W66,"")</f>
        <v/>
      </c>
      <c r="AB66" s="27">
        <f>IF(ISNUMBER($F66),$A66&amp;"|"&amp;$F66,"")</f>
        <v/>
      </c>
      <c r="AC66" s="27">
        <f>IF(ISNUMBER($P66),COUNTIFS($A$14:$A$1213,$A66,$P$14:$P$1213,"&gt;"&amp;$P66)+(COUNTIFS($A$14:$A$1213,$A66,$P$14:$P$1213,"="&amp;$P66)+1)/2,"")</f>
        <v/>
      </c>
      <c r="AD66" s="27">
        <f>IF(ISNUMBER($Q66),COUNTIFS($A$14:$A$1213,$A66,$Q$14:$Q$1213,"&gt;"&amp;$Q66)+(COUNTIFS($A$14:$A$1213,$A66,$Q$14:$Q$1213,"="&amp;$Q66)+1)/2,"")</f>
        <v/>
      </c>
      <c r="AE66" s="27">
        <f>IF(ISNUMBER($R66),COUNTIFS($A$14:$A$1213,$A66,$R$14:$R$1213,"&gt;"&amp;$R66)+(COUNTIFS($A$14:$A$1213,$A66,$R$14:$R$1213,"="&amp;$R66)+1)/2,"")</f>
        <v/>
      </c>
      <c r="AF66" s="27">
        <f>IF(ISNUMBER($S66),COUNTIFS($A$14:$A$1213,$A66,$S$14:$S$1213,"&gt;"&amp;$S66)+(COUNTIFS($A$14:$A$1213,$A66,$S$14:$S$1213,"="&amp;$S66)+1)/2,"")</f>
        <v/>
      </c>
      <c r="AG66" s="27">
        <f>IF(ISNUMBER($T66),COUNTIFS($A$14:$A$1213,$A66,$T$14:$T$1213,"&gt;"&amp;$T66)+(COUNTIFS($A$14:$A$1213,$A66,$T$14:$T$1213,"="&amp;$T66)+1)/2,"")</f>
        <v/>
      </c>
      <c r="AH66" s="27">
        <f>IF(COUNT($AC66:$AG66)&lt;2,"",IF(MAX($AC66:$AG66)=MIN($AC66:$AG66),0,1))</f>
        <v/>
      </c>
      <c r="AI66" s="27">
        <f>IF($A66="","",IF(COUNTIF($A$14:$A66,$A66)=1,COUNTIF($AI$13:AI65,"&gt;0")+1,""))</f>
        <v/>
      </c>
      <c r="AJ66" s="27">
        <f>IF(OR($H66="",COUNTIFS($A$14:$A$1213,$H66,$F$14:$F$1213,"&gt;=0")&lt;2,COUNTIFS($A$14:$A$1213,$H66,$F$14:$F$1213,_xlfn.MAXIFS($F$14:$F$1213,$A$14:$A$1213,$H66))&gt;1),"",IFERROR(INDEX($D$14:$D$1213,MATCH($H66&amp;"|"&amp;_xlfn.MAXIFS($F$14:$F$1213,$A$14:$A$1213,$H66),$AB$14:$AB$1213,0)),""))</f>
        <v/>
      </c>
      <c r="AK66" s="27">
        <f>IF(OR($H66="",COUNTIFS($A$14:$A$1213,$H66,$F$14:$F$1213,"&gt;=0")&lt;2,COUNTIFS($A$14:$A$1213,$H66,$F$14:$F$1213,_xlfn.MAXIFS($F$14:$F$1213,$A$14:$A$1213,$H66))&gt;1),"",IFERROR(INDEX($E$14:$E$1213,MATCH($H66&amp;"|"&amp;_xlfn.MAXIFS($F$14:$F$1213,$A$14:$A$1213,$H66),$AB$14:$AB$1213,0)),""))</f>
        <v/>
      </c>
      <c r="AL66" s="27">
        <f>IF(OR($H66="",COUNTIFS($A$14:$A$1213,$H66,$F$14:$F$1213,"&gt;=0")&lt;2,COUNTIFS($A$14:$A$1213,$H66,$F$14:$F$1213,_xlfn.MAXIFS($F$14:$F$1213,$A$14:$A$1213,$H66))&gt;1),"",IFERROR(INDEX($D$14:$D$1213,MATCH($H66&amp;"|"&amp;_xlfn.MAXIFS($F$14:$F$1213,$A$14:$A$1213,$H66,$F$14:$F$1213,"&lt;"&amp;_xlfn.MAXIFS($F$14:$F$1213,$A$14:$A$1213,$H66)),$AB$14:$AB$1213,0)),""))</f>
        <v/>
      </c>
      <c r="AM66" s="27">
        <f>IF(OR($H66="",COUNTIFS($A$14:$A$1213,$H66,$F$14:$F$1213,"&gt;=0")&lt;2,COUNTIFS($A$14:$A$1213,$H66,$F$14:$F$1213,_xlfn.MAXIFS($F$14:$F$1213,$A$14:$A$1213,$H66))&gt;1),"",IFERROR(INDEX($E$14:$E$1213,MATCH($H66&amp;"|"&amp;_xlfn.MAXIFS($F$14:$F$1213,$A$14:$A$1213,$H66,$F$14:$F$1213,"&lt;"&amp;_xlfn.MAXIFS($F$14:$F$1213,$A$14:$A$1213,$H66)),$AB$14:$AB$1213,0)),""))</f>
        <v/>
      </c>
      <c r="AN66" s="27">
        <f>IF(OR(NOT(ISNUMBER($AJ66)),NOT(ISNUMBER($AL66)),$AK66=0,$AM66=0),"",IF(OR((($AJ66+$AL66)/($AK66+$AM66))&lt;=0,(($AJ66+$AL66)/($AK66+$AM66))&gt;=1),"",($AJ66/$AK66-$AL66/$AM66)/SQRT((($AJ66+$AL66)/($AK66+$AM66))*(1-(($AJ66+$AL66)/($AK66+$AM66)))*(1/$AK66+1/$AM66))))</f>
        <v/>
      </c>
      <c r="AO66" s="27">
        <f>IF($A66="","",IF(AND(COUNTIFS($A$14:$A$1213,$A66,$F$14:$F$1213,"&gt;=0")=2,IFERROR(INDEX($M$14:$M$313,MATCH($A66,$H$14:$H$313,0)),"Yes")&lt;&gt;"Yes"),1,0))</f>
        <v/>
      </c>
    </row>
    <row r="67" ht="24" customHeight="1">
      <c r="A67" s="19">
        <f>IF('Enter messages'!A67="","",'Enter messages'!A67)</f>
        <v/>
      </c>
      <c r="B67" s="20">
        <f>IF('Enter messages'!B67="","",'Enter messages'!B67)</f>
        <v/>
      </c>
      <c r="C67" s="21">
        <f>IFERROR(AVERAGE(P67:T67),"")</f>
        <v/>
      </c>
      <c r="D67" s="29" t="n"/>
      <c r="E67" s="29" t="n"/>
      <c r="F67" s="30">
        <f>IF(AND(ISNUMBER($D67),ISNUMBER($E67),$E67&gt;0,$D67&lt;=$E67),$D67/$E67,"")</f>
        <v/>
      </c>
      <c r="H67" s="19">
        <f>IFERROR(INDEX($A$14:$A$1213,MATCH(54,$AI$14:$AI$1213,0)),"")</f>
        <v/>
      </c>
      <c r="I67" s="24">
        <f>IF($H67="","",IF(COUNTIFS($A$14:$A$1213,$H67,$C$14:$C$1213,"&gt;=0")=0,"—",IFERROR(INDEX($B$14:$B$1213,MATCH($H67&amp;"|1",$Z$14:$Z$1213,0)),"(tied)")))</f>
        <v/>
      </c>
      <c r="J67" s="25">
        <f>IF($H67="","",IF(OR(COUNTIFS($A$14:$A$1213,$H67,$C$14:$C$1213,"&gt;=0")=0,COUNTIFS($A$14:$A$1213,$H67,$F$14:$F$1213,"&gt;=0")=0),"—",IF(OR(ISERROR(MATCH($H67&amp;"|1",$Z$14:$Z$1213,0)),ISERROR(MATCH($H67&amp;"|1",$AA$14:$AA$1213,0))),"Tie",IF(MATCH($H67&amp;"|1",$Z$14:$Z$1213,0)=MATCH($H67&amp;"|1",$AA$14:$AA$1213,0),"Hit","Miss"))))</f>
        <v/>
      </c>
      <c r="K67" s="24">
        <f>IF($H67="","",IF(COUNTIFS($A$14:$A$1213,$H67,$F$14:$F$1213,"&gt;=0")=0,"—",IFERROR(INDEX($B$14:$B$1213,MATCH($H67&amp;"|1",$AA$14:$AA$1213,0)),"(tied)")))</f>
        <v/>
      </c>
      <c r="L67" s="25">
        <f>IF($H67="","",IF((--(COUNTIFS($A$14:$A$1213,$H67,$P$14:$P$1213,"&gt;=0")&gt;0)+--(COUNTIFS($A$14:$A$1213,$H67,$Q$14:$Q$1213,"&gt;=0")&gt;0)+--(COUNTIFS($A$14:$A$1213,$H67,$R$14:$R$1213,"&gt;=0")&gt;0)+--(COUNTIFS($A$14:$A$1213,$H67,$S$14:$S$1213,"&gt;=0")&gt;0)+--(COUNTIFS($A$14:$A$1213,$H67,$T$14:$T$1213,"&gt;=0")&gt;0))&lt;2,"—",IF(SUMIFS($AH$14:$AH$1213,$A$14:$A$1213,$H67)=0,"Yes","No")))</f>
        <v/>
      </c>
      <c r="M67" s="25">
        <f>IF($H67="","",IF(COUNTIFS($A$14:$A$1213,$H67,$F$14:$F$1213,"&gt;=0")&lt;2,"—",IF(COUNTIFS($A$14:$A$1213,$H67,$F$14:$F$1213,_xlfn.MAXIFS($F$14:$F$1213,$A$14:$A$1213,$H67))&gt;1,"No",IF(NOT(ISNUMBER($AN67)),"—",IF((2*(1-NORMSDIST(ABS($AN67))))&lt;0.05,"Yes","No")))))</f>
        <v/>
      </c>
      <c r="N67" s="21">
        <f>IF($H67="","",IF(NOT(ISNUMBER($AN67)),"—",IF((2*(1-NORMSDIST(ABS($AN67))))&lt;0.001,"&lt;0.001",TEXT((2*(1-NORMSDIST(ABS($AN67)))),"0.000"))))</f>
        <v/>
      </c>
      <c r="P67" s="26" t="n"/>
      <c r="Q67" s="26" t="n"/>
      <c r="R67" s="26" t="n"/>
      <c r="S67" s="26" t="n"/>
      <c r="T67" s="26" t="n"/>
      <c r="V67" s="27">
        <f>IF(ISNUMBER($C67),COUNTIFS($A$14:$A$1213,$A67,$C$14:$C$1213,"&gt;"&amp;$C67)+(COUNTIFS($A$14:$A$1213,$A67,$C$14:$C$1213,"="&amp;$C67)+1)/2,"")</f>
        <v/>
      </c>
      <c r="W67" s="27">
        <f>IF(ISNUMBER($F67),COUNTIFS($A$14:$A$1213,$A67,$F$14:$F$1213,"&gt;"&amp;$F67)+(COUNTIFS($A$14:$A$1213,$A67,$F$14:$F$1213,"="&amp;$F67)+1)/2,"")</f>
        <v/>
      </c>
      <c r="X67" s="27">
        <f>IF(OR(NOT(ISNUMBER($V67)),$AO67=1),"",$V67-(COUNTIFS($A$14:$A$1213,$A67,$C$14:$C$1213,"&gt;=0")+1)/2)</f>
        <v/>
      </c>
      <c r="Y67" s="27">
        <f>IF(OR(NOT(ISNUMBER($W67)),$AO67=1),"",$W67-(COUNTIFS($A$14:$A$1213,$A67,$F$14:$F$1213,"&gt;=0")+1)/2)</f>
        <v/>
      </c>
      <c r="Z67" s="27">
        <f>IF(ISNUMBER($V67),$A67&amp;"|"&amp;$V67,"")</f>
        <v/>
      </c>
      <c r="AA67" s="27">
        <f>IF(ISNUMBER($W67),$A67&amp;"|"&amp;$W67,"")</f>
        <v/>
      </c>
      <c r="AB67" s="27">
        <f>IF(ISNUMBER($F67),$A67&amp;"|"&amp;$F67,"")</f>
        <v/>
      </c>
      <c r="AC67" s="27">
        <f>IF(ISNUMBER($P67),COUNTIFS($A$14:$A$1213,$A67,$P$14:$P$1213,"&gt;"&amp;$P67)+(COUNTIFS($A$14:$A$1213,$A67,$P$14:$P$1213,"="&amp;$P67)+1)/2,"")</f>
        <v/>
      </c>
      <c r="AD67" s="27">
        <f>IF(ISNUMBER($Q67),COUNTIFS($A$14:$A$1213,$A67,$Q$14:$Q$1213,"&gt;"&amp;$Q67)+(COUNTIFS($A$14:$A$1213,$A67,$Q$14:$Q$1213,"="&amp;$Q67)+1)/2,"")</f>
        <v/>
      </c>
      <c r="AE67" s="27">
        <f>IF(ISNUMBER($R67),COUNTIFS($A$14:$A$1213,$A67,$R$14:$R$1213,"&gt;"&amp;$R67)+(COUNTIFS($A$14:$A$1213,$A67,$R$14:$R$1213,"="&amp;$R67)+1)/2,"")</f>
        <v/>
      </c>
      <c r="AF67" s="27">
        <f>IF(ISNUMBER($S67),COUNTIFS($A$14:$A$1213,$A67,$S$14:$S$1213,"&gt;"&amp;$S67)+(COUNTIFS($A$14:$A$1213,$A67,$S$14:$S$1213,"="&amp;$S67)+1)/2,"")</f>
        <v/>
      </c>
      <c r="AG67" s="27">
        <f>IF(ISNUMBER($T67),COUNTIFS($A$14:$A$1213,$A67,$T$14:$T$1213,"&gt;"&amp;$T67)+(COUNTIFS($A$14:$A$1213,$A67,$T$14:$T$1213,"="&amp;$T67)+1)/2,"")</f>
        <v/>
      </c>
      <c r="AH67" s="27">
        <f>IF(COUNT($AC67:$AG67)&lt;2,"",IF(MAX($AC67:$AG67)=MIN($AC67:$AG67),0,1))</f>
        <v/>
      </c>
      <c r="AI67" s="27">
        <f>IF($A67="","",IF(COUNTIF($A$14:$A67,$A67)=1,COUNTIF($AI$13:AI66,"&gt;0")+1,""))</f>
        <v/>
      </c>
      <c r="AJ67" s="27">
        <f>IF(OR($H67="",COUNTIFS($A$14:$A$1213,$H67,$F$14:$F$1213,"&gt;=0")&lt;2,COUNTIFS($A$14:$A$1213,$H67,$F$14:$F$1213,_xlfn.MAXIFS($F$14:$F$1213,$A$14:$A$1213,$H67))&gt;1),"",IFERROR(INDEX($D$14:$D$1213,MATCH($H67&amp;"|"&amp;_xlfn.MAXIFS($F$14:$F$1213,$A$14:$A$1213,$H67),$AB$14:$AB$1213,0)),""))</f>
        <v/>
      </c>
      <c r="AK67" s="27">
        <f>IF(OR($H67="",COUNTIFS($A$14:$A$1213,$H67,$F$14:$F$1213,"&gt;=0")&lt;2,COUNTIFS($A$14:$A$1213,$H67,$F$14:$F$1213,_xlfn.MAXIFS($F$14:$F$1213,$A$14:$A$1213,$H67))&gt;1),"",IFERROR(INDEX($E$14:$E$1213,MATCH($H67&amp;"|"&amp;_xlfn.MAXIFS($F$14:$F$1213,$A$14:$A$1213,$H67),$AB$14:$AB$1213,0)),""))</f>
        <v/>
      </c>
      <c r="AL67" s="27">
        <f>IF(OR($H67="",COUNTIFS($A$14:$A$1213,$H67,$F$14:$F$1213,"&gt;=0")&lt;2,COUNTIFS($A$14:$A$1213,$H67,$F$14:$F$1213,_xlfn.MAXIFS($F$14:$F$1213,$A$14:$A$1213,$H67))&gt;1),"",IFERROR(INDEX($D$14:$D$1213,MATCH($H67&amp;"|"&amp;_xlfn.MAXIFS($F$14:$F$1213,$A$14:$A$1213,$H67,$F$14:$F$1213,"&lt;"&amp;_xlfn.MAXIFS($F$14:$F$1213,$A$14:$A$1213,$H67)),$AB$14:$AB$1213,0)),""))</f>
        <v/>
      </c>
      <c r="AM67" s="27">
        <f>IF(OR($H67="",COUNTIFS($A$14:$A$1213,$H67,$F$14:$F$1213,"&gt;=0")&lt;2,COUNTIFS($A$14:$A$1213,$H67,$F$14:$F$1213,_xlfn.MAXIFS($F$14:$F$1213,$A$14:$A$1213,$H67))&gt;1),"",IFERROR(INDEX($E$14:$E$1213,MATCH($H67&amp;"|"&amp;_xlfn.MAXIFS($F$14:$F$1213,$A$14:$A$1213,$H67,$F$14:$F$1213,"&lt;"&amp;_xlfn.MAXIFS($F$14:$F$1213,$A$14:$A$1213,$H67)),$AB$14:$AB$1213,0)),""))</f>
        <v/>
      </c>
      <c r="AN67" s="27">
        <f>IF(OR(NOT(ISNUMBER($AJ67)),NOT(ISNUMBER($AL67)),$AK67=0,$AM67=0),"",IF(OR((($AJ67+$AL67)/($AK67+$AM67))&lt;=0,(($AJ67+$AL67)/($AK67+$AM67))&gt;=1),"",($AJ67/$AK67-$AL67/$AM67)/SQRT((($AJ67+$AL67)/($AK67+$AM67))*(1-(($AJ67+$AL67)/($AK67+$AM67)))*(1/$AK67+1/$AM67))))</f>
        <v/>
      </c>
      <c r="AO67" s="27">
        <f>IF($A67="","",IF(AND(COUNTIFS($A$14:$A$1213,$A67,$F$14:$F$1213,"&gt;=0")=2,IFERROR(INDEX($M$14:$M$313,MATCH($A67,$H$14:$H$313,0)),"Yes")&lt;&gt;"Yes"),1,0))</f>
        <v/>
      </c>
    </row>
    <row r="68" ht="24" customHeight="1">
      <c r="A68" s="19">
        <f>IF('Enter messages'!A68="","",'Enter messages'!A68)</f>
        <v/>
      </c>
      <c r="B68" s="20">
        <f>IF('Enter messages'!B68="","",'Enter messages'!B68)</f>
        <v/>
      </c>
      <c r="C68" s="21">
        <f>IFERROR(AVERAGE(P68:T68),"")</f>
        <v/>
      </c>
      <c r="D68" s="29" t="n"/>
      <c r="E68" s="29" t="n"/>
      <c r="F68" s="30">
        <f>IF(AND(ISNUMBER($D68),ISNUMBER($E68),$E68&gt;0,$D68&lt;=$E68),$D68/$E68,"")</f>
        <v/>
      </c>
      <c r="H68" s="19">
        <f>IFERROR(INDEX($A$14:$A$1213,MATCH(55,$AI$14:$AI$1213,0)),"")</f>
        <v/>
      </c>
      <c r="I68" s="24">
        <f>IF($H68="","",IF(COUNTIFS($A$14:$A$1213,$H68,$C$14:$C$1213,"&gt;=0")=0,"—",IFERROR(INDEX($B$14:$B$1213,MATCH($H68&amp;"|1",$Z$14:$Z$1213,0)),"(tied)")))</f>
        <v/>
      </c>
      <c r="J68" s="25">
        <f>IF($H68="","",IF(OR(COUNTIFS($A$14:$A$1213,$H68,$C$14:$C$1213,"&gt;=0")=0,COUNTIFS($A$14:$A$1213,$H68,$F$14:$F$1213,"&gt;=0")=0),"—",IF(OR(ISERROR(MATCH($H68&amp;"|1",$Z$14:$Z$1213,0)),ISERROR(MATCH($H68&amp;"|1",$AA$14:$AA$1213,0))),"Tie",IF(MATCH($H68&amp;"|1",$Z$14:$Z$1213,0)=MATCH($H68&amp;"|1",$AA$14:$AA$1213,0),"Hit","Miss"))))</f>
        <v/>
      </c>
      <c r="K68" s="24">
        <f>IF($H68="","",IF(COUNTIFS($A$14:$A$1213,$H68,$F$14:$F$1213,"&gt;=0")=0,"—",IFERROR(INDEX($B$14:$B$1213,MATCH($H68&amp;"|1",$AA$14:$AA$1213,0)),"(tied)")))</f>
        <v/>
      </c>
      <c r="L68" s="25">
        <f>IF($H68="","",IF((--(COUNTIFS($A$14:$A$1213,$H68,$P$14:$P$1213,"&gt;=0")&gt;0)+--(COUNTIFS($A$14:$A$1213,$H68,$Q$14:$Q$1213,"&gt;=0")&gt;0)+--(COUNTIFS($A$14:$A$1213,$H68,$R$14:$R$1213,"&gt;=0")&gt;0)+--(COUNTIFS($A$14:$A$1213,$H68,$S$14:$S$1213,"&gt;=0")&gt;0)+--(COUNTIFS($A$14:$A$1213,$H68,$T$14:$T$1213,"&gt;=0")&gt;0))&lt;2,"—",IF(SUMIFS($AH$14:$AH$1213,$A$14:$A$1213,$H68)=0,"Yes","No")))</f>
        <v/>
      </c>
      <c r="M68" s="25">
        <f>IF($H68="","",IF(COUNTIFS($A$14:$A$1213,$H68,$F$14:$F$1213,"&gt;=0")&lt;2,"—",IF(COUNTIFS($A$14:$A$1213,$H68,$F$14:$F$1213,_xlfn.MAXIFS($F$14:$F$1213,$A$14:$A$1213,$H68))&gt;1,"No",IF(NOT(ISNUMBER($AN68)),"—",IF((2*(1-NORMSDIST(ABS($AN68))))&lt;0.05,"Yes","No")))))</f>
        <v/>
      </c>
      <c r="N68" s="21">
        <f>IF($H68="","",IF(NOT(ISNUMBER($AN68)),"—",IF((2*(1-NORMSDIST(ABS($AN68))))&lt;0.001,"&lt;0.001",TEXT((2*(1-NORMSDIST(ABS($AN68)))),"0.000"))))</f>
        <v/>
      </c>
      <c r="P68" s="26" t="n"/>
      <c r="Q68" s="26" t="n"/>
      <c r="R68" s="26" t="n"/>
      <c r="S68" s="26" t="n"/>
      <c r="T68" s="26" t="n"/>
      <c r="V68" s="27">
        <f>IF(ISNUMBER($C68),COUNTIFS($A$14:$A$1213,$A68,$C$14:$C$1213,"&gt;"&amp;$C68)+(COUNTIFS($A$14:$A$1213,$A68,$C$14:$C$1213,"="&amp;$C68)+1)/2,"")</f>
        <v/>
      </c>
      <c r="W68" s="27">
        <f>IF(ISNUMBER($F68),COUNTIFS($A$14:$A$1213,$A68,$F$14:$F$1213,"&gt;"&amp;$F68)+(COUNTIFS($A$14:$A$1213,$A68,$F$14:$F$1213,"="&amp;$F68)+1)/2,"")</f>
        <v/>
      </c>
      <c r="X68" s="27">
        <f>IF(OR(NOT(ISNUMBER($V68)),$AO68=1),"",$V68-(COUNTIFS($A$14:$A$1213,$A68,$C$14:$C$1213,"&gt;=0")+1)/2)</f>
        <v/>
      </c>
      <c r="Y68" s="27">
        <f>IF(OR(NOT(ISNUMBER($W68)),$AO68=1),"",$W68-(COUNTIFS($A$14:$A$1213,$A68,$F$14:$F$1213,"&gt;=0")+1)/2)</f>
        <v/>
      </c>
      <c r="Z68" s="27">
        <f>IF(ISNUMBER($V68),$A68&amp;"|"&amp;$V68,"")</f>
        <v/>
      </c>
      <c r="AA68" s="27">
        <f>IF(ISNUMBER($W68),$A68&amp;"|"&amp;$W68,"")</f>
        <v/>
      </c>
      <c r="AB68" s="27">
        <f>IF(ISNUMBER($F68),$A68&amp;"|"&amp;$F68,"")</f>
        <v/>
      </c>
      <c r="AC68" s="27">
        <f>IF(ISNUMBER($P68),COUNTIFS($A$14:$A$1213,$A68,$P$14:$P$1213,"&gt;"&amp;$P68)+(COUNTIFS($A$14:$A$1213,$A68,$P$14:$P$1213,"="&amp;$P68)+1)/2,"")</f>
        <v/>
      </c>
      <c r="AD68" s="27">
        <f>IF(ISNUMBER($Q68),COUNTIFS($A$14:$A$1213,$A68,$Q$14:$Q$1213,"&gt;"&amp;$Q68)+(COUNTIFS($A$14:$A$1213,$A68,$Q$14:$Q$1213,"="&amp;$Q68)+1)/2,"")</f>
        <v/>
      </c>
      <c r="AE68" s="27">
        <f>IF(ISNUMBER($R68),COUNTIFS($A$14:$A$1213,$A68,$R$14:$R$1213,"&gt;"&amp;$R68)+(COUNTIFS($A$14:$A$1213,$A68,$R$14:$R$1213,"="&amp;$R68)+1)/2,"")</f>
        <v/>
      </c>
      <c r="AF68" s="27">
        <f>IF(ISNUMBER($S68),COUNTIFS($A$14:$A$1213,$A68,$S$14:$S$1213,"&gt;"&amp;$S68)+(COUNTIFS($A$14:$A$1213,$A68,$S$14:$S$1213,"="&amp;$S68)+1)/2,"")</f>
        <v/>
      </c>
      <c r="AG68" s="27">
        <f>IF(ISNUMBER($T68),COUNTIFS($A$14:$A$1213,$A68,$T$14:$T$1213,"&gt;"&amp;$T68)+(COUNTIFS($A$14:$A$1213,$A68,$T$14:$T$1213,"="&amp;$T68)+1)/2,"")</f>
        <v/>
      </c>
      <c r="AH68" s="27">
        <f>IF(COUNT($AC68:$AG68)&lt;2,"",IF(MAX($AC68:$AG68)=MIN($AC68:$AG68),0,1))</f>
        <v/>
      </c>
      <c r="AI68" s="27">
        <f>IF($A68="","",IF(COUNTIF($A$14:$A68,$A68)=1,COUNTIF($AI$13:AI67,"&gt;0")+1,""))</f>
        <v/>
      </c>
      <c r="AJ68" s="27">
        <f>IF(OR($H68="",COUNTIFS($A$14:$A$1213,$H68,$F$14:$F$1213,"&gt;=0")&lt;2,COUNTIFS($A$14:$A$1213,$H68,$F$14:$F$1213,_xlfn.MAXIFS($F$14:$F$1213,$A$14:$A$1213,$H68))&gt;1),"",IFERROR(INDEX($D$14:$D$1213,MATCH($H68&amp;"|"&amp;_xlfn.MAXIFS($F$14:$F$1213,$A$14:$A$1213,$H68),$AB$14:$AB$1213,0)),""))</f>
        <v/>
      </c>
      <c r="AK68" s="27">
        <f>IF(OR($H68="",COUNTIFS($A$14:$A$1213,$H68,$F$14:$F$1213,"&gt;=0")&lt;2,COUNTIFS($A$14:$A$1213,$H68,$F$14:$F$1213,_xlfn.MAXIFS($F$14:$F$1213,$A$14:$A$1213,$H68))&gt;1),"",IFERROR(INDEX($E$14:$E$1213,MATCH($H68&amp;"|"&amp;_xlfn.MAXIFS($F$14:$F$1213,$A$14:$A$1213,$H68),$AB$14:$AB$1213,0)),""))</f>
        <v/>
      </c>
      <c r="AL68" s="27">
        <f>IF(OR($H68="",COUNTIFS($A$14:$A$1213,$H68,$F$14:$F$1213,"&gt;=0")&lt;2,COUNTIFS($A$14:$A$1213,$H68,$F$14:$F$1213,_xlfn.MAXIFS($F$14:$F$1213,$A$14:$A$1213,$H68))&gt;1),"",IFERROR(INDEX($D$14:$D$1213,MATCH($H68&amp;"|"&amp;_xlfn.MAXIFS($F$14:$F$1213,$A$14:$A$1213,$H68,$F$14:$F$1213,"&lt;"&amp;_xlfn.MAXIFS($F$14:$F$1213,$A$14:$A$1213,$H68)),$AB$14:$AB$1213,0)),""))</f>
        <v/>
      </c>
      <c r="AM68" s="27">
        <f>IF(OR($H68="",COUNTIFS($A$14:$A$1213,$H68,$F$14:$F$1213,"&gt;=0")&lt;2,COUNTIFS($A$14:$A$1213,$H68,$F$14:$F$1213,_xlfn.MAXIFS($F$14:$F$1213,$A$14:$A$1213,$H68))&gt;1),"",IFERROR(INDEX($E$14:$E$1213,MATCH($H68&amp;"|"&amp;_xlfn.MAXIFS($F$14:$F$1213,$A$14:$A$1213,$H68,$F$14:$F$1213,"&lt;"&amp;_xlfn.MAXIFS($F$14:$F$1213,$A$14:$A$1213,$H68)),$AB$14:$AB$1213,0)),""))</f>
        <v/>
      </c>
      <c r="AN68" s="27">
        <f>IF(OR(NOT(ISNUMBER($AJ68)),NOT(ISNUMBER($AL68)),$AK68=0,$AM68=0),"",IF(OR((($AJ68+$AL68)/($AK68+$AM68))&lt;=0,(($AJ68+$AL68)/($AK68+$AM68))&gt;=1),"",($AJ68/$AK68-$AL68/$AM68)/SQRT((($AJ68+$AL68)/($AK68+$AM68))*(1-(($AJ68+$AL68)/($AK68+$AM68)))*(1/$AK68+1/$AM68))))</f>
        <v/>
      </c>
      <c r="AO68" s="27">
        <f>IF($A68="","",IF(AND(COUNTIFS($A$14:$A$1213,$A68,$F$14:$F$1213,"&gt;=0")=2,IFERROR(INDEX($M$14:$M$313,MATCH($A68,$H$14:$H$313,0)),"Yes")&lt;&gt;"Yes"),1,0))</f>
        <v/>
      </c>
    </row>
    <row r="69" ht="24" customHeight="1">
      <c r="A69" s="19">
        <f>IF('Enter messages'!A69="","",'Enter messages'!A69)</f>
        <v/>
      </c>
      <c r="B69" s="20">
        <f>IF('Enter messages'!B69="","",'Enter messages'!B69)</f>
        <v/>
      </c>
      <c r="C69" s="21">
        <f>IFERROR(AVERAGE(P69:T69),"")</f>
        <v/>
      </c>
      <c r="D69" s="29" t="n"/>
      <c r="E69" s="29" t="n"/>
      <c r="F69" s="30">
        <f>IF(AND(ISNUMBER($D69),ISNUMBER($E69),$E69&gt;0,$D69&lt;=$E69),$D69/$E69,"")</f>
        <v/>
      </c>
      <c r="H69" s="19">
        <f>IFERROR(INDEX($A$14:$A$1213,MATCH(56,$AI$14:$AI$1213,0)),"")</f>
        <v/>
      </c>
      <c r="I69" s="24">
        <f>IF($H69="","",IF(COUNTIFS($A$14:$A$1213,$H69,$C$14:$C$1213,"&gt;=0")=0,"—",IFERROR(INDEX($B$14:$B$1213,MATCH($H69&amp;"|1",$Z$14:$Z$1213,0)),"(tied)")))</f>
        <v/>
      </c>
      <c r="J69" s="25">
        <f>IF($H69="","",IF(OR(COUNTIFS($A$14:$A$1213,$H69,$C$14:$C$1213,"&gt;=0")=0,COUNTIFS($A$14:$A$1213,$H69,$F$14:$F$1213,"&gt;=0")=0),"—",IF(OR(ISERROR(MATCH($H69&amp;"|1",$Z$14:$Z$1213,0)),ISERROR(MATCH($H69&amp;"|1",$AA$14:$AA$1213,0))),"Tie",IF(MATCH($H69&amp;"|1",$Z$14:$Z$1213,0)=MATCH($H69&amp;"|1",$AA$14:$AA$1213,0),"Hit","Miss"))))</f>
        <v/>
      </c>
      <c r="K69" s="24">
        <f>IF($H69="","",IF(COUNTIFS($A$14:$A$1213,$H69,$F$14:$F$1213,"&gt;=0")=0,"—",IFERROR(INDEX($B$14:$B$1213,MATCH($H69&amp;"|1",$AA$14:$AA$1213,0)),"(tied)")))</f>
        <v/>
      </c>
      <c r="L69" s="25">
        <f>IF($H69="","",IF((--(COUNTIFS($A$14:$A$1213,$H69,$P$14:$P$1213,"&gt;=0")&gt;0)+--(COUNTIFS($A$14:$A$1213,$H69,$Q$14:$Q$1213,"&gt;=0")&gt;0)+--(COUNTIFS($A$14:$A$1213,$H69,$R$14:$R$1213,"&gt;=0")&gt;0)+--(COUNTIFS($A$14:$A$1213,$H69,$S$14:$S$1213,"&gt;=0")&gt;0)+--(COUNTIFS($A$14:$A$1213,$H69,$T$14:$T$1213,"&gt;=0")&gt;0))&lt;2,"—",IF(SUMIFS($AH$14:$AH$1213,$A$14:$A$1213,$H69)=0,"Yes","No")))</f>
        <v/>
      </c>
      <c r="M69" s="25">
        <f>IF($H69="","",IF(COUNTIFS($A$14:$A$1213,$H69,$F$14:$F$1213,"&gt;=0")&lt;2,"—",IF(COUNTIFS($A$14:$A$1213,$H69,$F$14:$F$1213,_xlfn.MAXIFS($F$14:$F$1213,$A$14:$A$1213,$H69))&gt;1,"No",IF(NOT(ISNUMBER($AN69)),"—",IF((2*(1-NORMSDIST(ABS($AN69))))&lt;0.05,"Yes","No")))))</f>
        <v/>
      </c>
      <c r="N69" s="21">
        <f>IF($H69="","",IF(NOT(ISNUMBER($AN69)),"—",IF((2*(1-NORMSDIST(ABS($AN69))))&lt;0.001,"&lt;0.001",TEXT((2*(1-NORMSDIST(ABS($AN69)))),"0.000"))))</f>
        <v/>
      </c>
      <c r="P69" s="26" t="n"/>
      <c r="Q69" s="26" t="n"/>
      <c r="R69" s="26" t="n"/>
      <c r="S69" s="26" t="n"/>
      <c r="T69" s="26" t="n"/>
      <c r="V69" s="27">
        <f>IF(ISNUMBER($C69),COUNTIFS($A$14:$A$1213,$A69,$C$14:$C$1213,"&gt;"&amp;$C69)+(COUNTIFS($A$14:$A$1213,$A69,$C$14:$C$1213,"="&amp;$C69)+1)/2,"")</f>
        <v/>
      </c>
      <c r="W69" s="27">
        <f>IF(ISNUMBER($F69),COUNTIFS($A$14:$A$1213,$A69,$F$14:$F$1213,"&gt;"&amp;$F69)+(COUNTIFS($A$14:$A$1213,$A69,$F$14:$F$1213,"="&amp;$F69)+1)/2,"")</f>
        <v/>
      </c>
      <c r="X69" s="27">
        <f>IF(OR(NOT(ISNUMBER($V69)),$AO69=1),"",$V69-(COUNTIFS($A$14:$A$1213,$A69,$C$14:$C$1213,"&gt;=0")+1)/2)</f>
        <v/>
      </c>
      <c r="Y69" s="27">
        <f>IF(OR(NOT(ISNUMBER($W69)),$AO69=1),"",$W69-(COUNTIFS($A$14:$A$1213,$A69,$F$14:$F$1213,"&gt;=0")+1)/2)</f>
        <v/>
      </c>
      <c r="Z69" s="27">
        <f>IF(ISNUMBER($V69),$A69&amp;"|"&amp;$V69,"")</f>
        <v/>
      </c>
      <c r="AA69" s="27">
        <f>IF(ISNUMBER($W69),$A69&amp;"|"&amp;$W69,"")</f>
        <v/>
      </c>
      <c r="AB69" s="27">
        <f>IF(ISNUMBER($F69),$A69&amp;"|"&amp;$F69,"")</f>
        <v/>
      </c>
      <c r="AC69" s="27">
        <f>IF(ISNUMBER($P69),COUNTIFS($A$14:$A$1213,$A69,$P$14:$P$1213,"&gt;"&amp;$P69)+(COUNTIFS($A$14:$A$1213,$A69,$P$14:$P$1213,"="&amp;$P69)+1)/2,"")</f>
        <v/>
      </c>
      <c r="AD69" s="27">
        <f>IF(ISNUMBER($Q69),COUNTIFS($A$14:$A$1213,$A69,$Q$14:$Q$1213,"&gt;"&amp;$Q69)+(COUNTIFS($A$14:$A$1213,$A69,$Q$14:$Q$1213,"="&amp;$Q69)+1)/2,"")</f>
        <v/>
      </c>
      <c r="AE69" s="27">
        <f>IF(ISNUMBER($R69),COUNTIFS($A$14:$A$1213,$A69,$R$14:$R$1213,"&gt;"&amp;$R69)+(COUNTIFS($A$14:$A$1213,$A69,$R$14:$R$1213,"="&amp;$R69)+1)/2,"")</f>
        <v/>
      </c>
      <c r="AF69" s="27">
        <f>IF(ISNUMBER($S69),COUNTIFS($A$14:$A$1213,$A69,$S$14:$S$1213,"&gt;"&amp;$S69)+(COUNTIFS($A$14:$A$1213,$A69,$S$14:$S$1213,"="&amp;$S69)+1)/2,"")</f>
        <v/>
      </c>
      <c r="AG69" s="27">
        <f>IF(ISNUMBER($T69),COUNTIFS($A$14:$A$1213,$A69,$T$14:$T$1213,"&gt;"&amp;$T69)+(COUNTIFS($A$14:$A$1213,$A69,$T$14:$T$1213,"="&amp;$T69)+1)/2,"")</f>
        <v/>
      </c>
      <c r="AH69" s="27">
        <f>IF(COUNT($AC69:$AG69)&lt;2,"",IF(MAX($AC69:$AG69)=MIN($AC69:$AG69),0,1))</f>
        <v/>
      </c>
      <c r="AI69" s="27">
        <f>IF($A69="","",IF(COUNTIF($A$14:$A69,$A69)=1,COUNTIF($AI$13:AI68,"&gt;0")+1,""))</f>
        <v/>
      </c>
      <c r="AJ69" s="27">
        <f>IF(OR($H69="",COUNTIFS($A$14:$A$1213,$H69,$F$14:$F$1213,"&gt;=0")&lt;2,COUNTIFS($A$14:$A$1213,$H69,$F$14:$F$1213,_xlfn.MAXIFS($F$14:$F$1213,$A$14:$A$1213,$H69))&gt;1),"",IFERROR(INDEX($D$14:$D$1213,MATCH($H69&amp;"|"&amp;_xlfn.MAXIFS($F$14:$F$1213,$A$14:$A$1213,$H69),$AB$14:$AB$1213,0)),""))</f>
        <v/>
      </c>
      <c r="AK69" s="27">
        <f>IF(OR($H69="",COUNTIFS($A$14:$A$1213,$H69,$F$14:$F$1213,"&gt;=0")&lt;2,COUNTIFS($A$14:$A$1213,$H69,$F$14:$F$1213,_xlfn.MAXIFS($F$14:$F$1213,$A$14:$A$1213,$H69))&gt;1),"",IFERROR(INDEX($E$14:$E$1213,MATCH($H69&amp;"|"&amp;_xlfn.MAXIFS($F$14:$F$1213,$A$14:$A$1213,$H69),$AB$14:$AB$1213,0)),""))</f>
        <v/>
      </c>
      <c r="AL69" s="27">
        <f>IF(OR($H69="",COUNTIFS($A$14:$A$1213,$H69,$F$14:$F$1213,"&gt;=0")&lt;2,COUNTIFS($A$14:$A$1213,$H69,$F$14:$F$1213,_xlfn.MAXIFS($F$14:$F$1213,$A$14:$A$1213,$H69))&gt;1),"",IFERROR(INDEX($D$14:$D$1213,MATCH($H69&amp;"|"&amp;_xlfn.MAXIFS($F$14:$F$1213,$A$14:$A$1213,$H69,$F$14:$F$1213,"&lt;"&amp;_xlfn.MAXIFS($F$14:$F$1213,$A$14:$A$1213,$H69)),$AB$14:$AB$1213,0)),""))</f>
        <v/>
      </c>
      <c r="AM69" s="27">
        <f>IF(OR($H69="",COUNTIFS($A$14:$A$1213,$H69,$F$14:$F$1213,"&gt;=0")&lt;2,COUNTIFS($A$14:$A$1213,$H69,$F$14:$F$1213,_xlfn.MAXIFS($F$14:$F$1213,$A$14:$A$1213,$H69))&gt;1),"",IFERROR(INDEX($E$14:$E$1213,MATCH($H69&amp;"|"&amp;_xlfn.MAXIFS($F$14:$F$1213,$A$14:$A$1213,$H69,$F$14:$F$1213,"&lt;"&amp;_xlfn.MAXIFS($F$14:$F$1213,$A$14:$A$1213,$H69)),$AB$14:$AB$1213,0)),""))</f>
        <v/>
      </c>
      <c r="AN69" s="27">
        <f>IF(OR(NOT(ISNUMBER($AJ69)),NOT(ISNUMBER($AL69)),$AK69=0,$AM69=0),"",IF(OR((($AJ69+$AL69)/($AK69+$AM69))&lt;=0,(($AJ69+$AL69)/($AK69+$AM69))&gt;=1),"",($AJ69/$AK69-$AL69/$AM69)/SQRT((($AJ69+$AL69)/($AK69+$AM69))*(1-(($AJ69+$AL69)/($AK69+$AM69)))*(1/$AK69+1/$AM69))))</f>
        <v/>
      </c>
      <c r="AO69" s="27">
        <f>IF($A69="","",IF(AND(COUNTIFS($A$14:$A$1213,$A69,$F$14:$F$1213,"&gt;=0")=2,IFERROR(INDEX($M$14:$M$313,MATCH($A69,$H$14:$H$313,0)),"Yes")&lt;&gt;"Yes"),1,0))</f>
        <v/>
      </c>
    </row>
    <row r="70" ht="24" customHeight="1">
      <c r="A70" s="19">
        <f>IF('Enter messages'!A70="","",'Enter messages'!A70)</f>
        <v/>
      </c>
      <c r="B70" s="20">
        <f>IF('Enter messages'!B70="","",'Enter messages'!B70)</f>
        <v/>
      </c>
      <c r="C70" s="21">
        <f>IFERROR(AVERAGE(P70:T70),"")</f>
        <v/>
      </c>
      <c r="D70" s="29" t="n"/>
      <c r="E70" s="29" t="n"/>
      <c r="F70" s="30">
        <f>IF(AND(ISNUMBER($D70),ISNUMBER($E70),$E70&gt;0,$D70&lt;=$E70),$D70/$E70,"")</f>
        <v/>
      </c>
      <c r="H70" s="19">
        <f>IFERROR(INDEX($A$14:$A$1213,MATCH(57,$AI$14:$AI$1213,0)),"")</f>
        <v/>
      </c>
      <c r="I70" s="24">
        <f>IF($H70="","",IF(COUNTIFS($A$14:$A$1213,$H70,$C$14:$C$1213,"&gt;=0")=0,"—",IFERROR(INDEX($B$14:$B$1213,MATCH($H70&amp;"|1",$Z$14:$Z$1213,0)),"(tied)")))</f>
        <v/>
      </c>
      <c r="J70" s="25">
        <f>IF($H70="","",IF(OR(COUNTIFS($A$14:$A$1213,$H70,$C$14:$C$1213,"&gt;=0")=0,COUNTIFS($A$14:$A$1213,$H70,$F$14:$F$1213,"&gt;=0")=0),"—",IF(OR(ISERROR(MATCH($H70&amp;"|1",$Z$14:$Z$1213,0)),ISERROR(MATCH($H70&amp;"|1",$AA$14:$AA$1213,0))),"Tie",IF(MATCH($H70&amp;"|1",$Z$14:$Z$1213,0)=MATCH($H70&amp;"|1",$AA$14:$AA$1213,0),"Hit","Miss"))))</f>
        <v/>
      </c>
      <c r="K70" s="24">
        <f>IF($H70="","",IF(COUNTIFS($A$14:$A$1213,$H70,$F$14:$F$1213,"&gt;=0")=0,"—",IFERROR(INDEX($B$14:$B$1213,MATCH($H70&amp;"|1",$AA$14:$AA$1213,0)),"(tied)")))</f>
        <v/>
      </c>
      <c r="L70" s="25">
        <f>IF($H70="","",IF((--(COUNTIFS($A$14:$A$1213,$H70,$P$14:$P$1213,"&gt;=0")&gt;0)+--(COUNTIFS($A$14:$A$1213,$H70,$Q$14:$Q$1213,"&gt;=0")&gt;0)+--(COUNTIFS($A$14:$A$1213,$H70,$R$14:$R$1213,"&gt;=0")&gt;0)+--(COUNTIFS($A$14:$A$1213,$H70,$S$14:$S$1213,"&gt;=0")&gt;0)+--(COUNTIFS($A$14:$A$1213,$H70,$T$14:$T$1213,"&gt;=0")&gt;0))&lt;2,"—",IF(SUMIFS($AH$14:$AH$1213,$A$14:$A$1213,$H70)=0,"Yes","No")))</f>
        <v/>
      </c>
      <c r="M70" s="25">
        <f>IF($H70="","",IF(COUNTIFS($A$14:$A$1213,$H70,$F$14:$F$1213,"&gt;=0")&lt;2,"—",IF(COUNTIFS($A$14:$A$1213,$H70,$F$14:$F$1213,_xlfn.MAXIFS($F$14:$F$1213,$A$14:$A$1213,$H70))&gt;1,"No",IF(NOT(ISNUMBER($AN70)),"—",IF((2*(1-NORMSDIST(ABS($AN70))))&lt;0.05,"Yes","No")))))</f>
        <v/>
      </c>
      <c r="N70" s="21">
        <f>IF($H70="","",IF(NOT(ISNUMBER($AN70)),"—",IF((2*(1-NORMSDIST(ABS($AN70))))&lt;0.001,"&lt;0.001",TEXT((2*(1-NORMSDIST(ABS($AN70)))),"0.000"))))</f>
        <v/>
      </c>
      <c r="P70" s="26" t="n"/>
      <c r="Q70" s="26" t="n"/>
      <c r="R70" s="26" t="n"/>
      <c r="S70" s="26" t="n"/>
      <c r="T70" s="26" t="n"/>
      <c r="V70" s="27">
        <f>IF(ISNUMBER($C70),COUNTIFS($A$14:$A$1213,$A70,$C$14:$C$1213,"&gt;"&amp;$C70)+(COUNTIFS($A$14:$A$1213,$A70,$C$14:$C$1213,"="&amp;$C70)+1)/2,"")</f>
        <v/>
      </c>
      <c r="W70" s="27">
        <f>IF(ISNUMBER($F70),COUNTIFS($A$14:$A$1213,$A70,$F$14:$F$1213,"&gt;"&amp;$F70)+(COUNTIFS($A$14:$A$1213,$A70,$F$14:$F$1213,"="&amp;$F70)+1)/2,"")</f>
        <v/>
      </c>
      <c r="X70" s="27">
        <f>IF(OR(NOT(ISNUMBER($V70)),$AO70=1),"",$V70-(COUNTIFS($A$14:$A$1213,$A70,$C$14:$C$1213,"&gt;=0")+1)/2)</f>
        <v/>
      </c>
      <c r="Y70" s="27">
        <f>IF(OR(NOT(ISNUMBER($W70)),$AO70=1),"",$W70-(COUNTIFS($A$14:$A$1213,$A70,$F$14:$F$1213,"&gt;=0")+1)/2)</f>
        <v/>
      </c>
      <c r="Z70" s="27">
        <f>IF(ISNUMBER($V70),$A70&amp;"|"&amp;$V70,"")</f>
        <v/>
      </c>
      <c r="AA70" s="27">
        <f>IF(ISNUMBER($W70),$A70&amp;"|"&amp;$W70,"")</f>
        <v/>
      </c>
      <c r="AB70" s="27">
        <f>IF(ISNUMBER($F70),$A70&amp;"|"&amp;$F70,"")</f>
        <v/>
      </c>
      <c r="AC70" s="27">
        <f>IF(ISNUMBER($P70),COUNTIFS($A$14:$A$1213,$A70,$P$14:$P$1213,"&gt;"&amp;$P70)+(COUNTIFS($A$14:$A$1213,$A70,$P$14:$P$1213,"="&amp;$P70)+1)/2,"")</f>
        <v/>
      </c>
      <c r="AD70" s="27">
        <f>IF(ISNUMBER($Q70),COUNTIFS($A$14:$A$1213,$A70,$Q$14:$Q$1213,"&gt;"&amp;$Q70)+(COUNTIFS($A$14:$A$1213,$A70,$Q$14:$Q$1213,"="&amp;$Q70)+1)/2,"")</f>
        <v/>
      </c>
      <c r="AE70" s="27">
        <f>IF(ISNUMBER($R70),COUNTIFS($A$14:$A$1213,$A70,$R$14:$R$1213,"&gt;"&amp;$R70)+(COUNTIFS($A$14:$A$1213,$A70,$R$14:$R$1213,"="&amp;$R70)+1)/2,"")</f>
        <v/>
      </c>
      <c r="AF70" s="27">
        <f>IF(ISNUMBER($S70),COUNTIFS($A$14:$A$1213,$A70,$S$14:$S$1213,"&gt;"&amp;$S70)+(COUNTIFS($A$14:$A$1213,$A70,$S$14:$S$1213,"="&amp;$S70)+1)/2,"")</f>
        <v/>
      </c>
      <c r="AG70" s="27">
        <f>IF(ISNUMBER($T70),COUNTIFS($A$14:$A$1213,$A70,$T$14:$T$1213,"&gt;"&amp;$T70)+(COUNTIFS($A$14:$A$1213,$A70,$T$14:$T$1213,"="&amp;$T70)+1)/2,"")</f>
        <v/>
      </c>
      <c r="AH70" s="27">
        <f>IF(COUNT($AC70:$AG70)&lt;2,"",IF(MAX($AC70:$AG70)=MIN($AC70:$AG70),0,1))</f>
        <v/>
      </c>
      <c r="AI70" s="27">
        <f>IF($A70="","",IF(COUNTIF($A$14:$A70,$A70)=1,COUNTIF($AI$13:AI69,"&gt;0")+1,""))</f>
        <v/>
      </c>
      <c r="AJ70" s="27">
        <f>IF(OR($H70="",COUNTIFS($A$14:$A$1213,$H70,$F$14:$F$1213,"&gt;=0")&lt;2,COUNTIFS($A$14:$A$1213,$H70,$F$14:$F$1213,_xlfn.MAXIFS($F$14:$F$1213,$A$14:$A$1213,$H70))&gt;1),"",IFERROR(INDEX($D$14:$D$1213,MATCH($H70&amp;"|"&amp;_xlfn.MAXIFS($F$14:$F$1213,$A$14:$A$1213,$H70),$AB$14:$AB$1213,0)),""))</f>
        <v/>
      </c>
      <c r="AK70" s="27">
        <f>IF(OR($H70="",COUNTIFS($A$14:$A$1213,$H70,$F$14:$F$1213,"&gt;=0")&lt;2,COUNTIFS($A$14:$A$1213,$H70,$F$14:$F$1213,_xlfn.MAXIFS($F$14:$F$1213,$A$14:$A$1213,$H70))&gt;1),"",IFERROR(INDEX($E$14:$E$1213,MATCH($H70&amp;"|"&amp;_xlfn.MAXIFS($F$14:$F$1213,$A$14:$A$1213,$H70),$AB$14:$AB$1213,0)),""))</f>
        <v/>
      </c>
      <c r="AL70" s="27">
        <f>IF(OR($H70="",COUNTIFS($A$14:$A$1213,$H70,$F$14:$F$1213,"&gt;=0")&lt;2,COUNTIFS($A$14:$A$1213,$H70,$F$14:$F$1213,_xlfn.MAXIFS($F$14:$F$1213,$A$14:$A$1213,$H70))&gt;1),"",IFERROR(INDEX($D$14:$D$1213,MATCH($H70&amp;"|"&amp;_xlfn.MAXIFS($F$14:$F$1213,$A$14:$A$1213,$H70,$F$14:$F$1213,"&lt;"&amp;_xlfn.MAXIFS($F$14:$F$1213,$A$14:$A$1213,$H70)),$AB$14:$AB$1213,0)),""))</f>
        <v/>
      </c>
      <c r="AM70" s="27">
        <f>IF(OR($H70="",COUNTIFS($A$14:$A$1213,$H70,$F$14:$F$1213,"&gt;=0")&lt;2,COUNTIFS($A$14:$A$1213,$H70,$F$14:$F$1213,_xlfn.MAXIFS($F$14:$F$1213,$A$14:$A$1213,$H70))&gt;1),"",IFERROR(INDEX($E$14:$E$1213,MATCH($H70&amp;"|"&amp;_xlfn.MAXIFS($F$14:$F$1213,$A$14:$A$1213,$H70,$F$14:$F$1213,"&lt;"&amp;_xlfn.MAXIFS($F$14:$F$1213,$A$14:$A$1213,$H70)),$AB$14:$AB$1213,0)),""))</f>
        <v/>
      </c>
      <c r="AN70" s="27">
        <f>IF(OR(NOT(ISNUMBER($AJ70)),NOT(ISNUMBER($AL70)),$AK70=0,$AM70=0),"",IF(OR((($AJ70+$AL70)/($AK70+$AM70))&lt;=0,(($AJ70+$AL70)/($AK70+$AM70))&gt;=1),"",($AJ70/$AK70-$AL70/$AM70)/SQRT((($AJ70+$AL70)/($AK70+$AM70))*(1-(($AJ70+$AL70)/($AK70+$AM70)))*(1/$AK70+1/$AM70))))</f>
        <v/>
      </c>
      <c r="AO70" s="27">
        <f>IF($A70="","",IF(AND(COUNTIFS($A$14:$A$1213,$A70,$F$14:$F$1213,"&gt;=0")=2,IFERROR(INDEX($M$14:$M$313,MATCH($A70,$H$14:$H$313,0)),"Yes")&lt;&gt;"Yes"),1,0))</f>
        <v/>
      </c>
    </row>
    <row r="71" ht="24" customHeight="1">
      <c r="A71" s="19">
        <f>IF('Enter messages'!A71="","",'Enter messages'!A71)</f>
        <v/>
      </c>
      <c r="B71" s="20">
        <f>IF('Enter messages'!B71="","",'Enter messages'!B71)</f>
        <v/>
      </c>
      <c r="C71" s="21">
        <f>IFERROR(AVERAGE(P71:T71),"")</f>
        <v/>
      </c>
      <c r="D71" s="29" t="n"/>
      <c r="E71" s="29" t="n"/>
      <c r="F71" s="30">
        <f>IF(AND(ISNUMBER($D71),ISNUMBER($E71),$E71&gt;0,$D71&lt;=$E71),$D71/$E71,"")</f>
        <v/>
      </c>
      <c r="H71" s="19">
        <f>IFERROR(INDEX($A$14:$A$1213,MATCH(58,$AI$14:$AI$1213,0)),"")</f>
        <v/>
      </c>
      <c r="I71" s="24">
        <f>IF($H71="","",IF(COUNTIFS($A$14:$A$1213,$H71,$C$14:$C$1213,"&gt;=0")=0,"—",IFERROR(INDEX($B$14:$B$1213,MATCH($H71&amp;"|1",$Z$14:$Z$1213,0)),"(tied)")))</f>
        <v/>
      </c>
      <c r="J71" s="25">
        <f>IF($H71="","",IF(OR(COUNTIFS($A$14:$A$1213,$H71,$C$14:$C$1213,"&gt;=0")=0,COUNTIFS($A$14:$A$1213,$H71,$F$14:$F$1213,"&gt;=0")=0),"—",IF(OR(ISERROR(MATCH($H71&amp;"|1",$Z$14:$Z$1213,0)),ISERROR(MATCH($H71&amp;"|1",$AA$14:$AA$1213,0))),"Tie",IF(MATCH($H71&amp;"|1",$Z$14:$Z$1213,0)=MATCH($H71&amp;"|1",$AA$14:$AA$1213,0),"Hit","Miss"))))</f>
        <v/>
      </c>
      <c r="K71" s="24">
        <f>IF($H71="","",IF(COUNTIFS($A$14:$A$1213,$H71,$F$14:$F$1213,"&gt;=0")=0,"—",IFERROR(INDEX($B$14:$B$1213,MATCH($H71&amp;"|1",$AA$14:$AA$1213,0)),"(tied)")))</f>
        <v/>
      </c>
      <c r="L71" s="25">
        <f>IF($H71="","",IF((--(COUNTIFS($A$14:$A$1213,$H71,$P$14:$P$1213,"&gt;=0")&gt;0)+--(COUNTIFS($A$14:$A$1213,$H71,$Q$14:$Q$1213,"&gt;=0")&gt;0)+--(COUNTIFS($A$14:$A$1213,$H71,$R$14:$R$1213,"&gt;=0")&gt;0)+--(COUNTIFS($A$14:$A$1213,$H71,$S$14:$S$1213,"&gt;=0")&gt;0)+--(COUNTIFS($A$14:$A$1213,$H71,$T$14:$T$1213,"&gt;=0")&gt;0))&lt;2,"—",IF(SUMIFS($AH$14:$AH$1213,$A$14:$A$1213,$H71)=0,"Yes","No")))</f>
        <v/>
      </c>
      <c r="M71" s="25">
        <f>IF($H71="","",IF(COUNTIFS($A$14:$A$1213,$H71,$F$14:$F$1213,"&gt;=0")&lt;2,"—",IF(COUNTIFS($A$14:$A$1213,$H71,$F$14:$F$1213,_xlfn.MAXIFS($F$14:$F$1213,$A$14:$A$1213,$H71))&gt;1,"No",IF(NOT(ISNUMBER($AN71)),"—",IF((2*(1-NORMSDIST(ABS($AN71))))&lt;0.05,"Yes","No")))))</f>
        <v/>
      </c>
      <c r="N71" s="21">
        <f>IF($H71="","",IF(NOT(ISNUMBER($AN71)),"—",IF((2*(1-NORMSDIST(ABS($AN71))))&lt;0.001,"&lt;0.001",TEXT((2*(1-NORMSDIST(ABS($AN71)))),"0.000"))))</f>
        <v/>
      </c>
      <c r="P71" s="26" t="n"/>
      <c r="Q71" s="26" t="n"/>
      <c r="R71" s="26" t="n"/>
      <c r="S71" s="26" t="n"/>
      <c r="T71" s="26" t="n"/>
      <c r="V71" s="27">
        <f>IF(ISNUMBER($C71),COUNTIFS($A$14:$A$1213,$A71,$C$14:$C$1213,"&gt;"&amp;$C71)+(COUNTIFS($A$14:$A$1213,$A71,$C$14:$C$1213,"="&amp;$C71)+1)/2,"")</f>
        <v/>
      </c>
      <c r="W71" s="27">
        <f>IF(ISNUMBER($F71),COUNTIFS($A$14:$A$1213,$A71,$F$14:$F$1213,"&gt;"&amp;$F71)+(COUNTIFS($A$14:$A$1213,$A71,$F$14:$F$1213,"="&amp;$F71)+1)/2,"")</f>
        <v/>
      </c>
      <c r="X71" s="27">
        <f>IF(OR(NOT(ISNUMBER($V71)),$AO71=1),"",$V71-(COUNTIFS($A$14:$A$1213,$A71,$C$14:$C$1213,"&gt;=0")+1)/2)</f>
        <v/>
      </c>
      <c r="Y71" s="27">
        <f>IF(OR(NOT(ISNUMBER($W71)),$AO71=1),"",$W71-(COUNTIFS($A$14:$A$1213,$A71,$F$14:$F$1213,"&gt;=0")+1)/2)</f>
        <v/>
      </c>
      <c r="Z71" s="27">
        <f>IF(ISNUMBER($V71),$A71&amp;"|"&amp;$V71,"")</f>
        <v/>
      </c>
      <c r="AA71" s="27">
        <f>IF(ISNUMBER($W71),$A71&amp;"|"&amp;$W71,"")</f>
        <v/>
      </c>
      <c r="AB71" s="27">
        <f>IF(ISNUMBER($F71),$A71&amp;"|"&amp;$F71,"")</f>
        <v/>
      </c>
      <c r="AC71" s="27">
        <f>IF(ISNUMBER($P71),COUNTIFS($A$14:$A$1213,$A71,$P$14:$P$1213,"&gt;"&amp;$P71)+(COUNTIFS($A$14:$A$1213,$A71,$P$14:$P$1213,"="&amp;$P71)+1)/2,"")</f>
        <v/>
      </c>
      <c r="AD71" s="27">
        <f>IF(ISNUMBER($Q71),COUNTIFS($A$14:$A$1213,$A71,$Q$14:$Q$1213,"&gt;"&amp;$Q71)+(COUNTIFS($A$14:$A$1213,$A71,$Q$14:$Q$1213,"="&amp;$Q71)+1)/2,"")</f>
        <v/>
      </c>
      <c r="AE71" s="27">
        <f>IF(ISNUMBER($R71),COUNTIFS($A$14:$A$1213,$A71,$R$14:$R$1213,"&gt;"&amp;$R71)+(COUNTIFS($A$14:$A$1213,$A71,$R$14:$R$1213,"="&amp;$R71)+1)/2,"")</f>
        <v/>
      </c>
      <c r="AF71" s="27">
        <f>IF(ISNUMBER($S71),COUNTIFS($A$14:$A$1213,$A71,$S$14:$S$1213,"&gt;"&amp;$S71)+(COUNTIFS($A$14:$A$1213,$A71,$S$14:$S$1213,"="&amp;$S71)+1)/2,"")</f>
        <v/>
      </c>
      <c r="AG71" s="27">
        <f>IF(ISNUMBER($T71),COUNTIFS($A$14:$A$1213,$A71,$T$14:$T$1213,"&gt;"&amp;$T71)+(COUNTIFS($A$14:$A$1213,$A71,$T$14:$T$1213,"="&amp;$T71)+1)/2,"")</f>
        <v/>
      </c>
      <c r="AH71" s="27">
        <f>IF(COUNT($AC71:$AG71)&lt;2,"",IF(MAX($AC71:$AG71)=MIN($AC71:$AG71),0,1))</f>
        <v/>
      </c>
      <c r="AI71" s="27">
        <f>IF($A71="","",IF(COUNTIF($A$14:$A71,$A71)=1,COUNTIF($AI$13:AI70,"&gt;0")+1,""))</f>
        <v/>
      </c>
      <c r="AJ71" s="27">
        <f>IF(OR($H71="",COUNTIFS($A$14:$A$1213,$H71,$F$14:$F$1213,"&gt;=0")&lt;2,COUNTIFS($A$14:$A$1213,$H71,$F$14:$F$1213,_xlfn.MAXIFS($F$14:$F$1213,$A$14:$A$1213,$H71))&gt;1),"",IFERROR(INDEX($D$14:$D$1213,MATCH($H71&amp;"|"&amp;_xlfn.MAXIFS($F$14:$F$1213,$A$14:$A$1213,$H71),$AB$14:$AB$1213,0)),""))</f>
        <v/>
      </c>
      <c r="AK71" s="27">
        <f>IF(OR($H71="",COUNTIFS($A$14:$A$1213,$H71,$F$14:$F$1213,"&gt;=0")&lt;2,COUNTIFS($A$14:$A$1213,$H71,$F$14:$F$1213,_xlfn.MAXIFS($F$14:$F$1213,$A$14:$A$1213,$H71))&gt;1),"",IFERROR(INDEX($E$14:$E$1213,MATCH($H71&amp;"|"&amp;_xlfn.MAXIFS($F$14:$F$1213,$A$14:$A$1213,$H71),$AB$14:$AB$1213,0)),""))</f>
        <v/>
      </c>
      <c r="AL71" s="27">
        <f>IF(OR($H71="",COUNTIFS($A$14:$A$1213,$H71,$F$14:$F$1213,"&gt;=0")&lt;2,COUNTIFS($A$14:$A$1213,$H71,$F$14:$F$1213,_xlfn.MAXIFS($F$14:$F$1213,$A$14:$A$1213,$H71))&gt;1),"",IFERROR(INDEX($D$14:$D$1213,MATCH($H71&amp;"|"&amp;_xlfn.MAXIFS($F$14:$F$1213,$A$14:$A$1213,$H71,$F$14:$F$1213,"&lt;"&amp;_xlfn.MAXIFS($F$14:$F$1213,$A$14:$A$1213,$H71)),$AB$14:$AB$1213,0)),""))</f>
        <v/>
      </c>
      <c r="AM71" s="27">
        <f>IF(OR($H71="",COUNTIFS($A$14:$A$1213,$H71,$F$14:$F$1213,"&gt;=0")&lt;2,COUNTIFS($A$14:$A$1213,$H71,$F$14:$F$1213,_xlfn.MAXIFS($F$14:$F$1213,$A$14:$A$1213,$H71))&gt;1),"",IFERROR(INDEX($E$14:$E$1213,MATCH($H71&amp;"|"&amp;_xlfn.MAXIFS($F$14:$F$1213,$A$14:$A$1213,$H71,$F$14:$F$1213,"&lt;"&amp;_xlfn.MAXIFS($F$14:$F$1213,$A$14:$A$1213,$H71)),$AB$14:$AB$1213,0)),""))</f>
        <v/>
      </c>
      <c r="AN71" s="27">
        <f>IF(OR(NOT(ISNUMBER($AJ71)),NOT(ISNUMBER($AL71)),$AK71=0,$AM71=0),"",IF(OR((($AJ71+$AL71)/($AK71+$AM71))&lt;=0,(($AJ71+$AL71)/($AK71+$AM71))&gt;=1),"",($AJ71/$AK71-$AL71/$AM71)/SQRT((($AJ71+$AL71)/($AK71+$AM71))*(1-(($AJ71+$AL71)/($AK71+$AM71)))*(1/$AK71+1/$AM71))))</f>
        <v/>
      </c>
      <c r="AO71" s="27">
        <f>IF($A71="","",IF(AND(COUNTIFS($A$14:$A$1213,$A71,$F$14:$F$1213,"&gt;=0")=2,IFERROR(INDEX($M$14:$M$313,MATCH($A71,$H$14:$H$313,0)),"Yes")&lt;&gt;"Yes"),1,0))</f>
        <v/>
      </c>
    </row>
    <row r="72" ht="24" customHeight="1">
      <c r="A72" s="19">
        <f>IF('Enter messages'!A72="","",'Enter messages'!A72)</f>
        <v/>
      </c>
      <c r="B72" s="20">
        <f>IF('Enter messages'!B72="","",'Enter messages'!B72)</f>
        <v/>
      </c>
      <c r="C72" s="21">
        <f>IFERROR(AVERAGE(P72:T72),"")</f>
        <v/>
      </c>
      <c r="D72" s="29" t="n"/>
      <c r="E72" s="29" t="n"/>
      <c r="F72" s="30">
        <f>IF(AND(ISNUMBER($D72),ISNUMBER($E72),$E72&gt;0,$D72&lt;=$E72),$D72/$E72,"")</f>
        <v/>
      </c>
      <c r="H72" s="19">
        <f>IFERROR(INDEX($A$14:$A$1213,MATCH(59,$AI$14:$AI$1213,0)),"")</f>
        <v/>
      </c>
      <c r="I72" s="24">
        <f>IF($H72="","",IF(COUNTIFS($A$14:$A$1213,$H72,$C$14:$C$1213,"&gt;=0")=0,"—",IFERROR(INDEX($B$14:$B$1213,MATCH($H72&amp;"|1",$Z$14:$Z$1213,0)),"(tied)")))</f>
        <v/>
      </c>
      <c r="J72" s="25">
        <f>IF($H72="","",IF(OR(COUNTIFS($A$14:$A$1213,$H72,$C$14:$C$1213,"&gt;=0")=0,COUNTIFS($A$14:$A$1213,$H72,$F$14:$F$1213,"&gt;=0")=0),"—",IF(OR(ISERROR(MATCH($H72&amp;"|1",$Z$14:$Z$1213,0)),ISERROR(MATCH($H72&amp;"|1",$AA$14:$AA$1213,0))),"Tie",IF(MATCH($H72&amp;"|1",$Z$14:$Z$1213,0)=MATCH($H72&amp;"|1",$AA$14:$AA$1213,0),"Hit","Miss"))))</f>
        <v/>
      </c>
      <c r="K72" s="24">
        <f>IF($H72="","",IF(COUNTIFS($A$14:$A$1213,$H72,$F$14:$F$1213,"&gt;=0")=0,"—",IFERROR(INDEX($B$14:$B$1213,MATCH($H72&amp;"|1",$AA$14:$AA$1213,0)),"(tied)")))</f>
        <v/>
      </c>
      <c r="L72" s="25">
        <f>IF($H72="","",IF((--(COUNTIFS($A$14:$A$1213,$H72,$P$14:$P$1213,"&gt;=0")&gt;0)+--(COUNTIFS($A$14:$A$1213,$H72,$Q$14:$Q$1213,"&gt;=0")&gt;0)+--(COUNTIFS($A$14:$A$1213,$H72,$R$14:$R$1213,"&gt;=0")&gt;0)+--(COUNTIFS($A$14:$A$1213,$H72,$S$14:$S$1213,"&gt;=0")&gt;0)+--(COUNTIFS($A$14:$A$1213,$H72,$T$14:$T$1213,"&gt;=0")&gt;0))&lt;2,"—",IF(SUMIFS($AH$14:$AH$1213,$A$14:$A$1213,$H72)=0,"Yes","No")))</f>
        <v/>
      </c>
      <c r="M72" s="25">
        <f>IF($H72="","",IF(COUNTIFS($A$14:$A$1213,$H72,$F$14:$F$1213,"&gt;=0")&lt;2,"—",IF(COUNTIFS($A$14:$A$1213,$H72,$F$14:$F$1213,_xlfn.MAXIFS($F$14:$F$1213,$A$14:$A$1213,$H72))&gt;1,"No",IF(NOT(ISNUMBER($AN72)),"—",IF((2*(1-NORMSDIST(ABS($AN72))))&lt;0.05,"Yes","No")))))</f>
        <v/>
      </c>
      <c r="N72" s="21">
        <f>IF($H72="","",IF(NOT(ISNUMBER($AN72)),"—",IF((2*(1-NORMSDIST(ABS($AN72))))&lt;0.001,"&lt;0.001",TEXT((2*(1-NORMSDIST(ABS($AN72)))),"0.000"))))</f>
        <v/>
      </c>
      <c r="P72" s="26" t="n"/>
      <c r="Q72" s="26" t="n"/>
      <c r="R72" s="26" t="n"/>
      <c r="S72" s="26" t="n"/>
      <c r="T72" s="26" t="n"/>
      <c r="V72" s="27">
        <f>IF(ISNUMBER($C72),COUNTIFS($A$14:$A$1213,$A72,$C$14:$C$1213,"&gt;"&amp;$C72)+(COUNTIFS($A$14:$A$1213,$A72,$C$14:$C$1213,"="&amp;$C72)+1)/2,"")</f>
        <v/>
      </c>
      <c r="W72" s="27">
        <f>IF(ISNUMBER($F72),COUNTIFS($A$14:$A$1213,$A72,$F$14:$F$1213,"&gt;"&amp;$F72)+(COUNTIFS($A$14:$A$1213,$A72,$F$14:$F$1213,"="&amp;$F72)+1)/2,"")</f>
        <v/>
      </c>
      <c r="X72" s="27">
        <f>IF(OR(NOT(ISNUMBER($V72)),$AO72=1),"",$V72-(COUNTIFS($A$14:$A$1213,$A72,$C$14:$C$1213,"&gt;=0")+1)/2)</f>
        <v/>
      </c>
      <c r="Y72" s="27">
        <f>IF(OR(NOT(ISNUMBER($W72)),$AO72=1),"",$W72-(COUNTIFS($A$14:$A$1213,$A72,$F$14:$F$1213,"&gt;=0")+1)/2)</f>
        <v/>
      </c>
      <c r="Z72" s="27">
        <f>IF(ISNUMBER($V72),$A72&amp;"|"&amp;$V72,"")</f>
        <v/>
      </c>
      <c r="AA72" s="27">
        <f>IF(ISNUMBER($W72),$A72&amp;"|"&amp;$W72,"")</f>
        <v/>
      </c>
      <c r="AB72" s="27">
        <f>IF(ISNUMBER($F72),$A72&amp;"|"&amp;$F72,"")</f>
        <v/>
      </c>
      <c r="AC72" s="27">
        <f>IF(ISNUMBER($P72),COUNTIFS($A$14:$A$1213,$A72,$P$14:$P$1213,"&gt;"&amp;$P72)+(COUNTIFS($A$14:$A$1213,$A72,$P$14:$P$1213,"="&amp;$P72)+1)/2,"")</f>
        <v/>
      </c>
      <c r="AD72" s="27">
        <f>IF(ISNUMBER($Q72),COUNTIFS($A$14:$A$1213,$A72,$Q$14:$Q$1213,"&gt;"&amp;$Q72)+(COUNTIFS($A$14:$A$1213,$A72,$Q$14:$Q$1213,"="&amp;$Q72)+1)/2,"")</f>
        <v/>
      </c>
      <c r="AE72" s="27">
        <f>IF(ISNUMBER($R72),COUNTIFS($A$14:$A$1213,$A72,$R$14:$R$1213,"&gt;"&amp;$R72)+(COUNTIFS($A$14:$A$1213,$A72,$R$14:$R$1213,"="&amp;$R72)+1)/2,"")</f>
        <v/>
      </c>
      <c r="AF72" s="27">
        <f>IF(ISNUMBER($S72),COUNTIFS($A$14:$A$1213,$A72,$S$14:$S$1213,"&gt;"&amp;$S72)+(COUNTIFS($A$14:$A$1213,$A72,$S$14:$S$1213,"="&amp;$S72)+1)/2,"")</f>
        <v/>
      </c>
      <c r="AG72" s="27">
        <f>IF(ISNUMBER($T72),COUNTIFS($A$14:$A$1213,$A72,$T$14:$T$1213,"&gt;"&amp;$T72)+(COUNTIFS($A$14:$A$1213,$A72,$T$14:$T$1213,"="&amp;$T72)+1)/2,"")</f>
        <v/>
      </c>
      <c r="AH72" s="27">
        <f>IF(COUNT($AC72:$AG72)&lt;2,"",IF(MAX($AC72:$AG72)=MIN($AC72:$AG72),0,1))</f>
        <v/>
      </c>
      <c r="AI72" s="27">
        <f>IF($A72="","",IF(COUNTIF($A$14:$A72,$A72)=1,COUNTIF($AI$13:AI71,"&gt;0")+1,""))</f>
        <v/>
      </c>
      <c r="AJ72" s="27">
        <f>IF(OR($H72="",COUNTIFS($A$14:$A$1213,$H72,$F$14:$F$1213,"&gt;=0")&lt;2,COUNTIFS($A$14:$A$1213,$H72,$F$14:$F$1213,_xlfn.MAXIFS($F$14:$F$1213,$A$14:$A$1213,$H72))&gt;1),"",IFERROR(INDEX($D$14:$D$1213,MATCH($H72&amp;"|"&amp;_xlfn.MAXIFS($F$14:$F$1213,$A$14:$A$1213,$H72),$AB$14:$AB$1213,0)),""))</f>
        <v/>
      </c>
      <c r="AK72" s="27">
        <f>IF(OR($H72="",COUNTIFS($A$14:$A$1213,$H72,$F$14:$F$1213,"&gt;=0")&lt;2,COUNTIFS($A$14:$A$1213,$H72,$F$14:$F$1213,_xlfn.MAXIFS($F$14:$F$1213,$A$14:$A$1213,$H72))&gt;1),"",IFERROR(INDEX($E$14:$E$1213,MATCH($H72&amp;"|"&amp;_xlfn.MAXIFS($F$14:$F$1213,$A$14:$A$1213,$H72),$AB$14:$AB$1213,0)),""))</f>
        <v/>
      </c>
      <c r="AL72" s="27">
        <f>IF(OR($H72="",COUNTIFS($A$14:$A$1213,$H72,$F$14:$F$1213,"&gt;=0")&lt;2,COUNTIFS($A$14:$A$1213,$H72,$F$14:$F$1213,_xlfn.MAXIFS($F$14:$F$1213,$A$14:$A$1213,$H72))&gt;1),"",IFERROR(INDEX($D$14:$D$1213,MATCH($H72&amp;"|"&amp;_xlfn.MAXIFS($F$14:$F$1213,$A$14:$A$1213,$H72,$F$14:$F$1213,"&lt;"&amp;_xlfn.MAXIFS($F$14:$F$1213,$A$14:$A$1213,$H72)),$AB$14:$AB$1213,0)),""))</f>
        <v/>
      </c>
      <c r="AM72" s="27">
        <f>IF(OR($H72="",COUNTIFS($A$14:$A$1213,$H72,$F$14:$F$1213,"&gt;=0")&lt;2,COUNTIFS($A$14:$A$1213,$H72,$F$14:$F$1213,_xlfn.MAXIFS($F$14:$F$1213,$A$14:$A$1213,$H72))&gt;1),"",IFERROR(INDEX($E$14:$E$1213,MATCH($H72&amp;"|"&amp;_xlfn.MAXIFS($F$14:$F$1213,$A$14:$A$1213,$H72,$F$14:$F$1213,"&lt;"&amp;_xlfn.MAXIFS($F$14:$F$1213,$A$14:$A$1213,$H72)),$AB$14:$AB$1213,0)),""))</f>
        <v/>
      </c>
      <c r="AN72" s="27">
        <f>IF(OR(NOT(ISNUMBER($AJ72)),NOT(ISNUMBER($AL72)),$AK72=0,$AM72=0),"",IF(OR((($AJ72+$AL72)/($AK72+$AM72))&lt;=0,(($AJ72+$AL72)/($AK72+$AM72))&gt;=1),"",($AJ72/$AK72-$AL72/$AM72)/SQRT((($AJ72+$AL72)/($AK72+$AM72))*(1-(($AJ72+$AL72)/($AK72+$AM72)))*(1/$AK72+1/$AM72))))</f>
        <v/>
      </c>
      <c r="AO72" s="27">
        <f>IF($A72="","",IF(AND(COUNTIFS($A$14:$A$1213,$A72,$F$14:$F$1213,"&gt;=0")=2,IFERROR(INDEX($M$14:$M$313,MATCH($A72,$H$14:$H$313,0)),"Yes")&lt;&gt;"Yes"),1,0))</f>
        <v/>
      </c>
    </row>
    <row r="73" ht="24" customHeight="1">
      <c r="A73" s="19">
        <f>IF('Enter messages'!A73="","",'Enter messages'!A73)</f>
        <v/>
      </c>
      <c r="B73" s="20">
        <f>IF('Enter messages'!B73="","",'Enter messages'!B73)</f>
        <v/>
      </c>
      <c r="C73" s="21">
        <f>IFERROR(AVERAGE(P73:T73),"")</f>
        <v/>
      </c>
      <c r="D73" s="29" t="n"/>
      <c r="E73" s="29" t="n"/>
      <c r="F73" s="30">
        <f>IF(AND(ISNUMBER($D73),ISNUMBER($E73),$E73&gt;0,$D73&lt;=$E73),$D73/$E73,"")</f>
        <v/>
      </c>
      <c r="H73" s="19">
        <f>IFERROR(INDEX($A$14:$A$1213,MATCH(60,$AI$14:$AI$1213,0)),"")</f>
        <v/>
      </c>
      <c r="I73" s="24">
        <f>IF($H73="","",IF(COUNTIFS($A$14:$A$1213,$H73,$C$14:$C$1213,"&gt;=0")=0,"—",IFERROR(INDEX($B$14:$B$1213,MATCH($H73&amp;"|1",$Z$14:$Z$1213,0)),"(tied)")))</f>
        <v/>
      </c>
      <c r="J73" s="25">
        <f>IF($H73="","",IF(OR(COUNTIFS($A$14:$A$1213,$H73,$C$14:$C$1213,"&gt;=0")=0,COUNTIFS($A$14:$A$1213,$H73,$F$14:$F$1213,"&gt;=0")=0),"—",IF(OR(ISERROR(MATCH($H73&amp;"|1",$Z$14:$Z$1213,0)),ISERROR(MATCH($H73&amp;"|1",$AA$14:$AA$1213,0))),"Tie",IF(MATCH($H73&amp;"|1",$Z$14:$Z$1213,0)=MATCH($H73&amp;"|1",$AA$14:$AA$1213,0),"Hit","Miss"))))</f>
        <v/>
      </c>
      <c r="K73" s="24">
        <f>IF($H73="","",IF(COUNTIFS($A$14:$A$1213,$H73,$F$14:$F$1213,"&gt;=0")=0,"—",IFERROR(INDEX($B$14:$B$1213,MATCH($H73&amp;"|1",$AA$14:$AA$1213,0)),"(tied)")))</f>
        <v/>
      </c>
      <c r="L73" s="25">
        <f>IF($H73="","",IF((--(COUNTIFS($A$14:$A$1213,$H73,$P$14:$P$1213,"&gt;=0")&gt;0)+--(COUNTIFS($A$14:$A$1213,$H73,$Q$14:$Q$1213,"&gt;=0")&gt;0)+--(COUNTIFS($A$14:$A$1213,$H73,$R$14:$R$1213,"&gt;=0")&gt;0)+--(COUNTIFS($A$14:$A$1213,$H73,$S$14:$S$1213,"&gt;=0")&gt;0)+--(COUNTIFS($A$14:$A$1213,$H73,$T$14:$T$1213,"&gt;=0")&gt;0))&lt;2,"—",IF(SUMIFS($AH$14:$AH$1213,$A$14:$A$1213,$H73)=0,"Yes","No")))</f>
        <v/>
      </c>
      <c r="M73" s="25">
        <f>IF($H73="","",IF(COUNTIFS($A$14:$A$1213,$H73,$F$14:$F$1213,"&gt;=0")&lt;2,"—",IF(COUNTIFS($A$14:$A$1213,$H73,$F$14:$F$1213,_xlfn.MAXIFS($F$14:$F$1213,$A$14:$A$1213,$H73))&gt;1,"No",IF(NOT(ISNUMBER($AN73)),"—",IF((2*(1-NORMSDIST(ABS($AN73))))&lt;0.05,"Yes","No")))))</f>
        <v/>
      </c>
      <c r="N73" s="21">
        <f>IF($H73="","",IF(NOT(ISNUMBER($AN73)),"—",IF((2*(1-NORMSDIST(ABS($AN73))))&lt;0.001,"&lt;0.001",TEXT((2*(1-NORMSDIST(ABS($AN73)))),"0.000"))))</f>
        <v/>
      </c>
      <c r="P73" s="26" t="n"/>
      <c r="Q73" s="26" t="n"/>
      <c r="R73" s="26" t="n"/>
      <c r="S73" s="26" t="n"/>
      <c r="T73" s="26" t="n"/>
      <c r="V73" s="27">
        <f>IF(ISNUMBER($C73),COUNTIFS($A$14:$A$1213,$A73,$C$14:$C$1213,"&gt;"&amp;$C73)+(COUNTIFS($A$14:$A$1213,$A73,$C$14:$C$1213,"="&amp;$C73)+1)/2,"")</f>
        <v/>
      </c>
      <c r="W73" s="27">
        <f>IF(ISNUMBER($F73),COUNTIFS($A$14:$A$1213,$A73,$F$14:$F$1213,"&gt;"&amp;$F73)+(COUNTIFS($A$14:$A$1213,$A73,$F$14:$F$1213,"="&amp;$F73)+1)/2,"")</f>
        <v/>
      </c>
      <c r="X73" s="27">
        <f>IF(OR(NOT(ISNUMBER($V73)),$AO73=1),"",$V73-(COUNTIFS($A$14:$A$1213,$A73,$C$14:$C$1213,"&gt;=0")+1)/2)</f>
        <v/>
      </c>
      <c r="Y73" s="27">
        <f>IF(OR(NOT(ISNUMBER($W73)),$AO73=1),"",$W73-(COUNTIFS($A$14:$A$1213,$A73,$F$14:$F$1213,"&gt;=0")+1)/2)</f>
        <v/>
      </c>
      <c r="Z73" s="27">
        <f>IF(ISNUMBER($V73),$A73&amp;"|"&amp;$V73,"")</f>
        <v/>
      </c>
      <c r="AA73" s="27">
        <f>IF(ISNUMBER($W73),$A73&amp;"|"&amp;$W73,"")</f>
        <v/>
      </c>
      <c r="AB73" s="27">
        <f>IF(ISNUMBER($F73),$A73&amp;"|"&amp;$F73,"")</f>
        <v/>
      </c>
      <c r="AC73" s="27">
        <f>IF(ISNUMBER($P73),COUNTIFS($A$14:$A$1213,$A73,$P$14:$P$1213,"&gt;"&amp;$P73)+(COUNTIFS($A$14:$A$1213,$A73,$P$14:$P$1213,"="&amp;$P73)+1)/2,"")</f>
        <v/>
      </c>
      <c r="AD73" s="27">
        <f>IF(ISNUMBER($Q73),COUNTIFS($A$14:$A$1213,$A73,$Q$14:$Q$1213,"&gt;"&amp;$Q73)+(COUNTIFS($A$14:$A$1213,$A73,$Q$14:$Q$1213,"="&amp;$Q73)+1)/2,"")</f>
        <v/>
      </c>
      <c r="AE73" s="27">
        <f>IF(ISNUMBER($R73),COUNTIFS($A$14:$A$1213,$A73,$R$14:$R$1213,"&gt;"&amp;$R73)+(COUNTIFS($A$14:$A$1213,$A73,$R$14:$R$1213,"="&amp;$R73)+1)/2,"")</f>
        <v/>
      </c>
      <c r="AF73" s="27">
        <f>IF(ISNUMBER($S73),COUNTIFS($A$14:$A$1213,$A73,$S$14:$S$1213,"&gt;"&amp;$S73)+(COUNTIFS($A$14:$A$1213,$A73,$S$14:$S$1213,"="&amp;$S73)+1)/2,"")</f>
        <v/>
      </c>
      <c r="AG73" s="27">
        <f>IF(ISNUMBER($T73),COUNTIFS($A$14:$A$1213,$A73,$T$14:$T$1213,"&gt;"&amp;$T73)+(COUNTIFS($A$14:$A$1213,$A73,$T$14:$T$1213,"="&amp;$T73)+1)/2,"")</f>
        <v/>
      </c>
      <c r="AH73" s="27">
        <f>IF(COUNT($AC73:$AG73)&lt;2,"",IF(MAX($AC73:$AG73)=MIN($AC73:$AG73),0,1))</f>
        <v/>
      </c>
      <c r="AI73" s="27">
        <f>IF($A73="","",IF(COUNTIF($A$14:$A73,$A73)=1,COUNTIF($AI$13:AI72,"&gt;0")+1,""))</f>
        <v/>
      </c>
      <c r="AJ73" s="27">
        <f>IF(OR($H73="",COUNTIFS($A$14:$A$1213,$H73,$F$14:$F$1213,"&gt;=0")&lt;2,COUNTIFS($A$14:$A$1213,$H73,$F$14:$F$1213,_xlfn.MAXIFS($F$14:$F$1213,$A$14:$A$1213,$H73))&gt;1),"",IFERROR(INDEX($D$14:$D$1213,MATCH($H73&amp;"|"&amp;_xlfn.MAXIFS($F$14:$F$1213,$A$14:$A$1213,$H73),$AB$14:$AB$1213,0)),""))</f>
        <v/>
      </c>
      <c r="AK73" s="27">
        <f>IF(OR($H73="",COUNTIFS($A$14:$A$1213,$H73,$F$14:$F$1213,"&gt;=0")&lt;2,COUNTIFS($A$14:$A$1213,$H73,$F$14:$F$1213,_xlfn.MAXIFS($F$14:$F$1213,$A$14:$A$1213,$H73))&gt;1),"",IFERROR(INDEX($E$14:$E$1213,MATCH($H73&amp;"|"&amp;_xlfn.MAXIFS($F$14:$F$1213,$A$14:$A$1213,$H73),$AB$14:$AB$1213,0)),""))</f>
        <v/>
      </c>
      <c r="AL73" s="27">
        <f>IF(OR($H73="",COUNTIFS($A$14:$A$1213,$H73,$F$14:$F$1213,"&gt;=0")&lt;2,COUNTIFS($A$14:$A$1213,$H73,$F$14:$F$1213,_xlfn.MAXIFS($F$14:$F$1213,$A$14:$A$1213,$H73))&gt;1),"",IFERROR(INDEX($D$14:$D$1213,MATCH($H73&amp;"|"&amp;_xlfn.MAXIFS($F$14:$F$1213,$A$14:$A$1213,$H73,$F$14:$F$1213,"&lt;"&amp;_xlfn.MAXIFS($F$14:$F$1213,$A$14:$A$1213,$H73)),$AB$14:$AB$1213,0)),""))</f>
        <v/>
      </c>
      <c r="AM73" s="27">
        <f>IF(OR($H73="",COUNTIFS($A$14:$A$1213,$H73,$F$14:$F$1213,"&gt;=0")&lt;2,COUNTIFS($A$14:$A$1213,$H73,$F$14:$F$1213,_xlfn.MAXIFS($F$14:$F$1213,$A$14:$A$1213,$H73))&gt;1),"",IFERROR(INDEX($E$14:$E$1213,MATCH($H73&amp;"|"&amp;_xlfn.MAXIFS($F$14:$F$1213,$A$14:$A$1213,$H73,$F$14:$F$1213,"&lt;"&amp;_xlfn.MAXIFS($F$14:$F$1213,$A$14:$A$1213,$H73)),$AB$14:$AB$1213,0)),""))</f>
        <v/>
      </c>
      <c r="AN73" s="27">
        <f>IF(OR(NOT(ISNUMBER($AJ73)),NOT(ISNUMBER($AL73)),$AK73=0,$AM73=0),"",IF(OR((($AJ73+$AL73)/($AK73+$AM73))&lt;=0,(($AJ73+$AL73)/($AK73+$AM73))&gt;=1),"",($AJ73/$AK73-$AL73/$AM73)/SQRT((($AJ73+$AL73)/($AK73+$AM73))*(1-(($AJ73+$AL73)/($AK73+$AM73)))*(1/$AK73+1/$AM73))))</f>
        <v/>
      </c>
      <c r="AO73" s="27">
        <f>IF($A73="","",IF(AND(COUNTIFS($A$14:$A$1213,$A73,$F$14:$F$1213,"&gt;=0")=2,IFERROR(INDEX($M$14:$M$313,MATCH($A73,$H$14:$H$313,0)),"Yes")&lt;&gt;"Yes"),1,0))</f>
        <v/>
      </c>
    </row>
    <row r="74" ht="24" customHeight="1">
      <c r="A74" s="19">
        <f>IF('Enter messages'!A74="","",'Enter messages'!A74)</f>
        <v/>
      </c>
      <c r="B74" s="20">
        <f>IF('Enter messages'!B74="","",'Enter messages'!B74)</f>
        <v/>
      </c>
      <c r="C74" s="21">
        <f>IFERROR(AVERAGE(P74:T74),"")</f>
        <v/>
      </c>
      <c r="D74" s="29" t="n"/>
      <c r="E74" s="29" t="n"/>
      <c r="F74" s="30">
        <f>IF(AND(ISNUMBER($D74),ISNUMBER($E74),$E74&gt;0,$D74&lt;=$E74),$D74/$E74,"")</f>
        <v/>
      </c>
      <c r="H74" s="19">
        <f>IFERROR(INDEX($A$14:$A$1213,MATCH(61,$AI$14:$AI$1213,0)),"")</f>
        <v/>
      </c>
      <c r="I74" s="24">
        <f>IF($H74="","",IF(COUNTIFS($A$14:$A$1213,$H74,$C$14:$C$1213,"&gt;=0")=0,"—",IFERROR(INDEX($B$14:$B$1213,MATCH($H74&amp;"|1",$Z$14:$Z$1213,0)),"(tied)")))</f>
        <v/>
      </c>
      <c r="J74" s="25">
        <f>IF($H74="","",IF(OR(COUNTIFS($A$14:$A$1213,$H74,$C$14:$C$1213,"&gt;=0")=0,COUNTIFS($A$14:$A$1213,$H74,$F$14:$F$1213,"&gt;=0")=0),"—",IF(OR(ISERROR(MATCH($H74&amp;"|1",$Z$14:$Z$1213,0)),ISERROR(MATCH($H74&amp;"|1",$AA$14:$AA$1213,0))),"Tie",IF(MATCH($H74&amp;"|1",$Z$14:$Z$1213,0)=MATCH($H74&amp;"|1",$AA$14:$AA$1213,0),"Hit","Miss"))))</f>
        <v/>
      </c>
      <c r="K74" s="24">
        <f>IF($H74="","",IF(COUNTIFS($A$14:$A$1213,$H74,$F$14:$F$1213,"&gt;=0")=0,"—",IFERROR(INDEX($B$14:$B$1213,MATCH($H74&amp;"|1",$AA$14:$AA$1213,0)),"(tied)")))</f>
        <v/>
      </c>
      <c r="L74" s="25">
        <f>IF($H74="","",IF((--(COUNTIFS($A$14:$A$1213,$H74,$P$14:$P$1213,"&gt;=0")&gt;0)+--(COUNTIFS($A$14:$A$1213,$H74,$Q$14:$Q$1213,"&gt;=0")&gt;0)+--(COUNTIFS($A$14:$A$1213,$H74,$R$14:$R$1213,"&gt;=0")&gt;0)+--(COUNTIFS($A$14:$A$1213,$H74,$S$14:$S$1213,"&gt;=0")&gt;0)+--(COUNTIFS($A$14:$A$1213,$H74,$T$14:$T$1213,"&gt;=0")&gt;0))&lt;2,"—",IF(SUMIFS($AH$14:$AH$1213,$A$14:$A$1213,$H74)=0,"Yes","No")))</f>
        <v/>
      </c>
      <c r="M74" s="25">
        <f>IF($H74="","",IF(COUNTIFS($A$14:$A$1213,$H74,$F$14:$F$1213,"&gt;=0")&lt;2,"—",IF(COUNTIFS($A$14:$A$1213,$H74,$F$14:$F$1213,_xlfn.MAXIFS($F$14:$F$1213,$A$14:$A$1213,$H74))&gt;1,"No",IF(NOT(ISNUMBER($AN74)),"—",IF((2*(1-NORMSDIST(ABS($AN74))))&lt;0.05,"Yes","No")))))</f>
        <v/>
      </c>
      <c r="N74" s="21">
        <f>IF($H74="","",IF(NOT(ISNUMBER($AN74)),"—",IF((2*(1-NORMSDIST(ABS($AN74))))&lt;0.001,"&lt;0.001",TEXT((2*(1-NORMSDIST(ABS($AN74)))),"0.000"))))</f>
        <v/>
      </c>
      <c r="P74" s="26" t="n"/>
      <c r="Q74" s="26" t="n"/>
      <c r="R74" s="26" t="n"/>
      <c r="S74" s="26" t="n"/>
      <c r="T74" s="26" t="n"/>
      <c r="V74" s="27">
        <f>IF(ISNUMBER($C74),COUNTIFS($A$14:$A$1213,$A74,$C$14:$C$1213,"&gt;"&amp;$C74)+(COUNTIFS($A$14:$A$1213,$A74,$C$14:$C$1213,"="&amp;$C74)+1)/2,"")</f>
        <v/>
      </c>
      <c r="W74" s="27">
        <f>IF(ISNUMBER($F74),COUNTIFS($A$14:$A$1213,$A74,$F$14:$F$1213,"&gt;"&amp;$F74)+(COUNTIFS($A$14:$A$1213,$A74,$F$14:$F$1213,"="&amp;$F74)+1)/2,"")</f>
        <v/>
      </c>
      <c r="X74" s="27">
        <f>IF(OR(NOT(ISNUMBER($V74)),$AO74=1),"",$V74-(COUNTIFS($A$14:$A$1213,$A74,$C$14:$C$1213,"&gt;=0")+1)/2)</f>
        <v/>
      </c>
      <c r="Y74" s="27">
        <f>IF(OR(NOT(ISNUMBER($W74)),$AO74=1),"",$W74-(COUNTIFS($A$14:$A$1213,$A74,$F$14:$F$1213,"&gt;=0")+1)/2)</f>
        <v/>
      </c>
      <c r="Z74" s="27">
        <f>IF(ISNUMBER($V74),$A74&amp;"|"&amp;$V74,"")</f>
        <v/>
      </c>
      <c r="AA74" s="27">
        <f>IF(ISNUMBER($W74),$A74&amp;"|"&amp;$W74,"")</f>
        <v/>
      </c>
      <c r="AB74" s="27">
        <f>IF(ISNUMBER($F74),$A74&amp;"|"&amp;$F74,"")</f>
        <v/>
      </c>
      <c r="AC74" s="27">
        <f>IF(ISNUMBER($P74),COUNTIFS($A$14:$A$1213,$A74,$P$14:$P$1213,"&gt;"&amp;$P74)+(COUNTIFS($A$14:$A$1213,$A74,$P$14:$P$1213,"="&amp;$P74)+1)/2,"")</f>
        <v/>
      </c>
      <c r="AD74" s="27">
        <f>IF(ISNUMBER($Q74),COUNTIFS($A$14:$A$1213,$A74,$Q$14:$Q$1213,"&gt;"&amp;$Q74)+(COUNTIFS($A$14:$A$1213,$A74,$Q$14:$Q$1213,"="&amp;$Q74)+1)/2,"")</f>
        <v/>
      </c>
      <c r="AE74" s="27">
        <f>IF(ISNUMBER($R74),COUNTIFS($A$14:$A$1213,$A74,$R$14:$R$1213,"&gt;"&amp;$R74)+(COUNTIFS($A$14:$A$1213,$A74,$R$14:$R$1213,"="&amp;$R74)+1)/2,"")</f>
        <v/>
      </c>
      <c r="AF74" s="27">
        <f>IF(ISNUMBER($S74),COUNTIFS($A$14:$A$1213,$A74,$S$14:$S$1213,"&gt;"&amp;$S74)+(COUNTIFS($A$14:$A$1213,$A74,$S$14:$S$1213,"="&amp;$S74)+1)/2,"")</f>
        <v/>
      </c>
      <c r="AG74" s="27">
        <f>IF(ISNUMBER($T74),COUNTIFS($A$14:$A$1213,$A74,$T$14:$T$1213,"&gt;"&amp;$T74)+(COUNTIFS($A$14:$A$1213,$A74,$T$14:$T$1213,"="&amp;$T74)+1)/2,"")</f>
        <v/>
      </c>
      <c r="AH74" s="27">
        <f>IF(COUNT($AC74:$AG74)&lt;2,"",IF(MAX($AC74:$AG74)=MIN($AC74:$AG74),0,1))</f>
        <v/>
      </c>
      <c r="AI74" s="27">
        <f>IF($A74="","",IF(COUNTIF($A$14:$A74,$A74)=1,COUNTIF($AI$13:AI73,"&gt;0")+1,""))</f>
        <v/>
      </c>
      <c r="AJ74" s="27">
        <f>IF(OR($H74="",COUNTIFS($A$14:$A$1213,$H74,$F$14:$F$1213,"&gt;=0")&lt;2,COUNTIFS($A$14:$A$1213,$H74,$F$14:$F$1213,_xlfn.MAXIFS($F$14:$F$1213,$A$14:$A$1213,$H74))&gt;1),"",IFERROR(INDEX($D$14:$D$1213,MATCH($H74&amp;"|"&amp;_xlfn.MAXIFS($F$14:$F$1213,$A$14:$A$1213,$H74),$AB$14:$AB$1213,0)),""))</f>
        <v/>
      </c>
      <c r="AK74" s="27">
        <f>IF(OR($H74="",COUNTIFS($A$14:$A$1213,$H74,$F$14:$F$1213,"&gt;=0")&lt;2,COUNTIFS($A$14:$A$1213,$H74,$F$14:$F$1213,_xlfn.MAXIFS($F$14:$F$1213,$A$14:$A$1213,$H74))&gt;1),"",IFERROR(INDEX($E$14:$E$1213,MATCH($H74&amp;"|"&amp;_xlfn.MAXIFS($F$14:$F$1213,$A$14:$A$1213,$H74),$AB$14:$AB$1213,0)),""))</f>
        <v/>
      </c>
      <c r="AL74" s="27">
        <f>IF(OR($H74="",COUNTIFS($A$14:$A$1213,$H74,$F$14:$F$1213,"&gt;=0")&lt;2,COUNTIFS($A$14:$A$1213,$H74,$F$14:$F$1213,_xlfn.MAXIFS($F$14:$F$1213,$A$14:$A$1213,$H74))&gt;1),"",IFERROR(INDEX($D$14:$D$1213,MATCH($H74&amp;"|"&amp;_xlfn.MAXIFS($F$14:$F$1213,$A$14:$A$1213,$H74,$F$14:$F$1213,"&lt;"&amp;_xlfn.MAXIFS($F$14:$F$1213,$A$14:$A$1213,$H74)),$AB$14:$AB$1213,0)),""))</f>
        <v/>
      </c>
      <c r="AM74" s="27">
        <f>IF(OR($H74="",COUNTIFS($A$14:$A$1213,$H74,$F$14:$F$1213,"&gt;=0")&lt;2,COUNTIFS($A$14:$A$1213,$H74,$F$14:$F$1213,_xlfn.MAXIFS($F$14:$F$1213,$A$14:$A$1213,$H74))&gt;1),"",IFERROR(INDEX($E$14:$E$1213,MATCH($H74&amp;"|"&amp;_xlfn.MAXIFS($F$14:$F$1213,$A$14:$A$1213,$H74,$F$14:$F$1213,"&lt;"&amp;_xlfn.MAXIFS($F$14:$F$1213,$A$14:$A$1213,$H74)),$AB$14:$AB$1213,0)),""))</f>
        <v/>
      </c>
      <c r="AN74" s="27">
        <f>IF(OR(NOT(ISNUMBER($AJ74)),NOT(ISNUMBER($AL74)),$AK74=0,$AM74=0),"",IF(OR((($AJ74+$AL74)/($AK74+$AM74))&lt;=0,(($AJ74+$AL74)/($AK74+$AM74))&gt;=1),"",($AJ74/$AK74-$AL74/$AM74)/SQRT((($AJ74+$AL74)/($AK74+$AM74))*(1-(($AJ74+$AL74)/($AK74+$AM74)))*(1/$AK74+1/$AM74))))</f>
        <v/>
      </c>
      <c r="AO74" s="27">
        <f>IF($A74="","",IF(AND(COUNTIFS($A$14:$A$1213,$A74,$F$14:$F$1213,"&gt;=0")=2,IFERROR(INDEX($M$14:$M$313,MATCH($A74,$H$14:$H$313,0)),"Yes")&lt;&gt;"Yes"),1,0))</f>
        <v/>
      </c>
    </row>
    <row r="75" ht="24" customHeight="1">
      <c r="A75" s="19">
        <f>IF('Enter messages'!A75="","",'Enter messages'!A75)</f>
        <v/>
      </c>
      <c r="B75" s="20">
        <f>IF('Enter messages'!B75="","",'Enter messages'!B75)</f>
        <v/>
      </c>
      <c r="C75" s="21">
        <f>IFERROR(AVERAGE(P75:T75),"")</f>
        <v/>
      </c>
      <c r="D75" s="29" t="n"/>
      <c r="E75" s="29" t="n"/>
      <c r="F75" s="30">
        <f>IF(AND(ISNUMBER($D75),ISNUMBER($E75),$E75&gt;0,$D75&lt;=$E75),$D75/$E75,"")</f>
        <v/>
      </c>
      <c r="H75" s="19">
        <f>IFERROR(INDEX($A$14:$A$1213,MATCH(62,$AI$14:$AI$1213,0)),"")</f>
        <v/>
      </c>
      <c r="I75" s="24">
        <f>IF($H75="","",IF(COUNTIFS($A$14:$A$1213,$H75,$C$14:$C$1213,"&gt;=0")=0,"—",IFERROR(INDEX($B$14:$B$1213,MATCH($H75&amp;"|1",$Z$14:$Z$1213,0)),"(tied)")))</f>
        <v/>
      </c>
      <c r="J75" s="25">
        <f>IF($H75="","",IF(OR(COUNTIFS($A$14:$A$1213,$H75,$C$14:$C$1213,"&gt;=0")=0,COUNTIFS($A$14:$A$1213,$H75,$F$14:$F$1213,"&gt;=0")=0),"—",IF(OR(ISERROR(MATCH($H75&amp;"|1",$Z$14:$Z$1213,0)),ISERROR(MATCH($H75&amp;"|1",$AA$14:$AA$1213,0))),"Tie",IF(MATCH($H75&amp;"|1",$Z$14:$Z$1213,0)=MATCH($H75&amp;"|1",$AA$14:$AA$1213,0),"Hit","Miss"))))</f>
        <v/>
      </c>
      <c r="K75" s="24">
        <f>IF($H75="","",IF(COUNTIFS($A$14:$A$1213,$H75,$F$14:$F$1213,"&gt;=0")=0,"—",IFERROR(INDEX($B$14:$B$1213,MATCH($H75&amp;"|1",$AA$14:$AA$1213,0)),"(tied)")))</f>
        <v/>
      </c>
      <c r="L75" s="25">
        <f>IF($H75="","",IF((--(COUNTIFS($A$14:$A$1213,$H75,$P$14:$P$1213,"&gt;=0")&gt;0)+--(COUNTIFS($A$14:$A$1213,$H75,$Q$14:$Q$1213,"&gt;=0")&gt;0)+--(COUNTIFS($A$14:$A$1213,$H75,$R$14:$R$1213,"&gt;=0")&gt;0)+--(COUNTIFS($A$14:$A$1213,$H75,$S$14:$S$1213,"&gt;=0")&gt;0)+--(COUNTIFS($A$14:$A$1213,$H75,$T$14:$T$1213,"&gt;=0")&gt;0))&lt;2,"—",IF(SUMIFS($AH$14:$AH$1213,$A$14:$A$1213,$H75)=0,"Yes","No")))</f>
        <v/>
      </c>
      <c r="M75" s="25">
        <f>IF($H75="","",IF(COUNTIFS($A$14:$A$1213,$H75,$F$14:$F$1213,"&gt;=0")&lt;2,"—",IF(COUNTIFS($A$14:$A$1213,$H75,$F$14:$F$1213,_xlfn.MAXIFS($F$14:$F$1213,$A$14:$A$1213,$H75))&gt;1,"No",IF(NOT(ISNUMBER($AN75)),"—",IF((2*(1-NORMSDIST(ABS($AN75))))&lt;0.05,"Yes","No")))))</f>
        <v/>
      </c>
      <c r="N75" s="21">
        <f>IF($H75="","",IF(NOT(ISNUMBER($AN75)),"—",IF((2*(1-NORMSDIST(ABS($AN75))))&lt;0.001,"&lt;0.001",TEXT((2*(1-NORMSDIST(ABS($AN75)))),"0.000"))))</f>
        <v/>
      </c>
      <c r="P75" s="26" t="n"/>
      <c r="Q75" s="26" t="n"/>
      <c r="R75" s="26" t="n"/>
      <c r="S75" s="26" t="n"/>
      <c r="T75" s="26" t="n"/>
      <c r="V75" s="27">
        <f>IF(ISNUMBER($C75),COUNTIFS($A$14:$A$1213,$A75,$C$14:$C$1213,"&gt;"&amp;$C75)+(COUNTIFS($A$14:$A$1213,$A75,$C$14:$C$1213,"="&amp;$C75)+1)/2,"")</f>
        <v/>
      </c>
      <c r="W75" s="27">
        <f>IF(ISNUMBER($F75),COUNTIFS($A$14:$A$1213,$A75,$F$14:$F$1213,"&gt;"&amp;$F75)+(COUNTIFS($A$14:$A$1213,$A75,$F$14:$F$1213,"="&amp;$F75)+1)/2,"")</f>
        <v/>
      </c>
      <c r="X75" s="27">
        <f>IF(OR(NOT(ISNUMBER($V75)),$AO75=1),"",$V75-(COUNTIFS($A$14:$A$1213,$A75,$C$14:$C$1213,"&gt;=0")+1)/2)</f>
        <v/>
      </c>
      <c r="Y75" s="27">
        <f>IF(OR(NOT(ISNUMBER($W75)),$AO75=1),"",$W75-(COUNTIFS($A$14:$A$1213,$A75,$F$14:$F$1213,"&gt;=0")+1)/2)</f>
        <v/>
      </c>
      <c r="Z75" s="27">
        <f>IF(ISNUMBER($V75),$A75&amp;"|"&amp;$V75,"")</f>
        <v/>
      </c>
      <c r="AA75" s="27">
        <f>IF(ISNUMBER($W75),$A75&amp;"|"&amp;$W75,"")</f>
        <v/>
      </c>
      <c r="AB75" s="27">
        <f>IF(ISNUMBER($F75),$A75&amp;"|"&amp;$F75,"")</f>
        <v/>
      </c>
      <c r="AC75" s="27">
        <f>IF(ISNUMBER($P75),COUNTIFS($A$14:$A$1213,$A75,$P$14:$P$1213,"&gt;"&amp;$P75)+(COUNTIFS($A$14:$A$1213,$A75,$P$14:$P$1213,"="&amp;$P75)+1)/2,"")</f>
        <v/>
      </c>
      <c r="AD75" s="27">
        <f>IF(ISNUMBER($Q75),COUNTIFS($A$14:$A$1213,$A75,$Q$14:$Q$1213,"&gt;"&amp;$Q75)+(COUNTIFS($A$14:$A$1213,$A75,$Q$14:$Q$1213,"="&amp;$Q75)+1)/2,"")</f>
        <v/>
      </c>
      <c r="AE75" s="27">
        <f>IF(ISNUMBER($R75),COUNTIFS($A$14:$A$1213,$A75,$R$14:$R$1213,"&gt;"&amp;$R75)+(COUNTIFS($A$14:$A$1213,$A75,$R$14:$R$1213,"="&amp;$R75)+1)/2,"")</f>
        <v/>
      </c>
      <c r="AF75" s="27">
        <f>IF(ISNUMBER($S75),COUNTIFS($A$14:$A$1213,$A75,$S$14:$S$1213,"&gt;"&amp;$S75)+(COUNTIFS($A$14:$A$1213,$A75,$S$14:$S$1213,"="&amp;$S75)+1)/2,"")</f>
        <v/>
      </c>
      <c r="AG75" s="27">
        <f>IF(ISNUMBER($T75),COUNTIFS($A$14:$A$1213,$A75,$T$14:$T$1213,"&gt;"&amp;$T75)+(COUNTIFS($A$14:$A$1213,$A75,$T$14:$T$1213,"="&amp;$T75)+1)/2,"")</f>
        <v/>
      </c>
      <c r="AH75" s="27">
        <f>IF(COUNT($AC75:$AG75)&lt;2,"",IF(MAX($AC75:$AG75)=MIN($AC75:$AG75),0,1))</f>
        <v/>
      </c>
      <c r="AI75" s="27">
        <f>IF($A75="","",IF(COUNTIF($A$14:$A75,$A75)=1,COUNTIF($AI$13:AI74,"&gt;0")+1,""))</f>
        <v/>
      </c>
      <c r="AJ75" s="27">
        <f>IF(OR($H75="",COUNTIFS($A$14:$A$1213,$H75,$F$14:$F$1213,"&gt;=0")&lt;2,COUNTIFS($A$14:$A$1213,$H75,$F$14:$F$1213,_xlfn.MAXIFS($F$14:$F$1213,$A$14:$A$1213,$H75))&gt;1),"",IFERROR(INDEX($D$14:$D$1213,MATCH($H75&amp;"|"&amp;_xlfn.MAXIFS($F$14:$F$1213,$A$14:$A$1213,$H75),$AB$14:$AB$1213,0)),""))</f>
        <v/>
      </c>
      <c r="AK75" s="27">
        <f>IF(OR($H75="",COUNTIFS($A$14:$A$1213,$H75,$F$14:$F$1213,"&gt;=0")&lt;2,COUNTIFS($A$14:$A$1213,$H75,$F$14:$F$1213,_xlfn.MAXIFS($F$14:$F$1213,$A$14:$A$1213,$H75))&gt;1),"",IFERROR(INDEX($E$14:$E$1213,MATCH($H75&amp;"|"&amp;_xlfn.MAXIFS($F$14:$F$1213,$A$14:$A$1213,$H75),$AB$14:$AB$1213,0)),""))</f>
        <v/>
      </c>
      <c r="AL75" s="27">
        <f>IF(OR($H75="",COUNTIFS($A$14:$A$1213,$H75,$F$14:$F$1213,"&gt;=0")&lt;2,COUNTIFS($A$14:$A$1213,$H75,$F$14:$F$1213,_xlfn.MAXIFS($F$14:$F$1213,$A$14:$A$1213,$H75))&gt;1),"",IFERROR(INDEX($D$14:$D$1213,MATCH($H75&amp;"|"&amp;_xlfn.MAXIFS($F$14:$F$1213,$A$14:$A$1213,$H75,$F$14:$F$1213,"&lt;"&amp;_xlfn.MAXIFS($F$14:$F$1213,$A$14:$A$1213,$H75)),$AB$14:$AB$1213,0)),""))</f>
        <v/>
      </c>
      <c r="AM75" s="27">
        <f>IF(OR($H75="",COUNTIFS($A$14:$A$1213,$H75,$F$14:$F$1213,"&gt;=0")&lt;2,COUNTIFS($A$14:$A$1213,$H75,$F$14:$F$1213,_xlfn.MAXIFS($F$14:$F$1213,$A$14:$A$1213,$H75))&gt;1),"",IFERROR(INDEX($E$14:$E$1213,MATCH($H75&amp;"|"&amp;_xlfn.MAXIFS($F$14:$F$1213,$A$14:$A$1213,$H75,$F$14:$F$1213,"&lt;"&amp;_xlfn.MAXIFS($F$14:$F$1213,$A$14:$A$1213,$H75)),$AB$14:$AB$1213,0)),""))</f>
        <v/>
      </c>
      <c r="AN75" s="27">
        <f>IF(OR(NOT(ISNUMBER($AJ75)),NOT(ISNUMBER($AL75)),$AK75=0,$AM75=0),"",IF(OR((($AJ75+$AL75)/($AK75+$AM75))&lt;=0,(($AJ75+$AL75)/($AK75+$AM75))&gt;=1),"",($AJ75/$AK75-$AL75/$AM75)/SQRT((($AJ75+$AL75)/($AK75+$AM75))*(1-(($AJ75+$AL75)/($AK75+$AM75)))*(1/$AK75+1/$AM75))))</f>
        <v/>
      </c>
      <c r="AO75" s="27">
        <f>IF($A75="","",IF(AND(COUNTIFS($A$14:$A$1213,$A75,$F$14:$F$1213,"&gt;=0")=2,IFERROR(INDEX($M$14:$M$313,MATCH($A75,$H$14:$H$313,0)),"Yes")&lt;&gt;"Yes"),1,0))</f>
        <v/>
      </c>
    </row>
    <row r="76" ht="24" customHeight="1">
      <c r="A76" s="19">
        <f>IF('Enter messages'!A76="","",'Enter messages'!A76)</f>
        <v/>
      </c>
      <c r="B76" s="20">
        <f>IF('Enter messages'!B76="","",'Enter messages'!B76)</f>
        <v/>
      </c>
      <c r="C76" s="21">
        <f>IFERROR(AVERAGE(P76:T76),"")</f>
        <v/>
      </c>
      <c r="D76" s="29" t="n"/>
      <c r="E76" s="29" t="n"/>
      <c r="F76" s="30">
        <f>IF(AND(ISNUMBER($D76),ISNUMBER($E76),$E76&gt;0,$D76&lt;=$E76),$D76/$E76,"")</f>
        <v/>
      </c>
      <c r="H76" s="19">
        <f>IFERROR(INDEX($A$14:$A$1213,MATCH(63,$AI$14:$AI$1213,0)),"")</f>
        <v/>
      </c>
      <c r="I76" s="24">
        <f>IF($H76="","",IF(COUNTIFS($A$14:$A$1213,$H76,$C$14:$C$1213,"&gt;=0")=0,"—",IFERROR(INDEX($B$14:$B$1213,MATCH($H76&amp;"|1",$Z$14:$Z$1213,0)),"(tied)")))</f>
        <v/>
      </c>
      <c r="J76" s="25">
        <f>IF($H76="","",IF(OR(COUNTIFS($A$14:$A$1213,$H76,$C$14:$C$1213,"&gt;=0")=0,COUNTIFS($A$14:$A$1213,$H76,$F$14:$F$1213,"&gt;=0")=0),"—",IF(OR(ISERROR(MATCH($H76&amp;"|1",$Z$14:$Z$1213,0)),ISERROR(MATCH($H76&amp;"|1",$AA$14:$AA$1213,0))),"Tie",IF(MATCH($H76&amp;"|1",$Z$14:$Z$1213,0)=MATCH($H76&amp;"|1",$AA$14:$AA$1213,0),"Hit","Miss"))))</f>
        <v/>
      </c>
      <c r="K76" s="24">
        <f>IF($H76="","",IF(COUNTIFS($A$14:$A$1213,$H76,$F$14:$F$1213,"&gt;=0")=0,"—",IFERROR(INDEX($B$14:$B$1213,MATCH($H76&amp;"|1",$AA$14:$AA$1213,0)),"(tied)")))</f>
        <v/>
      </c>
      <c r="L76" s="25">
        <f>IF($H76="","",IF((--(COUNTIFS($A$14:$A$1213,$H76,$P$14:$P$1213,"&gt;=0")&gt;0)+--(COUNTIFS($A$14:$A$1213,$H76,$Q$14:$Q$1213,"&gt;=0")&gt;0)+--(COUNTIFS($A$14:$A$1213,$H76,$R$14:$R$1213,"&gt;=0")&gt;0)+--(COUNTIFS($A$14:$A$1213,$H76,$S$14:$S$1213,"&gt;=0")&gt;0)+--(COUNTIFS($A$14:$A$1213,$H76,$T$14:$T$1213,"&gt;=0")&gt;0))&lt;2,"—",IF(SUMIFS($AH$14:$AH$1213,$A$14:$A$1213,$H76)=0,"Yes","No")))</f>
        <v/>
      </c>
      <c r="M76" s="25">
        <f>IF($H76="","",IF(COUNTIFS($A$14:$A$1213,$H76,$F$14:$F$1213,"&gt;=0")&lt;2,"—",IF(COUNTIFS($A$14:$A$1213,$H76,$F$14:$F$1213,_xlfn.MAXIFS($F$14:$F$1213,$A$14:$A$1213,$H76))&gt;1,"No",IF(NOT(ISNUMBER($AN76)),"—",IF((2*(1-NORMSDIST(ABS($AN76))))&lt;0.05,"Yes","No")))))</f>
        <v/>
      </c>
      <c r="N76" s="21">
        <f>IF($H76="","",IF(NOT(ISNUMBER($AN76)),"—",IF((2*(1-NORMSDIST(ABS($AN76))))&lt;0.001,"&lt;0.001",TEXT((2*(1-NORMSDIST(ABS($AN76)))),"0.000"))))</f>
        <v/>
      </c>
      <c r="P76" s="26" t="n"/>
      <c r="Q76" s="26" t="n"/>
      <c r="R76" s="26" t="n"/>
      <c r="S76" s="26" t="n"/>
      <c r="T76" s="26" t="n"/>
      <c r="V76" s="27">
        <f>IF(ISNUMBER($C76),COUNTIFS($A$14:$A$1213,$A76,$C$14:$C$1213,"&gt;"&amp;$C76)+(COUNTIFS($A$14:$A$1213,$A76,$C$14:$C$1213,"="&amp;$C76)+1)/2,"")</f>
        <v/>
      </c>
      <c r="W76" s="27">
        <f>IF(ISNUMBER($F76),COUNTIFS($A$14:$A$1213,$A76,$F$14:$F$1213,"&gt;"&amp;$F76)+(COUNTIFS($A$14:$A$1213,$A76,$F$14:$F$1213,"="&amp;$F76)+1)/2,"")</f>
        <v/>
      </c>
      <c r="X76" s="27">
        <f>IF(OR(NOT(ISNUMBER($V76)),$AO76=1),"",$V76-(COUNTIFS($A$14:$A$1213,$A76,$C$14:$C$1213,"&gt;=0")+1)/2)</f>
        <v/>
      </c>
      <c r="Y76" s="27">
        <f>IF(OR(NOT(ISNUMBER($W76)),$AO76=1),"",$W76-(COUNTIFS($A$14:$A$1213,$A76,$F$14:$F$1213,"&gt;=0")+1)/2)</f>
        <v/>
      </c>
      <c r="Z76" s="27">
        <f>IF(ISNUMBER($V76),$A76&amp;"|"&amp;$V76,"")</f>
        <v/>
      </c>
      <c r="AA76" s="27">
        <f>IF(ISNUMBER($W76),$A76&amp;"|"&amp;$W76,"")</f>
        <v/>
      </c>
      <c r="AB76" s="27">
        <f>IF(ISNUMBER($F76),$A76&amp;"|"&amp;$F76,"")</f>
        <v/>
      </c>
      <c r="AC76" s="27">
        <f>IF(ISNUMBER($P76),COUNTIFS($A$14:$A$1213,$A76,$P$14:$P$1213,"&gt;"&amp;$P76)+(COUNTIFS($A$14:$A$1213,$A76,$P$14:$P$1213,"="&amp;$P76)+1)/2,"")</f>
        <v/>
      </c>
      <c r="AD76" s="27">
        <f>IF(ISNUMBER($Q76),COUNTIFS($A$14:$A$1213,$A76,$Q$14:$Q$1213,"&gt;"&amp;$Q76)+(COUNTIFS($A$14:$A$1213,$A76,$Q$14:$Q$1213,"="&amp;$Q76)+1)/2,"")</f>
        <v/>
      </c>
      <c r="AE76" s="27">
        <f>IF(ISNUMBER($R76),COUNTIFS($A$14:$A$1213,$A76,$R$14:$R$1213,"&gt;"&amp;$R76)+(COUNTIFS($A$14:$A$1213,$A76,$R$14:$R$1213,"="&amp;$R76)+1)/2,"")</f>
        <v/>
      </c>
      <c r="AF76" s="27">
        <f>IF(ISNUMBER($S76),COUNTIFS($A$14:$A$1213,$A76,$S$14:$S$1213,"&gt;"&amp;$S76)+(COUNTIFS($A$14:$A$1213,$A76,$S$14:$S$1213,"="&amp;$S76)+1)/2,"")</f>
        <v/>
      </c>
      <c r="AG76" s="27">
        <f>IF(ISNUMBER($T76),COUNTIFS($A$14:$A$1213,$A76,$T$14:$T$1213,"&gt;"&amp;$T76)+(COUNTIFS($A$14:$A$1213,$A76,$T$14:$T$1213,"="&amp;$T76)+1)/2,"")</f>
        <v/>
      </c>
      <c r="AH76" s="27">
        <f>IF(COUNT($AC76:$AG76)&lt;2,"",IF(MAX($AC76:$AG76)=MIN($AC76:$AG76),0,1))</f>
        <v/>
      </c>
      <c r="AI76" s="27">
        <f>IF($A76="","",IF(COUNTIF($A$14:$A76,$A76)=1,COUNTIF($AI$13:AI75,"&gt;0")+1,""))</f>
        <v/>
      </c>
      <c r="AJ76" s="27">
        <f>IF(OR($H76="",COUNTIFS($A$14:$A$1213,$H76,$F$14:$F$1213,"&gt;=0")&lt;2,COUNTIFS($A$14:$A$1213,$H76,$F$14:$F$1213,_xlfn.MAXIFS($F$14:$F$1213,$A$14:$A$1213,$H76))&gt;1),"",IFERROR(INDEX($D$14:$D$1213,MATCH($H76&amp;"|"&amp;_xlfn.MAXIFS($F$14:$F$1213,$A$14:$A$1213,$H76),$AB$14:$AB$1213,0)),""))</f>
        <v/>
      </c>
      <c r="AK76" s="27">
        <f>IF(OR($H76="",COUNTIFS($A$14:$A$1213,$H76,$F$14:$F$1213,"&gt;=0")&lt;2,COUNTIFS($A$14:$A$1213,$H76,$F$14:$F$1213,_xlfn.MAXIFS($F$14:$F$1213,$A$14:$A$1213,$H76))&gt;1),"",IFERROR(INDEX($E$14:$E$1213,MATCH($H76&amp;"|"&amp;_xlfn.MAXIFS($F$14:$F$1213,$A$14:$A$1213,$H76),$AB$14:$AB$1213,0)),""))</f>
        <v/>
      </c>
      <c r="AL76" s="27">
        <f>IF(OR($H76="",COUNTIFS($A$14:$A$1213,$H76,$F$14:$F$1213,"&gt;=0")&lt;2,COUNTIFS($A$14:$A$1213,$H76,$F$14:$F$1213,_xlfn.MAXIFS($F$14:$F$1213,$A$14:$A$1213,$H76))&gt;1),"",IFERROR(INDEX($D$14:$D$1213,MATCH($H76&amp;"|"&amp;_xlfn.MAXIFS($F$14:$F$1213,$A$14:$A$1213,$H76,$F$14:$F$1213,"&lt;"&amp;_xlfn.MAXIFS($F$14:$F$1213,$A$14:$A$1213,$H76)),$AB$14:$AB$1213,0)),""))</f>
        <v/>
      </c>
      <c r="AM76" s="27">
        <f>IF(OR($H76="",COUNTIFS($A$14:$A$1213,$H76,$F$14:$F$1213,"&gt;=0")&lt;2,COUNTIFS($A$14:$A$1213,$H76,$F$14:$F$1213,_xlfn.MAXIFS($F$14:$F$1213,$A$14:$A$1213,$H76))&gt;1),"",IFERROR(INDEX($E$14:$E$1213,MATCH($H76&amp;"|"&amp;_xlfn.MAXIFS($F$14:$F$1213,$A$14:$A$1213,$H76,$F$14:$F$1213,"&lt;"&amp;_xlfn.MAXIFS($F$14:$F$1213,$A$14:$A$1213,$H76)),$AB$14:$AB$1213,0)),""))</f>
        <v/>
      </c>
      <c r="AN76" s="27">
        <f>IF(OR(NOT(ISNUMBER($AJ76)),NOT(ISNUMBER($AL76)),$AK76=0,$AM76=0),"",IF(OR((($AJ76+$AL76)/($AK76+$AM76))&lt;=0,(($AJ76+$AL76)/($AK76+$AM76))&gt;=1),"",($AJ76/$AK76-$AL76/$AM76)/SQRT((($AJ76+$AL76)/($AK76+$AM76))*(1-(($AJ76+$AL76)/($AK76+$AM76)))*(1/$AK76+1/$AM76))))</f>
        <v/>
      </c>
      <c r="AO76" s="27">
        <f>IF($A76="","",IF(AND(COUNTIFS($A$14:$A$1213,$A76,$F$14:$F$1213,"&gt;=0")=2,IFERROR(INDEX($M$14:$M$313,MATCH($A76,$H$14:$H$313,0)),"Yes")&lt;&gt;"Yes"),1,0))</f>
        <v/>
      </c>
    </row>
    <row r="77" ht="24" customHeight="1">
      <c r="A77" s="19">
        <f>IF('Enter messages'!A77="","",'Enter messages'!A77)</f>
        <v/>
      </c>
      <c r="B77" s="20">
        <f>IF('Enter messages'!B77="","",'Enter messages'!B77)</f>
        <v/>
      </c>
      <c r="C77" s="21">
        <f>IFERROR(AVERAGE(P77:T77),"")</f>
        <v/>
      </c>
      <c r="D77" s="29" t="n"/>
      <c r="E77" s="29" t="n"/>
      <c r="F77" s="30">
        <f>IF(AND(ISNUMBER($D77),ISNUMBER($E77),$E77&gt;0,$D77&lt;=$E77),$D77/$E77,"")</f>
        <v/>
      </c>
      <c r="H77" s="19">
        <f>IFERROR(INDEX($A$14:$A$1213,MATCH(64,$AI$14:$AI$1213,0)),"")</f>
        <v/>
      </c>
      <c r="I77" s="24">
        <f>IF($H77="","",IF(COUNTIFS($A$14:$A$1213,$H77,$C$14:$C$1213,"&gt;=0")=0,"—",IFERROR(INDEX($B$14:$B$1213,MATCH($H77&amp;"|1",$Z$14:$Z$1213,0)),"(tied)")))</f>
        <v/>
      </c>
      <c r="J77" s="25">
        <f>IF($H77="","",IF(OR(COUNTIFS($A$14:$A$1213,$H77,$C$14:$C$1213,"&gt;=0")=0,COUNTIFS($A$14:$A$1213,$H77,$F$14:$F$1213,"&gt;=0")=0),"—",IF(OR(ISERROR(MATCH($H77&amp;"|1",$Z$14:$Z$1213,0)),ISERROR(MATCH($H77&amp;"|1",$AA$14:$AA$1213,0))),"Tie",IF(MATCH($H77&amp;"|1",$Z$14:$Z$1213,0)=MATCH($H77&amp;"|1",$AA$14:$AA$1213,0),"Hit","Miss"))))</f>
        <v/>
      </c>
      <c r="K77" s="24">
        <f>IF($H77="","",IF(COUNTIFS($A$14:$A$1213,$H77,$F$14:$F$1213,"&gt;=0")=0,"—",IFERROR(INDEX($B$14:$B$1213,MATCH($H77&amp;"|1",$AA$14:$AA$1213,0)),"(tied)")))</f>
        <v/>
      </c>
      <c r="L77" s="25">
        <f>IF($H77="","",IF((--(COUNTIFS($A$14:$A$1213,$H77,$P$14:$P$1213,"&gt;=0")&gt;0)+--(COUNTIFS($A$14:$A$1213,$H77,$Q$14:$Q$1213,"&gt;=0")&gt;0)+--(COUNTIFS($A$14:$A$1213,$H77,$R$14:$R$1213,"&gt;=0")&gt;0)+--(COUNTIFS($A$14:$A$1213,$H77,$S$14:$S$1213,"&gt;=0")&gt;0)+--(COUNTIFS($A$14:$A$1213,$H77,$T$14:$T$1213,"&gt;=0")&gt;0))&lt;2,"—",IF(SUMIFS($AH$14:$AH$1213,$A$14:$A$1213,$H77)=0,"Yes","No")))</f>
        <v/>
      </c>
      <c r="M77" s="25">
        <f>IF($H77="","",IF(COUNTIFS($A$14:$A$1213,$H77,$F$14:$F$1213,"&gt;=0")&lt;2,"—",IF(COUNTIFS($A$14:$A$1213,$H77,$F$14:$F$1213,_xlfn.MAXIFS($F$14:$F$1213,$A$14:$A$1213,$H77))&gt;1,"No",IF(NOT(ISNUMBER($AN77)),"—",IF((2*(1-NORMSDIST(ABS($AN77))))&lt;0.05,"Yes","No")))))</f>
        <v/>
      </c>
      <c r="N77" s="21">
        <f>IF($H77="","",IF(NOT(ISNUMBER($AN77)),"—",IF((2*(1-NORMSDIST(ABS($AN77))))&lt;0.001,"&lt;0.001",TEXT((2*(1-NORMSDIST(ABS($AN77)))),"0.000"))))</f>
        <v/>
      </c>
      <c r="P77" s="26" t="n"/>
      <c r="Q77" s="26" t="n"/>
      <c r="R77" s="26" t="n"/>
      <c r="S77" s="26" t="n"/>
      <c r="T77" s="26" t="n"/>
      <c r="V77" s="27">
        <f>IF(ISNUMBER($C77),COUNTIFS($A$14:$A$1213,$A77,$C$14:$C$1213,"&gt;"&amp;$C77)+(COUNTIFS($A$14:$A$1213,$A77,$C$14:$C$1213,"="&amp;$C77)+1)/2,"")</f>
        <v/>
      </c>
      <c r="W77" s="27">
        <f>IF(ISNUMBER($F77),COUNTIFS($A$14:$A$1213,$A77,$F$14:$F$1213,"&gt;"&amp;$F77)+(COUNTIFS($A$14:$A$1213,$A77,$F$14:$F$1213,"="&amp;$F77)+1)/2,"")</f>
        <v/>
      </c>
      <c r="X77" s="27">
        <f>IF(OR(NOT(ISNUMBER($V77)),$AO77=1),"",$V77-(COUNTIFS($A$14:$A$1213,$A77,$C$14:$C$1213,"&gt;=0")+1)/2)</f>
        <v/>
      </c>
      <c r="Y77" s="27">
        <f>IF(OR(NOT(ISNUMBER($W77)),$AO77=1),"",$W77-(COUNTIFS($A$14:$A$1213,$A77,$F$14:$F$1213,"&gt;=0")+1)/2)</f>
        <v/>
      </c>
      <c r="Z77" s="27">
        <f>IF(ISNUMBER($V77),$A77&amp;"|"&amp;$V77,"")</f>
        <v/>
      </c>
      <c r="AA77" s="27">
        <f>IF(ISNUMBER($W77),$A77&amp;"|"&amp;$W77,"")</f>
        <v/>
      </c>
      <c r="AB77" s="27">
        <f>IF(ISNUMBER($F77),$A77&amp;"|"&amp;$F77,"")</f>
        <v/>
      </c>
      <c r="AC77" s="27">
        <f>IF(ISNUMBER($P77),COUNTIFS($A$14:$A$1213,$A77,$P$14:$P$1213,"&gt;"&amp;$P77)+(COUNTIFS($A$14:$A$1213,$A77,$P$14:$P$1213,"="&amp;$P77)+1)/2,"")</f>
        <v/>
      </c>
      <c r="AD77" s="27">
        <f>IF(ISNUMBER($Q77),COUNTIFS($A$14:$A$1213,$A77,$Q$14:$Q$1213,"&gt;"&amp;$Q77)+(COUNTIFS($A$14:$A$1213,$A77,$Q$14:$Q$1213,"="&amp;$Q77)+1)/2,"")</f>
        <v/>
      </c>
      <c r="AE77" s="27">
        <f>IF(ISNUMBER($R77),COUNTIFS($A$14:$A$1213,$A77,$R$14:$R$1213,"&gt;"&amp;$R77)+(COUNTIFS($A$14:$A$1213,$A77,$R$14:$R$1213,"="&amp;$R77)+1)/2,"")</f>
        <v/>
      </c>
      <c r="AF77" s="27">
        <f>IF(ISNUMBER($S77),COUNTIFS($A$14:$A$1213,$A77,$S$14:$S$1213,"&gt;"&amp;$S77)+(COUNTIFS($A$14:$A$1213,$A77,$S$14:$S$1213,"="&amp;$S77)+1)/2,"")</f>
        <v/>
      </c>
      <c r="AG77" s="27">
        <f>IF(ISNUMBER($T77),COUNTIFS($A$14:$A$1213,$A77,$T$14:$T$1213,"&gt;"&amp;$T77)+(COUNTIFS($A$14:$A$1213,$A77,$T$14:$T$1213,"="&amp;$T77)+1)/2,"")</f>
        <v/>
      </c>
      <c r="AH77" s="27">
        <f>IF(COUNT($AC77:$AG77)&lt;2,"",IF(MAX($AC77:$AG77)=MIN($AC77:$AG77),0,1))</f>
        <v/>
      </c>
      <c r="AI77" s="27">
        <f>IF($A77="","",IF(COUNTIF($A$14:$A77,$A77)=1,COUNTIF($AI$13:AI76,"&gt;0")+1,""))</f>
        <v/>
      </c>
      <c r="AJ77" s="27">
        <f>IF(OR($H77="",COUNTIFS($A$14:$A$1213,$H77,$F$14:$F$1213,"&gt;=0")&lt;2,COUNTIFS($A$14:$A$1213,$H77,$F$14:$F$1213,_xlfn.MAXIFS($F$14:$F$1213,$A$14:$A$1213,$H77))&gt;1),"",IFERROR(INDEX($D$14:$D$1213,MATCH($H77&amp;"|"&amp;_xlfn.MAXIFS($F$14:$F$1213,$A$14:$A$1213,$H77),$AB$14:$AB$1213,0)),""))</f>
        <v/>
      </c>
      <c r="AK77" s="27">
        <f>IF(OR($H77="",COUNTIFS($A$14:$A$1213,$H77,$F$14:$F$1213,"&gt;=0")&lt;2,COUNTIFS($A$14:$A$1213,$H77,$F$14:$F$1213,_xlfn.MAXIFS($F$14:$F$1213,$A$14:$A$1213,$H77))&gt;1),"",IFERROR(INDEX($E$14:$E$1213,MATCH($H77&amp;"|"&amp;_xlfn.MAXIFS($F$14:$F$1213,$A$14:$A$1213,$H77),$AB$14:$AB$1213,0)),""))</f>
        <v/>
      </c>
      <c r="AL77" s="27">
        <f>IF(OR($H77="",COUNTIFS($A$14:$A$1213,$H77,$F$14:$F$1213,"&gt;=0")&lt;2,COUNTIFS($A$14:$A$1213,$H77,$F$14:$F$1213,_xlfn.MAXIFS($F$14:$F$1213,$A$14:$A$1213,$H77))&gt;1),"",IFERROR(INDEX($D$14:$D$1213,MATCH($H77&amp;"|"&amp;_xlfn.MAXIFS($F$14:$F$1213,$A$14:$A$1213,$H77,$F$14:$F$1213,"&lt;"&amp;_xlfn.MAXIFS($F$14:$F$1213,$A$14:$A$1213,$H77)),$AB$14:$AB$1213,0)),""))</f>
        <v/>
      </c>
      <c r="AM77" s="27">
        <f>IF(OR($H77="",COUNTIFS($A$14:$A$1213,$H77,$F$14:$F$1213,"&gt;=0")&lt;2,COUNTIFS($A$14:$A$1213,$H77,$F$14:$F$1213,_xlfn.MAXIFS($F$14:$F$1213,$A$14:$A$1213,$H77))&gt;1),"",IFERROR(INDEX($E$14:$E$1213,MATCH($H77&amp;"|"&amp;_xlfn.MAXIFS($F$14:$F$1213,$A$14:$A$1213,$H77,$F$14:$F$1213,"&lt;"&amp;_xlfn.MAXIFS($F$14:$F$1213,$A$14:$A$1213,$H77)),$AB$14:$AB$1213,0)),""))</f>
        <v/>
      </c>
      <c r="AN77" s="27">
        <f>IF(OR(NOT(ISNUMBER($AJ77)),NOT(ISNUMBER($AL77)),$AK77=0,$AM77=0),"",IF(OR((($AJ77+$AL77)/($AK77+$AM77))&lt;=0,(($AJ77+$AL77)/($AK77+$AM77))&gt;=1),"",($AJ77/$AK77-$AL77/$AM77)/SQRT((($AJ77+$AL77)/($AK77+$AM77))*(1-(($AJ77+$AL77)/($AK77+$AM77)))*(1/$AK77+1/$AM77))))</f>
        <v/>
      </c>
      <c r="AO77" s="27">
        <f>IF($A77="","",IF(AND(COUNTIFS($A$14:$A$1213,$A77,$F$14:$F$1213,"&gt;=0")=2,IFERROR(INDEX($M$14:$M$313,MATCH($A77,$H$14:$H$313,0)),"Yes")&lt;&gt;"Yes"),1,0))</f>
        <v/>
      </c>
    </row>
    <row r="78" ht="24" customHeight="1">
      <c r="A78" s="19">
        <f>IF('Enter messages'!A78="","",'Enter messages'!A78)</f>
        <v/>
      </c>
      <c r="B78" s="20">
        <f>IF('Enter messages'!B78="","",'Enter messages'!B78)</f>
        <v/>
      </c>
      <c r="C78" s="21">
        <f>IFERROR(AVERAGE(P78:T78),"")</f>
        <v/>
      </c>
      <c r="D78" s="29" t="n"/>
      <c r="E78" s="29" t="n"/>
      <c r="F78" s="30">
        <f>IF(AND(ISNUMBER($D78),ISNUMBER($E78),$E78&gt;0,$D78&lt;=$E78),$D78/$E78,"")</f>
        <v/>
      </c>
      <c r="H78" s="19">
        <f>IFERROR(INDEX($A$14:$A$1213,MATCH(65,$AI$14:$AI$1213,0)),"")</f>
        <v/>
      </c>
      <c r="I78" s="24">
        <f>IF($H78="","",IF(COUNTIFS($A$14:$A$1213,$H78,$C$14:$C$1213,"&gt;=0")=0,"—",IFERROR(INDEX($B$14:$B$1213,MATCH($H78&amp;"|1",$Z$14:$Z$1213,0)),"(tied)")))</f>
        <v/>
      </c>
      <c r="J78" s="25">
        <f>IF($H78="","",IF(OR(COUNTIFS($A$14:$A$1213,$H78,$C$14:$C$1213,"&gt;=0")=0,COUNTIFS($A$14:$A$1213,$H78,$F$14:$F$1213,"&gt;=0")=0),"—",IF(OR(ISERROR(MATCH($H78&amp;"|1",$Z$14:$Z$1213,0)),ISERROR(MATCH($H78&amp;"|1",$AA$14:$AA$1213,0))),"Tie",IF(MATCH($H78&amp;"|1",$Z$14:$Z$1213,0)=MATCH($H78&amp;"|1",$AA$14:$AA$1213,0),"Hit","Miss"))))</f>
        <v/>
      </c>
      <c r="K78" s="24">
        <f>IF($H78="","",IF(COUNTIFS($A$14:$A$1213,$H78,$F$14:$F$1213,"&gt;=0")=0,"—",IFERROR(INDEX($B$14:$B$1213,MATCH($H78&amp;"|1",$AA$14:$AA$1213,0)),"(tied)")))</f>
        <v/>
      </c>
      <c r="L78" s="25">
        <f>IF($H78="","",IF((--(COUNTIFS($A$14:$A$1213,$H78,$P$14:$P$1213,"&gt;=0")&gt;0)+--(COUNTIFS($A$14:$A$1213,$H78,$Q$14:$Q$1213,"&gt;=0")&gt;0)+--(COUNTIFS($A$14:$A$1213,$H78,$R$14:$R$1213,"&gt;=0")&gt;0)+--(COUNTIFS($A$14:$A$1213,$H78,$S$14:$S$1213,"&gt;=0")&gt;0)+--(COUNTIFS($A$14:$A$1213,$H78,$T$14:$T$1213,"&gt;=0")&gt;0))&lt;2,"—",IF(SUMIFS($AH$14:$AH$1213,$A$14:$A$1213,$H78)=0,"Yes","No")))</f>
        <v/>
      </c>
      <c r="M78" s="25">
        <f>IF($H78="","",IF(COUNTIFS($A$14:$A$1213,$H78,$F$14:$F$1213,"&gt;=0")&lt;2,"—",IF(COUNTIFS($A$14:$A$1213,$H78,$F$14:$F$1213,_xlfn.MAXIFS($F$14:$F$1213,$A$14:$A$1213,$H78))&gt;1,"No",IF(NOT(ISNUMBER($AN78)),"—",IF((2*(1-NORMSDIST(ABS($AN78))))&lt;0.05,"Yes","No")))))</f>
        <v/>
      </c>
      <c r="N78" s="21">
        <f>IF($H78="","",IF(NOT(ISNUMBER($AN78)),"—",IF((2*(1-NORMSDIST(ABS($AN78))))&lt;0.001,"&lt;0.001",TEXT((2*(1-NORMSDIST(ABS($AN78)))),"0.000"))))</f>
        <v/>
      </c>
      <c r="P78" s="26" t="n"/>
      <c r="Q78" s="26" t="n"/>
      <c r="R78" s="26" t="n"/>
      <c r="S78" s="26" t="n"/>
      <c r="T78" s="26" t="n"/>
      <c r="V78" s="27">
        <f>IF(ISNUMBER($C78),COUNTIFS($A$14:$A$1213,$A78,$C$14:$C$1213,"&gt;"&amp;$C78)+(COUNTIFS($A$14:$A$1213,$A78,$C$14:$C$1213,"="&amp;$C78)+1)/2,"")</f>
        <v/>
      </c>
      <c r="W78" s="27">
        <f>IF(ISNUMBER($F78),COUNTIFS($A$14:$A$1213,$A78,$F$14:$F$1213,"&gt;"&amp;$F78)+(COUNTIFS($A$14:$A$1213,$A78,$F$14:$F$1213,"="&amp;$F78)+1)/2,"")</f>
        <v/>
      </c>
      <c r="X78" s="27">
        <f>IF(OR(NOT(ISNUMBER($V78)),$AO78=1),"",$V78-(COUNTIFS($A$14:$A$1213,$A78,$C$14:$C$1213,"&gt;=0")+1)/2)</f>
        <v/>
      </c>
      <c r="Y78" s="27">
        <f>IF(OR(NOT(ISNUMBER($W78)),$AO78=1),"",$W78-(COUNTIFS($A$14:$A$1213,$A78,$F$14:$F$1213,"&gt;=0")+1)/2)</f>
        <v/>
      </c>
      <c r="Z78" s="27">
        <f>IF(ISNUMBER($V78),$A78&amp;"|"&amp;$V78,"")</f>
        <v/>
      </c>
      <c r="AA78" s="27">
        <f>IF(ISNUMBER($W78),$A78&amp;"|"&amp;$W78,"")</f>
        <v/>
      </c>
      <c r="AB78" s="27">
        <f>IF(ISNUMBER($F78),$A78&amp;"|"&amp;$F78,"")</f>
        <v/>
      </c>
      <c r="AC78" s="27">
        <f>IF(ISNUMBER($P78),COUNTIFS($A$14:$A$1213,$A78,$P$14:$P$1213,"&gt;"&amp;$P78)+(COUNTIFS($A$14:$A$1213,$A78,$P$14:$P$1213,"="&amp;$P78)+1)/2,"")</f>
        <v/>
      </c>
      <c r="AD78" s="27">
        <f>IF(ISNUMBER($Q78),COUNTIFS($A$14:$A$1213,$A78,$Q$14:$Q$1213,"&gt;"&amp;$Q78)+(COUNTIFS($A$14:$A$1213,$A78,$Q$14:$Q$1213,"="&amp;$Q78)+1)/2,"")</f>
        <v/>
      </c>
      <c r="AE78" s="27">
        <f>IF(ISNUMBER($R78),COUNTIFS($A$14:$A$1213,$A78,$R$14:$R$1213,"&gt;"&amp;$R78)+(COUNTIFS($A$14:$A$1213,$A78,$R$14:$R$1213,"="&amp;$R78)+1)/2,"")</f>
        <v/>
      </c>
      <c r="AF78" s="27">
        <f>IF(ISNUMBER($S78),COUNTIFS($A$14:$A$1213,$A78,$S$14:$S$1213,"&gt;"&amp;$S78)+(COUNTIFS($A$14:$A$1213,$A78,$S$14:$S$1213,"="&amp;$S78)+1)/2,"")</f>
        <v/>
      </c>
      <c r="AG78" s="27">
        <f>IF(ISNUMBER($T78),COUNTIFS($A$14:$A$1213,$A78,$T$14:$T$1213,"&gt;"&amp;$T78)+(COUNTIFS($A$14:$A$1213,$A78,$T$14:$T$1213,"="&amp;$T78)+1)/2,"")</f>
        <v/>
      </c>
      <c r="AH78" s="27">
        <f>IF(COUNT($AC78:$AG78)&lt;2,"",IF(MAX($AC78:$AG78)=MIN($AC78:$AG78),0,1))</f>
        <v/>
      </c>
      <c r="AI78" s="27">
        <f>IF($A78="","",IF(COUNTIF($A$14:$A78,$A78)=1,COUNTIF($AI$13:AI77,"&gt;0")+1,""))</f>
        <v/>
      </c>
      <c r="AJ78" s="27">
        <f>IF(OR($H78="",COUNTIFS($A$14:$A$1213,$H78,$F$14:$F$1213,"&gt;=0")&lt;2,COUNTIFS($A$14:$A$1213,$H78,$F$14:$F$1213,_xlfn.MAXIFS($F$14:$F$1213,$A$14:$A$1213,$H78))&gt;1),"",IFERROR(INDEX($D$14:$D$1213,MATCH($H78&amp;"|"&amp;_xlfn.MAXIFS($F$14:$F$1213,$A$14:$A$1213,$H78),$AB$14:$AB$1213,0)),""))</f>
        <v/>
      </c>
      <c r="AK78" s="27">
        <f>IF(OR($H78="",COUNTIFS($A$14:$A$1213,$H78,$F$14:$F$1213,"&gt;=0")&lt;2,COUNTIFS($A$14:$A$1213,$H78,$F$14:$F$1213,_xlfn.MAXIFS($F$14:$F$1213,$A$14:$A$1213,$H78))&gt;1),"",IFERROR(INDEX($E$14:$E$1213,MATCH($H78&amp;"|"&amp;_xlfn.MAXIFS($F$14:$F$1213,$A$14:$A$1213,$H78),$AB$14:$AB$1213,0)),""))</f>
        <v/>
      </c>
      <c r="AL78" s="27">
        <f>IF(OR($H78="",COUNTIFS($A$14:$A$1213,$H78,$F$14:$F$1213,"&gt;=0")&lt;2,COUNTIFS($A$14:$A$1213,$H78,$F$14:$F$1213,_xlfn.MAXIFS($F$14:$F$1213,$A$14:$A$1213,$H78))&gt;1),"",IFERROR(INDEX($D$14:$D$1213,MATCH($H78&amp;"|"&amp;_xlfn.MAXIFS($F$14:$F$1213,$A$14:$A$1213,$H78,$F$14:$F$1213,"&lt;"&amp;_xlfn.MAXIFS($F$14:$F$1213,$A$14:$A$1213,$H78)),$AB$14:$AB$1213,0)),""))</f>
        <v/>
      </c>
      <c r="AM78" s="27">
        <f>IF(OR($H78="",COUNTIFS($A$14:$A$1213,$H78,$F$14:$F$1213,"&gt;=0")&lt;2,COUNTIFS($A$14:$A$1213,$H78,$F$14:$F$1213,_xlfn.MAXIFS($F$14:$F$1213,$A$14:$A$1213,$H78))&gt;1),"",IFERROR(INDEX($E$14:$E$1213,MATCH($H78&amp;"|"&amp;_xlfn.MAXIFS($F$14:$F$1213,$A$14:$A$1213,$H78,$F$14:$F$1213,"&lt;"&amp;_xlfn.MAXIFS($F$14:$F$1213,$A$14:$A$1213,$H78)),$AB$14:$AB$1213,0)),""))</f>
        <v/>
      </c>
      <c r="AN78" s="27">
        <f>IF(OR(NOT(ISNUMBER($AJ78)),NOT(ISNUMBER($AL78)),$AK78=0,$AM78=0),"",IF(OR((($AJ78+$AL78)/($AK78+$AM78))&lt;=0,(($AJ78+$AL78)/($AK78+$AM78))&gt;=1),"",($AJ78/$AK78-$AL78/$AM78)/SQRT((($AJ78+$AL78)/($AK78+$AM78))*(1-(($AJ78+$AL78)/($AK78+$AM78)))*(1/$AK78+1/$AM78))))</f>
        <v/>
      </c>
      <c r="AO78" s="27">
        <f>IF($A78="","",IF(AND(COUNTIFS($A$14:$A$1213,$A78,$F$14:$F$1213,"&gt;=0")=2,IFERROR(INDEX($M$14:$M$313,MATCH($A78,$H$14:$H$313,0)),"Yes")&lt;&gt;"Yes"),1,0))</f>
        <v/>
      </c>
    </row>
    <row r="79" ht="24" customHeight="1">
      <c r="A79" s="19">
        <f>IF('Enter messages'!A79="","",'Enter messages'!A79)</f>
        <v/>
      </c>
      <c r="B79" s="20">
        <f>IF('Enter messages'!B79="","",'Enter messages'!B79)</f>
        <v/>
      </c>
      <c r="C79" s="21">
        <f>IFERROR(AVERAGE(P79:T79),"")</f>
        <v/>
      </c>
      <c r="D79" s="29" t="n"/>
      <c r="E79" s="29" t="n"/>
      <c r="F79" s="30">
        <f>IF(AND(ISNUMBER($D79),ISNUMBER($E79),$E79&gt;0,$D79&lt;=$E79),$D79/$E79,"")</f>
        <v/>
      </c>
      <c r="H79" s="19">
        <f>IFERROR(INDEX($A$14:$A$1213,MATCH(66,$AI$14:$AI$1213,0)),"")</f>
        <v/>
      </c>
      <c r="I79" s="24">
        <f>IF($H79="","",IF(COUNTIFS($A$14:$A$1213,$H79,$C$14:$C$1213,"&gt;=0")=0,"—",IFERROR(INDEX($B$14:$B$1213,MATCH($H79&amp;"|1",$Z$14:$Z$1213,0)),"(tied)")))</f>
        <v/>
      </c>
      <c r="J79" s="25">
        <f>IF($H79="","",IF(OR(COUNTIFS($A$14:$A$1213,$H79,$C$14:$C$1213,"&gt;=0")=0,COUNTIFS($A$14:$A$1213,$H79,$F$14:$F$1213,"&gt;=0")=0),"—",IF(OR(ISERROR(MATCH($H79&amp;"|1",$Z$14:$Z$1213,0)),ISERROR(MATCH($H79&amp;"|1",$AA$14:$AA$1213,0))),"Tie",IF(MATCH($H79&amp;"|1",$Z$14:$Z$1213,0)=MATCH($H79&amp;"|1",$AA$14:$AA$1213,0),"Hit","Miss"))))</f>
        <v/>
      </c>
      <c r="K79" s="24">
        <f>IF($H79="","",IF(COUNTIFS($A$14:$A$1213,$H79,$F$14:$F$1213,"&gt;=0")=0,"—",IFERROR(INDEX($B$14:$B$1213,MATCH($H79&amp;"|1",$AA$14:$AA$1213,0)),"(tied)")))</f>
        <v/>
      </c>
      <c r="L79" s="25">
        <f>IF($H79="","",IF((--(COUNTIFS($A$14:$A$1213,$H79,$P$14:$P$1213,"&gt;=0")&gt;0)+--(COUNTIFS($A$14:$A$1213,$H79,$Q$14:$Q$1213,"&gt;=0")&gt;0)+--(COUNTIFS($A$14:$A$1213,$H79,$R$14:$R$1213,"&gt;=0")&gt;0)+--(COUNTIFS($A$14:$A$1213,$H79,$S$14:$S$1213,"&gt;=0")&gt;0)+--(COUNTIFS($A$14:$A$1213,$H79,$T$14:$T$1213,"&gt;=0")&gt;0))&lt;2,"—",IF(SUMIFS($AH$14:$AH$1213,$A$14:$A$1213,$H79)=0,"Yes","No")))</f>
        <v/>
      </c>
      <c r="M79" s="25">
        <f>IF($H79="","",IF(COUNTIFS($A$14:$A$1213,$H79,$F$14:$F$1213,"&gt;=0")&lt;2,"—",IF(COUNTIFS($A$14:$A$1213,$H79,$F$14:$F$1213,_xlfn.MAXIFS($F$14:$F$1213,$A$14:$A$1213,$H79))&gt;1,"No",IF(NOT(ISNUMBER($AN79)),"—",IF((2*(1-NORMSDIST(ABS($AN79))))&lt;0.05,"Yes","No")))))</f>
        <v/>
      </c>
      <c r="N79" s="21">
        <f>IF($H79="","",IF(NOT(ISNUMBER($AN79)),"—",IF((2*(1-NORMSDIST(ABS($AN79))))&lt;0.001,"&lt;0.001",TEXT((2*(1-NORMSDIST(ABS($AN79)))),"0.000"))))</f>
        <v/>
      </c>
      <c r="P79" s="26" t="n"/>
      <c r="Q79" s="26" t="n"/>
      <c r="R79" s="26" t="n"/>
      <c r="S79" s="26" t="n"/>
      <c r="T79" s="26" t="n"/>
      <c r="V79" s="27">
        <f>IF(ISNUMBER($C79),COUNTIFS($A$14:$A$1213,$A79,$C$14:$C$1213,"&gt;"&amp;$C79)+(COUNTIFS($A$14:$A$1213,$A79,$C$14:$C$1213,"="&amp;$C79)+1)/2,"")</f>
        <v/>
      </c>
      <c r="W79" s="27">
        <f>IF(ISNUMBER($F79),COUNTIFS($A$14:$A$1213,$A79,$F$14:$F$1213,"&gt;"&amp;$F79)+(COUNTIFS($A$14:$A$1213,$A79,$F$14:$F$1213,"="&amp;$F79)+1)/2,"")</f>
        <v/>
      </c>
      <c r="X79" s="27">
        <f>IF(OR(NOT(ISNUMBER($V79)),$AO79=1),"",$V79-(COUNTIFS($A$14:$A$1213,$A79,$C$14:$C$1213,"&gt;=0")+1)/2)</f>
        <v/>
      </c>
      <c r="Y79" s="27">
        <f>IF(OR(NOT(ISNUMBER($W79)),$AO79=1),"",$W79-(COUNTIFS($A$14:$A$1213,$A79,$F$14:$F$1213,"&gt;=0")+1)/2)</f>
        <v/>
      </c>
      <c r="Z79" s="27">
        <f>IF(ISNUMBER($V79),$A79&amp;"|"&amp;$V79,"")</f>
        <v/>
      </c>
      <c r="AA79" s="27">
        <f>IF(ISNUMBER($W79),$A79&amp;"|"&amp;$W79,"")</f>
        <v/>
      </c>
      <c r="AB79" s="27">
        <f>IF(ISNUMBER($F79),$A79&amp;"|"&amp;$F79,"")</f>
        <v/>
      </c>
      <c r="AC79" s="27">
        <f>IF(ISNUMBER($P79),COUNTIFS($A$14:$A$1213,$A79,$P$14:$P$1213,"&gt;"&amp;$P79)+(COUNTIFS($A$14:$A$1213,$A79,$P$14:$P$1213,"="&amp;$P79)+1)/2,"")</f>
        <v/>
      </c>
      <c r="AD79" s="27">
        <f>IF(ISNUMBER($Q79),COUNTIFS($A$14:$A$1213,$A79,$Q$14:$Q$1213,"&gt;"&amp;$Q79)+(COUNTIFS($A$14:$A$1213,$A79,$Q$14:$Q$1213,"="&amp;$Q79)+1)/2,"")</f>
        <v/>
      </c>
      <c r="AE79" s="27">
        <f>IF(ISNUMBER($R79),COUNTIFS($A$14:$A$1213,$A79,$R$14:$R$1213,"&gt;"&amp;$R79)+(COUNTIFS($A$14:$A$1213,$A79,$R$14:$R$1213,"="&amp;$R79)+1)/2,"")</f>
        <v/>
      </c>
      <c r="AF79" s="27">
        <f>IF(ISNUMBER($S79),COUNTIFS($A$14:$A$1213,$A79,$S$14:$S$1213,"&gt;"&amp;$S79)+(COUNTIFS($A$14:$A$1213,$A79,$S$14:$S$1213,"="&amp;$S79)+1)/2,"")</f>
        <v/>
      </c>
      <c r="AG79" s="27">
        <f>IF(ISNUMBER($T79),COUNTIFS($A$14:$A$1213,$A79,$T$14:$T$1213,"&gt;"&amp;$T79)+(COUNTIFS($A$14:$A$1213,$A79,$T$14:$T$1213,"="&amp;$T79)+1)/2,"")</f>
        <v/>
      </c>
      <c r="AH79" s="27">
        <f>IF(COUNT($AC79:$AG79)&lt;2,"",IF(MAX($AC79:$AG79)=MIN($AC79:$AG79),0,1))</f>
        <v/>
      </c>
      <c r="AI79" s="27">
        <f>IF($A79="","",IF(COUNTIF($A$14:$A79,$A79)=1,COUNTIF($AI$13:AI78,"&gt;0")+1,""))</f>
        <v/>
      </c>
      <c r="AJ79" s="27">
        <f>IF(OR($H79="",COUNTIFS($A$14:$A$1213,$H79,$F$14:$F$1213,"&gt;=0")&lt;2,COUNTIFS($A$14:$A$1213,$H79,$F$14:$F$1213,_xlfn.MAXIFS($F$14:$F$1213,$A$14:$A$1213,$H79))&gt;1),"",IFERROR(INDEX($D$14:$D$1213,MATCH($H79&amp;"|"&amp;_xlfn.MAXIFS($F$14:$F$1213,$A$14:$A$1213,$H79),$AB$14:$AB$1213,0)),""))</f>
        <v/>
      </c>
      <c r="AK79" s="27">
        <f>IF(OR($H79="",COUNTIFS($A$14:$A$1213,$H79,$F$14:$F$1213,"&gt;=0")&lt;2,COUNTIFS($A$14:$A$1213,$H79,$F$14:$F$1213,_xlfn.MAXIFS($F$14:$F$1213,$A$14:$A$1213,$H79))&gt;1),"",IFERROR(INDEX($E$14:$E$1213,MATCH($H79&amp;"|"&amp;_xlfn.MAXIFS($F$14:$F$1213,$A$14:$A$1213,$H79),$AB$14:$AB$1213,0)),""))</f>
        <v/>
      </c>
      <c r="AL79" s="27">
        <f>IF(OR($H79="",COUNTIFS($A$14:$A$1213,$H79,$F$14:$F$1213,"&gt;=0")&lt;2,COUNTIFS($A$14:$A$1213,$H79,$F$14:$F$1213,_xlfn.MAXIFS($F$14:$F$1213,$A$14:$A$1213,$H79))&gt;1),"",IFERROR(INDEX($D$14:$D$1213,MATCH($H79&amp;"|"&amp;_xlfn.MAXIFS($F$14:$F$1213,$A$14:$A$1213,$H79,$F$14:$F$1213,"&lt;"&amp;_xlfn.MAXIFS($F$14:$F$1213,$A$14:$A$1213,$H79)),$AB$14:$AB$1213,0)),""))</f>
        <v/>
      </c>
      <c r="AM79" s="27">
        <f>IF(OR($H79="",COUNTIFS($A$14:$A$1213,$H79,$F$14:$F$1213,"&gt;=0")&lt;2,COUNTIFS($A$14:$A$1213,$H79,$F$14:$F$1213,_xlfn.MAXIFS($F$14:$F$1213,$A$14:$A$1213,$H79))&gt;1),"",IFERROR(INDEX($E$14:$E$1213,MATCH($H79&amp;"|"&amp;_xlfn.MAXIFS($F$14:$F$1213,$A$14:$A$1213,$H79,$F$14:$F$1213,"&lt;"&amp;_xlfn.MAXIFS($F$14:$F$1213,$A$14:$A$1213,$H79)),$AB$14:$AB$1213,0)),""))</f>
        <v/>
      </c>
      <c r="AN79" s="27">
        <f>IF(OR(NOT(ISNUMBER($AJ79)),NOT(ISNUMBER($AL79)),$AK79=0,$AM79=0),"",IF(OR((($AJ79+$AL79)/($AK79+$AM79))&lt;=0,(($AJ79+$AL79)/($AK79+$AM79))&gt;=1),"",($AJ79/$AK79-$AL79/$AM79)/SQRT((($AJ79+$AL79)/($AK79+$AM79))*(1-(($AJ79+$AL79)/($AK79+$AM79)))*(1/$AK79+1/$AM79))))</f>
        <v/>
      </c>
      <c r="AO79" s="27">
        <f>IF($A79="","",IF(AND(COUNTIFS($A$14:$A$1213,$A79,$F$14:$F$1213,"&gt;=0")=2,IFERROR(INDEX($M$14:$M$313,MATCH($A79,$H$14:$H$313,0)),"Yes")&lt;&gt;"Yes"),1,0))</f>
        <v/>
      </c>
    </row>
    <row r="80" ht="24" customHeight="1">
      <c r="A80" s="19">
        <f>IF('Enter messages'!A80="","",'Enter messages'!A80)</f>
        <v/>
      </c>
      <c r="B80" s="20">
        <f>IF('Enter messages'!B80="","",'Enter messages'!B80)</f>
        <v/>
      </c>
      <c r="C80" s="21">
        <f>IFERROR(AVERAGE(P80:T80),"")</f>
        <v/>
      </c>
      <c r="D80" s="29" t="n"/>
      <c r="E80" s="29" t="n"/>
      <c r="F80" s="30">
        <f>IF(AND(ISNUMBER($D80),ISNUMBER($E80),$E80&gt;0,$D80&lt;=$E80),$D80/$E80,"")</f>
        <v/>
      </c>
      <c r="H80" s="19">
        <f>IFERROR(INDEX($A$14:$A$1213,MATCH(67,$AI$14:$AI$1213,0)),"")</f>
        <v/>
      </c>
      <c r="I80" s="24">
        <f>IF($H80="","",IF(COUNTIFS($A$14:$A$1213,$H80,$C$14:$C$1213,"&gt;=0")=0,"—",IFERROR(INDEX($B$14:$B$1213,MATCH($H80&amp;"|1",$Z$14:$Z$1213,0)),"(tied)")))</f>
        <v/>
      </c>
      <c r="J80" s="25">
        <f>IF($H80="","",IF(OR(COUNTIFS($A$14:$A$1213,$H80,$C$14:$C$1213,"&gt;=0")=0,COUNTIFS($A$14:$A$1213,$H80,$F$14:$F$1213,"&gt;=0")=0),"—",IF(OR(ISERROR(MATCH($H80&amp;"|1",$Z$14:$Z$1213,0)),ISERROR(MATCH($H80&amp;"|1",$AA$14:$AA$1213,0))),"Tie",IF(MATCH($H80&amp;"|1",$Z$14:$Z$1213,0)=MATCH($H80&amp;"|1",$AA$14:$AA$1213,0),"Hit","Miss"))))</f>
        <v/>
      </c>
      <c r="K80" s="24">
        <f>IF($H80="","",IF(COUNTIFS($A$14:$A$1213,$H80,$F$14:$F$1213,"&gt;=0")=0,"—",IFERROR(INDEX($B$14:$B$1213,MATCH($H80&amp;"|1",$AA$14:$AA$1213,0)),"(tied)")))</f>
        <v/>
      </c>
      <c r="L80" s="25">
        <f>IF($H80="","",IF((--(COUNTIFS($A$14:$A$1213,$H80,$P$14:$P$1213,"&gt;=0")&gt;0)+--(COUNTIFS($A$14:$A$1213,$H80,$Q$14:$Q$1213,"&gt;=0")&gt;0)+--(COUNTIFS($A$14:$A$1213,$H80,$R$14:$R$1213,"&gt;=0")&gt;0)+--(COUNTIFS($A$14:$A$1213,$H80,$S$14:$S$1213,"&gt;=0")&gt;0)+--(COUNTIFS($A$14:$A$1213,$H80,$T$14:$T$1213,"&gt;=0")&gt;0))&lt;2,"—",IF(SUMIFS($AH$14:$AH$1213,$A$14:$A$1213,$H80)=0,"Yes","No")))</f>
        <v/>
      </c>
      <c r="M80" s="25">
        <f>IF($H80="","",IF(COUNTIFS($A$14:$A$1213,$H80,$F$14:$F$1213,"&gt;=0")&lt;2,"—",IF(COUNTIFS($A$14:$A$1213,$H80,$F$14:$F$1213,_xlfn.MAXIFS($F$14:$F$1213,$A$14:$A$1213,$H80))&gt;1,"No",IF(NOT(ISNUMBER($AN80)),"—",IF((2*(1-NORMSDIST(ABS($AN80))))&lt;0.05,"Yes","No")))))</f>
        <v/>
      </c>
      <c r="N80" s="21">
        <f>IF($H80="","",IF(NOT(ISNUMBER($AN80)),"—",IF((2*(1-NORMSDIST(ABS($AN80))))&lt;0.001,"&lt;0.001",TEXT((2*(1-NORMSDIST(ABS($AN80)))),"0.000"))))</f>
        <v/>
      </c>
      <c r="P80" s="26" t="n"/>
      <c r="Q80" s="26" t="n"/>
      <c r="R80" s="26" t="n"/>
      <c r="S80" s="26" t="n"/>
      <c r="T80" s="26" t="n"/>
      <c r="V80" s="27">
        <f>IF(ISNUMBER($C80),COUNTIFS($A$14:$A$1213,$A80,$C$14:$C$1213,"&gt;"&amp;$C80)+(COUNTIFS($A$14:$A$1213,$A80,$C$14:$C$1213,"="&amp;$C80)+1)/2,"")</f>
        <v/>
      </c>
      <c r="W80" s="27">
        <f>IF(ISNUMBER($F80),COUNTIFS($A$14:$A$1213,$A80,$F$14:$F$1213,"&gt;"&amp;$F80)+(COUNTIFS($A$14:$A$1213,$A80,$F$14:$F$1213,"="&amp;$F80)+1)/2,"")</f>
        <v/>
      </c>
      <c r="X80" s="27">
        <f>IF(OR(NOT(ISNUMBER($V80)),$AO80=1),"",$V80-(COUNTIFS($A$14:$A$1213,$A80,$C$14:$C$1213,"&gt;=0")+1)/2)</f>
        <v/>
      </c>
      <c r="Y80" s="27">
        <f>IF(OR(NOT(ISNUMBER($W80)),$AO80=1),"",$W80-(COUNTIFS($A$14:$A$1213,$A80,$F$14:$F$1213,"&gt;=0")+1)/2)</f>
        <v/>
      </c>
      <c r="Z80" s="27">
        <f>IF(ISNUMBER($V80),$A80&amp;"|"&amp;$V80,"")</f>
        <v/>
      </c>
      <c r="AA80" s="27">
        <f>IF(ISNUMBER($W80),$A80&amp;"|"&amp;$W80,"")</f>
        <v/>
      </c>
      <c r="AB80" s="27">
        <f>IF(ISNUMBER($F80),$A80&amp;"|"&amp;$F80,"")</f>
        <v/>
      </c>
      <c r="AC80" s="27">
        <f>IF(ISNUMBER($P80),COUNTIFS($A$14:$A$1213,$A80,$P$14:$P$1213,"&gt;"&amp;$P80)+(COUNTIFS($A$14:$A$1213,$A80,$P$14:$P$1213,"="&amp;$P80)+1)/2,"")</f>
        <v/>
      </c>
      <c r="AD80" s="27">
        <f>IF(ISNUMBER($Q80),COUNTIFS($A$14:$A$1213,$A80,$Q$14:$Q$1213,"&gt;"&amp;$Q80)+(COUNTIFS($A$14:$A$1213,$A80,$Q$14:$Q$1213,"="&amp;$Q80)+1)/2,"")</f>
        <v/>
      </c>
      <c r="AE80" s="27">
        <f>IF(ISNUMBER($R80),COUNTIFS($A$14:$A$1213,$A80,$R$14:$R$1213,"&gt;"&amp;$R80)+(COUNTIFS($A$14:$A$1213,$A80,$R$14:$R$1213,"="&amp;$R80)+1)/2,"")</f>
        <v/>
      </c>
      <c r="AF80" s="27">
        <f>IF(ISNUMBER($S80),COUNTIFS($A$14:$A$1213,$A80,$S$14:$S$1213,"&gt;"&amp;$S80)+(COUNTIFS($A$14:$A$1213,$A80,$S$14:$S$1213,"="&amp;$S80)+1)/2,"")</f>
        <v/>
      </c>
      <c r="AG80" s="27">
        <f>IF(ISNUMBER($T80),COUNTIFS($A$14:$A$1213,$A80,$T$14:$T$1213,"&gt;"&amp;$T80)+(COUNTIFS($A$14:$A$1213,$A80,$T$14:$T$1213,"="&amp;$T80)+1)/2,"")</f>
        <v/>
      </c>
      <c r="AH80" s="27">
        <f>IF(COUNT($AC80:$AG80)&lt;2,"",IF(MAX($AC80:$AG80)=MIN($AC80:$AG80),0,1))</f>
        <v/>
      </c>
      <c r="AI80" s="27">
        <f>IF($A80="","",IF(COUNTIF($A$14:$A80,$A80)=1,COUNTIF($AI$13:AI79,"&gt;0")+1,""))</f>
        <v/>
      </c>
      <c r="AJ80" s="27">
        <f>IF(OR($H80="",COUNTIFS($A$14:$A$1213,$H80,$F$14:$F$1213,"&gt;=0")&lt;2,COUNTIFS($A$14:$A$1213,$H80,$F$14:$F$1213,_xlfn.MAXIFS($F$14:$F$1213,$A$14:$A$1213,$H80))&gt;1),"",IFERROR(INDEX($D$14:$D$1213,MATCH($H80&amp;"|"&amp;_xlfn.MAXIFS($F$14:$F$1213,$A$14:$A$1213,$H80),$AB$14:$AB$1213,0)),""))</f>
        <v/>
      </c>
      <c r="AK80" s="27">
        <f>IF(OR($H80="",COUNTIFS($A$14:$A$1213,$H80,$F$14:$F$1213,"&gt;=0")&lt;2,COUNTIFS($A$14:$A$1213,$H80,$F$14:$F$1213,_xlfn.MAXIFS($F$14:$F$1213,$A$14:$A$1213,$H80))&gt;1),"",IFERROR(INDEX($E$14:$E$1213,MATCH($H80&amp;"|"&amp;_xlfn.MAXIFS($F$14:$F$1213,$A$14:$A$1213,$H80),$AB$14:$AB$1213,0)),""))</f>
        <v/>
      </c>
      <c r="AL80" s="27">
        <f>IF(OR($H80="",COUNTIFS($A$14:$A$1213,$H80,$F$14:$F$1213,"&gt;=0")&lt;2,COUNTIFS($A$14:$A$1213,$H80,$F$14:$F$1213,_xlfn.MAXIFS($F$14:$F$1213,$A$14:$A$1213,$H80))&gt;1),"",IFERROR(INDEX($D$14:$D$1213,MATCH($H80&amp;"|"&amp;_xlfn.MAXIFS($F$14:$F$1213,$A$14:$A$1213,$H80,$F$14:$F$1213,"&lt;"&amp;_xlfn.MAXIFS($F$14:$F$1213,$A$14:$A$1213,$H80)),$AB$14:$AB$1213,0)),""))</f>
        <v/>
      </c>
      <c r="AM80" s="27">
        <f>IF(OR($H80="",COUNTIFS($A$14:$A$1213,$H80,$F$14:$F$1213,"&gt;=0")&lt;2,COUNTIFS($A$14:$A$1213,$H80,$F$14:$F$1213,_xlfn.MAXIFS($F$14:$F$1213,$A$14:$A$1213,$H80))&gt;1),"",IFERROR(INDEX($E$14:$E$1213,MATCH($H80&amp;"|"&amp;_xlfn.MAXIFS($F$14:$F$1213,$A$14:$A$1213,$H80,$F$14:$F$1213,"&lt;"&amp;_xlfn.MAXIFS($F$14:$F$1213,$A$14:$A$1213,$H80)),$AB$14:$AB$1213,0)),""))</f>
        <v/>
      </c>
      <c r="AN80" s="27">
        <f>IF(OR(NOT(ISNUMBER($AJ80)),NOT(ISNUMBER($AL80)),$AK80=0,$AM80=0),"",IF(OR((($AJ80+$AL80)/($AK80+$AM80))&lt;=0,(($AJ80+$AL80)/($AK80+$AM80))&gt;=1),"",($AJ80/$AK80-$AL80/$AM80)/SQRT((($AJ80+$AL80)/($AK80+$AM80))*(1-(($AJ80+$AL80)/($AK80+$AM80)))*(1/$AK80+1/$AM80))))</f>
        <v/>
      </c>
      <c r="AO80" s="27">
        <f>IF($A80="","",IF(AND(COUNTIFS($A$14:$A$1213,$A80,$F$14:$F$1213,"&gt;=0")=2,IFERROR(INDEX($M$14:$M$313,MATCH($A80,$H$14:$H$313,0)),"Yes")&lt;&gt;"Yes"),1,0))</f>
        <v/>
      </c>
    </row>
    <row r="81" ht="24" customHeight="1">
      <c r="A81" s="19">
        <f>IF('Enter messages'!A81="","",'Enter messages'!A81)</f>
        <v/>
      </c>
      <c r="B81" s="20">
        <f>IF('Enter messages'!B81="","",'Enter messages'!B81)</f>
        <v/>
      </c>
      <c r="C81" s="21">
        <f>IFERROR(AVERAGE(P81:T81),"")</f>
        <v/>
      </c>
      <c r="D81" s="29" t="n"/>
      <c r="E81" s="29" t="n"/>
      <c r="F81" s="30">
        <f>IF(AND(ISNUMBER($D81),ISNUMBER($E81),$E81&gt;0,$D81&lt;=$E81),$D81/$E81,"")</f>
        <v/>
      </c>
      <c r="H81" s="19">
        <f>IFERROR(INDEX($A$14:$A$1213,MATCH(68,$AI$14:$AI$1213,0)),"")</f>
        <v/>
      </c>
      <c r="I81" s="24">
        <f>IF($H81="","",IF(COUNTIFS($A$14:$A$1213,$H81,$C$14:$C$1213,"&gt;=0")=0,"—",IFERROR(INDEX($B$14:$B$1213,MATCH($H81&amp;"|1",$Z$14:$Z$1213,0)),"(tied)")))</f>
        <v/>
      </c>
      <c r="J81" s="25">
        <f>IF($H81="","",IF(OR(COUNTIFS($A$14:$A$1213,$H81,$C$14:$C$1213,"&gt;=0")=0,COUNTIFS($A$14:$A$1213,$H81,$F$14:$F$1213,"&gt;=0")=0),"—",IF(OR(ISERROR(MATCH($H81&amp;"|1",$Z$14:$Z$1213,0)),ISERROR(MATCH($H81&amp;"|1",$AA$14:$AA$1213,0))),"Tie",IF(MATCH($H81&amp;"|1",$Z$14:$Z$1213,0)=MATCH($H81&amp;"|1",$AA$14:$AA$1213,0),"Hit","Miss"))))</f>
        <v/>
      </c>
      <c r="K81" s="24">
        <f>IF($H81="","",IF(COUNTIFS($A$14:$A$1213,$H81,$F$14:$F$1213,"&gt;=0")=0,"—",IFERROR(INDEX($B$14:$B$1213,MATCH($H81&amp;"|1",$AA$14:$AA$1213,0)),"(tied)")))</f>
        <v/>
      </c>
      <c r="L81" s="25">
        <f>IF($H81="","",IF((--(COUNTIFS($A$14:$A$1213,$H81,$P$14:$P$1213,"&gt;=0")&gt;0)+--(COUNTIFS($A$14:$A$1213,$H81,$Q$14:$Q$1213,"&gt;=0")&gt;0)+--(COUNTIFS($A$14:$A$1213,$H81,$R$14:$R$1213,"&gt;=0")&gt;0)+--(COUNTIFS($A$14:$A$1213,$H81,$S$14:$S$1213,"&gt;=0")&gt;0)+--(COUNTIFS($A$14:$A$1213,$H81,$T$14:$T$1213,"&gt;=0")&gt;0))&lt;2,"—",IF(SUMIFS($AH$14:$AH$1213,$A$14:$A$1213,$H81)=0,"Yes","No")))</f>
        <v/>
      </c>
      <c r="M81" s="25">
        <f>IF($H81="","",IF(COUNTIFS($A$14:$A$1213,$H81,$F$14:$F$1213,"&gt;=0")&lt;2,"—",IF(COUNTIFS($A$14:$A$1213,$H81,$F$14:$F$1213,_xlfn.MAXIFS($F$14:$F$1213,$A$14:$A$1213,$H81))&gt;1,"No",IF(NOT(ISNUMBER($AN81)),"—",IF((2*(1-NORMSDIST(ABS($AN81))))&lt;0.05,"Yes","No")))))</f>
        <v/>
      </c>
      <c r="N81" s="21">
        <f>IF($H81="","",IF(NOT(ISNUMBER($AN81)),"—",IF((2*(1-NORMSDIST(ABS($AN81))))&lt;0.001,"&lt;0.001",TEXT((2*(1-NORMSDIST(ABS($AN81)))),"0.000"))))</f>
        <v/>
      </c>
      <c r="P81" s="26" t="n"/>
      <c r="Q81" s="26" t="n"/>
      <c r="R81" s="26" t="n"/>
      <c r="S81" s="26" t="n"/>
      <c r="T81" s="26" t="n"/>
      <c r="V81" s="27">
        <f>IF(ISNUMBER($C81),COUNTIFS($A$14:$A$1213,$A81,$C$14:$C$1213,"&gt;"&amp;$C81)+(COUNTIFS($A$14:$A$1213,$A81,$C$14:$C$1213,"="&amp;$C81)+1)/2,"")</f>
        <v/>
      </c>
      <c r="W81" s="27">
        <f>IF(ISNUMBER($F81),COUNTIFS($A$14:$A$1213,$A81,$F$14:$F$1213,"&gt;"&amp;$F81)+(COUNTIFS($A$14:$A$1213,$A81,$F$14:$F$1213,"="&amp;$F81)+1)/2,"")</f>
        <v/>
      </c>
      <c r="X81" s="27">
        <f>IF(OR(NOT(ISNUMBER($V81)),$AO81=1),"",$V81-(COUNTIFS($A$14:$A$1213,$A81,$C$14:$C$1213,"&gt;=0")+1)/2)</f>
        <v/>
      </c>
      <c r="Y81" s="27">
        <f>IF(OR(NOT(ISNUMBER($W81)),$AO81=1),"",$W81-(COUNTIFS($A$14:$A$1213,$A81,$F$14:$F$1213,"&gt;=0")+1)/2)</f>
        <v/>
      </c>
      <c r="Z81" s="27">
        <f>IF(ISNUMBER($V81),$A81&amp;"|"&amp;$V81,"")</f>
        <v/>
      </c>
      <c r="AA81" s="27">
        <f>IF(ISNUMBER($W81),$A81&amp;"|"&amp;$W81,"")</f>
        <v/>
      </c>
      <c r="AB81" s="27">
        <f>IF(ISNUMBER($F81),$A81&amp;"|"&amp;$F81,"")</f>
        <v/>
      </c>
      <c r="AC81" s="27">
        <f>IF(ISNUMBER($P81),COUNTIFS($A$14:$A$1213,$A81,$P$14:$P$1213,"&gt;"&amp;$P81)+(COUNTIFS($A$14:$A$1213,$A81,$P$14:$P$1213,"="&amp;$P81)+1)/2,"")</f>
        <v/>
      </c>
      <c r="AD81" s="27">
        <f>IF(ISNUMBER($Q81),COUNTIFS($A$14:$A$1213,$A81,$Q$14:$Q$1213,"&gt;"&amp;$Q81)+(COUNTIFS($A$14:$A$1213,$A81,$Q$14:$Q$1213,"="&amp;$Q81)+1)/2,"")</f>
        <v/>
      </c>
      <c r="AE81" s="27">
        <f>IF(ISNUMBER($R81),COUNTIFS($A$14:$A$1213,$A81,$R$14:$R$1213,"&gt;"&amp;$R81)+(COUNTIFS($A$14:$A$1213,$A81,$R$14:$R$1213,"="&amp;$R81)+1)/2,"")</f>
        <v/>
      </c>
      <c r="AF81" s="27">
        <f>IF(ISNUMBER($S81),COUNTIFS($A$14:$A$1213,$A81,$S$14:$S$1213,"&gt;"&amp;$S81)+(COUNTIFS($A$14:$A$1213,$A81,$S$14:$S$1213,"="&amp;$S81)+1)/2,"")</f>
        <v/>
      </c>
      <c r="AG81" s="27">
        <f>IF(ISNUMBER($T81),COUNTIFS($A$14:$A$1213,$A81,$T$14:$T$1213,"&gt;"&amp;$T81)+(COUNTIFS($A$14:$A$1213,$A81,$T$14:$T$1213,"="&amp;$T81)+1)/2,"")</f>
        <v/>
      </c>
      <c r="AH81" s="27">
        <f>IF(COUNT($AC81:$AG81)&lt;2,"",IF(MAX($AC81:$AG81)=MIN($AC81:$AG81),0,1))</f>
        <v/>
      </c>
      <c r="AI81" s="27">
        <f>IF($A81="","",IF(COUNTIF($A$14:$A81,$A81)=1,COUNTIF($AI$13:AI80,"&gt;0")+1,""))</f>
        <v/>
      </c>
      <c r="AJ81" s="27">
        <f>IF(OR($H81="",COUNTIFS($A$14:$A$1213,$H81,$F$14:$F$1213,"&gt;=0")&lt;2,COUNTIFS($A$14:$A$1213,$H81,$F$14:$F$1213,_xlfn.MAXIFS($F$14:$F$1213,$A$14:$A$1213,$H81))&gt;1),"",IFERROR(INDEX($D$14:$D$1213,MATCH($H81&amp;"|"&amp;_xlfn.MAXIFS($F$14:$F$1213,$A$14:$A$1213,$H81),$AB$14:$AB$1213,0)),""))</f>
        <v/>
      </c>
      <c r="AK81" s="27">
        <f>IF(OR($H81="",COUNTIFS($A$14:$A$1213,$H81,$F$14:$F$1213,"&gt;=0")&lt;2,COUNTIFS($A$14:$A$1213,$H81,$F$14:$F$1213,_xlfn.MAXIFS($F$14:$F$1213,$A$14:$A$1213,$H81))&gt;1),"",IFERROR(INDEX($E$14:$E$1213,MATCH($H81&amp;"|"&amp;_xlfn.MAXIFS($F$14:$F$1213,$A$14:$A$1213,$H81),$AB$14:$AB$1213,0)),""))</f>
        <v/>
      </c>
      <c r="AL81" s="27">
        <f>IF(OR($H81="",COUNTIFS($A$14:$A$1213,$H81,$F$14:$F$1213,"&gt;=0")&lt;2,COUNTIFS($A$14:$A$1213,$H81,$F$14:$F$1213,_xlfn.MAXIFS($F$14:$F$1213,$A$14:$A$1213,$H81))&gt;1),"",IFERROR(INDEX($D$14:$D$1213,MATCH($H81&amp;"|"&amp;_xlfn.MAXIFS($F$14:$F$1213,$A$14:$A$1213,$H81,$F$14:$F$1213,"&lt;"&amp;_xlfn.MAXIFS($F$14:$F$1213,$A$14:$A$1213,$H81)),$AB$14:$AB$1213,0)),""))</f>
        <v/>
      </c>
      <c r="AM81" s="27">
        <f>IF(OR($H81="",COUNTIFS($A$14:$A$1213,$H81,$F$14:$F$1213,"&gt;=0")&lt;2,COUNTIFS($A$14:$A$1213,$H81,$F$14:$F$1213,_xlfn.MAXIFS($F$14:$F$1213,$A$14:$A$1213,$H81))&gt;1),"",IFERROR(INDEX($E$14:$E$1213,MATCH($H81&amp;"|"&amp;_xlfn.MAXIFS($F$14:$F$1213,$A$14:$A$1213,$H81,$F$14:$F$1213,"&lt;"&amp;_xlfn.MAXIFS($F$14:$F$1213,$A$14:$A$1213,$H81)),$AB$14:$AB$1213,0)),""))</f>
        <v/>
      </c>
      <c r="AN81" s="27">
        <f>IF(OR(NOT(ISNUMBER($AJ81)),NOT(ISNUMBER($AL81)),$AK81=0,$AM81=0),"",IF(OR((($AJ81+$AL81)/($AK81+$AM81))&lt;=0,(($AJ81+$AL81)/($AK81+$AM81))&gt;=1),"",($AJ81/$AK81-$AL81/$AM81)/SQRT((($AJ81+$AL81)/($AK81+$AM81))*(1-(($AJ81+$AL81)/($AK81+$AM81)))*(1/$AK81+1/$AM81))))</f>
        <v/>
      </c>
      <c r="AO81" s="27">
        <f>IF($A81="","",IF(AND(COUNTIFS($A$14:$A$1213,$A81,$F$14:$F$1213,"&gt;=0")=2,IFERROR(INDEX($M$14:$M$313,MATCH($A81,$H$14:$H$313,0)),"Yes")&lt;&gt;"Yes"),1,0))</f>
        <v/>
      </c>
    </row>
    <row r="82" ht="24" customHeight="1">
      <c r="A82" s="19">
        <f>IF('Enter messages'!A82="","",'Enter messages'!A82)</f>
        <v/>
      </c>
      <c r="B82" s="20">
        <f>IF('Enter messages'!B82="","",'Enter messages'!B82)</f>
        <v/>
      </c>
      <c r="C82" s="21">
        <f>IFERROR(AVERAGE(P82:T82),"")</f>
        <v/>
      </c>
      <c r="D82" s="29" t="n"/>
      <c r="E82" s="29" t="n"/>
      <c r="F82" s="30">
        <f>IF(AND(ISNUMBER($D82),ISNUMBER($E82),$E82&gt;0,$D82&lt;=$E82),$D82/$E82,"")</f>
        <v/>
      </c>
      <c r="H82" s="19">
        <f>IFERROR(INDEX($A$14:$A$1213,MATCH(69,$AI$14:$AI$1213,0)),"")</f>
        <v/>
      </c>
      <c r="I82" s="24">
        <f>IF($H82="","",IF(COUNTIFS($A$14:$A$1213,$H82,$C$14:$C$1213,"&gt;=0")=0,"—",IFERROR(INDEX($B$14:$B$1213,MATCH($H82&amp;"|1",$Z$14:$Z$1213,0)),"(tied)")))</f>
        <v/>
      </c>
      <c r="J82" s="25">
        <f>IF($H82="","",IF(OR(COUNTIFS($A$14:$A$1213,$H82,$C$14:$C$1213,"&gt;=0")=0,COUNTIFS($A$14:$A$1213,$H82,$F$14:$F$1213,"&gt;=0")=0),"—",IF(OR(ISERROR(MATCH($H82&amp;"|1",$Z$14:$Z$1213,0)),ISERROR(MATCH($H82&amp;"|1",$AA$14:$AA$1213,0))),"Tie",IF(MATCH($H82&amp;"|1",$Z$14:$Z$1213,0)=MATCH($H82&amp;"|1",$AA$14:$AA$1213,0),"Hit","Miss"))))</f>
        <v/>
      </c>
      <c r="K82" s="24">
        <f>IF($H82="","",IF(COUNTIFS($A$14:$A$1213,$H82,$F$14:$F$1213,"&gt;=0")=0,"—",IFERROR(INDEX($B$14:$B$1213,MATCH($H82&amp;"|1",$AA$14:$AA$1213,0)),"(tied)")))</f>
        <v/>
      </c>
      <c r="L82" s="25">
        <f>IF($H82="","",IF((--(COUNTIFS($A$14:$A$1213,$H82,$P$14:$P$1213,"&gt;=0")&gt;0)+--(COUNTIFS($A$14:$A$1213,$H82,$Q$14:$Q$1213,"&gt;=0")&gt;0)+--(COUNTIFS($A$14:$A$1213,$H82,$R$14:$R$1213,"&gt;=0")&gt;0)+--(COUNTIFS($A$14:$A$1213,$H82,$S$14:$S$1213,"&gt;=0")&gt;0)+--(COUNTIFS($A$14:$A$1213,$H82,$T$14:$T$1213,"&gt;=0")&gt;0))&lt;2,"—",IF(SUMIFS($AH$14:$AH$1213,$A$14:$A$1213,$H82)=0,"Yes","No")))</f>
        <v/>
      </c>
      <c r="M82" s="25">
        <f>IF($H82="","",IF(COUNTIFS($A$14:$A$1213,$H82,$F$14:$F$1213,"&gt;=0")&lt;2,"—",IF(COUNTIFS($A$14:$A$1213,$H82,$F$14:$F$1213,_xlfn.MAXIFS($F$14:$F$1213,$A$14:$A$1213,$H82))&gt;1,"No",IF(NOT(ISNUMBER($AN82)),"—",IF((2*(1-NORMSDIST(ABS($AN82))))&lt;0.05,"Yes","No")))))</f>
        <v/>
      </c>
      <c r="N82" s="21">
        <f>IF($H82="","",IF(NOT(ISNUMBER($AN82)),"—",IF((2*(1-NORMSDIST(ABS($AN82))))&lt;0.001,"&lt;0.001",TEXT((2*(1-NORMSDIST(ABS($AN82)))),"0.000"))))</f>
        <v/>
      </c>
      <c r="P82" s="26" t="n"/>
      <c r="Q82" s="26" t="n"/>
      <c r="R82" s="26" t="n"/>
      <c r="S82" s="26" t="n"/>
      <c r="T82" s="26" t="n"/>
      <c r="V82" s="27">
        <f>IF(ISNUMBER($C82),COUNTIFS($A$14:$A$1213,$A82,$C$14:$C$1213,"&gt;"&amp;$C82)+(COUNTIFS($A$14:$A$1213,$A82,$C$14:$C$1213,"="&amp;$C82)+1)/2,"")</f>
        <v/>
      </c>
      <c r="W82" s="27">
        <f>IF(ISNUMBER($F82),COUNTIFS($A$14:$A$1213,$A82,$F$14:$F$1213,"&gt;"&amp;$F82)+(COUNTIFS($A$14:$A$1213,$A82,$F$14:$F$1213,"="&amp;$F82)+1)/2,"")</f>
        <v/>
      </c>
      <c r="X82" s="27">
        <f>IF(OR(NOT(ISNUMBER($V82)),$AO82=1),"",$V82-(COUNTIFS($A$14:$A$1213,$A82,$C$14:$C$1213,"&gt;=0")+1)/2)</f>
        <v/>
      </c>
      <c r="Y82" s="27">
        <f>IF(OR(NOT(ISNUMBER($W82)),$AO82=1),"",$W82-(COUNTIFS($A$14:$A$1213,$A82,$F$14:$F$1213,"&gt;=0")+1)/2)</f>
        <v/>
      </c>
      <c r="Z82" s="27">
        <f>IF(ISNUMBER($V82),$A82&amp;"|"&amp;$V82,"")</f>
        <v/>
      </c>
      <c r="AA82" s="27">
        <f>IF(ISNUMBER($W82),$A82&amp;"|"&amp;$W82,"")</f>
        <v/>
      </c>
      <c r="AB82" s="27">
        <f>IF(ISNUMBER($F82),$A82&amp;"|"&amp;$F82,"")</f>
        <v/>
      </c>
      <c r="AC82" s="27">
        <f>IF(ISNUMBER($P82),COUNTIFS($A$14:$A$1213,$A82,$P$14:$P$1213,"&gt;"&amp;$P82)+(COUNTIFS($A$14:$A$1213,$A82,$P$14:$P$1213,"="&amp;$P82)+1)/2,"")</f>
        <v/>
      </c>
      <c r="AD82" s="27">
        <f>IF(ISNUMBER($Q82),COUNTIFS($A$14:$A$1213,$A82,$Q$14:$Q$1213,"&gt;"&amp;$Q82)+(COUNTIFS($A$14:$A$1213,$A82,$Q$14:$Q$1213,"="&amp;$Q82)+1)/2,"")</f>
        <v/>
      </c>
      <c r="AE82" s="27">
        <f>IF(ISNUMBER($R82),COUNTIFS($A$14:$A$1213,$A82,$R$14:$R$1213,"&gt;"&amp;$R82)+(COUNTIFS($A$14:$A$1213,$A82,$R$14:$R$1213,"="&amp;$R82)+1)/2,"")</f>
        <v/>
      </c>
      <c r="AF82" s="27">
        <f>IF(ISNUMBER($S82),COUNTIFS($A$14:$A$1213,$A82,$S$14:$S$1213,"&gt;"&amp;$S82)+(COUNTIFS($A$14:$A$1213,$A82,$S$14:$S$1213,"="&amp;$S82)+1)/2,"")</f>
        <v/>
      </c>
      <c r="AG82" s="27">
        <f>IF(ISNUMBER($T82),COUNTIFS($A$14:$A$1213,$A82,$T$14:$T$1213,"&gt;"&amp;$T82)+(COUNTIFS($A$14:$A$1213,$A82,$T$14:$T$1213,"="&amp;$T82)+1)/2,"")</f>
        <v/>
      </c>
      <c r="AH82" s="27">
        <f>IF(COUNT($AC82:$AG82)&lt;2,"",IF(MAX($AC82:$AG82)=MIN($AC82:$AG82),0,1))</f>
        <v/>
      </c>
      <c r="AI82" s="27">
        <f>IF($A82="","",IF(COUNTIF($A$14:$A82,$A82)=1,COUNTIF($AI$13:AI81,"&gt;0")+1,""))</f>
        <v/>
      </c>
      <c r="AJ82" s="27">
        <f>IF(OR($H82="",COUNTIFS($A$14:$A$1213,$H82,$F$14:$F$1213,"&gt;=0")&lt;2,COUNTIFS($A$14:$A$1213,$H82,$F$14:$F$1213,_xlfn.MAXIFS($F$14:$F$1213,$A$14:$A$1213,$H82))&gt;1),"",IFERROR(INDEX($D$14:$D$1213,MATCH($H82&amp;"|"&amp;_xlfn.MAXIFS($F$14:$F$1213,$A$14:$A$1213,$H82),$AB$14:$AB$1213,0)),""))</f>
        <v/>
      </c>
      <c r="AK82" s="27">
        <f>IF(OR($H82="",COUNTIFS($A$14:$A$1213,$H82,$F$14:$F$1213,"&gt;=0")&lt;2,COUNTIFS($A$14:$A$1213,$H82,$F$14:$F$1213,_xlfn.MAXIFS($F$14:$F$1213,$A$14:$A$1213,$H82))&gt;1),"",IFERROR(INDEX($E$14:$E$1213,MATCH($H82&amp;"|"&amp;_xlfn.MAXIFS($F$14:$F$1213,$A$14:$A$1213,$H82),$AB$14:$AB$1213,0)),""))</f>
        <v/>
      </c>
      <c r="AL82" s="27">
        <f>IF(OR($H82="",COUNTIFS($A$14:$A$1213,$H82,$F$14:$F$1213,"&gt;=0")&lt;2,COUNTIFS($A$14:$A$1213,$H82,$F$14:$F$1213,_xlfn.MAXIFS($F$14:$F$1213,$A$14:$A$1213,$H82))&gt;1),"",IFERROR(INDEX($D$14:$D$1213,MATCH($H82&amp;"|"&amp;_xlfn.MAXIFS($F$14:$F$1213,$A$14:$A$1213,$H82,$F$14:$F$1213,"&lt;"&amp;_xlfn.MAXIFS($F$14:$F$1213,$A$14:$A$1213,$H82)),$AB$14:$AB$1213,0)),""))</f>
        <v/>
      </c>
      <c r="AM82" s="27">
        <f>IF(OR($H82="",COUNTIFS($A$14:$A$1213,$H82,$F$14:$F$1213,"&gt;=0")&lt;2,COUNTIFS($A$14:$A$1213,$H82,$F$14:$F$1213,_xlfn.MAXIFS($F$14:$F$1213,$A$14:$A$1213,$H82))&gt;1),"",IFERROR(INDEX($E$14:$E$1213,MATCH($H82&amp;"|"&amp;_xlfn.MAXIFS($F$14:$F$1213,$A$14:$A$1213,$H82,$F$14:$F$1213,"&lt;"&amp;_xlfn.MAXIFS($F$14:$F$1213,$A$14:$A$1213,$H82)),$AB$14:$AB$1213,0)),""))</f>
        <v/>
      </c>
      <c r="AN82" s="27">
        <f>IF(OR(NOT(ISNUMBER($AJ82)),NOT(ISNUMBER($AL82)),$AK82=0,$AM82=0),"",IF(OR((($AJ82+$AL82)/($AK82+$AM82))&lt;=0,(($AJ82+$AL82)/($AK82+$AM82))&gt;=1),"",($AJ82/$AK82-$AL82/$AM82)/SQRT((($AJ82+$AL82)/($AK82+$AM82))*(1-(($AJ82+$AL82)/($AK82+$AM82)))*(1/$AK82+1/$AM82))))</f>
        <v/>
      </c>
      <c r="AO82" s="27">
        <f>IF($A82="","",IF(AND(COUNTIFS($A$14:$A$1213,$A82,$F$14:$F$1213,"&gt;=0")=2,IFERROR(INDEX($M$14:$M$313,MATCH($A82,$H$14:$H$313,0)),"Yes")&lt;&gt;"Yes"),1,0))</f>
        <v/>
      </c>
    </row>
    <row r="83" ht="24" customHeight="1">
      <c r="A83" s="19">
        <f>IF('Enter messages'!A83="","",'Enter messages'!A83)</f>
        <v/>
      </c>
      <c r="B83" s="20">
        <f>IF('Enter messages'!B83="","",'Enter messages'!B83)</f>
        <v/>
      </c>
      <c r="C83" s="21">
        <f>IFERROR(AVERAGE(P83:T83),"")</f>
        <v/>
      </c>
      <c r="D83" s="29" t="n"/>
      <c r="E83" s="29" t="n"/>
      <c r="F83" s="30">
        <f>IF(AND(ISNUMBER($D83),ISNUMBER($E83),$E83&gt;0,$D83&lt;=$E83),$D83/$E83,"")</f>
        <v/>
      </c>
      <c r="H83" s="19">
        <f>IFERROR(INDEX($A$14:$A$1213,MATCH(70,$AI$14:$AI$1213,0)),"")</f>
        <v/>
      </c>
      <c r="I83" s="24">
        <f>IF($H83="","",IF(COUNTIFS($A$14:$A$1213,$H83,$C$14:$C$1213,"&gt;=0")=0,"—",IFERROR(INDEX($B$14:$B$1213,MATCH($H83&amp;"|1",$Z$14:$Z$1213,0)),"(tied)")))</f>
        <v/>
      </c>
      <c r="J83" s="25">
        <f>IF($H83="","",IF(OR(COUNTIFS($A$14:$A$1213,$H83,$C$14:$C$1213,"&gt;=0")=0,COUNTIFS($A$14:$A$1213,$H83,$F$14:$F$1213,"&gt;=0")=0),"—",IF(OR(ISERROR(MATCH($H83&amp;"|1",$Z$14:$Z$1213,0)),ISERROR(MATCH($H83&amp;"|1",$AA$14:$AA$1213,0))),"Tie",IF(MATCH($H83&amp;"|1",$Z$14:$Z$1213,0)=MATCH($H83&amp;"|1",$AA$14:$AA$1213,0),"Hit","Miss"))))</f>
        <v/>
      </c>
      <c r="K83" s="24">
        <f>IF($H83="","",IF(COUNTIFS($A$14:$A$1213,$H83,$F$14:$F$1213,"&gt;=0")=0,"—",IFERROR(INDEX($B$14:$B$1213,MATCH($H83&amp;"|1",$AA$14:$AA$1213,0)),"(tied)")))</f>
        <v/>
      </c>
      <c r="L83" s="25">
        <f>IF($H83="","",IF((--(COUNTIFS($A$14:$A$1213,$H83,$P$14:$P$1213,"&gt;=0")&gt;0)+--(COUNTIFS($A$14:$A$1213,$H83,$Q$14:$Q$1213,"&gt;=0")&gt;0)+--(COUNTIFS($A$14:$A$1213,$H83,$R$14:$R$1213,"&gt;=0")&gt;0)+--(COUNTIFS($A$14:$A$1213,$H83,$S$14:$S$1213,"&gt;=0")&gt;0)+--(COUNTIFS($A$14:$A$1213,$H83,$T$14:$T$1213,"&gt;=0")&gt;0))&lt;2,"—",IF(SUMIFS($AH$14:$AH$1213,$A$14:$A$1213,$H83)=0,"Yes","No")))</f>
        <v/>
      </c>
      <c r="M83" s="25">
        <f>IF($H83="","",IF(COUNTIFS($A$14:$A$1213,$H83,$F$14:$F$1213,"&gt;=0")&lt;2,"—",IF(COUNTIFS($A$14:$A$1213,$H83,$F$14:$F$1213,_xlfn.MAXIFS($F$14:$F$1213,$A$14:$A$1213,$H83))&gt;1,"No",IF(NOT(ISNUMBER($AN83)),"—",IF((2*(1-NORMSDIST(ABS($AN83))))&lt;0.05,"Yes","No")))))</f>
        <v/>
      </c>
      <c r="N83" s="21">
        <f>IF($H83="","",IF(NOT(ISNUMBER($AN83)),"—",IF((2*(1-NORMSDIST(ABS($AN83))))&lt;0.001,"&lt;0.001",TEXT((2*(1-NORMSDIST(ABS($AN83)))),"0.000"))))</f>
        <v/>
      </c>
      <c r="P83" s="26" t="n"/>
      <c r="Q83" s="26" t="n"/>
      <c r="R83" s="26" t="n"/>
      <c r="S83" s="26" t="n"/>
      <c r="T83" s="26" t="n"/>
      <c r="V83" s="27">
        <f>IF(ISNUMBER($C83),COUNTIFS($A$14:$A$1213,$A83,$C$14:$C$1213,"&gt;"&amp;$C83)+(COUNTIFS($A$14:$A$1213,$A83,$C$14:$C$1213,"="&amp;$C83)+1)/2,"")</f>
        <v/>
      </c>
      <c r="W83" s="27">
        <f>IF(ISNUMBER($F83),COUNTIFS($A$14:$A$1213,$A83,$F$14:$F$1213,"&gt;"&amp;$F83)+(COUNTIFS($A$14:$A$1213,$A83,$F$14:$F$1213,"="&amp;$F83)+1)/2,"")</f>
        <v/>
      </c>
      <c r="X83" s="27">
        <f>IF(OR(NOT(ISNUMBER($V83)),$AO83=1),"",$V83-(COUNTIFS($A$14:$A$1213,$A83,$C$14:$C$1213,"&gt;=0")+1)/2)</f>
        <v/>
      </c>
      <c r="Y83" s="27">
        <f>IF(OR(NOT(ISNUMBER($W83)),$AO83=1),"",$W83-(COUNTIFS($A$14:$A$1213,$A83,$F$14:$F$1213,"&gt;=0")+1)/2)</f>
        <v/>
      </c>
      <c r="Z83" s="27">
        <f>IF(ISNUMBER($V83),$A83&amp;"|"&amp;$V83,"")</f>
        <v/>
      </c>
      <c r="AA83" s="27">
        <f>IF(ISNUMBER($W83),$A83&amp;"|"&amp;$W83,"")</f>
        <v/>
      </c>
      <c r="AB83" s="27">
        <f>IF(ISNUMBER($F83),$A83&amp;"|"&amp;$F83,"")</f>
        <v/>
      </c>
      <c r="AC83" s="27">
        <f>IF(ISNUMBER($P83),COUNTIFS($A$14:$A$1213,$A83,$P$14:$P$1213,"&gt;"&amp;$P83)+(COUNTIFS($A$14:$A$1213,$A83,$P$14:$P$1213,"="&amp;$P83)+1)/2,"")</f>
        <v/>
      </c>
      <c r="AD83" s="27">
        <f>IF(ISNUMBER($Q83),COUNTIFS($A$14:$A$1213,$A83,$Q$14:$Q$1213,"&gt;"&amp;$Q83)+(COUNTIFS($A$14:$A$1213,$A83,$Q$14:$Q$1213,"="&amp;$Q83)+1)/2,"")</f>
        <v/>
      </c>
      <c r="AE83" s="27">
        <f>IF(ISNUMBER($R83),COUNTIFS($A$14:$A$1213,$A83,$R$14:$R$1213,"&gt;"&amp;$R83)+(COUNTIFS($A$14:$A$1213,$A83,$R$14:$R$1213,"="&amp;$R83)+1)/2,"")</f>
        <v/>
      </c>
      <c r="AF83" s="27">
        <f>IF(ISNUMBER($S83),COUNTIFS($A$14:$A$1213,$A83,$S$14:$S$1213,"&gt;"&amp;$S83)+(COUNTIFS($A$14:$A$1213,$A83,$S$14:$S$1213,"="&amp;$S83)+1)/2,"")</f>
        <v/>
      </c>
      <c r="AG83" s="27">
        <f>IF(ISNUMBER($T83),COUNTIFS($A$14:$A$1213,$A83,$T$14:$T$1213,"&gt;"&amp;$T83)+(COUNTIFS($A$14:$A$1213,$A83,$T$14:$T$1213,"="&amp;$T83)+1)/2,"")</f>
        <v/>
      </c>
      <c r="AH83" s="27">
        <f>IF(COUNT($AC83:$AG83)&lt;2,"",IF(MAX($AC83:$AG83)=MIN($AC83:$AG83),0,1))</f>
        <v/>
      </c>
      <c r="AI83" s="27">
        <f>IF($A83="","",IF(COUNTIF($A$14:$A83,$A83)=1,COUNTIF($AI$13:AI82,"&gt;0")+1,""))</f>
        <v/>
      </c>
      <c r="AJ83" s="27">
        <f>IF(OR($H83="",COUNTIFS($A$14:$A$1213,$H83,$F$14:$F$1213,"&gt;=0")&lt;2,COUNTIFS($A$14:$A$1213,$H83,$F$14:$F$1213,_xlfn.MAXIFS($F$14:$F$1213,$A$14:$A$1213,$H83))&gt;1),"",IFERROR(INDEX($D$14:$D$1213,MATCH($H83&amp;"|"&amp;_xlfn.MAXIFS($F$14:$F$1213,$A$14:$A$1213,$H83),$AB$14:$AB$1213,0)),""))</f>
        <v/>
      </c>
      <c r="AK83" s="27">
        <f>IF(OR($H83="",COUNTIFS($A$14:$A$1213,$H83,$F$14:$F$1213,"&gt;=0")&lt;2,COUNTIFS($A$14:$A$1213,$H83,$F$14:$F$1213,_xlfn.MAXIFS($F$14:$F$1213,$A$14:$A$1213,$H83))&gt;1),"",IFERROR(INDEX($E$14:$E$1213,MATCH($H83&amp;"|"&amp;_xlfn.MAXIFS($F$14:$F$1213,$A$14:$A$1213,$H83),$AB$14:$AB$1213,0)),""))</f>
        <v/>
      </c>
      <c r="AL83" s="27">
        <f>IF(OR($H83="",COUNTIFS($A$14:$A$1213,$H83,$F$14:$F$1213,"&gt;=0")&lt;2,COUNTIFS($A$14:$A$1213,$H83,$F$14:$F$1213,_xlfn.MAXIFS($F$14:$F$1213,$A$14:$A$1213,$H83))&gt;1),"",IFERROR(INDEX($D$14:$D$1213,MATCH($H83&amp;"|"&amp;_xlfn.MAXIFS($F$14:$F$1213,$A$14:$A$1213,$H83,$F$14:$F$1213,"&lt;"&amp;_xlfn.MAXIFS($F$14:$F$1213,$A$14:$A$1213,$H83)),$AB$14:$AB$1213,0)),""))</f>
        <v/>
      </c>
      <c r="AM83" s="27">
        <f>IF(OR($H83="",COUNTIFS($A$14:$A$1213,$H83,$F$14:$F$1213,"&gt;=0")&lt;2,COUNTIFS($A$14:$A$1213,$H83,$F$14:$F$1213,_xlfn.MAXIFS($F$14:$F$1213,$A$14:$A$1213,$H83))&gt;1),"",IFERROR(INDEX($E$14:$E$1213,MATCH($H83&amp;"|"&amp;_xlfn.MAXIFS($F$14:$F$1213,$A$14:$A$1213,$H83,$F$14:$F$1213,"&lt;"&amp;_xlfn.MAXIFS($F$14:$F$1213,$A$14:$A$1213,$H83)),$AB$14:$AB$1213,0)),""))</f>
        <v/>
      </c>
      <c r="AN83" s="27">
        <f>IF(OR(NOT(ISNUMBER($AJ83)),NOT(ISNUMBER($AL83)),$AK83=0,$AM83=0),"",IF(OR((($AJ83+$AL83)/($AK83+$AM83))&lt;=0,(($AJ83+$AL83)/($AK83+$AM83))&gt;=1),"",($AJ83/$AK83-$AL83/$AM83)/SQRT((($AJ83+$AL83)/($AK83+$AM83))*(1-(($AJ83+$AL83)/($AK83+$AM83)))*(1/$AK83+1/$AM83))))</f>
        <v/>
      </c>
      <c r="AO83" s="27">
        <f>IF($A83="","",IF(AND(COUNTIFS($A$14:$A$1213,$A83,$F$14:$F$1213,"&gt;=0")=2,IFERROR(INDEX($M$14:$M$313,MATCH($A83,$H$14:$H$313,0)),"Yes")&lt;&gt;"Yes"),1,0))</f>
        <v/>
      </c>
    </row>
    <row r="84" ht="24" customHeight="1">
      <c r="A84" s="19">
        <f>IF('Enter messages'!A84="","",'Enter messages'!A84)</f>
        <v/>
      </c>
      <c r="B84" s="20">
        <f>IF('Enter messages'!B84="","",'Enter messages'!B84)</f>
        <v/>
      </c>
      <c r="C84" s="21">
        <f>IFERROR(AVERAGE(P84:T84),"")</f>
        <v/>
      </c>
      <c r="D84" s="29" t="n"/>
      <c r="E84" s="29" t="n"/>
      <c r="F84" s="30">
        <f>IF(AND(ISNUMBER($D84),ISNUMBER($E84),$E84&gt;0,$D84&lt;=$E84),$D84/$E84,"")</f>
        <v/>
      </c>
      <c r="H84" s="19">
        <f>IFERROR(INDEX($A$14:$A$1213,MATCH(71,$AI$14:$AI$1213,0)),"")</f>
        <v/>
      </c>
      <c r="I84" s="24">
        <f>IF($H84="","",IF(COUNTIFS($A$14:$A$1213,$H84,$C$14:$C$1213,"&gt;=0")=0,"—",IFERROR(INDEX($B$14:$B$1213,MATCH($H84&amp;"|1",$Z$14:$Z$1213,0)),"(tied)")))</f>
        <v/>
      </c>
      <c r="J84" s="25">
        <f>IF($H84="","",IF(OR(COUNTIFS($A$14:$A$1213,$H84,$C$14:$C$1213,"&gt;=0")=0,COUNTIFS($A$14:$A$1213,$H84,$F$14:$F$1213,"&gt;=0")=0),"—",IF(OR(ISERROR(MATCH($H84&amp;"|1",$Z$14:$Z$1213,0)),ISERROR(MATCH($H84&amp;"|1",$AA$14:$AA$1213,0))),"Tie",IF(MATCH($H84&amp;"|1",$Z$14:$Z$1213,0)=MATCH($H84&amp;"|1",$AA$14:$AA$1213,0),"Hit","Miss"))))</f>
        <v/>
      </c>
      <c r="K84" s="24">
        <f>IF($H84="","",IF(COUNTIFS($A$14:$A$1213,$H84,$F$14:$F$1213,"&gt;=0")=0,"—",IFERROR(INDEX($B$14:$B$1213,MATCH($H84&amp;"|1",$AA$14:$AA$1213,0)),"(tied)")))</f>
        <v/>
      </c>
      <c r="L84" s="25">
        <f>IF($H84="","",IF((--(COUNTIFS($A$14:$A$1213,$H84,$P$14:$P$1213,"&gt;=0")&gt;0)+--(COUNTIFS($A$14:$A$1213,$H84,$Q$14:$Q$1213,"&gt;=0")&gt;0)+--(COUNTIFS($A$14:$A$1213,$H84,$R$14:$R$1213,"&gt;=0")&gt;0)+--(COUNTIFS($A$14:$A$1213,$H84,$S$14:$S$1213,"&gt;=0")&gt;0)+--(COUNTIFS($A$14:$A$1213,$H84,$T$14:$T$1213,"&gt;=0")&gt;0))&lt;2,"—",IF(SUMIFS($AH$14:$AH$1213,$A$14:$A$1213,$H84)=0,"Yes","No")))</f>
        <v/>
      </c>
      <c r="M84" s="25">
        <f>IF($H84="","",IF(COUNTIFS($A$14:$A$1213,$H84,$F$14:$F$1213,"&gt;=0")&lt;2,"—",IF(COUNTIFS($A$14:$A$1213,$H84,$F$14:$F$1213,_xlfn.MAXIFS($F$14:$F$1213,$A$14:$A$1213,$H84))&gt;1,"No",IF(NOT(ISNUMBER($AN84)),"—",IF((2*(1-NORMSDIST(ABS($AN84))))&lt;0.05,"Yes","No")))))</f>
        <v/>
      </c>
      <c r="N84" s="21">
        <f>IF($H84="","",IF(NOT(ISNUMBER($AN84)),"—",IF((2*(1-NORMSDIST(ABS($AN84))))&lt;0.001,"&lt;0.001",TEXT((2*(1-NORMSDIST(ABS($AN84)))),"0.000"))))</f>
        <v/>
      </c>
      <c r="P84" s="26" t="n"/>
      <c r="Q84" s="26" t="n"/>
      <c r="R84" s="26" t="n"/>
      <c r="S84" s="26" t="n"/>
      <c r="T84" s="26" t="n"/>
      <c r="V84" s="27">
        <f>IF(ISNUMBER($C84),COUNTIFS($A$14:$A$1213,$A84,$C$14:$C$1213,"&gt;"&amp;$C84)+(COUNTIFS($A$14:$A$1213,$A84,$C$14:$C$1213,"="&amp;$C84)+1)/2,"")</f>
        <v/>
      </c>
      <c r="W84" s="27">
        <f>IF(ISNUMBER($F84),COUNTIFS($A$14:$A$1213,$A84,$F$14:$F$1213,"&gt;"&amp;$F84)+(COUNTIFS($A$14:$A$1213,$A84,$F$14:$F$1213,"="&amp;$F84)+1)/2,"")</f>
        <v/>
      </c>
      <c r="X84" s="27">
        <f>IF(OR(NOT(ISNUMBER($V84)),$AO84=1),"",$V84-(COUNTIFS($A$14:$A$1213,$A84,$C$14:$C$1213,"&gt;=0")+1)/2)</f>
        <v/>
      </c>
      <c r="Y84" s="27">
        <f>IF(OR(NOT(ISNUMBER($W84)),$AO84=1),"",$W84-(COUNTIFS($A$14:$A$1213,$A84,$F$14:$F$1213,"&gt;=0")+1)/2)</f>
        <v/>
      </c>
      <c r="Z84" s="27">
        <f>IF(ISNUMBER($V84),$A84&amp;"|"&amp;$V84,"")</f>
        <v/>
      </c>
      <c r="AA84" s="27">
        <f>IF(ISNUMBER($W84),$A84&amp;"|"&amp;$W84,"")</f>
        <v/>
      </c>
      <c r="AB84" s="27">
        <f>IF(ISNUMBER($F84),$A84&amp;"|"&amp;$F84,"")</f>
        <v/>
      </c>
      <c r="AC84" s="27">
        <f>IF(ISNUMBER($P84),COUNTIFS($A$14:$A$1213,$A84,$P$14:$P$1213,"&gt;"&amp;$P84)+(COUNTIFS($A$14:$A$1213,$A84,$P$14:$P$1213,"="&amp;$P84)+1)/2,"")</f>
        <v/>
      </c>
      <c r="AD84" s="27">
        <f>IF(ISNUMBER($Q84),COUNTIFS($A$14:$A$1213,$A84,$Q$14:$Q$1213,"&gt;"&amp;$Q84)+(COUNTIFS($A$14:$A$1213,$A84,$Q$14:$Q$1213,"="&amp;$Q84)+1)/2,"")</f>
        <v/>
      </c>
      <c r="AE84" s="27">
        <f>IF(ISNUMBER($R84),COUNTIFS($A$14:$A$1213,$A84,$R$14:$R$1213,"&gt;"&amp;$R84)+(COUNTIFS($A$14:$A$1213,$A84,$R$14:$R$1213,"="&amp;$R84)+1)/2,"")</f>
        <v/>
      </c>
      <c r="AF84" s="27">
        <f>IF(ISNUMBER($S84),COUNTIFS($A$14:$A$1213,$A84,$S$14:$S$1213,"&gt;"&amp;$S84)+(COUNTIFS($A$14:$A$1213,$A84,$S$14:$S$1213,"="&amp;$S84)+1)/2,"")</f>
        <v/>
      </c>
      <c r="AG84" s="27">
        <f>IF(ISNUMBER($T84),COUNTIFS($A$14:$A$1213,$A84,$T$14:$T$1213,"&gt;"&amp;$T84)+(COUNTIFS($A$14:$A$1213,$A84,$T$14:$T$1213,"="&amp;$T84)+1)/2,"")</f>
        <v/>
      </c>
      <c r="AH84" s="27">
        <f>IF(COUNT($AC84:$AG84)&lt;2,"",IF(MAX($AC84:$AG84)=MIN($AC84:$AG84),0,1))</f>
        <v/>
      </c>
      <c r="AI84" s="27">
        <f>IF($A84="","",IF(COUNTIF($A$14:$A84,$A84)=1,COUNTIF($AI$13:AI83,"&gt;0")+1,""))</f>
        <v/>
      </c>
      <c r="AJ84" s="27">
        <f>IF(OR($H84="",COUNTIFS($A$14:$A$1213,$H84,$F$14:$F$1213,"&gt;=0")&lt;2,COUNTIFS($A$14:$A$1213,$H84,$F$14:$F$1213,_xlfn.MAXIFS($F$14:$F$1213,$A$14:$A$1213,$H84))&gt;1),"",IFERROR(INDEX($D$14:$D$1213,MATCH($H84&amp;"|"&amp;_xlfn.MAXIFS($F$14:$F$1213,$A$14:$A$1213,$H84),$AB$14:$AB$1213,0)),""))</f>
        <v/>
      </c>
      <c r="AK84" s="27">
        <f>IF(OR($H84="",COUNTIFS($A$14:$A$1213,$H84,$F$14:$F$1213,"&gt;=0")&lt;2,COUNTIFS($A$14:$A$1213,$H84,$F$14:$F$1213,_xlfn.MAXIFS($F$14:$F$1213,$A$14:$A$1213,$H84))&gt;1),"",IFERROR(INDEX($E$14:$E$1213,MATCH($H84&amp;"|"&amp;_xlfn.MAXIFS($F$14:$F$1213,$A$14:$A$1213,$H84),$AB$14:$AB$1213,0)),""))</f>
        <v/>
      </c>
      <c r="AL84" s="27">
        <f>IF(OR($H84="",COUNTIFS($A$14:$A$1213,$H84,$F$14:$F$1213,"&gt;=0")&lt;2,COUNTIFS($A$14:$A$1213,$H84,$F$14:$F$1213,_xlfn.MAXIFS($F$14:$F$1213,$A$14:$A$1213,$H84))&gt;1),"",IFERROR(INDEX($D$14:$D$1213,MATCH($H84&amp;"|"&amp;_xlfn.MAXIFS($F$14:$F$1213,$A$14:$A$1213,$H84,$F$14:$F$1213,"&lt;"&amp;_xlfn.MAXIFS($F$14:$F$1213,$A$14:$A$1213,$H84)),$AB$14:$AB$1213,0)),""))</f>
        <v/>
      </c>
      <c r="AM84" s="27">
        <f>IF(OR($H84="",COUNTIFS($A$14:$A$1213,$H84,$F$14:$F$1213,"&gt;=0")&lt;2,COUNTIFS($A$14:$A$1213,$H84,$F$14:$F$1213,_xlfn.MAXIFS($F$14:$F$1213,$A$14:$A$1213,$H84))&gt;1),"",IFERROR(INDEX($E$14:$E$1213,MATCH($H84&amp;"|"&amp;_xlfn.MAXIFS($F$14:$F$1213,$A$14:$A$1213,$H84,$F$14:$F$1213,"&lt;"&amp;_xlfn.MAXIFS($F$14:$F$1213,$A$14:$A$1213,$H84)),$AB$14:$AB$1213,0)),""))</f>
        <v/>
      </c>
      <c r="AN84" s="27">
        <f>IF(OR(NOT(ISNUMBER($AJ84)),NOT(ISNUMBER($AL84)),$AK84=0,$AM84=0),"",IF(OR((($AJ84+$AL84)/($AK84+$AM84))&lt;=0,(($AJ84+$AL84)/($AK84+$AM84))&gt;=1),"",($AJ84/$AK84-$AL84/$AM84)/SQRT((($AJ84+$AL84)/($AK84+$AM84))*(1-(($AJ84+$AL84)/($AK84+$AM84)))*(1/$AK84+1/$AM84))))</f>
        <v/>
      </c>
      <c r="AO84" s="27">
        <f>IF($A84="","",IF(AND(COUNTIFS($A$14:$A$1213,$A84,$F$14:$F$1213,"&gt;=0")=2,IFERROR(INDEX($M$14:$M$313,MATCH($A84,$H$14:$H$313,0)),"Yes")&lt;&gt;"Yes"),1,0))</f>
        <v/>
      </c>
    </row>
    <row r="85" ht="24" customHeight="1">
      <c r="A85" s="19">
        <f>IF('Enter messages'!A85="","",'Enter messages'!A85)</f>
        <v/>
      </c>
      <c r="B85" s="20">
        <f>IF('Enter messages'!B85="","",'Enter messages'!B85)</f>
        <v/>
      </c>
      <c r="C85" s="21">
        <f>IFERROR(AVERAGE(P85:T85),"")</f>
        <v/>
      </c>
      <c r="D85" s="29" t="n"/>
      <c r="E85" s="29" t="n"/>
      <c r="F85" s="30">
        <f>IF(AND(ISNUMBER($D85),ISNUMBER($E85),$E85&gt;0,$D85&lt;=$E85),$D85/$E85,"")</f>
        <v/>
      </c>
      <c r="H85" s="19">
        <f>IFERROR(INDEX($A$14:$A$1213,MATCH(72,$AI$14:$AI$1213,0)),"")</f>
        <v/>
      </c>
      <c r="I85" s="24">
        <f>IF($H85="","",IF(COUNTIFS($A$14:$A$1213,$H85,$C$14:$C$1213,"&gt;=0")=0,"—",IFERROR(INDEX($B$14:$B$1213,MATCH($H85&amp;"|1",$Z$14:$Z$1213,0)),"(tied)")))</f>
        <v/>
      </c>
      <c r="J85" s="25">
        <f>IF($H85="","",IF(OR(COUNTIFS($A$14:$A$1213,$H85,$C$14:$C$1213,"&gt;=0")=0,COUNTIFS($A$14:$A$1213,$H85,$F$14:$F$1213,"&gt;=0")=0),"—",IF(OR(ISERROR(MATCH($H85&amp;"|1",$Z$14:$Z$1213,0)),ISERROR(MATCH($H85&amp;"|1",$AA$14:$AA$1213,0))),"Tie",IF(MATCH($H85&amp;"|1",$Z$14:$Z$1213,0)=MATCH($H85&amp;"|1",$AA$14:$AA$1213,0),"Hit","Miss"))))</f>
        <v/>
      </c>
      <c r="K85" s="24">
        <f>IF($H85="","",IF(COUNTIFS($A$14:$A$1213,$H85,$F$14:$F$1213,"&gt;=0")=0,"—",IFERROR(INDEX($B$14:$B$1213,MATCH($H85&amp;"|1",$AA$14:$AA$1213,0)),"(tied)")))</f>
        <v/>
      </c>
      <c r="L85" s="25">
        <f>IF($H85="","",IF((--(COUNTIFS($A$14:$A$1213,$H85,$P$14:$P$1213,"&gt;=0")&gt;0)+--(COUNTIFS($A$14:$A$1213,$H85,$Q$14:$Q$1213,"&gt;=0")&gt;0)+--(COUNTIFS($A$14:$A$1213,$H85,$R$14:$R$1213,"&gt;=0")&gt;0)+--(COUNTIFS($A$14:$A$1213,$H85,$S$14:$S$1213,"&gt;=0")&gt;0)+--(COUNTIFS($A$14:$A$1213,$H85,$T$14:$T$1213,"&gt;=0")&gt;0))&lt;2,"—",IF(SUMIFS($AH$14:$AH$1213,$A$14:$A$1213,$H85)=0,"Yes","No")))</f>
        <v/>
      </c>
      <c r="M85" s="25">
        <f>IF($H85="","",IF(COUNTIFS($A$14:$A$1213,$H85,$F$14:$F$1213,"&gt;=0")&lt;2,"—",IF(COUNTIFS($A$14:$A$1213,$H85,$F$14:$F$1213,_xlfn.MAXIFS($F$14:$F$1213,$A$14:$A$1213,$H85))&gt;1,"No",IF(NOT(ISNUMBER($AN85)),"—",IF((2*(1-NORMSDIST(ABS($AN85))))&lt;0.05,"Yes","No")))))</f>
        <v/>
      </c>
      <c r="N85" s="21">
        <f>IF($H85="","",IF(NOT(ISNUMBER($AN85)),"—",IF((2*(1-NORMSDIST(ABS($AN85))))&lt;0.001,"&lt;0.001",TEXT((2*(1-NORMSDIST(ABS($AN85)))),"0.000"))))</f>
        <v/>
      </c>
      <c r="P85" s="26" t="n"/>
      <c r="Q85" s="26" t="n"/>
      <c r="R85" s="26" t="n"/>
      <c r="S85" s="26" t="n"/>
      <c r="T85" s="26" t="n"/>
      <c r="V85" s="27">
        <f>IF(ISNUMBER($C85),COUNTIFS($A$14:$A$1213,$A85,$C$14:$C$1213,"&gt;"&amp;$C85)+(COUNTIFS($A$14:$A$1213,$A85,$C$14:$C$1213,"="&amp;$C85)+1)/2,"")</f>
        <v/>
      </c>
      <c r="W85" s="27">
        <f>IF(ISNUMBER($F85),COUNTIFS($A$14:$A$1213,$A85,$F$14:$F$1213,"&gt;"&amp;$F85)+(COUNTIFS($A$14:$A$1213,$A85,$F$14:$F$1213,"="&amp;$F85)+1)/2,"")</f>
        <v/>
      </c>
      <c r="X85" s="27">
        <f>IF(OR(NOT(ISNUMBER($V85)),$AO85=1),"",$V85-(COUNTIFS($A$14:$A$1213,$A85,$C$14:$C$1213,"&gt;=0")+1)/2)</f>
        <v/>
      </c>
      <c r="Y85" s="27">
        <f>IF(OR(NOT(ISNUMBER($W85)),$AO85=1),"",$W85-(COUNTIFS($A$14:$A$1213,$A85,$F$14:$F$1213,"&gt;=0")+1)/2)</f>
        <v/>
      </c>
      <c r="Z85" s="27">
        <f>IF(ISNUMBER($V85),$A85&amp;"|"&amp;$V85,"")</f>
        <v/>
      </c>
      <c r="AA85" s="27">
        <f>IF(ISNUMBER($W85),$A85&amp;"|"&amp;$W85,"")</f>
        <v/>
      </c>
      <c r="AB85" s="27">
        <f>IF(ISNUMBER($F85),$A85&amp;"|"&amp;$F85,"")</f>
        <v/>
      </c>
      <c r="AC85" s="27">
        <f>IF(ISNUMBER($P85),COUNTIFS($A$14:$A$1213,$A85,$P$14:$P$1213,"&gt;"&amp;$P85)+(COUNTIFS($A$14:$A$1213,$A85,$P$14:$P$1213,"="&amp;$P85)+1)/2,"")</f>
        <v/>
      </c>
      <c r="AD85" s="27">
        <f>IF(ISNUMBER($Q85),COUNTIFS($A$14:$A$1213,$A85,$Q$14:$Q$1213,"&gt;"&amp;$Q85)+(COUNTIFS($A$14:$A$1213,$A85,$Q$14:$Q$1213,"="&amp;$Q85)+1)/2,"")</f>
        <v/>
      </c>
      <c r="AE85" s="27">
        <f>IF(ISNUMBER($R85),COUNTIFS($A$14:$A$1213,$A85,$R$14:$R$1213,"&gt;"&amp;$R85)+(COUNTIFS($A$14:$A$1213,$A85,$R$14:$R$1213,"="&amp;$R85)+1)/2,"")</f>
        <v/>
      </c>
      <c r="AF85" s="27">
        <f>IF(ISNUMBER($S85),COUNTIFS($A$14:$A$1213,$A85,$S$14:$S$1213,"&gt;"&amp;$S85)+(COUNTIFS($A$14:$A$1213,$A85,$S$14:$S$1213,"="&amp;$S85)+1)/2,"")</f>
        <v/>
      </c>
      <c r="AG85" s="27">
        <f>IF(ISNUMBER($T85),COUNTIFS($A$14:$A$1213,$A85,$T$14:$T$1213,"&gt;"&amp;$T85)+(COUNTIFS($A$14:$A$1213,$A85,$T$14:$T$1213,"="&amp;$T85)+1)/2,"")</f>
        <v/>
      </c>
      <c r="AH85" s="27">
        <f>IF(COUNT($AC85:$AG85)&lt;2,"",IF(MAX($AC85:$AG85)=MIN($AC85:$AG85),0,1))</f>
        <v/>
      </c>
      <c r="AI85" s="27">
        <f>IF($A85="","",IF(COUNTIF($A$14:$A85,$A85)=1,COUNTIF($AI$13:AI84,"&gt;0")+1,""))</f>
        <v/>
      </c>
      <c r="AJ85" s="27">
        <f>IF(OR($H85="",COUNTIFS($A$14:$A$1213,$H85,$F$14:$F$1213,"&gt;=0")&lt;2,COUNTIFS($A$14:$A$1213,$H85,$F$14:$F$1213,_xlfn.MAXIFS($F$14:$F$1213,$A$14:$A$1213,$H85))&gt;1),"",IFERROR(INDEX($D$14:$D$1213,MATCH($H85&amp;"|"&amp;_xlfn.MAXIFS($F$14:$F$1213,$A$14:$A$1213,$H85),$AB$14:$AB$1213,0)),""))</f>
        <v/>
      </c>
      <c r="AK85" s="27">
        <f>IF(OR($H85="",COUNTIFS($A$14:$A$1213,$H85,$F$14:$F$1213,"&gt;=0")&lt;2,COUNTIFS($A$14:$A$1213,$H85,$F$14:$F$1213,_xlfn.MAXIFS($F$14:$F$1213,$A$14:$A$1213,$H85))&gt;1),"",IFERROR(INDEX($E$14:$E$1213,MATCH($H85&amp;"|"&amp;_xlfn.MAXIFS($F$14:$F$1213,$A$14:$A$1213,$H85),$AB$14:$AB$1213,0)),""))</f>
        <v/>
      </c>
      <c r="AL85" s="27">
        <f>IF(OR($H85="",COUNTIFS($A$14:$A$1213,$H85,$F$14:$F$1213,"&gt;=0")&lt;2,COUNTIFS($A$14:$A$1213,$H85,$F$14:$F$1213,_xlfn.MAXIFS($F$14:$F$1213,$A$14:$A$1213,$H85))&gt;1),"",IFERROR(INDEX($D$14:$D$1213,MATCH($H85&amp;"|"&amp;_xlfn.MAXIFS($F$14:$F$1213,$A$14:$A$1213,$H85,$F$14:$F$1213,"&lt;"&amp;_xlfn.MAXIFS($F$14:$F$1213,$A$14:$A$1213,$H85)),$AB$14:$AB$1213,0)),""))</f>
        <v/>
      </c>
      <c r="AM85" s="27">
        <f>IF(OR($H85="",COUNTIFS($A$14:$A$1213,$H85,$F$14:$F$1213,"&gt;=0")&lt;2,COUNTIFS($A$14:$A$1213,$H85,$F$14:$F$1213,_xlfn.MAXIFS($F$14:$F$1213,$A$14:$A$1213,$H85))&gt;1),"",IFERROR(INDEX($E$14:$E$1213,MATCH($H85&amp;"|"&amp;_xlfn.MAXIFS($F$14:$F$1213,$A$14:$A$1213,$H85,$F$14:$F$1213,"&lt;"&amp;_xlfn.MAXIFS($F$14:$F$1213,$A$14:$A$1213,$H85)),$AB$14:$AB$1213,0)),""))</f>
        <v/>
      </c>
      <c r="AN85" s="27">
        <f>IF(OR(NOT(ISNUMBER($AJ85)),NOT(ISNUMBER($AL85)),$AK85=0,$AM85=0),"",IF(OR((($AJ85+$AL85)/($AK85+$AM85))&lt;=0,(($AJ85+$AL85)/($AK85+$AM85))&gt;=1),"",($AJ85/$AK85-$AL85/$AM85)/SQRT((($AJ85+$AL85)/($AK85+$AM85))*(1-(($AJ85+$AL85)/($AK85+$AM85)))*(1/$AK85+1/$AM85))))</f>
        <v/>
      </c>
      <c r="AO85" s="27">
        <f>IF($A85="","",IF(AND(COUNTIFS($A$14:$A$1213,$A85,$F$14:$F$1213,"&gt;=0")=2,IFERROR(INDEX($M$14:$M$313,MATCH($A85,$H$14:$H$313,0)),"Yes")&lt;&gt;"Yes"),1,0))</f>
        <v/>
      </c>
    </row>
    <row r="86" ht="24" customHeight="1">
      <c r="A86" s="19">
        <f>IF('Enter messages'!A86="","",'Enter messages'!A86)</f>
        <v/>
      </c>
      <c r="B86" s="20">
        <f>IF('Enter messages'!B86="","",'Enter messages'!B86)</f>
        <v/>
      </c>
      <c r="C86" s="21">
        <f>IFERROR(AVERAGE(P86:T86),"")</f>
        <v/>
      </c>
      <c r="D86" s="29" t="n"/>
      <c r="E86" s="29" t="n"/>
      <c r="F86" s="30">
        <f>IF(AND(ISNUMBER($D86),ISNUMBER($E86),$E86&gt;0,$D86&lt;=$E86),$D86/$E86,"")</f>
        <v/>
      </c>
      <c r="H86" s="19">
        <f>IFERROR(INDEX($A$14:$A$1213,MATCH(73,$AI$14:$AI$1213,0)),"")</f>
        <v/>
      </c>
      <c r="I86" s="24">
        <f>IF($H86="","",IF(COUNTIFS($A$14:$A$1213,$H86,$C$14:$C$1213,"&gt;=0")=0,"—",IFERROR(INDEX($B$14:$B$1213,MATCH($H86&amp;"|1",$Z$14:$Z$1213,0)),"(tied)")))</f>
        <v/>
      </c>
      <c r="J86" s="25">
        <f>IF($H86="","",IF(OR(COUNTIFS($A$14:$A$1213,$H86,$C$14:$C$1213,"&gt;=0")=0,COUNTIFS($A$14:$A$1213,$H86,$F$14:$F$1213,"&gt;=0")=0),"—",IF(OR(ISERROR(MATCH($H86&amp;"|1",$Z$14:$Z$1213,0)),ISERROR(MATCH($H86&amp;"|1",$AA$14:$AA$1213,0))),"Tie",IF(MATCH($H86&amp;"|1",$Z$14:$Z$1213,0)=MATCH($H86&amp;"|1",$AA$14:$AA$1213,0),"Hit","Miss"))))</f>
        <v/>
      </c>
      <c r="K86" s="24">
        <f>IF($H86="","",IF(COUNTIFS($A$14:$A$1213,$H86,$F$14:$F$1213,"&gt;=0")=0,"—",IFERROR(INDEX($B$14:$B$1213,MATCH($H86&amp;"|1",$AA$14:$AA$1213,0)),"(tied)")))</f>
        <v/>
      </c>
      <c r="L86" s="25">
        <f>IF($H86="","",IF((--(COUNTIFS($A$14:$A$1213,$H86,$P$14:$P$1213,"&gt;=0")&gt;0)+--(COUNTIFS($A$14:$A$1213,$H86,$Q$14:$Q$1213,"&gt;=0")&gt;0)+--(COUNTIFS($A$14:$A$1213,$H86,$R$14:$R$1213,"&gt;=0")&gt;0)+--(COUNTIFS($A$14:$A$1213,$H86,$S$14:$S$1213,"&gt;=0")&gt;0)+--(COUNTIFS($A$14:$A$1213,$H86,$T$14:$T$1213,"&gt;=0")&gt;0))&lt;2,"—",IF(SUMIFS($AH$14:$AH$1213,$A$14:$A$1213,$H86)=0,"Yes","No")))</f>
        <v/>
      </c>
      <c r="M86" s="25">
        <f>IF($H86="","",IF(COUNTIFS($A$14:$A$1213,$H86,$F$14:$F$1213,"&gt;=0")&lt;2,"—",IF(COUNTIFS($A$14:$A$1213,$H86,$F$14:$F$1213,_xlfn.MAXIFS($F$14:$F$1213,$A$14:$A$1213,$H86))&gt;1,"No",IF(NOT(ISNUMBER($AN86)),"—",IF((2*(1-NORMSDIST(ABS($AN86))))&lt;0.05,"Yes","No")))))</f>
        <v/>
      </c>
      <c r="N86" s="21">
        <f>IF($H86="","",IF(NOT(ISNUMBER($AN86)),"—",IF((2*(1-NORMSDIST(ABS($AN86))))&lt;0.001,"&lt;0.001",TEXT((2*(1-NORMSDIST(ABS($AN86)))),"0.000"))))</f>
        <v/>
      </c>
      <c r="P86" s="26" t="n"/>
      <c r="Q86" s="26" t="n"/>
      <c r="R86" s="26" t="n"/>
      <c r="S86" s="26" t="n"/>
      <c r="T86" s="26" t="n"/>
      <c r="V86" s="27">
        <f>IF(ISNUMBER($C86),COUNTIFS($A$14:$A$1213,$A86,$C$14:$C$1213,"&gt;"&amp;$C86)+(COUNTIFS($A$14:$A$1213,$A86,$C$14:$C$1213,"="&amp;$C86)+1)/2,"")</f>
        <v/>
      </c>
      <c r="W86" s="27">
        <f>IF(ISNUMBER($F86),COUNTIFS($A$14:$A$1213,$A86,$F$14:$F$1213,"&gt;"&amp;$F86)+(COUNTIFS($A$14:$A$1213,$A86,$F$14:$F$1213,"="&amp;$F86)+1)/2,"")</f>
        <v/>
      </c>
      <c r="X86" s="27">
        <f>IF(OR(NOT(ISNUMBER($V86)),$AO86=1),"",$V86-(COUNTIFS($A$14:$A$1213,$A86,$C$14:$C$1213,"&gt;=0")+1)/2)</f>
        <v/>
      </c>
      <c r="Y86" s="27">
        <f>IF(OR(NOT(ISNUMBER($W86)),$AO86=1),"",$W86-(COUNTIFS($A$14:$A$1213,$A86,$F$14:$F$1213,"&gt;=0")+1)/2)</f>
        <v/>
      </c>
      <c r="Z86" s="27">
        <f>IF(ISNUMBER($V86),$A86&amp;"|"&amp;$V86,"")</f>
        <v/>
      </c>
      <c r="AA86" s="27">
        <f>IF(ISNUMBER($W86),$A86&amp;"|"&amp;$W86,"")</f>
        <v/>
      </c>
      <c r="AB86" s="27">
        <f>IF(ISNUMBER($F86),$A86&amp;"|"&amp;$F86,"")</f>
        <v/>
      </c>
      <c r="AC86" s="27">
        <f>IF(ISNUMBER($P86),COUNTIFS($A$14:$A$1213,$A86,$P$14:$P$1213,"&gt;"&amp;$P86)+(COUNTIFS($A$14:$A$1213,$A86,$P$14:$P$1213,"="&amp;$P86)+1)/2,"")</f>
        <v/>
      </c>
      <c r="AD86" s="27">
        <f>IF(ISNUMBER($Q86),COUNTIFS($A$14:$A$1213,$A86,$Q$14:$Q$1213,"&gt;"&amp;$Q86)+(COUNTIFS($A$14:$A$1213,$A86,$Q$14:$Q$1213,"="&amp;$Q86)+1)/2,"")</f>
        <v/>
      </c>
      <c r="AE86" s="27">
        <f>IF(ISNUMBER($R86),COUNTIFS($A$14:$A$1213,$A86,$R$14:$R$1213,"&gt;"&amp;$R86)+(COUNTIFS($A$14:$A$1213,$A86,$R$14:$R$1213,"="&amp;$R86)+1)/2,"")</f>
        <v/>
      </c>
      <c r="AF86" s="27">
        <f>IF(ISNUMBER($S86),COUNTIFS($A$14:$A$1213,$A86,$S$14:$S$1213,"&gt;"&amp;$S86)+(COUNTIFS($A$14:$A$1213,$A86,$S$14:$S$1213,"="&amp;$S86)+1)/2,"")</f>
        <v/>
      </c>
      <c r="AG86" s="27">
        <f>IF(ISNUMBER($T86),COUNTIFS($A$14:$A$1213,$A86,$T$14:$T$1213,"&gt;"&amp;$T86)+(COUNTIFS($A$14:$A$1213,$A86,$T$14:$T$1213,"="&amp;$T86)+1)/2,"")</f>
        <v/>
      </c>
      <c r="AH86" s="27">
        <f>IF(COUNT($AC86:$AG86)&lt;2,"",IF(MAX($AC86:$AG86)=MIN($AC86:$AG86),0,1))</f>
        <v/>
      </c>
      <c r="AI86" s="27">
        <f>IF($A86="","",IF(COUNTIF($A$14:$A86,$A86)=1,COUNTIF($AI$13:AI85,"&gt;0")+1,""))</f>
        <v/>
      </c>
      <c r="AJ86" s="27">
        <f>IF(OR($H86="",COUNTIFS($A$14:$A$1213,$H86,$F$14:$F$1213,"&gt;=0")&lt;2,COUNTIFS($A$14:$A$1213,$H86,$F$14:$F$1213,_xlfn.MAXIFS($F$14:$F$1213,$A$14:$A$1213,$H86))&gt;1),"",IFERROR(INDEX($D$14:$D$1213,MATCH($H86&amp;"|"&amp;_xlfn.MAXIFS($F$14:$F$1213,$A$14:$A$1213,$H86),$AB$14:$AB$1213,0)),""))</f>
        <v/>
      </c>
      <c r="AK86" s="27">
        <f>IF(OR($H86="",COUNTIFS($A$14:$A$1213,$H86,$F$14:$F$1213,"&gt;=0")&lt;2,COUNTIFS($A$14:$A$1213,$H86,$F$14:$F$1213,_xlfn.MAXIFS($F$14:$F$1213,$A$14:$A$1213,$H86))&gt;1),"",IFERROR(INDEX($E$14:$E$1213,MATCH($H86&amp;"|"&amp;_xlfn.MAXIFS($F$14:$F$1213,$A$14:$A$1213,$H86),$AB$14:$AB$1213,0)),""))</f>
        <v/>
      </c>
      <c r="AL86" s="27">
        <f>IF(OR($H86="",COUNTIFS($A$14:$A$1213,$H86,$F$14:$F$1213,"&gt;=0")&lt;2,COUNTIFS($A$14:$A$1213,$H86,$F$14:$F$1213,_xlfn.MAXIFS($F$14:$F$1213,$A$14:$A$1213,$H86))&gt;1),"",IFERROR(INDEX($D$14:$D$1213,MATCH($H86&amp;"|"&amp;_xlfn.MAXIFS($F$14:$F$1213,$A$14:$A$1213,$H86,$F$14:$F$1213,"&lt;"&amp;_xlfn.MAXIFS($F$14:$F$1213,$A$14:$A$1213,$H86)),$AB$14:$AB$1213,0)),""))</f>
        <v/>
      </c>
      <c r="AM86" s="27">
        <f>IF(OR($H86="",COUNTIFS($A$14:$A$1213,$H86,$F$14:$F$1213,"&gt;=0")&lt;2,COUNTIFS($A$14:$A$1213,$H86,$F$14:$F$1213,_xlfn.MAXIFS($F$14:$F$1213,$A$14:$A$1213,$H86))&gt;1),"",IFERROR(INDEX($E$14:$E$1213,MATCH($H86&amp;"|"&amp;_xlfn.MAXIFS($F$14:$F$1213,$A$14:$A$1213,$H86,$F$14:$F$1213,"&lt;"&amp;_xlfn.MAXIFS($F$14:$F$1213,$A$14:$A$1213,$H86)),$AB$14:$AB$1213,0)),""))</f>
        <v/>
      </c>
      <c r="AN86" s="27">
        <f>IF(OR(NOT(ISNUMBER($AJ86)),NOT(ISNUMBER($AL86)),$AK86=0,$AM86=0),"",IF(OR((($AJ86+$AL86)/($AK86+$AM86))&lt;=0,(($AJ86+$AL86)/($AK86+$AM86))&gt;=1),"",($AJ86/$AK86-$AL86/$AM86)/SQRT((($AJ86+$AL86)/($AK86+$AM86))*(1-(($AJ86+$AL86)/($AK86+$AM86)))*(1/$AK86+1/$AM86))))</f>
        <v/>
      </c>
      <c r="AO86" s="27">
        <f>IF($A86="","",IF(AND(COUNTIFS($A$14:$A$1213,$A86,$F$14:$F$1213,"&gt;=0")=2,IFERROR(INDEX($M$14:$M$313,MATCH($A86,$H$14:$H$313,0)),"Yes")&lt;&gt;"Yes"),1,0))</f>
        <v/>
      </c>
    </row>
    <row r="87" ht="24" customHeight="1">
      <c r="A87" s="19">
        <f>IF('Enter messages'!A87="","",'Enter messages'!A87)</f>
        <v/>
      </c>
      <c r="B87" s="20">
        <f>IF('Enter messages'!B87="","",'Enter messages'!B87)</f>
        <v/>
      </c>
      <c r="C87" s="21">
        <f>IFERROR(AVERAGE(P87:T87),"")</f>
        <v/>
      </c>
      <c r="D87" s="29" t="n"/>
      <c r="E87" s="29" t="n"/>
      <c r="F87" s="30">
        <f>IF(AND(ISNUMBER($D87),ISNUMBER($E87),$E87&gt;0,$D87&lt;=$E87),$D87/$E87,"")</f>
        <v/>
      </c>
      <c r="H87" s="19">
        <f>IFERROR(INDEX($A$14:$A$1213,MATCH(74,$AI$14:$AI$1213,0)),"")</f>
        <v/>
      </c>
      <c r="I87" s="24">
        <f>IF($H87="","",IF(COUNTIFS($A$14:$A$1213,$H87,$C$14:$C$1213,"&gt;=0")=0,"—",IFERROR(INDEX($B$14:$B$1213,MATCH($H87&amp;"|1",$Z$14:$Z$1213,0)),"(tied)")))</f>
        <v/>
      </c>
      <c r="J87" s="25">
        <f>IF($H87="","",IF(OR(COUNTIFS($A$14:$A$1213,$H87,$C$14:$C$1213,"&gt;=0")=0,COUNTIFS($A$14:$A$1213,$H87,$F$14:$F$1213,"&gt;=0")=0),"—",IF(OR(ISERROR(MATCH($H87&amp;"|1",$Z$14:$Z$1213,0)),ISERROR(MATCH($H87&amp;"|1",$AA$14:$AA$1213,0))),"Tie",IF(MATCH($H87&amp;"|1",$Z$14:$Z$1213,0)=MATCH($H87&amp;"|1",$AA$14:$AA$1213,0),"Hit","Miss"))))</f>
        <v/>
      </c>
      <c r="K87" s="24">
        <f>IF($H87="","",IF(COUNTIFS($A$14:$A$1213,$H87,$F$14:$F$1213,"&gt;=0")=0,"—",IFERROR(INDEX($B$14:$B$1213,MATCH($H87&amp;"|1",$AA$14:$AA$1213,0)),"(tied)")))</f>
        <v/>
      </c>
      <c r="L87" s="25">
        <f>IF($H87="","",IF((--(COUNTIFS($A$14:$A$1213,$H87,$P$14:$P$1213,"&gt;=0")&gt;0)+--(COUNTIFS($A$14:$A$1213,$H87,$Q$14:$Q$1213,"&gt;=0")&gt;0)+--(COUNTIFS($A$14:$A$1213,$H87,$R$14:$R$1213,"&gt;=0")&gt;0)+--(COUNTIFS($A$14:$A$1213,$H87,$S$14:$S$1213,"&gt;=0")&gt;0)+--(COUNTIFS($A$14:$A$1213,$H87,$T$14:$T$1213,"&gt;=0")&gt;0))&lt;2,"—",IF(SUMIFS($AH$14:$AH$1213,$A$14:$A$1213,$H87)=0,"Yes","No")))</f>
        <v/>
      </c>
      <c r="M87" s="25">
        <f>IF($H87="","",IF(COUNTIFS($A$14:$A$1213,$H87,$F$14:$F$1213,"&gt;=0")&lt;2,"—",IF(COUNTIFS($A$14:$A$1213,$H87,$F$14:$F$1213,_xlfn.MAXIFS($F$14:$F$1213,$A$14:$A$1213,$H87))&gt;1,"No",IF(NOT(ISNUMBER($AN87)),"—",IF((2*(1-NORMSDIST(ABS($AN87))))&lt;0.05,"Yes","No")))))</f>
        <v/>
      </c>
      <c r="N87" s="21">
        <f>IF($H87="","",IF(NOT(ISNUMBER($AN87)),"—",IF((2*(1-NORMSDIST(ABS($AN87))))&lt;0.001,"&lt;0.001",TEXT((2*(1-NORMSDIST(ABS($AN87)))),"0.000"))))</f>
        <v/>
      </c>
      <c r="P87" s="26" t="n"/>
      <c r="Q87" s="26" t="n"/>
      <c r="R87" s="26" t="n"/>
      <c r="S87" s="26" t="n"/>
      <c r="T87" s="26" t="n"/>
      <c r="V87" s="27">
        <f>IF(ISNUMBER($C87),COUNTIFS($A$14:$A$1213,$A87,$C$14:$C$1213,"&gt;"&amp;$C87)+(COUNTIFS($A$14:$A$1213,$A87,$C$14:$C$1213,"="&amp;$C87)+1)/2,"")</f>
        <v/>
      </c>
      <c r="W87" s="27">
        <f>IF(ISNUMBER($F87),COUNTIFS($A$14:$A$1213,$A87,$F$14:$F$1213,"&gt;"&amp;$F87)+(COUNTIFS($A$14:$A$1213,$A87,$F$14:$F$1213,"="&amp;$F87)+1)/2,"")</f>
        <v/>
      </c>
      <c r="X87" s="27">
        <f>IF(OR(NOT(ISNUMBER($V87)),$AO87=1),"",$V87-(COUNTIFS($A$14:$A$1213,$A87,$C$14:$C$1213,"&gt;=0")+1)/2)</f>
        <v/>
      </c>
      <c r="Y87" s="27">
        <f>IF(OR(NOT(ISNUMBER($W87)),$AO87=1),"",$W87-(COUNTIFS($A$14:$A$1213,$A87,$F$14:$F$1213,"&gt;=0")+1)/2)</f>
        <v/>
      </c>
      <c r="Z87" s="27">
        <f>IF(ISNUMBER($V87),$A87&amp;"|"&amp;$V87,"")</f>
        <v/>
      </c>
      <c r="AA87" s="27">
        <f>IF(ISNUMBER($W87),$A87&amp;"|"&amp;$W87,"")</f>
        <v/>
      </c>
      <c r="AB87" s="27">
        <f>IF(ISNUMBER($F87),$A87&amp;"|"&amp;$F87,"")</f>
        <v/>
      </c>
      <c r="AC87" s="27">
        <f>IF(ISNUMBER($P87),COUNTIFS($A$14:$A$1213,$A87,$P$14:$P$1213,"&gt;"&amp;$P87)+(COUNTIFS($A$14:$A$1213,$A87,$P$14:$P$1213,"="&amp;$P87)+1)/2,"")</f>
        <v/>
      </c>
      <c r="AD87" s="27">
        <f>IF(ISNUMBER($Q87),COUNTIFS($A$14:$A$1213,$A87,$Q$14:$Q$1213,"&gt;"&amp;$Q87)+(COUNTIFS($A$14:$A$1213,$A87,$Q$14:$Q$1213,"="&amp;$Q87)+1)/2,"")</f>
        <v/>
      </c>
      <c r="AE87" s="27">
        <f>IF(ISNUMBER($R87),COUNTIFS($A$14:$A$1213,$A87,$R$14:$R$1213,"&gt;"&amp;$R87)+(COUNTIFS($A$14:$A$1213,$A87,$R$14:$R$1213,"="&amp;$R87)+1)/2,"")</f>
        <v/>
      </c>
      <c r="AF87" s="27">
        <f>IF(ISNUMBER($S87),COUNTIFS($A$14:$A$1213,$A87,$S$14:$S$1213,"&gt;"&amp;$S87)+(COUNTIFS($A$14:$A$1213,$A87,$S$14:$S$1213,"="&amp;$S87)+1)/2,"")</f>
        <v/>
      </c>
      <c r="AG87" s="27">
        <f>IF(ISNUMBER($T87),COUNTIFS($A$14:$A$1213,$A87,$T$14:$T$1213,"&gt;"&amp;$T87)+(COUNTIFS($A$14:$A$1213,$A87,$T$14:$T$1213,"="&amp;$T87)+1)/2,"")</f>
        <v/>
      </c>
      <c r="AH87" s="27">
        <f>IF(COUNT($AC87:$AG87)&lt;2,"",IF(MAX($AC87:$AG87)=MIN($AC87:$AG87),0,1))</f>
        <v/>
      </c>
      <c r="AI87" s="27">
        <f>IF($A87="","",IF(COUNTIF($A$14:$A87,$A87)=1,COUNTIF($AI$13:AI86,"&gt;0")+1,""))</f>
        <v/>
      </c>
      <c r="AJ87" s="27">
        <f>IF(OR($H87="",COUNTIFS($A$14:$A$1213,$H87,$F$14:$F$1213,"&gt;=0")&lt;2,COUNTIFS($A$14:$A$1213,$H87,$F$14:$F$1213,_xlfn.MAXIFS($F$14:$F$1213,$A$14:$A$1213,$H87))&gt;1),"",IFERROR(INDEX($D$14:$D$1213,MATCH($H87&amp;"|"&amp;_xlfn.MAXIFS($F$14:$F$1213,$A$14:$A$1213,$H87),$AB$14:$AB$1213,0)),""))</f>
        <v/>
      </c>
      <c r="AK87" s="27">
        <f>IF(OR($H87="",COUNTIFS($A$14:$A$1213,$H87,$F$14:$F$1213,"&gt;=0")&lt;2,COUNTIFS($A$14:$A$1213,$H87,$F$14:$F$1213,_xlfn.MAXIFS($F$14:$F$1213,$A$14:$A$1213,$H87))&gt;1),"",IFERROR(INDEX($E$14:$E$1213,MATCH($H87&amp;"|"&amp;_xlfn.MAXIFS($F$14:$F$1213,$A$14:$A$1213,$H87),$AB$14:$AB$1213,0)),""))</f>
        <v/>
      </c>
      <c r="AL87" s="27">
        <f>IF(OR($H87="",COUNTIFS($A$14:$A$1213,$H87,$F$14:$F$1213,"&gt;=0")&lt;2,COUNTIFS($A$14:$A$1213,$H87,$F$14:$F$1213,_xlfn.MAXIFS($F$14:$F$1213,$A$14:$A$1213,$H87))&gt;1),"",IFERROR(INDEX($D$14:$D$1213,MATCH($H87&amp;"|"&amp;_xlfn.MAXIFS($F$14:$F$1213,$A$14:$A$1213,$H87,$F$14:$F$1213,"&lt;"&amp;_xlfn.MAXIFS($F$14:$F$1213,$A$14:$A$1213,$H87)),$AB$14:$AB$1213,0)),""))</f>
        <v/>
      </c>
      <c r="AM87" s="27">
        <f>IF(OR($H87="",COUNTIFS($A$14:$A$1213,$H87,$F$14:$F$1213,"&gt;=0")&lt;2,COUNTIFS($A$14:$A$1213,$H87,$F$14:$F$1213,_xlfn.MAXIFS($F$14:$F$1213,$A$14:$A$1213,$H87))&gt;1),"",IFERROR(INDEX($E$14:$E$1213,MATCH($H87&amp;"|"&amp;_xlfn.MAXIFS($F$14:$F$1213,$A$14:$A$1213,$H87,$F$14:$F$1213,"&lt;"&amp;_xlfn.MAXIFS($F$14:$F$1213,$A$14:$A$1213,$H87)),$AB$14:$AB$1213,0)),""))</f>
        <v/>
      </c>
      <c r="AN87" s="27">
        <f>IF(OR(NOT(ISNUMBER($AJ87)),NOT(ISNUMBER($AL87)),$AK87=0,$AM87=0),"",IF(OR((($AJ87+$AL87)/($AK87+$AM87))&lt;=0,(($AJ87+$AL87)/($AK87+$AM87))&gt;=1),"",($AJ87/$AK87-$AL87/$AM87)/SQRT((($AJ87+$AL87)/($AK87+$AM87))*(1-(($AJ87+$AL87)/($AK87+$AM87)))*(1/$AK87+1/$AM87))))</f>
        <v/>
      </c>
      <c r="AO87" s="27">
        <f>IF($A87="","",IF(AND(COUNTIFS($A$14:$A$1213,$A87,$F$14:$F$1213,"&gt;=0")=2,IFERROR(INDEX($M$14:$M$313,MATCH($A87,$H$14:$H$313,0)),"Yes")&lt;&gt;"Yes"),1,0))</f>
        <v/>
      </c>
    </row>
    <row r="88" ht="24" customHeight="1">
      <c r="A88" s="19">
        <f>IF('Enter messages'!A88="","",'Enter messages'!A88)</f>
        <v/>
      </c>
      <c r="B88" s="20">
        <f>IF('Enter messages'!B88="","",'Enter messages'!B88)</f>
        <v/>
      </c>
      <c r="C88" s="21">
        <f>IFERROR(AVERAGE(P88:T88),"")</f>
        <v/>
      </c>
      <c r="D88" s="29" t="n"/>
      <c r="E88" s="29" t="n"/>
      <c r="F88" s="30">
        <f>IF(AND(ISNUMBER($D88),ISNUMBER($E88),$E88&gt;0,$D88&lt;=$E88),$D88/$E88,"")</f>
        <v/>
      </c>
      <c r="H88" s="19">
        <f>IFERROR(INDEX($A$14:$A$1213,MATCH(75,$AI$14:$AI$1213,0)),"")</f>
        <v/>
      </c>
      <c r="I88" s="24">
        <f>IF($H88="","",IF(COUNTIFS($A$14:$A$1213,$H88,$C$14:$C$1213,"&gt;=0")=0,"—",IFERROR(INDEX($B$14:$B$1213,MATCH($H88&amp;"|1",$Z$14:$Z$1213,0)),"(tied)")))</f>
        <v/>
      </c>
      <c r="J88" s="25">
        <f>IF($H88="","",IF(OR(COUNTIFS($A$14:$A$1213,$H88,$C$14:$C$1213,"&gt;=0")=0,COUNTIFS($A$14:$A$1213,$H88,$F$14:$F$1213,"&gt;=0")=0),"—",IF(OR(ISERROR(MATCH($H88&amp;"|1",$Z$14:$Z$1213,0)),ISERROR(MATCH($H88&amp;"|1",$AA$14:$AA$1213,0))),"Tie",IF(MATCH($H88&amp;"|1",$Z$14:$Z$1213,0)=MATCH($H88&amp;"|1",$AA$14:$AA$1213,0),"Hit","Miss"))))</f>
        <v/>
      </c>
      <c r="K88" s="24">
        <f>IF($H88="","",IF(COUNTIFS($A$14:$A$1213,$H88,$F$14:$F$1213,"&gt;=0")=0,"—",IFERROR(INDEX($B$14:$B$1213,MATCH($H88&amp;"|1",$AA$14:$AA$1213,0)),"(tied)")))</f>
        <v/>
      </c>
      <c r="L88" s="25">
        <f>IF($H88="","",IF((--(COUNTIFS($A$14:$A$1213,$H88,$P$14:$P$1213,"&gt;=0")&gt;0)+--(COUNTIFS($A$14:$A$1213,$H88,$Q$14:$Q$1213,"&gt;=0")&gt;0)+--(COUNTIFS($A$14:$A$1213,$H88,$R$14:$R$1213,"&gt;=0")&gt;0)+--(COUNTIFS($A$14:$A$1213,$H88,$S$14:$S$1213,"&gt;=0")&gt;0)+--(COUNTIFS($A$14:$A$1213,$H88,$T$14:$T$1213,"&gt;=0")&gt;0))&lt;2,"—",IF(SUMIFS($AH$14:$AH$1213,$A$14:$A$1213,$H88)=0,"Yes","No")))</f>
        <v/>
      </c>
      <c r="M88" s="25">
        <f>IF($H88="","",IF(COUNTIFS($A$14:$A$1213,$H88,$F$14:$F$1213,"&gt;=0")&lt;2,"—",IF(COUNTIFS($A$14:$A$1213,$H88,$F$14:$F$1213,_xlfn.MAXIFS($F$14:$F$1213,$A$14:$A$1213,$H88))&gt;1,"No",IF(NOT(ISNUMBER($AN88)),"—",IF((2*(1-NORMSDIST(ABS($AN88))))&lt;0.05,"Yes","No")))))</f>
        <v/>
      </c>
      <c r="N88" s="21">
        <f>IF($H88="","",IF(NOT(ISNUMBER($AN88)),"—",IF((2*(1-NORMSDIST(ABS($AN88))))&lt;0.001,"&lt;0.001",TEXT((2*(1-NORMSDIST(ABS($AN88)))),"0.000"))))</f>
        <v/>
      </c>
      <c r="P88" s="26" t="n"/>
      <c r="Q88" s="26" t="n"/>
      <c r="R88" s="26" t="n"/>
      <c r="S88" s="26" t="n"/>
      <c r="T88" s="26" t="n"/>
      <c r="V88" s="27">
        <f>IF(ISNUMBER($C88),COUNTIFS($A$14:$A$1213,$A88,$C$14:$C$1213,"&gt;"&amp;$C88)+(COUNTIFS($A$14:$A$1213,$A88,$C$14:$C$1213,"="&amp;$C88)+1)/2,"")</f>
        <v/>
      </c>
      <c r="W88" s="27">
        <f>IF(ISNUMBER($F88),COUNTIFS($A$14:$A$1213,$A88,$F$14:$F$1213,"&gt;"&amp;$F88)+(COUNTIFS($A$14:$A$1213,$A88,$F$14:$F$1213,"="&amp;$F88)+1)/2,"")</f>
        <v/>
      </c>
      <c r="X88" s="27">
        <f>IF(OR(NOT(ISNUMBER($V88)),$AO88=1),"",$V88-(COUNTIFS($A$14:$A$1213,$A88,$C$14:$C$1213,"&gt;=0")+1)/2)</f>
        <v/>
      </c>
      <c r="Y88" s="27">
        <f>IF(OR(NOT(ISNUMBER($W88)),$AO88=1),"",$W88-(COUNTIFS($A$14:$A$1213,$A88,$F$14:$F$1213,"&gt;=0")+1)/2)</f>
        <v/>
      </c>
      <c r="Z88" s="27">
        <f>IF(ISNUMBER($V88),$A88&amp;"|"&amp;$V88,"")</f>
        <v/>
      </c>
      <c r="AA88" s="27">
        <f>IF(ISNUMBER($W88),$A88&amp;"|"&amp;$W88,"")</f>
        <v/>
      </c>
      <c r="AB88" s="27">
        <f>IF(ISNUMBER($F88),$A88&amp;"|"&amp;$F88,"")</f>
        <v/>
      </c>
      <c r="AC88" s="27">
        <f>IF(ISNUMBER($P88),COUNTIFS($A$14:$A$1213,$A88,$P$14:$P$1213,"&gt;"&amp;$P88)+(COUNTIFS($A$14:$A$1213,$A88,$P$14:$P$1213,"="&amp;$P88)+1)/2,"")</f>
        <v/>
      </c>
      <c r="AD88" s="27">
        <f>IF(ISNUMBER($Q88),COUNTIFS($A$14:$A$1213,$A88,$Q$14:$Q$1213,"&gt;"&amp;$Q88)+(COUNTIFS($A$14:$A$1213,$A88,$Q$14:$Q$1213,"="&amp;$Q88)+1)/2,"")</f>
        <v/>
      </c>
      <c r="AE88" s="27">
        <f>IF(ISNUMBER($R88),COUNTIFS($A$14:$A$1213,$A88,$R$14:$R$1213,"&gt;"&amp;$R88)+(COUNTIFS($A$14:$A$1213,$A88,$R$14:$R$1213,"="&amp;$R88)+1)/2,"")</f>
        <v/>
      </c>
      <c r="AF88" s="27">
        <f>IF(ISNUMBER($S88),COUNTIFS($A$14:$A$1213,$A88,$S$14:$S$1213,"&gt;"&amp;$S88)+(COUNTIFS($A$14:$A$1213,$A88,$S$14:$S$1213,"="&amp;$S88)+1)/2,"")</f>
        <v/>
      </c>
      <c r="AG88" s="27">
        <f>IF(ISNUMBER($T88),COUNTIFS($A$14:$A$1213,$A88,$T$14:$T$1213,"&gt;"&amp;$T88)+(COUNTIFS($A$14:$A$1213,$A88,$T$14:$T$1213,"="&amp;$T88)+1)/2,"")</f>
        <v/>
      </c>
      <c r="AH88" s="27">
        <f>IF(COUNT($AC88:$AG88)&lt;2,"",IF(MAX($AC88:$AG88)=MIN($AC88:$AG88),0,1))</f>
        <v/>
      </c>
      <c r="AI88" s="27">
        <f>IF($A88="","",IF(COUNTIF($A$14:$A88,$A88)=1,COUNTIF($AI$13:AI87,"&gt;0")+1,""))</f>
        <v/>
      </c>
      <c r="AJ88" s="27">
        <f>IF(OR($H88="",COUNTIFS($A$14:$A$1213,$H88,$F$14:$F$1213,"&gt;=0")&lt;2,COUNTIFS($A$14:$A$1213,$H88,$F$14:$F$1213,_xlfn.MAXIFS($F$14:$F$1213,$A$14:$A$1213,$H88))&gt;1),"",IFERROR(INDEX($D$14:$D$1213,MATCH($H88&amp;"|"&amp;_xlfn.MAXIFS($F$14:$F$1213,$A$14:$A$1213,$H88),$AB$14:$AB$1213,0)),""))</f>
        <v/>
      </c>
      <c r="AK88" s="27">
        <f>IF(OR($H88="",COUNTIFS($A$14:$A$1213,$H88,$F$14:$F$1213,"&gt;=0")&lt;2,COUNTIFS($A$14:$A$1213,$H88,$F$14:$F$1213,_xlfn.MAXIFS($F$14:$F$1213,$A$14:$A$1213,$H88))&gt;1),"",IFERROR(INDEX($E$14:$E$1213,MATCH($H88&amp;"|"&amp;_xlfn.MAXIFS($F$14:$F$1213,$A$14:$A$1213,$H88),$AB$14:$AB$1213,0)),""))</f>
        <v/>
      </c>
      <c r="AL88" s="27">
        <f>IF(OR($H88="",COUNTIFS($A$14:$A$1213,$H88,$F$14:$F$1213,"&gt;=0")&lt;2,COUNTIFS($A$14:$A$1213,$H88,$F$14:$F$1213,_xlfn.MAXIFS($F$14:$F$1213,$A$14:$A$1213,$H88))&gt;1),"",IFERROR(INDEX($D$14:$D$1213,MATCH($H88&amp;"|"&amp;_xlfn.MAXIFS($F$14:$F$1213,$A$14:$A$1213,$H88,$F$14:$F$1213,"&lt;"&amp;_xlfn.MAXIFS($F$14:$F$1213,$A$14:$A$1213,$H88)),$AB$14:$AB$1213,0)),""))</f>
        <v/>
      </c>
      <c r="AM88" s="27">
        <f>IF(OR($H88="",COUNTIFS($A$14:$A$1213,$H88,$F$14:$F$1213,"&gt;=0")&lt;2,COUNTIFS($A$14:$A$1213,$H88,$F$14:$F$1213,_xlfn.MAXIFS($F$14:$F$1213,$A$14:$A$1213,$H88))&gt;1),"",IFERROR(INDEX($E$14:$E$1213,MATCH($H88&amp;"|"&amp;_xlfn.MAXIFS($F$14:$F$1213,$A$14:$A$1213,$H88,$F$14:$F$1213,"&lt;"&amp;_xlfn.MAXIFS($F$14:$F$1213,$A$14:$A$1213,$H88)),$AB$14:$AB$1213,0)),""))</f>
        <v/>
      </c>
      <c r="AN88" s="27">
        <f>IF(OR(NOT(ISNUMBER($AJ88)),NOT(ISNUMBER($AL88)),$AK88=0,$AM88=0),"",IF(OR((($AJ88+$AL88)/($AK88+$AM88))&lt;=0,(($AJ88+$AL88)/($AK88+$AM88))&gt;=1),"",($AJ88/$AK88-$AL88/$AM88)/SQRT((($AJ88+$AL88)/($AK88+$AM88))*(1-(($AJ88+$AL88)/($AK88+$AM88)))*(1/$AK88+1/$AM88))))</f>
        <v/>
      </c>
      <c r="AO88" s="27">
        <f>IF($A88="","",IF(AND(COUNTIFS($A$14:$A$1213,$A88,$F$14:$F$1213,"&gt;=0")=2,IFERROR(INDEX($M$14:$M$313,MATCH($A88,$H$14:$H$313,0)),"Yes")&lt;&gt;"Yes"),1,0))</f>
        <v/>
      </c>
    </row>
    <row r="89" ht="24" customHeight="1">
      <c r="A89" s="19">
        <f>IF('Enter messages'!A89="","",'Enter messages'!A89)</f>
        <v/>
      </c>
      <c r="B89" s="20">
        <f>IF('Enter messages'!B89="","",'Enter messages'!B89)</f>
        <v/>
      </c>
      <c r="C89" s="21">
        <f>IFERROR(AVERAGE(P89:T89),"")</f>
        <v/>
      </c>
      <c r="D89" s="29" t="n"/>
      <c r="E89" s="29" t="n"/>
      <c r="F89" s="30">
        <f>IF(AND(ISNUMBER($D89),ISNUMBER($E89),$E89&gt;0,$D89&lt;=$E89),$D89/$E89,"")</f>
        <v/>
      </c>
      <c r="H89" s="19">
        <f>IFERROR(INDEX($A$14:$A$1213,MATCH(76,$AI$14:$AI$1213,0)),"")</f>
        <v/>
      </c>
      <c r="I89" s="24">
        <f>IF($H89="","",IF(COUNTIFS($A$14:$A$1213,$H89,$C$14:$C$1213,"&gt;=0")=0,"—",IFERROR(INDEX($B$14:$B$1213,MATCH($H89&amp;"|1",$Z$14:$Z$1213,0)),"(tied)")))</f>
        <v/>
      </c>
      <c r="J89" s="25">
        <f>IF($H89="","",IF(OR(COUNTIFS($A$14:$A$1213,$H89,$C$14:$C$1213,"&gt;=0")=0,COUNTIFS($A$14:$A$1213,$H89,$F$14:$F$1213,"&gt;=0")=0),"—",IF(OR(ISERROR(MATCH($H89&amp;"|1",$Z$14:$Z$1213,0)),ISERROR(MATCH($H89&amp;"|1",$AA$14:$AA$1213,0))),"Tie",IF(MATCH($H89&amp;"|1",$Z$14:$Z$1213,0)=MATCH($H89&amp;"|1",$AA$14:$AA$1213,0),"Hit","Miss"))))</f>
        <v/>
      </c>
      <c r="K89" s="24">
        <f>IF($H89="","",IF(COUNTIFS($A$14:$A$1213,$H89,$F$14:$F$1213,"&gt;=0")=0,"—",IFERROR(INDEX($B$14:$B$1213,MATCH($H89&amp;"|1",$AA$14:$AA$1213,0)),"(tied)")))</f>
        <v/>
      </c>
      <c r="L89" s="25">
        <f>IF($H89="","",IF((--(COUNTIFS($A$14:$A$1213,$H89,$P$14:$P$1213,"&gt;=0")&gt;0)+--(COUNTIFS($A$14:$A$1213,$H89,$Q$14:$Q$1213,"&gt;=0")&gt;0)+--(COUNTIFS($A$14:$A$1213,$H89,$R$14:$R$1213,"&gt;=0")&gt;0)+--(COUNTIFS($A$14:$A$1213,$H89,$S$14:$S$1213,"&gt;=0")&gt;0)+--(COUNTIFS($A$14:$A$1213,$H89,$T$14:$T$1213,"&gt;=0")&gt;0))&lt;2,"—",IF(SUMIFS($AH$14:$AH$1213,$A$14:$A$1213,$H89)=0,"Yes","No")))</f>
        <v/>
      </c>
      <c r="M89" s="25">
        <f>IF($H89="","",IF(COUNTIFS($A$14:$A$1213,$H89,$F$14:$F$1213,"&gt;=0")&lt;2,"—",IF(COUNTIFS($A$14:$A$1213,$H89,$F$14:$F$1213,_xlfn.MAXIFS($F$14:$F$1213,$A$14:$A$1213,$H89))&gt;1,"No",IF(NOT(ISNUMBER($AN89)),"—",IF((2*(1-NORMSDIST(ABS($AN89))))&lt;0.05,"Yes","No")))))</f>
        <v/>
      </c>
      <c r="N89" s="21">
        <f>IF($H89="","",IF(NOT(ISNUMBER($AN89)),"—",IF((2*(1-NORMSDIST(ABS($AN89))))&lt;0.001,"&lt;0.001",TEXT((2*(1-NORMSDIST(ABS($AN89)))),"0.000"))))</f>
        <v/>
      </c>
      <c r="P89" s="26" t="n"/>
      <c r="Q89" s="26" t="n"/>
      <c r="R89" s="26" t="n"/>
      <c r="S89" s="26" t="n"/>
      <c r="T89" s="26" t="n"/>
      <c r="V89" s="27">
        <f>IF(ISNUMBER($C89),COUNTIFS($A$14:$A$1213,$A89,$C$14:$C$1213,"&gt;"&amp;$C89)+(COUNTIFS($A$14:$A$1213,$A89,$C$14:$C$1213,"="&amp;$C89)+1)/2,"")</f>
        <v/>
      </c>
      <c r="W89" s="27">
        <f>IF(ISNUMBER($F89),COUNTIFS($A$14:$A$1213,$A89,$F$14:$F$1213,"&gt;"&amp;$F89)+(COUNTIFS($A$14:$A$1213,$A89,$F$14:$F$1213,"="&amp;$F89)+1)/2,"")</f>
        <v/>
      </c>
      <c r="X89" s="27">
        <f>IF(OR(NOT(ISNUMBER($V89)),$AO89=1),"",$V89-(COUNTIFS($A$14:$A$1213,$A89,$C$14:$C$1213,"&gt;=0")+1)/2)</f>
        <v/>
      </c>
      <c r="Y89" s="27">
        <f>IF(OR(NOT(ISNUMBER($W89)),$AO89=1),"",$W89-(COUNTIFS($A$14:$A$1213,$A89,$F$14:$F$1213,"&gt;=0")+1)/2)</f>
        <v/>
      </c>
      <c r="Z89" s="27">
        <f>IF(ISNUMBER($V89),$A89&amp;"|"&amp;$V89,"")</f>
        <v/>
      </c>
      <c r="AA89" s="27">
        <f>IF(ISNUMBER($W89),$A89&amp;"|"&amp;$W89,"")</f>
        <v/>
      </c>
      <c r="AB89" s="27">
        <f>IF(ISNUMBER($F89),$A89&amp;"|"&amp;$F89,"")</f>
        <v/>
      </c>
      <c r="AC89" s="27">
        <f>IF(ISNUMBER($P89),COUNTIFS($A$14:$A$1213,$A89,$P$14:$P$1213,"&gt;"&amp;$P89)+(COUNTIFS($A$14:$A$1213,$A89,$P$14:$P$1213,"="&amp;$P89)+1)/2,"")</f>
        <v/>
      </c>
      <c r="AD89" s="27">
        <f>IF(ISNUMBER($Q89),COUNTIFS($A$14:$A$1213,$A89,$Q$14:$Q$1213,"&gt;"&amp;$Q89)+(COUNTIFS($A$14:$A$1213,$A89,$Q$14:$Q$1213,"="&amp;$Q89)+1)/2,"")</f>
        <v/>
      </c>
      <c r="AE89" s="27">
        <f>IF(ISNUMBER($R89),COUNTIFS($A$14:$A$1213,$A89,$R$14:$R$1213,"&gt;"&amp;$R89)+(COUNTIFS($A$14:$A$1213,$A89,$R$14:$R$1213,"="&amp;$R89)+1)/2,"")</f>
        <v/>
      </c>
      <c r="AF89" s="27">
        <f>IF(ISNUMBER($S89),COUNTIFS($A$14:$A$1213,$A89,$S$14:$S$1213,"&gt;"&amp;$S89)+(COUNTIFS($A$14:$A$1213,$A89,$S$14:$S$1213,"="&amp;$S89)+1)/2,"")</f>
        <v/>
      </c>
      <c r="AG89" s="27">
        <f>IF(ISNUMBER($T89),COUNTIFS($A$14:$A$1213,$A89,$T$14:$T$1213,"&gt;"&amp;$T89)+(COUNTIFS($A$14:$A$1213,$A89,$T$14:$T$1213,"="&amp;$T89)+1)/2,"")</f>
        <v/>
      </c>
      <c r="AH89" s="27">
        <f>IF(COUNT($AC89:$AG89)&lt;2,"",IF(MAX($AC89:$AG89)=MIN($AC89:$AG89),0,1))</f>
        <v/>
      </c>
      <c r="AI89" s="27">
        <f>IF($A89="","",IF(COUNTIF($A$14:$A89,$A89)=1,COUNTIF($AI$13:AI88,"&gt;0")+1,""))</f>
        <v/>
      </c>
      <c r="AJ89" s="27">
        <f>IF(OR($H89="",COUNTIFS($A$14:$A$1213,$H89,$F$14:$F$1213,"&gt;=0")&lt;2,COUNTIFS($A$14:$A$1213,$H89,$F$14:$F$1213,_xlfn.MAXIFS($F$14:$F$1213,$A$14:$A$1213,$H89))&gt;1),"",IFERROR(INDEX($D$14:$D$1213,MATCH($H89&amp;"|"&amp;_xlfn.MAXIFS($F$14:$F$1213,$A$14:$A$1213,$H89),$AB$14:$AB$1213,0)),""))</f>
        <v/>
      </c>
      <c r="AK89" s="27">
        <f>IF(OR($H89="",COUNTIFS($A$14:$A$1213,$H89,$F$14:$F$1213,"&gt;=0")&lt;2,COUNTIFS($A$14:$A$1213,$H89,$F$14:$F$1213,_xlfn.MAXIFS($F$14:$F$1213,$A$14:$A$1213,$H89))&gt;1),"",IFERROR(INDEX($E$14:$E$1213,MATCH($H89&amp;"|"&amp;_xlfn.MAXIFS($F$14:$F$1213,$A$14:$A$1213,$H89),$AB$14:$AB$1213,0)),""))</f>
        <v/>
      </c>
      <c r="AL89" s="27">
        <f>IF(OR($H89="",COUNTIFS($A$14:$A$1213,$H89,$F$14:$F$1213,"&gt;=0")&lt;2,COUNTIFS($A$14:$A$1213,$H89,$F$14:$F$1213,_xlfn.MAXIFS($F$14:$F$1213,$A$14:$A$1213,$H89))&gt;1),"",IFERROR(INDEX($D$14:$D$1213,MATCH($H89&amp;"|"&amp;_xlfn.MAXIFS($F$14:$F$1213,$A$14:$A$1213,$H89,$F$14:$F$1213,"&lt;"&amp;_xlfn.MAXIFS($F$14:$F$1213,$A$14:$A$1213,$H89)),$AB$14:$AB$1213,0)),""))</f>
        <v/>
      </c>
      <c r="AM89" s="27">
        <f>IF(OR($H89="",COUNTIFS($A$14:$A$1213,$H89,$F$14:$F$1213,"&gt;=0")&lt;2,COUNTIFS($A$14:$A$1213,$H89,$F$14:$F$1213,_xlfn.MAXIFS($F$14:$F$1213,$A$14:$A$1213,$H89))&gt;1),"",IFERROR(INDEX($E$14:$E$1213,MATCH($H89&amp;"|"&amp;_xlfn.MAXIFS($F$14:$F$1213,$A$14:$A$1213,$H89,$F$14:$F$1213,"&lt;"&amp;_xlfn.MAXIFS($F$14:$F$1213,$A$14:$A$1213,$H89)),$AB$14:$AB$1213,0)),""))</f>
        <v/>
      </c>
      <c r="AN89" s="27">
        <f>IF(OR(NOT(ISNUMBER($AJ89)),NOT(ISNUMBER($AL89)),$AK89=0,$AM89=0),"",IF(OR((($AJ89+$AL89)/($AK89+$AM89))&lt;=0,(($AJ89+$AL89)/($AK89+$AM89))&gt;=1),"",($AJ89/$AK89-$AL89/$AM89)/SQRT((($AJ89+$AL89)/($AK89+$AM89))*(1-(($AJ89+$AL89)/($AK89+$AM89)))*(1/$AK89+1/$AM89))))</f>
        <v/>
      </c>
      <c r="AO89" s="27">
        <f>IF($A89="","",IF(AND(COUNTIFS($A$14:$A$1213,$A89,$F$14:$F$1213,"&gt;=0")=2,IFERROR(INDEX($M$14:$M$313,MATCH($A89,$H$14:$H$313,0)),"Yes")&lt;&gt;"Yes"),1,0))</f>
        <v/>
      </c>
    </row>
    <row r="90" ht="24" customHeight="1">
      <c r="A90" s="19">
        <f>IF('Enter messages'!A90="","",'Enter messages'!A90)</f>
        <v/>
      </c>
      <c r="B90" s="20">
        <f>IF('Enter messages'!B90="","",'Enter messages'!B90)</f>
        <v/>
      </c>
      <c r="C90" s="21">
        <f>IFERROR(AVERAGE(P90:T90),"")</f>
        <v/>
      </c>
      <c r="D90" s="29" t="n"/>
      <c r="E90" s="29" t="n"/>
      <c r="F90" s="30">
        <f>IF(AND(ISNUMBER($D90),ISNUMBER($E90),$E90&gt;0,$D90&lt;=$E90),$D90/$E90,"")</f>
        <v/>
      </c>
      <c r="H90" s="19">
        <f>IFERROR(INDEX($A$14:$A$1213,MATCH(77,$AI$14:$AI$1213,0)),"")</f>
        <v/>
      </c>
      <c r="I90" s="24">
        <f>IF($H90="","",IF(COUNTIFS($A$14:$A$1213,$H90,$C$14:$C$1213,"&gt;=0")=0,"—",IFERROR(INDEX($B$14:$B$1213,MATCH($H90&amp;"|1",$Z$14:$Z$1213,0)),"(tied)")))</f>
        <v/>
      </c>
      <c r="J90" s="25">
        <f>IF($H90="","",IF(OR(COUNTIFS($A$14:$A$1213,$H90,$C$14:$C$1213,"&gt;=0")=0,COUNTIFS($A$14:$A$1213,$H90,$F$14:$F$1213,"&gt;=0")=0),"—",IF(OR(ISERROR(MATCH($H90&amp;"|1",$Z$14:$Z$1213,0)),ISERROR(MATCH($H90&amp;"|1",$AA$14:$AA$1213,0))),"Tie",IF(MATCH($H90&amp;"|1",$Z$14:$Z$1213,0)=MATCH($H90&amp;"|1",$AA$14:$AA$1213,0),"Hit","Miss"))))</f>
        <v/>
      </c>
      <c r="K90" s="24">
        <f>IF($H90="","",IF(COUNTIFS($A$14:$A$1213,$H90,$F$14:$F$1213,"&gt;=0")=0,"—",IFERROR(INDEX($B$14:$B$1213,MATCH($H90&amp;"|1",$AA$14:$AA$1213,0)),"(tied)")))</f>
        <v/>
      </c>
      <c r="L90" s="25">
        <f>IF($H90="","",IF((--(COUNTIFS($A$14:$A$1213,$H90,$P$14:$P$1213,"&gt;=0")&gt;0)+--(COUNTIFS($A$14:$A$1213,$H90,$Q$14:$Q$1213,"&gt;=0")&gt;0)+--(COUNTIFS($A$14:$A$1213,$H90,$R$14:$R$1213,"&gt;=0")&gt;0)+--(COUNTIFS($A$14:$A$1213,$H90,$S$14:$S$1213,"&gt;=0")&gt;0)+--(COUNTIFS($A$14:$A$1213,$H90,$T$14:$T$1213,"&gt;=0")&gt;0))&lt;2,"—",IF(SUMIFS($AH$14:$AH$1213,$A$14:$A$1213,$H90)=0,"Yes","No")))</f>
        <v/>
      </c>
      <c r="M90" s="25">
        <f>IF($H90="","",IF(COUNTIFS($A$14:$A$1213,$H90,$F$14:$F$1213,"&gt;=0")&lt;2,"—",IF(COUNTIFS($A$14:$A$1213,$H90,$F$14:$F$1213,_xlfn.MAXIFS($F$14:$F$1213,$A$14:$A$1213,$H90))&gt;1,"No",IF(NOT(ISNUMBER($AN90)),"—",IF((2*(1-NORMSDIST(ABS($AN90))))&lt;0.05,"Yes","No")))))</f>
        <v/>
      </c>
      <c r="N90" s="21">
        <f>IF($H90="","",IF(NOT(ISNUMBER($AN90)),"—",IF((2*(1-NORMSDIST(ABS($AN90))))&lt;0.001,"&lt;0.001",TEXT((2*(1-NORMSDIST(ABS($AN90)))),"0.000"))))</f>
        <v/>
      </c>
      <c r="P90" s="26" t="n"/>
      <c r="Q90" s="26" t="n"/>
      <c r="R90" s="26" t="n"/>
      <c r="S90" s="26" t="n"/>
      <c r="T90" s="26" t="n"/>
      <c r="V90" s="27">
        <f>IF(ISNUMBER($C90),COUNTIFS($A$14:$A$1213,$A90,$C$14:$C$1213,"&gt;"&amp;$C90)+(COUNTIFS($A$14:$A$1213,$A90,$C$14:$C$1213,"="&amp;$C90)+1)/2,"")</f>
        <v/>
      </c>
      <c r="W90" s="27">
        <f>IF(ISNUMBER($F90),COUNTIFS($A$14:$A$1213,$A90,$F$14:$F$1213,"&gt;"&amp;$F90)+(COUNTIFS($A$14:$A$1213,$A90,$F$14:$F$1213,"="&amp;$F90)+1)/2,"")</f>
        <v/>
      </c>
      <c r="X90" s="27">
        <f>IF(OR(NOT(ISNUMBER($V90)),$AO90=1),"",$V90-(COUNTIFS($A$14:$A$1213,$A90,$C$14:$C$1213,"&gt;=0")+1)/2)</f>
        <v/>
      </c>
      <c r="Y90" s="27">
        <f>IF(OR(NOT(ISNUMBER($W90)),$AO90=1),"",$W90-(COUNTIFS($A$14:$A$1213,$A90,$F$14:$F$1213,"&gt;=0")+1)/2)</f>
        <v/>
      </c>
      <c r="Z90" s="27">
        <f>IF(ISNUMBER($V90),$A90&amp;"|"&amp;$V90,"")</f>
        <v/>
      </c>
      <c r="AA90" s="27">
        <f>IF(ISNUMBER($W90),$A90&amp;"|"&amp;$W90,"")</f>
        <v/>
      </c>
      <c r="AB90" s="27">
        <f>IF(ISNUMBER($F90),$A90&amp;"|"&amp;$F90,"")</f>
        <v/>
      </c>
      <c r="AC90" s="27">
        <f>IF(ISNUMBER($P90),COUNTIFS($A$14:$A$1213,$A90,$P$14:$P$1213,"&gt;"&amp;$P90)+(COUNTIFS($A$14:$A$1213,$A90,$P$14:$P$1213,"="&amp;$P90)+1)/2,"")</f>
        <v/>
      </c>
      <c r="AD90" s="27">
        <f>IF(ISNUMBER($Q90),COUNTIFS($A$14:$A$1213,$A90,$Q$14:$Q$1213,"&gt;"&amp;$Q90)+(COUNTIFS($A$14:$A$1213,$A90,$Q$14:$Q$1213,"="&amp;$Q90)+1)/2,"")</f>
        <v/>
      </c>
      <c r="AE90" s="27">
        <f>IF(ISNUMBER($R90),COUNTIFS($A$14:$A$1213,$A90,$R$14:$R$1213,"&gt;"&amp;$R90)+(COUNTIFS($A$14:$A$1213,$A90,$R$14:$R$1213,"="&amp;$R90)+1)/2,"")</f>
        <v/>
      </c>
      <c r="AF90" s="27">
        <f>IF(ISNUMBER($S90),COUNTIFS($A$14:$A$1213,$A90,$S$14:$S$1213,"&gt;"&amp;$S90)+(COUNTIFS($A$14:$A$1213,$A90,$S$14:$S$1213,"="&amp;$S90)+1)/2,"")</f>
        <v/>
      </c>
      <c r="AG90" s="27">
        <f>IF(ISNUMBER($T90),COUNTIFS($A$14:$A$1213,$A90,$T$14:$T$1213,"&gt;"&amp;$T90)+(COUNTIFS($A$14:$A$1213,$A90,$T$14:$T$1213,"="&amp;$T90)+1)/2,"")</f>
        <v/>
      </c>
      <c r="AH90" s="27">
        <f>IF(COUNT($AC90:$AG90)&lt;2,"",IF(MAX($AC90:$AG90)=MIN($AC90:$AG90),0,1))</f>
        <v/>
      </c>
      <c r="AI90" s="27">
        <f>IF($A90="","",IF(COUNTIF($A$14:$A90,$A90)=1,COUNTIF($AI$13:AI89,"&gt;0")+1,""))</f>
        <v/>
      </c>
      <c r="AJ90" s="27">
        <f>IF(OR($H90="",COUNTIFS($A$14:$A$1213,$H90,$F$14:$F$1213,"&gt;=0")&lt;2,COUNTIFS($A$14:$A$1213,$H90,$F$14:$F$1213,_xlfn.MAXIFS($F$14:$F$1213,$A$14:$A$1213,$H90))&gt;1),"",IFERROR(INDEX($D$14:$D$1213,MATCH($H90&amp;"|"&amp;_xlfn.MAXIFS($F$14:$F$1213,$A$14:$A$1213,$H90),$AB$14:$AB$1213,0)),""))</f>
        <v/>
      </c>
      <c r="AK90" s="27">
        <f>IF(OR($H90="",COUNTIFS($A$14:$A$1213,$H90,$F$14:$F$1213,"&gt;=0")&lt;2,COUNTIFS($A$14:$A$1213,$H90,$F$14:$F$1213,_xlfn.MAXIFS($F$14:$F$1213,$A$14:$A$1213,$H90))&gt;1),"",IFERROR(INDEX($E$14:$E$1213,MATCH($H90&amp;"|"&amp;_xlfn.MAXIFS($F$14:$F$1213,$A$14:$A$1213,$H90),$AB$14:$AB$1213,0)),""))</f>
        <v/>
      </c>
      <c r="AL90" s="27">
        <f>IF(OR($H90="",COUNTIFS($A$14:$A$1213,$H90,$F$14:$F$1213,"&gt;=0")&lt;2,COUNTIFS($A$14:$A$1213,$H90,$F$14:$F$1213,_xlfn.MAXIFS($F$14:$F$1213,$A$14:$A$1213,$H90))&gt;1),"",IFERROR(INDEX($D$14:$D$1213,MATCH($H90&amp;"|"&amp;_xlfn.MAXIFS($F$14:$F$1213,$A$14:$A$1213,$H90,$F$14:$F$1213,"&lt;"&amp;_xlfn.MAXIFS($F$14:$F$1213,$A$14:$A$1213,$H90)),$AB$14:$AB$1213,0)),""))</f>
        <v/>
      </c>
      <c r="AM90" s="27">
        <f>IF(OR($H90="",COUNTIFS($A$14:$A$1213,$H90,$F$14:$F$1213,"&gt;=0")&lt;2,COUNTIFS($A$14:$A$1213,$H90,$F$14:$F$1213,_xlfn.MAXIFS($F$14:$F$1213,$A$14:$A$1213,$H90))&gt;1),"",IFERROR(INDEX($E$14:$E$1213,MATCH($H90&amp;"|"&amp;_xlfn.MAXIFS($F$14:$F$1213,$A$14:$A$1213,$H90,$F$14:$F$1213,"&lt;"&amp;_xlfn.MAXIFS($F$14:$F$1213,$A$14:$A$1213,$H90)),$AB$14:$AB$1213,0)),""))</f>
        <v/>
      </c>
      <c r="AN90" s="27">
        <f>IF(OR(NOT(ISNUMBER($AJ90)),NOT(ISNUMBER($AL90)),$AK90=0,$AM90=0),"",IF(OR((($AJ90+$AL90)/($AK90+$AM90))&lt;=0,(($AJ90+$AL90)/($AK90+$AM90))&gt;=1),"",($AJ90/$AK90-$AL90/$AM90)/SQRT((($AJ90+$AL90)/($AK90+$AM90))*(1-(($AJ90+$AL90)/($AK90+$AM90)))*(1/$AK90+1/$AM90))))</f>
        <v/>
      </c>
      <c r="AO90" s="27">
        <f>IF($A90="","",IF(AND(COUNTIFS($A$14:$A$1213,$A90,$F$14:$F$1213,"&gt;=0")=2,IFERROR(INDEX($M$14:$M$313,MATCH($A90,$H$14:$H$313,0)),"Yes")&lt;&gt;"Yes"),1,0))</f>
        <v/>
      </c>
    </row>
    <row r="91" ht="24" customHeight="1">
      <c r="A91" s="19">
        <f>IF('Enter messages'!A91="","",'Enter messages'!A91)</f>
        <v/>
      </c>
      <c r="B91" s="20">
        <f>IF('Enter messages'!B91="","",'Enter messages'!B91)</f>
        <v/>
      </c>
      <c r="C91" s="21">
        <f>IFERROR(AVERAGE(P91:T91),"")</f>
        <v/>
      </c>
      <c r="D91" s="29" t="n"/>
      <c r="E91" s="29" t="n"/>
      <c r="F91" s="30">
        <f>IF(AND(ISNUMBER($D91),ISNUMBER($E91),$E91&gt;0,$D91&lt;=$E91),$D91/$E91,"")</f>
        <v/>
      </c>
      <c r="H91" s="19">
        <f>IFERROR(INDEX($A$14:$A$1213,MATCH(78,$AI$14:$AI$1213,0)),"")</f>
        <v/>
      </c>
      <c r="I91" s="24">
        <f>IF($H91="","",IF(COUNTIFS($A$14:$A$1213,$H91,$C$14:$C$1213,"&gt;=0")=0,"—",IFERROR(INDEX($B$14:$B$1213,MATCH($H91&amp;"|1",$Z$14:$Z$1213,0)),"(tied)")))</f>
        <v/>
      </c>
      <c r="J91" s="25">
        <f>IF($H91="","",IF(OR(COUNTIFS($A$14:$A$1213,$H91,$C$14:$C$1213,"&gt;=0")=0,COUNTIFS($A$14:$A$1213,$H91,$F$14:$F$1213,"&gt;=0")=0),"—",IF(OR(ISERROR(MATCH($H91&amp;"|1",$Z$14:$Z$1213,0)),ISERROR(MATCH($H91&amp;"|1",$AA$14:$AA$1213,0))),"Tie",IF(MATCH($H91&amp;"|1",$Z$14:$Z$1213,0)=MATCH($H91&amp;"|1",$AA$14:$AA$1213,0),"Hit","Miss"))))</f>
        <v/>
      </c>
      <c r="K91" s="24">
        <f>IF($H91="","",IF(COUNTIFS($A$14:$A$1213,$H91,$F$14:$F$1213,"&gt;=0")=0,"—",IFERROR(INDEX($B$14:$B$1213,MATCH($H91&amp;"|1",$AA$14:$AA$1213,0)),"(tied)")))</f>
        <v/>
      </c>
      <c r="L91" s="25">
        <f>IF($H91="","",IF((--(COUNTIFS($A$14:$A$1213,$H91,$P$14:$P$1213,"&gt;=0")&gt;0)+--(COUNTIFS($A$14:$A$1213,$H91,$Q$14:$Q$1213,"&gt;=0")&gt;0)+--(COUNTIFS($A$14:$A$1213,$H91,$R$14:$R$1213,"&gt;=0")&gt;0)+--(COUNTIFS($A$14:$A$1213,$H91,$S$14:$S$1213,"&gt;=0")&gt;0)+--(COUNTIFS($A$14:$A$1213,$H91,$T$14:$T$1213,"&gt;=0")&gt;0))&lt;2,"—",IF(SUMIFS($AH$14:$AH$1213,$A$14:$A$1213,$H91)=0,"Yes","No")))</f>
        <v/>
      </c>
      <c r="M91" s="25">
        <f>IF($H91="","",IF(COUNTIFS($A$14:$A$1213,$H91,$F$14:$F$1213,"&gt;=0")&lt;2,"—",IF(COUNTIFS($A$14:$A$1213,$H91,$F$14:$F$1213,_xlfn.MAXIFS($F$14:$F$1213,$A$14:$A$1213,$H91))&gt;1,"No",IF(NOT(ISNUMBER($AN91)),"—",IF((2*(1-NORMSDIST(ABS($AN91))))&lt;0.05,"Yes","No")))))</f>
        <v/>
      </c>
      <c r="N91" s="21">
        <f>IF($H91="","",IF(NOT(ISNUMBER($AN91)),"—",IF((2*(1-NORMSDIST(ABS($AN91))))&lt;0.001,"&lt;0.001",TEXT((2*(1-NORMSDIST(ABS($AN91)))),"0.000"))))</f>
        <v/>
      </c>
      <c r="P91" s="26" t="n"/>
      <c r="Q91" s="26" t="n"/>
      <c r="R91" s="26" t="n"/>
      <c r="S91" s="26" t="n"/>
      <c r="T91" s="26" t="n"/>
      <c r="V91" s="27">
        <f>IF(ISNUMBER($C91),COUNTIFS($A$14:$A$1213,$A91,$C$14:$C$1213,"&gt;"&amp;$C91)+(COUNTIFS($A$14:$A$1213,$A91,$C$14:$C$1213,"="&amp;$C91)+1)/2,"")</f>
        <v/>
      </c>
      <c r="W91" s="27">
        <f>IF(ISNUMBER($F91),COUNTIFS($A$14:$A$1213,$A91,$F$14:$F$1213,"&gt;"&amp;$F91)+(COUNTIFS($A$14:$A$1213,$A91,$F$14:$F$1213,"="&amp;$F91)+1)/2,"")</f>
        <v/>
      </c>
      <c r="X91" s="27">
        <f>IF(OR(NOT(ISNUMBER($V91)),$AO91=1),"",$V91-(COUNTIFS($A$14:$A$1213,$A91,$C$14:$C$1213,"&gt;=0")+1)/2)</f>
        <v/>
      </c>
      <c r="Y91" s="27">
        <f>IF(OR(NOT(ISNUMBER($W91)),$AO91=1),"",$W91-(COUNTIFS($A$14:$A$1213,$A91,$F$14:$F$1213,"&gt;=0")+1)/2)</f>
        <v/>
      </c>
      <c r="Z91" s="27">
        <f>IF(ISNUMBER($V91),$A91&amp;"|"&amp;$V91,"")</f>
        <v/>
      </c>
      <c r="AA91" s="27">
        <f>IF(ISNUMBER($W91),$A91&amp;"|"&amp;$W91,"")</f>
        <v/>
      </c>
      <c r="AB91" s="27">
        <f>IF(ISNUMBER($F91),$A91&amp;"|"&amp;$F91,"")</f>
        <v/>
      </c>
      <c r="AC91" s="27">
        <f>IF(ISNUMBER($P91),COUNTIFS($A$14:$A$1213,$A91,$P$14:$P$1213,"&gt;"&amp;$P91)+(COUNTIFS($A$14:$A$1213,$A91,$P$14:$P$1213,"="&amp;$P91)+1)/2,"")</f>
        <v/>
      </c>
      <c r="AD91" s="27">
        <f>IF(ISNUMBER($Q91),COUNTIFS($A$14:$A$1213,$A91,$Q$14:$Q$1213,"&gt;"&amp;$Q91)+(COUNTIFS($A$14:$A$1213,$A91,$Q$14:$Q$1213,"="&amp;$Q91)+1)/2,"")</f>
        <v/>
      </c>
      <c r="AE91" s="27">
        <f>IF(ISNUMBER($R91),COUNTIFS($A$14:$A$1213,$A91,$R$14:$R$1213,"&gt;"&amp;$R91)+(COUNTIFS($A$14:$A$1213,$A91,$R$14:$R$1213,"="&amp;$R91)+1)/2,"")</f>
        <v/>
      </c>
      <c r="AF91" s="27">
        <f>IF(ISNUMBER($S91),COUNTIFS($A$14:$A$1213,$A91,$S$14:$S$1213,"&gt;"&amp;$S91)+(COUNTIFS($A$14:$A$1213,$A91,$S$14:$S$1213,"="&amp;$S91)+1)/2,"")</f>
        <v/>
      </c>
      <c r="AG91" s="27">
        <f>IF(ISNUMBER($T91),COUNTIFS($A$14:$A$1213,$A91,$T$14:$T$1213,"&gt;"&amp;$T91)+(COUNTIFS($A$14:$A$1213,$A91,$T$14:$T$1213,"="&amp;$T91)+1)/2,"")</f>
        <v/>
      </c>
      <c r="AH91" s="27">
        <f>IF(COUNT($AC91:$AG91)&lt;2,"",IF(MAX($AC91:$AG91)=MIN($AC91:$AG91),0,1))</f>
        <v/>
      </c>
      <c r="AI91" s="27">
        <f>IF($A91="","",IF(COUNTIF($A$14:$A91,$A91)=1,COUNTIF($AI$13:AI90,"&gt;0")+1,""))</f>
        <v/>
      </c>
      <c r="AJ91" s="27">
        <f>IF(OR($H91="",COUNTIFS($A$14:$A$1213,$H91,$F$14:$F$1213,"&gt;=0")&lt;2,COUNTIFS($A$14:$A$1213,$H91,$F$14:$F$1213,_xlfn.MAXIFS($F$14:$F$1213,$A$14:$A$1213,$H91))&gt;1),"",IFERROR(INDEX($D$14:$D$1213,MATCH($H91&amp;"|"&amp;_xlfn.MAXIFS($F$14:$F$1213,$A$14:$A$1213,$H91),$AB$14:$AB$1213,0)),""))</f>
        <v/>
      </c>
      <c r="AK91" s="27">
        <f>IF(OR($H91="",COUNTIFS($A$14:$A$1213,$H91,$F$14:$F$1213,"&gt;=0")&lt;2,COUNTIFS($A$14:$A$1213,$H91,$F$14:$F$1213,_xlfn.MAXIFS($F$14:$F$1213,$A$14:$A$1213,$H91))&gt;1),"",IFERROR(INDEX($E$14:$E$1213,MATCH($H91&amp;"|"&amp;_xlfn.MAXIFS($F$14:$F$1213,$A$14:$A$1213,$H91),$AB$14:$AB$1213,0)),""))</f>
        <v/>
      </c>
      <c r="AL91" s="27">
        <f>IF(OR($H91="",COUNTIFS($A$14:$A$1213,$H91,$F$14:$F$1213,"&gt;=0")&lt;2,COUNTIFS($A$14:$A$1213,$H91,$F$14:$F$1213,_xlfn.MAXIFS($F$14:$F$1213,$A$14:$A$1213,$H91))&gt;1),"",IFERROR(INDEX($D$14:$D$1213,MATCH($H91&amp;"|"&amp;_xlfn.MAXIFS($F$14:$F$1213,$A$14:$A$1213,$H91,$F$14:$F$1213,"&lt;"&amp;_xlfn.MAXIFS($F$14:$F$1213,$A$14:$A$1213,$H91)),$AB$14:$AB$1213,0)),""))</f>
        <v/>
      </c>
      <c r="AM91" s="27">
        <f>IF(OR($H91="",COUNTIFS($A$14:$A$1213,$H91,$F$14:$F$1213,"&gt;=0")&lt;2,COUNTIFS($A$14:$A$1213,$H91,$F$14:$F$1213,_xlfn.MAXIFS($F$14:$F$1213,$A$14:$A$1213,$H91))&gt;1),"",IFERROR(INDEX($E$14:$E$1213,MATCH($H91&amp;"|"&amp;_xlfn.MAXIFS($F$14:$F$1213,$A$14:$A$1213,$H91,$F$14:$F$1213,"&lt;"&amp;_xlfn.MAXIFS($F$14:$F$1213,$A$14:$A$1213,$H91)),$AB$14:$AB$1213,0)),""))</f>
        <v/>
      </c>
      <c r="AN91" s="27">
        <f>IF(OR(NOT(ISNUMBER($AJ91)),NOT(ISNUMBER($AL91)),$AK91=0,$AM91=0),"",IF(OR((($AJ91+$AL91)/($AK91+$AM91))&lt;=0,(($AJ91+$AL91)/($AK91+$AM91))&gt;=1),"",($AJ91/$AK91-$AL91/$AM91)/SQRT((($AJ91+$AL91)/($AK91+$AM91))*(1-(($AJ91+$AL91)/($AK91+$AM91)))*(1/$AK91+1/$AM91))))</f>
        <v/>
      </c>
      <c r="AO91" s="27">
        <f>IF($A91="","",IF(AND(COUNTIFS($A$14:$A$1213,$A91,$F$14:$F$1213,"&gt;=0")=2,IFERROR(INDEX($M$14:$M$313,MATCH($A91,$H$14:$H$313,0)),"Yes")&lt;&gt;"Yes"),1,0))</f>
        <v/>
      </c>
    </row>
    <row r="92" ht="24" customHeight="1">
      <c r="A92" s="19">
        <f>IF('Enter messages'!A92="","",'Enter messages'!A92)</f>
        <v/>
      </c>
      <c r="B92" s="20">
        <f>IF('Enter messages'!B92="","",'Enter messages'!B92)</f>
        <v/>
      </c>
      <c r="C92" s="21">
        <f>IFERROR(AVERAGE(P92:T92),"")</f>
        <v/>
      </c>
      <c r="D92" s="29" t="n"/>
      <c r="E92" s="29" t="n"/>
      <c r="F92" s="30">
        <f>IF(AND(ISNUMBER($D92),ISNUMBER($E92),$E92&gt;0,$D92&lt;=$E92),$D92/$E92,"")</f>
        <v/>
      </c>
      <c r="H92" s="19">
        <f>IFERROR(INDEX($A$14:$A$1213,MATCH(79,$AI$14:$AI$1213,0)),"")</f>
        <v/>
      </c>
      <c r="I92" s="24">
        <f>IF($H92="","",IF(COUNTIFS($A$14:$A$1213,$H92,$C$14:$C$1213,"&gt;=0")=0,"—",IFERROR(INDEX($B$14:$B$1213,MATCH($H92&amp;"|1",$Z$14:$Z$1213,0)),"(tied)")))</f>
        <v/>
      </c>
      <c r="J92" s="25">
        <f>IF($H92="","",IF(OR(COUNTIFS($A$14:$A$1213,$H92,$C$14:$C$1213,"&gt;=0")=0,COUNTIFS($A$14:$A$1213,$H92,$F$14:$F$1213,"&gt;=0")=0),"—",IF(OR(ISERROR(MATCH($H92&amp;"|1",$Z$14:$Z$1213,0)),ISERROR(MATCH($H92&amp;"|1",$AA$14:$AA$1213,0))),"Tie",IF(MATCH($H92&amp;"|1",$Z$14:$Z$1213,0)=MATCH($H92&amp;"|1",$AA$14:$AA$1213,0),"Hit","Miss"))))</f>
        <v/>
      </c>
      <c r="K92" s="24">
        <f>IF($H92="","",IF(COUNTIFS($A$14:$A$1213,$H92,$F$14:$F$1213,"&gt;=0")=0,"—",IFERROR(INDEX($B$14:$B$1213,MATCH($H92&amp;"|1",$AA$14:$AA$1213,0)),"(tied)")))</f>
        <v/>
      </c>
      <c r="L92" s="25">
        <f>IF($H92="","",IF((--(COUNTIFS($A$14:$A$1213,$H92,$P$14:$P$1213,"&gt;=0")&gt;0)+--(COUNTIFS($A$14:$A$1213,$H92,$Q$14:$Q$1213,"&gt;=0")&gt;0)+--(COUNTIFS($A$14:$A$1213,$H92,$R$14:$R$1213,"&gt;=0")&gt;0)+--(COUNTIFS($A$14:$A$1213,$H92,$S$14:$S$1213,"&gt;=0")&gt;0)+--(COUNTIFS($A$14:$A$1213,$H92,$T$14:$T$1213,"&gt;=0")&gt;0))&lt;2,"—",IF(SUMIFS($AH$14:$AH$1213,$A$14:$A$1213,$H92)=0,"Yes","No")))</f>
        <v/>
      </c>
      <c r="M92" s="25">
        <f>IF($H92="","",IF(COUNTIFS($A$14:$A$1213,$H92,$F$14:$F$1213,"&gt;=0")&lt;2,"—",IF(COUNTIFS($A$14:$A$1213,$H92,$F$14:$F$1213,_xlfn.MAXIFS($F$14:$F$1213,$A$14:$A$1213,$H92))&gt;1,"No",IF(NOT(ISNUMBER($AN92)),"—",IF((2*(1-NORMSDIST(ABS($AN92))))&lt;0.05,"Yes","No")))))</f>
        <v/>
      </c>
      <c r="N92" s="21">
        <f>IF($H92="","",IF(NOT(ISNUMBER($AN92)),"—",IF((2*(1-NORMSDIST(ABS($AN92))))&lt;0.001,"&lt;0.001",TEXT((2*(1-NORMSDIST(ABS($AN92)))),"0.000"))))</f>
        <v/>
      </c>
      <c r="P92" s="26" t="n"/>
      <c r="Q92" s="26" t="n"/>
      <c r="R92" s="26" t="n"/>
      <c r="S92" s="26" t="n"/>
      <c r="T92" s="26" t="n"/>
      <c r="V92" s="27">
        <f>IF(ISNUMBER($C92),COUNTIFS($A$14:$A$1213,$A92,$C$14:$C$1213,"&gt;"&amp;$C92)+(COUNTIFS($A$14:$A$1213,$A92,$C$14:$C$1213,"="&amp;$C92)+1)/2,"")</f>
        <v/>
      </c>
      <c r="W92" s="27">
        <f>IF(ISNUMBER($F92),COUNTIFS($A$14:$A$1213,$A92,$F$14:$F$1213,"&gt;"&amp;$F92)+(COUNTIFS($A$14:$A$1213,$A92,$F$14:$F$1213,"="&amp;$F92)+1)/2,"")</f>
        <v/>
      </c>
      <c r="X92" s="27">
        <f>IF(OR(NOT(ISNUMBER($V92)),$AO92=1),"",$V92-(COUNTIFS($A$14:$A$1213,$A92,$C$14:$C$1213,"&gt;=0")+1)/2)</f>
        <v/>
      </c>
      <c r="Y92" s="27">
        <f>IF(OR(NOT(ISNUMBER($W92)),$AO92=1),"",$W92-(COUNTIFS($A$14:$A$1213,$A92,$F$14:$F$1213,"&gt;=0")+1)/2)</f>
        <v/>
      </c>
      <c r="Z92" s="27">
        <f>IF(ISNUMBER($V92),$A92&amp;"|"&amp;$V92,"")</f>
        <v/>
      </c>
      <c r="AA92" s="27">
        <f>IF(ISNUMBER($W92),$A92&amp;"|"&amp;$W92,"")</f>
        <v/>
      </c>
      <c r="AB92" s="27">
        <f>IF(ISNUMBER($F92),$A92&amp;"|"&amp;$F92,"")</f>
        <v/>
      </c>
      <c r="AC92" s="27">
        <f>IF(ISNUMBER($P92),COUNTIFS($A$14:$A$1213,$A92,$P$14:$P$1213,"&gt;"&amp;$P92)+(COUNTIFS($A$14:$A$1213,$A92,$P$14:$P$1213,"="&amp;$P92)+1)/2,"")</f>
        <v/>
      </c>
      <c r="AD92" s="27">
        <f>IF(ISNUMBER($Q92),COUNTIFS($A$14:$A$1213,$A92,$Q$14:$Q$1213,"&gt;"&amp;$Q92)+(COUNTIFS($A$14:$A$1213,$A92,$Q$14:$Q$1213,"="&amp;$Q92)+1)/2,"")</f>
        <v/>
      </c>
      <c r="AE92" s="27">
        <f>IF(ISNUMBER($R92),COUNTIFS($A$14:$A$1213,$A92,$R$14:$R$1213,"&gt;"&amp;$R92)+(COUNTIFS($A$14:$A$1213,$A92,$R$14:$R$1213,"="&amp;$R92)+1)/2,"")</f>
        <v/>
      </c>
      <c r="AF92" s="27">
        <f>IF(ISNUMBER($S92),COUNTIFS($A$14:$A$1213,$A92,$S$14:$S$1213,"&gt;"&amp;$S92)+(COUNTIFS($A$14:$A$1213,$A92,$S$14:$S$1213,"="&amp;$S92)+1)/2,"")</f>
        <v/>
      </c>
      <c r="AG92" s="27">
        <f>IF(ISNUMBER($T92),COUNTIFS($A$14:$A$1213,$A92,$T$14:$T$1213,"&gt;"&amp;$T92)+(COUNTIFS($A$14:$A$1213,$A92,$T$14:$T$1213,"="&amp;$T92)+1)/2,"")</f>
        <v/>
      </c>
      <c r="AH92" s="27">
        <f>IF(COUNT($AC92:$AG92)&lt;2,"",IF(MAX($AC92:$AG92)=MIN($AC92:$AG92),0,1))</f>
        <v/>
      </c>
      <c r="AI92" s="27">
        <f>IF($A92="","",IF(COUNTIF($A$14:$A92,$A92)=1,COUNTIF($AI$13:AI91,"&gt;0")+1,""))</f>
        <v/>
      </c>
      <c r="AJ92" s="27">
        <f>IF(OR($H92="",COUNTIFS($A$14:$A$1213,$H92,$F$14:$F$1213,"&gt;=0")&lt;2,COUNTIFS($A$14:$A$1213,$H92,$F$14:$F$1213,_xlfn.MAXIFS($F$14:$F$1213,$A$14:$A$1213,$H92))&gt;1),"",IFERROR(INDEX($D$14:$D$1213,MATCH($H92&amp;"|"&amp;_xlfn.MAXIFS($F$14:$F$1213,$A$14:$A$1213,$H92),$AB$14:$AB$1213,0)),""))</f>
        <v/>
      </c>
      <c r="AK92" s="27">
        <f>IF(OR($H92="",COUNTIFS($A$14:$A$1213,$H92,$F$14:$F$1213,"&gt;=0")&lt;2,COUNTIFS($A$14:$A$1213,$H92,$F$14:$F$1213,_xlfn.MAXIFS($F$14:$F$1213,$A$14:$A$1213,$H92))&gt;1),"",IFERROR(INDEX($E$14:$E$1213,MATCH($H92&amp;"|"&amp;_xlfn.MAXIFS($F$14:$F$1213,$A$14:$A$1213,$H92),$AB$14:$AB$1213,0)),""))</f>
        <v/>
      </c>
      <c r="AL92" s="27">
        <f>IF(OR($H92="",COUNTIFS($A$14:$A$1213,$H92,$F$14:$F$1213,"&gt;=0")&lt;2,COUNTIFS($A$14:$A$1213,$H92,$F$14:$F$1213,_xlfn.MAXIFS($F$14:$F$1213,$A$14:$A$1213,$H92))&gt;1),"",IFERROR(INDEX($D$14:$D$1213,MATCH($H92&amp;"|"&amp;_xlfn.MAXIFS($F$14:$F$1213,$A$14:$A$1213,$H92,$F$14:$F$1213,"&lt;"&amp;_xlfn.MAXIFS($F$14:$F$1213,$A$14:$A$1213,$H92)),$AB$14:$AB$1213,0)),""))</f>
        <v/>
      </c>
      <c r="AM92" s="27">
        <f>IF(OR($H92="",COUNTIFS($A$14:$A$1213,$H92,$F$14:$F$1213,"&gt;=0")&lt;2,COUNTIFS($A$14:$A$1213,$H92,$F$14:$F$1213,_xlfn.MAXIFS($F$14:$F$1213,$A$14:$A$1213,$H92))&gt;1),"",IFERROR(INDEX($E$14:$E$1213,MATCH($H92&amp;"|"&amp;_xlfn.MAXIFS($F$14:$F$1213,$A$14:$A$1213,$H92,$F$14:$F$1213,"&lt;"&amp;_xlfn.MAXIFS($F$14:$F$1213,$A$14:$A$1213,$H92)),$AB$14:$AB$1213,0)),""))</f>
        <v/>
      </c>
      <c r="AN92" s="27">
        <f>IF(OR(NOT(ISNUMBER($AJ92)),NOT(ISNUMBER($AL92)),$AK92=0,$AM92=0),"",IF(OR((($AJ92+$AL92)/($AK92+$AM92))&lt;=0,(($AJ92+$AL92)/($AK92+$AM92))&gt;=1),"",($AJ92/$AK92-$AL92/$AM92)/SQRT((($AJ92+$AL92)/($AK92+$AM92))*(1-(($AJ92+$AL92)/($AK92+$AM92)))*(1/$AK92+1/$AM92))))</f>
        <v/>
      </c>
      <c r="AO92" s="27">
        <f>IF($A92="","",IF(AND(COUNTIFS($A$14:$A$1213,$A92,$F$14:$F$1213,"&gt;=0")=2,IFERROR(INDEX($M$14:$M$313,MATCH($A92,$H$14:$H$313,0)),"Yes")&lt;&gt;"Yes"),1,0))</f>
        <v/>
      </c>
    </row>
    <row r="93" ht="24" customHeight="1">
      <c r="A93" s="19">
        <f>IF('Enter messages'!A93="","",'Enter messages'!A93)</f>
        <v/>
      </c>
      <c r="B93" s="20">
        <f>IF('Enter messages'!B93="","",'Enter messages'!B93)</f>
        <v/>
      </c>
      <c r="C93" s="21">
        <f>IFERROR(AVERAGE(P93:T93),"")</f>
        <v/>
      </c>
      <c r="D93" s="29" t="n"/>
      <c r="E93" s="29" t="n"/>
      <c r="F93" s="30">
        <f>IF(AND(ISNUMBER($D93),ISNUMBER($E93),$E93&gt;0,$D93&lt;=$E93),$D93/$E93,"")</f>
        <v/>
      </c>
      <c r="H93" s="19">
        <f>IFERROR(INDEX($A$14:$A$1213,MATCH(80,$AI$14:$AI$1213,0)),"")</f>
        <v/>
      </c>
      <c r="I93" s="24">
        <f>IF($H93="","",IF(COUNTIFS($A$14:$A$1213,$H93,$C$14:$C$1213,"&gt;=0")=0,"—",IFERROR(INDEX($B$14:$B$1213,MATCH($H93&amp;"|1",$Z$14:$Z$1213,0)),"(tied)")))</f>
        <v/>
      </c>
      <c r="J93" s="25">
        <f>IF($H93="","",IF(OR(COUNTIFS($A$14:$A$1213,$H93,$C$14:$C$1213,"&gt;=0")=0,COUNTIFS($A$14:$A$1213,$H93,$F$14:$F$1213,"&gt;=0")=0),"—",IF(OR(ISERROR(MATCH($H93&amp;"|1",$Z$14:$Z$1213,0)),ISERROR(MATCH($H93&amp;"|1",$AA$14:$AA$1213,0))),"Tie",IF(MATCH($H93&amp;"|1",$Z$14:$Z$1213,0)=MATCH($H93&amp;"|1",$AA$14:$AA$1213,0),"Hit","Miss"))))</f>
        <v/>
      </c>
      <c r="K93" s="24">
        <f>IF($H93="","",IF(COUNTIFS($A$14:$A$1213,$H93,$F$14:$F$1213,"&gt;=0")=0,"—",IFERROR(INDEX($B$14:$B$1213,MATCH($H93&amp;"|1",$AA$14:$AA$1213,0)),"(tied)")))</f>
        <v/>
      </c>
      <c r="L93" s="25">
        <f>IF($H93="","",IF((--(COUNTIFS($A$14:$A$1213,$H93,$P$14:$P$1213,"&gt;=0")&gt;0)+--(COUNTIFS($A$14:$A$1213,$H93,$Q$14:$Q$1213,"&gt;=0")&gt;0)+--(COUNTIFS($A$14:$A$1213,$H93,$R$14:$R$1213,"&gt;=0")&gt;0)+--(COUNTIFS($A$14:$A$1213,$H93,$S$14:$S$1213,"&gt;=0")&gt;0)+--(COUNTIFS($A$14:$A$1213,$H93,$T$14:$T$1213,"&gt;=0")&gt;0))&lt;2,"—",IF(SUMIFS($AH$14:$AH$1213,$A$14:$A$1213,$H93)=0,"Yes","No")))</f>
        <v/>
      </c>
      <c r="M93" s="25">
        <f>IF($H93="","",IF(COUNTIFS($A$14:$A$1213,$H93,$F$14:$F$1213,"&gt;=0")&lt;2,"—",IF(COUNTIFS($A$14:$A$1213,$H93,$F$14:$F$1213,_xlfn.MAXIFS($F$14:$F$1213,$A$14:$A$1213,$H93))&gt;1,"No",IF(NOT(ISNUMBER($AN93)),"—",IF((2*(1-NORMSDIST(ABS($AN93))))&lt;0.05,"Yes","No")))))</f>
        <v/>
      </c>
      <c r="N93" s="21">
        <f>IF($H93="","",IF(NOT(ISNUMBER($AN93)),"—",IF((2*(1-NORMSDIST(ABS($AN93))))&lt;0.001,"&lt;0.001",TEXT((2*(1-NORMSDIST(ABS($AN93)))),"0.000"))))</f>
        <v/>
      </c>
      <c r="P93" s="26" t="n"/>
      <c r="Q93" s="26" t="n"/>
      <c r="R93" s="26" t="n"/>
      <c r="S93" s="26" t="n"/>
      <c r="T93" s="26" t="n"/>
      <c r="V93" s="27">
        <f>IF(ISNUMBER($C93),COUNTIFS($A$14:$A$1213,$A93,$C$14:$C$1213,"&gt;"&amp;$C93)+(COUNTIFS($A$14:$A$1213,$A93,$C$14:$C$1213,"="&amp;$C93)+1)/2,"")</f>
        <v/>
      </c>
      <c r="W93" s="27">
        <f>IF(ISNUMBER($F93),COUNTIFS($A$14:$A$1213,$A93,$F$14:$F$1213,"&gt;"&amp;$F93)+(COUNTIFS($A$14:$A$1213,$A93,$F$14:$F$1213,"="&amp;$F93)+1)/2,"")</f>
        <v/>
      </c>
      <c r="X93" s="27">
        <f>IF(OR(NOT(ISNUMBER($V93)),$AO93=1),"",$V93-(COUNTIFS($A$14:$A$1213,$A93,$C$14:$C$1213,"&gt;=0")+1)/2)</f>
        <v/>
      </c>
      <c r="Y93" s="27">
        <f>IF(OR(NOT(ISNUMBER($W93)),$AO93=1),"",$W93-(COUNTIFS($A$14:$A$1213,$A93,$F$14:$F$1213,"&gt;=0")+1)/2)</f>
        <v/>
      </c>
      <c r="Z93" s="27">
        <f>IF(ISNUMBER($V93),$A93&amp;"|"&amp;$V93,"")</f>
        <v/>
      </c>
      <c r="AA93" s="27">
        <f>IF(ISNUMBER($W93),$A93&amp;"|"&amp;$W93,"")</f>
        <v/>
      </c>
      <c r="AB93" s="27">
        <f>IF(ISNUMBER($F93),$A93&amp;"|"&amp;$F93,"")</f>
        <v/>
      </c>
      <c r="AC93" s="27">
        <f>IF(ISNUMBER($P93),COUNTIFS($A$14:$A$1213,$A93,$P$14:$P$1213,"&gt;"&amp;$P93)+(COUNTIFS($A$14:$A$1213,$A93,$P$14:$P$1213,"="&amp;$P93)+1)/2,"")</f>
        <v/>
      </c>
      <c r="AD93" s="27">
        <f>IF(ISNUMBER($Q93),COUNTIFS($A$14:$A$1213,$A93,$Q$14:$Q$1213,"&gt;"&amp;$Q93)+(COUNTIFS($A$14:$A$1213,$A93,$Q$14:$Q$1213,"="&amp;$Q93)+1)/2,"")</f>
        <v/>
      </c>
      <c r="AE93" s="27">
        <f>IF(ISNUMBER($R93),COUNTIFS($A$14:$A$1213,$A93,$R$14:$R$1213,"&gt;"&amp;$R93)+(COUNTIFS($A$14:$A$1213,$A93,$R$14:$R$1213,"="&amp;$R93)+1)/2,"")</f>
        <v/>
      </c>
      <c r="AF93" s="27">
        <f>IF(ISNUMBER($S93),COUNTIFS($A$14:$A$1213,$A93,$S$14:$S$1213,"&gt;"&amp;$S93)+(COUNTIFS($A$14:$A$1213,$A93,$S$14:$S$1213,"="&amp;$S93)+1)/2,"")</f>
        <v/>
      </c>
      <c r="AG93" s="27">
        <f>IF(ISNUMBER($T93),COUNTIFS($A$14:$A$1213,$A93,$T$14:$T$1213,"&gt;"&amp;$T93)+(COUNTIFS($A$14:$A$1213,$A93,$T$14:$T$1213,"="&amp;$T93)+1)/2,"")</f>
        <v/>
      </c>
      <c r="AH93" s="27">
        <f>IF(COUNT($AC93:$AG93)&lt;2,"",IF(MAX($AC93:$AG93)=MIN($AC93:$AG93),0,1))</f>
        <v/>
      </c>
      <c r="AI93" s="27">
        <f>IF($A93="","",IF(COUNTIF($A$14:$A93,$A93)=1,COUNTIF($AI$13:AI92,"&gt;0")+1,""))</f>
        <v/>
      </c>
      <c r="AJ93" s="27">
        <f>IF(OR($H93="",COUNTIFS($A$14:$A$1213,$H93,$F$14:$F$1213,"&gt;=0")&lt;2,COUNTIFS($A$14:$A$1213,$H93,$F$14:$F$1213,_xlfn.MAXIFS($F$14:$F$1213,$A$14:$A$1213,$H93))&gt;1),"",IFERROR(INDEX($D$14:$D$1213,MATCH($H93&amp;"|"&amp;_xlfn.MAXIFS($F$14:$F$1213,$A$14:$A$1213,$H93),$AB$14:$AB$1213,0)),""))</f>
        <v/>
      </c>
      <c r="AK93" s="27">
        <f>IF(OR($H93="",COUNTIFS($A$14:$A$1213,$H93,$F$14:$F$1213,"&gt;=0")&lt;2,COUNTIFS($A$14:$A$1213,$H93,$F$14:$F$1213,_xlfn.MAXIFS($F$14:$F$1213,$A$14:$A$1213,$H93))&gt;1),"",IFERROR(INDEX($E$14:$E$1213,MATCH($H93&amp;"|"&amp;_xlfn.MAXIFS($F$14:$F$1213,$A$14:$A$1213,$H93),$AB$14:$AB$1213,0)),""))</f>
        <v/>
      </c>
      <c r="AL93" s="27">
        <f>IF(OR($H93="",COUNTIFS($A$14:$A$1213,$H93,$F$14:$F$1213,"&gt;=0")&lt;2,COUNTIFS($A$14:$A$1213,$H93,$F$14:$F$1213,_xlfn.MAXIFS($F$14:$F$1213,$A$14:$A$1213,$H93))&gt;1),"",IFERROR(INDEX($D$14:$D$1213,MATCH($H93&amp;"|"&amp;_xlfn.MAXIFS($F$14:$F$1213,$A$14:$A$1213,$H93,$F$14:$F$1213,"&lt;"&amp;_xlfn.MAXIFS($F$14:$F$1213,$A$14:$A$1213,$H93)),$AB$14:$AB$1213,0)),""))</f>
        <v/>
      </c>
      <c r="AM93" s="27">
        <f>IF(OR($H93="",COUNTIFS($A$14:$A$1213,$H93,$F$14:$F$1213,"&gt;=0")&lt;2,COUNTIFS($A$14:$A$1213,$H93,$F$14:$F$1213,_xlfn.MAXIFS($F$14:$F$1213,$A$14:$A$1213,$H93))&gt;1),"",IFERROR(INDEX($E$14:$E$1213,MATCH($H93&amp;"|"&amp;_xlfn.MAXIFS($F$14:$F$1213,$A$14:$A$1213,$H93,$F$14:$F$1213,"&lt;"&amp;_xlfn.MAXIFS($F$14:$F$1213,$A$14:$A$1213,$H93)),$AB$14:$AB$1213,0)),""))</f>
        <v/>
      </c>
      <c r="AN93" s="27">
        <f>IF(OR(NOT(ISNUMBER($AJ93)),NOT(ISNUMBER($AL93)),$AK93=0,$AM93=0),"",IF(OR((($AJ93+$AL93)/($AK93+$AM93))&lt;=0,(($AJ93+$AL93)/($AK93+$AM93))&gt;=1),"",($AJ93/$AK93-$AL93/$AM93)/SQRT((($AJ93+$AL93)/($AK93+$AM93))*(1-(($AJ93+$AL93)/($AK93+$AM93)))*(1/$AK93+1/$AM93))))</f>
        <v/>
      </c>
      <c r="AO93" s="27">
        <f>IF($A93="","",IF(AND(COUNTIFS($A$14:$A$1213,$A93,$F$14:$F$1213,"&gt;=0")=2,IFERROR(INDEX($M$14:$M$313,MATCH($A93,$H$14:$H$313,0)),"Yes")&lt;&gt;"Yes"),1,0))</f>
        <v/>
      </c>
    </row>
    <row r="94" ht="24" customHeight="1">
      <c r="A94" s="19">
        <f>IF('Enter messages'!A94="","",'Enter messages'!A94)</f>
        <v/>
      </c>
      <c r="B94" s="20">
        <f>IF('Enter messages'!B94="","",'Enter messages'!B94)</f>
        <v/>
      </c>
      <c r="C94" s="21">
        <f>IFERROR(AVERAGE(P94:T94),"")</f>
        <v/>
      </c>
      <c r="D94" s="29" t="n"/>
      <c r="E94" s="29" t="n"/>
      <c r="F94" s="30">
        <f>IF(AND(ISNUMBER($D94),ISNUMBER($E94),$E94&gt;0,$D94&lt;=$E94),$D94/$E94,"")</f>
        <v/>
      </c>
      <c r="H94" s="19">
        <f>IFERROR(INDEX($A$14:$A$1213,MATCH(81,$AI$14:$AI$1213,0)),"")</f>
        <v/>
      </c>
      <c r="I94" s="24">
        <f>IF($H94="","",IF(COUNTIFS($A$14:$A$1213,$H94,$C$14:$C$1213,"&gt;=0")=0,"—",IFERROR(INDEX($B$14:$B$1213,MATCH($H94&amp;"|1",$Z$14:$Z$1213,0)),"(tied)")))</f>
        <v/>
      </c>
      <c r="J94" s="25">
        <f>IF($H94="","",IF(OR(COUNTIFS($A$14:$A$1213,$H94,$C$14:$C$1213,"&gt;=0")=0,COUNTIFS($A$14:$A$1213,$H94,$F$14:$F$1213,"&gt;=0")=0),"—",IF(OR(ISERROR(MATCH($H94&amp;"|1",$Z$14:$Z$1213,0)),ISERROR(MATCH($H94&amp;"|1",$AA$14:$AA$1213,0))),"Tie",IF(MATCH($H94&amp;"|1",$Z$14:$Z$1213,0)=MATCH($H94&amp;"|1",$AA$14:$AA$1213,0),"Hit","Miss"))))</f>
        <v/>
      </c>
      <c r="K94" s="24">
        <f>IF($H94="","",IF(COUNTIFS($A$14:$A$1213,$H94,$F$14:$F$1213,"&gt;=0")=0,"—",IFERROR(INDEX($B$14:$B$1213,MATCH($H94&amp;"|1",$AA$14:$AA$1213,0)),"(tied)")))</f>
        <v/>
      </c>
      <c r="L94" s="25">
        <f>IF($H94="","",IF((--(COUNTIFS($A$14:$A$1213,$H94,$P$14:$P$1213,"&gt;=0")&gt;0)+--(COUNTIFS($A$14:$A$1213,$H94,$Q$14:$Q$1213,"&gt;=0")&gt;0)+--(COUNTIFS($A$14:$A$1213,$H94,$R$14:$R$1213,"&gt;=0")&gt;0)+--(COUNTIFS($A$14:$A$1213,$H94,$S$14:$S$1213,"&gt;=0")&gt;0)+--(COUNTIFS($A$14:$A$1213,$H94,$T$14:$T$1213,"&gt;=0")&gt;0))&lt;2,"—",IF(SUMIFS($AH$14:$AH$1213,$A$14:$A$1213,$H94)=0,"Yes","No")))</f>
        <v/>
      </c>
      <c r="M94" s="25">
        <f>IF($H94="","",IF(COUNTIFS($A$14:$A$1213,$H94,$F$14:$F$1213,"&gt;=0")&lt;2,"—",IF(COUNTIFS($A$14:$A$1213,$H94,$F$14:$F$1213,_xlfn.MAXIFS($F$14:$F$1213,$A$14:$A$1213,$H94))&gt;1,"No",IF(NOT(ISNUMBER($AN94)),"—",IF((2*(1-NORMSDIST(ABS($AN94))))&lt;0.05,"Yes","No")))))</f>
        <v/>
      </c>
      <c r="N94" s="21">
        <f>IF($H94="","",IF(NOT(ISNUMBER($AN94)),"—",IF((2*(1-NORMSDIST(ABS($AN94))))&lt;0.001,"&lt;0.001",TEXT((2*(1-NORMSDIST(ABS($AN94)))),"0.000"))))</f>
        <v/>
      </c>
      <c r="P94" s="26" t="n"/>
      <c r="Q94" s="26" t="n"/>
      <c r="R94" s="26" t="n"/>
      <c r="S94" s="26" t="n"/>
      <c r="T94" s="26" t="n"/>
      <c r="V94" s="27">
        <f>IF(ISNUMBER($C94),COUNTIFS($A$14:$A$1213,$A94,$C$14:$C$1213,"&gt;"&amp;$C94)+(COUNTIFS($A$14:$A$1213,$A94,$C$14:$C$1213,"="&amp;$C94)+1)/2,"")</f>
        <v/>
      </c>
      <c r="W94" s="27">
        <f>IF(ISNUMBER($F94),COUNTIFS($A$14:$A$1213,$A94,$F$14:$F$1213,"&gt;"&amp;$F94)+(COUNTIFS($A$14:$A$1213,$A94,$F$14:$F$1213,"="&amp;$F94)+1)/2,"")</f>
        <v/>
      </c>
      <c r="X94" s="27">
        <f>IF(OR(NOT(ISNUMBER($V94)),$AO94=1),"",$V94-(COUNTIFS($A$14:$A$1213,$A94,$C$14:$C$1213,"&gt;=0")+1)/2)</f>
        <v/>
      </c>
      <c r="Y94" s="27">
        <f>IF(OR(NOT(ISNUMBER($W94)),$AO94=1),"",$W94-(COUNTIFS($A$14:$A$1213,$A94,$F$14:$F$1213,"&gt;=0")+1)/2)</f>
        <v/>
      </c>
      <c r="Z94" s="27">
        <f>IF(ISNUMBER($V94),$A94&amp;"|"&amp;$V94,"")</f>
        <v/>
      </c>
      <c r="AA94" s="27">
        <f>IF(ISNUMBER($W94),$A94&amp;"|"&amp;$W94,"")</f>
        <v/>
      </c>
      <c r="AB94" s="27">
        <f>IF(ISNUMBER($F94),$A94&amp;"|"&amp;$F94,"")</f>
        <v/>
      </c>
      <c r="AC94" s="27">
        <f>IF(ISNUMBER($P94),COUNTIFS($A$14:$A$1213,$A94,$P$14:$P$1213,"&gt;"&amp;$P94)+(COUNTIFS($A$14:$A$1213,$A94,$P$14:$P$1213,"="&amp;$P94)+1)/2,"")</f>
        <v/>
      </c>
      <c r="AD94" s="27">
        <f>IF(ISNUMBER($Q94),COUNTIFS($A$14:$A$1213,$A94,$Q$14:$Q$1213,"&gt;"&amp;$Q94)+(COUNTIFS($A$14:$A$1213,$A94,$Q$14:$Q$1213,"="&amp;$Q94)+1)/2,"")</f>
        <v/>
      </c>
      <c r="AE94" s="27">
        <f>IF(ISNUMBER($R94),COUNTIFS($A$14:$A$1213,$A94,$R$14:$R$1213,"&gt;"&amp;$R94)+(COUNTIFS($A$14:$A$1213,$A94,$R$14:$R$1213,"="&amp;$R94)+1)/2,"")</f>
        <v/>
      </c>
      <c r="AF94" s="27">
        <f>IF(ISNUMBER($S94),COUNTIFS($A$14:$A$1213,$A94,$S$14:$S$1213,"&gt;"&amp;$S94)+(COUNTIFS($A$14:$A$1213,$A94,$S$14:$S$1213,"="&amp;$S94)+1)/2,"")</f>
        <v/>
      </c>
      <c r="AG94" s="27">
        <f>IF(ISNUMBER($T94),COUNTIFS($A$14:$A$1213,$A94,$T$14:$T$1213,"&gt;"&amp;$T94)+(COUNTIFS($A$14:$A$1213,$A94,$T$14:$T$1213,"="&amp;$T94)+1)/2,"")</f>
        <v/>
      </c>
      <c r="AH94" s="27">
        <f>IF(COUNT($AC94:$AG94)&lt;2,"",IF(MAX($AC94:$AG94)=MIN($AC94:$AG94),0,1))</f>
        <v/>
      </c>
      <c r="AI94" s="27">
        <f>IF($A94="","",IF(COUNTIF($A$14:$A94,$A94)=1,COUNTIF($AI$13:AI93,"&gt;0")+1,""))</f>
        <v/>
      </c>
      <c r="AJ94" s="27">
        <f>IF(OR($H94="",COUNTIFS($A$14:$A$1213,$H94,$F$14:$F$1213,"&gt;=0")&lt;2,COUNTIFS($A$14:$A$1213,$H94,$F$14:$F$1213,_xlfn.MAXIFS($F$14:$F$1213,$A$14:$A$1213,$H94))&gt;1),"",IFERROR(INDEX($D$14:$D$1213,MATCH($H94&amp;"|"&amp;_xlfn.MAXIFS($F$14:$F$1213,$A$14:$A$1213,$H94),$AB$14:$AB$1213,0)),""))</f>
        <v/>
      </c>
      <c r="AK94" s="27">
        <f>IF(OR($H94="",COUNTIFS($A$14:$A$1213,$H94,$F$14:$F$1213,"&gt;=0")&lt;2,COUNTIFS($A$14:$A$1213,$H94,$F$14:$F$1213,_xlfn.MAXIFS($F$14:$F$1213,$A$14:$A$1213,$H94))&gt;1),"",IFERROR(INDEX($E$14:$E$1213,MATCH($H94&amp;"|"&amp;_xlfn.MAXIFS($F$14:$F$1213,$A$14:$A$1213,$H94),$AB$14:$AB$1213,0)),""))</f>
        <v/>
      </c>
      <c r="AL94" s="27">
        <f>IF(OR($H94="",COUNTIFS($A$14:$A$1213,$H94,$F$14:$F$1213,"&gt;=0")&lt;2,COUNTIFS($A$14:$A$1213,$H94,$F$14:$F$1213,_xlfn.MAXIFS($F$14:$F$1213,$A$14:$A$1213,$H94))&gt;1),"",IFERROR(INDEX($D$14:$D$1213,MATCH($H94&amp;"|"&amp;_xlfn.MAXIFS($F$14:$F$1213,$A$14:$A$1213,$H94,$F$14:$F$1213,"&lt;"&amp;_xlfn.MAXIFS($F$14:$F$1213,$A$14:$A$1213,$H94)),$AB$14:$AB$1213,0)),""))</f>
        <v/>
      </c>
      <c r="AM94" s="27">
        <f>IF(OR($H94="",COUNTIFS($A$14:$A$1213,$H94,$F$14:$F$1213,"&gt;=0")&lt;2,COUNTIFS($A$14:$A$1213,$H94,$F$14:$F$1213,_xlfn.MAXIFS($F$14:$F$1213,$A$14:$A$1213,$H94))&gt;1),"",IFERROR(INDEX($E$14:$E$1213,MATCH($H94&amp;"|"&amp;_xlfn.MAXIFS($F$14:$F$1213,$A$14:$A$1213,$H94,$F$14:$F$1213,"&lt;"&amp;_xlfn.MAXIFS($F$14:$F$1213,$A$14:$A$1213,$H94)),$AB$14:$AB$1213,0)),""))</f>
        <v/>
      </c>
      <c r="AN94" s="27">
        <f>IF(OR(NOT(ISNUMBER($AJ94)),NOT(ISNUMBER($AL94)),$AK94=0,$AM94=0),"",IF(OR((($AJ94+$AL94)/($AK94+$AM94))&lt;=0,(($AJ94+$AL94)/($AK94+$AM94))&gt;=1),"",($AJ94/$AK94-$AL94/$AM94)/SQRT((($AJ94+$AL94)/($AK94+$AM94))*(1-(($AJ94+$AL94)/($AK94+$AM94)))*(1/$AK94+1/$AM94))))</f>
        <v/>
      </c>
      <c r="AO94" s="27">
        <f>IF($A94="","",IF(AND(COUNTIFS($A$14:$A$1213,$A94,$F$14:$F$1213,"&gt;=0")=2,IFERROR(INDEX($M$14:$M$313,MATCH($A94,$H$14:$H$313,0)),"Yes")&lt;&gt;"Yes"),1,0))</f>
        <v/>
      </c>
    </row>
    <row r="95" ht="24" customHeight="1">
      <c r="A95" s="19">
        <f>IF('Enter messages'!A95="","",'Enter messages'!A95)</f>
        <v/>
      </c>
      <c r="B95" s="20">
        <f>IF('Enter messages'!B95="","",'Enter messages'!B95)</f>
        <v/>
      </c>
      <c r="C95" s="21">
        <f>IFERROR(AVERAGE(P95:T95),"")</f>
        <v/>
      </c>
      <c r="D95" s="29" t="n"/>
      <c r="E95" s="29" t="n"/>
      <c r="F95" s="30">
        <f>IF(AND(ISNUMBER($D95),ISNUMBER($E95),$E95&gt;0,$D95&lt;=$E95),$D95/$E95,"")</f>
        <v/>
      </c>
      <c r="H95" s="19">
        <f>IFERROR(INDEX($A$14:$A$1213,MATCH(82,$AI$14:$AI$1213,0)),"")</f>
        <v/>
      </c>
      <c r="I95" s="24">
        <f>IF($H95="","",IF(COUNTIFS($A$14:$A$1213,$H95,$C$14:$C$1213,"&gt;=0")=0,"—",IFERROR(INDEX($B$14:$B$1213,MATCH($H95&amp;"|1",$Z$14:$Z$1213,0)),"(tied)")))</f>
        <v/>
      </c>
      <c r="J95" s="25">
        <f>IF($H95="","",IF(OR(COUNTIFS($A$14:$A$1213,$H95,$C$14:$C$1213,"&gt;=0")=0,COUNTIFS($A$14:$A$1213,$H95,$F$14:$F$1213,"&gt;=0")=0),"—",IF(OR(ISERROR(MATCH($H95&amp;"|1",$Z$14:$Z$1213,0)),ISERROR(MATCH($H95&amp;"|1",$AA$14:$AA$1213,0))),"Tie",IF(MATCH($H95&amp;"|1",$Z$14:$Z$1213,0)=MATCH($H95&amp;"|1",$AA$14:$AA$1213,0),"Hit","Miss"))))</f>
        <v/>
      </c>
      <c r="K95" s="24">
        <f>IF($H95="","",IF(COUNTIFS($A$14:$A$1213,$H95,$F$14:$F$1213,"&gt;=0")=0,"—",IFERROR(INDEX($B$14:$B$1213,MATCH($H95&amp;"|1",$AA$14:$AA$1213,0)),"(tied)")))</f>
        <v/>
      </c>
      <c r="L95" s="25">
        <f>IF($H95="","",IF((--(COUNTIFS($A$14:$A$1213,$H95,$P$14:$P$1213,"&gt;=0")&gt;0)+--(COUNTIFS($A$14:$A$1213,$H95,$Q$14:$Q$1213,"&gt;=0")&gt;0)+--(COUNTIFS($A$14:$A$1213,$H95,$R$14:$R$1213,"&gt;=0")&gt;0)+--(COUNTIFS($A$14:$A$1213,$H95,$S$14:$S$1213,"&gt;=0")&gt;0)+--(COUNTIFS($A$14:$A$1213,$H95,$T$14:$T$1213,"&gt;=0")&gt;0))&lt;2,"—",IF(SUMIFS($AH$14:$AH$1213,$A$14:$A$1213,$H95)=0,"Yes","No")))</f>
        <v/>
      </c>
      <c r="M95" s="25">
        <f>IF($H95="","",IF(COUNTIFS($A$14:$A$1213,$H95,$F$14:$F$1213,"&gt;=0")&lt;2,"—",IF(COUNTIFS($A$14:$A$1213,$H95,$F$14:$F$1213,_xlfn.MAXIFS($F$14:$F$1213,$A$14:$A$1213,$H95))&gt;1,"No",IF(NOT(ISNUMBER($AN95)),"—",IF((2*(1-NORMSDIST(ABS($AN95))))&lt;0.05,"Yes","No")))))</f>
        <v/>
      </c>
      <c r="N95" s="21">
        <f>IF($H95="","",IF(NOT(ISNUMBER($AN95)),"—",IF((2*(1-NORMSDIST(ABS($AN95))))&lt;0.001,"&lt;0.001",TEXT((2*(1-NORMSDIST(ABS($AN95)))),"0.000"))))</f>
        <v/>
      </c>
      <c r="P95" s="26" t="n"/>
      <c r="Q95" s="26" t="n"/>
      <c r="R95" s="26" t="n"/>
      <c r="S95" s="26" t="n"/>
      <c r="T95" s="26" t="n"/>
      <c r="V95" s="27">
        <f>IF(ISNUMBER($C95),COUNTIFS($A$14:$A$1213,$A95,$C$14:$C$1213,"&gt;"&amp;$C95)+(COUNTIFS($A$14:$A$1213,$A95,$C$14:$C$1213,"="&amp;$C95)+1)/2,"")</f>
        <v/>
      </c>
      <c r="W95" s="27">
        <f>IF(ISNUMBER($F95),COUNTIFS($A$14:$A$1213,$A95,$F$14:$F$1213,"&gt;"&amp;$F95)+(COUNTIFS($A$14:$A$1213,$A95,$F$14:$F$1213,"="&amp;$F95)+1)/2,"")</f>
        <v/>
      </c>
      <c r="X95" s="27">
        <f>IF(OR(NOT(ISNUMBER($V95)),$AO95=1),"",$V95-(COUNTIFS($A$14:$A$1213,$A95,$C$14:$C$1213,"&gt;=0")+1)/2)</f>
        <v/>
      </c>
      <c r="Y95" s="27">
        <f>IF(OR(NOT(ISNUMBER($W95)),$AO95=1),"",$W95-(COUNTIFS($A$14:$A$1213,$A95,$F$14:$F$1213,"&gt;=0")+1)/2)</f>
        <v/>
      </c>
      <c r="Z95" s="27">
        <f>IF(ISNUMBER($V95),$A95&amp;"|"&amp;$V95,"")</f>
        <v/>
      </c>
      <c r="AA95" s="27">
        <f>IF(ISNUMBER($W95),$A95&amp;"|"&amp;$W95,"")</f>
        <v/>
      </c>
      <c r="AB95" s="27">
        <f>IF(ISNUMBER($F95),$A95&amp;"|"&amp;$F95,"")</f>
        <v/>
      </c>
      <c r="AC95" s="27">
        <f>IF(ISNUMBER($P95),COUNTIFS($A$14:$A$1213,$A95,$P$14:$P$1213,"&gt;"&amp;$P95)+(COUNTIFS($A$14:$A$1213,$A95,$P$14:$P$1213,"="&amp;$P95)+1)/2,"")</f>
        <v/>
      </c>
      <c r="AD95" s="27">
        <f>IF(ISNUMBER($Q95),COUNTIFS($A$14:$A$1213,$A95,$Q$14:$Q$1213,"&gt;"&amp;$Q95)+(COUNTIFS($A$14:$A$1213,$A95,$Q$14:$Q$1213,"="&amp;$Q95)+1)/2,"")</f>
        <v/>
      </c>
      <c r="AE95" s="27">
        <f>IF(ISNUMBER($R95),COUNTIFS($A$14:$A$1213,$A95,$R$14:$R$1213,"&gt;"&amp;$R95)+(COUNTIFS($A$14:$A$1213,$A95,$R$14:$R$1213,"="&amp;$R95)+1)/2,"")</f>
        <v/>
      </c>
      <c r="AF95" s="27">
        <f>IF(ISNUMBER($S95),COUNTIFS($A$14:$A$1213,$A95,$S$14:$S$1213,"&gt;"&amp;$S95)+(COUNTIFS($A$14:$A$1213,$A95,$S$14:$S$1213,"="&amp;$S95)+1)/2,"")</f>
        <v/>
      </c>
      <c r="AG95" s="27">
        <f>IF(ISNUMBER($T95),COUNTIFS($A$14:$A$1213,$A95,$T$14:$T$1213,"&gt;"&amp;$T95)+(COUNTIFS($A$14:$A$1213,$A95,$T$14:$T$1213,"="&amp;$T95)+1)/2,"")</f>
        <v/>
      </c>
      <c r="AH95" s="27">
        <f>IF(COUNT($AC95:$AG95)&lt;2,"",IF(MAX($AC95:$AG95)=MIN($AC95:$AG95),0,1))</f>
        <v/>
      </c>
      <c r="AI95" s="27">
        <f>IF($A95="","",IF(COUNTIF($A$14:$A95,$A95)=1,COUNTIF($AI$13:AI94,"&gt;0")+1,""))</f>
        <v/>
      </c>
      <c r="AJ95" s="27">
        <f>IF(OR($H95="",COUNTIFS($A$14:$A$1213,$H95,$F$14:$F$1213,"&gt;=0")&lt;2,COUNTIFS($A$14:$A$1213,$H95,$F$14:$F$1213,_xlfn.MAXIFS($F$14:$F$1213,$A$14:$A$1213,$H95))&gt;1),"",IFERROR(INDEX($D$14:$D$1213,MATCH($H95&amp;"|"&amp;_xlfn.MAXIFS($F$14:$F$1213,$A$14:$A$1213,$H95),$AB$14:$AB$1213,0)),""))</f>
        <v/>
      </c>
      <c r="AK95" s="27">
        <f>IF(OR($H95="",COUNTIFS($A$14:$A$1213,$H95,$F$14:$F$1213,"&gt;=0")&lt;2,COUNTIFS($A$14:$A$1213,$H95,$F$14:$F$1213,_xlfn.MAXIFS($F$14:$F$1213,$A$14:$A$1213,$H95))&gt;1),"",IFERROR(INDEX($E$14:$E$1213,MATCH($H95&amp;"|"&amp;_xlfn.MAXIFS($F$14:$F$1213,$A$14:$A$1213,$H95),$AB$14:$AB$1213,0)),""))</f>
        <v/>
      </c>
      <c r="AL95" s="27">
        <f>IF(OR($H95="",COUNTIFS($A$14:$A$1213,$H95,$F$14:$F$1213,"&gt;=0")&lt;2,COUNTIFS($A$14:$A$1213,$H95,$F$14:$F$1213,_xlfn.MAXIFS($F$14:$F$1213,$A$14:$A$1213,$H95))&gt;1),"",IFERROR(INDEX($D$14:$D$1213,MATCH($H95&amp;"|"&amp;_xlfn.MAXIFS($F$14:$F$1213,$A$14:$A$1213,$H95,$F$14:$F$1213,"&lt;"&amp;_xlfn.MAXIFS($F$14:$F$1213,$A$14:$A$1213,$H95)),$AB$14:$AB$1213,0)),""))</f>
        <v/>
      </c>
      <c r="AM95" s="27">
        <f>IF(OR($H95="",COUNTIFS($A$14:$A$1213,$H95,$F$14:$F$1213,"&gt;=0")&lt;2,COUNTIFS($A$14:$A$1213,$H95,$F$14:$F$1213,_xlfn.MAXIFS($F$14:$F$1213,$A$14:$A$1213,$H95))&gt;1),"",IFERROR(INDEX($E$14:$E$1213,MATCH($H95&amp;"|"&amp;_xlfn.MAXIFS($F$14:$F$1213,$A$14:$A$1213,$H95,$F$14:$F$1213,"&lt;"&amp;_xlfn.MAXIFS($F$14:$F$1213,$A$14:$A$1213,$H95)),$AB$14:$AB$1213,0)),""))</f>
        <v/>
      </c>
      <c r="AN95" s="27">
        <f>IF(OR(NOT(ISNUMBER($AJ95)),NOT(ISNUMBER($AL95)),$AK95=0,$AM95=0),"",IF(OR((($AJ95+$AL95)/($AK95+$AM95))&lt;=0,(($AJ95+$AL95)/($AK95+$AM95))&gt;=1),"",($AJ95/$AK95-$AL95/$AM95)/SQRT((($AJ95+$AL95)/($AK95+$AM95))*(1-(($AJ95+$AL95)/($AK95+$AM95)))*(1/$AK95+1/$AM95))))</f>
        <v/>
      </c>
      <c r="AO95" s="27">
        <f>IF($A95="","",IF(AND(COUNTIFS($A$14:$A$1213,$A95,$F$14:$F$1213,"&gt;=0")=2,IFERROR(INDEX($M$14:$M$313,MATCH($A95,$H$14:$H$313,0)),"Yes")&lt;&gt;"Yes"),1,0))</f>
        <v/>
      </c>
    </row>
    <row r="96" ht="24" customHeight="1">
      <c r="A96" s="19">
        <f>IF('Enter messages'!A96="","",'Enter messages'!A96)</f>
        <v/>
      </c>
      <c r="B96" s="20">
        <f>IF('Enter messages'!B96="","",'Enter messages'!B96)</f>
        <v/>
      </c>
      <c r="C96" s="21">
        <f>IFERROR(AVERAGE(P96:T96),"")</f>
        <v/>
      </c>
      <c r="D96" s="29" t="n"/>
      <c r="E96" s="29" t="n"/>
      <c r="F96" s="30">
        <f>IF(AND(ISNUMBER($D96),ISNUMBER($E96),$E96&gt;0,$D96&lt;=$E96),$D96/$E96,"")</f>
        <v/>
      </c>
      <c r="H96" s="19">
        <f>IFERROR(INDEX($A$14:$A$1213,MATCH(83,$AI$14:$AI$1213,0)),"")</f>
        <v/>
      </c>
      <c r="I96" s="24">
        <f>IF($H96="","",IF(COUNTIFS($A$14:$A$1213,$H96,$C$14:$C$1213,"&gt;=0")=0,"—",IFERROR(INDEX($B$14:$B$1213,MATCH($H96&amp;"|1",$Z$14:$Z$1213,0)),"(tied)")))</f>
        <v/>
      </c>
      <c r="J96" s="25">
        <f>IF($H96="","",IF(OR(COUNTIFS($A$14:$A$1213,$H96,$C$14:$C$1213,"&gt;=0")=0,COUNTIFS($A$14:$A$1213,$H96,$F$14:$F$1213,"&gt;=0")=0),"—",IF(OR(ISERROR(MATCH($H96&amp;"|1",$Z$14:$Z$1213,0)),ISERROR(MATCH($H96&amp;"|1",$AA$14:$AA$1213,0))),"Tie",IF(MATCH($H96&amp;"|1",$Z$14:$Z$1213,0)=MATCH($H96&amp;"|1",$AA$14:$AA$1213,0),"Hit","Miss"))))</f>
        <v/>
      </c>
      <c r="K96" s="24">
        <f>IF($H96="","",IF(COUNTIFS($A$14:$A$1213,$H96,$F$14:$F$1213,"&gt;=0")=0,"—",IFERROR(INDEX($B$14:$B$1213,MATCH($H96&amp;"|1",$AA$14:$AA$1213,0)),"(tied)")))</f>
        <v/>
      </c>
      <c r="L96" s="25">
        <f>IF($H96="","",IF((--(COUNTIFS($A$14:$A$1213,$H96,$P$14:$P$1213,"&gt;=0")&gt;0)+--(COUNTIFS($A$14:$A$1213,$H96,$Q$14:$Q$1213,"&gt;=0")&gt;0)+--(COUNTIFS($A$14:$A$1213,$H96,$R$14:$R$1213,"&gt;=0")&gt;0)+--(COUNTIFS($A$14:$A$1213,$H96,$S$14:$S$1213,"&gt;=0")&gt;0)+--(COUNTIFS($A$14:$A$1213,$H96,$T$14:$T$1213,"&gt;=0")&gt;0))&lt;2,"—",IF(SUMIFS($AH$14:$AH$1213,$A$14:$A$1213,$H96)=0,"Yes","No")))</f>
        <v/>
      </c>
      <c r="M96" s="25">
        <f>IF($H96="","",IF(COUNTIFS($A$14:$A$1213,$H96,$F$14:$F$1213,"&gt;=0")&lt;2,"—",IF(COUNTIFS($A$14:$A$1213,$H96,$F$14:$F$1213,_xlfn.MAXIFS($F$14:$F$1213,$A$14:$A$1213,$H96))&gt;1,"No",IF(NOT(ISNUMBER($AN96)),"—",IF((2*(1-NORMSDIST(ABS($AN96))))&lt;0.05,"Yes","No")))))</f>
        <v/>
      </c>
      <c r="N96" s="21">
        <f>IF($H96="","",IF(NOT(ISNUMBER($AN96)),"—",IF((2*(1-NORMSDIST(ABS($AN96))))&lt;0.001,"&lt;0.001",TEXT((2*(1-NORMSDIST(ABS($AN96)))),"0.000"))))</f>
        <v/>
      </c>
      <c r="P96" s="26" t="n"/>
      <c r="Q96" s="26" t="n"/>
      <c r="R96" s="26" t="n"/>
      <c r="S96" s="26" t="n"/>
      <c r="T96" s="26" t="n"/>
      <c r="V96" s="27">
        <f>IF(ISNUMBER($C96),COUNTIFS($A$14:$A$1213,$A96,$C$14:$C$1213,"&gt;"&amp;$C96)+(COUNTIFS($A$14:$A$1213,$A96,$C$14:$C$1213,"="&amp;$C96)+1)/2,"")</f>
        <v/>
      </c>
      <c r="W96" s="27">
        <f>IF(ISNUMBER($F96),COUNTIFS($A$14:$A$1213,$A96,$F$14:$F$1213,"&gt;"&amp;$F96)+(COUNTIFS($A$14:$A$1213,$A96,$F$14:$F$1213,"="&amp;$F96)+1)/2,"")</f>
        <v/>
      </c>
      <c r="X96" s="27">
        <f>IF(OR(NOT(ISNUMBER($V96)),$AO96=1),"",$V96-(COUNTIFS($A$14:$A$1213,$A96,$C$14:$C$1213,"&gt;=0")+1)/2)</f>
        <v/>
      </c>
      <c r="Y96" s="27">
        <f>IF(OR(NOT(ISNUMBER($W96)),$AO96=1),"",$W96-(COUNTIFS($A$14:$A$1213,$A96,$F$14:$F$1213,"&gt;=0")+1)/2)</f>
        <v/>
      </c>
      <c r="Z96" s="27">
        <f>IF(ISNUMBER($V96),$A96&amp;"|"&amp;$V96,"")</f>
        <v/>
      </c>
      <c r="AA96" s="27">
        <f>IF(ISNUMBER($W96),$A96&amp;"|"&amp;$W96,"")</f>
        <v/>
      </c>
      <c r="AB96" s="27">
        <f>IF(ISNUMBER($F96),$A96&amp;"|"&amp;$F96,"")</f>
        <v/>
      </c>
      <c r="AC96" s="27">
        <f>IF(ISNUMBER($P96),COUNTIFS($A$14:$A$1213,$A96,$P$14:$P$1213,"&gt;"&amp;$P96)+(COUNTIFS($A$14:$A$1213,$A96,$P$14:$P$1213,"="&amp;$P96)+1)/2,"")</f>
        <v/>
      </c>
      <c r="AD96" s="27">
        <f>IF(ISNUMBER($Q96),COUNTIFS($A$14:$A$1213,$A96,$Q$14:$Q$1213,"&gt;"&amp;$Q96)+(COUNTIFS($A$14:$A$1213,$A96,$Q$14:$Q$1213,"="&amp;$Q96)+1)/2,"")</f>
        <v/>
      </c>
      <c r="AE96" s="27">
        <f>IF(ISNUMBER($R96),COUNTIFS($A$14:$A$1213,$A96,$R$14:$R$1213,"&gt;"&amp;$R96)+(COUNTIFS($A$14:$A$1213,$A96,$R$14:$R$1213,"="&amp;$R96)+1)/2,"")</f>
        <v/>
      </c>
      <c r="AF96" s="27">
        <f>IF(ISNUMBER($S96),COUNTIFS($A$14:$A$1213,$A96,$S$14:$S$1213,"&gt;"&amp;$S96)+(COUNTIFS($A$14:$A$1213,$A96,$S$14:$S$1213,"="&amp;$S96)+1)/2,"")</f>
        <v/>
      </c>
      <c r="AG96" s="27">
        <f>IF(ISNUMBER($T96),COUNTIFS($A$14:$A$1213,$A96,$T$14:$T$1213,"&gt;"&amp;$T96)+(COUNTIFS($A$14:$A$1213,$A96,$T$14:$T$1213,"="&amp;$T96)+1)/2,"")</f>
        <v/>
      </c>
      <c r="AH96" s="27">
        <f>IF(COUNT($AC96:$AG96)&lt;2,"",IF(MAX($AC96:$AG96)=MIN($AC96:$AG96),0,1))</f>
        <v/>
      </c>
      <c r="AI96" s="27">
        <f>IF($A96="","",IF(COUNTIF($A$14:$A96,$A96)=1,COUNTIF($AI$13:AI95,"&gt;0")+1,""))</f>
        <v/>
      </c>
      <c r="AJ96" s="27">
        <f>IF(OR($H96="",COUNTIFS($A$14:$A$1213,$H96,$F$14:$F$1213,"&gt;=0")&lt;2,COUNTIFS($A$14:$A$1213,$H96,$F$14:$F$1213,_xlfn.MAXIFS($F$14:$F$1213,$A$14:$A$1213,$H96))&gt;1),"",IFERROR(INDEX($D$14:$D$1213,MATCH($H96&amp;"|"&amp;_xlfn.MAXIFS($F$14:$F$1213,$A$14:$A$1213,$H96),$AB$14:$AB$1213,0)),""))</f>
        <v/>
      </c>
      <c r="AK96" s="27">
        <f>IF(OR($H96="",COUNTIFS($A$14:$A$1213,$H96,$F$14:$F$1213,"&gt;=0")&lt;2,COUNTIFS($A$14:$A$1213,$H96,$F$14:$F$1213,_xlfn.MAXIFS($F$14:$F$1213,$A$14:$A$1213,$H96))&gt;1),"",IFERROR(INDEX($E$14:$E$1213,MATCH($H96&amp;"|"&amp;_xlfn.MAXIFS($F$14:$F$1213,$A$14:$A$1213,$H96),$AB$14:$AB$1213,0)),""))</f>
        <v/>
      </c>
      <c r="AL96" s="27">
        <f>IF(OR($H96="",COUNTIFS($A$14:$A$1213,$H96,$F$14:$F$1213,"&gt;=0")&lt;2,COUNTIFS($A$14:$A$1213,$H96,$F$14:$F$1213,_xlfn.MAXIFS($F$14:$F$1213,$A$14:$A$1213,$H96))&gt;1),"",IFERROR(INDEX($D$14:$D$1213,MATCH($H96&amp;"|"&amp;_xlfn.MAXIFS($F$14:$F$1213,$A$14:$A$1213,$H96,$F$14:$F$1213,"&lt;"&amp;_xlfn.MAXIFS($F$14:$F$1213,$A$14:$A$1213,$H96)),$AB$14:$AB$1213,0)),""))</f>
        <v/>
      </c>
      <c r="AM96" s="27">
        <f>IF(OR($H96="",COUNTIFS($A$14:$A$1213,$H96,$F$14:$F$1213,"&gt;=0")&lt;2,COUNTIFS($A$14:$A$1213,$H96,$F$14:$F$1213,_xlfn.MAXIFS($F$14:$F$1213,$A$14:$A$1213,$H96))&gt;1),"",IFERROR(INDEX($E$14:$E$1213,MATCH($H96&amp;"|"&amp;_xlfn.MAXIFS($F$14:$F$1213,$A$14:$A$1213,$H96,$F$14:$F$1213,"&lt;"&amp;_xlfn.MAXIFS($F$14:$F$1213,$A$14:$A$1213,$H96)),$AB$14:$AB$1213,0)),""))</f>
        <v/>
      </c>
      <c r="AN96" s="27">
        <f>IF(OR(NOT(ISNUMBER($AJ96)),NOT(ISNUMBER($AL96)),$AK96=0,$AM96=0),"",IF(OR((($AJ96+$AL96)/($AK96+$AM96))&lt;=0,(($AJ96+$AL96)/($AK96+$AM96))&gt;=1),"",($AJ96/$AK96-$AL96/$AM96)/SQRT((($AJ96+$AL96)/($AK96+$AM96))*(1-(($AJ96+$AL96)/($AK96+$AM96)))*(1/$AK96+1/$AM96))))</f>
        <v/>
      </c>
      <c r="AO96" s="27">
        <f>IF($A96="","",IF(AND(COUNTIFS($A$14:$A$1213,$A96,$F$14:$F$1213,"&gt;=0")=2,IFERROR(INDEX($M$14:$M$313,MATCH($A96,$H$14:$H$313,0)),"Yes")&lt;&gt;"Yes"),1,0))</f>
        <v/>
      </c>
    </row>
    <row r="97" ht="24" customHeight="1">
      <c r="A97" s="19">
        <f>IF('Enter messages'!A97="","",'Enter messages'!A97)</f>
        <v/>
      </c>
      <c r="B97" s="20">
        <f>IF('Enter messages'!B97="","",'Enter messages'!B97)</f>
        <v/>
      </c>
      <c r="C97" s="21">
        <f>IFERROR(AVERAGE(P97:T97),"")</f>
        <v/>
      </c>
      <c r="D97" s="29" t="n"/>
      <c r="E97" s="29" t="n"/>
      <c r="F97" s="30">
        <f>IF(AND(ISNUMBER($D97),ISNUMBER($E97),$E97&gt;0,$D97&lt;=$E97),$D97/$E97,"")</f>
        <v/>
      </c>
      <c r="H97" s="19">
        <f>IFERROR(INDEX($A$14:$A$1213,MATCH(84,$AI$14:$AI$1213,0)),"")</f>
        <v/>
      </c>
      <c r="I97" s="24">
        <f>IF($H97="","",IF(COUNTIFS($A$14:$A$1213,$H97,$C$14:$C$1213,"&gt;=0")=0,"—",IFERROR(INDEX($B$14:$B$1213,MATCH($H97&amp;"|1",$Z$14:$Z$1213,0)),"(tied)")))</f>
        <v/>
      </c>
      <c r="J97" s="25">
        <f>IF($H97="","",IF(OR(COUNTIFS($A$14:$A$1213,$H97,$C$14:$C$1213,"&gt;=0")=0,COUNTIFS($A$14:$A$1213,$H97,$F$14:$F$1213,"&gt;=0")=0),"—",IF(OR(ISERROR(MATCH($H97&amp;"|1",$Z$14:$Z$1213,0)),ISERROR(MATCH($H97&amp;"|1",$AA$14:$AA$1213,0))),"Tie",IF(MATCH($H97&amp;"|1",$Z$14:$Z$1213,0)=MATCH($H97&amp;"|1",$AA$14:$AA$1213,0),"Hit","Miss"))))</f>
        <v/>
      </c>
      <c r="K97" s="24">
        <f>IF($H97="","",IF(COUNTIFS($A$14:$A$1213,$H97,$F$14:$F$1213,"&gt;=0")=0,"—",IFERROR(INDEX($B$14:$B$1213,MATCH($H97&amp;"|1",$AA$14:$AA$1213,0)),"(tied)")))</f>
        <v/>
      </c>
      <c r="L97" s="25">
        <f>IF($H97="","",IF((--(COUNTIFS($A$14:$A$1213,$H97,$P$14:$P$1213,"&gt;=0")&gt;0)+--(COUNTIFS($A$14:$A$1213,$H97,$Q$14:$Q$1213,"&gt;=0")&gt;0)+--(COUNTIFS($A$14:$A$1213,$H97,$R$14:$R$1213,"&gt;=0")&gt;0)+--(COUNTIFS($A$14:$A$1213,$H97,$S$14:$S$1213,"&gt;=0")&gt;0)+--(COUNTIFS($A$14:$A$1213,$H97,$T$14:$T$1213,"&gt;=0")&gt;0))&lt;2,"—",IF(SUMIFS($AH$14:$AH$1213,$A$14:$A$1213,$H97)=0,"Yes","No")))</f>
        <v/>
      </c>
      <c r="M97" s="25">
        <f>IF($H97="","",IF(COUNTIFS($A$14:$A$1213,$H97,$F$14:$F$1213,"&gt;=0")&lt;2,"—",IF(COUNTIFS($A$14:$A$1213,$H97,$F$14:$F$1213,_xlfn.MAXIFS($F$14:$F$1213,$A$14:$A$1213,$H97))&gt;1,"No",IF(NOT(ISNUMBER($AN97)),"—",IF((2*(1-NORMSDIST(ABS($AN97))))&lt;0.05,"Yes","No")))))</f>
        <v/>
      </c>
      <c r="N97" s="21">
        <f>IF($H97="","",IF(NOT(ISNUMBER($AN97)),"—",IF((2*(1-NORMSDIST(ABS($AN97))))&lt;0.001,"&lt;0.001",TEXT((2*(1-NORMSDIST(ABS($AN97)))),"0.000"))))</f>
        <v/>
      </c>
      <c r="P97" s="26" t="n"/>
      <c r="Q97" s="26" t="n"/>
      <c r="R97" s="26" t="n"/>
      <c r="S97" s="26" t="n"/>
      <c r="T97" s="26" t="n"/>
      <c r="V97" s="27">
        <f>IF(ISNUMBER($C97),COUNTIFS($A$14:$A$1213,$A97,$C$14:$C$1213,"&gt;"&amp;$C97)+(COUNTIFS($A$14:$A$1213,$A97,$C$14:$C$1213,"="&amp;$C97)+1)/2,"")</f>
        <v/>
      </c>
      <c r="W97" s="27">
        <f>IF(ISNUMBER($F97),COUNTIFS($A$14:$A$1213,$A97,$F$14:$F$1213,"&gt;"&amp;$F97)+(COUNTIFS($A$14:$A$1213,$A97,$F$14:$F$1213,"="&amp;$F97)+1)/2,"")</f>
        <v/>
      </c>
      <c r="X97" s="27">
        <f>IF(OR(NOT(ISNUMBER($V97)),$AO97=1),"",$V97-(COUNTIFS($A$14:$A$1213,$A97,$C$14:$C$1213,"&gt;=0")+1)/2)</f>
        <v/>
      </c>
      <c r="Y97" s="27">
        <f>IF(OR(NOT(ISNUMBER($W97)),$AO97=1),"",$W97-(COUNTIFS($A$14:$A$1213,$A97,$F$14:$F$1213,"&gt;=0")+1)/2)</f>
        <v/>
      </c>
      <c r="Z97" s="27">
        <f>IF(ISNUMBER($V97),$A97&amp;"|"&amp;$V97,"")</f>
        <v/>
      </c>
      <c r="AA97" s="27">
        <f>IF(ISNUMBER($W97),$A97&amp;"|"&amp;$W97,"")</f>
        <v/>
      </c>
      <c r="AB97" s="27">
        <f>IF(ISNUMBER($F97),$A97&amp;"|"&amp;$F97,"")</f>
        <v/>
      </c>
      <c r="AC97" s="27">
        <f>IF(ISNUMBER($P97),COUNTIFS($A$14:$A$1213,$A97,$P$14:$P$1213,"&gt;"&amp;$P97)+(COUNTIFS($A$14:$A$1213,$A97,$P$14:$P$1213,"="&amp;$P97)+1)/2,"")</f>
        <v/>
      </c>
      <c r="AD97" s="27">
        <f>IF(ISNUMBER($Q97),COUNTIFS($A$14:$A$1213,$A97,$Q$14:$Q$1213,"&gt;"&amp;$Q97)+(COUNTIFS($A$14:$A$1213,$A97,$Q$14:$Q$1213,"="&amp;$Q97)+1)/2,"")</f>
        <v/>
      </c>
      <c r="AE97" s="27">
        <f>IF(ISNUMBER($R97),COUNTIFS($A$14:$A$1213,$A97,$R$14:$R$1213,"&gt;"&amp;$R97)+(COUNTIFS($A$14:$A$1213,$A97,$R$14:$R$1213,"="&amp;$R97)+1)/2,"")</f>
        <v/>
      </c>
      <c r="AF97" s="27">
        <f>IF(ISNUMBER($S97),COUNTIFS($A$14:$A$1213,$A97,$S$14:$S$1213,"&gt;"&amp;$S97)+(COUNTIFS($A$14:$A$1213,$A97,$S$14:$S$1213,"="&amp;$S97)+1)/2,"")</f>
        <v/>
      </c>
      <c r="AG97" s="27">
        <f>IF(ISNUMBER($T97),COUNTIFS($A$14:$A$1213,$A97,$T$14:$T$1213,"&gt;"&amp;$T97)+(COUNTIFS($A$14:$A$1213,$A97,$T$14:$T$1213,"="&amp;$T97)+1)/2,"")</f>
        <v/>
      </c>
      <c r="AH97" s="27">
        <f>IF(COUNT($AC97:$AG97)&lt;2,"",IF(MAX($AC97:$AG97)=MIN($AC97:$AG97),0,1))</f>
        <v/>
      </c>
      <c r="AI97" s="27">
        <f>IF($A97="","",IF(COUNTIF($A$14:$A97,$A97)=1,COUNTIF($AI$13:AI96,"&gt;0")+1,""))</f>
        <v/>
      </c>
      <c r="AJ97" s="27">
        <f>IF(OR($H97="",COUNTIFS($A$14:$A$1213,$H97,$F$14:$F$1213,"&gt;=0")&lt;2,COUNTIFS($A$14:$A$1213,$H97,$F$14:$F$1213,_xlfn.MAXIFS($F$14:$F$1213,$A$14:$A$1213,$H97))&gt;1),"",IFERROR(INDEX($D$14:$D$1213,MATCH($H97&amp;"|"&amp;_xlfn.MAXIFS($F$14:$F$1213,$A$14:$A$1213,$H97),$AB$14:$AB$1213,0)),""))</f>
        <v/>
      </c>
      <c r="AK97" s="27">
        <f>IF(OR($H97="",COUNTIFS($A$14:$A$1213,$H97,$F$14:$F$1213,"&gt;=0")&lt;2,COUNTIFS($A$14:$A$1213,$H97,$F$14:$F$1213,_xlfn.MAXIFS($F$14:$F$1213,$A$14:$A$1213,$H97))&gt;1),"",IFERROR(INDEX($E$14:$E$1213,MATCH($H97&amp;"|"&amp;_xlfn.MAXIFS($F$14:$F$1213,$A$14:$A$1213,$H97),$AB$14:$AB$1213,0)),""))</f>
        <v/>
      </c>
      <c r="AL97" s="27">
        <f>IF(OR($H97="",COUNTIFS($A$14:$A$1213,$H97,$F$14:$F$1213,"&gt;=0")&lt;2,COUNTIFS($A$14:$A$1213,$H97,$F$14:$F$1213,_xlfn.MAXIFS($F$14:$F$1213,$A$14:$A$1213,$H97))&gt;1),"",IFERROR(INDEX($D$14:$D$1213,MATCH($H97&amp;"|"&amp;_xlfn.MAXIFS($F$14:$F$1213,$A$14:$A$1213,$H97,$F$14:$F$1213,"&lt;"&amp;_xlfn.MAXIFS($F$14:$F$1213,$A$14:$A$1213,$H97)),$AB$14:$AB$1213,0)),""))</f>
        <v/>
      </c>
      <c r="AM97" s="27">
        <f>IF(OR($H97="",COUNTIFS($A$14:$A$1213,$H97,$F$14:$F$1213,"&gt;=0")&lt;2,COUNTIFS($A$14:$A$1213,$H97,$F$14:$F$1213,_xlfn.MAXIFS($F$14:$F$1213,$A$14:$A$1213,$H97))&gt;1),"",IFERROR(INDEX($E$14:$E$1213,MATCH($H97&amp;"|"&amp;_xlfn.MAXIFS($F$14:$F$1213,$A$14:$A$1213,$H97,$F$14:$F$1213,"&lt;"&amp;_xlfn.MAXIFS($F$14:$F$1213,$A$14:$A$1213,$H97)),$AB$14:$AB$1213,0)),""))</f>
        <v/>
      </c>
      <c r="AN97" s="27">
        <f>IF(OR(NOT(ISNUMBER($AJ97)),NOT(ISNUMBER($AL97)),$AK97=0,$AM97=0),"",IF(OR((($AJ97+$AL97)/($AK97+$AM97))&lt;=0,(($AJ97+$AL97)/($AK97+$AM97))&gt;=1),"",($AJ97/$AK97-$AL97/$AM97)/SQRT((($AJ97+$AL97)/($AK97+$AM97))*(1-(($AJ97+$AL97)/($AK97+$AM97)))*(1/$AK97+1/$AM97))))</f>
        <v/>
      </c>
      <c r="AO97" s="27">
        <f>IF($A97="","",IF(AND(COUNTIFS($A$14:$A$1213,$A97,$F$14:$F$1213,"&gt;=0")=2,IFERROR(INDEX($M$14:$M$313,MATCH($A97,$H$14:$H$313,0)),"Yes")&lt;&gt;"Yes"),1,0))</f>
        <v/>
      </c>
    </row>
    <row r="98" ht="24" customHeight="1">
      <c r="A98" s="19">
        <f>IF('Enter messages'!A98="","",'Enter messages'!A98)</f>
        <v/>
      </c>
      <c r="B98" s="20">
        <f>IF('Enter messages'!B98="","",'Enter messages'!B98)</f>
        <v/>
      </c>
      <c r="C98" s="21">
        <f>IFERROR(AVERAGE(P98:T98),"")</f>
        <v/>
      </c>
      <c r="D98" s="29" t="n"/>
      <c r="E98" s="29" t="n"/>
      <c r="F98" s="30">
        <f>IF(AND(ISNUMBER($D98),ISNUMBER($E98),$E98&gt;0,$D98&lt;=$E98),$D98/$E98,"")</f>
        <v/>
      </c>
      <c r="H98" s="19">
        <f>IFERROR(INDEX($A$14:$A$1213,MATCH(85,$AI$14:$AI$1213,0)),"")</f>
        <v/>
      </c>
      <c r="I98" s="24">
        <f>IF($H98="","",IF(COUNTIFS($A$14:$A$1213,$H98,$C$14:$C$1213,"&gt;=0")=0,"—",IFERROR(INDEX($B$14:$B$1213,MATCH($H98&amp;"|1",$Z$14:$Z$1213,0)),"(tied)")))</f>
        <v/>
      </c>
      <c r="J98" s="25">
        <f>IF($H98="","",IF(OR(COUNTIFS($A$14:$A$1213,$H98,$C$14:$C$1213,"&gt;=0")=0,COUNTIFS($A$14:$A$1213,$H98,$F$14:$F$1213,"&gt;=0")=0),"—",IF(OR(ISERROR(MATCH($H98&amp;"|1",$Z$14:$Z$1213,0)),ISERROR(MATCH($H98&amp;"|1",$AA$14:$AA$1213,0))),"Tie",IF(MATCH($H98&amp;"|1",$Z$14:$Z$1213,0)=MATCH($H98&amp;"|1",$AA$14:$AA$1213,0),"Hit","Miss"))))</f>
        <v/>
      </c>
      <c r="K98" s="24">
        <f>IF($H98="","",IF(COUNTIFS($A$14:$A$1213,$H98,$F$14:$F$1213,"&gt;=0")=0,"—",IFERROR(INDEX($B$14:$B$1213,MATCH($H98&amp;"|1",$AA$14:$AA$1213,0)),"(tied)")))</f>
        <v/>
      </c>
      <c r="L98" s="25">
        <f>IF($H98="","",IF((--(COUNTIFS($A$14:$A$1213,$H98,$P$14:$P$1213,"&gt;=0")&gt;0)+--(COUNTIFS($A$14:$A$1213,$H98,$Q$14:$Q$1213,"&gt;=0")&gt;0)+--(COUNTIFS($A$14:$A$1213,$H98,$R$14:$R$1213,"&gt;=0")&gt;0)+--(COUNTIFS($A$14:$A$1213,$H98,$S$14:$S$1213,"&gt;=0")&gt;0)+--(COUNTIFS($A$14:$A$1213,$H98,$T$14:$T$1213,"&gt;=0")&gt;0))&lt;2,"—",IF(SUMIFS($AH$14:$AH$1213,$A$14:$A$1213,$H98)=0,"Yes","No")))</f>
        <v/>
      </c>
      <c r="M98" s="25">
        <f>IF($H98="","",IF(COUNTIFS($A$14:$A$1213,$H98,$F$14:$F$1213,"&gt;=0")&lt;2,"—",IF(COUNTIFS($A$14:$A$1213,$H98,$F$14:$F$1213,_xlfn.MAXIFS($F$14:$F$1213,$A$14:$A$1213,$H98))&gt;1,"No",IF(NOT(ISNUMBER($AN98)),"—",IF((2*(1-NORMSDIST(ABS($AN98))))&lt;0.05,"Yes","No")))))</f>
        <v/>
      </c>
      <c r="N98" s="21">
        <f>IF($H98="","",IF(NOT(ISNUMBER($AN98)),"—",IF((2*(1-NORMSDIST(ABS($AN98))))&lt;0.001,"&lt;0.001",TEXT((2*(1-NORMSDIST(ABS($AN98)))),"0.000"))))</f>
        <v/>
      </c>
      <c r="P98" s="26" t="n"/>
      <c r="Q98" s="26" t="n"/>
      <c r="R98" s="26" t="n"/>
      <c r="S98" s="26" t="n"/>
      <c r="T98" s="26" t="n"/>
      <c r="V98" s="27">
        <f>IF(ISNUMBER($C98),COUNTIFS($A$14:$A$1213,$A98,$C$14:$C$1213,"&gt;"&amp;$C98)+(COUNTIFS($A$14:$A$1213,$A98,$C$14:$C$1213,"="&amp;$C98)+1)/2,"")</f>
        <v/>
      </c>
      <c r="W98" s="27">
        <f>IF(ISNUMBER($F98),COUNTIFS($A$14:$A$1213,$A98,$F$14:$F$1213,"&gt;"&amp;$F98)+(COUNTIFS($A$14:$A$1213,$A98,$F$14:$F$1213,"="&amp;$F98)+1)/2,"")</f>
        <v/>
      </c>
      <c r="X98" s="27">
        <f>IF(OR(NOT(ISNUMBER($V98)),$AO98=1),"",$V98-(COUNTIFS($A$14:$A$1213,$A98,$C$14:$C$1213,"&gt;=0")+1)/2)</f>
        <v/>
      </c>
      <c r="Y98" s="27">
        <f>IF(OR(NOT(ISNUMBER($W98)),$AO98=1),"",$W98-(COUNTIFS($A$14:$A$1213,$A98,$F$14:$F$1213,"&gt;=0")+1)/2)</f>
        <v/>
      </c>
      <c r="Z98" s="27">
        <f>IF(ISNUMBER($V98),$A98&amp;"|"&amp;$V98,"")</f>
        <v/>
      </c>
      <c r="AA98" s="27">
        <f>IF(ISNUMBER($W98),$A98&amp;"|"&amp;$W98,"")</f>
        <v/>
      </c>
      <c r="AB98" s="27">
        <f>IF(ISNUMBER($F98),$A98&amp;"|"&amp;$F98,"")</f>
        <v/>
      </c>
      <c r="AC98" s="27">
        <f>IF(ISNUMBER($P98),COUNTIFS($A$14:$A$1213,$A98,$P$14:$P$1213,"&gt;"&amp;$P98)+(COUNTIFS($A$14:$A$1213,$A98,$P$14:$P$1213,"="&amp;$P98)+1)/2,"")</f>
        <v/>
      </c>
      <c r="AD98" s="27">
        <f>IF(ISNUMBER($Q98),COUNTIFS($A$14:$A$1213,$A98,$Q$14:$Q$1213,"&gt;"&amp;$Q98)+(COUNTIFS($A$14:$A$1213,$A98,$Q$14:$Q$1213,"="&amp;$Q98)+1)/2,"")</f>
        <v/>
      </c>
      <c r="AE98" s="27">
        <f>IF(ISNUMBER($R98),COUNTIFS($A$14:$A$1213,$A98,$R$14:$R$1213,"&gt;"&amp;$R98)+(COUNTIFS($A$14:$A$1213,$A98,$R$14:$R$1213,"="&amp;$R98)+1)/2,"")</f>
        <v/>
      </c>
      <c r="AF98" s="27">
        <f>IF(ISNUMBER($S98),COUNTIFS($A$14:$A$1213,$A98,$S$14:$S$1213,"&gt;"&amp;$S98)+(COUNTIFS($A$14:$A$1213,$A98,$S$14:$S$1213,"="&amp;$S98)+1)/2,"")</f>
        <v/>
      </c>
      <c r="AG98" s="27">
        <f>IF(ISNUMBER($T98),COUNTIFS($A$14:$A$1213,$A98,$T$14:$T$1213,"&gt;"&amp;$T98)+(COUNTIFS($A$14:$A$1213,$A98,$T$14:$T$1213,"="&amp;$T98)+1)/2,"")</f>
        <v/>
      </c>
      <c r="AH98" s="27">
        <f>IF(COUNT($AC98:$AG98)&lt;2,"",IF(MAX($AC98:$AG98)=MIN($AC98:$AG98),0,1))</f>
        <v/>
      </c>
      <c r="AI98" s="27">
        <f>IF($A98="","",IF(COUNTIF($A$14:$A98,$A98)=1,COUNTIF($AI$13:AI97,"&gt;0")+1,""))</f>
        <v/>
      </c>
      <c r="AJ98" s="27">
        <f>IF(OR($H98="",COUNTIFS($A$14:$A$1213,$H98,$F$14:$F$1213,"&gt;=0")&lt;2,COUNTIFS($A$14:$A$1213,$H98,$F$14:$F$1213,_xlfn.MAXIFS($F$14:$F$1213,$A$14:$A$1213,$H98))&gt;1),"",IFERROR(INDEX($D$14:$D$1213,MATCH($H98&amp;"|"&amp;_xlfn.MAXIFS($F$14:$F$1213,$A$14:$A$1213,$H98),$AB$14:$AB$1213,0)),""))</f>
        <v/>
      </c>
      <c r="AK98" s="27">
        <f>IF(OR($H98="",COUNTIFS($A$14:$A$1213,$H98,$F$14:$F$1213,"&gt;=0")&lt;2,COUNTIFS($A$14:$A$1213,$H98,$F$14:$F$1213,_xlfn.MAXIFS($F$14:$F$1213,$A$14:$A$1213,$H98))&gt;1),"",IFERROR(INDEX($E$14:$E$1213,MATCH($H98&amp;"|"&amp;_xlfn.MAXIFS($F$14:$F$1213,$A$14:$A$1213,$H98),$AB$14:$AB$1213,0)),""))</f>
        <v/>
      </c>
      <c r="AL98" s="27">
        <f>IF(OR($H98="",COUNTIFS($A$14:$A$1213,$H98,$F$14:$F$1213,"&gt;=0")&lt;2,COUNTIFS($A$14:$A$1213,$H98,$F$14:$F$1213,_xlfn.MAXIFS($F$14:$F$1213,$A$14:$A$1213,$H98))&gt;1),"",IFERROR(INDEX($D$14:$D$1213,MATCH($H98&amp;"|"&amp;_xlfn.MAXIFS($F$14:$F$1213,$A$14:$A$1213,$H98,$F$14:$F$1213,"&lt;"&amp;_xlfn.MAXIFS($F$14:$F$1213,$A$14:$A$1213,$H98)),$AB$14:$AB$1213,0)),""))</f>
        <v/>
      </c>
      <c r="AM98" s="27">
        <f>IF(OR($H98="",COUNTIFS($A$14:$A$1213,$H98,$F$14:$F$1213,"&gt;=0")&lt;2,COUNTIFS($A$14:$A$1213,$H98,$F$14:$F$1213,_xlfn.MAXIFS($F$14:$F$1213,$A$14:$A$1213,$H98))&gt;1),"",IFERROR(INDEX($E$14:$E$1213,MATCH($H98&amp;"|"&amp;_xlfn.MAXIFS($F$14:$F$1213,$A$14:$A$1213,$H98,$F$14:$F$1213,"&lt;"&amp;_xlfn.MAXIFS($F$14:$F$1213,$A$14:$A$1213,$H98)),$AB$14:$AB$1213,0)),""))</f>
        <v/>
      </c>
      <c r="AN98" s="27">
        <f>IF(OR(NOT(ISNUMBER($AJ98)),NOT(ISNUMBER($AL98)),$AK98=0,$AM98=0),"",IF(OR((($AJ98+$AL98)/($AK98+$AM98))&lt;=0,(($AJ98+$AL98)/($AK98+$AM98))&gt;=1),"",($AJ98/$AK98-$AL98/$AM98)/SQRT((($AJ98+$AL98)/($AK98+$AM98))*(1-(($AJ98+$AL98)/($AK98+$AM98)))*(1/$AK98+1/$AM98))))</f>
        <v/>
      </c>
      <c r="AO98" s="27">
        <f>IF($A98="","",IF(AND(COUNTIFS($A$14:$A$1213,$A98,$F$14:$F$1213,"&gt;=0")=2,IFERROR(INDEX($M$14:$M$313,MATCH($A98,$H$14:$H$313,0)),"Yes")&lt;&gt;"Yes"),1,0))</f>
        <v/>
      </c>
    </row>
    <row r="99" ht="24" customHeight="1">
      <c r="A99" s="19">
        <f>IF('Enter messages'!A99="","",'Enter messages'!A99)</f>
        <v/>
      </c>
      <c r="B99" s="20">
        <f>IF('Enter messages'!B99="","",'Enter messages'!B99)</f>
        <v/>
      </c>
      <c r="C99" s="21">
        <f>IFERROR(AVERAGE(P99:T99),"")</f>
        <v/>
      </c>
      <c r="D99" s="29" t="n"/>
      <c r="E99" s="29" t="n"/>
      <c r="F99" s="30">
        <f>IF(AND(ISNUMBER($D99),ISNUMBER($E99),$E99&gt;0,$D99&lt;=$E99),$D99/$E99,"")</f>
        <v/>
      </c>
      <c r="H99" s="19">
        <f>IFERROR(INDEX($A$14:$A$1213,MATCH(86,$AI$14:$AI$1213,0)),"")</f>
        <v/>
      </c>
      <c r="I99" s="24">
        <f>IF($H99="","",IF(COUNTIFS($A$14:$A$1213,$H99,$C$14:$C$1213,"&gt;=0")=0,"—",IFERROR(INDEX($B$14:$B$1213,MATCH($H99&amp;"|1",$Z$14:$Z$1213,0)),"(tied)")))</f>
        <v/>
      </c>
      <c r="J99" s="25">
        <f>IF($H99="","",IF(OR(COUNTIFS($A$14:$A$1213,$H99,$C$14:$C$1213,"&gt;=0")=0,COUNTIFS($A$14:$A$1213,$H99,$F$14:$F$1213,"&gt;=0")=0),"—",IF(OR(ISERROR(MATCH($H99&amp;"|1",$Z$14:$Z$1213,0)),ISERROR(MATCH($H99&amp;"|1",$AA$14:$AA$1213,0))),"Tie",IF(MATCH($H99&amp;"|1",$Z$14:$Z$1213,0)=MATCH($H99&amp;"|1",$AA$14:$AA$1213,0),"Hit","Miss"))))</f>
        <v/>
      </c>
      <c r="K99" s="24">
        <f>IF($H99="","",IF(COUNTIFS($A$14:$A$1213,$H99,$F$14:$F$1213,"&gt;=0")=0,"—",IFERROR(INDEX($B$14:$B$1213,MATCH($H99&amp;"|1",$AA$14:$AA$1213,0)),"(tied)")))</f>
        <v/>
      </c>
      <c r="L99" s="25">
        <f>IF($H99="","",IF((--(COUNTIFS($A$14:$A$1213,$H99,$P$14:$P$1213,"&gt;=0")&gt;0)+--(COUNTIFS($A$14:$A$1213,$H99,$Q$14:$Q$1213,"&gt;=0")&gt;0)+--(COUNTIFS($A$14:$A$1213,$H99,$R$14:$R$1213,"&gt;=0")&gt;0)+--(COUNTIFS($A$14:$A$1213,$H99,$S$14:$S$1213,"&gt;=0")&gt;0)+--(COUNTIFS($A$14:$A$1213,$H99,$T$14:$T$1213,"&gt;=0")&gt;0))&lt;2,"—",IF(SUMIFS($AH$14:$AH$1213,$A$14:$A$1213,$H99)=0,"Yes","No")))</f>
        <v/>
      </c>
      <c r="M99" s="25">
        <f>IF($H99="","",IF(COUNTIFS($A$14:$A$1213,$H99,$F$14:$F$1213,"&gt;=0")&lt;2,"—",IF(COUNTIFS($A$14:$A$1213,$H99,$F$14:$F$1213,_xlfn.MAXIFS($F$14:$F$1213,$A$14:$A$1213,$H99))&gt;1,"No",IF(NOT(ISNUMBER($AN99)),"—",IF((2*(1-NORMSDIST(ABS($AN99))))&lt;0.05,"Yes","No")))))</f>
        <v/>
      </c>
      <c r="N99" s="21">
        <f>IF($H99="","",IF(NOT(ISNUMBER($AN99)),"—",IF((2*(1-NORMSDIST(ABS($AN99))))&lt;0.001,"&lt;0.001",TEXT((2*(1-NORMSDIST(ABS($AN99)))),"0.000"))))</f>
        <v/>
      </c>
      <c r="P99" s="26" t="n"/>
      <c r="Q99" s="26" t="n"/>
      <c r="R99" s="26" t="n"/>
      <c r="S99" s="26" t="n"/>
      <c r="T99" s="26" t="n"/>
      <c r="V99" s="27">
        <f>IF(ISNUMBER($C99),COUNTIFS($A$14:$A$1213,$A99,$C$14:$C$1213,"&gt;"&amp;$C99)+(COUNTIFS($A$14:$A$1213,$A99,$C$14:$C$1213,"="&amp;$C99)+1)/2,"")</f>
        <v/>
      </c>
      <c r="W99" s="27">
        <f>IF(ISNUMBER($F99),COUNTIFS($A$14:$A$1213,$A99,$F$14:$F$1213,"&gt;"&amp;$F99)+(COUNTIFS($A$14:$A$1213,$A99,$F$14:$F$1213,"="&amp;$F99)+1)/2,"")</f>
        <v/>
      </c>
      <c r="X99" s="27">
        <f>IF(OR(NOT(ISNUMBER($V99)),$AO99=1),"",$V99-(COUNTIFS($A$14:$A$1213,$A99,$C$14:$C$1213,"&gt;=0")+1)/2)</f>
        <v/>
      </c>
      <c r="Y99" s="27">
        <f>IF(OR(NOT(ISNUMBER($W99)),$AO99=1),"",$W99-(COUNTIFS($A$14:$A$1213,$A99,$F$14:$F$1213,"&gt;=0")+1)/2)</f>
        <v/>
      </c>
      <c r="Z99" s="27">
        <f>IF(ISNUMBER($V99),$A99&amp;"|"&amp;$V99,"")</f>
        <v/>
      </c>
      <c r="AA99" s="27">
        <f>IF(ISNUMBER($W99),$A99&amp;"|"&amp;$W99,"")</f>
        <v/>
      </c>
      <c r="AB99" s="27">
        <f>IF(ISNUMBER($F99),$A99&amp;"|"&amp;$F99,"")</f>
        <v/>
      </c>
      <c r="AC99" s="27">
        <f>IF(ISNUMBER($P99),COUNTIFS($A$14:$A$1213,$A99,$P$14:$P$1213,"&gt;"&amp;$P99)+(COUNTIFS($A$14:$A$1213,$A99,$P$14:$P$1213,"="&amp;$P99)+1)/2,"")</f>
        <v/>
      </c>
      <c r="AD99" s="27">
        <f>IF(ISNUMBER($Q99),COUNTIFS($A$14:$A$1213,$A99,$Q$14:$Q$1213,"&gt;"&amp;$Q99)+(COUNTIFS($A$14:$A$1213,$A99,$Q$14:$Q$1213,"="&amp;$Q99)+1)/2,"")</f>
        <v/>
      </c>
      <c r="AE99" s="27">
        <f>IF(ISNUMBER($R99),COUNTIFS($A$14:$A$1213,$A99,$R$14:$R$1213,"&gt;"&amp;$R99)+(COUNTIFS($A$14:$A$1213,$A99,$R$14:$R$1213,"="&amp;$R99)+1)/2,"")</f>
        <v/>
      </c>
      <c r="AF99" s="27">
        <f>IF(ISNUMBER($S99),COUNTIFS($A$14:$A$1213,$A99,$S$14:$S$1213,"&gt;"&amp;$S99)+(COUNTIFS($A$14:$A$1213,$A99,$S$14:$S$1213,"="&amp;$S99)+1)/2,"")</f>
        <v/>
      </c>
      <c r="AG99" s="27">
        <f>IF(ISNUMBER($T99),COUNTIFS($A$14:$A$1213,$A99,$T$14:$T$1213,"&gt;"&amp;$T99)+(COUNTIFS($A$14:$A$1213,$A99,$T$14:$T$1213,"="&amp;$T99)+1)/2,"")</f>
        <v/>
      </c>
      <c r="AH99" s="27">
        <f>IF(COUNT($AC99:$AG99)&lt;2,"",IF(MAX($AC99:$AG99)=MIN($AC99:$AG99),0,1))</f>
        <v/>
      </c>
      <c r="AI99" s="27">
        <f>IF($A99="","",IF(COUNTIF($A$14:$A99,$A99)=1,COUNTIF($AI$13:AI98,"&gt;0")+1,""))</f>
        <v/>
      </c>
      <c r="AJ99" s="27">
        <f>IF(OR($H99="",COUNTIFS($A$14:$A$1213,$H99,$F$14:$F$1213,"&gt;=0")&lt;2,COUNTIFS($A$14:$A$1213,$H99,$F$14:$F$1213,_xlfn.MAXIFS($F$14:$F$1213,$A$14:$A$1213,$H99))&gt;1),"",IFERROR(INDEX($D$14:$D$1213,MATCH($H99&amp;"|"&amp;_xlfn.MAXIFS($F$14:$F$1213,$A$14:$A$1213,$H99),$AB$14:$AB$1213,0)),""))</f>
        <v/>
      </c>
      <c r="AK99" s="27">
        <f>IF(OR($H99="",COUNTIFS($A$14:$A$1213,$H99,$F$14:$F$1213,"&gt;=0")&lt;2,COUNTIFS($A$14:$A$1213,$H99,$F$14:$F$1213,_xlfn.MAXIFS($F$14:$F$1213,$A$14:$A$1213,$H99))&gt;1),"",IFERROR(INDEX($E$14:$E$1213,MATCH($H99&amp;"|"&amp;_xlfn.MAXIFS($F$14:$F$1213,$A$14:$A$1213,$H99),$AB$14:$AB$1213,0)),""))</f>
        <v/>
      </c>
      <c r="AL99" s="27">
        <f>IF(OR($H99="",COUNTIFS($A$14:$A$1213,$H99,$F$14:$F$1213,"&gt;=0")&lt;2,COUNTIFS($A$14:$A$1213,$H99,$F$14:$F$1213,_xlfn.MAXIFS($F$14:$F$1213,$A$14:$A$1213,$H99))&gt;1),"",IFERROR(INDEX($D$14:$D$1213,MATCH($H99&amp;"|"&amp;_xlfn.MAXIFS($F$14:$F$1213,$A$14:$A$1213,$H99,$F$14:$F$1213,"&lt;"&amp;_xlfn.MAXIFS($F$14:$F$1213,$A$14:$A$1213,$H99)),$AB$14:$AB$1213,0)),""))</f>
        <v/>
      </c>
      <c r="AM99" s="27">
        <f>IF(OR($H99="",COUNTIFS($A$14:$A$1213,$H99,$F$14:$F$1213,"&gt;=0")&lt;2,COUNTIFS($A$14:$A$1213,$H99,$F$14:$F$1213,_xlfn.MAXIFS($F$14:$F$1213,$A$14:$A$1213,$H99))&gt;1),"",IFERROR(INDEX($E$14:$E$1213,MATCH($H99&amp;"|"&amp;_xlfn.MAXIFS($F$14:$F$1213,$A$14:$A$1213,$H99,$F$14:$F$1213,"&lt;"&amp;_xlfn.MAXIFS($F$14:$F$1213,$A$14:$A$1213,$H99)),$AB$14:$AB$1213,0)),""))</f>
        <v/>
      </c>
      <c r="AN99" s="27">
        <f>IF(OR(NOT(ISNUMBER($AJ99)),NOT(ISNUMBER($AL99)),$AK99=0,$AM99=0),"",IF(OR((($AJ99+$AL99)/($AK99+$AM99))&lt;=0,(($AJ99+$AL99)/($AK99+$AM99))&gt;=1),"",($AJ99/$AK99-$AL99/$AM99)/SQRT((($AJ99+$AL99)/($AK99+$AM99))*(1-(($AJ99+$AL99)/($AK99+$AM99)))*(1/$AK99+1/$AM99))))</f>
        <v/>
      </c>
      <c r="AO99" s="27">
        <f>IF($A99="","",IF(AND(COUNTIFS($A$14:$A$1213,$A99,$F$14:$F$1213,"&gt;=0")=2,IFERROR(INDEX($M$14:$M$313,MATCH($A99,$H$14:$H$313,0)),"Yes")&lt;&gt;"Yes"),1,0))</f>
        <v/>
      </c>
    </row>
    <row r="100" ht="24" customHeight="1">
      <c r="A100" s="19">
        <f>IF('Enter messages'!A100="","",'Enter messages'!A100)</f>
        <v/>
      </c>
      <c r="B100" s="20">
        <f>IF('Enter messages'!B100="","",'Enter messages'!B100)</f>
        <v/>
      </c>
      <c r="C100" s="21">
        <f>IFERROR(AVERAGE(P100:T100),"")</f>
        <v/>
      </c>
      <c r="D100" s="29" t="n"/>
      <c r="E100" s="29" t="n"/>
      <c r="F100" s="30">
        <f>IF(AND(ISNUMBER($D100),ISNUMBER($E100),$E100&gt;0,$D100&lt;=$E100),$D100/$E100,"")</f>
        <v/>
      </c>
      <c r="H100" s="19">
        <f>IFERROR(INDEX($A$14:$A$1213,MATCH(87,$AI$14:$AI$1213,0)),"")</f>
        <v/>
      </c>
      <c r="I100" s="24">
        <f>IF($H100="","",IF(COUNTIFS($A$14:$A$1213,$H100,$C$14:$C$1213,"&gt;=0")=0,"—",IFERROR(INDEX($B$14:$B$1213,MATCH($H100&amp;"|1",$Z$14:$Z$1213,0)),"(tied)")))</f>
        <v/>
      </c>
      <c r="J100" s="25">
        <f>IF($H100="","",IF(OR(COUNTIFS($A$14:$A$1213,$H100,$C$14:$C$1213,"&gt;=0")=0,COUNTIFS($A$14:$A$1213,$H100,$F$14:$F$1213,"&gt;=0")=0),"—",IF(OR(ISERROR(MATCH($H100&amp;"|1",$Z$14:$Z$1213,0)),ISERROR(MATCH($H100&amp;"|1",$AA$14:$AA$1213,0))),"Tie",IF(MATCH($H100&amp;"|1",$Z$14:$Z$1213,0)=MATCH($H100&amp;"|1",$AA$14:$AA$1213,0),"Hit","Miss"))))</f>
        <v/>
      </c>
      <c r="K100" s="24">
        <f>IF($H100="","",IF(COUNTIFS($A$14:$A$1213,$H100,$F$14:$F$1213,"&gt;=0")=0,"—",IFERROR(INDEX($B$14:$B$1213,MATCH($H100&amp;"|1",$AA$14:$AA$1213,0)),"(tied)")))</f>
        <v/>
      </c>
      <c r="L100" s="25">
        <f>IF($H100="","",IF((--(COUNTIFS($A$14:$A$1213,$H100,$P$14:$P$1213,"&gt;=0")&gt;0)+--(COUNTIFS($A$14:$A$1213,$H100,$Q$14:$Q$1213,"&gt;=0")&gt;0)+--(COUNTIFS($A$14:$A$1213,$H100,$R$14:$R$1213,"&gt;=0")&gt;0)+--(COUNTIFS($A$14:$A$1213,$H100,$S$14:$S$1213,"&gt;=0")&gt;0)+--(COUNTIFS($A$14:$A$1213,$H100,$T$14:$T$1213,"&gt;=0")&gt;0))&lt;2,"—",IF(SUMIFS($AH$14:$AH$1213,$A$14:$A$1213,$H100)=0,"Yes","No")))</f>
        <v/>
      </c>
      <c r="M100" s="25">
        <f>IF($H100="","",IF(COUNTIFS($A$14:$A$1213,$H100,$F$14:$F$1213,"&gt;=0")&lt;2,"—",IF(COUNTIFS($A$14:$A$1213,$H100,$F$14:$F$1213,_xlfn.MAXIFS($F$14:$F$1213,$A$14:$A$1213,$H100))&gt;1,"No",IF(NOT(ISNUMBER($AN100)),"—",IF((2*(1-NORMSDIST(ABS($AN100))))&lt;0.05,"Yes","No")))))</f>
        <v/>
      </c>
      <c r="N100" s="21">
        <f>IF($H100="","",IF(NOT(ISNUMBER($AN100)),"—",IF((2*(1-NORMSDIST(ABS($AN100))))&lt;0.001,"&lt;0.001",TEXT((2*(1-NORMSDIST(ABS($AN100)))),"0.000"))))</f>
        <v/>
      </c>
      <c r="P100" s="26" t="n"/>
      <c r="Q100" s="26" t="n"/>
      <c r="R100" s="26" t="n"/>
      <c r="S100" s="26" t="n"/>
      <c r="T100" s="26" t="n"/>
      <c r="V100" s="27">
        <f>IF(ISNUMBER($C100),COUNTIFS($A$14:$A$1213,$A100,$C$14:$C$1213,"&gt;"&amp;$C100)+(COUNTIFS($A$14:$A$1213,$A100,$C$14:$C$1213,"="&amp;$C100)+1)/2,"")</f>
        <v/>
      </c>
      <c r="W100" s="27">
        <f>IF(ISNUMBER($F100),COUNTIFS($A$14:$A$1213,$A100,$F$14:$F$1213,"&gt;"&amp;$F100)+(COUNTIFS($A$14:$A$1213,$A100,$F$14:$F$1213,"="&amp;$F100)+1)/2,"")</f>
        <v/>
      </c>
      <c r="X100" s="27">
        <f>IF(OR(NOT(ISNUMBER($V100)),$AO100=1),"",$V100-(COUNTIFS($A$14:$A$1213,$A100,$C$14:$C$1213,"&gt;=0")+1)/2)</f>
        <v/>
      </c>
      <c r="Y100" s="27">
        <f>IF(OR(NOT(ISNUMBER($W100)),$AO100=1),"",$W100-(COUNTIFS($A$14:$A$1213,$A100,$F$14:$F$1213,"&gt;=0")+1)/2)</f>
        <v/>
      </c>
      <c r="Z100" s="27">
        <f>IF(ISNUMBER($V100),$A100&amp;"|"&amp;$V100,"")</f>
        <v/>
      </c>
      <c r="AA100" s="27">
        <f>IF(ISNUMBER($W100),$A100&amp;"|"&amp;$W100,"")</f>
        <v/>
      </c>
      <c r="AB100" s="27">
        <f>IF(ISNUMBER($F100),$A100&amp;"|"&amp;$F100,"")</f>
        <v/>
      </c>
      <c r="AC100" s="27">
        <f>IF(ISNUMBER($P100),COUNTIFS($A$14:$A$1213,$A100,$P$14:$P$1213,"&gt;"&amp;$P100)+(COUNTIFS($A$14:$A$1213,$A100,$P$14:$P$1213,"="&amp;$P100)+1)/2,"")</f>
        <v/>
      </c>
      <c r="AD100" s="27">
        <f>IF(ISNUMBER($Q100),COUNTIFS($A$14:$A$1213,$A100,$Q$14:$Q$1213,"&gt;"&amp;$Q100)+(COUNTIFS($A$14:$A$1213,$A100,$Q$14:$Q$1213,"="&amp;$Q100)+1)/2,"")</f>
        <v/>
      </c>
      <c r="AE100" s="27">
        <f>IF(ISNUMBER($R100),COUNTIFS($A$14:$A$1213,$A100,$R$14:$R$1213,"&gt;"&amp;$R100)+(COUNTIFS($A$14:$A$1213,$A100,$R$14:$R$1213,"="&amp;$R100)+1)/2,"")</f>
        <v/>
      </c>
      <c r="AF100" s="27">
        <f>IF(ISNUMBER($S100),COUNTIFS($A$14:$A$1213,$A100,$S$14:$S$1213,"&gt;"&amp;$S100)+(COUNTIFS($A$14:$A$1213,$A100,$S$14:$S$1213,"="&amp;$S100)+1)/2,"")</f>
        <v/>
      </c>
      <c r="AG100" s="27">
        <f>IF(ISNUMBER($T100),COUNTIFS($A$14:$A$1213,$A100,$T$14:$T$1213,"&gt;"&amp;$T100)+(COUNTIFS($A$14:$A$1213,$A100,$T$14:$T$1213,"="&amp;$T100)+1)/2,"")</f>
        <v/>
      </c>
      <c r="AH100" s="27">
        <f>IF(COUNT($AC100:$AG100)&lt;2,"",IF(MAX($AC100:$AG100)=MIN($AC100:$AG100),0,1))</f>
        <v/>
      </c>
      <c r="AI100" s="27">
        <f>IF($A100="","",IF(COUNTIF($A$14:$A100,$A100)=1,COUNTIF($AI$13:AI99,"&gt;0")+1,""))</f>
        <v/>
      </c>
      <c r="AJ100" s="27">
        <f>IF(OR($H100="",COUNTIFS($A$14:$A$1213,$H100,$F$14:$F$1213,"&gt;=0")&lt;2,COUNTIFS($A$14:$A$1213,$H100,$F$14:$F$1213,_xlfn.MAXIFS($F$14:$F$1213,$A$14:$A$1213,$H100))&gt;1),"",IFERROR(INDEX($D$14:$D$1213,MATCH($H100&amp;"|"&amp;_xlfn.MAXIFS($F$14:$F$1213,$A$14:$A$1213,$H100),$AB$14:$AB$1213,0)),""))</f>
        <v/>
      </c>
      <c r="AK100" s="27">
        <f>IF(OR($H100="",COUNTIFS($A$14:$A$1213,$H100,$F$14:$F$1213,"&gt;=0")&lt;2,COUNTIFS($A$14:$A$1213,$H100,$F$14:$F$1213,_xlfn.MAXIFS($F$14:$F$1213,$A$14:$A$1213,$H100))&gt;1),"",IFERROR(INDEX($E$14:$E$1213,MATCH($H100&amp;"|"&amp;_xlfn.MAXIFS($F$14:$F$1213,$A$14:$A$1213,$H100),$AB$14:$AB$1213,0)),""))</f>
        <v/>
      </c>
      <c r="AL100" s="27">
        <f>IF(OR($H100="",COUNTIFS($A$14:$A$1213,$H100,$F$14:$F$1213,"&gt;=0")&lt;2,COUNTIFS($A$14:$A$1213,$H100,$F$14:$F$1213,_xlfn.MAXIFS($F$14:$F$1213,$A$14:$A$1213,$H100))&gt;1),"",IFERROR(INDEX($D$14:$D$1213,MATCH($H100&amp;"|"&amp;_xlfn.MAXIFS($F$14:$F$1213,$A$14:$A$1213,$H100,$F$14:$F$1213,"&lt;"&amp;_xlfn.MAXIFS($F$14:$F$1213,$A$14:$A$1213,$H100)),$AB$14:$AB$1213,0)),""))</f>
        <v/>
      </c>
      <c r="AM100" s="27">
        <f>IF(OR($H100="",COUNTIFS($A$14:$A$1213,$H100,$F$14:$F$1213,"&gt;=0")&lt;2,COUNTIFS($A$14:$A$1213,$H100,$F$14:$F$1213,_xlfn.MAXIFS($F$14:$F$1213,$A$14:$A$1213,$H100))&gt;1),"",IFERROR(INDEX($E$14:$E$1213,MATCH($H100&amp;"|"&amp;_xlfn.MAXIFS($F$14:$F$1213,$A$14:$A$1213,$H100,$F$14:$F$1213,"&lt;"&amp;_xlfn.MAXIFS($F$14:$F$1213,$A$14:$A$1213,$H100)),$AB$14:$AB$1213,0)),""))</f>
        <v/>
      </c>
      <c r="AN100" s="27">
        <f>IF(OR(NOT(ISNUMBER($AJ100)),NOT(ISNUMBER($AL100)),$AK100=0,$AM100=0),"",IF(OR((($AJ100+$AL100)/($AK100+$AM100))&lt;=0,(($AJ100+$AL100)/($AK100+$AM100))&gt;=1),"",($AJ100/$AK100-$AL100/$AM100)/SQRT((($AJ100+$AL100)/($AK100+$AM100))*(1-(($AJ100+$AL100)/($AK100+$AM100)))*(1/$AK100+1/$AM100))))</f>
        <v/>
      </c>
      <c r="AO100" s="27">
        <f>IF($A100="","",IF(AND(COUNTIFS($A$14:$A$1213,$A100,$F$14:$F$1213,"&gt;=0")=2,IFERROR(INDEX($M$14:$M$313,MATCH($A100,$H$14:$H$313,0)),"Yes")&lt;&gt;"Yes"),1,0))</f>
        <v/>
      </c>
    </row>
    <row r="101" ht="24" customHeight="1">
      <c r="A101" s="19">
        <f>IF('Enter messages'!A101="","",'Enter messages'!A101)</f>
        <v/>
      </c>
      <c r="B101" s="20">
        <f>IF('Enter messages'!B101="","",'Enter messages'!B101)</f>
        <v/>
      </c>
      <c r="C101" s="21">
        <f>IFERROR(AVERAGE(P101:T101),"")</f>
        <v/>
      </c>
      <c r="D101" s="29" t="n"/>
      <c r="E101" s="29" t="n"/>
      <c r="F101" s="30">
        <f>IF(AND(ISNUMBER($D101),ISNUMBER($E101),$E101&gt;0,$D101&lt;=$E101),$D101/$E101,"")</f>
        <v/>
      </c>
      <c r="H101" s="19">
        <f>IFERROR(INDEX($A$14:$A$1213,MATCH(88,$AI$14:$AI$1213,0)),"")</f>
        <v/>
      </c>
      <c r="I101" s="24">
        <f>IF($H101="","",IF(COUNTIFS($A$14:$A$1213,$H101,$C$14:$C$1213,"&gt;=0")=0,"—",IFERROR(INDEX($B$14:$B$1213,MATCH($H101&amp;"|1",$Z$14:$Z$1213,0)),"(tied)")))</f>
        <v/>
      </c>
      <c r="J101" s="25">
        <f>IF($H101="","",IF(OR(COUNTIFS($A$14:$A$1213,$H101,$C$14:$C$1213,"&gt;=0")=0,COUNTIFS($A$14:$A$1213,$H101,$F$14:$F$1213,"&gt;=0")=0),"—",IF(OR(ISERROR(MATCH($H101&amp;"|1",$Z$14:$Z$1213,0)),ISERROR(MATCH($H101&amp;"|1",$AA$14:$AA$1213,0))),"Tie",IF(MATCH($H101&amp;"|1",$Z$14:$Z$1213,0)=MATCH($H101&amp;"|1",$AA$14:$AA$1213,0),"Hit","Miss"))))</f>
        <v/>
      </c>
      <c r="K101" s="24">
        <f>IF($H101="","",IF(COUNTIFS($A$14:$A$1213,$H101,$F$14:$F$1213,"&gt;=0")=0,"—",IFERROR(INDEX($B$14:$B$1213,MATCH($H101&amp;"|1",$AA$14:$AA$1213,0)),"(tied)")))</f>
        <v/>
      </c>
      <c r="L101" s="25">
        <f>IF($H101="","",IF((--(COUNTIFS($A$14:$A$1213,$H101,$P$14:$P$1213,"&gt;=0")&gt;0)+--(COUNTIFS($A$14:$A$1213,$H101,$Q$14:$Q$1213,"&gt;=0")&gt;0)+--(COUNTIFS($A$14:$A$1213,$H101,$R$14:$R$1213,"&gt;=0")&gt;0)+--(COUNTIFS($A$14:$A$1213,$H101,$S$14:$S$1213,"&gt;=0")&gt;0)+--(COUNTIFS($A$14:$A$1213,$H101,$T$14:$T$1213,"&gt;=0")&gt;0))&lt;2,"—",IF(SUMIFS($AH$14:$AH$1213,$A$14:$A$1213,$H101)=0,"Yes","No")))</f>
        <v/>
      </c>
      <c r="M101" s="25">
        <f>IF($H101="","",IF(COUNTIFS($A$14:$A$1213,$H101,$F$14:$F$1213,"&gt;=0")&lt;2,"—",IF(COUNTIFS($A$14:$A$1213,$H101,$F$14:$F$1213,_xlfn.MAXIFS($F$14:$F$1213,$A$14:$A$1213,$H101))&gt;1,"No",IF(NOT(ISNUMBER($AN101)),"—",IF((2*(1-NORMSDIST(ABS($AN101))))&lt;0.05,"Yes","No")))))</f>
        <v/>
      </c>
      <c r="N101" s="21">
        <f>IF($H101="","",IF(NOT(ISNUMBER($AN101)),"—",IF((2*(1-NORMSDIST(ABS($AN101))))&lt;0.001,"&lt;0.001",TEXT((2*(1-NORMSDIST(ABS($AN101)))),"0.000"))))</f>
        <v/>
      </c>
      <c r="P101" s="26" t="n"/>
      <c r="Q101" s="26" t="n"/>
      <c r="R101" s="26" t="n"/>
      <c r="S101" s="26" t="n"/>
      <c r="T101" s="26" t="n"/>
      <c r="V101" s="27">
        <f>IF(ISNUMBER($C101),COUNTIFS($A$14:$A$1213,$A101,$C$14:$C$1213,"&gt;"&amp;$C101)+(COUNTIFS($A$14:$A$1213,$A101,$C$14:$C$1213,"="&amp;$C101)+1)/2,"")</f>
        <v/>
      </c>
      <c r="W101" s="27">
        <f>IF(ISNUMBER($F101),COUNTIFS($A$14:$A$1213,$A101,$F$14:$F$1213,"&gt;"&amp;$F101)+(COUNTIFS($A$14:$A$1213,$A101,$F$14:$F$1213,"="&amp;$F101)+1)/2,"")</f>
        <v/>
      </c>
      <c r="X101" s="27">
        <f>IF(OR(NOT(ISNUMBER($V101)),$AO101=1),"",$V101-(COUNTIFS($A$14:$A$1213,$A101,$C$14:$C$1213,"&gt;=0")+1)/2)</f>
        <v/>
      </c>
      <c r="Y101" s="27">
        <f>IF(OR(NOT(ISNUMBER($W101)),$AO101=1),"",$W101-(COUNTIFS($A$14:$A$1213,$A101,$F$14:$F$1213,"&gt;=0")+1)/2)</f>
        <v/>
      </c>
      <c r="Z101" s="27">
        <f>IF(ISNUMBER($V101),$A101&amp;"|"&amp;$V101,"")</f>
        <v/>
      </c>
      <c r="AA101" s="27">
        <f>IF(ISNUMBER($W101),$A101&amp;"|"&amp;$W101,"")</f>
        <v/>
      </c>
      <c r="AB101" s="27">
        <f>IF(ISNUMBER($F101),$A101&amp;"|"&amp;$F101,"")</f>
        <v/>
      </c>
      <c r="AC101" s="27">
        <f>IF(ISNUMBER($P101),COUNTIFS($A$14:$A$1213,$A101,$P$14:$P$1213,"&gt;"&amp;$P101)+(COUNTIFS($A$14:$A$1213,$A101,$P$14:$P$1213,"="&amp;$P101)+1)/2,"")</f>
        <v/>
      </c>
      <c r="AD101" s="27">
        <f>IF(ISNUMBER($Q101),COUNTIFS($A$14:$A$1213,$A101,$Q$14:$Q$1213,"&gt;"&amp;$Q101)+(COUNTIFS($A$14:$A$1213,$A101,$Q$14:$Q$1213,"="&amp;$Q101)+1)/2,"")</f>
        <v/>
      </c>
      <c r="AE101" s="27">
        <f>IF(ISNUMBER($R101),COUNTIFS($A$14:$A$1213,$A101,$R$14:$R$1213,"&gt;"&amp;$R101)+(COUNTIFS($A$14:$A$1213,$A101,$R$14:$R$1213,"="&amp;$R101)+1)/2,"")</f>
        <v/>
      </c>
      <c r="AF101" s="27">
        <f>IF(ISNUMBER($S101),COUNTIFS($A$14:$A$1213,$A101,$S$14:$S$1213,"&gt;"&amp;$S101)+(COUNTIFS($A$14:$A$1213,$A101,$S$14:$S$1213,"="&amp;$S101)+1)/2,"")</f>
        <v/>
      </c>
      <c r="AG101" s="27">
        <f>IF(ISNUMBER($T101),COUNTIFS($A$14:$A$1213,$A101,$T$14:$T$1213,"&gt;"&amp;$T101)+(COUNTIFS($A$14:$A$1213,$A101,$T$14:$T$1213,"="&amp;$T101)+1)/2,"")</f>
        <v/>
      </c>
      <c r="AH101" s="27">
        <f>IF(COUNT($AC101:$AG101)&lt;2,"",IF(MAX($AC101:$AG101)=MIN($AC101:$AG101),0,1))</f>
        <v/>
      </c>
      <c r="AI101" s="27">
        <f>IF($A101="","",IF(COUNTIF($A$14:$A101,$A101)=1,COUNTIF($AI$13:AI100,"&gt;0")+1,""))</f>
        <v/>
      </c>
      <c r="AJ101" s="27">
        <f>IF(OR($H101="",COUNTIFS($A$14:$A$1213,$H101,$F$14:$F$1213,"&gt;=0")&lt;2,COUNTIFS($A$14:$A$1213,$H101,$F$14:$F$1213,_xlfn.MAXIFS($F$14:$F$1213,$A$14:$A$1213,$H101))&gt;1),"",IFERROR(INDEX($D$14:$D$1213,MATCH($H101&amp;"|"&amp;_xlfn.MAXIFS($F$14:$F$1213,$A$14:$A$1213,$H101),$AB$14:$AB$1213,0)),""))</f>
        <v/>
      </c>
      <c r="AK101" s="27">
        <f>IF(OR($H101="",COUNTIFS($A$14:$A$1213,$H101,$F$14:$F$1213,"&gt;=0")&lt;2,COUNTIFS($A$14:$A$1213,$H101,$F$14:$F$1213,_xlfn.MAXIFS($F$14:$F$1213,$A$14:$A$1213,$H101))&gt;1),"",IFERROR(INDEX($E$14:$E$1213,MATCH($H101&amp;"|"&amp;_xlfn.MAXIFS($F$14:$F$1213,$A$14:$A$1213,$H101),$AB$14:$AB$1213,0)),""))</f>
        <v/>
      </c>
      <c r="AL101" s="27">
        <f>IF(OR($H101="",COUNTIFS($A$14:$A$1213,$H101,$F$14:$F$1213,"&gt;=0")&lt;2,COUNTIFS($A$14:$A$1213,$H101,$F$14:$F$1213,_xlfn.MAXIFS($F$14:$F$1213,$A$14:$A$1213,$H101))&gt;1),"",IFERROR(INDEX($D$14:$D$1213,MATCH($H101&amp;"|"&amp;_xlfn.MAXIFS($F$14:$F$1213,$A$14:$A$1213,$H101,$F$14:$F$1213,"&lt;"&amp;_xlfn.MAXIFS($F$14:$F$1213,$A$14:$A$1213,$H101)),$AB$14:$AB$1213,0)),""))</f>
        <v/>
      </c>
      <c r="AM101" s="27">
        <f>IF(OR($H101="",COUNTIFS($A$14:$A$1213,$H101,$F$14:$F$1213,"&gt;=0")&lt;2,COUNTIFS($A$14:$A$1213,$H101,$F$14:$F$1213,_xlfn.MAXIFS($F$14:$F$1213,$A$14:$A$1213,$H101))&gt;1),"",IFERROR(INDEX($E$14:$E$1213,MATCH($H101&amp;"|"&amp;_xlfn.MAXIFS($F$14:$F$1213,$A$14:$A$1213,$H101,$F$14:$F$1213,"&lt;"&amp;_xlfn.MAXIFS($F$14:$F$1213,$A$14:$A$1213,$H101)),$AB$14:$AB$1213,0)),""))</f>
        <v/>
      </c>
      <c r="AN101" s="27">
        <f>IF(OR(NOT(ISNUMBER($AJ101)),NOT(ISNUMBER($AL101)),$AK101=0,$AM101=0),"",IF(OR((($AJ101+$AL101)/($AK101+$AM101))&lt;=0,(($AJ101+$AL101)/($AK101+$AM101))&gt;=1),"",($AJ101/$AK101-$AL101/$AM101)/SQRT((($AJ101+$AL101)/($AK101+$AM101))*(1-(($AJ101+$AL101)/($AK101+$AM101)))*(1/$AK101+1/$AM101))))</f>
        <v/>
      </c>
      <c r="AO101" s="27">
        <f>IF($A101="","",IF(AND(COUNTIFS($A$14:$A$1213,$A101,$F$14:$F$1213,"&gt;=0")=2,IFERROR(INDEX($M$14:$M$313,MATCH($A101,$H$14:$H$313,0)),"Yes")&lt;&gt;"Yes"),1,0))</f>
        <v/>
      </c>
    </row>
    <row r="102" ht="24" customHeight="1">
      <c r="A102" s="19">
        <f>IF('Enter messages'!A102="","",'Enter messages'!A102)</f>
        <v/>
      </c>
      <c r="B102" s="20">
        <f>IF('Enter messages'!B102="","",'Enter messages'!B102)</f>
        <v/>
      </c>
      <c r="C102" s="21">
        <f>IFERROR(AVERAGE(P102:T102),"")</f>
        <v/>
      </c>
      <c r="D102" s="29" t="n"/>
      <c r="E102" s="29" t="n"/>
      <c r="F102" s="30">
        <f>IF(AND(ISNUMBER($D102),ISNUMBER($E102),$E102&gt;0,$D102&lt;=$E102),$D102/$E102,"")</f>
        <v/>
      </c>
      <c r="H102" s="19">
        <f>IFERROR(INDEX($A$14:$A$1213,MATCH(89,$AI$14:$AI$1213,0)),"")</f>
        <v/>
      </c>
      <c r="I102" s="24">
        <f>IF($H102="","",IF(COUNTIFS($A$14:$A$1213,$H102,$C$14:$C$1213,"&gt;=0")=0,"—",IFERROR(INDEX($B$14:$B$1213,MATCH($H102&amp;"|1",$Z$14:$Z$1213,0)),"(tied)")))</f>
        <v/>
      </c>
      <c r="J102" s="25">
        <f>IF($H102="","",IF(OR(COUNTIFS($A$14:$A$1213,$H102,$C$14:$C$1213,"&gt;=0")=0,COUNTIFS($A$14:$A$1213,$H102,$F$14:$F$1213,"&gt;=0")=0),"—",IF(OR(ISERROR(MATCH($H102&amp;"|1",$Z$14:$Z$1213,0)),ISERROR(MATCH($H102&amp;"|1",$AA$14:$AA$1213,0))),"Tie",IF(MATCH($H102&amp;"|1",$Z$14:$Z$1213,0)=MATCH($H102&amp;"|1",$AA$14:$AA$1213,0),"Hit","Miss"))))</f>
        <v/>
      </c>
      <c r="K102" s="24">
        <f>IF($H102="","",IF(COUNTIFS($A$14:$A$1213,$H102,$F$14:$F$1213,"&gt;=0")=0,"—",IFERROR(INDEX($B$14:$B$1213,MATCH($H102&amp;"|1",$AA$14:$AA$1213,0)),"(tied)")))</f>
        <v/>
      </c>
      <c r="L102" s="25">
        <f>IF($H102="","",IF((--(COUNTIFS($A$14:$A$1213,$H102,$P$14:$P$1213,"&gt;=0")&gt;0)+--(COUNTIFS($A$14:$A$1213,$H102,$Q$14:$Q$1213,"&gt;=0")&gt;0)+--(COUNTIFS($A$14:$A$1213,$H102,$R$14:$R$1213,"&gt;=0")&gt;0)+--(COUNTIFS($A$14:$A$1213,$H102,$S$14:$S$1213,"&gt;=0")&gt;0)+--(COUNTIFS($A$14:$A$1213,$H102,$T$14:$T$1213,"&gt;=0")&gt;0))&lt;2,"—",IF(SUMIFS($AH$14:$AH$1213,$A$14:$A$1213,$H102)=0,"Yes","No")))</f>
        <v/>
      </c>
      <c r="M102" s="25">
        <f>IF($H102="","",IF(COUNTIFS($A$14:$A$1213,$H102,$F$14:$F$1213,"&gt;=0")&lt;2,"—",IF(COUNTIFS($A$14:$A$1213,$H102,$F$14:$F$1213,_xlfn.MAXIFS($F$14:$F$1213,$A$14:$A$1213,$H102))&gt;1,"No",IF(NOT(ISNUMBER($AN102)),"—",IF((2*(1-NORMSDIST(ABS($AN102))))&lt;0.05,"Yes","No")))))</f>
        <v/>
      </c>
      <c r="N102" s="21">
        <f>IF($H102="","",IF(NOT(ISNUMBER($AN102)),"—",IF((2*(1-NORMSDIST(ABS($AN102))))&lt;0.001,"&lt;0.001",TEXT((2*(1-NORMSDIST(ABS($AN102)))),"0.000"))))</f>
        <v/>
      </c>
      <c r="P102" s="26" t="n"/>
      <c r="Q102" s="26" t="n"/>
      <c r="R102" s="26" t="n"/>
      <c r="S102" s="26" t="n"/>
      <c r="T102" s="26" t="n"/>
      <c r="V102" s="27">
        <f>IF(ISNUMBER($C102),COUNTIFS($A$14:$A$1213,$A102,$C$14:$C$1213,"&gt;"&amp;$C102)+(COUNTIFS($A$14:$A$1213,$A102,$C$14:$C$1213,"="&amp;$C102)+1)/2,"")</f>
        <v/>
      </c>
      <c r="W102" s="27">
        <f>IF(ISNUMBER($F102),COUNTIFS($A$14:$A$1213,$A102,$F$14:$F$1213,"&gt;"&amp;$F102)+(COUNTIFS($A$14:$A$1213,$A102,$F$14:$F$1213,"="&amp;$F102)+1)/2,"")</f>
        <v/>
      </c>
      <c r="X102" s="27">
        <f>IF(OR(NOT(ISNUMBER($V102)),$AO102=1),"",$V102-(COUNTIFS($A$14:$A$1213,$A102,$C$14:$C$1213,"&gt;=0")+1)/2)</f>
        <v/>
      </c>
      <c r="Y102" s="27">
        <f>IF(OR(NOT(ISNUMBER($W102)),$AO102=1),"",$W102-(COUNTIFS($A$14:$A$1213,$A102,$F$14:$F$1213,"&gt;=0")+1)/2)</f>
        <v/>
      </c>
      <c r="Z102" s="27">
        <f>IF(ISNUMBER($V102),$A102&amp;"|"&amp;$V102,"")</f>
        <v/>
      </c>
      <c r="AA102" s="27">
        <f>IF(ISNUMBER($W102),$A102&amp;"|"&amp;$W102,"")</f>
        <v/>
      </c>
      <c r="AB102" s="27">
        <f>IF(ISNUMBER($F102),$A102&amp;"|"&amp;$F102,"")</f>
        <v/>
      </c>
      <c r="AC102" s="27">
        <f>IF(ISNUMBER($P102),COUNTIFS($A$14:$A$1213,$A102,$P$14:$P$1213,"&gt;"&amp;$P102)+(COUNTIFS($A$14:$A$1213,$A102,$P$14:$P$1213,"="&amp;$P102)+1)/2,"")</f>
        <v/>
      </c>
      <c r="AD102" s="27">
        <f>IF(ISNUMBER($Q102),COUNTIFS($A$14:$A$1213,$A102,$Q$14:$Q$1213,"&gt;"&amp;$Q102)+(COUNTIFS($A$14:$A$1213,$A102,$Q$14:$Q$1213,"="&amp;$Q102)+1)/2,"")</f>
        <v/>
      </c>
      <c r="AE102" s="27">
        <f>IF(ISNUMBER($R102),COUNTIFS($A$14:$A$1213,$A102,$R$14:$R$1213,"&gt;"&amp;$R102)+(COUNTIFS($A$14:$A$1213,$A102,$R$14:$R$1213,"="&amp;$R102)+1)/2,"")</f>
        <v/>
      </c>
      <c r="AF102" s="27">
        <f>IF(ISNUMBER($S102),COUNTIFS($A$14:$A$1213,$A102,$S$14:$S$1213,"&gt;"&amp;$S102)+(COUNTIFS($A$14:$A$1213,$A102,$S$14:$S$1213,"="&amp;$S102)+1)/2,"")</f>
        <v/>
      </c>
      <c r="AG102" s="27">
        <f>IF(ISNUMBER($T102),COUNTIFS($A$14:$A$1213,$A102,$T$14:$T$1213,"&gt;"&amp;$T102)+(COUNTIFS($A$14:$A$1213,$A102,$T$14:$T$1213,"="&amp;$T102)+1)/2,"")</f>
        <v/>
      </c>
      <c r="AH102" s="27">
        <f>IF(COUNT($AC102:$AG102)&lt;2,"",IF(MAX($AC102:$AG102)=MIN($AC102:$AG102),0,1))</f>
        <v/>
      </c>
      <c r="AI102" s="27">
        <f>IF($A102="","",IF(COUNTIF($A$14:$A102,$A102)=1,COUNTIF($AI$13:AI101,"&gt;0")+1,""))</f>
        <v/>
      </c>
      <c r="AJ102" s="27">
        <f>IF(OR($H102="",COUNTIFS($A$14:$A$1213,$H102,$F$14:$F$1213,"&gt;=0")&lt;2,COUNTIFS($A$14:$A$1213,$H102,$F$14:$F$1213,_xlfn.MAXIFS($F$14:$F$1213,$A$14:$A$1213,$H102))&gt;1),"",IFERROR(INDEX($D$14:$D$1213,MATCH($H102&amp;"|"&amp;_xlfn.MAXIFS($F$14:$F$1213,$A$14:$A$1213,$H102),$AB$14:$AB$1213,0)),""))</f>
        <v/>
      </c>
      <c r="AK102" s="27">
        <f>IF(OR($H102="",COUNTIFS($A$14:$A$1213,$H102,$F$14:$F$1213,"&gt;=0")&lt;2,COUNTIFS($A$14:$A$1213,$H102,$F$14:$F$1213,_xlfn.MAXIFS($F$14:$F$1213,$A$14:$A$1213,$H102))&gt;1),"",IFERROR(INDEX($E$14:$E$1213,MATCH($H102&amp;"|"&amp;_xlfn.MAXIFS($F$14:$F$1213,$A$14:$A$1213,$H102),$AB$14:$AB$1213,0)),""))</f>
        <v/>
      </c>
      <c r="AL102" s="27">
        <f>IF(OR($H102="",COUNTIFS($A$14:$A$1213,$H102,$F$14:$F$1213,"&gt;=0")&lt;2,COUNTIFS($A$14:$A$1213,$H102,$F$14:$F$1213,_xlfn.MAXIFS($F$14:$F$1213,$A$14:$A$1213,$H102))&gt;1),"",IFERROR(INDEX($D$14:$D$1213,MATCH($H102&amp;"|"&amp;_xlfn.MAXIFS($F$14:$F$1213,$A$14:$A$1213,$H102,$F$14:$F$1213,"&lt;"&amp;_xlfn.MAXIFS($F$14:$F$1213,$A$14:$A$1213,$H102)),$AB$14:$AB$1213,0)),""))</f>
        <v/>
      </c>
      <c r="AM102" s="27">
        <f>IF(OR($H102="",COUNTIFS($A$14:$A$1213,$H102,$F$14:$F$1213,"&gt;=0")&lt;2,COUNTIFS($A$14:$A$1213,$H102,$F$14:$F$1213,_xlfn.MAXIFS($F$14:$F$1213,$A$14:$A$1213,$H102))&gt;1),"",IFERROR(INDEX($E$14:$E$1213,MATCH($H102&amp;"|"&amp;_xlfn.MAXIFS($F$14:$F$1213,$A$14:$A$1213,$H102,$F$14:$F$1213,"&lt;"&amp;_xlfn.MAXIFS($F$14:$F$1213,$A$14:$A$1213,$H102)),$AB$14:$AB$1213,0)),""))</f>
        <v/>
      </c>
      <c r="AN102" s="27">
        <f>IF(OR(NOT(ISNUMBER($AJ102)),NOT(ISNUMBER($AL102)),$AK102=0,$AM102=0),"",IF(OR((($AJ102+$AL102)/($AK102+$AM102))&lt;=0,(($AJ102+$AL102)/($AK102+$AM102))&gt;=1),"",($AJ102/$AK102-$AL102/$AM102)/SQRT((($AJ102+$AL102)/($AK102+$AM102))*(1-(($AJ102+$AL102)/($AK102+$AM102)))*(1/$AK102+1/$AM102))))</f>
        <v/>
      </c>
      <c r="AO102" s="27">
        <f>IF($A102="","",IF(AND(COUNTIFS($A$14:$A$1213,$A102,$F$14:$F$1213,"&gt;=0")=2,IFERROR(INDEX($M$14:$M$313,MATCH($A102,$H$14:$H$313,0)),"Yes")&lt;&gt;"Yes"),1,0))</f>
        <v/>
      </c>
    </row>
    <row r="103" ht="24" customHeight="1">
      <c r="A103" s="19">
        <f>IF('Enter messages'!A103="","",'Enter messages'!A103)</f>
        <v/>
      </c>
      <c r="B103" s="20">
        <f>IF('Enter messages'!B103="","",'Enter messages'!B103)</f>
        <v/>
      </c>
      <c r="C103" s="21">
        <f>IFERROR(AVERAGE(P103:T103),"")</f>
        <v/>
      </c>
      <c r="D103" s="29" t="n"/>
      <c r="E103" s="29" t="n"/>
      <c r="F103" s="30">
        <f>IF(AND(ISNUMBER($D103),ISNUMBER($E103),$E103&gt;0,$D103&lt;=$E103),$D103/$E103,"")</f>
        <v/>
      </c>
      <c r="H103" s="19">
        <f>IFERROR(INDEX($A$14:$A$1213,MATCH(90,$AI$14:$AI$1213,0)),"")</f>
        <v/>
      </c>
      <c r="I103" s="24">
        <f>IF($H103="","",IF(COUNTIFS($A$14:$A$1213,$H103,$C$14:$C$1213,"&gt;=0")=0,"—",IFERROR(INDEX($B$14:$B$1213,MATCH($H103&amp;"|1",$Z$14:$Z$1213,0)),"(tied)")))</f>
        <v/>
      </c>
      <c r="J103" s="25">
        <f>IF($H103="","",IF(OR(COUNTIFS($A$14:$A$1213,$H103,$C$14:$C$1213,"&gt;=0")=0,COUNTIFS($A$14:$A$1213,$H103,$F$14:$F$1213,"&gt;=0")=0),"—",IF(OR(ISERROR(MATCH($H103&amp;"|1",$Z$14:$Z$1213,0)),ISERROR(MATCH($H103&amp;"|1",$AA$14:$AA$1213,0))),"Tie",IF(MATCH($H103&amp;"|1",$Z$14:$Z$1213,0)=MATCH($H103&amp;"|1",$AA$14:$AA$1213,0),"Hit","Miss"))))</f>
        <v/>
      </c>
      <c r="K103" s="24">
        <f>IF($H103="","",IF(COUNTIFS($A$14:$A$1213,$H103,$F$14:$F$1213,"&gt;=0")=0,"—",IFERROR(INDEX($B$14:$B$1213,MATCH($H103&amp;"|1",$AA$14:$AA$1213,0)),"(tied)")))</f>
        <v/>
      </c>
      <c r="L103" s="25">
        <f>IF($H103="","",IF((--(COUNTIFS($A$14:$A$1213,$H103,$P$14:$P$1213,"&gt;=0")&gt;0)+--(COUNTIFS($A$14:$A$1213,$H103,$Q$14:$Q$1213,"&gt;=0")&gt;0)+--(COUNTIFS($A$14:$A$1213,$H103,$R$14:$R$1213,"&gt;=0")&gt;0)+--(COUNTIFS($A$14:$A$1213,$H103,$S$14:$S$1213,"&gt;=0")&gt;0)+--(COUNTIFS($A$14:$A$1213,$H103,$T$14:$T$1213,"&gt;=0")&gt;0))&lt;2,"—",IF(SUMIFS($AH$14:$AH$1213,$A$14:$A$1213,$H103)=0,"Yes","No")))</f>
        <v/>
      </c>
      <c r="M103" s="25">
        <f>IF($H103="","",IF(COUNTIFS($A$14:$A$1213,$H103,$F$14:$F$1213,"&gt;=0")&lt;2,"—",IF(COUNTIFS($A$14:$A$1213,$H103,$F$14:$F$1213,_xlfn.MAXIFS($F$14:$F$1213,$A$14:$A$1213,$H103))&gt;1,"No",IF(NOT(ISNUMBER($AN103)),"—",IF((2*(1-NORMSDIST(ABS($AN103))))&lt;0.05,"Yes","No")))))</f>
        <v/>
      </c>
      <c r="N103" s="21">
        <f>IF($H103="","",IF(NOT(ISNUMBER($AN103)),"—",IF((2*(1-NORMSDIST(ABS($AN103))))&lt;0.001,"&lt;0.001",TEXT((2*(1-NORMSDIST(ABS($AN103)))),"0.000"))))</f>
        <v/>
      </c>
      <c r="P103" s="26" t="n"/>
      <c r="Q103" s="26" t="n"/>
      <c r="R103" s="26" t="n"/>
      <c r="S103" s="26" t="n"/>
      <c r="T103" s="26" t="n"/>
      <c r="V103" s="27">
        <f>IF(ISNUMBER($C103),COUNTIFS($A$14:$A$1213,$A103,$C$14:$C$1213,"&gt;"&amp;$C103)+(COUNTIFS($A$14:$A$1213,$A103,$C$14:$C$1213,"="&amp;$C103)+1)/2,"")</f>
        <v/>
      </c>
      <c r="W103" s="27">
        <f>IF(ISNUMBER($F103),COUNTIFS($A$14:$A$1213,$A103,$F$14:$F$1213,"&gt;"&amp;$F103)+(COUNTIFS($A$14:$A$1213,$A103,$F$14:$F$1213,"="&amp;$F103)+1)/2,"")</f>
        <v/>
      </c>
      <c r="X103" s="27">
        <f>IF(OR(NOT(ISNUMBER($V103)),$AO103=1),"",$V103-(COUNTIFS($A$14:$A$1213,$A103,$C$14:$C$1213,"&gt;=0")+1)/2)</f>
        <v/>
      </c>
      <c r="Y103" s="27">
        <f>IF(OR(NOT(ISNUMBER($W103)),$AO103=1),"",$W103-(COUNTIFS($A$14:$A$1213,$A103,$F$14:$F$1213,"&gt;=0")+1)/2)</f>
        <v/>
      </c>
      <c r="Z103" s="27">
        <f>IF(ISNUMBER($V103),$A103&amp;"|"&amp;$V103,"")</f>
        <v/>
      </c>
      <c r="AA103" s="27">
        <f>IF(ISNUMBER($W103),$A103&amp;"|"&amp;$W103,"")</f>
        <v/>
      </c>
      <c r="AB103" s="27">
        <f>IF(ISNUMBER($F103),$A103&amp;"|"&amp;$F103,"")</f>
        <v/>
      </c>
      <c r="AC103" s="27">
        <f>IF(ISNUMBER($P103),COUNTIFS($A$14:$A$1213,$A103,$P$14:$P$1213,"&gt;"&amp;$P103)+(COUNTIFS($A$14:$A$1213,$A103,$P$14:$P$1213,"="&amp;$P103)+1)/2,"")</f>
        <v/>
      </c>
      <c r="AD103" s="27">
        <f>IF(ISNUMBER($Q103),COUNTIFS($A$14:$A$1213,$A103,$Q$14:$Q$1213,"&gt;"&amp;$Q103)+(COUNTIFS($A$14:$A$1213,$A103,$Q$14:$Q$1213,"="&amp;$Q103)+1)/2,"")</f>
        <v/>
      </c>
      <c r="AE103" s="27">
        <f>IF(ISNUMBER($R103),COUNTIFS($A$14:$A$1213,$A103,$R$14:$R$1213,"&gt;"&amp;$R103)+(COUNTIFS($A$14:$A$1213,$A103,$R$14:$R$1213,"="&amp;$R103)+1)/2,"")</f>
        <v/>
      </c>
      <c r="AF103" s="27">
        <f>IF(ISNUMBER($S103),COUNTIFS($A$14:$A$1213,$A103,$S$14:$S$1213,"&gt;"&amp;$S103)+(COUNTIFS($A$14:$A$1213,$A103,$S$14:$S$1213,"="&amp;$S103)+1)/2,"")</f>
        <v/>
      </c>
      <c r="AG103" s="27">
        <f>IF(ISNUMBER($T103),COUNTIFS($A$14:$A$1213,$A103,$T$14:$T$1213,"&gt;"&amp;$T103)+(COUNTIFS($A$14:$A$1213,$A103,$T$14:$T$1213,"="&amp;$T103)+1)/2,"")</f>
        <v/>
      </c>
      <c r="AH103" s="27">
        <f>IF(COUNT($AC103:$AG103)&lt;2,"",IF(MAX($AC103:$AG103)=MIN($AC103:$AG103),0,1))</f>
        <v/>
      </c>
      <c r="AI103" s="27">
        <f>IF($A103="","",IF(COUNTIF($A$14:$A103,$A103)=1,COUNTIF($AI$13:AI102,"&gt;0")+1,""))</f>
        <v/>
      </c>
      <c r="AJ103" s="27">
        <f>IF(OR($H103="",COUNTIFS($A$14:$A$1213,$H103,$F$14:$F$1213,"&gt;=0")&lt;2,COUNTIFS($A$14:$A$1213,$H103,$F$14:$F$1213,_xlfn.MAXIFS($F$14:$F$1213,$A$14:$A$1213,$H103))&gt;1),"",IFERROR(INDEX($D$14:$D$1213,MATCH($H103&amp;"|"&amp;_xlfn.MAXIFS($F$14:$F$1213,$A$14:$A$1213,$H103),$AB$14:$AB$1213,0)),""))</f>
        <v/>
      </c>
      <c r="AK103" s="27">
        <f>IF(OR($H103="",COUNTIFS($A$14:$A$1213,$H103,$F$14:$F$1213,"&gt;=0")&lt;2,COUNTIFS($A$14:$A$1213,$H103,$F$14:$F$1213,_xlfn.MAXIFS($F$14:$F$1213,$A$14:$A$1213,$H103))&gt;1),"",IFERROR(INDEX($E$14:$E$1213,MATCH($H103&amp;"|"&amp;_xlfn.MAXIFS($F$14:$F$1213,$A$14:$A$1213,$H103),$AB$14:$AB$1213,0)),""))</f>
        <v/>
      </c>
      <c r="AL103" s="27">
        <f>IF(OR($H103="",COUNTIFS($A$14:$A$1213,$H103,$F$14:$F$1213,"&gt;=0")&lt;2,COUNTIFS($A$14:$A$1213,$H103,$F$14:$F$1213,_xlfn.MAXIFS($F$14:$F$1213,$A$14:$A$1213,$H103))&gt;1),"",IFERROR(INDEX($D$14:$D$1213,MATCH($H103&amp;"|"&amp;_xlfn.MAXIFS($F$14:$F$1213,$A$14:$A$1213,$H103,$F$14:$F$1213,"&lt;"&amp;_xlfn.MAXIFS($F$14:$F$1213,$A$14:$A$1213,$H103)),$AB$14:$AB$1213,0)),""))</f>
        <v/>
      </c>
      <c r="AM103" s="27">
        <f>IF(OR($H103="",COUNTIFS($A$14:$A$1213,$H103,$F$14:$F$1213,"&gt;=0")&lt;2,COUNTIFS($A$14:$A$1213,$H103,$F$14:$F$1213,_xlfn.MAXIFS($F$14:$F$1213,$A$14:$A$1213,$H103))&gt;1),"",IFERROR(INDEX($E$14:$E$1213,MATCH($H103&amp;"|"&amp;_xlfn.MAXIFS($F$14:$F$1213,$A$14:$A$1213,$H103,$F$14:$F$1213,"&lt;"&amp;_xlfn.MAXIFS($F$14:$F$1213,$A$14:$A$1213,$H103)),$AB$14:$AB$1213,0)),""))</f>
        <v/>
      </c>
      <c r="AN103" s="27">
        <f>IF(OR(NOT(ISNUMBER($AJ103)),NOT(ISNUMBER($AL103)),$AK103=0,$AM103=0),"",IF(OR((($AJ103+$AL103)/($AK103+$AM103))&lt;=0,(($AJ103+$AL103)/($AK103+$AM103))&gt;=1),"",($AJ103/$AK103-$AL103/$AM103)/SQRT((($AJ103+$AL103)/($AK103+$AM103))*(1-(($AJ103+$AL103)/($AK103+$AM103)))*(1/$AK103+1/$AM103))))</f>
        <v/>
      </c>
      <c r="AO103" s="27">
        <f>IF($A103="","",IF(AND(COUNTIFS($A$14:$A$1213,$A103,$F$14:$F$1213,"&gt;=0")=2,IFERROR(INDEX($M$14:$M$313,MATCH($A103,$H$14:$H$313,0)),"Yes")&lt;&gt;"Yes"),1,0))</f>
        <v/>
      </c>
    </row>
    <row r="104" ht="24" customHeight="1">
      <c r="A104" s="19">
        <f>IF('Enter messages'!A104="","",'Enter messages'!A104)</f>
        <v/>
      </c>
      <c r="B104" s="20">
        <f>IF('Enter messages'!B104="","",'Enter messages'!B104)</f>
        <v/>
      </c>
      <c r="C104" s="21">
        <f>IFERROR(AVERAGE(P104:T104),"")</f>
        <v/>
      </c>
      <c r="D104" s="29" t="n"/>
      <c r="E104" s="29" t="n"/>
      <c r="F104" s="30">
        <f>IF(AND(ISNUMBER($D104),ISNUMBER($E104),$E104&gt;0,$D104&lt;=$E104),$D104/$E104,"")</f>
        <v/>
      </c>
      <c r="H104" s="19">
        <f>IFERROR(INDEX($A$14:$A$1213,MATCH(91,$AI$14:$AI$1213,0)),"")</f>
        <v/>
      </c>
      <c r="I104" s="24">
        <f>IF($H104="","",IF(COUNTIFS($A$14:$A$1213,$H104,$C$14:$C$1213,"&gt;=0")=0,"—",IFERROR(INDEX($B$14:$B$1213,MATCH($H104&amp;"|1",$Z$14:$Z$1213,0)),"(tied)")))</f>
        <v/>
      </c>
      <c r="J104" s="25">
        <f>IF($H104="","",IF(OR(COUNTIFS($A$14:$A$1213,$H104,$C$14:$C$1213,"&gt;=0")=0,COUNTIFS($A$14:$A$1213,$H104,$F$14:$F$1213,"&gt;=0")=0),"—",IF(OR(ISERROR(MATCH($H104&amp;"|1",$Z$14:$Z$1213,0)),ISERROR(MATCH($H104&amp;"|1",$AA$14:$AA$1213,0))),"Tie",IF(MATCH($H104&amp;"|1",$Z$14:$Z$1213,0)=MATCH($H104&amp;"|1",$AA$14:$AA$1213,0),"Hit","Miss"))))</f>
        <v/>
      </c>
      <c r="K104" s="24">
        <f>IF($H104="","",IF(COUNTIFS($A$14:$A$1213,$H104,$F$14:$F$1213,"&gt;=0")=0,"—",IFERROR(INDEX($B$14:$B$1213,MATCH($H104&amp;"|1",$AA$14:$AA$1213,0)),"(tied)")))</f>
        <v/>
      </c>
      <c r="L104" s="25">
        <f>IF($H104="","",IF((--(COUNTIFS($A$14:$A$1213,$H104,$P$14:$P$1213,"&gt;=0")&gt;0)+--(COUNTIFS($A$14:$A$1213,$H104,$Q$14:$Q$1213,"&gt;=0")&gt;0)+--(COUNTIFS($A$14:$A$1213,$H104,$R$14:$R$1213,"&gt;=0")&gt;0)+--(COUNTIFS($A$14:$A$1213,$H104,$S$14:$S$1213,"&gt;=0")&gt;0)+--(COUNTIFS($A$14:$A$1213,$H104,$T$14:$T$1213,"&gt;=0")&gt;0))&lt;2,"—",IF(SUMIFS($AH$14:$AH$1213,$A$14:$A$1213,$H104)=0,"Yes","No")))</f>
        <v/>
      </c>
      <c r="M104" s="25">
        <f>IF($H104="","",IF(COUNTIFS($A$14:$A$1213,$H104,$F$14:$F$1213,"&gt;=0")&lt;2,"—",IF(COUNTIFS($A$14:$A$1213,$H104,$F$14:$F$1213,_xlfn.MAXIFS($F$14:$F$1213,$A$14:$A$1213,$H104))&gt;1,"No",IF(NOT(ISNUMBER($AN104)),"—",IF((2*(1-NORMSDIST(ABS($AN104))))&lt;0.05,"Yes","No")))))</f>
        <v/>
      </c>
      <c r="N104" s="21">
        <f>IF($H104="","",IF(NOT(ISNUMBER($AN104)),"—",IF((2*(1-NORMSDIST(ABS($AN104))))&lt;0.001,"&lt;0.001",TEXT((2*(1-NORMSDIST(ABS($AN104)))),"0.000"))))</f>
        <v/>
      </c>
      <c r="P104" s="26" t="n"/>
      <c r="Q104" s="26" t="n"/>
      <c r="R104" s="26" t="n"/>
      <c r="S104" s="26" t="n"/>
      <c r="T104" s="26" t="n"/>
      <c r="V104" s="27">
        <f>IF(ISNUMBER($C104),COUNTIFS($A$14:$A$1213,$A104,$C$14:$C$1213,"&gt;"&amp;$C104)+(COUNTIFS($A$14:$A$1213,$A104,$C$14:$C$1213,"="&amp;$C104)+1)/2,"")</f>
        <v/>
      </c>
      <c r="W104" s="27">
        <f>IF(ISNUMBER($F104),COUNTIFS($A$14:$A$1213,$A104,$F$14:$F$1213,"&gt;"&amp;$F104)+(COUNTIFS($A$14:$A$1213,$A104,$F$14:$F$1213,"="&amp;$F104)+1)/2,"")</f>
        <v/>
      </c>
      <c r="X104" s="27">
        <f>IF(OR(NOT(ISNUMBER($V104)),$AO104=1),"",$V104-(COUNTIFS($A$14:$A$1213,$A104,$C$14:$C$1213,"&gt;=0")+1)/2)</f>
        <v/>
      </c>
      <c r="Y104" s="27">
        <f>IF(OR(NOT(ISNUMBER($W104)),$AO104=1),"",$W104-(COUNTIFS($A$14:$A$1213,$A104,$F$14:$F$1213,"&gt;=0")+1)/2)</f>
        <v/>
      </c>
      <c r="Z104" s="27">
        <f>IF(ISNUMBER($V104),$A104&amp;"|"&amp;$V104,"")</f>
        <v/>
      </c>
      <c r="AA104" s="27">
        <f>IF(ISNUMBER($W104),$A104&amp;"|"&amp;$W104,"")</f>
        <v/>
      </c>
      <c r="AB104" s="27">
        <f>IF(ISNUMBER($F104),$A104&amp;"|"&amp;$F104,"")</f>
        <v/>
      </c>
      <c r="AC104" s="27">
        <f>IF(ISNUMBER($P104),COUNTIFS($A$14:$A$1213,$A104,$P$14:$P$1213,"&gt;"&amp;$P104)+(COUNTIFS($A$14:$A$1213,$A104,$P$14:$P$1213,"="&amp;$P104)+1)/2,"")</f>
        <v/>
      </c>
      <c r="AD104" s="27">
        <f>IF(ISNUMBER($Q104),COUNTIFS($A$14:$A$1213,$A104,$Q$14:$Q$1213,"&gt;"&amp;$Q104)+(COUNTIFS($A$14:$A$1213,$A104,$Q$14:$Q$1213,"="&amp;$Q104)+1)/2,"")</f>
        <v/>
      </c>
      <c r="AE104" s="27">
        <f>IF(ISNUMBER($R104),COUNTIFS($A$14:$A$1213,$A104,$R$14:$R$1213,"&gt;"&amp;$R104)+(COUNTIFS($A$14:$A$1213,$A104,$R$14:$R$1213,"="&amp;$R104)+1)/2,"")</f>
        <v/>
      </c>
      <c r="AF104" s="27">
        <f>IF(ISNUMBER($S104),COUNTIFS($A$14:$A$1213,$A104,$S$14:$S$1213,"&gt;"&amp;$S104)+(COUNTIFS($A$14:$A$1213,$A104,$S$14:$S$1213,"="&amp;$S104)+1)/2,"")</f>
        <v/>
      </c>
      <c r="AG104" s="27">
        <f>IF(ISNUMBER($T104),COUNTIFS($A$14:$A$1213,$A104,$T$14:$T$1213,"&gt;"&amp;$T104)+(COUNTIFS($A$14:$A$1213,$A104,$T$14:$T$1213,"="&amp;$T104)+1)/2,"")</f>
        <v/>
      </c>
      <c r="AH104" s="27">
        <f>IF(COUNT($AC104:$AG104)&lt;2,"",IF(MAX($AC104:$AG104)=MIN($AC104:$AG104),0,1))</f>
        <v/>
      </c>
      <c r="AI104" s="27">
        <f>IF($A104="","",IF(COUNTIF($A$14:$A104,$A104)=1,COUNTIF($AI$13:AI103,"&gt;0")+1,""))</f>
        <v/>
      </c>
      <c r="AJ104" s="27">
        <f>IF(OR($H104="",COUNTIFS($A$14:$A$1213,$H104,$F$14:$F$1213,"&gt;=0")&lt;2,COUNTIFS($A$14:$A$1213,$H104,$F$14:$F$1213,_xlfn.MAXIFS($F$14:$F$1213,$A$14:$A$1213,$H104))&gt;1),"",IFERROR(INDEX($D$14:$D$1213,MATCH($H104&amp;"|"&amp;_xlfn.MAXIFS($F$14:$F$1213,$A$14:$A$1213,$H104),$AB$14:$AB$1213,0)),""))</f>
        <v/>
      </c>
      <c r="AK104" s="27">
        <f>IF(OR($H104="",COUNTIFS($A$14:$A$1213,$H104,$F$14:$F$1213,"&gt;=0")&lt;2,COUNTIFS($A$14:$A$1213,$H104,$F$14:$F$1213,_xlfn.MAXIFS($F$14:$F$1213,$A$14:$A$1213,$H104))&gt;1),"",IFERROR(INDEX($E$14:$E$1213,MATCH($H104&amp;"|"&amp;_xlfn.MAXIFS($F$14:$F$1213,$A$14:$A$1213,$H104),$AB$14:$AB$1213,0)),""))</f>
        <v/>
      </c>
      <c r="AL104" s="27">
        <f>IF(OR($H104="",COUNTIFS($A$14:$A$1213,$H104,$F$14:$F$1213,"&gt;=0")&lt;2,COUNTIFS($A$14:$A$1213,$H104,$F$14:$F$1213,_xlfn.MAXIFS($F$14:$F$1213,$A$14:$A$1213,$H104))&gt;1),"",IFERROR(INDEX($D$14:$D$1213,MATCH($H104&amp;"|"&amp;_xlfn.MAXIFS($F$14:$F$1213,$A$14:$A$1213,$H104,$F$14:$F$1213,"&lt;"&amp;_xlfn.MAXIFS($F$14:$F$1213,$A$14:$A$1213,$H104)),$AB$14:$AB$1213,0)),""))</f>
        <v/>
      </c>
      <c r="AM104" s="27">
        <f>IF(OR($H104="",COUNTIFS($A$14:$A$1213,$H104,$F$14:$F$1213,"&gt;=0")&lt;2,COUNTIFS($A$14:$A$1213,$H104,$F$14:$F$1213,_xlfn.MAXIFS($F$14:$F$1213,$A$14:$A$1213,$H104))&gt;1),"",IFERROR(INDEX($E$14:$E$1213,MATCH($H104&amp;"|"&amp;_xlfn.MAXIFS($F$14:$F$1213,$A$14:$A$1213,$H104,$F$14:$F$1213,"&lt;"&amp;_xlfn.MAXIFS($F$14:$F$1213,$A$14:$A$1213,$H104)),$AB$14:$AB$1213,0)),""))</f>
        <v/>
      </c>
      <c r="AN104" s="27">
        <f>IF(OR(NOT(ISNUMBER($AJ104)),NOT(ISNUMBER($AL104)),$AK104=0,$AM104=0),"",IF(OR((($AJ104+$AL104)/($AK104+$AM104))&lt;=0,(($AJ104+$AL104)/($AK104+$AM104))&gt;=1),"",($AJ104/$AK104-$AL104/$AM104)/SQRT((($AJ104+$AL104)/($AK104+$AM104))*(1-(($AJ104+$AL104)/($AK104+$AM104)))*(1/$AK104+1/$AM104))))</f>
        <v/>
      </c>
      <c r="AO104" s="27">
        <f>IF($A104="","",IF(AND(COUNTIFS($A$14:$A$1213,$A104,$F$14:$F$1213,"&gt;=0")=2,IFERROR(INDEX($M$14:$M$313,MATCH($A104,$H$14:$H$313,0)),"Yes")&lt;&gt;"Yes"),1,0))</f>
        <v/>
      </c>
    </row>
    <row r="105" ht="24" customHeight="1">
      <c r="A105" s="19">
        <f>IF('Enter messages'!A105="","",'Enter messages'!A105)</f>
        <v/>
      </c>
      <c r="B105" s="20">
        <f>IF('Enter messages'!B105="","",'Enter messages'!B105)</f>
        <v/>
      </c>
      <c r="C105" s="21">
        <f>IFERROR(AVERAGE(P105:T105),"")</f>
        <v/>
      </c>
      <c r="D105" s="29" t="n"/>
      <c r="E105" s="29" t="n"/>
      <c r="F105" s="30">
        <f>IF(AND(ISNUMBER($D105),ISNUMBER($E105),$E105&gt;0,$D105&lt;=$E105),$D105/$E105,"")</f>
        <v/>
      </c>
      <c r="H105" s="19">
        <f>IFERROR(INDEX($A$14:$A$1213,MATCH(92,$AI$14:$AI$1213,0)),"")</f>
        <v/>
      </c>
      <c r="I105" s="24">
        <f>IF($H105="","",IF(COUNTIFS($A$14:$A$1213,$H105,$C$14:$C$1213,"&gt;=0")=0,"—",IFERROR(INDEX($B$14:$B$1213,MATCH($H105&amp;"|1",$Z$14:$Z$1213,0)),"(tied)")))</f>
        <v/>
      </c>
      <c r="J105" s="25">
        <f>IF($H105="","",IF(OR(COUNTIFS($A$14:$A$1213,$H105,$C$14:$C$1213,"&gt;=0")=0,COUNTIFS($A$14:$A$1213,$H105,$F$14:$F$1213,"&gt;=0")=0),"—",IF(OR(ISERROR(MATCH($H105&amp;"|1",$Z$14:$Z$1213,0)),ISERROR(MATCH($H105&amp;"|1",$AA$14:$AA$1213,0))),"Tie",IF(MATCH($H105&amp;"|1",$Z$14:$Z$1213,0)=MATCH($H105&amp;"|1",$AA$14:$AA$1213,0),"Hit","Miss"))))</f>
        <v/>
      </c>
      <c r="K105" s="24">
        <f>IF($H105="","",IF(COUNTIFS($A$14:$A$1213,$H105,$F$14:$F$1213,"&gt;=0")=0,"—",IFERROR(INDEX($B$14:$B$1213,MATCH($H105&amp;"|1",$AA$14:$AA$1213,0)),"(tied)")))</f>
        <v/>
      </c>
      <c r="L105" s="25">
        <f>IF($H105="","",IF((--(COUNTIFS($A$14:$A$1213,$H105,$P$14:$P$1213,"&gt;=0")&gt;0)+--(COUNTIFS($A$14:$A$1213,$H105,$Q$14:$Q$1213,"&gt;=0")&gt;0)+--(COUNTIFS($A$14:$A$1213,$H105,$R$14:$R$1213,"&gt;=0")&gt;0)+--(COUNTIFS($A$14:$A$1213,$H105,$S$14:$S$1213,"&gt;=0")&gt;0)+--(COUNTIFS($A$14:$A$1213,$H105,$T$14:$T$1213,"&gt;=0")&gt;0))&lt;2,"—",IF(SUMIFS($AH$14:$AH$1213,$A$14:$A$1213,$H105)=0,"Yes","No")))</f>
        <v/>
      </c>
      <c r="M105" s="25">
        <f>IF($H105="","",IF(COUNTIFS($A$14:$A$1213,$H105,$F$14:$F$1213,"&gt;=0")&lt;2,"—",IF(COUNTIFS($A$14:$A$1213,$H105,$F$14:$F$1213,_xlfn.MAXIFS($F$14:$F$1213,$A$14:$A$1213,$H105))&gt;1,"No",IF(NOT(ISNUMBER($AN105)),"—",IF((2*(1-NORMSDIST(ABS($AN105))))&lt;0.05,"Yes","No")))))</f>
        <v/>
      </c>
      <c r="N105" s="21">
        <f>IF($H105="","",IF(NOT(ISNUMBER($AN105)),"—",IF((2*(1-NORMSDIST(ABS($AN105))))&lt;0.001,"&lt;0.001",TEXT((2*(1-NORMSDIST(ABS($AN105)))),"0.000"))))</f>
        <v/>
      </c>
      <c r="P105" s="26" t="n"/>
      <c r="Q105" s="26" t="n"/>
      <c r="R105" s="26" t="n"/>
      <c r="S105" s="26" t="n"/>
      <c r="T105" s="26" t="n"/>
      <c r="V105" s="27">
        <f>IF(ISNUMBER($C105),COUNTIFS($A$14:$A$1213,$A105,$C$14:$C$1213,"&gt;"&amp;$C105)+(COUNTIFS($A$14:$A$1213,$A105,$C$14:$C$1213,"="&amp;$C105)+1)/2,"")</f>
        <v/>
      </c>
      <c r="W105" s="27">
        <f>IF(ISNUMBER($F105),COUNTIFS($A$14:$A$1213,$A105,$F$14:$F$1213,"&gt;"&amp;$F105)+(COUNTIFS($A$14:$A$1213,$A105,$F$14:$F$1213,"="&amp;$F105)+1)/2,"")</f>
        <v/>
      </c>
      <c r="X105" s="27">
        <f>IF(OR(NOT(ISNUMBER($V105)),$AO105=1),"",$V105-(COUNTIFS($A$14:$A$1213,$A105,$C$14:$C$1213,"&gt;=0")+1)/2)</f>
        <v/>
      </c>
      <c r="Y105" s="27">
        <f>IF(OR(NOT(ISNUMBER($W105)),$AO105=1),"",$W105-(COUNTIFS($A$14:$A$1213,$A105,$F$14:$F$1213,"&gt;=0")+1)/2)</f>
        <v/>
      </c>
      <c r="Z105" s="27">
        <f>IF(ISNUMBER($V105),$A105&amp;"|"&amp;$V105,"")</f>
        <v/>
      </c>
      <c r="AA105" s="27">
        <f>IF(ISNUMBER($W105),$A105&amp;"|"&amp;$W105,"")</f>
        <v/>
      </c>
      <c r="AB105" s="27">
        <f>IF(ISNUMBER($F105),$A105&amp;"|"&amp;$F105,"")</f>
        <v/>
      </c>
      <c r="AC105" s="27">
        <f>IF(ISNUMBER($P105),COUNTIFS($A$14:$A$1213,$A105,$P$14:$P$1213,"&gt;"&amp;$P105)+(COUNTIFS($A$14:$A$1213,$A105,$P$14:$P$1213,"="&amp;$P105)+1)/2,"")</f>
        <v/>
      </c>
      <c r="AD105" s="27">
        <f>IF(ISNUMBER($Q105),COUNTIFS($A$14:$A$1213,$A105,$Q$14:$Q$1213,"&gt;"&amp;$Q105)+(COUNTIFS($A$14:$A$1213,$A105,$Q$14:$Q$1213,"="&amp;$Q105)+1)/2,"")</f>
        <v/>
      </c>
      <c r="AE105" s="27">
        <f>IF(ISNUMBER($R105),COUNTIFS($A$14:$A$1213,$A105,$R$14:$R$1213,"&gt;"&amp;$R105)+(COUNTIFS($A$14:$A$1213,$A105,$R$14:$R$1213,"="&amp;$R105)+1)/2,"")</f>
        <v/>
      </c>
      <c r="AF105" s="27">
        <f>IF(ISNUMBER($S105),COUNTIFS($A$14:$A$1213,$A105,$S$14:$S$1213,"&gt;"&amp;$S105)+(COUNTIFS($A$14:$A$1213,$A105,$S$14:$S$1213,"="&amp;$S105)+1)/2,"")</f>
        <v/>
      </c>
      <c r="AG105" s="27">
        <f>IF(ISNUMBER($T105),COUNTIFS($A$14:$A$1213,$A105,$T$14:$T$1213,"&gt;"&amp;$T105)+(COUNTIFS($A$14:$A$1213,$A105,$T$14:$T$1213,"="&amp;$T105)+1)/2,"")</f>
        <v/>
      </c>
      <c r="AH105" s="27">
        <f>IF(COUNT($AC105:$AG105)&lt;2,"",IF(MAX($AC105:$AG105)=MIN($AC105:$AG105),0,1))</f>
        <v/>
      </c>
      <c r="AI105" s="27">
        <f>IF($A105="","",IF(COUNTIF($A$14:$A105,$A105)=1,COUNTIF($AI$13:AI104,"&gt;0")+1,""))</f>
        <v/>
      </c>
      <c r="AJ105" s="27">
        <f>IF(OR($H105="",COUNTIFS($A$14:$A$1213,$H105,$F$14:$F$1213,"&gt;=0")&lt;2,COUNTIFS($A$14:$A$1213,$H105,$F$14:$F$1213,_xlfn.MAXIFS($F$14:$F$1213,$A$14:$A$1213,$H105))&gt;1),"",IFERROR(INDEX($D$14:$D$1213,MATCH($H105&amp;"|"&amp;_xlfn.MAXIFS($F$14:$F$1213,$A$14:$A$1213,$H105),$AB$14:$AB$1213,0)),""))</f>
        <v/>
      </c>
      <c r="AK105" s="27">
        <f>IF(OR($H105="",COUNTIFS($A$14:$A$1213,$H105,$F$14:$F$1213,"&gt;=0")&lt;2,COUNTIFS($A$14:$A$1213,$H105,$F$14:$F$1213,_xlfn.MAXIFS($F$14:$F$1213,$A$14:$A$1213,$H105))&gt;1),"",IFERROR(INDEX($E$14:$E$1213,MATCH($H105&amp;"|"&amp;_xlfn.MAXIFS($F$14:$F$1213,$A$14:$A$1213,$H105),$AB$14:$AB$1213,0)),""))</f>
        <v/>
      </c>
      <c r="AL105" s="27">
        <f>IF(OR($H105="",COUNTIFS($A$14:$A$1213,$H105,$F$14:$F$1213,"&gt;=0")&lt;2,COUNTIFS($A$14:$A$1213,$H105,$F$14:$F$1213,_xlfn.MAXIFS($F$14:$F$1213,$A$14:$A$1213,$H105))&gt;1),"",IFERROR(INDEX($D$14:$D$1213,MATCH($H105&amp;"|"&amp;_xlfn.MAXIFS($F$14:$F$1213,$A$14:$A$1213,$H105,$F$14:$F$1213,"&lt;"&amp;_xlfn.MAXIFS($F$14:$F$1213,$A$14:$A$1213,$H105)),$AB$14:$AB$1213,0)),""))</f>
        <v/>
      </c>
      <c r="AM105" s="27">
        <f>IF(OR($H105="",COUNTIFS($A$14:$A$1213,$H105,$F$14:$F$1213,"&gt;=0")&lt;2,COUNTIFS($A$14:$A$1213,$H105,$F$14:$F$1213,_xlfn.MAXIFS($F$14:$F$1213,$A$14:$A$1213,$H105))&gt;1),"",IFERROR(INDEX($E$14:$E$1213,MATCH($H105&amp;"|"&amp;_xlfn.MAXIFS($F$14:$F$1213,$A$14:$A$1213,$H105,$F$14:$F$1213,"&lt;"&amp;_xlfn.MAXIFS($F$14:$F$1213,$A$14:$A$1213,$H105)),$AB$14:$AB$1213,0)),""))</f>
        <v/>
      </c>
      <c r="AN105" s="27">
        <f>IF(OR(NOT(ISNUMBER($AJ105)),NOT(ISNUMBER($AL105)),$AK105=0,$AM105=0),"",IF(OR((($AJ105+$AL105)/($AK105+$AM105))&lt;=0,(($AJ105+$AL105)/($AK105+$AM105))&gt;=1),"",($AJ105/$AK105-$AL105/$AM105)/SQRT((($AJ105+$AL105)/($AK105+$AM105))*(1-(($AJ105+$AL105)/($AK105+$AM105)))*(1/$AK105+1/$AM105))))</f>
        <v/>
      </c>
      <c r="AO105" s="27">
        <f>IF($A105="","",IF(AND(COUNTIFS($A$14:$A$1213,$A105,$F$14:$F$1213,"&gt;=0")=2,IFERROR(INDEX($M$14:$M$313,MATCH($A105,$H$14:$H$313,0)),"Yes")&lt;&gt;"Yes"),1,0))</f>
        <v/>
      </c>
    </row>
    <row r="106" ht="24" customHeight="1">
      <c r="A106" s="19">
        <f>IF('Enter messages'!A106="","",'Enter messages'!A106)</f>
        <v/>
      </c>
      <c r="B106" s="20">
        <f>IF('Enter messages'!B106="","",'Enter messages'!B106)</f>
        <v/>
      </c>
      <c r="C106" s="21">
        <f>IFERROR(AVERAGE(P106:T106),"")</f>
        <v/>
      </c>
      <c r="D106" s="29" t="n"/>
      <c r="E106" s="29" t="n"/>
      <c r="F106" s="30">
        <f>IF(AND(ISNUMBER($D106),ISNUMBER($E106),$E106&gt;0,$D106&lt;=$E106),$D106/$E106,"")</f>
        <v/>
      </c>
      <c r="H106" s="19">
        <f>IFERROR(INDEX($A$14:$A$1213,MATCH(93,$AI$14:$AI$1213,0)),"")</f>
        <v/>
      </c>
      <c r="I106" s="24">
        <f>IF($H106="","",IF(COUNTIFS($A$14:$A$1213,$H106,$C$14:$C$1213,"&gt;=0")=0,"—",IFERROR(INDEX($B$14:$B$1213,MATCH($H106&amp;"|1",$Z$14:$Z$1213,0)),"(tied)")))</f>
        <v/>
      </c>
      <c r="J106" s="25">
        <f>IF($H106="","",IF(OR(COUNTIFS($A$14:$A$1213,$H106,$C$14:$C$1213,"&gt;=0")=0,COUNTIFS($A$14:$A$1213,$H106,$F$14:$F$1213,"&gt;=0")=0),"—",IF(OR(ISERROR(MATCH($H106&amp;"|1",$Z$14:$Z$1213,0)),ISERROR(MATCH($H106&amp;"|1",$AA$14:$AA$1213,0))),"Tie",IF(MATCH($H106&amp;"|1",$Z$14:$Z$1213,0)=MATCH($H106&amp;"|1",$AA$14:$AA$1213,0),"Hit","Miss"))))</f>
        <v/>
      </c>
      <c r="K106" s="24">
        <f>IF($H106="","",IF(COUNTIFS($A$14:$A$1213,$H106,$F$14:$F$1213,"&gt;=0")=0,"—",IFERROR(INDEX($B$14:$B$1213,MATCH($H106&amp;"|1",$AA$14:$AA$1213,0)),"(tied)")))</f>
        <v/>
      </c>
      <c r="L106" s="25">
        <f>IF($H106="","",IF((--(COUNTIFS($A$14:$A$1213,$H106,$P$14:$P$1213,"&gt;=0")&gt;0)+--(COUNTIFS($A$14:$A$1213,$H106,$Q$14:$Q$1213,"&gt;=0")&gt;0)+--(COUNTIFS($A$14:$A$1213,$H106,$R$14:$R$1213,"&gt;=0")&gt;0)+--(COUNTIFS($A$14:$A$1213,$H106,$S$14:$S$1213,"&gt;=0")&gt;0)+--(COUNTIFS($A$14:$A$1213,$H106,$T$14:$T$1213,"&gt;=0")&gt;0))&lt;2,"—",IF(SUMIFS($AH$14:$AH$1213,$A$14:$A$1213,$H106)=0,"Yes","No")))</f>
        <v/>
      </c>
      <c r="M106" s="25">
        <f>IF($H106="","",IF(COUNTIFS($A$14:$A$1213,$H106,$F$14:$F$1213,"&gt;=0")&lt;2,"—",IF(COUNTIFS($A$14:$A$1213,$H106,$F$14:$F$1213,_xlfn.MAXIFS($F$14:$F$1213,$A$14:$A$1213,$H106))&gt;1,"No",IF(NOT(ISNUMBER($AN106)),"—",IF((2*(1-NORMSDIST(ABS($AN106))))&lt;0.05,"Yes","No")))))</f>
        <v/>
      </c>
      <c r="N106" s="21">
        <f>IF($H106="","",IF(NOT(ISNUMBER($AN106)),"—",IF((2*(1-NORMSDIST(ABS($AN106))))&lt;0.001,"&lt;0.001",TEXT((2*(1-NORMSDIST(ABS($AN106)))),"0.000"))))</f>
        <v/>
      </c>
      <c r="P106" s="26" t="n"/>
      <c r="Q106" s="26" t="n"/>
      <c r="R106" s="26" t="n"/>
      <c r="S106" s="26" t="n"/>
      <c r="T106" s="26" t="n"/>
      <c r="V106" s="27">
        <f>IF(ISNUMBER($C106),COUNTIFS($A$14:$A$1213,$A106,$C$14:$C$1213,"&gt;"&amp;$C106)+(COUNTIFS($A$14:$A$1213,$A106,$C$14:$C$1213,"="&amp;$C106)+1)/2,"")</f>
        <v/>
      </c>
      <c r="W106" s="27">
        <f>IF(ISNUMBER($F106),COUNTIFS($A$14:$A$1213,$A106,$F$14:$F$1213,"&gt;"&amp;$F106)+(COUNTIFS($A$14:$A$1213,$A106,$F$14:$F$1213,"="&amp;$F106)+1)/2,"")</f>
        <v/>
      </c>
      <c r="X106" s="27">
        <f>IF(OR(NOT(ISNUMBER($V106)),$AO106=1),"",$V106-(COUNTIFS($A$14:$A$1213,$A106,$C$14:$C$1213,"&gt;=0")+1)/2)</f>
        <v/>
      </c>
      <c r="Y106" s="27">
        <f>IF(OR(NOT(ISNUMBER($W106)),$AO106=1),"",$W106-(COUNTIFS($A$14:$A$1213,$A106,$F$14:$F$1213,"&gt;=0")+1)/2)</f>
        <v/>
      </c>
      <c r="Z106" s="27">
        <f>IF(ISNUMBER($V106),$A106&amp;"|"&amp;$V106,"")</f>
        <v/>
      </c>
      <c r="AA106" s="27">
        <f>IF(ISNUMBER($W106),$A106&amp;"|"&amp;$W106,"")</f>
        <v/>
      </c>
      <c r="AB106" s="27">
        <f>IF(ISNUMBER($F106),$A106&amp;"|"&amp;$F106,"")</f>
        <v/>
      </c>
      <c r="AC106" s="27">
        <f>IF(ISNUMBER($P106),COUNTIFS($A$14:$A$1213,$A106,$P$14:$P$1213,"&gt;"&amp;$P106)+(COUNTIFS($A$14:$A$1213,$A106,$P$14:$P$1213,"="&amp;$P106)+1)/2,"")</f>
        <v/>
      </c>
      <c r="AD106" s="27">
        <f>IF(ISNUMBER($Q106),COUNTIFS($A$14:$A$1213,$A106,$Q$14:$Q$1213,"&gt;"&amp;$Q106)+(COUNTIFS($A$14:$A$1213,$A106,$Q$14:$Q$1213,"="&amp;$Q106)+1)/2,"")</f>
        <v/>
      </c>
      <c r="AE106" s="27">
        <f>IF(ISNUMBER($R106),COUNTIFS($A$14:$A$1213,$A106,$R$14:$R$1213,"&gt;"&amp;$R106)+(COUNTIFS($A$14:$A$1213,$A106,$R$14:$R$1213,"="&amp;$R106)+1)/2,"")</f>
        <v/>
      </c>
      <c r="AF106" s="27">
        <f>IF(ISNUMBER($S106),COUNTIFS($A$14:$A$1213,$A106,$S$14:$S$1213,"&gt;"&amp;$S106)+(COUNTIFS($A$14:$A$1213,$A106,$S$14:$S$1213,"="&amp;$S106)+1)/2,"")</f>
        <v/>
      </c>
      <c r="AG106" s="27">
        <f>IF(ISNUMBER($T106),COUNTIFS($A$14:$A$1213,$A106,$T$14:$T$1213,"&gt;"&amp;$T106)+(COUNTIFS($A$14:$A$1213,$A106,$T$14:$T$1213,"="&amp;$T106)+1)/2,"")</f>
        <v/>
      </c>
      <c r="AH106" s="27">
        <f>IF(COUNT($AC106:$AG106)&lt;2,"",IF(MAX($AC106:$AG106)=MIN($AC106:$AG106),0,1))</f>
        <v/>
      </c>
      <c r="AI106" s="27">
        <f>IF($A106="","",IF(COUNTIF($A$14:$A106,$A106)=1,COUNTIF($AI$13:AI105,"&gt;0")+1,""))</f>
        <v/>
      </c>
      <c r="AJ106" s="27">
        <f>IF(OR($H106="",COUNTIFS($A$14:$A$1213,$H106,$F$14:$F$1213,"&gt;=0")&lt;2,COUNTIFS($A$14:$A$1213,$H106,$F$14:$F$1213,_xlfn.MAXIFS($F$14:$F$1213,$A$14:$A$1213,$H106))&gt;1),"",IFERROR(INDEX($D$14:$D$1213,MATCH($H106&amp;"|"&amp;_xlfn.MAXIFS($F$14:$F$1213,$A$14:$A$1213,$H106),$AB$14:$AB$1213,0)),""))</f>
        <v/>
      </c>
      <c r="AK106" s="27">
        <f>IF(OR($H106="",COUNTIFS($A$14:$A$1213,$H106,$F$14:$F$1213,"&gt;=0")&lt;2,COUNTIFS($A$14:$A$1213,$H106,$F$14:$F$1213,_xlfn.MAXIFS($F$14:$F$1213,$A$14:$A$1213,$H106))&gt;1),"",IFERROR(INDEX($E$14:$E$1213,MATCH($H106&amp;"|"&amp;_xlfn.MAXIFS($F$14:$F$1213,$A$14:$A$1213,$H106),$AB$14:$AB$1213,0)),""))</f>
        <v/>
      </c>
      <c r="AL106" s="27">
        <f>IF(OR($H106="",COUNTIFS($A$14:$A$1213,$H106,$F$14:$F$1213,"&gt;=0")&lt;2,COUNTIFS($A$14:$A$1213,$H106,$F$14:$F$1213,_xlfn.MAXIFS($F$14:$F$1213,$A$14:$A$1213,$H106))&gt;1),"",IFERROR(INDEX($D$14:$D$1213,MATCH($H106&amp;"|"&amp;_xlfn.MAXIFS($F$14:$F$1213,$A$14:$A$1213,$H106,$F$14:$F$1213,"&lt;"&amp;_xlfn.MAXIFS($F$14:$F$1213,$A$14:$A$1213,$H106)),$AB$14:$AB$1213,0)),""))</f>
        <v/>
      </c>
      <c r="AM106" s="27">
        <f>IF(OR($H106="",COUNTIFS($A$14:$A$1213,$H106,$F$14:$F$1213,"&gt;=0")&lt;2,COUNTIFS($A$14:$A$1213,$H106,$F$14:$F$1213,_xlfn.MAXIFS($F$14:$F$1213,$A$14:$A$1213,$H106))&gt;1),"",IFERROR(INDEX($E$14:$E$1213,MATCH($H106&amp;"|"&amp;_xlfn.MAXIFS($F$14:$F$1213,$A$14:$A$1213,$H106,$F$14:$F$1213,"&lt;"&amp;_xlfn.MAXIFS($F$14:$F$1213,$A$14:$A$1213,$H106)),$AB$14:$AB$1213,0)),""))</f>
        <v/>
      </c>
      <c r="AN106" s="27">
        <f>IF(OR(NOT(ISNUMBER($AJ106)),NOT(ISNUMBER($AL106)),$AK106=0,$AM106=0),"",IF(OR((($AJ106+$AL106)/($AK106+$AM106))&lt;=0,(($AJ106+$AL106)/($AK106+$AM106))&gt;=1),"",($AJ106/$AK106-$AL106/$AM106)/SQRT((($AJ106+$AL106)/($AK106+$AM106))*(1-(($AJ106+$AL106)/($AK106+$AM106)))*(1/$AK106+1/$AM106))))</f>
        <v/>
      </c>
      <c r="AO106" s="27">
        <f>IF($A106="","",IF(AND(COUNTIFS($A$14:$A$1213,$A106,$F$14:$F$1213,"&gt;=0")=2,IFERROR(INDEX($M$14:$M$313,MATCH($A106,$H$14:$H$313,0)),"Yes")&lt;&gt;"Yes"),1,0))</f>
        <v/>
      </c>
    </row>
    <row r="107" ht="24" customHeight="1">
      <c r="A107" s="19">
        <f>IF('Enter messages'!A107="","",'Enter messages'!A107)</f>
        <v/>
      </c>
      <c r="B107" s="20">
        <f>IF('Enter messages'!B107="","",'Enter messages'!B107)</f>
        <v/>
      </c>
      <c r="C107" s="21">
        <f>IFERROR(AVERAGE(P107:T107),"")</f>
        <v/>
      </c>
      <c r="D107" s="29" t="n"/>
      <c r="E107" s="29" t="n"/>
      <c r="F107" s="30">
        <f>IF(AND(ISNUMBER($D107),ISNUMBER($E107),$E107&gt;0,$D107&lt;=$E107),$D107/$E107,"")</f>
        <v/>
      </c>
      <c r="H107" s="19">
        <f>IFERROR(INDEX($A$14:$A$1213,MATCH(94,$AI$14:$AI$1213,0)),"")</f>
        <v/>
      </c>
      <c r="I107" s="24">
        <f>IF($H107="","",IF(COUNTIFS($A$14:$A$1213,$H107,$C$14:$C$1213,"&gt;=0")=0,"—",IFERROR(INDEX($B$14:$B$1213,MATCH($H107&amp;"|1",$Z$14:$Z$1213,0)),"(tied)")))</f>
        <v/>
      </c>
      <c r="J107" s="25">
        <f>IF($H107="","",IF(OR(COUNTIFS($A$14:$A$1213,$H107,$C$14:$C$1213,"&gt;=0")=0,COUNTIFS($A$14:$A$1213,$H107,$F$14:$F$1213,"&gt;=0")=0),"—",IF(OR(ISERROR(MATCH($H107&amp;"|1",$Z$14:$Z$1213,0)),ISERROR(MATCH($H107&amp;"|1",$AA$14:$AA$1213,0))),"Tie",IF(MATCH($H107&amp;"|1",$Z$14:$Z$1213,0)=MATCH($H107&amp;"|1",$AA$14:$AA$1213,0),"Hit","Miss"))))</f>
        <v/>
      </c>
      <c r="K107" s="24">
        <f>IF($H107="","",IF(COUNTIFS($A$14:$A$1213,$H107,$F$14:$F$1213,"&gt;=0")=0,"—",IFERROR(INDEX($B$14:$B$1213,MATCH($H107&amp;"|1",$AA$14:$AA$1213,0)),"(tied)")))</f>
        <v/>
      </c>
      <c r="L107" s="25">
        <f>IF($H107="","",IF((--(COUNTIFS($A$14:$A$1213,$H107,$P$14:$P$1213,"&gt;=0")&gt;0)+--(COUNTIFS($A$14:$A$1213,$H107,$Q$14:$Q$1213,"&gt;=0")&gt;0)+--(COUNTIFS($A$14:$A$1213,$H107,$R$14:$R$1213,"&gt;=0")&gt;0)+--(COUNTIFS($A$14:$A$1213,$H107,$S$14:$S$1213,"&gt;=0")&gt;0)+--(COUNTIFS($A$14:$A$1213,$H107,$T$14:$T$1213,"&gt;=0")&gt;0))&lt;2,"—",IF(SUMIFS($AH$14:$AH$1213,$A$14:$A$1213,$H107)=0,"Yes","No")))</f>
        <v/>
      </c>
      <c r="M107" s="25">
        <f>IF($H107="","",IF(COUNTIFS($A$14:$A$1213,$H107,$F$14:$F$1213,"&gt;=0")&lt;2,"—",IF(COUNTIFS($A$14:$A$1213,$H107,$F$14:$F$1213,_xlfn.MAXIFS($F$14:$F$1213,$A$14:$A$1213,$H107))&gt;1,"No",IF(NOT(ISNUMBER($AN107)),"—",IF((2*(1-NORMSDIST(ABS($AN107))))&lt;0.05,"Yes","No")))))</f>
        <v/>
      </c>
      <c r="N107" s="21">
        <f>IF($H107="","",IF(NOT(ISNUMBER($AN107)),"—",IF((2*(1-NORMSDIST(ABS($AN107))))&lt;0.001,"&lt;0.001",TEXT((2*(1-NORMSDIST(ABS($AN107)))),"0.000"))))</f>
        <v/>
      </c>
      <c r="P107" s="26" t="n"/>
      <c r="Q107" s="26" t="n"/>
      <c r="R107" s="26" t="n"/>
      <c r="S107" s="26" t="n"/>
      <c r="T107" s="26" t="n"/>
      <c r="V107" s="27">
        <f>IF(ISNUMBER($C107),COUNTIFS($A$14:$A$1213,$A107,$C$14:$C$1213,"&gt;"&amp;$C107)+(COUNTIFS($A$14:$A$1213,$A107,$C$14:$C$1213,"="&amp;$C107)+1)/2,"")</f>
        <v/>
      </c>
      <c r="W107" s="27">
        <f>IF(ISNUMBER($F107),COUNTIFS($A$14:$A$1213,$A107,$F$14:$F$1213,"&gt;"&amp;$F107)+(COUNTIFS($A$14:$A$1213,$A107,$F$14:$F$1213,"="&amp;$F107)+1)/2,"")</f>
        <v/>
      </c>
      <c r="X107" s="27">
        <f>IF(OR(NOT(ISNUMBER($V107)),$AO107=1),"",$V107-(COUNTIFS($A$14:$A$1213,$A107,$C$14:$C$1213,"&gt;=0")+1)/2)</f>
        <v/>
      </c>
      <c r="Y107" s="27">
        <f>IF(OR(NOT(ISNUMBER($W107)),$AO107=1),"",$W107-(COUNTIFS($A$14:$A$1213,$A107,$F$14:$F$1213,"&gt;=0")+1)/2)</f>
        <v/>
      </c>
      <c r="Z107" s="27">
        <f>IF(ISNUMBER($V107),$A107&amp;"|"&amp;$V107,"")</f>
        <v/>
      </c>
      <c r="AA107" s="27">
        <f>IF(ISNUMBER($W107),$A107&amp;"|"&amp;$W107,"")</f>
        <v/>
      </c>
      <c r="AB107" s="27">
        <f>IF(ISNUMBER($F107),$A107&amp;"|"&amp;$F107,"")</f>
        <v/>
      </c>
      <c r="AC107" s="27">
        <f>IF(ISNUMBER($P107),COUNTIFS($A$14:$A$1213,$A107,$P$14:$P$1213,"&gt;"&amp;$P107)+(COUNTIFS($A$14:$A$1213,$A107,$P$14:$P$1213,"="&amp;$P107)+1)/2,"")</f>
        <v/>
      </c>
      <c r="AD107" s="27">
        <f>IF(ISNUMBER($Q107),COUNTIFS($A$14:$A$1213,$A107,$Q$14:$Q$1213,"&gt;"&amp;$Q107)+(COUNTIFS($A$14:$A$1213,$A107,$Q$14:$Q$1213,"="&amp;$Q107)+1)/2,"")</f>
        <v/>
      </c>
      <c r="AE107" s="27">
        <f>IF(ISNUMBER($R107),COUNTIFS($A$14:$A$1213,$A107,$R$14:$R$1213,"&gt;"&amp;$R107)+(COUNTIFS($A$14:$A$1213,$A107,$R$14:$R$1213,"="&amp;$R107)+1)/2,"")</f>
        <v/>
      </c>
      <c r="AF107" s="27">
        <f>IF(ISNUMBER($S107),COUNTIFS($A$14:$A$1213,$A107,$S$14:$S$1213,"&gt;"&amp;$S107)+(COUNTIFS($A$14:$A$1213,$A107,$S$14:$S$1213,"="&amp;$S107)+1)/2,"")</f>
        <v/>
      </c>
      <c r="AG107" s="27">
        <f>IF(ISNUMBER($T107),COUNTIFS($A$14:$A$1213,$A107,$T$14:$T$1213,"&gt;"&amp;$T107)+(COUNTIFS($A$14:$A$1213,$A107,$T$14:$T$1213,"="&amp;$T107)+1)/2,"")</f>
        <v/>
      </c>
      <c r="AH107" s="27">
        <f>IF(COUNT($AC107:$AG107)&lt;2,"",IF(MAX($AC107:$AG107)=MIN($AC107:$AG107),0,1))</f>
        <v/>
      </c>
      <c r="AI107" s="27">
        <f>IF($A107="","",IF(COUNTIF($A$14:$A107,$A107)=1,COUNTIF($AI$13:AI106,"&gt;0")+1,""))</f>
        <v/>
      </c>
      <c r="AJ107" s="27">
        <f>IF(OR($H107="",COUNTIFS($A$14:$A$1213,$H107,$F$14:$F$1213,"&gt;=0")&lt;2,COUNTIFS($A$14:$A$1213,$H107,$F$14:$F$1213,_xlfn.MAXIFS($F$14:$F$1213,$A$14:$A$1213,$H107))&gt;1),"",IFERROR(INDEX($D$14:$D$1213,MATCH($H107&amp;"|"&amp;_xlfn.MAXIFS($F$14:$F$1213,$A$14:$A$1213,$H107),$AB$14:$AB$1213,0)),""))</f>
        <v/>
      </c>
      <c r="AK107" s="27">
        <f>IF(OR($H107="",COUNTIFS($A$14:$A$1213,$H107,$F$14:$F$1213,"&gt;=0")&lt;2,COUNTIFS($A$14:$A$1213,$H107,$F$14:$F$1213,_xlfn.MAXIFS($F$14:$F$1213,$A$14:$A$1213,$H107))&gt;1),"",IFERROR(INDEX($E$14:$E$1213,MATCH($H107&amp;"|"&amp;_xlfn.MAXIFS($F$14:$F$1213,$A$14:$A$1213,$H107),$AB$14:$AB$1213,0)),""))</f>
        <v/>
      </c>
      <c r="AL107" s="27">
        <f>IF(OR($H107="",COUNTIFS($A$14:$A$1213,$H107,$F$14:$F$1213,"&gt;=0")&lt;2,COUNTIFS($A$14:$A$1213,$H107,$F$14:$F$1213,_xlfn.MAXIFS($F$14:$F$1213,$A$14:$A$1213,$H107))&gt;1),"",IFERROR(INDEX($D$14:$D$1213,MATCH($H107&amp;"|"&amp;_xlfn.MAXIFS($F$14:$F$1213,$A$14:$A$1213,$H107,$F$14:$F$1213,"&lt;"&amp;_xlfn.MAXIFS($F$14:$F$1213,$A$14:$A$1213,$H107)),$AB$14:$AB$1213,0)),""))</f>
        <v/>
      </c>
      <c r="AM107" s="27">
        <f>IF(OR($H107="",COUNTIFS($A$14:$A$1213,$H107,$F$14:$F$1213,"&gt;=0")&lt;2,COUNTIFS($A$14:$A$1213,$H107,$F$14:$F$1213,_xlfn.MAXIFS($F$14:$F$1213,$A$14:$A$1213,$H107))&gt;1),"",IFERROR(INDEX($E$14:$E$1213,MATCH($H107&amp;"|"&amp;_xlfn.MAXIFS($F$14:$F$1213,$A$14:$A$1213,$H107,$F$14:$F$1213,"&lt;"&amp;_xlfn.MAXIFS($F$14:$F$1213,$A$14:$A$1213,$H107)),$AB$14:$AB$1213,0)),""))</f>
        <v/>
      </c>
      <c r="AN107" s="27">
        <f>IF(OR(NOT(ISNUMBER($AJ107)),NOT(ISNUMBER($AL107)),$AK107=0,$AM107=0),"",IF(OR((($AJ107+$AL107)/($AK107+$AM107))&lt;=0,(($AJ107+$AL107)/($AK107+$AM107))&gt;=1),"",($AJ107/$AK107-$AL107/$AM107)/SQRT((($AJ107+$AL107)/($AK107+$AM107))*(1-(($AJ107+$AL107)/($AK107+$AM107)))*(1/$AK107+1/$AM107))))</f>
        <v/>
      </c>
      <c r="AO107" s="27">
        <f>IF($A107="","",IF(AND(COUNTIFS($A$14:$A$1213,$A107,$F$14:$F$1213,"&gt;=0")=2,IFERROR(INDEX($M$14:$M$313,MATCH($A107,$H$14:$H$313,0)),"Yes")&lt;&gt;"Yes"),1,0))</f>
        <v/>
      </c>
    </row>
    <row r="108" ht="24" customHeight="1">
      <c r="A108" s="19">
        <f>IF('Enter messages'!A108="","",'Enter messages'!A108)</f>
        <v/>
      </c>
      <c r="B108" s="20">
        <f>IF('Enter messages'!B108="","",'Enter messages'!B108)</f>
        <v/>
      </c>
      <c r="C108" s="21">
        <f>IFERROR(AVERAGE(P108:T108),"")</f>
        <v/>
      </c>
      <c r="D108" s="29" t="n"/>
      <c r="E108" s="29" t="n"/>
      <c r="F108" s="30">
        <f>IF(AND(ISNUMBER($D108),ISNUMBER($E108),$E108&gt;0,$D108&lt;=$E108),$D108/$E108,"")</f>
        <v/>
      </c>
      <c r="H108" s="19">
        <f>IFERROR(INDEX($A$14:$A$1213,MATCH(95,$AI$14:$AI$1213,0)),"")</f>
        <v/>
      </c>
      <c r="I108" s="24">
        <f>IF($H108="","",IF(COUNTIFS($A$14:$A$1213,$H108,$C$14:$C$1213,"&gt;=0")=0,"—",IFERROR(INDEX($B$14:$B$1213,MATCH($H108&amp;"|1",$Z$14:$Z$1213,0)),"(tied)")))</f>
        <v/>
      </c>
      <c r="J108" s="25">
        <f>IF($H108="","",IF(OR(COUNTIFS($A$14:$A$1213,$H108,$C$14:$C$1213,"&gt;=0")=0,COUNTIFS($A$14:$A$1213,$H108,$F$14:$F$1213,"&gt;=0")=0),"—",IF(OR(ISERROR(MATCH($H108&amp;"|1",$Z$14:$Z$1213,0)),ISERROR(MATCH($H108&amp;"|1",$AA$14:$AA$1213,0))),"Tie",IF(MATCH($H108&amp;"|1",$Z$14:$Z$1213,0)=MATCH($H108&amp;"|1",$AA$14:$AA$1213,0),"Hit","Miss"))))</f>
        <v/>
      </c>
      <c r="K108" s="24">
        <f>IF($H108="","",IF(COUNTIFS($A$14:$A$1213,$H108,$F$14:$F$1213,"&gt;=0")=0,"—",IFERROR(INDEX($B$14:$B$1213,MATCH($H108&amp;"|1",$AA$14:$AA$1213,0)),"(tied)")))</f>
        <v/>
      </c>
      <c r="L108" s="25">
        <f>IF($H108="","",IF((--(COUNTIFS($A$14:$A$1213,$H108,$P$14:$P$1213,"&gt;=0")&gt;0)+--(COUNTIFS($A$14:$A$1213,$H108,$Q$14:$Q$1213,"&gt;=0")&gt;0)+--(COUNTIFS($A$14:$A$1213,$H108,$R$14:$R$1213,"&gt;=0")&gt;0)+--(COUNTIFS($A$14:$A$1213,$H108,$S$14:$S$1213,"&gt;=0")&gt;0)+--(COUNTIFS($A$14:$A$1213,$H108,$T$14:$T$1213,"&gt;=0")&gt;0))&lt;2,"—",IF(SUMIFS($AH$14:$AH$1213,$A$14:$A$1213,$H108)=0,"Yes","No")))</f>
        <v/>
      </c>
      <c r="M108" s="25">
        <f>IF($H108="","",IF(COUNTIFS($A$14:$A$1213,$H108,$F$14:$F$1213,"&gt;=0")&lt;2,"—",IF(COUNTIFS($A$14:$A$1213,$H108,$F$14:$F$1213,_xlfn.MAXIFS($F$14:$F$1213,$A$14:$A$1213,$H108))&gt;1,"No",IF(NOT(ISNUMBER($AN108)),"—",IF((2*(1-NORMSDIST(ABS($AN108))))&lt;0.05,"Yes","No")))))</f>
        <v/>
      </c>
      <c r="N108" s="21">
        <f>IF($H108="","",IF(NOT(ISNUMBER($AN108)),"—",IF((2*(1-NORMSDIST(ABS($AN108))))&lt;0.001,"&lt;0.001",TEXT((2*(1-NORMSDIST(ABS($AN108)))),"0.000"))))</f>
        <v/>
      </c>
      <c r="P108" s="26" t="n"/>
      <c r="Q108" s="26" t="n"/>
      <c r="R108" s="26" t="n"/>
      <c r="S108" s="26" t="n"/>
      <c r="T108" s="26" t="n"/>
      <c r="V108" s="27">
        <f>IF(ISNUMBER($C108),COUNTIFS($A$14:$A$1213,$A108,$C$14:$C$1213,"&gt;"&amp;$C108)+(COUNTIFS($A$14:$A$1213,$A108,$C$14:$C$1213,"="&amp;$C108)+1)/2,"")</f>
        <v/>
      </c>
      <c r="W108" s="27">
        <f>IF(ISNUMBER($F108),COUNTIFS($A$14:$A$1213,$A108,$F$14:$F$1213,"&gt;"&amp;$F108)+(COUNTIFS($A$14:$A$1213,$A108,$F$14:$F$1213,"="&amp;$F108)+1)/2,"")</f>
        <v/>
      </c>
      <c r="X108" s="27">
        <f>IF(OR(NOT(ISNUMBER($V108)),$AO108=1),"",$V108-(COUNTIFS($A$14:$A$1213,$A108,$C$14:$C$1213,"&gt;=0")+1)/2)</f>
        <v/>
      </c>
      <c r="Y108" s="27">
        <f>IF(OR(NOT(ISNUMBER($W108)),$AO108=1),"",$W108-(COUNTIFS($A$14:$A$1213,$A108,$F$14:$F$1213,"&gt;=0")+1)/2)</f>
        <v/>
      </c>
      <c r="Z108" s="27">
        <f>IF(ISNUMBER($V108),$A108&amp;"|"&amp;$V108,"")</f>
        <v/>
      </c>
      <c r="AA108" s="27">
        <f>IF(ISNUMBER($W108),$A108&amp;"|"&amp;$W108,"")</f>
        <v/>
      </c>
      <c r="AB108" s="27">
        <f>IF(ISNUMBER($F108),$A108&amp;"|"&amp;$F108,"")</f>
        <v/>
      </c>
      <c r="AC108" s="27">
        <f>IF(ISNUMBER($P108),COUNTIFS($A$14:$A$1213,$A108,$P$14:$P$1213,"&gt;"&amp;$P108)+(COUNTIFS($A$14:$A$1213,$A108,$P$14:$P$1213,"="&amp;$P108)+1)/2,"")</f>
        <v/>
      </c>
      <c r="AD108" s="27">
        <f>IF(ISNUMBER($Q108),COUNTIFS($A$14:$A$1213,$A108,$Q$14:$Q$1213,"&gt;"&amp;$Q108)+(COUNTIFS($A$14:$A$1213,$A108,$Q$14:$Q$1213,"="&amp;$Q108)+1)/2,"")</f>
        <v/>
      </c>
      <c r="AE108" s="27">
        <f>IF(ISNUMBER($R108),COUNTIFS($A$14:$A$1213,$A108,$R$14:$R$1213,"&gt;"&amp;$R108)+(COUNTIFS($A$14:$A$1213,$A108,$R$14:$R$1213,"="&amp;$R108)+1)/2,"")</f>
        <v/>
      </c>
      <c r="AF108" s="27">
        <f>IF(ISNUMBER($S108),COUNTIFS($A$14:$A$1213,$A108,$S$14:$S$1213,"&gt;"&amp;$S108)+(COUNTIFS($A$14:$A$1213,$A108,$S$14:$S$1213,"="&amp;$S108)+1)/2,"")</f>
        <v/>
      </c>
      <c r="AG108" s="27">
        <f>IF(ISNUMBER($T108),COUNTIFS($A$14:$A$1213,$A108,$T$14:$T$1213,"&gt;"&amp;$T108)+(COUNTIFS($A$14:$A$1213,$A108,$T$14:$T$1213,"="&amp;$T108)+1)/2,"")</f>
        <v/>
      </c>
      <c r="AH108" s="27">
        <f>IF(COUNT($AC108:$AG108)&lt;2,"",IF(MAX($AC108:$AG108)=MIN($AC108:$AG108),0,1))</f>
        <v/>
      </c>
      <c r="AI108" s="27">
        <f>IF($A108="","",IF(COUNTIF($A$14:$A108,$A108)=1,COUNTIF($AI$13:AI107,"&gt;0")+1,""))</f>
        <v/>
      </c>
      <c r="AJ108" s="27">
        <f>IF(OR($H108="",COUNTIFS($A$14:$A$1213,$H108,$F$14:$F$1213,"&gt;=0")&lt;2,COUNTIFS($A$14:$A$1213,$H108,$F$14:$F$1213,_xlfn.MAXIFS($F$14:$F$1213,$A$14:$A$1213,$H108))&gt;1),"",IFERROR(INDEX($D$14:$D$1213,MATCH($H108&amp;"|"&amp;_xlfn.MAXIFS($F$14:$F$1213,$A$14:$A$1213,$H108),$AB$14:$AB$1213,0)),""))</f>
        <v/>
      </c>
      <c r="AK108" s="27">
        <f>IF(OR($H108="",COUNTIFS($A$14:$A$1213,$H108,$F$14:$F$1213,"&gt;=0")&lt;2,COUNTIFS($A$14:$A$1213,$H108,$F$14:$F$1213,_xlfn.MAXIFS($F$14:$F$1213,$A$14:$A$1213,$H108))&gt;1),"",IFERROR(INDEX($E$14:$E$1213,MATCH($H108&amp;"|"&amp;_xlfn.MAXIFS($F$14:$F$1213,$A$14:$A$1213,$H108),$AB$14:$AB$1213,0)),""))</f>
        <v/>
      </c>
      <c r="AL108" s="27">
        <f>IF(OR($H108="",COUNTIFS($A$14:$A$1213,$H108,$F$14:$F$1213,"&gt;=0")&lt;2,COUNTIFS($A$14:$A$1213,$H108,$F$14:$F$1213,_xlfn.MAXIFS($F$14:$F$1213,$A$14:$A$1213,$H108))&gt;1),"",IFERROR(INDEX($D$14:$D$1213,MATCH($H108&amp;"|"&amp;_xlfn.MAXIFS($F$14:$F$1213,$A$14:$A$1213,$H108,$F$14:$F$1213,"&lt;"&amp;_xlfn.MAXIFS($F$14:$F$1213,$A$14:$A$1213,$H108)),$AB$14:$AB$1213,0)),""))</f>
        <v/>
      </c>
      <c r="AM108" s="27">
        <f>IF(OR($H108="",COUNTIFS($A$14:$A$1213,$H108,$F$14:$F$1213,"&gt;=0")&lt;2,COUNTIFS($A$14:$A$1213,$H108,$F$14:$F$1213,_xlfn.MAXIFS($F$14:$F$1213,$A$14:$A$1213,$H108))&gt;1),"",IFERROR(INDEX($E$14:$E$1213,MATCH($H108&amp;"|"&amp;_xlfn.MAXIFS($F$14:$F$1213,$A$14:$A$1213,$H108,$F$14:$F$1213,"&lt;"&amp;_xlfn.MAXIFS($F$14:$F$1213,$A$14:$A$1213,$H108)),$AB$14:$AB$1213,0)),""))</f>
        <v/>
      </c>
      <c r="AN108" s="27">
        <f>IF(OR(NOT(ISNUMBER($AJ108)),NOT(ISNUMBER($AL108)),$AK108=0,$AM108=0),"",IF(OR((($AJ108+$AL108)/($AK108+$AM108))&lt;=0,(($AJ108+$AL108)/($AK108+$AM108))&gt;=1),"",($AJ108/$AK108-$AL108/$AM108)/SQRT((($AJ108+$AL108)/($AK108+$AM108))*(1-(($AJ108+$AL108)/($AK108+$AM108)))*(1/$AK108+1/$AM108))))</f>
        <v/>
      </c>
      <c r="AO108" s="27">
        <f>IF($A108="","",IF(AND(COUNTIFS($A$14:$A$1213,$A108,$F$14:$F$1213,"&gt;=0")=2,IFERROR(INDEX($M$14:$M$313,MATCH($A108,$H$14:$H$313,0)),"Yes")&lt;&gt;"Yes"),1,0))</f>
        <v/>
      </c>
    </row>
    <row r="109" ht="24" customHeight="1">
      <c r="A109" s="19">
        <f>IF('Enter messages'!A109="","",'Enter messages'!A109)</f>
        <v/>
      </c>
      <c r="B109" s="20">
        <f>IF('Enter messages'!B109="","",'Enter messages'!B109)</f>
        <v/>
      </c>
      <c r="C109" s="21">
        <f>IFERROR(AVERAGE(P109:T109),"")</f>
        <v/>
      </c>
      <c r="D109" s="29" t="n"/>
      <c r="E109" s="29" t="n"/>
      <c r="F109" s="30">
        <f>IF(AND(ISNUMBER($D109),ISNUMBER($E109),$E109&gt;0,$D109&lt;=$E109),$D109/$E109,"")</f>
        <v/>
      </c>
      <c r="H109" s="19">
        <f>IFERROR(INDEX($A$14:$A$1213,MATCH(96,$AI$14:$AI$1213,0)),"")</f>
        <v/>
      </c>
      <c r="I109" s="24">
        <f>IF($H109="","",IF(COUNTIFS($A$14:$A$1213,$H109,$C$14:$C$1213,"&gt;=0")=0,"—",IFERROR(INDEX($B$14:$B$1213,MATCH($H109&amp;"|1",$Z$14:$Z$1213,0)),"(tied)")))</f>
        <v/>
      </c>
      <c r="J109" s="25">
        <f>IF($H109="","",IF(OR(COUNTIFS($A$14:$A$1213,$H109,$C$14:$C$1213,"&gt;=0")=0,COUNTIFS($A$14:$A$1213,$H109,$F$14:$F$1213,"&gt;=0")=0),"—",IF(OR(ISERROR(MATCH($H109&amp;"|1",$Z$14:$Z$1213,0)),ISERROR(MATCH($H109&amp;"|1",$AA$14:$AA$1213,0))),"Tie",IF(MATCH($H109&amp;"|1",$Z$14:$Z$1213,0)=MATCH($H109&amp;"|1",$AA$14:$AA$1213,0),"Hit","Miss"))))</f>
        <v/>
      </c>
      <c r="K109" s="24">
        <f>IF($H109="","",IF(COUNTIFS($A$14:$A$1213,$H109,$F$14:$F$1213,"&gt;=0")=0,"—",IFERROR(INDEX($B$14:$B$1213,MATCH($H109&amp;"|1",$AA$14:$AA$1213,0)),"(tied)")))</f>
        <v/>
      </c>
      <c r="L109" s="25">
        <f>IF($H109="","",IF((--(COUNTIFS($A$14:$A$1213,$H109,$P$14:$P$1213,"&gt;=0")&gt;0)+--(COUNTIFS($A$14:$A$1213,$H109,$Q$14:$Q$1213,"&gt;=0")&gt;0)+--(COUNTIFS($A$14:$A$1213,$H109,$R$14:$R$1213,"&gt;=0")&gt;0)+--(COUNTIFS($A$14:$A$1213,$H109,$S$14:$S$1213,"&gt;=0")&gt;0)+--(COUNTIFS($A$14:$A$1213,$H109,$T$14:$T$1213,"&gt;=0")&gt;0))&lt;2,"—",IF(SUMIFS($AH$14:$AH$1213,$A$14:$A$1213,$H109)=0,"Yes","No")))</f>
        <v/>
      </c>
      <c r="M109" s="25">
        <f>IF($H109="","",IF(COUNTIFS($A$14:$A$1213,$H109,$F$14:$F$1213,"&gt;=0")&lt;2,"—",IF(COUNTIFS($A$14:$A$1213,$H109,$F$14:$F$1213,_xlfn.MAXIFS($F$14:$F$1213,$A$14:$A$1213,$H109))&gt;1,"No",IF(NOT(ISNUMBER($AN109)),"—",IF((2*(1-NORMSDIST(ABS($AN109))))&lt;0.05,"Yes","No")))))</f>
        <v/>
      </c>
      <c r="N109" s="21">
        <f>IF($H109="","",IF(NOT(ISNUMBER($AN109)),"—",IF((2*(1-NORMSDIST(ABS($AN109))))&lt;0.001,"&lt;0.001",TEXT((2*(1-NORMSDIST(ABS($AN109)))),"0.000"))))</f>
        <v/>
      </c>
      <c r="P109" s="26" t="n"/>
      <c r="Q109" s="26" t="n"/>
      <c r="R109" s="26" t="n"/>
      <c r="S109" s="26" t="n"/>
      <c r="T109" s="26" t="n"/>
      <c r="V109" s="27">
        <f>IF(ISNUMBER($C109),COUNTIFS($A$14:$A$1213,$A109,$C$14:$C$1213,"&gt;"&amp;$C109)+(COUNTIFS($A$14:$A$1213,$A109,$C$14:$C$1213,"="&amp;$C109)+1)/2,"")</f>
        <v/>
      </c>
      <c r="W109" s="27">
        <f>IF(ISNUMBER($F109),COUNTIFS($A$14:$A$1213,$A109,$F$14:$F$1213,"&gt;"&amp;$F109)+(COUNTIFS($A$14:$A$1213,$A109,$F$14:$F$1213,"="&amp;$F109)+1)/2,"")</f>
        <v/>
      </c>
      <c r="X109" s="27">
        <f>IF(OR(NOT(ISNUMBER($V109)),$AO109=1),"",$V109-(COUNTIFS($A$14:$A$1213,$A109,$C$14:$C$1213,"&gt;=0")+1)/2)</f>
        <v/>
      </c>
      <c r="Y109" s="27">
        <f>IF(OR(NOT(ISNUMBER($W109)),$AO109=1),"",$W109-(COUNTIFS($A$14:$A$1213,$A109,$F$14:$F$1213,"&gt;=0")+1)/2)</f>
        <v/>
      </c>
      <c r="Z109" s="27">
        <f>IF(ISNUMBER($V109),$A109&amp;"|"&amp;$V109,"")</f>
        <v/>
      </c>
      <c r="AA109" s="27">
        <f>IF(ISNUMBER($W109),$A109&amp;"|"&amp;$W109,"")</f>
        <v/>
      </c>
      <c r="AB109" s="27">
        <f>IF(ISNUMBER($F109),$A109&amp;"|"&amp;$F109,"")</f>
        <v/>
      </c>
      <c r="AC109" s="27">
        <f>IF(ISNUMBER($P109),COUNTIFS($A$14:$A$1213,$A109,$P$14:$P$1213,"&gt;"&amp;$P109)+(COUNTIFS($A$14:$A$1213,$A109,$P$14:$P$1213,"="&amp;$P109)+1)/2,"")</f>
        <v/>
      </c>
      <c r="AD109" s="27">
        <f>IF(ISNUMBER($Q109),COUNTIFS($A$14:$A$1213,$A109,$Q$14:$Q$1213,"&gt;"&amp;$Q109)+(COUNTIFS($A$14:$A$1213,$A109,$Q$14:$Q$1213,"="&amp;$Q109)+1)/2,"")</f>
        <v/>
      </c>
      <c r="AE109" s="27">
        <f>IF(ISNUMBER($R109),COUNTIFS($A$14:$A$1213,$A109,$R$14:$R$1213,"&gt;"&amp;$R109)+(COUNTIFS($A$14:$A$1213,$A109,$R$14:$R$1213,"="&amp;$R109)+1)/2,"")</f>
        <v/>
      </c>
      <c r="AF109" s="27">
        <f>IF(ISNUMBER($S109),COUNTIFS($A$14:$A$1213,$A109,$S$14:$S$1213,"&gt;"&amp;$S109)+(COUNTIFS($A$14:$A$1213,$A109,$S$14:$S$1213,"="&amp;$S109)+1)/2,"")</f>
        <v/>
      </c>
      <c r="AG109" s="27">
        <f>IF(ISNUMBER($T109),COUNTIFS($A$14:$A$1213,$A109,$T$14:$T$1213,"&gt;"&amp;$T109)+(COUNTIFS($A$14:$A$1213,$A109,$T$14:$T$1213,"="&amp;$T109)+1)/2,"")</f>
        <v/>
      </c>
      <c r="AH109" s="27">
        <f>IF(COUNT($AC109:$AG109)&lt;2,"",IF(MAX($AC109:$AG109)=MIN($AC109:$AG109),0,1))</f>
        <v/>
      </c>
      <c r="AI109" s="27">
        <f>IF($A109="","",IF(COUNTIF($A$14:$A109,$A109)=1,COUNTIF($AI$13:AI108,"&gt;0")+1,""))</f>
        <v/>
      </c>
      <c r="AJ109" s="27">
        <f>IF(OR($H109="",COUNTIFS($A$14:$A$1213,$H109,$F$14:$F$1213,"&gt;=0")&lt;2,COUNTIFS($A$14:$A$1213,$H109,$F$14:$F$1213,_xlfn.MAXIFS($F$14:$F$1213,$A$14:$A$1213,$H109))&gt;1),"",IFERROR(INDEX($D$14:$D$1213,MATCH($H109&amp;"|"&amp;_xlfn.MAXIFS($F$14:$F$1213,$A$14:$A$1213,$H109),$AB$14:$AB$1213,0)),""))</f>
        <v/>
      </c>
      <c r="AK109" s="27">
        <f>IF(OR($H109="",COUNTIFS($A$14:$A$1213,$H109,$F$14:$F$1213,"&gt;=0")&lt;2,COUNTIFS($A$14:$A$1213,$H109,$F$14:$F$1213,_xlfn.MAXIFS($F$14:$F$1213,$A$14:$A$1213,$H109))&gt;1),"",IFERROR(INDEX($E$14:$E$1213,MATCH($H109&amp;"|"&amp;_xlfn.MAXIFS($F$14:$F$1213,$A$14:$A$1213,$H109),$AB$14:$AB$1213,0)),""))</f>
        <v/>
      </c>
      <c r="AL109" s="27">
        <f>IF(OR($H109="",COUNTIFS($A$14:$A$1213,$H109,$F$14:$F$1213,"&gt;=0")&lt;2,COUNTIFS($A$14:$A$1213,$H109,$F$14:$F$1213,_xlfn.MAXIFS($F$14:$F$1213,$A$14:$A$1213,$H109))&gt;1),"",IFERROR(INDEX($D$14:$D$1213,MATCH($H109&amp;"|"&amp;_xlfn.MAXIFS($F$14:$F$1213,$A$14:$A$1213,$H109,$F$14:$F$1213,"&lt;"&amp;_xlfn.MAXIFS($F$14:$F$1213,$A$14:$A$1213,$H109)),$AB$14:$AB$1213,0)),""))</f>
        <v/>
      </c>
      <c r="AM109" s="27">
        <f>IF(OR($H109="",COUNTIFS($A$14:$A$1213,$H109,$F$14:$F$1213,"&gt;=0")&lt;2,COUNTIFS($A$14:$A$1213,$H109,$F$14:$F$1213,_xlfn.MAXIFS($F$14:$F$1213,$A$14:$A$1213,$H109))&gt;1),"",IFERROR(INDEX($E$14:$E$1213,MATCH($H109&amp;"|"&amp;_xlfn.MAXIFS($F$14:$F$1213,$A$14:$A$1213,$H109,$F$14:$F$1213,"&lt;"&amp;_xlfn.MAXIFS($F$14:$F$1213,$A$14:$A$1213,$H109)),$AB$14:$AB$1213,0)),""))</f>
        <v/>
      </c>
      <c r="AN109" s="27">
        <f>IF(OR(NOT(ISNUMBER($AJ109)),NOT(ISNUMBER($AL109)),$AK109=0,$AM109=0),"",IF(OR((($AJ109+$AL109)/($AK109+$AM109))&lt;=0,(($AJ109+$AL109)/($AK109+$AM109))&gt;=1),"",($AJ109/$AK109-$AL109/$AM109)/SQRT((($AJ109+$AL109)/($AK109+$AM109))*(1-(($AJ109+$AL109)/($AK109+$AM109)))*(1/$AK109+1/$AM109))))</f>
        <v/>
      </c>
      <c r="AO109" s="27">
        <f>IF($A109="","",IF(AND(COUNTIFS($A$14:$A$1213,$A109,$F$14:$F$1213,"&gt;=0")=2,IFERROR(INDEX($M$14:$M$313,MATCH($A109,$H$14:$H$313,0)),"Yes")&lt;&gt;"Yes"),1,0))</f>
        <v/>
      </c>
    </row>
    <row r="110" ht="24" customHeight="1">
      <c r="A110" s="19">
        <f>IF('Enter messages'!A110="","",'Enter messages'!A110)</f>
        <v/>
      </c>
      <c r="B110" s="20">
        <f>IF('Enter messages'!B110="","",'Enter messages'!B110)</f>
        <v/>
      </c>
      <c r="C110" s="21">
        <f>IFERROR(AVERAGE(P110:T110),"")</f>
        <v/>
      </c>
      <c r="D110" s="29" t="n"/>
      <c r="E110" s="29" t="n"/>
      <c r="F110" s="30">
        <f>IF(AND(ISNUMBER($D110),ISNUMBER($E110),$E110&gt;0,$D110&lt;=$E110),$D110/$E110,"")</f>
        <v/>
      </c>
      <c r="H110" s="19">
        <f>IFERROR(INDEX($A$14:$A$1213,MATCH(97,$AI$14:$AI$1213,0)),"")</f>
        <v/>
      </c>
      <c r="I110" s="24">
        <f>IF($H110="","",IF(COUNTIFS($A$14:$A$1213,$H110,$C$14:$C$1213,"&gt;=0")=0,"—",IFERROR(INDEX($B$14:$B$1213,MATCH($H110&amp;"|1",$Z$14:$Z$1213,0)),"(tied)")))</f>
        <v/>
      </c>
      <c r="J110" s="25">
        <f>IF($H110="","",IF(OR(COUNTIFS($A$14:$A$1213,$H110,$C$14:$C$1213,"&gt;=0")=0,COUNTIFS($A$14:$A$1213,$H110,$F$14:$F$1213,"&gt;=0")=0),"—",IF(OR(ISERROR(MATCH($H110&amp;"|1",$Z$14:$Z$1213,0)),ISERROR(MATCH($H110&amp;"|1",$AA$14:$AA$1213,0))),"Tie",IF(MATCH($H110&amp;"|1",$Z$14:$Z$1213,0)=MATCH($H110&amp;"|1",$AA$14:$AA$1213,0),"Hit","Miss"))))</f>
        <v/>
      </c>
      <c r="K110" s="24">
        <f>IF($H110="","",IF(COUNTIFS($A$14:$A$1213,$H110,$F$14:$F$1213,"&gt;=0")=0,"—",IFERROR(INDEX($B$14:$B$1213,MATCH($H110&amp;"|1",$AA$14:$AA$1213,0)),"(tied)")))</f>
        <v/>
      </c>
      <c r="L110" s="25">
        <f>IF($H110="","",IF((--(COUNTIFS($A$14:$A$1213,$H110,$P$14:$P$1213,"&gt;=0")&gt;0)+--(COUNTIFS($A$14:$A$1213,$H110,$Q$14:$Q$1213,"&gt;=0")&gt;0)+--(COUNTIFS($A$14:$A$1213,$H110,$R$14:$R$1213,"&gt;=0")&gt;0)+--(COUNTIFS($A$14:$A$1213,$H110,$S$14:$S$1213,"&gt;=0")&gt;0)+--(COUNTIFS($A$14:$A$1213,$H110,$T$14:$T$1213,"&gt;=0")&gt;0))&lt;2,"—",IF(SUMIFS($AH$14:$AH$1213,$A$14:$A$1213,$H110)=0,"Yes","No")))</f>
        <v/>
      </c>
      <c r="M110" s="25">
        <f>IF($H110="","",IF(COUNTIFS($A$14:$A$1213,$H110,$F$14:$F$1213,"&gt;=0")&lt;2,"—",IF(COUNTIFS($A$14:$A$1213,$H110,$F$14:$F$1213,_xlfn.MAXIFS($F$14:$F$1213,$A$14:$A$1213,$H110))&gt;1,"No",IF(NOT(ISNUMBER($AN110)),"—",IF((2*(1-NORMSDIST(ABS($AN110))))&lt;0.05,"Yes","No")))))</f>
        <v/>
      </c>
      <c r="N110" s="21">
        <f>IF($H110="","",IF(NOT(ISNUMBER($AN110)),"—",IF((2*(1-NORMSDIST(ABS($AN110))))&lt;0.001,"&lt;0.001",TEXT((2*(1-NORMSDIST(ABS($AN110)))),"0.000"))))</f>
        <v/>
      </c>
      <c r="P110" s="26" t="n"/>
      <c r="Q110" s="26" t="n"/>
      <c r="R110" s="26" t="n"/>
      <c r="S110" s="26" t="n"/>
      <c r="T110" s="26" t="n"/>
      <c r="V110" s="27">
        <f>IF(ISNUMBER($C110),COUNTIFS($A$14:$A$1213,$A110,$C$14:$C$1213,"&gt;"&amp;$C110)+(COUNTIFS($A$14:$A$1213,$A110,$C$14:$C$1213,"="&amp;$C110)+1)/2,"")</f>
        <v/>
      </c>
      <c r="W110" s="27">
        <f>IF(ISNUMBER($F110),COUNTIFS($A$14:$A$1213,$A110,$F$14:$F$1213,"&gt;"&amp;$F110)+(COUNTIFS($A$14:$A$1213,$A110,$F$14:$F$1213,"="&amp;$F110)+1)/2,"")</f>
        <v/>
      </c>
      <c r="X110" s="27">
        <f>IF(OR(NOT(ISNUMBER($V110)),$AO110=1),"",$V110-(COUNTIFS($A$14:$A$1213,$A110,$C$14:$C$1213,"&gt;=0")+1)/2)</f>
        <v/>
      </c>
      <c r="Y110" s="27">
        <f>IF(OR(NOT(ISNUMBER($W110)),$AO110=1),"",$W110-(COUNTIFS($A$14:$A$1213,$A110,$F$14:$F$1213,"&gt;=0")+1)/2)</f>
        <v/>
      </c>
      <c r="Z110" s="27">
        <f>IF(ISNUMBER($V110),$A110&amp;"|"&amp;$V110,"")</f>
        <v/>
      </c>
      <c r="AA110" s="27">
        <f>IF(ISNUMBER($W110),$A110&amp;"|"&amp;$W110,"")</f>
        <v/>
      </c>
      <c r="AB110" s="27">
        <f>IF(ISNUMBER($F110),$A110&amp;"|"&amp;$F110,"")</f>
        <v/>
      </c>
      <c r="AC110" s="27">
        <f>IF(ISNUMBER($P110),COUNTIFS($A$14:$A$1213,$A110,$P$14:$P$1213,"&gt;"&amp;$P110)+(COUNTIFS($A$14:$A$1213,$A110,$P$14:$P$1213,"="&amp;$P110)+1)/2,"")</f>
        <v/>
      </c>
      <c r="AD110" s="27">
        <f>IF(ISNUMBER($Q110),COUNTIFS($A$14:$A$1213,$A110,$Q$14:$Q$1213,"&gt;"&amp;$Q110)+(COUNTIFS($A$14:$A$1213,$A110,$Q$14:$Q$1213,"="&amp;$Q110)+1)/2,"")</f>
        <v/>
      </c>
      <c r="AE110" s="27">
        <f>IF(ISNUMBER($R110),COUNTIFS($A$14:$A$1213,$A110,$R$14:$R$1213,"&gt;"&amp;$R110)+(COUNTIFS($A$14:$A$1213,$A110,$R$14:$R$1213,"="&amp;$R110)+1)/2,"")</f>
        <v/>
      </c>
      <c r="AF110" s="27">
        <f>IF(ISNUMBER($S110),COUNTIFS($A$14:$A$1213,$A110,$S$14:$S$1213,"&gt;"&amp;$S110)+(COUNTIFS($A$14:$A$1213,$A110,$S$14:$S$1213,"="&amp;$S110)+1)/2,"")</f>
        <v/>
      </c>
      <c r="AG110" s="27">
        <f>IF(ISNUMBER($T110),COUNTIFS($A$14:$A$1213,$A110,$T$14:$T$1213,"&gt;"&amp;$T110)+(COUNTIFS($A$14:$A$1213,$A110,$T$14:$T$1213,"="&amp;$T110)+1)/2,"")</f>
        <v/>
      </c>
      <c r="AH110" s="27">
        <f>IF(COUNT($AC110:$AG110)&lt;2,"",IF(MAX($AC110:$AG110)=MIN($AC110:$AG110),0,1))</f>
        <v/>
      </c>
      <c r="AI110" s="27">
        <f>IF($A110="","",IF(COUNTIF($A$14:$A110,$A110)=1,COUNTIF($AI$13:AI109,"&gt;0")+1,""))</f>
        <v/>
      </c>
      <c r="AJ110" s="27">
        <f>IF(OR($H110="",COUNTIFS($A$14:$A$1213,$H110,$F$14:$F$1213,"&gt;=0")&lt;2,COUNTIFS($A$14:$A$1213,$H110,$F$14:$F$1213,_xlfn.MAXIFS($F$14:$F$1213,$A$14:$A$1213,$H110))&gt;1),"",IFERROR(INDEX($D$14:$D$1213,MATCH($H110&amp;"|"&amp;_xlfn.MAXIFS($F$14:$F$1213,$A$14:$A$1213,$H110),$AB$14:$AB$1213,0)),""))</f>
        <v/>
      </c>
      <c r="AK110" s="27">
        <f>IF(OR($H110="",COUNTIFS($A$14:$A$1213,$H110,$F$14:$F$1213,"&gt;=0")&lt;2,COUNTIFS($A$14:$A$1213,$H110,$F$14:$F$1213,_xlfn.MAXIFS($F$14:$F$1213,$A$14:$A$1213,$H110))&gt;1),"",IFERROR(INDEX($E$14:$E$1213,MATCH($H110&amp;"|"&amp;_xlfn.MAXIFS($F$14:$F$1213,$A$14:$A$1213,$H110),$AB$14:$AB$1213,0)),""))</f>
        <v/>
      </c>
      <c r="AL110" s="27">
        <f>IF(OR($H110="",COUNTIFS($A$14:$A$1213,$H110,$F$14:$F$1213,"&gt;=0")&lt;2,COUNTIFS($A$14:$A$1213,$H110,$F$14:$F$1213,_xlfn.MAXIFS($F$14:$F$1213,$A$14:$A$1213,$H110))&gt;1),"",IFERROR(INDEX($D$14:$D$1213,MATCH($H110&amp;"|"&amp;_xlfn.MAXIFS($F$14:$F$1213,$A$14:$A$1213,$H110,$F$14:$F$1213,"&lt;"&amp;_xlfn.MAXIFS($F$14:$F$1213,$A$14:$A$1213,$H110)),$AB$14:$AB$1213,0)),""))</f>
        <v/>
      </c>
      <c r="AM110" s="27">
        <f>IF(OR($H110="",COUNTIFS($A$14:$A$1213,$H110,$F$14:$F$1213,"&gt;=0")&lt;2,COUNTIFS($A$14:$A$1213,$H110,$F$14:$F$1213,_xlfn.MAXIFS($F$14:$F$1213,$A$14:$A$1213,$H110))&gt;1),"",IFERROR(INDEX($E$14:$E$1213,MATCH($H110&amp;"|"&amp;_xlfn.MAXIFS($F$14:$F$1213,$A$14:$A$1213,$H110,$F$14:$F$1213,"&lt;"&amp;_xlfn.MAXIFS($F$14:$F$1213,$A$14:$A$1213,$H110)),$AB$14:$AB$1213,0)),""))</f>
        <v/>
      </c>
      <c r="AN110" s="27">
        <f>IF(OR(NOT(ISNUMBER($AJ110)),NOT(ISNUMBER($AL110)),$AK110=0,$AM110=0),"",IF(OR((($AJ110+$AL110)/($AK110+$AM110))&lt;=0,(($AJ110+$AL110)/($AK110+$AM110))&gt;=1),"",($AJ110/$AK110-$AL110/$AM110)/SQRT((($AJ110+$AL110)/($AK110+$AM110))*(1-(($AJ110+$AL110)/($AK110+$AM110)))*(1/$AK110+1/$AM110))))</f>
        <v/>
      </c>
      <c r="AO110" s="27">
        <f>IF($A110="","",IF(AND(COUNTIFS($A$14:$A$1213,$A110,$F$14:$F$1213,"&gt;=0")=2,IFERROR(INDEX($M$14:$M$313,MATCH($A110,$H$14:$H$313,0)),"Yes")&lt;&gt;"Yes"),1,0))</f>
        <v/>
      </c>
    </row>
    <row r="111" ht="24" customHeight="1">
      <c r="A111" s="19">
        <f>IF('Enter messages'!A111="","",'Enter messages'!A111)</f>
        <v/>
      </c>
      <c r="B111" s="20">
        <f>IF('Enter messages'!B111="","",'Enter messages'!B111)</f>
        <v/>
      </c>
      <c r="C111" s="21">
        <f>IFERROR(AVERAGE(P111:T111),"")</f>
        <v/>
      </c>
      <c r="D111" s="29" t="n"/>
      <c r="E111" s="29" t="n"/>
      <c r="F111" s="30">
        <f>IF(AND(ISNUMBER($D111),ISNUMBER($E111),$E111&gt;0,$D111&lt;=$E111),$D111/$E111,"")</f>
        <v/>
      </c>
      <c r="H111" s="19">
        <f>IFERROR(INDEX($A$14:$A$1213,MATCH(98,$AI$14:$AI$1213,0)),"")</f>
        <v/>
      </c>
      <c r="I111" s="24">
        <f>IF($H111="","",IF(COUNTIFS($A$14:$A$1213,$H111,$C$14:$C$1213,"&gt;=0")=0,"—",IFERROR(INDEX($B$14:$B$1213,MATCH($H111&amp;"|1",$Z$14:$Z$1213,0)),"(tied)")))</f>
        <v/>
      </c>
      <c r="J111" s="25">
        <f>IF($H111="","",IF(OR(COUNTIFS($A$14:$A$1213,$H111,$C$14:$C$1213,"&gt;=0")=0,COUNTIFS($A$14:$A$1213,$H111,$F$14:$F$1213,"&gt;=0")=0),"—",IF(OR(ISERROR(MATCH($H111&amp;"|1",$Z$14:$Z$1213,0)),ISERROR(MATCH($H111&amp;"|1",$AA$14:$AA$1213,0))),"Tie",IF(MATCH($H111&amp;"|1",$Z$14:$Z$1213,0)=MATCH($H111&amp;"|1",$AA$14:$AA$1213,0),"Hit","Miss"))))</f>
        <v/>
      </c>
      <c r="K111" s="24">
        <f>IF($H111="","",IF(COUNTIFS($A$14:$A$1213,$H111,$F$14:$F$1213,"&gt;=0")=0,"—",IFERROR(INDEX($B$14:$B$1213,MATCH($H111&amp;"|1",$AA$14:$AA$1213,0)),"(tied)")))</f>
        <v/>
      </c>
      <c r="L111" s="25">
        <f>IF($H111="","",IF((--(COUNTIFS($A$14:$A$1213,$H111,$P$14:$P$1213,"&gt;=0")&gt;0)+--(COUNTIFS($A$14:$A$1213,$H111,$Q$14:$Q$1213,"&gt;=0")&gt;0)+--(COUNTIFS($A$14:$A$1213,$H111,$R$14:$R$1213,"&gt;=0")&gt;0)+--(COUNTIFS($A$14:$A$1213,$H111,$S$14:$S$1213,"&gt;=0")&gt;0)+--(COUNTIFS($A$14:$A$1213,$H111,$T$14:$T$1213,"&gt;=0")&gt;0))&lt;2,"—",IF(SUMIFS($AH$14:$AH$1213,$A$14:$A$1213,$H111)=0,"Yes","No")))</f>
        <v/>
      </c>
      <c r="M111" s="25">
        <f>IF($H111="","",IF(COUNTIFS($A$14:$A$1213,$H111,$F$14:$F$1213,"&gt;=0")&lt;2,"—",IF(COUNTIFS($A$14:$A$1213,$H111,$F$14:$F$1213,_xlfn.MAXIFS($F$14:$F$1213,$A$14:$A$1213,$H111))&gt;1,"No",IF(NOT(ISNUMBER($AN111)),"—",IF((2*(1-NORMSDIST(ABS($AN111))))&lt;0.05,"Yes","No")))))</f>
        <v/>
      </c>
      <c r="N111" s="21">
        <f>IF($H111="","",IF(NOT(ISNUMBER($AN111)),"—",IF((2*(1-NORMSDIST(ABS($AN111))))&lt;0.001,"&lt;0.001",TEXT((2*(1-NORMSDIST(ABS($AN111)))),"0.000"))))</f>
        <v/>
      </c>
      <c r="P111" s="26" t="n"/>
      <c r="Q111" s="26" t="n"/>
      <c r="R111" s="26" t="n"/>
      <c r="S111" s="26" t="n"/>
      <c r="T111" s="26" t="n"/>
      <c r="V111" s="27">
        <f>IF(ISNUMBER($C111),COUNTIFS($A$14:$A$1213,$A111,$C$14:$C$1213,"&gt;"&amp;$C111)+(COUNTIFS($A$14:$A$1213,$A111,$C$14:$C$1213,"="&amp;$C111)+1)/2,"")</f>
        <v/>
      </c>
      <c r="W111" s="27">
        <f>IF(ISNUMBER($F111),COUNTIFS($A$14:$A$1213,$A111,$F$14:$F$1213,"&gt;"&amp;$F111)+(COUNTIFS($A$14:$A$1213,$A111,$F$14:$F$1213,"="&amp;$F111)+1)/2,"")</f>
        <v/>
      </c>
      <c r="X111" s="27">
        <f>IF(OR(NOT(ISNUMBER($V111)),$AO111=1),"",$V111-(COUNTIFS($A$14:$A$1213,$A111,$C$14:$C$1213,"&gt;=0")+1)/2)</f>
        <v/>
      </c>
      <c r="Y111" s="27">
        <f>IF(OR(NOT(ISNUMBER($W111)),$AO111=1),"",$W111-(COUNTIFS($A$14:$A$1213,$A111,$F$14:$F$1213,"&gt;=0")+1)/2)</f>
        <v/>
      </c>
      <c r="Z111" s="27">
        <f>IF(ISNUMBER($V111),$A111&amp;"|"&amp;$V111,"")</f>
        <v/>
      </c>
      <c r="AA111" s="27">
        <f>IF(ISNUMBER($W111),$A111&amp;"|"&amp;$W111,"")</f>
        <v/>
      </c>
      <c r="AB111" s="27">
        <f>IF(ISNUMBER($F111),$A111&amp;"|"&amp;$F111,"")</f>
        <v/>
      </c>
      <c r="AC111" s="27">
        <f>IF(ISNUMBER($P111),COUNTIFS($A$14:$A$1213,$A111,$P$14:$P$1213,"&gt;"&amp;$P111)+(COUNTIFS($A$14:$A$1213,$A111,$P$14:$P$1213,"="&amp;$P111)+1)/2,"")</f>
        <v/>
      </c>
      <c r="AD111" s="27">
        <f>IF(ISNUMBER($Q111),COUNTIFS($A$14:$A$1213,$A111,$Q$14:$Q$1213,"&gt;"&amp;$Q111)+(COUNTIFS($A$14:$A$1213,$A111,$Q$14:$Q$1213,"="&amp;$Q111)+1)/2,"")</f>
        <v/>
      </c>
      <c r="AE111" s="27">
        <f>IF(ISNUMBER($R111),COUNTIFS($A$14:$A$1213,$A111,$R$14:$R$1213,"&gt;"&amp;$R111)+(COUNTIFS($A$14:$A$1213,$A111,$R$14:$R$1213,"="&amp;$R111)+1)/2,"")</f>
        <v/>
      </c>
      <c r="AF111" s="27">
        <f>IF(ISNUMBER($S111),COUNTIFS($A$14:$A$1213,$A111,$S$14:$S$1213,"&gt;"&amp;$S111)+(COUNTIFS($A$14:$A$1213,$A111,$S$14:$S$1213,"="&amp;$S111)+1)/2,"")</f>
        <v/>
      </c>
      <c r="AG111" s="27">
        <f>IF(ISNUMBER($T111),COUNTIFS($A$14:$A$1213,$A111,$T$14:$T$1213,"&gt;"&amp;$T111)+(COUNTIFS($A$14:$A$1213,$A111,$T$14:$T$1213,"="&amp;$T111)+1)/2,"")</f>
        <v/>
      </c>
      <c r="AH111" s="27">
        <f>IF(COUNT($AC111:$AG111)&lt;2,"",IF(MAX($AC111:$AG111)=MIN($AC111:$AG111),0,1))</f>
        <v/>
      </c>
      <c r="AI111" s="27">
        <f>IF($A111="","",IF(COUNTIF($A$14:$A111,$A111)=1,COUNTIF($AI$13:AI110,"&gt;0")+1,""))</f>
        <v/>
      </c>
      <c r="AJ111" s="27">
        <f>IF(OR($H111="",COUNTIFS($A$14:$A$1213,$H111,$F$14:$F$1213,"&gt;=0")&lt;2,COUNTIFS($A$14:$A$1213,$H111,$F$14:$F$1213,_xlfn.MAXIFS($F$14:$F$1213,$A$14:$A$1213,$H111))&gt;1),"",IFERROR(INDEX($D$14:$D$1213,MATCH($H111&amp;"|"&amp;_xlfn.MAXIFS($F$14:$F$1213,$A$14:$A$1213,$H111),$AB$14:$AB$1213,0)),""))</f>
        <v/>
      </c>
      <c r="AK111" s="27">
        <f>IF(OR($H111="",COUNTIFS($A$14:$A$1213,$H111,$F$14:$F$1213,"&gt;=0")&lt;2,COUNTIFS($A$14:$A$1213,$H111,$F$14:$F$1213,_xlfn.MAXIFS($F$14:$F$1213,$A$14:$A$1213,$H111))&gt;1),"",IFERROR(INDEX($E$14:$E$1213,MATCH($H111&amp;"|"&amp;_xlfn.MAXIFS($F$14:$F$1213,$A$14:$A$1213,$H111),$AB$14:$AB$1213,0)),""))</f>
        <v/>
      </c>
      <c r="AL111" s="27">
        <f>IF(OR($H111="",COUNTIFS($A$14:$A$1213,$H111,$F$14:$F$1213,"&gt;=0")&lt;2,COUNTIFS($A$14:$A$1213,$H111,$F$14:$F$1213,_xlfn.MAXIFS($F$14:$F$1213,$A$14:$A$1213,$H111))&gt;1),"",IFERROR(INDEX($D$14:$D$1213,MATCH($H111&amp;"|"&amp;_xlfn.MAXIFS($F$14:$F$1213,$A$14:$A$1213,$H111,$F$14:$F$1213,"&lt;"&amp;_xlfn.MAXIFS($F$14:$F$1213,$A$14:$A$1213,$H111)),$AB$14:$AB$1213,0)),""))</f>
        <v/>
      </c>
      <c r="AM111" s="27">
        <f>IF(OR($H111="",COUNTIFS($A$14:$A$1213,$H111,$F$14:$F$1213,"&gt;=0")&lt;2,COUNTIFS($A$14:$A$1213,$H111,$F$14:$F$1213,_xlfn.MAXIFS($F$14:$F$1213,$A$14:$A$1213,$H111))&gt;1),"",IFERROR(INDEX($E$14:$E$1213,MATCH($H111&amp;"|"&amp;_xlfn.MAXIFS($F$14:$F$1213,$A$14:$A$1213,$H111,$F$14:$F$1213,"&lt;"&amp;_xlfn.MAXIFS($F$14:$F$1213,$A$14:$A$1213,$H111)),$AB$14:$AB$1213,0)),""))</f>
        <v/>
      </c>
      <c r="AN111" s="27">
        <f>IF(OR(NOT(ISNUMBER($AJ111)),NOT(ISNUMBER($AL111)),$AK111=0,$AM111=0),"",IF(OR((($AJ111+$AL111)/($AK111+$AM111))&lt;=0,(($AJ111+$AL111)/($AK111+$AM111))&gt;=1),"",($AJ111/$AK111-$AL111/$AM111)/SQRT((($AJ111+$AL111)/($AK111+$AM111))*(1-(($AJ111+$AL111)/($AK111+$AM111)))*(1/$AK111+1/$AM111))))</f>
        <v/>
      </c>
      <c r="AO111" s="27">
        <f>IF($A111="","",IF(AND(COUNTIFS($A$14:$A$1213,$A111,$F$14:$F$1213,"&gt;=0")=2,IFERROR(INDEX($M$14:$M$313,MATCH($A111,$H$14:$H$313,0)),"Yes")&lt;&gt;"Yes"),1,0))</f>
        <v/>
      </c>
    </row>
    <row r="112" ht="24" customHeight="1">
      <c r="A112" s="19">
        <f>IF('Enter messages'!A112="","",'Enter messages'!A112)</f>
        <v/>
      </c>
      <c r="B112" s="20">
        <f>IF('Enter messages'!B112="","",'Enter messages'!B112)</f>
        <v/>
      </c>
      <c r="C112" s="21">
        <f>IFERROR(AVERAGE(P112:T112),"")</f>
        <v/>
      </c>
      <c r="D112" s="29" t="n"/>
      <c r="E112" s="29" t="n"/>
      <c r="F112" s="30">
        <f>IF(AND(ISNUMBER($D112),ISNUMBER($E112),$E112&gt;0,$D112&lt;=$E112),$D112/$E112,"")</f>
        <v/>
      </c>
      <c r="H112" s="19">
        <f>IFERROR(INDEX($A$14:$A$1213,MATCH(99,$AI$14:$AI$1213,0)),"")</f>
        <v/>
      </c>
      <c r="I112" s="24">
        <f>IF($H112="","",IF(COUNTIFS($A$14:$A$1213,$H112,$C$14:$C$1213,"&gt;=0")=0,"—",IFERROR(INDEX($B$14:$B$1213,MATCH($H112&amp;"|1",$Z$14:$Z$1213,0)),"(tied)")))</f>
        <v/>
      </c>
      <c r="J112" s="25">
        <f>IF($H112="","",IF(OR(COUNTIFS($A$14:$A$1213,$H112,$C$14:$C$1213,"&gt;=0")=0,COUNTIFS($A$14:$A$1213,$H112,$F$14:$F$1213,"&gt;=0")=0),"—",IF(OR(ISERROR(MATCH($H112&amp;"|1",$Z$14:$Z$1213,0)),ISERROR(MATCH($H112&amp;"|1",$AA$14:$AA$1213,0))),"Tie",IF(MATCH($H112&amp;"|1",$Z$14:$Z$1213,0)=MATCH($H112&amp;"|1",$AA$14:$AA$1213,0),"Hit","Miss"))))</f>
        <v/>
      </c>
      <c r="K112" s="24">
        <f>IF($H112="","",IF(COUNTIFS($A$14:$A$1213,$H112,$F$14:$F$1213,"&gt;=0")=0,"—",IFERROR(INDEX($B$14:$B$1213,MATCH($H112&amp;"|1",$AA$14:$AA$1213,0)),"(tied)")))</f>
        <v/>
      </c>
      <c r="L112" s="25">
        <f>IF($H112="","",IF((--(COUNTIFS($A$14:$A$1213,$H112,$P$14:$P$1213,"&gt;=0")&gt;0)+--(COUNTIFS($A$14:$A$1213,$H112,$Q$14:$Q$1213,"&gt;=0")&gt;0)+--(COUNTIFS($A$14:$A$1213,$H112,$R$14:$R$1213,"&gt;=0")&gt;0)+--(COUNTIFS($A$14:$A$1213,$H112,$S$14:$S$1213,"&gt;=0")&gt;0)+--(COUNTIFS($A$14:$A$1213,$H112,$T$14:$T$1213,"&gt;=0")&gt;0))&lt;2,"—",IF(SUMIFS($AH$14:$AH$1213,$A$14:$A$1213,$H112)=0,"Yes","No")))</f>
        <v/>
      </c>
      <c r="M112" s="25">
        <f>IF($H112="","",IF(COUNTIFS($A$14:$A$1213,$H112,$F$14:$F$1213,"&gt;=0")&lt;2,"—",IF(COUNTIFS($A$14:$A$1213,$H112,$F$14:$F$1213,_xlfn.MAXIFS($F$14:$F$1213,$A$14:$A$1213,$H112))&gt;1,"No",IF(NOT(ISNUMBER($AN112)),"—",IF((2*(1-NORMSDIST(ABS($AN112))))&lt;0.05,"Yes","No")))))</f>
        <v/>
      </c>
      <c r="N112" s="21">
        <f>IF($H112="","",IF(NOT(ISNUMBER($AN112)),"—",IF((2*(1-NORMSDIST(ABS($AN112))))&lt;0.001,"&lt;0.001",TEXT((2*(1-NORMSDIST(ABS($AN112)))),"0.000"))))</f>
        <v/>
      </c>
      <c r="P112" s="26" t="n"/>
      <c r="Q112" s="26" t="n"/>
      <c r="R112" s="26" t="n"/>
      <c r="S112" s="26" t="n"/>
      <c r="T112" s="26" t="n"/>
      <c r="V112" s="27">
        <f>IF(ISNUMBER($C112),COUNTIFS($A$14:$A$1213,$A112,$C$14:$C$1213,"&gt;"&amp;$C112)+(COUNTIFS($A$14:$A$1213,$A112,$C$14:$C$1213,"="&amp;$C112)+1)/2,"")</f>
        <v/>
      </c>
      <c r="W112" s="27">
        <f>IF(ISNUMBER($F112),COUNTIFS($A$14:$A$1213,$A112,$F$14:$F$1213,"&gt;"&amp;$F112)+(COUNTIFS($A$14:$A$1213,$A112,$F$14:$F$1213,"="&amp;$F112)+1)/2,"")</f>
        <v/>
      </c>
      <c r="X112" s="27">
        <f>IF(OR(NOT(ISNUMBER($V112)),$AO112=1),"",$V112-(COUNTIFS($A$14:$A$1213,$A112,$C$14:$C$1213,"&gt;=0")+1)/2)</f>
        <v/>
      </c>
      <c r="Y112" s="27">
        <f>IF(OR(NOT(ISNUMBER($W112)),$AO112=1),"",$W112-(COUNTIFS($A$14:$A$1213,$A112,$F$14:$F$1213,"&gt;=0")+1)/2)</f>
        <v/>
      </c>
      <c r="Z112" s="27">
        <f>IF(ISNUMBER($V112),$A112&amp;"|"&amp;$V112,"")</f>
        <v/>
      </c>
      <c r="AA112" s="27">
        <f>IF(ISNUMBER($W112),$A112&amp;"|"&amp;$W112,"")</f>
        <v/>
      </c>
      <c r="AB112" s="27">
        <f>IF(ISNUMBER($F112),$A112&amp;"|"&amp;$F112,"")</f>
        <v/>
      </c>
      <c r="AC112" s="27">
        <f>IF(ISNUMBER($P112),COUNTIFS($A$14:$A$1213,$A112,$P$14:$P$1213,"&gt;"&amp;$P112)+(COUNTIFS($A$14:$A$1213,$A112,$P$14:$P$1213,"="&amp;$P112)+1)/2,"")</f>
        <v/>
      </c>
      <c r="AD112" s="27">
        <f>IF(ISNUMBER($Q112),COUNTIFS($A$14:$A$1213,$A112,$Q$14:$Q$1213,"&gt;"&amp;$Q112)+(COUNTIFS($A$14:$A$1213,$A112,$Q$14:$Q$1213,"="&amp;$Q112)+1)/2,"")</f>
        <v/>
      </c>
      <c r="AE112" s="27">
        <f>IF(ISNUMBER($R112),COUNTIFS($A$14:$A$1213,$A112,$R$14:$R$1213,"&gt;"&amp;$R112)+(COUNTIFS($A$14:$A$1213,$A112,$R$14:$R$1213,"="&amp;$R112)+1)/2,"")</f>
        <v/>
      </c>
      <c r="AF112" s="27">
        <f>IF(ISNUMBER($S112),COUNTIFS($A$14:$A$1213,$A112,$S$14:$S$1213,"&gt;"&amp;$S112)+(COUNTIFS($A$14:$A$1213,$A112,$S$14:$S$1213,"="&amp;$S112)+1)/2,"")</f>
        <v/>
      </c>
      <c r="AG112" s="27">
        <f>IF(ISNUMBER($T112),COUNTIFS($A$14:$A$1213,$A112,$T$14:$T$1213,"&gt;"&amp;$T112)+(COUNTIFS($A$14:$A$1213,$A112,$T$14:$T$1213,"="&amp;$T112)+1)/2,"")</f>
        <v/>
      </c>
      <c r="AH112" s="27">
        <f>IF(COUNT($AC112:$AG112)&lt;2,"",IF(MAX($AC112:$AG112)=MIN($AC112:$AG112),0,1))</f>
        <v/>
      </c>
      <c r="AI112" s="27">
        <f>IF($A112="","",IF(COUNTIF($A$14:$A112,$A112)=1,COUNTIF($AI$13:AI111,"&gt;0")+1,""))</f>
        <v/>
      </c>
      <c r="AJ112" s="27">
        <f>IF(OR($H112="",COUNTIFS($A$14:$A$1213,$H112,$F$14:$F$1213,"&gt;=0")&lt;2,COUNTIFS($A$14:$A$1213,$H112,$F$14:$F$1213,_xlfn.MAXIFS($F$14:$F$1213,$A$14:$A$1213,$H112))&gt;1),"",IFERROR(INDEX($D$14:$D$1213,MATCH($H112&amp;"|"&amp;_xlfn.MAXIFS($F$14:$F$1213,$A$14:$A$1213,$H112),$AB$14:$AB$1213,0)),""))</f>
        <v/>
      </c>
      <c r="AK112" s="27">
        <f>IF(OR($H112="",COUNTIFS($A$14:$A$1213,$H112,$F$14:$F$1213,"&gt;=0")&lt;2,COUNTIFS($A$14:$A$1213,$H112,$F$14:$F$1213,_xlfn.MAXIFS($F$14:$F$1213,$A$14:$A$1213,$H112))&gt;1),"",IFERROR(INDEX($E$14:$E$1213,MATCH($H112&amp;"|"&amp;_xlfn.MAXIFS($F$14:$F$1213,$A$14:$A$1213,$H112),$AB$14:$AB$1213,0)),""))</f>
        <v/>
      </c>
      <c r="AL112" s="27">
        <f>IF(OR($H112="",COUNTIFS($A$14:$A$1213,$H112,$F$14:$F$1213,"&gt;=0")&lt;2,COUNTIFS($A$14:$A$1213,$H112,$F$14:$F$1213,_xlfn.MAXIFS($F$14:$F$1213,$A$14:$A$1213,$H112))&gt;1),"",IFERROR(INDEX($D$14:$D$1213,MATCH($H112&amp;"|"&amp;_xlfn.MAXIFS($F$14:$F$1213,$A$14:$A$1213,$H112,$F$14:$F$1213,"&lt;"&amp;_xlfn.MAXIFS($F$14:$F$1213,$A$14:$A$1213,$H112)),$AB$14:$AB$1213,0)),""))</f>
        <v/>
      </c>
      <c r="AM112" s="27">
        <f>IF(OR($H112="",COUNTIFS($A$14:$A$1213,$H112,$F$14:$F$1213,"&gt;=0")&lt;2,COUNTIFS($A$14:$A$1213,$H112,$F$14:$F$1213,_xlfn.MAXIFS($F$14:$F$1213,$A$14:$A$1213,$H112))&gt;1),"",IFERROR(INDEX($E$14:$E$1213,MATCH($H112&amp;"|"&amp;_xlfn.MAXIFS($F$14:$F$1213,$A$14:$A$1213,$H112,$F$14:$F$1213,"&lt;"&amp;_xlfn.MAXIFS($F$14:$F$1213,$A$14:$A$1213,$H112)),$AB$14:$AB$1213,0)),""))</f>
        <v/>
      </c>
      <c r="AN112" s="27">
        <f>IF(OR(NOT(ISNUMBER($AJ112)),NOT(ISNUMBER($AL112)),$AK112=0,$AM112=0),"",IF(OR((($AJ112+$AL112)/($AK112+$AM112))&lt;=0,(($AJ112+$AL112)/($AK112+$AM112))&gt;=1),"",($AJ112/$AK112-$AL112/$AM112)/SQRT((($AJ112+$AL112)/($AK112+$AM112))*(1-(($AJ112+$AL112)/($AK112+$AM112)))*(1/$AK112+1/$AM112))))</f>
        <v/>
      </c>
      <c r="AO112" s="27">
        <f>IF($A112="","",IF(AND(COUNTIFS($A$14:$A$1213,$A112,$F$14:$F$1213,"&gt;=0")=2,IFERROR(INDEX($M$14:$M$313,MATCH($A112,$H$14:$H$313,0)),"Yes")&lt;&gt;"Yes"),1,0))</f>
        <v/>
      </c>
    </row>
    <row r="113" ht="24" customHeight="1">
      <c r="A113" s="19">
        <f>IF('Enter messages'!A113="","",'Enter messages'!A113)</f>
        <v/>
      </c>
      <c r="B113" s="20">
        <f>IF('Enter messages'!B113="","",'Enter messages'!B113)</f>
        <v/>
      </c>
      <c r="C113" s="21">
        <f>IFERROR(AVERAGE(P113:T113),"")</f>
        <v/>
      </c>
      <c r="D113" s="29" t="n"/>
      <c r="E113" s="29" t="n"/>
      <c r="F113" s="30">
        <f>IF(AND(ISNUMBER($D113),ISNUMBER($E113),$E113&gt;0,$D113&lt;=$E113),$D113/$E113,"")</f>
        <v/>
      </c>
      <c r="H113" s="19">
        <f>IFERROR(INDEX($A$14:$A$1213,MATCH(100,$AI$14:$AI$1213,0)),"")</f>
        <v/>
      </c>
      <c r="I113" s="24">
        <f>IF($H113="","",IF(COUNTIFS($A$14:$A$1213,$H113,$C$14:$C$1213,"&gt;=0")=0,"—",IFERROR(INDEX($B$14:$B$1213,MATCH($H113&amp;"|1",$Z$14:$Z$1213,0)),"(tied)")))</f>
        <v/>
      </c>
      <c r="J113" s="25">
        <f>IF($H113="","",IF(OR(COUNTIFS($A$14:$A$1213,$H113,$C$14:$C$1213,"&gt;=0")=0,COUNTIFS($A$14:$A$1213,$H113,$F$14:$F$1213,"&gt;=0")=0),"—",IF(OR(ISERROR(MATCH($H113&amp;"|1",$Z$14:$Z$1213,0)),ISERROR(MATCH($H113&amp;"|1",$AA$14:$AA$1213,0))),"Tie",IF(MATCH($H113&amp;"|1",$Z$14:$Z$1213,0)=MATCH($H113&amp;"|1",$AA$14:$AA$1213,0),"Hit","Miss"))))</f>
        <v/>
      </c>
      <c r="K113" s="24">
        <f>IF($H113="","",IF(COUNTIFS($A$14:$A$1213,$H113,$F$14:$F$1213,"&gt;=0")=0,"—",IFERROR(INDEX($B$14:$B$1213,MATCH($H113&amp;"|1",$AA$14:$AA$1213,0)),"(tied)")))</f>
        <v/>
      </c>
      <c r="L113" s="25">
        <f>IF($H113="","",IF((--(COUNTIFS($A$14:$A$1213,$H113,$P$14:$P$1213,"&gt;=0")&gt;0)+--(COUNTIFS($A$14:$A$1213,$H113,$Q$14:$Q$1213,"&gt;=0")&gt;0)+--(COUNTIFS($A$14:$A$1213,$H113,$R$14:$R$1213,"&gt;=0")&gt;0)+--(COUNTIFS($A$14:$A$1213,$H113,$S$14:$S$1213,"&gt;=0")&gt;0)+--(COUNTIFS($A$14:$A$1213,$H113,$T$14:$T$1213,"&gt;=0")&gt;0))&lt;2,"—",IF(SUMIFS($AH$14:$AH$1213,$A$14:$A$1213,$H113)=0,"Yes","No")))</f>
        <v/>
      </c>
      <c r="M113" s="25">
        <f>IF($H113="","",IF(COUNTIFS($A$14:$A$1213,$H113,$F$14:$F$1213,"&gt;=0")&lt;2,"—",IF(COUNTIFS($A$14:$A$1213,$H113,$F$14:$F$1213,_xlfn.MAXIFS($F$14:$F$1213,$A$14:$A$1213,$H113))&gt;1,"No",IF(NOT(ISNUMBER($AN113)),"—",IF((2*(1-NORMSDIST(ABS($AN113))))&lt;0.05,"Yes","No")))))</f>
        <v/>
      </c>
      <c r="N113" s="21">
        <f>IF($H113="","",IF(NOT(ISNUMBER($AN113)),"—",IF((2*(1-NORMSDIST(ABS($AN113))))&lt;0.001,"&lt;0.001",TEXT((2*(1-NORMSDIST(ABS($AN113)))),"0.000"))))</f>
        <v/>
      </c>
      <c r="P113" s="26" t="n"/>
      <c r="Q113" s="26" t="n"/>
      <c r="R113" s="26" t="n"/>
      <c r="S113" s="26" t="n"/>
      <c r="T113" s="26" t="n"/>
      <c r="V113" s="27">
        <f>IF(ISNUMBER($C113),COUNTIFS($A$14:$A$1213,$A113,$C$14:$C$1213,"&gt;"&amp;$C113)+(COUNTIFS($A$14:$A$1213,$A113,$C$14:$C$1213,"="&amp;$C113)+1)/2,"")</f>
        <v/>
      </c>
      <c r="W113" s="27">
        <f>IF(ISNUMBER($F113),COUNTIFS($A$14:$A$1213,$A113,$F$14:$F$1213,"&gt;"&amp;$F113)+(COUNTIFS($A$14:$A$1213,$A113,$F$14:$F$1213,"="&amp;$F113)+1)/2,"")</f>
        <v/>
      </c>
      <c r="X113" s="27">
        <f>IF(OR(NOT(ISNUMBER($V113)),$AO113=1),"",$V113-(COUNTIFS($A$14:$A$1213,$A113,$C$14:$C$1213,"&gt;=0")+1)/2)</f>
        <v/>
      </c>
      <c r="Y113" s="27">
        <f>IF(OR(NOT(ISNUMBER($W113)),$AO113=1),"",$W113-(COUNTIFS($A$14:$A$1213,$A113,$F$14:$F$1213,"&gt;=0")+1)/2)</f>
        <v/>
      </c>
      <c r="Z113" s="27">
        <f>IF(ISNUMBER($V113),$A113&amp;"|"&amp;$V113,"")</f>
        <v/>
      </c>
      <c r="AA113" s="27">
        <f>IF(ISNUMBER($W113),$A113&amp;"|"&amp;$W113,"")</f>
        <v/>
      </c>
      <c r="AB113" s="27">
        <f>IF(ISNUMBER($F113),$A113&amp;"|"&amp;$F113,"")</f>
        <v/>
      </c>
      <c r="AC113" s="27">
        <f>IF(ISNUMBER($P113),COUNTIFS($A$14:$A$1213,$A113,$P$14:$P$1213,"&gt;"&amp;$P113)+(COUNTIFS($A$14:$A$1213,$A113,$P$14:$P$1213,"="&amp;$P113)+1)/2,"")</f>
        <v/>
      </c>
      <c r="AD113" s="27">
        <f>IF(ISNUMBER($Q113),COUNTIFS($A$14:$A$1213,$A113,$Q$14:$Q$1213,"&gt;"&amp;$Q113)+(COUNTIFS($A$14:$A$1213,$A113,$Q$14:$Q$1213,"="&amp;$Q113)+1)/2,"")</f>
        <v/>
      </c>
      <c r="AE113" s="27">
        <f>IF(ISNUMBER($R113),COUNTIFS($A$14:$A$1213,$A113,$R$14:$R$1213,"&gt;"&amp;$R113)+(COUNTIFS($A$14:$A$1213,$A113,$R$14:$R$1213,"="&amp;$R113)+1)/2,"")</f>
        <v/>
      </c>
      <c r="AF113" s="27">
        <f>IF(ISNUMBER($S113),COUNTIFS($A$14:$A$1213,$A113,$S$14:$S$1213,"&gt;"&amp;$S113)+(COUNTIFS($A$14:$A$1213,$A113,$S$14:$S$1213,"="&amp;$S113)+1)/2,"")</f>
        <v/>
      </c>
      <c r="AG113" s="27">
        <f>IF(ISNUMBER($T113),COUNTIFS($A$14:$A$1213,$A113,$T$14:$T$1213,"&gt;"&amp;$T113)+(COUNTIFS($A$14:$A$1213,$A113,$T$14:$T$1213,"="&amp;$T113)+1)/2,"")</f>
        <v/>
      </c>
      <c r="AH113" s="27">
        <f>IF(COUNT($AC113:$AG113)&lt;2,"",IF(MAX($AC113:$AG113)=MIN($AC113:$AG113),0,1))</f>
        <v/>
      </c>
      <c r="AI113" s="27">
        <f>IF($A113="","",IF(COUNTIF($A$14:$A113,$A113)=1,COUNTIF($AI$13:AI112,"&gt;0")+1,""))</f>
        <v/>
      </c>
      <c r="AJ113" s="27">
        <f>IF(OR($H113="",COUNTIFS($A$14:$A$1213,$H113,$F$14:$F$1213,"&gt;=0")&lt;2,COUNTIFS($A$14:$A$1213,$H113,$F$14:$F$1213,_xlfn.MAXIFS($F$14:$F$1213,$A$14:$A$1213,$H113))&gt;1),"",IFERROR(INDEX($D$14:$D$1213,MATCH($H113&amp;"|"&amp;_xlfn.MAXIFS($F$14:$F$1213,$A$14:$A$1213,$H113),$AB$14:$AB$1213,0)),""))</f>
        <v/>
      </c>
      <c r="AK113" s="27">
        <f>IF(OR($H113="",COUNTIFS($A$14:$A$1213,$H113,$F$14:$F$1213,"&gt;=0")&lt;2,COUNTIFS($A$14:$A$1213,$H113,$F$14:$F$1213,_xlfn.MAXIFS($F$14:$F$1213,$A$14:$A$1213,$H113))&gt;1),"",IFERROR(INDEX($E$14:$E$1213,MATCH($H113&amp;"|"&amp;_xlfn.MAXIFS($F$14:$F$1213,$A$14:$A$1213,$H113),$AB$14:$AB$1213,0)),""))</f>
        <v/>
      </c>
      <c r="AL113" s="27">
        <f>IF(OR($H113="",COUNTIFS($A$14:$A$1213,$H113,$F$14:$F$1213,"&gt;=0")&lt;2,COUNTIFS($A$14:$A$1213,$H113,$F$14:$F$1213,_xlfn.MAXIFS($F$14:$F$1213,$A$14:$A$1213,$H113))&gt;1),"",IFERROR(INDEX($D$14:$D$1213,MATCH($H113&amp;"|"&amp;_xlfn.MAXIFS($F$14:$F$1213,$A$14:$A$1213,$H113,$F$14:$F$1213,"&lt;"&amp;_xlfn.MAXIFS($F$14:$F$1213,$A$14:$A$1213,$H113)),$AB$14:$AB$1213,0)),""))</f>
        <v/>
      </c>
      <c r="AM113" s="27">
        <f>IF(OR($H113="",COUNTIFS($A$14:$A$1213,$H113,$F$14:$F$1213,"&gt;=0")&lt;2,COUNTIFS($A$14:$A$1213,$H113,$F$14:$F$1213,_xlfn.MAXIFS($F$14:$F$1213,$A$14:$A$1213,$H113))&gt;1),"",IFERROR(INDEX($E$14:$E$1213,MATCH($H113&amp;"|"&amp;_xlfn.MAXIFS($F$14:$F$1213,$A$14:$A$1213,$H113,$F$14:$F$1213,"&lt;"&amp;_xlfn.MAXIFS($F$14:$F$1213,$A$14:$A$1213,$H113)),$AB$14:$AB$1213,0)),""))</f>
        <v/>
      </c>
      <c r="AN113" s="27">
        <f>IF(OR(NOT(ISNUMBER($AJ113)),NOT(ISNUMBER($AL113)),$AK113=0,$AM113=0),"",IF(OR((($AJ113+$AL113)/($AK113+$AM113))&lt;=0,(($AJ113+$AL113)/($AK113+$AM113))&gt;=1),"",($AJ113/$AK113-$AL113/$AM113)/SQRT((($AJ113+$AL113)/($AK113+$AM113))*(1-(($AJ113+$AL113)/($AK113+$AM113)))*(1/$AK113+1/$AM113))))</f>
        <v/>
      </c>
      <c r="AO113" s="27">
        <f>IF($A113="","",IF(AND(COUNTIFS($A$14:$A$1213,$A113,$F$14:$F$1213,"&gt;=0")=2,IFERROR(INDEX($M$14:$M$313,MATCH($A113,$H$14:$H$313,0)),"Yes")&lt;&gt;"Yes"),1,0))</f>
        <v/>
      </c>
    </row>
    <row r="114" ht="24" customHeight="1">
      <c r="A114" s="19">
        <f>IF('Enter messages'!A114="","",'Enter messages'!A114)</f>
        <v/>
      </c>
      <c r="B114" s="20">
        <f>IF('Enter messages'!B114="","",'Enter messages'!B114)</f>
        <v/>
      </c>
      <c r="C114" s="21">
        <f>IFERROR(AVERAGE(P114:T114),"")</f>
        <v/>
      </c>
      <c r="D114" s="29" t="n"/>
      <c r="E114" s="29" t="n"/>
      <c r="F114" s="30">
        <f>IF(AND(ISNUMBER($D114),ISNUMBER($E114),$E114&gt;0,$D114&lt;=$E114),$D114/$E114,"")</f>
        <v/>
      </c>
      <c r="H114" s="19">
        <f>IFERROR(INDEX($A$14:$A$1213,MATCH(101,$AI$14:$AI$1213,0)),"")</f>
        <v/>
      </c>
      <c r="I114" s="24">
        <f>IF($H114="","",IF(COUNTIFS($A$14:$A$1213,$H114,$C$14:$C$1213,"&gt;=0")=0,"—",IFERROR(INDEX($B$14:$B$1213,MATCH($H114&amp;"|1",$Z$14:$Z$1213,0)),"(tied)")))</f>
        <v/>
      </c>
      <c r="J114" s="25">
        <f>IF($H114="","",IF(OR(COUNTIFS($A$14:$A$1213,$H114,$C$14:$C$1213,"&gt;=0")=0,COUNTIFS($A$14:$A$1213,$H114,$F$14:$F$1213,"&gt;=0")=0),"—",IF(OR(ISERROR(MATCH($H114&amp;"|1",$Z$14:$Z$1213,0)),ISERROR(MATCH($H114&amp;"|1",$AA$14:$AA$1213,0))),"Tie",IF(MATCH($H114&amp;"|1",$Z$14:$Z$1213,0)=MATCH($H114&amp;"|1",$AA$14:$AA$1213,0),"Hit","Miss"))))</f>
        <v/>
      </c>
      <c r="K114" s="24">
        <f>IF($H114="","",IF(COUNTIFS($A$14:$A$1213,$H114,$F$14:$F$1213,"&gt;=0")=0,"—",IFERROR(INDEX($B$14:$B$1213,MATCH($H114&amp;"|1",$AA$14:$AA$1213,0)),"(tied)")))</f>
        <v/>
      </c>
      <c r="L114" s="25">
        <f>IF($H114="","",IF((--(COUNTIFS($A$14:$A$1213,$H114,$P$14:$P$1213,"&gt;=0")&gt;0)+--(COUNTIFS($A$14:$A$1213,$H114,$Q$14:$Q$1213,"&gt;=0")&gt;0)+--(COUNTIFS($A$14:$A$1213,$H114,$R$14:$R$1213,"&gt;=0")&gt;0)+--(COUNTIFS($A$14:$A$1213,$H114,$S$14:$S$1213,"&gt;=0")&gt;0)+--(COUNTIFS($A$14:$A$1213,$H114,$T$14:$T$1213,"&gt;=0")&gt;0))&lt;2,"—",IF(SUMIFS($AH$14:$AH$1213,$A$14:$A$1213,$H114)=0,"Yes","No")))</f>
        <v/>
      </c>
      <c r="M114" s="25">
        <f>IF($H114="","",IF(COUNTIFS($A$14:$A$1213,$H114,$F$14:$F$1213,"&gt;=0")&lt;2,"—",IF(COUNTIFS($A$14:$A$1213,$H114,$F$14:$F$1213,_xlfn.MAXIFS($F$14:$F$1213,$A$14:$A$1213,$H114))&gt;1,"No",IF(NOT(ISNUMBER($AN114)),"—",IF((2*(1-NORMSDIST(ABS($AN114))))&lt;0.05,"Yes","No")))))</f>
        <v/>
      </c>
      <c r="N114" s="21">
        <f>IF($H114="","",IF(NOT(ISNUMBER($AN114)),"—",IF((2*(1-NORMSDIST(ABS($AN114))))&lt;0.001,"&lt;0.001",TEXT((2*(1-NORMSDIST(ABS($AN114)))),"0.000"))))</f>
        <v/>
      </c>
      <c r="P114" s="26" t="n"/>
      <c r="Q114" s="26" t="n"/>
      <c r="R114" s="26" t="n"/>
      <c r="S114" s="26" t="n"/>
      <c r="T114" s="26" t="n"/>
      <c r="V114" s="27">
        <f>IF(ISNUMBER($C114),COUNTIFS($A$14:$A$1213,$A114,$C$14:$C$1213,"&gt;"&amp;$C114)+(COUNTIFS($A$14:$A$1213,$A114,$C$14:$C$1213,"="&amp;$C114)+1)/2,"")</f>
        <v/>
      </c>
      <c r="W114" s="27">
        <f>IF(ISNUMBER($F114),COUNTIFS($A$14:$A$1213,$A114,$F$14:$F$1213,"&gt;"&amp;$F114)+(COUNTIFS($A$14:$A$1213,$A114,$F$14:$F$1213,"="&amp;$F114)+1)/2,"")</f>
        <v/>
      </c>
      <c r="X114" s="27">
        <f>IF(OR(NOT(ISNUMBER($V114)),$AO114=1),"",$V114-(COUNTIFS($A$14:$A$1213,$A114,$C$14:$C$1213,"&gt;=0")+1)/2)</f>
        <v/>
      </c>
      <c r="Y114" s="27">
        <f>IF(OR(NOT(ISNUMBER($W114)),$AO114=1),"",$W114-(COUNTIFS($A$14:$A$1213,$A114,$F$14:$F$1213,"&gt;=0")+1)/2)</f>
        <v/>
      </c>
      <c r="Z114" s="27">
        <f>IF(ISNUMBER($V114),$A114&amp;"|"&amp;$V114,"")</f>
        <v/>
      </c>
      <c r="AA114" s="27">
        <f>IF(ISNUMBER($W114),$A114&amp;"|"&amp;$W114,"")</f>
        <v/>
      </c>
      <c r="AB114" s="27">
        <f>IF(ISNUMBER($F114),$A114&amp;"|"&amp;$F114,"")</f>
        <v/>
      </c>
      <c r="AC114" s="27">
        <f>IF(ISNUMBER($P114),COUNTIFS($A$14:$A$1213,$A114,$P$14:$P$1213,"&gt;"&amp;$P114)+(COUNTIFS($A$14:$A$1213,$A114,$P$14:$P$1213,"="&amp;$P114)+1)/2,"")</f>
        <v/>
      </c>
      <c r="AD114" s="27">
        <f>IF(ISNUMBER($Q114),COUNTIFS($A$14:$A$1213,$A114,$Q$14:$Q$1213,"&gt;"&amp;$Q114)+(COUNTIFS($A$14:$A$1213,$A114,$Q$14:$Q$1213,"="&amp;$Q114)+1)/2,"")</f>
        <v/>
      </c>
      <c r="AE114" s="27">
        <f>IF(ISNUMBER($R114),COUNTIFS($A$14:$A$1213,$A114,$R$14:$R$1213,"&gt;"&amp;$R114)+(COUNTIFS($A$14:$A$1213,$A114,$R$14:$R$1213,"="&amp;$R114)+1)/2,"")</f>
        <v/>
      </c>
      <c r="AF114" s="27">
        <f>IF(ISNUMBER($S114),COUNTIFS($A$14:$A$1213,$A114,$S$14:$S$1213,"&gt;"&amp;$S114)+(COUNTIFS($A$14:$A$1213,$A114,$S$14:$S$1213,"="&amp;$S114)+1)/2,"")</f>
        <v/>
      </c>
      <c r="AG114" s="27">
        <f>IF(ISNUMBER($T114),COUNTIFS($A$14:$A$1213,$A114,$T$14:$T$1213,"&gt;"&amp;$T114)+(COUNTIFS($A$14:$A$1213,$A114,$T$14:$T$1213,"="&amp;$T114)+1)/2,"")</f>
        <v/>
      </c>
      <c r="AH114" s="27">
        <f>IF(COUNT($AC114:$AG114)&lt;2,"",IF(MAX($AC114:$AG114)=MIN($AC114:$AG114),0,1))</f>
        <v/>
      </c>
      <c r="AI114" s="27">
        <f>IF($A114="","",IF(COUNTIF($A$14:$A114,$A114)=1,COUNTIF($AI$13:AI113,"&gt;0")+1,""))</f>
        <v/>
      </c>
      <c r="AJ114" s="27">
        <f>IF(OR($H114="",COUNTIFS($A$14:$A$1213,$H114,$F$14:$F$1213,"&gt;=0")&lt;2,COUNTIFS($A$14:$A$1213,$H114,$F$14:$F$1213,_xlfn.MAXIFS($F$14:$F$1213,$A$14:$A$1213,$H114))&gt;1),"",IFERROR(INDEX($D$14:$D$1213,MATCH($H114&amp;"|"&amp;_xlfn.MAXIFS($F$14:$F$1213,$A$14:$A$1213,$H114),$AB$14:$AB$1213,0)),""))</f>
        <v/>
      </c>
      <c r="AK114" s="27">
        <f>IF(OR($H114="",COUNTIFS($A$14:$A$1213,$H114,$F$14:$F$1213,"&gt;=0")&lt;2,COUNTIFS($A$14:$A$1213,$H114,$F$14:$F$1213,_xlfn.MAXIFS($F$14:$F$1213,$A$14:$A$1213,$H114))&gt;1),"",IFERROR(INDEX($E$14:$E$1213,MATCH($H114&amp;"|"&amp;_xlfn.MAXIFS($F$14:$F$1213,$A$14:$A$1213,$H114),$AB$14:$AB$1213,0)),""))</f>
        <v/>
      </c>
      <c r="AL114" s="27">
        <f>IF(OR($H114="",COUNTIFS($A$14:$A$1213,$H114,$F$14:$F$1213,"&gt;=0")&lt;2,COUNTIFS($A$14:$A$1213,$H114,$F$14:$F$1213,_xlfn.MAXIFS($F$14:$F$1213,$A$14:$A$1213,$H114))&gt;1),"",IFERROR(INDEX($D$14:$D$1213,MATCH($H114&amp;"|"&amp;_xlfn.MAXIFS($F$14:$F$1213,$A$14:$A$1213,$H114,$F$14:$F$1213,"&lt;"&amp;_xlfn.MAXIFS($F$14:$F$1213,$A$14:$A$1213,$H114)),$AB$14:$AB$1213,0)),""))</f>
        <v/>
      </c>
      <c r="AM114" s="27">
        <f>IF(OR($H114="",COUNTIFS($A$14:$A$1213,$H114,$F$14:$F$1213,"&gt;=0")&lt;2,COUNTIFS($A$14:$A$1213,$H114,$F$14:$F$1213,_xlfn.MAXIFS($F$14:$F$1213,$A$14:$A$1213,$H114))&gt;1),"",IFERROR(INDEX($E$14:$E$1213,MATCH($H114&amp;"|"&amp;_xlfn.MAXIFS($F$14:$F$1213,$A$14:$A$1213,$H114,$F$14:$F$1213,"&lt;"&amp;_xlfn.MAXIFS($F$14:$F$1213,$A$14:$A$1213,$H114)),$AB$14:$AB$1213,0)),""))</f>
        <v/>
      </c>
      <c r="AN114" s="27">
        <f>IF(OR(NOT(ISNUMBER($AJ114)),NOT(ISNUMBER($AL114)),$AK114=0,$AM114=0),"",IF(OR((($AJ114+$AL114)/($AK114+$AM114))&lt;=0,(($AJ114+$AL114)/($AK114+$AM114))&gt;=1),"",($AJ114/$AK114-$AL114/$AM114)/SQRT((($AJ114+$AL114)/($AK114+$AM114))*(1-(($AJ114+$AL114)/($AK114+$AM114)))*(1/$AK114+1/$AM114))))</f>
        <v/>
      </c>
      <c r="AO114" s="27">
        <f>IF($A114="","",IF(AND(COUNTIFS($A$14:$A$1213,$A114,$F$14:$F$1213,"&gt;=0")=2,IFERROR(INDEX($M$14:$M$313,MATCH($A114,$H$14:$H$313,0)),"Yes")&lt;&gt;"Yes"),1,0))</f>
        <v/>
      </c>
    </row>
    <row r="115" ht="24" customHeight="1">
      <c r="A115" s="19">
        <f>IF('Enter messages'!A115="","",'Enter messages'!A115)</f>
        <v/>
      </c>
      <c r="B115" s="20">
        <f>IF('Enter messages'!B115="","",'Enter messages'!B115)</f>
        <v/>
      </c>
      <c r="C115" s="21">
        <f>IFERROR(AVERAGE(P115:T115),"")</f>
        <v/>
      </c>
      <c r="D115" s="29" t="n"/>
      <c r="E115" s="29" t="n"/>
      <c r="F115" s="30">
        <f>IF(AND(ISNUMBER($D115),ISNUMBER($E115),$E115&gt;0,$D115&lt;=$E115),$D115/$E115,"")</f>
        <v/>
      </c>
      <c r="H115" s="19">
        <f>IFERROR(INDEX($A$14:$A$1213,MATCH(102,$AI$14:$AI$1213,0)),"")</f>
        <v/>
      </c>
      <c r="I115" s="24">
        <f>IF($H115="","",IF(COUNTIFS($A$14:$A$1213,$H115,$C$14:$C$1213,"&gt;=0")=0,"—",IFERROR(INDEX($B$14:$B$1213,MATCH($H115&amp;"|1",$Z$14:$Z$1213,0)),"(tied)")))</f>
        <v/>
      </c>
      <c r="J115" s="25">
        <f>IF($H115="","",IF(OR(COUNTIFS($A$14:$A$1213,$H115,$C$14:$C$1213,"&gt;=0")=0,COUNTIFS($A$14:$A$1213,$H115,$F$14:$F$1213,"&gt;=0")=0),"—",IF(OR(ISERROR(MATCH($H115&amp;"|1",$Z$14:$Z$1213,0)),ISERROR(MATCH($H115&amp;"|1",$AA$14:$AA$1213,0))),"Tie",IF(MATCH($H115&amp;"|1",$Z$14:$Z$1213,0)=MATCH($H115&amp;"|1",$AA$14:$AA$1213,0),"Hit","Miss"))))</f>
        <v/>
      </c>
      <c r="K115" s="24">
        <f>IF($H115="","",IF(COUNTIFS($A$14:$A$1213,$H115,$F$14:$F$1213,"&gt;=0")=0,"—",IFERROR(INDEX($B$14:$B$1213,MATCH($H115&amp;"|1",$AA$14:$AA$1213,0)),"(tied)")))</f>
        <v/>
      </c>
      <c r="L115" s="25">
        <f>IF($H115="","",IF((--(COUNTIFS($A$14:$A$1213,$H115,$P$14:$P$1213,"&gt;=0")&gt;0)+--(COUNTIFS($A$14:$A$1213,$H115,$Q$14:$Q$1213,"&gt;=0")&gt;0)+--(COUNTIFS($A$14:$A$1213,$H115,$R$14:$R$1213,"&gt;=0")&gt;0)+--(COUNTIFS($A$14:$A$1213,$H115,$S$14:$S$1213,"&gt;=0")&gt;0)+--(COUNTIFS($A$14:$A$1213,$H115,$T$14:$T$1213,"&gt;=0")&gt;0))&lt;2,"—",IF(SUMIFS($AH$14:$AH$1213,$A$14:$A$1213,$H115)=0,"Yes","No")))</f>
        <v/>
      </c>
      <c r="M115" s="25">
        <f>IF($H115="","",IF(COUNTIFS($A$14:$A$1213,$H115,$F$14:$F$1213,"&gt;=0")&lt;2,"—",IF(COUNTIFS($A$14:$A$1213,$H115,$F$14:$F$1213,_xlfn.MAXIFS($F$14:$F$1213,$A$14:$A$1213,$H115))&gt;1,"No",IF(NOT(ISNUMBER($AN115)),"—",IF((2*(1-NORMSDIST(ABS($AN115))))&lt;0.05,"Yes","No")))))</f>
        <v/>
      </c>
      <c r="N115" s="21">
        <f>IF($H115="","",IF(NOT(ISNUMBER($AN115)),"—",IF((2*(1-NORMSDIST(ABS($AN115))))&lt;0.001,"&lt;0.001",TEXT((2*(1-NORMSDIST(ABS($AN115)))),"0.000"))))</f>
        <v/>
      </c>
      <c r="P115" s="26" t="n"/>
      <c r="Q115" s="26" t="n"/>
      <c r="R115" s="26" t="n"/>
      <c r="S115" s="26" t="n"/>
      <c r="T115" s="26" t="n"/>
      <c r="V115" s="27">
        <f>IF(ISNUMBER($C115),COUNTIFS($A$14:$A$1213,$A115,$C$14:$C$1213,"&gt;"&amp;$C115)+(COUNTIFS($A$14:$A$1213,$A115,$C$14:$C$1213,"="&amp;$C115)+1)/2,"")</f>
        <v/>
      </c>
      <c r="W115" s="27">
        <f>IF(ISNUMBER($F115),COUNTIFS($A$14:$A$1213,$A115,$F$14:$F$1213,"&gt;"&amp;$F115)+(COUNTIFS($A$14:$A$1213,$A115,$F$14:$F$1213,"="&amp;$F115)+1)/2,"")</f>
        <v/>
      </c>
      <c r="X115" s="27">
        <f>IF(OR(NOT(ISNUMBER($V115)),$AO115=1),"",$V115-(COUNTIFS($A$14:$A$1213,$A115,$C$14:$C$1213,"&gt;=0")+1)/2)</f>
        <v/>
      </c>
      <c r="Y115" s="27">
        <f>IF(OR(NOT(ISNUMBER($W115)),$AO115=1),"",$W115-(COUNTIFS($A$14:$A$1213,$A115,$F$14:$F$1213,"&gt;=0")+1)/2)</f>
        <v/>
      </c>
      <c r="Z115" s="27">
        <f>IF(ISNUMBER($V115),$A115&amp;"|"&amp;$V115,"")</f>
        <v/>
      </c>
      <c r="AA115" s="27">
        <f>IF(ISNUMBER($W115),$A115&amp;"|"&amp;$W115,"")</f>
        <v/>
      </c>
      <c r="AB115" s="27">
        <f>IF(ISNUMBER($F115),$A115&amp;"|"&amp;$F115,"")</f>
        <v/>
      </c>
      <c r="AC115" s="27">
        <f>IF(ISNUMBER($P115),COUNTIFS($A$14:$A$1213,$A115,$P$14:$P$1213,"&gt;"&amp;$P115)+(COUNTIFS($A$14:$A$1213,$A115,$P$14:$P$1213,"="&amp;$P115)+1)/2,"")</f>
        <v/>
      </c>
      <c r="AD115" s="27">
        <f>IF(ISNUMBER($Q115),COUNTIFS($A$14:$A$1213,$A115,$Q$14:$Q$1213,"&gt;"&amp;$Q115)+(COUNTIFS($A$14:$A$1213,$A115,$Q$14:$Q$1213,"="&amp;$Q115)+1)/2,"")</f>
        <v/>
      </c>
      <c r="AE115" s="27">
        <f>IF(ISNUMBER($R115),COUNTIFS($A$14:$A$1213,$A115,$R$14:$R$1213,"&gt;"&amp;$R115)+(COUNTIFS($A$14:$A$1213,$A115,$R$14:$R$1213,"="&amp;$R115)+1)/2,"")</f>
        <v/>
      </c>
      <c r="AF115" s="27">
        <f>IF(ISNUMBER($S115),COUNTIFS($A$14:$A$1213,$A115,$S$14:$S$1213,"&gt;"&amp;$S115)+(COUNTIFS($A$14:$A$1213,$A115,$S$14:$S$1213,"="&amp;$S115)+1)/2,"")</f>
        <v/>
      </c>
      <c r="AG115" s="27">
        <f>IF(ISNUMBER($T115),COUNTIFS($A$14:$A$1213,$A115,$T$14:$T$1213,"&gt;"&amp;$T115)+(COUNTIFS($A$14:$A$1213,$A115,$T$14:$T$1213,"="&amp;$T115)+1)/2,"")</f>
        <v/>
      </c>
      <c r="AH115" s="27">
        <f>IF(COUNT($AC115:$AG115)&lt;2,"",IF(MAX($AC115:$AG115)=MIN($AC115:$AG115),0,1))</f>
        <v/>
      </c>
      <c r="AI115" s="27">
        <f>IF($A115="","",IF(COUNTIF($A$14:$A115,$A115)=1,COUNTIF($AI$13:AI114,"&gt;0")+1,""))</f>
        <v/>
      </c>
      <c r="AJ115" s="27">
        <f>IF(OR($H115="",COUNTIFS($A$14:$A$1213,$H115,$F$14:$F$1213,"&gt;=0")&lt;2,COUNTIFS($A$14:$A$1213,$H115,$F$14:$F$1213,_xlfn.MAXIFS($F$14:$F$1213,$A$14:$A$1213,$H115))&gt;1),"",IFERROR(INDEX($D$14:$D$1213,MATCH($H115&amp;"|"&amp;_xlfn.MAXIFS($F$14:$F$1213,$A$14:$A$1213,$H115),$AB$14:$AB$1213,0)),""))</f>
        <v/>
      </c>
      <c r="AK115" s="27">
        <f>IF(OR($H115="",COUNTIFS($A$14:$A$1213,$H115,$F$14:$F$1213,"&gt;=0")&lt;2,COUNTIFS($A$14:$A$1213,$H115,$F$14:$F$1213,_xlfn.MAXIFS($F$14:$F$1213,$A$14:$A$1213,$H115))&gt;1),"",IFERROR(INDEX($E$14:$E$1213,MATCH($H115&amp;"|"&amp;_xlfn.MAXIFS($F$14:$F$1213,$A$14:$A$1213,$H115),$AB$14:$AB$1213,0)),""))</f>
        <v/>
      </c>
      <c r="AL115" s="27">
        <f>IF(OR($H115="",COUNTIFS($A$14:$A$1213,$H115,$F$14:$F$1213,"&gt;=0")&lt;2,COUNTIFS($A$14:$A$1213,$H115,$F$14:$F$1213,_xlfn.MAXIFS($F$14:$F$1213,$A$14:$A$1213,$H115))&gt;1),"",IFERROR(INDEX($D$14:$D$1213,MATCH($H115&amp;"|"&amp;_xlfn.MAXIFS($F$14:$F$1213,$A$14:$A$1213,$H115,$F$14:$F$1213,"&lt;"&amp;_xlfn.MAXIFS($F$14:$F$1213,$A$14:$A$1213,$H115)),$AB$14:$AB$1213,0)),""))</f>
        <v/>
      </c>
      <c r="AM115" s="27">
        <f>IF(OR($H115="",COUNTIFS($A$14:$A$1213,$H115,$F$14:$F$1213,"&gt;=0")&lt;2,COUNTIFS($A$14:$A$1213,$H115,$F$14:$F$1213,_xlfn.MAXIFS($F$14:$F$1213,$A$14:$A$1213,$H115))&gt;1),"",IFERROR(INDEX($E$14:$E$1213,MATCH($H115&amp;"|"&amp;_xlfn.MAXIFS($F$14:$F$1213,$A$14:$A$1213,$H115,$F$14:$F$1213,"&lt;"&amp;_xlfn.MAXIFS($F$14:$F$1213,$A$14:$A$1213,$H115)),$AB$14:$AB$1213,0)),""))</f>
        <v/>
      </c>
      <c r="AN115" s="27">
        <f>IF(OR(NOT(ISNUMBER($AJ115)),NOT(ISNUMBER($AL115)),$AK115=0,$AM115=0),"",IF(OR((($AJ115+$AL115)/($AK115+$AM115))&lt;=0,(($AJ115+$AL115)/($AK115+$AM115))&gt;=1),"",($AJ115/$AK115-$AL115/$AM115)/SQRT((($AJ115+$AL115)/($AK115+$AM115))*(1-(($AJ115+$AL115)/($AK115+$AM115)))*(1/$AK115+1/$AM115))))</f>
        <v/>
      </c>
      <c r="AO115" s="27">
        <f>IF($A115="","",IF(AND(COUNTIFS($A$14:$A$1213,$A115,$F$14:$F$1213,"&gt;=0")=2,IFERROR(INDEX($M$14:$M$313,MATCH($A115,$H$14:$H$313,0)),"Yes")&lt;&gt;"Yes"),1,0))</f>
        <v/>
      </c>
    </row>
    <row r="116" ht="24" customHeight="1">
      <c r="A116" s="19">
        <f>IF('Enter messages'!A116="","",'Enter messages'!A116)</f>
        <v/>
      </c>
      <c r="B116" s="20">
        <f>IF('Enter messages'!B116="","",'Enter messages'!B116)</f>
        <v/>
      </c>
      <c r="C116" s="21">
        <f>IFERROR(AVERAGE(P116:T116),"")</f>
        <v/>
      </c>
      <c r="D116" s="29" t="n"/>
      <c r="E116" s="29" t="n"/>
      <c r="F116" s="30">
        <f>IF(AND(ISNUMBER($D116),ISNUMBER($E116),$E116&gt;0,$D116&lt;=$E116),$D116/$E116,"")</f>
        <v/>
      </c>
      <c r="H116" s="19">
        <f>IFERROR(INDEX($A$14:$A$1213,MATCH(103,$AI$14:$AI$1213,0)),"")</f>
        <v/>
      </c>
      <c r="I116" s="24">
        <f>IF($H116="","",IF(COUNTIFS($A$14:$A$1213,$H116,$C$14:$C$1213,"&gt;=0")=0,"—",IFERROR(INDEX($B$14:$B$1213,MATCH($H116&amp;"|1",$Z$14:$Z$1213,0)),"(tied)")))</f>
        <v/>
      </c>
      <c r="J116" s="25">
        <f>IF($H116="","",IF(OR(COUNTIFS($A$14:$A$1213,$H116,$C$14:$C$1213,"&gt;=0")=0,COUNTIFS($A$14:$A$1213,$H116,$F$14:$F$1213,"&gt;=0")=0),"—",IF(OR(ISERROR(MATCH($H116&amp;"|1",$Z$14:$Z$1213,0)),ISERROR(MATCH($H116&amp;"|1",$AA$14:$AA$1213,0))),"Tie",IF(MATCH($H116&amp;"|1",$Z$14:$Z$1213,0)=MATCH($H116&amp;"|1",$AA$14:$AA$1213,0),"Hit","Miss"))))</f>
        <v/>
      </c>
      <c r="K116" s="24">
        <f>IF($H116="","",IF(COUNTIFS($A$14:$A$1213,$H116,$F$14:$F$1213,"&gt;=0")=0,"—",IFERROR(INDEX($B$14:$B$1213,MATCH($H116&amp;"|1",$AA$14:$AA$1213,0)),"(tied)")))</f>
        <v/>
      </c>
      <c r="L116" s="25">
        <f>IF($H116="","",IF((--(COUNTIFS($A$14:$A$1213,$H116,$P$14:$P$1213,"&gt;=0")&gt;0)+--(COUNTIFS($A$14:$A$1213,$H116,$Q$14:$Q$1213,"&gt;=0")&gt;0)+--(COUNTIFS($A$14:$A$1213,$H116,$R$14:$R$1213,"&gt;=0")&gt;0)+--(COUNTIFS($A$14:$A$1213,$H116,$S$14:$S$1213,"&gt;=0")&gt;0)+--(COUNTIFS($A$14:$A$1213,$H116,$T$14:$T$1213,"&gt;=0")&gt;0))&lt;2,"—",IF(SUMIFS($AH$14:$AH$1213,$A$14:$A$1213,$H116)=0,"Yes","No")))</f>
        <v/>
      </c>
      <c r="M116" s="25">
        <f>IF($H116="","",IF(COUNTIFS($A$14:$A$1213,$H116,$F$14:$F$1213,"&gt;=0")&lt;2,"—",IF(COUNTIFS($A$14:$A$1213,$H116,$F$14:$F$1213,_xlfn.MAXIFS($F$14:$F$1213,$A$14:$A$1213,$H116))&gt;1,"No",IF(NOT(ISNUMBER($AN116)),"—",IF((2*(1-NORMSDIST(ABS($AN116))))&lt;0.05,"Yes","No")))))</f>
        <v/>
      </c>
      <c r="N116" s="21">
        <f>IF($H116="","",IF(NOT(ISNUMBER($AN116)),"—",IF((2*(1-NORMSDIST(ABS($AN116))))&lt;0.001,"&lt;0.001",TEXT((2*(1-NORMSDIST(ABS($AN116)))),"0.000"))))</f>
        <v/>
      </c>
      <c r="P116" s="26" t="n"/>
      <c r="Q116" s="26" t="n"/>
      <c r="R116" s="26" t="n"/>
      <c r="S116" s="26" t="n"/>
      <c r="T116" s="26" t="n"/>
      <c r="V116" s="27">
        <f>IF(ISNUMBER($C116),COUNTIFS($A$14:$A$1213,$A116,$C$14:$C$1213,"&gt;"&amp;$C116)+(COUNTIFS($A$14:$A$1213,$A116,$C$14:$C$1213,"="&amp;$C116)+1)/2,"")</f>
        <v/>
      </c>
      <c r="W116" s="27">
        <f>IF(ISNUMBER($F116),COUNTIFS($A$14:$A$1213,$A116,$F$14:$F$1213,"&gt;"&amp;$F116)+(COUNTIFS($A$14:$A$1213,$A116,$F$14:$F$1213,"="&amp;$F116)+1)/2,"")</f>
        <v/>
      </c>
      <c r="X116" s="27">
        <f>IF(OR(NOT(ISNUMBER($V116)),$AO116=1),"",$V116-(COUNTIFS($A$14:$A$1213,$A116,$C$14:$C$1213,"&gt;=0")+1)/2)</f>
        <v/>
      </c>
      <c r="Y116" s="27">
        <f>IF(OR(NOT(ISNUMBER($W116)),$AO116=1),"",$W116-(COUNTIFS($A$14:$A$1213,$A116,$F$14:$F$1213,"&gt;=0")+1)/2)</f>
        <v/>
      </c>
      <c r="Z116" s="27">
        <f>IF(ISNUMBER($V116),$A116&amp;"|"&amp;$V116,"")</f>
        <v/>
      </c>
      <c r="AA116" s="27">
        <f>IF(ISNUMBER($W116),$A116&amp;"|"&amp;$W116,"")</f>
        <v/>
      </c>
      <c r="AB116" s="27">
        <f>IF(ISNUMBER($F116),$A116&amp;"|"&amp;$F116,"")</f>
        <v/>
      </c>
      <c r="AC116" s="27">
        <f>IF(ISNUMBER($P116),COUNTIFS($A$14:$A$1213,$A116,$P$14:$P$1213,"&gt;"&amp;$P116)+(COUNTIFS($A$14:$A$1213,$A116,$P$14:$P$1213,"="&amp;$P116)+1)/2,"")</f>
        <v/>
      </c>
      <c r="AD116" s="27">
        <f>IF(ISNUMBER($Q116),COUNTIFS($A$14:$A$1213,$A116,$Q$14:$Q$1213,"&gt;"&amp;$Q116)+(COUNTIFS($A$14:$A$1213,$A116,$Q$14:$Q$1213,"="&amp;$Q116)+1)/2,"")</f>
        <v/>
      </c>
      <c r="AE116" s="27">
        <f>IF(ISNUMBER($R116),COUNTIFS($A$14:$A$1213,$A116,$R$14:$R$1213,"&gt;"&amp;$R116)+(COUNTIFS($A$14:$A$1213,$A116,$R$14:$R$1213,"="&amp;$R116)+1)/2,"")</f>
        <v/>
      </c>
      <c r="AF116" s="27">
        <f>IF(ISNUMBER($S116),COUNTIFS($A$14:$A$1213,$A116,$S$14:$S$1213,"&gt;"&amp;$S116)+(COUNTIFS($A$14:$A$1213,$A116,$S$14:$S$1213,"="&amp;$S116)+1)/2,"")</f>
        <v/>
      </c>
      <c r="AG116" s="27">
        <f>IF(ISNUMBER($T116),COUNTIFS($A$14:$A$1213,$A116,$T$14:$T$1213,"&gt;"&amp;$T116)+(COUNTIFS($A$14:$A$1213,$A116,$T$14:$T$1213,"="&amp;$T116)+1)/2,"")</f>
        <v/>
      </c>
      <c r="AH116" s="27">
        <f>IF(COUNT($AC116:$AG116)&lt;2,"",IF(MAX($AC116:$AG116)=MIN($AC116:$AG116),0,1))</f>
        <v/>
      </c>
      <c r="AI116" s="27">
        <f>IF($A116="","",IF(COUNTIF($A$14:$A116,$A116)=1,COUNTIF($AI$13:AI115,"&gt;0")+1,""))</f>
        <v/>
      </c>
      <c r="AJ116" s="27">
        <f>IF(OR($H116="",COUNTIFS($A$14:$A$1213,$H116,$F$14:$F$1213,"&gt;=0")&lt;2,COUNTIFS($A$14:$A$1213,$H116,$F$14:$F$1213,_xlfn.MAXIFS($F$14:$F$1213,$A$14:$A$1213,$H116))&gt;1),"",IFERROR(INDEX($D$14:$D$1213,MATCH($H116&amp;"|"&amp;_xlfn.MAXIFS($F$14:$F$1213,$A$14:$A$1213,$H116),$AB$14:$AB$1213,0)),""))</f>
        <v/>
      </c>
      <c r="AK116" s="27">
        <f>IF(OR($H116="",COUNTIFS($A$14:$A$1213,$H116,$F$14:$F$1213,"&gt;=0")&lt;2,COUNTIFS($A$14:$A$1213,$H116,$F$14:$F$1213,_xlfn.MAXIFS($F$14:$F$1213,$A$14:$A$1213,$H116))&gt;1),"",IFERROR(INDEX($E$14:$E$1213,MATCH($H116&amp;"|"&amp;_xlfn.MAXIFS($F$14:$F$1213,$A$14:$A$1213,$H116),$AB$14:$AB$1213,0)),""))</f>
        <v/>
      </c>
      <c r="AL116" s="27">
        <f>IF(OR($H116="",COUNTIFS($A$14:$A$1213,$H116,$F$14:$F$1213,"&gt;=0")&lt;2,COUNTIFS($A$14:$A$1213,$H116,$F$14:$F$1213,_xlfn.MAXIFS($F$14:$F$1213,$A$14:$A$1213,$H116))&gt;1),"",IFERROR(INDEX($D$14:$D$1213,MATCH($H116&amp;"|"&amp;_xlfn.MAXIFS($F$14:$F$1213,$A$14:$A$1213,$H116,$F$14:$F$1213,"&lt;"&amp;_xlfn.MAXIFS($F$14:$F$1213,$A$14:$A$1213,$H116)),$AB$14:$AB$1213,0)),""))</f>
        <v/>
      </c>
      <c r="AM116" s="27">
        <f>IF(OR($H116="",COUNTIFS($A$14:$A$1213,$H116,$F$14:$F$1213,"&gt;=0")&lt;2,COUNTIFS($A$14:$A$1213,$H116,$F$14:$F$1213,_xlfn.MAXIFS($F$14:$F$1213,$A$14:$A$1213,$H116))&gt;1),"",IFERROR(INDEX($E$14:$E$1213,MATCH($H116&amp;"|"&amp;_xlfn.MAXIFS($F$14:$F$1213,$A$14:$A$1213,$H116,$F$14:$F$1213,"&lt;"&amp;_xlfn.MAXIFS($F$14:$F$1213,$A$14:$A$1213,$H116)),$AB$14:$AB$1213,0)),""))</f>
        <v/>
      </c>
      <c r="AN116" s="27">
        <f>IF(OR(NOT(ISNUMBER($AJ116)),NOT(ISNUMBER($AL116)),$AK116=0,$AM116=0),"",IF(OR((($AJ116+$AL116)/($AK116+$AM116))&lt;=0,(($AJ116+$AL116)/($AK116+$AM116))&gt;=1),"",($AJ116/$AK116-$AL116/$AM116)/SQRT((($AJ116+$AL116)/($AK116+$AM116))*(1-(($AJ116+$AL116)/($AK116+$AM116)))*(1/$AK116+1/$AM116))))</f>
        <v/>
      </c>
      <c r="AO116" s="27">
        <f>IF($A116="","",IF(AND(COUNTIFS($A$14:$A$1213,$A116,$F$14:$F$1213,"&gt;=0")=2,IFERROR(INDEX($M$14:$M$313,MATCH($A116,$H$14:$H$313,0)),"Yes")&lt;&gt;"Yes"),1,0))</f>
        <v/>
      </c>
    </row>
    <row r="117" ht="24" customHeight="1">
      <c r="A117" s="19">
        <f>IF('Enter messages'!A117="","",'Enter messages'!A117)</f>
        <v/>
      </c>
      <c r="B117" s="20">
        <f>IF('Enter messages'!B117="","",'Enter messages'!B117)</f>
        <v/>
      </c>
      <c r="C117" s="21">
        <f>IFERROR(AVERAGE(P117:T117),"")</f>
        <v/>
      </c>
      <c r="D117" s="29" t="n"/>
      <c r="E117" s="29" t="n"/>
      <c r="F117" s="30">
        <f>IF(AND(ISNUMBER($D117),ISNUMBER($E117),$E117&gt;0,$D117&lt;=$E117),$D117/$E117,"")</f>
        <v/>
      </c>
      <c r="H117" s="19">
        <f>IFERROR(INDEX($A$14:$A$1213,MATCH(104,$AI$14:$AI$1213,0)),"")</f>
        <v/>
      </c>
      <c r="I117" s="24">
        <f>IF($H117="","",IF(COUNTIFS($A$14:$A$1213,$H117,$C$14:$C$1213,"&gt;=0")=0,"—",IFERROR(INDEX($B$14:$B$1213,MATCH($H117&amp;"|1",$Z$14:$Z$1213,0)),"(tied)")))</f>
        <v/>
      </c>
      <c r="J117" s="25">
        <f>IF($H117="","",IF(OR(COUNTIFS($A$14:$A$1213,$H117,$C$14:$C$1213,"&gt;=0")=0,COUNTIFS($A$14:$A$1213,$H117,$F$14:$F$1213,"&gt;=0")=0),"—",IF(OR(ISERROR(MATCH($H117&amp;"|1",$Z$14:$Z$1213,0)),ISERROR(MATCH($H117&amp;"|1",$AA$14:$AA$1213,0))),"Tie",IF(MATCH($H117&amp;"|1",$Z$14:$Z$1213,0)=MATCH($H117&amp;"|1",$AA$14:$AA$1213,0),"Hit","Miss"))))</f>
        <v/>
      </c>
      <c r="K117" s="24">
        <f>IF($H117="","",IF(COUNTIFS($A$14:$A$1213,$H117,$F$14:$F$1213,"&gt;=0")=0,"—",IFERROR(INDEX($B$14:$B$1213,MATCH($H117&amp;"|1",$AA$14:$AA$1213,0)),"(tied)")))</f>
        <v/>
      </c>
      <c r="L117" s="25">
        <f>IF($H117="","",IF((--(COUNTIFS($A$14:$A$1213,$H117,$P$14:$P$1213,"&gt;=0")&gt;0)+--(COUNTIFS($A$14:$A$1213,$H117,$Q$14:$Q$1213,"&gt;=0")&gt;0)+--(COUNTIFS($A$14:$A$1213,$H117,$R$14:$R$1213,"&gt;=0")&gt;0)+--(COUNTIFS($A$14:$A$1213,$H117,$S$14:$S$1213,"&gt;=0")&gt;0)+--(COUNTIFS($A$14:$A$1213,$H117,$T$14:$T$1213,"&gt;=0")&gt;0))&lt;2,"—",IF(SUMIFS($AH$14:$AH$1213,$A$14:$A$1213,$H117)=0,"Yes","No")))</f>
        <v/>
      </c>
      <c r="M117" s="25">
        <f>IF($H117="","",IF(COUNTIFS($A$14:$A$1213,$H117,$F$14:$F$1213,"&gt;=0")&lt;2,"—",IF(COUNTIFS($A$14:$A$1213,$H117,$F$14:$F$1213,_xlfn.MAXIFS($F$14:$F$1213,$A$14:$A$1213,$H117))&gt;1,"No",IF(NOT(ISNUMBER($AN117)),"—",IF((2*(1-NORMSDIST(ABS($AN117))))&lt;0.05,"Yes","No")))))</f>
        <v/>
      </c>
      <c r="N117" s="21">
        <f>IF($H117="","",IF(NOT(ISNUMBER($AN117)),"—",IF((2*(1-NORMSDIST(ABS($AN117))))&lt;0.001,"&lt;0.001",TEXT((2*(1-NORMSDIST(ABS($AN117)))),"0.000"))))</f>
        <v/>
      </c>
      <c r="P117" s="26" t="n"/>
      <c r="Q117" s="26" t="n"/>
      <c r="R117" s="26" t="n"/>
      <c r="S117" s="26" t="n"/>
      <c r="T117" s="26" t="n"/>
      <c r="V117" s="27">
        <f>IF(ISNUMBER($C117),COUNTIFS($A$14:$A$1213,$A117,$C$14:$C$1213,"&gt;"&amp;$C117)+(COUNTIFS($A$14:$A$1213,$A117,$C$14:$C$1213,"="&amp;$C117)+1)/2,"")</f>
        <v/>
      </c>
      <c r="W117" s="27">
        <f>IF(ISNUMBER($F117),COUNTIFS($A$14:$A$1213,$A117,$F$14:$F$1213,"&gt;"&amp;$F117)+(COUNTIFS($A$14:$A$1213,$A117,$F$14:$F$1213,"="&amp;$F117)+1)/2,"")</f>
        <v/>
      </c>
      <c r="X117" s="27">
        <f>IF(OR(NOT(ISNUMBER($V117)),$AO117=1),"",$V117-(COUNTIFS($A$14:$A$1213,$A117,$C$14:$C$1213,"&gt;=0")+1)/2)</f>
        <v/>
      </c>
      <c r="Y117" s="27">
        <f>IF(OR(NOT(ISNUMBER($W117)),$AO117=1),"",$W117-(COUNTIFS($A$14:$A$1213,$A117,$F$14:$F$1213,"&gt;=0")+1)/2)</f>
        <v/>
      </c>
      <c r="Z117" s="27">
        <f>IF(ISNUMBER($V117),$A117&amp;"|"&amp;$V117,"")</f>
        <v/>
      </c>
      <c r="AA117" s="27">
        <f>IF(ISNUMBER($W117),$A117&amp;"|"&amp;$W117,"")</f>
        <v/>
      </c>
      <c r="AB117" s="27">
        <f>IF(ISNUMBER($F117),$A117&amp;"|"&amp;$F117,"")</f>
        <v/>
      </c>
      <c r="AC117" s="27">
        <f>IF(ISNUMBER($P117),COUNTIFS($A$14:$A$1213,$A117,$P$14:$P$1213,"&gt;"&amp;$P117)+(COUNTIFS($A$14:$A$1213,$A117,$P$14:$P$1213,"="&amp;$P117)+1)/2,"")</f>
        <v/>
      </c>
      <c r="AD117" s="27">
        <f>IF(ISNUMBER($Q117),COUNTIFS($A$14:$A$1213,$A117,$Q$14:$Q$1213,"&gt;"&amp;$Q117)+(COUNTIFS($A$14:$A$1213,$A117,$Q$14:$Q$1213,"="&amp;$Q117)+1)/2,"")</f>
        <v/>
      </c>
      <c r="AE117" s="27">
        <f>IF(ISNUMBER($R117),COUNTIFS($A$14:$A$1213,$A117,$R$14:$R$1213,"&gt;"&amp;$R117)+(COUNTIFS($A$14:$A$1213,$A117,$R$14:$R$1213,"="&amp;$R117)+1)/2,"")</f>
        <v/>
      </c>
      <c r="AF117" s="27">
        <f>IF(ISNUMBER($S117),COUNTIFS($A$14:$A$1213,$A117,$S$14:$S$1213,"&gt;"&amp;$S117)+(COUNTIFS($A$14:$A$1213,$A117,$S$14:$S$1213,"="&amp;$S117)+1)/2,"")</f>
        <v/>
      </c>
      <c r="AG117" s="27">
        <f>IF(ISNUMBER($T117),COUNTIFS($A$14:$A$1213,$A117,$T$14:$T$1213,"&gt;"&amp;$T117)+(COUNTIFS($A$14:$A$1213,$A117,$T$14:$T$1213,"="&amp;$T117)+1)/2,"")</f>
        <v/>
      </c>
      <c r="AH117" s="27">
        <f>IF(COUNT($AC117:$AG117)&lt;2,"",IF(MAX($AC117:$AG117)=MIN($AC117:$AG117),0,1))</f>
        <v/>
      </c>
      <c r="AI117" s="27">
        <f>IF($A117="","",IF(COUNTIF($A$14:$A117,$A117)=1,COUNTIF($AI$13:AI116,"&gt;0")+1,""))</f>
        <v/>
      </c>
      <c r="AJ117" s="27">
        <f>IF(OR($H117="",COUNTIFS($A$14:$A$1213,$H117,$F$14:$F$1213,"&gt;=0")&lt;2,COUNTIFS($A$14:$A$1213,$H117,$F$14:$F$1213,_xlfn.MAXIFS($F$14:$F$1213,$A$14:$A$1213,$H117))&gt;1),"",IFERROR(INDEX($D$14:$D$1213,MATCH($H117&amp;"|"&amp;_xlfn.MAXIFS($F$14:$F$1213,$A$14:$A$1213,$H117),$AB$14:$AB$1213,0)),""))</f>
        <v/>
      </c>
      <c r="AK117" s="27">
        <f>IF(OR($H117="",COUNTIFS($A$14:$A$1213,$H117,$F$14:$F$1213,"&gt;=0")&lt;2,COUNTIFS($A$14:$A$1213,$H117,$F$14:$F$1213,_xlfn.MAXIFS($F$14:$F$1213,$A$14:$A$1213,$H117))&gt;1),"",IFERROR(INDEX($E$14:$E$1213,MATCH($H117&amp;"|"&amp;_xlfn.MAXIFS($F$14:$F$1213,$A$14:$A$1213,$H117),$AB$14:$AB$1213,0)),""))</f>
        <v/>
      </c>
      <c r="AL117" s="27">
        <f>IF(OR($H117="",COUNTIFS($A$14:$A$1213,$H117,$F$14:$F$1213,"&gt;=0")&lt;2,COUNTIFS($A$14:$A$1213,$H117,$F$14:$F$1213,_xlfn.MAXIFS($F$14:$F$1213,$A$14:$A$1213,$H117))&gt;1),"",IFERROR(INDEX($D$14:$D$1213,MATCH($H117&amp;"|"&amp;_xlfn.MAXIFS($F$14:$F$1213,$A$14:$A$1213,$H117,$F$14:$F$1213,"&lt;"&amp;_xlfn.MAXIFS($F$14:$F$1213,$A$14:$A$1213,$H117)),$AB$14:$AB$1213,0)),""))</f>
        <v/>
      </c>
      <c r="AM117" s="27">
        <f>IF(OR($H117="",COUNTIFS($A$14:$A$1213,$H117,$F$14:$F$1213,"&gt;=0")&lt;2,COUNTIFS($A$14:$A$1213,$H117,$F$14:$F$1213,_xlfn.MAXIFS($F$14:$F$1213,$A$14:$A$1213,$H117))&gt;1),"",IFERROR(INDEX($E$14:$E$1213,MATCH($H117&amp;"|"&amp;_xlfn.MAXIFS($F$14:$F$1213,$A$14:$A$1213,$H117,$F$14:$F$1213,"&lt;"&amp;_xlfn.MAXIFS($F$14:$F$1213,$A$14:$A$1213,$H117)),$AB$14:$AB$1213,0)),""))</f>
        <v/>
      </c>
      <c r="AN117" s="27">
        <f>IF(OR(NOT(ISNUMBER($AJ117)),NOT(ISNUMBER($AL117)),$AK117=0,$AM117=0),"",IF(OR((($AJ117+$AL117)/($AK117+$AM117))&lt;=0,(($AJ117+$AL117)/($AK117+$AM117))&gt;=1),"",($AJ117/$AK117-$AL117/$AM117)/SQRT((($AJ117+$AL117)/($AK117+$AM117))*(1-(($AJ117+$AL117)/($AK117+$AM117)))*(1/$AK117+1/$AM117))))</f>
        <v/>
      </c>
      <c r="AO117" s="27">
        <f>IF($A117="","",IF(AND(COUNTIFS($A$14:$A$1213,$A117,$F$14:$F$1213,"&gt;=0")=2,IFERROR(INDEX($M$14:$M$313,MATCH($A117,$H$14:$H$313,0)),"Yes")&lt;&gt;"Yes"),1,0))</f>
        <v/>
      </c>
    </row>
    <row r="118" ht="24" customHeight="1">
      <c r="A118" s="19">
        <f>IF('Enter messages'!A118="","",'Enter messages'!A118)</f>
        <v/>
      </c>
      <c r="B118" s="20">
        <f>IF('Enter messages'!B118="","",'Enter messages'!B118)</f>
        <v/>
      </c>
      <c r="C118" s="21">
        <f>IFERROR(AVERAGE(P118:T118),"")</f>
        <v/>
      </c>
      <c r="D118" s="29" t="n"/>
      <c r="E118" s="29" t="n"/>
      <c r="F118" s="30">
        <f>IF(AND(ISNUMBER($D118),ISNUMBER($E118),$E118&gt;0,$D118&lt;=$E118),$D118/$E118,"")</f>
        <v/>
      </c>
      <c r="H118" s="19">
        <f>IFERROR(INDEX($A$14:$A$1213,MATCH(105,$AI$14:$AI$1213,0)),"")</f>
        <v/>
      </c>
      <c r="I118" s="24">
        <f>IF($H118="","",IF(COUNTIFS($A$14:$A$1213,$H118,$C$14:$C$1213,"&gt;=0")=0,"—",IFERROR(INDEX($B$14:$B$1213,MATCH($H118&amp;"|1",$Z$14:$Z$1213,0)),"(tied)")))</f>
        <v/>
      </c>
      <c r="J118" s="25">
        <f>IF($H118="","",IF(OR(COUNTIFS($A$14:$A$1213,$H118,$C$14:$C$1213,"&gt;=0")=0,COUNTIFS($A$14:$A$1213,$H118,$F$14:$F$1213,"&gt;=0")=0),"—",IF(OR(ISERROR(MATCH($H118&amp;"|1",$Z$14:$Z$1213,0)),ISERROR(MATCH($H118&amp;"|1",$AA$14:$AA$1213,0))),"Tie",IF(MATCH($H118&amp;"|1",$Z$14:$Z$1213,0)=MATCH($H118&amp;"|1",$AA$14:$AA$1213,0),"Hit","Miss"))))</f>
        <v/>
      </c>
      <c r="K118" s="24">
        <f>IF($H118="","",IF(COUNTIFS($A$14:$A$1213,$H118,$F$14:$F$1213,"&gt;=0")=0,"—",IFERROR(INDEX($B$14:$B$1213,MATCH($H118&amp;"|1",$AA$14:$AA$1213,0)),"(tied)")))</f>
        <v/>
      </c>
      <c r="L118" s="25">
        <f>IF($H118="","",IF((--(COUNTIFS($A$14:$A$1213,$H118,$P$14:$P$1213,"&gt;=0")&gt;0)+--(COUNTIFS($A$14:$A$1213,$H118,$Q$14:$Q$1213,"&gt;=0")&gt;0)+--(COUNTIFS($A$14:$A$1213,$H118,$R$14:$R$1213,"&gt;=0")&gt;0)+--(COUNTIFS($A$14:$A$1213,$H118,$S$14:$S$1213,"&gt;=0")&gt;0)+--(COUNTIFS($A$14:$A$1213,$H118,$T$14:$T$1213,"&gt;=0")&gt;0))&lt;2,"—",IF(SUMIFS($AH$14:$AH$1213,$A$14:$A$1213,$H118)=0,"Yes","No")))</f>
        <v/>
      </c>
      <c r="M118" s="25">
        <f>IF($H118="","",IF(COUNTIFS($A$14:$A$1213,$H118,$F$14:$F$1213,"&gt;=0")&lt;2,"—",IF(COUNTIFS($A$14:$A$1213,$H118,$F$14:$F$1213,_xlfn.MAXIFS($F$14:$F$1213,$A$14:$A$1213,$H118))&gt;1,"No",IF(NOT(ISNUMBER($AN118)),"—",IF((2*(1-NORMSDIST(ABS($AN118))))&lt;0.05,"Yes","No")))))</f>
        <v/>
      </c>
      <c r="N118" s="21">
        <f>IF($H118="","",IF(NOT(ISNUMBER($AN118)),"—",IF((2*(1-NORMSDIST(ABS($AN118))))&lt;0.001,"&lt;0.001",TEXT((2*(1-NORMSDIST(ABS($AN118)))),"0.000"))))</f>
        <v/>
      </c>
      <c r="P118" s="26" t="n"/>
      <c r="Q118" s="26" t="n"/>
      <c r="R118" s="26" t="n"/>
      <c r="S118" s="26" t="n"/>
      <c r="T118" s="26" t="n"/>
      <c r="V118" s="27">
        <f>IF(ISNUMBER($C118),COUNTIFS($A$14:$A$1213,$A118,$C$14:$C$1213,"&gt;"&amp;$C118)+(COUNTIFS($A$14:$A$1213,$A118,$C$14:$C$1213,"="&amp;$C118)+1)/2,"")</f>
        <v/>
      </c>
      <c r="W118" s="27">
        <f>IF(ISNUMBER($F118),COUNTIFS($A$14:$A$1213,$A118,$F$14:$F$1213,"&gt;"&amp;$F118)+(COUNTIFS($A$14:$A$1213,$A118,$F$14:$F$1213,"="&amp;$F118)+1)/2,"")</f>
        <v/>
      </c>
      <c r="X118" s="27">
        <f>IF(OR(NOT(ISNUMBER($V118)),$AO118=1),"",$V118-(COUNTIFS($A$14:$A$1213,$A118,$C$14:$C$1213,"&gt;=0")+1)/2)</f>
        <v/>
      </c>
      <c r="Y118" s="27">
        <f>IF(OR(NOT(ISNUMBER($W118)),$AO118=1),"",$W118-(COUNTIFS($A$14:$A$1213,$A118,$F$14:$F$1213,"&gt;=0")+1)/2)</f>
        <v/>
      </c>
      <c r="Z118" s="27">
        <f>IF(ISNUMBER($V118),$A118&amp;"|"&amp;$V118,"")</f>
        <v/>
      </c>
      <c r="AA118" s="27">
        <f>IF(ISNUMBER($W118),$A118&amp;"|"&amp;$W118,"")</f>
        <v/>
      </c>
      <c r="AB118" s="27">
        <f>IF(ISNUMBER($F118),$A118&amp;"|"&amp;$F118,"")</f>
        <v/>
      </c>
      <c r="AC118" s="27">
        <f>IF(ISNUMBER($P118),COUNTIFS($A$14:$A$1213,$A118,$P$14:$P$1213,"&gt;"&amp;$P118)+(COUNTIFS($A$14:$A$1213,$A118,$P$14:$P$1213,"="&amp;$P118)+1)/2,"")</f>
        <v/>
      </c>
      <c r="AD118" s="27">
        <f>IF(ISNUMBER($Q118),COUNTIFS($A$14:$A$1213,$A118,$Q$14:$Q$1213,"&gt;"&amp;$Q118)+(COUNTIFS($A$14:$A$1213,$A118,$Q$14:$Q$1213,"="&amp;$Q118)+1)/2,"")</f>
        <v/>
      </c>
      <c r="AE118" s="27">
        <f>IF(ISNUMBER($R118),COUNTIFS($A$14:$A$1213,$A118,$R$14:$R$1213,"&gt;"&amp;$R118)+(COUNTIFS($A$14:$A$1213,$A118,$R$14:$R$1213,"="&amp;$R118)+1)/2,"")</f>
        <v/>
      </c>
      <c r="AF118" s="27">
        <f>IF(ISNUMBER($S118),COUNTIFS($A$14:$A$1213,$A118,$S$14:$S$1213,"&gt;"&amp;$S118)+(COUNTIFS($A$14:$A$1213,$A118,$S$14:$S$1213,"="&amp;$S118)+1)/2,"")</f>
        <v/>
      </c>
      <c r="AG118" s="27">
        <f>IF(ISNUMBER($T118),COUNTIFS($A$14:$A$1213,$A118,$T$14:$T$1213,"&gt;"&amp;$T118)+(COUNTIFS($A$14:$A$1213,$A118,$T$14:$T$1213,"="&amp;$T118)+1)/2,"")</f>
        <v/>
      </c>
      <c r="AH118" s="27">
        <f>IF(COUNT($AC118:$AG118)&lt;2,"",IF(MAX($AC118:$AG118)=MIN($AC118:$AG118),0,1))</f>
        <v/>
      </c>
      <c r="AI118" s="27">
        <f>IF($A118="","",IF(COUNTIF($A$14:$A118,$A118)=1,COUNTIF($AI$13:AI117,"&gt;0")+1,""))</f>
        <v/>
      </c>
      <c r="AJ118" s="27">
        <f>IF(OR($H118="",COUNTIFS($A$14:$A$1213,$H118,$F$14:$F$1213,"&gt;=0")&lt;2,COUNTIFS($A$14:$A$1213,$H118,$F$14:$F$1213,_xlfn.MAXIFS($F$14:$F$1213,$A$14:$A$1213,$H118))&gt;1),"",IFERROR(INDEX($D$14:$D$1213,MATCH($H118&amp;"|"&amp;_xlfn.MAXIFS($F$14:$F$1213,$A$14:$A$1213,$H118),$AB$14:$AB$1213,0)),""))</f>
        <v/>
      </c>
      <c r="AK118" s="27">
        <f>IF(OR($H118="",COUNTIFS($A$14:$A$1213,$H118,$F$14:$F$1213,"&gt;=0")&lt;2,COUNTIFS($A$14:$A$1213,$H118,$F$14:$F$1213,_xlfn.MAXIFS($F$14:$F$1213,$A$14:$A$1213,$H118))&gt;1),"",IFERROR(INDEX($E$14:$E$1213,MATCH($H118&amp;"|"&amp;_xlfn.MAXIFS($F$14:$F$1213,$A$14:$A$1213,$H118),$AB$14:$AB$1213,0)),""))</f>
        <v/>
      </c>
      <c r="AL118" s="27">
        <f>IF(OR($H118="",COUNTIFS($A$14:$A$1213,$H118,$F$14:$F$1213,"&gt;=0")&lt;2,COUNTIFS($A$14:$A$1213,$H118,$F$14:$F$1213,_xlfn.MAXIFS($F$14:$F$1213,$A$14:$A$1213,$H118))&gt;1),"",IFERROR(INDEX($D$14:$D$1213,MATCH($H118&amp;"|"&amp;_xlfn.MAXIFS($F$14:$F$1213,$A$14:$A$1213,$H118,$F$14:$F$1213,"&lt;"&amp;_xlfn.MAXIFS($F$14:$F$1213,$A$14:$A$1213,$H118)),$AB$14:$AB$1213,0)),""))</f>
        <v/>
      </c>
      <c r="AM118" s="27">
        <f>IF(OR($H118="",COUNTIFS($A$14:$A$1213,$H118,$F$14:$F$1213,"&gt;=0")&lt;2,COUNTIFS($A$14:$A$1213,$H118,$F$14:$F$1213,_xlfn.MAXIFS($F$14:$F$1213,$A$14:$A$1213,$H118))&gt;1),"",IFERROR(INDEX($E$14:$E$1213,MATCH($H118&amp;"|"&amp;_xlfn.MAXIFS($F$14:$F$1213,$A$14:$A$1213,$H118,$F$14:$F$1213,"&lt;"&amp;_xlfn.MAXIFS($F$14:$F$1213,$A$14:$A$1213,$H118)),$AB$14:$AB$1213,0)),""))</f>
        <v/>
      </c>
      <c r="AN118" s="27">
        <f>IF(OR(NOT(ISNUMBER($AJ118)),NOT(ISNUMBER($AL118)),$AK118=0,$AM118=0),"",IF(OR((($AJ118+$AL118)/($AK118+$AM118))&lt;=0,(($AJ118+$AL118)/($AK118+$AM118))&gt;=1),"",($AJ118/$AK118-$AL118/$AM118)/SQRT((($AJ118+$AL118)/($AK118+$AM118))*(1-(($AJ118+$AL118)/($AK118+$AM118)))*(1/$AK118+1/$AM118))))</f>
        <v/>
      </c>
      <c r="AO118" s="27">
        <f>IF($A118="","",IF(AND(COUNTIFS($A$14:$A$1213,$A118,$F$14:$F$1213,"&gt;=0")=2,IFERROR(INDEX($M$14:$M$313,MATCH($A118,$H$14:$H$313,0)),"Yes")&lt;&gt;"Yes"),1,0))</f>
        <v/>
      </c>
    </row>
    <row r="119" ht="24" customHeight="1">
      <c r="A119" s="19">
        <f>IF('Enter messages'!A119="","",'Enter messages'!A119)</f>
        <v/>
      </c>
      <c r="B119" s="20">
        <f>IF('Enter messages'!B119="","",'Enter messages'!B119)</f>
        <v/>
      </c>
      <c r="C119" s="21">
        <f>IFERROR(AVERAGE(P119:T119),"")</f>
        <v/>
      </c>
      <c r="D119" s="29" t="n"/>
      <c r="E119" s="29" t="n"/>
      <c r="F119" s="30">
        <f>IF(AND(ISNUMBER($D119),ISNUMBER($E119),$E119&gt;0,$D119&lt;=$E119),$D119/$E119,"")</f>
        <v/>
      </c>
      <c r="H119" s="19">
        <f>IFERROR(INDEX($A$14:$A$1213,MATCH(106,$AI$14:$AI$1213,0)),"")</f>
        <v/>
      </c>
      <c r="I119" s="24">
        <f>IF($H119="","",IF(COUNTIFS($A$14:$A$1213,$H119,$C$14:$C$1213,"&gt;=0")=0,"—",IFERROR(INDEX($B$14:$B$1213,MATCH($H119&amp;"|1",$Z$14:$Z$1213,0)),"(tied)")))</f>
        <v/>
      </c>
      <c r="J119" s="25">
        <f>IF($H119="","",IF(OR(COUNTIFS($A$14:$A$1213,$H119,$C$14:$C$1213,"&gt;=0")=0,COUNTIFS($A$14:$A$1213,$H119,$F$14:$F$1213,"&gt;=0")=0),"—",IF(OR(ISERROR(MATCH($H119&amp;"|1",$Z$14:$Z$1213,0)),ISERROR(MATCH($H119&amp;"|1",$AA$14:$AA$1213,0))),"Tie",IF(MATCH($H119&amp;"|1",$Z$14:$Z$1213,0)=MATCH($H119&amp;"|1",$AA$14:$AA$1213,0),"Hit","Miss"))))</f>
        <v/>
      </c>
      <c r="K119" s="24">
        <f>IF($H119="","",IF(COUNTIFS($A$14:$A$1213,$H119,$F$14:$F$1213,"&gt;=0")=0,"—",IFERROR(INDEX($B$14:$B$1213,MATCH($H119&amp;"|1",$AA$14:$AA$1213,0)),"(tied)")))</f>
        <v/>
      </c>
      <c r="L119" s="25">
        <f>IF($H119="","",IF((--(COUNTIFS($A$14:$A$1213,$H119,$P$14:$P$1213,"&gt;=0")&gt;0)+--(COUNTIFS($A$14:$A$1213,$H119,$Q$14:$Q$1213,"&gt;=0")&gt;0)+--(COUNTIFS($A$14:$A$1213,$H119,$R$14:$R$1213,"&gt;=0")&gt;0)+--(COUNTIFS($A$14:$A$1213,$H119,$S$14:$S$1213,"&gt;=0")&gt;0)+--(COUNTIFS($A$14:$A$1213,$H119,$T$14:$T$1213,"&gt;=0")&gt;0))&lt;2,"—",IF(SUMIFS($AH$14:$AH$1213,$A$14:$A$1213,$H119)=0,"Yes","No")))</f>
        <v/>
      </c>
      <c r="M119" s="25">
        <f>IF($H119="","",IF(COUNTIFS($A$14:$A$1213,$H119,$F$14:$F$1213,"&gt;=0")&lt;2,"—",IF(COUNTIFS($A$14:$A$1213,$H119,$F$14:$F$1213,_xlfn.MAXIFS($F$14:$F$1213,$A$14:$A$1213,$H119))&gt;1,"No",IF(NOT(ISNUMBER($AN119)),"—",IF((2*(1-NORMSDIST(ABS($AN119))))&lt;0.05,"Yes","No")))))</f>
        <v/>
      </c>
      <c r="N119" s="21">
        <f>IF($H119="","",IF(NOT(ISNUMBER($AN119)),"—",IF((2*(1-NORMSDIST(ABS($AN119))))&lt;0.001,"&lt;0.001",TEXT((2*(1-NORMSDIST(ABS($AN119)))),"0.000"))))</f>
        <v/>
      </c>
      <c r="P119" s="26" t="n"/>
      <c r="Q119" s="26" t="n"/>
      <c r="R119" s="26" t="n"/>
      <c r="S119" s="26" t="n"/>
      <c r="T119" s="26" t="n"/>
      <c r="V119" s="27">
        <f>IF(ISNUMBER($C119),COUNTIFS($A$14:$A$1213,$A119,$C$14:$C$1213,"&gt;"&amp;$C119)+(COUNTIFS($A$14:$A$1213,$A119,$C$14:$C$1213,"="&amp;$C119)+1)/2,"")</f>
        <v/>
      </c>
      <c r="W119" s="27">
        <f>IF(ISNUMBER($F119),COUNTIFS($A$14:$A$1213,$A119,$F$14:$F$1213,"&gt;"&amp;$F119)+(COUNTIFS($A$14:$A$1213,$A119,$F$14:$F$1213,"="&amp;$F119)+1)/2,"")</f>
        <v/>
      </c>
      <c r="X119" s="27">
        <f>IF(OR(NOT(ISNUMBER($V119)),$AO119=1),"",$V119-(COUNTIFS($A$14:$A$1213,$A119,$C$14:$C$1213,"&gt;=0")+1)/2)</f>
        <v/>
      </c>
      <c r="Y119" s="27">
        <f>IF(OR(NOT(ISNUMBER($W119)),$AO119=1),"",$W119-(COUNTIFS($A$14:$A$1213,$A119,$F$14:$F$1213,"&gt;=0")+1)/2)</f>
        <v/>
      </c>
      <c r="Z119" s="27">
        <f>IF(ISNUMBER($V119),$A119&amp;"|"&amp;$V119,"")</f>
        <v/>
      </c>
      <c r="AA119" s="27">
        <f>IF(ISNUMBER($W119),$A119&amp;"|"&amp;$W119,"")</f>
        <v/>
      </c>
      <c r="AB119" s="27">
        <f>IF(ISNUMBER($F119),$A119&amp;"|"&amp;$F119,"")</f>
        <v/>
      </c>
      <c r="AC119" s="27">
        <f>IF(ISNUMBER($P119),COUNTIFS($A$14:$A$1213,$A119,$P$14:$P$1213,"&gt;"&amp;$P119)+(COUNTIFS($A$14:$A$1213,$A119,$P$14:$P$1213,"="&amp;$P119)+1)/2,"")</f>
        <v/>
      </c>
      <c r="AD119" s="27">
        <f>IF(ISNUMBER($Q119),COUNTIFS($A$14:$A$1213,$A119,$Q$14:$Q$1213,"&gt;"&amp;$Q119)+(COUNTIFS($A$14:$A$1213,$A119,$Q$14:$Q$1213,"="&amp;$Q119)+1)/2,"")</f>
        <v/>
      </c>
      <c r="AE119" s="27">
        <f>IF(ISNUMBER($R119),COUNTIFS($A$14:$A$1213,$A119,$R$14:$R$1213,"&gt;"&amp;$R119)+(COUNTIFS($A$14:$A$1213,$A119,$R$14:$R$1213,"="&amp;$R119)+1)/2,"")</f>
        <v/>
      </c>
      <c r="AF119" s="27">
        <f>IF(ISNUMBER($S119),COUNTIFS($A$14:$A$1213,$A119,$S$14:$S$1213,"&gt;"&amp;$S119)+(COUNTIFS($A$14:$A$1213,$A119,$S$14:$S$1213,"="&amp;$S119)+1)/2,"")</f>
        <v/>
      </c>
      <c r="AG119" s="27">
        <f>IF(ISNUMBER($T119),COUNTIFS($A$14:$A$1213,$A119,$T$14:$T$1213,"&gt;"&amp;$T119)+(COUNTIFS($A$14:$A$1213,$A119,$T$14:$T$1213,"="&amp;$T119)+1)/2,"")</f>
        <v/>
      </c>
      <c r="AH119" s="27">
        <f>IF(COUNT($AC119:$AG119)&lt;2,"",IF(MAX($AC119:$AG119)=MIN($AC119:$AG119),0,1))</f>
        <v/>
      </c>
      <c r="AI119" s="27">
        <f>IF($A119="","",IF(COUNTIF($A$14:$A119,$A119)=1,COUNTIF($AI$13:AI118,"&gt;0")+1,""))</f>
        <v/>
      </c>
      <c r="AJ119" s="27">
        <f>IF(OR($H119="",COUNTIFS($A$14:$A$1213,$H119,$F$14:$F$1213,"&gt;=0")&lt;2,COUNTIFS($A$14:$A$1213,$H119,$F$14:$F$1213,_xlfn.MAXIFS($F$14:$F$1213,$A$14:$A$1213,$H119))&gt;1),"",IFERROR(INDEX($D$14:$D$1213,MATCH($H119&amp;"|"&amp;_xlfn.MAXIFS($F$14:$F$1213,$A$14:$A$1213,$H119),$AB$14:$AB$1213,0)),""))</f>
        <v/>
      </c>
      <c r="AK119" s="27">
        <f>IF(OR($H119="",COUNTIFS($A$14:$A$1213,$H119,$F$14:$F$1213,"&gt;=0")&lt;2,COUNTIFS($A$14:$A$1213,$H119,$F$14:$F$1213,_xlfn.MAXIFS($F$14:$F$1213,$A$14:$A$1213,$H119))&gt;1),"",IFERROR(INDEX($E$14:$E$1213,MATCH($H119&amp;"|"&amp;_xlfn.MAXIFS($F$14:$F$1213,$A$14:$A$1213,$H119),$AB$14:$AB$1213,0)),""))</f>
        <v/>
      </c>
      <c r="AL119" s="27">
        <f>IF(OR($H119="",COUNTIFS($A$14:$A$1213,$H119,$F$14:$F$1213,"&gt;=0")&lt;2,COUNTIFS($A$14:$A$1213,$H119,$F$14:$F$1213,_xlfn.MAXIFS($F$14:$F$1213,$A$14:$A$1213,$H119))&gt;1),"",IFERROR(INDEX($D$14:$D$1213,MATCH($H119&amp;"|"&amp;_xlfn.MAXIFS($F$14:$F$1213,$A$14:$A$1213,$H119,$F$14:$F$1213,"&lt;"&amp;_xlfn.MAXIFS($F$14:$F$1213,$A$14:$A$1213,$H119)),$AB$14:$AB$1213,0)),""))</f>
        <v/>
      </c>
      <c r="AM119" s="27">
        <f>IF(OR($H119="",COUNTIFS($A$14:$A$1213,$H119,$F$14:$F$1213,"&gt;=0")&lt;2,COUNTIFS($A$14:$A$1213,$H119,$F$14:$F$1213,_xlfn.MAXIFS($F$14:$F$1213,$A$14:$A$1213,$H119))&gt;1),"",IFERROR(INDEX($E$14:$E$1213,MATCH($H119&amp;"|"&amp;_xlfn.MAXIFS($F$14:$F$1213,$A$14:$A$1213,$H119,$F$14:$F$1213,"&lt;"&amp;_xlfn.MAXIFS($F$14:$F$1213,$A$14:$A$1213,$H119)),$AB$14:$AB$1213,0)),""))</f>
        <v/>
      </c>
      <c r="AN119" s="27">
        <f>IF(OR(NOT(ISNUMBER($AJ119)),NOT(ISNUMBER($AL119)),$AK119=0,$AM119=0),"",IF(OR((($AJ119+$AL119)/($AK119+$AM119))&lt;=0,(($AJ119+$AL119)/($AK119+$AM119))&gt;=1),"",($AJ119/$AK119-$AL119/$AM119)/SQRT((($AJ119+$AL119)/($AK119+$AM119))*(1-(($AJ119+$AL119)/($AK119+$AM119)))*(1/$AK119+1/$AM119))))</f>
        <v/>
      </c>
      <c r="AO119" s="27">
        <f>IF($A119="","",IF(AND(COUNTIFS($A$14:$A$1213,$A119,$F$14:$F$1213,"&gt;=0")=2,IFERROR(INDEX($M$14:$M$313,MATCH($A119,$H$14:$H$313,0)),"Yes")&lt;&gt;"Yes"),1,0))</f>
        <v/>
      </c>
    </row>
    <row r="120" ht="24" customHeight="1">
      <c r="A120" s="19">
        <f>IF('Enter messages'!A120="","",'Enter messages'!A120)</f>
        <v/>
      </c>
      <c r="B120" s="20">
        <f>IF('Enter messages'!B120="","",'Enter messages'!B120)</f>
        <v/>
      </c>
      <c r="C120" s="21">
        <f>IFERROR(AVERAGE(P120:T120),"")</f>
        <v/>
      </c>
      <c r="D120" s="29" t="n"/>
      <c r="E120" s="29" t="n"/>
      <c r="F120" s="30">
        <f>IF(AND(ISNUMBER($D120),ISNUMBER($E120),$E120&gt;0,$D120&lt;=$E120),$D120/$E120,"")</f>
        <v/>
      </c>
      <c r="H120" s="19">
        <f>IFERROR(INDEX($A$14:$A$1213,MATCH(107,$AI$14:$AI$1213,0)),"")</f>
        <v/>
      </c>
      <c r="I120" s="24">
        <f>IF($H120="","",IF(COUNTIFS($A$14:$A$1213,$H120,$C$14:$C$1213,"&gt;=0")=0,"—",IFERROR(INDEX($B$14:$B$1213,MATCH($H120&amp;"|1",$Z$14:$Z$1213,0)),"(tied)")))</f>
        <v/>
      </c>
      <c r="J120" s="25">
        <f>IF($H120="","",IF(OR(COUNTIFS($A$14:$A$1213,$H120,$C$14:$C$1213,"&gt;=0")=0,COUNTIFS($A$14:$A$1213,$H120,$F$14:$F$1213,"&gt;=0")=0),"—",IF(OR(ISERROR(MATCH($H120&amp;"|1",$Z$14:$Z$1213,0)),ISERROR(MATCH($H120&amp;"|1",$AA$14:$AA$1213,0))),"Tie",IF(MATCH($H120&amp;"|1",$Z$14:$Z$1213,0)=MATCH($H120&amp;"|1",$AA$14:$AA$1213,0),"Hit","Miss"))))</f>
        <v/>
      </c>
      <c r="K120" s="24">
        <f>IF($H120="","",IF(COUNTIFS($A$14:$A$1213,$H120,$F$14:$F$1213,"&gt;=0")=0,"—",IFERROR(INDEX($B$14:$B$1213,MATCH($H120&amp;"|1",$AA$14:$AA$1213,0)),"(tied)")))</f>
        <v/>
      </c>
      <c r="L120" s="25">
        <f>IF($H120="","",IF((--(COUNTIFS($A$14:$A$1213,$H120,$P$14:$P$1213,"&gt;=0")&gt;0)+--(COUNTIFS($A$14:$A$1213,$H120,$Q$14:$Q$1213,"&gt;=0")&gt;0)+--(COUNTIFS($A$14:$A$1213,$H120,$R$14:$R$1213,"&gt;=0")&gt;0)+--(COUNTIFS($A$14:$A$1213,$H120,$S$14:$S$1213,"&gt;=0")&gt;0)+--(COUNTIFS($A$14:$A$1213,$H120,$T$14:$T$1213,"&gt;=0")&gt;0))&lt;2,"—",IF(SUMIFS($AH$14:$AH$1213,$A$14:$A$1213,$H120)=0,"Yes","No")))</f>
        <v/>
      </c>
      <c r="M120" s="25">
        <f>IF($H120="","",IF(COUNTIFS($A$14:$A$1213,$H120,$F$14:$F$1213,"&gt;=0")&lt;2,"—",IF(COUNTIFS($A$14:$A$1213,$H120,$F$14:$F$1213,_xlfn.MAXIFS($F$14:$F$1213,$A$14:$A$1213,$H120))&gt;1,"No",IF(NOT(ISNUMBER($AN120)),"—",IF((2*(1-NORMSDIST(ABS($AN120))))&lt;0.05,"Yes","No")))))</f>
        <v/>
      </c>
      <c r="N120" s="21">
        <f>IF($H120="","",IF(NOT(ISNUMBER($AN120)),"—",IF((2*(1-NORMSDIST(ABS($AN120))))&lt;0.001,"&lt;0.001",TEXT((2*(1-NORMSDIST(ABS($AN120)))),"0.000"))))</f>
        <v/>
      </c>
      <c r="P120" s="26" t="n"/>
      <c r="Q120" s="26" t="n"/>
      <c r="R120" s="26" t="n"/>
      <c r="S120" s="26" t="n"/>
      <c r="T120" s="26" t="n"/>
      <c r="V120" s="27">
        <f>IF(ISNUMBER($C120),COUNTIFS($A$14:$A$1213,$A120,$C$14:$C$1213,"&gt;"&amp;$C120)+(COUNTIFS($A$14:$A$1213,$A120,$C$14:$C$1213,"="&amp;$C120)+1)/2,"")</f>
        <v/>
      </c>
      <c r="W120" s="27">
        <f>IF(ISNUMBER($F120),COUNTIFS($A$14:$A$1213,$A120,$F$14:$F$1213,"&gt;"&amp;$F120)+(COUNTIFS($A$14:$A$1213,$A120,$F$14:$F$1213,"="&amp;$F120)+1)/2,"")</f>
        <v/>
      </c>
      <c r="X120" s="27">
        <f>IF(OR(NOT(ISNUMBER($V120)),$AO120=1),"",$V120-(COUNTIFS($A$14:$A$1213,$A120,$C$14:$C$1213,"&gt;=0")+1)/2)</f>
        <v/>
      </c>
      <c r="Y120" s="27">
        <f>IF(OR(NOT(ISNUMBER($W120)),$AO120=1),"",$W120-(COUNTIFS($A$14:$A$1213,$A120,$F$14:$F$1213,"&gt;=0")+1)/2)</f>
        <v/>
      </c>
      <c r="Z120" s="27">
        <f>IF(ISNUMBER($V120),$A120&amp;"|"&amp;$V120,"")</f>
        <v/>
      </c>
      <c r="AA120" s="27">
        <f>IF(ISNUMBER($W120),$A120&amp;"|"&amp;$W120,"")</f>
        <v/>
      </c>
      <c r="AB120" s="27">
        <f>IF(ISNUMBER($F120),$A120&amp;"|"&amp;$F120,"")</f>
        <v/>
      </c>
      <c r="AC120" s="27">
        <f>IF(ISNUMBER($P120),COUNTIFS($A$14:$A$1213,$A120,$P$14:$P$1213,"&gt;"&amp;$P120)+(COUNTIFS($A$14:$A$1213,$A120,$P$14:$P$1213,"="&amp;$P120)+1)/2,"")</f>
        <v/>
      </c>
      <c r="AD120" s="27">
        <f>IF(ISNUMBER($Q120),COUNTIFS($A$14:$A$1213,$A120,$Q$14:$Q$1213,"&gt;"&amp;$Q120)+(COUNTIFS($A$14:$A$1213,$A120,$Q$14:$Q$1213,"="&amp;$Q120)+1)/2,"")</f>
        <v/>
      </c>
      <c r="AE120" s="27">
        <f>IF(ISNUMBER($R120),COUNTIFS($A$14:$A$1213,$A120,$R$14:$R$1213,"&gt;"&amp;$R120)+(COUNTIFS($A$14:$A$1213,$A120,$R$14:$R$1213,"="&amp;$R120)+1)/2,"")</f>
        <v/>
      </c>
      <c r="AF120" s="27">
        <f>IF(ISNUMBER($S120),COUNTIFS($A$14:$A$1213,$A120,$S$14:$S$1213,"&gt;"&amp;$S120)+(COUNTIFS($A$14:$A$1213,$A120,$S$14:$S$1213,"="&amp;$S120)+1)/2,"")</f>
        <v/>
      </c>
      <c r="AG120" s="27">
        <f>IF(ISNUMBER($T120),COUNTIFS($A$14:$A$1213,$A120,$T$14:$T$1213,"&gt;"&amp;$T120)+(COUNTIFS($A$14:$A$1213,$A120,$T$14:$T$1213,"="&amp;$T120)+1)/2,"")</f>
        <v/>
      </c>
      <c r="AH120" s="27">
        <f>IF(COUNT($AC120:$AG120)&lt;2,"",IF(MAX($AC120:$AG120)=MIN($AC120:$AG120),0,1))</f>
        <v/>
      </c>
      <c r="AI120" s="27">
        <f>IF($A120="","",IF(COUNTIF($A$14:$A120,$A120)=1,COUNTIF($AI$13:AI119,"&gt;0")+1,""))</f>
        <v/>
      </c>
      <c r="AJ120" s="27">
        <f>IF(OR($H120="",COUNTIFS($A$14:$A$1213,$H120,$F$14:$F$1213,"&gt;=0")&lt;2,COUNTIFS($A$14:$A$1213,$H120,$F$14:$F$1213,_xlfn.MAXIFS($F$14:$F$1213,$A$14:$A$1213,$H120))&gt;1),"",IFERROR(INDEX($D$14:$D$1213,MATCH($H120&amp;"|"&amp;_xlfn.MAXIFS($F$14:$F$1213,$A$14:$A$1213,$H120),$AB$14:$AB$1213,0)),""))</f>
        <v/>
      </c>
      <c r="AK120" s="27">
        <f>IF(OR($H120="",COUNTIFS($A$14:$A$1213,$H120,$F$14:$F$1213,"&gt;=0")&lt;2,COUNTIFS($A$14:$A$1213,$H120,$F$14:$F$1213,_xlfn.MAXIFS($F$14:$F$1213,$A$14:$A$1213,$H120))&gt;1),"",IFERROR(INDEX($E$14:$E$1213,MATCH($H120&amp;"|"&amp;_xlfn.MAXIFS($F$14:$F$1213,$A$14:$A$1213,$H120),$AB$14:$AB$1213,0)),""))</f>
        <v/>
      </c>
      <c r="AL120" s="27">
        <f>IF(OR($H120="",COUNTIFS($A$14:$A$1213,$H120,$F$14:$F$1213,"&gt;=0")&lt;2,COUNTIFS($A$14:$A$1213,$H120,$F$14:$F$1213,_xlfn.MAXIFS($F$14:$F$1213,$A$14:$A$1213,$H120))&gt;1),"",IFERROR(INDEX($D$14:$D$1213,MATCH($H120&amp;"|"&amp;_xlfn.MAXIFS($F$14:$F$1213,$A$14:$A$1213,$H120,$F$14:$F$1213,"&lt;"&amp;_xlfn.MAXIFS($F$14:$F$1213,$A$14:$A$1213,$H120)),$AB$14:$AB$1213,0)),""))</f>
        <v/>
      </c>
      <c r="AM120" s="27">
        <f>IF(OR($H120="",COUNTIFS($A$14:$A$1213,$H120,$F$14:$F$1213,"&gt;=0")&lt;2,COUNTIFS($A$14:$A$1213,$H120,$F$14:$F$1213,_xlfn.MAXIFS($F$14:$F$1213,$A$14:$A$1213,$H120))&gt;1),"",IFERROR(INDEX($E$14:$E$1213,MATCH($H120&amp;"|"&amp;_xlfn.MAXIFS($F$14:$F$1213,$A$14:$A$1213,$H120,$F$14:$F$1213,"&lt;"&amp;_xlfn.MAXIFS($F$14:$F$1213,$A$14:$A$1213,$H120)),$AB$14:$AB$1213,0)),""))</f>
        <v/>
      </c>
      <c r="AN120" s="27">
        <f>IF(OR(NOT(ISNUMBER($AJ120)),NOT(ISNUMBER($AL120)),$AK120=0,$AM120=0),"",IF(OR((($AJ120+$AL120)/($AK120+$AM120))&lt;=0,(($AJ120+$AL120)/($AK120+$AM120))&gt;=1),"",($AJ120/$AK120-$AL120/$AM120)/SQRT((($AJ120+$AL120)/($AK120+$AM120))*(1-(($AJ120+$AL120)/($AK120+$AM120)))*(1/$AK120+1/$AM120))))</f>
        <v/>
      </c>
      <c r="AO120" s="27">
        <f>IF($A120="","",IF(AND(COUNTIFS($A$14:$A$1213,$A120,$F$14:$F$1213,"&gt;=0")=2,IFERROR(INDEX($M$14:$M$313,MATCH($A120,$H$14:$H$313,0)),"Yes")&lt;&gt;"Yes"),1,0))</f>
        <v/>
      </c>
    </row>
    <row r="121" ht="24" customHeight="1">
      <c r="A121" s="19">
        <f>IF('Enter messages'!A121="","",'Enter messages'!A121)</f>
        <v/>
      </c>
      <c r="B121" s="20">
        <f>IF('Enter messages'!B121="","",'Enter messages'!B121)</f>
        <v/>
      </c>
      <c r="C121" s="21">
        <f>IFERROR(AVERAGE(P121:T121),"")</f>
        <v/>
      </c>
      <c r="D121" s="29" t="n"/>
      <c r="E121" s="29" t="n"/>
      <c r="F121" s="30">
        <f>IF(AND(ISNUMBER($D121),ISNUMBER($E121),$E121&gt;0,$D121&lt;=$E121),$D121/$E121,"")</f>
        <v/>
      </c>
      <c r="H121" s="19">
        <f>IFERROR(INDEX($A$14:$A$1213,MATCH(108,$AI$14:$AI$1213,0)),"")</f>
        <v/>
      </c>
      <c r="I121" s="24">
        <f>IF($H121="","",IF(COUNTIFS($A$14:$A$1213,$H121,$C$14:$C$1213,"&gt;=0")=0,"—",IFERROR(INDEX($B$14:$B$1213,MATCH($H121&amp;"|1",$Z$14:$Z$1213,0)),"(tied)")))</f>
        <v/>
      </c>
      <c r="J121" s="25">
        <f>IF($H121="","",IF(OR(COUNTIFS($A$14:$A$1213,$H121,$C$14:$C$1213,"&gt;=0")=0,COUNTIFS($A$14:$A$1213,$H121,$F$14:$F$1213,"&gt;=0")=0),"—",IF(OR(ISERROR(MATCH($H121&amp;"|1",$Z$14:$Z$1213,0)),ISERROR(MATCH($H121&amp;"|1",$AA$14:$AA$1213,0))),"Tie",IF(MATCH($H121&amp;"|1",$Z$14:$Z$1213,0)=MATCH($H121&amp;"|1",$AA$14:$AA$1213,0),"Hit","Miss"))))</f>
        <v/>
      </c>
      <c r="K121" s="24">
        <f>IF($H121="","",IF(COUNTIFS($A$14:$A$1213,$H121,$F$14:$F$1213,"&gt;=0")=0,"—",IFERROR(INDEX($B$14:$B$1213,MATCH($H121&amp;"|1",$AA$14:$AA$1213,0)),"(tied)")))</f>
        <v/>
      </c>
      <c r="L121" s="25">
        <f>IF($H121="","",IF((--(COUNTIFS($A$14:$A$1213,$H121,$P$14:$P$1213,"&gt;=0")&gt;0)+--(COUNTIFS($A$14:$A$1213,$H121,$Q$14:$Q$1213,"&gt;=0")&gt;0)+--(COUNTIFS($A$14:$A$1213,$H121,$R$14:$R$1213,"&gt;=0")&gt;0)+--(COUNTIFS($A$14:$A$1213,$H121,$S$14:$S$1213,"&gt;=0")&gt;0)+--(COUNTIFS($A$14:$A$1213,$H121,$T$14:$T$1213,"&gt;=0")&gt;0))&lt;2,"—",IF(SUMIFS($AH$14:$AH$1213,$A$14:$A$1213,$H121)=0,"Yes","No")))</f>
        <v/>
      </c>
      <c r="M121" s="25">
        <f>IF($H121="","",IF(COUNTIFS($A$14:$A$1213,$H121,$F$14:$F$1213,"&gt;=0")&lt;2,"—",IF(COUNTIFS($A$14:$A$1213,$H121,$F$14:$F$1213,_xlfn.MAXIFS($F$14:$F$1213,$A$14:$A$1213,$H121))&gt;1,"No",IF(NOT(ISNUMBER($AN121)),"—",IF((2*(1-NORMSDIST(ABS($AN121))))&lt;0.05,"Yes","No")))))</f>
        <v/>
      </c>
      <c r="N121" s="21">
        <f>IF($H121="","",IF(NOT(ISNUMBER($AN121)),"—",IF((2*(1-NORMSDIST(ABS($AN121))))&lt;0.001,"&lt;0.001",TEXT((2*(1-NORMSDIST(ABS($AN121)))),"0.000"))))</f>
        <v/>
      </c>
      <c r="P121" s="26" t="n"/>
      <c r="Q121" s="26" t="n"/>
      <c r="R121" s="26" t="n"/>
      <c r="S121" s="26" t="n"/>
      <c r="T121" s="26" t="n"/>
      <c r="V121" s="27">
        <f>IF(ISNUMBER($C121),COUNTIFS($A$14:$A$1213,$A121,$C$14:$C$1213,"&gt;"&amp;$C121)+(COUNTIFS($A$14:$A$1213,$A121,$C$14:$C$1213,"="&amp;$C121)+1)/2,"")</f>
        <v/>
      </c>
      <c r="W121" s="27">
        <f>IF(ISNUMBER($F121),COUNTIFS($A$14:$A$1213,$A121,$F$14:$F$1213,"&gt;"&amp;$F121)+(COUNTIFS($A$14:$A$1213,$A121,$F$14:$F$1213,"="&amp;$F121)+1)/2,"")</f>
        <v/>
      </c>
      <c r="X121" s="27">
        <f>IF(OR(NOT(ISNUMBER($V121)),$AO121=1),"",$V121-(COUNTIFS($A$14:$A$1213,$A121,$C$14:$C$1213,"&gt;=0")+1)/2)</f>
        <v/>
      </c>
      <c r="Y121" s="27">
        <f>IF(OR(NOT(ISNUMBER($W121)),$AO121=1),"",$W121-(COUNTIFS($A$14:$A$1213,$A121,$F$14:$F$1213,"&gt;=0")+1)/2)</f>
        <v/>
      </c>
      <c r="Z121" s="27">
        <f>IF(ISNUMBER($V121),$A121&amp;"|"&amp;$V121,"")</f>
        <v/>
      </c>
      <c r="AA121" s="27">
        <f>IF(ISNUMBER($W121),$A121&amp;"|"&amp;$W121,"")</f>
        <v/>
      </c>
      <c r="AB121" s="27">
        <f>IF(ISNUMBER($F121),$A121&amp;"|"&amp;$F121,"")</f>
        <v/>
      </c>
      <c r="AC121" s="27">
        <f>IF(ISNUMBER($P121),COUNTIFS($A$14:$A$1213,$A121,$P$14:$P$1213,"&gt;"&amp;$P121)+(COUNTIFS($A$14:$A$1213,$A121,$P$14:$P$1213,"="&amp;$P121)+1)/2,"")</f>
        <v/>
      </c>
      <c r="AD121" s="27">
        <f>IF(ISNUMBER($Q121),COUNTIFS($A$14:$A$1213,$A121,$Q$14:$Q$1213,"&gt;"&amp;$Q121)+(COUNTIFS($A$14:$A$1213,$A121,$Q$14:$Q$1213,"="&amp;$Q121)+1)/2,"")</f>
        <v/>
      </c>
      <c r="AE121" s="27">
        <f>IF(ISNUMBER($R121),COUNTIFS($A$14:$A$1213,$A121,$R$14:$R$1213,"&gt;"&amp;$R121)+(COUNTIFS($A$14:$A$1213,$A121,$R$14:$R$1213,"="&amp;$R121)+1)/2,"")</f>
        <v/>
      </c>
      <c r="AF121" s="27">
        <f>IF(ISNUMBER($S121),COUNTIFS($A$14:$A$1213,$A121,$S$14:$S$1213,"&gt;"&amp;$S121)+(COUNTIFS($A$14:$A$1213,$A121,$S$14:$S$1213,"="&amp;$S121)+1)/2,"")</f>
        <v/>
      </c>
      <c r="AG121" s="27">
        <f>IF(ISNUMBER($T121),COUNTIFS($A$14:$A$1213,$A121,$T$14:$T$1213,"&gt;"&amp;$T121)+(COUNTIFS($A$14:$A$1213,$A121,$T$14:$T$1213,"="&amp;$T121)+1)/2,"")</f>
        <v/>
      </c>
      <c r="AH121" s="27">
        <f>IF(COUNT($AC121:$AG121)&lt;2,"",IF(MAX($AC121:$AG121)=MIN($AC121:$AG121),0,1))</f>
        <v/>
      </c>
      <c r="AI121" s="27">
        <f>IF($A121="","",IF(COUNTIF($A$14:$A121,$A121)=1,COUNTIF($AI$13:AI120,"&gt;0")+1,""))</f>
        <v/>
      </c>
      <c r="AJ121" s="27">
        <f>IF(OR($H121="",COUNTIFS($A$14:$A$1213,$H121,$F$14:$F$1213,"&gt;=0")&lt;2,COUNTIFS($A$14:$A$1213,$H121,$F$14:$F$1213,_xlfn.MAXIFS($F$14:$F$1213,$A$14:$A$1213,$H121))&gt;1),"",IFERROR(INDEX($D$14:$D$1213,MATCH($H121&amp;"|"&amp;_xlfn.MAXIFS($F$14:$F$1213,$A$14:$A$1213,$H121),$AB$14:$AB$1213,0)),""))</f>
        <v/>
      </c>
      <c r="AK121" s="27">
        <f>IF(OR($H121="",COUNTIFS($A$14:$A$1213,$H121,$F$14:$F$1213,"&gt;=0")&lt;2,COUNTIFS($A$14:$A$1213,$H121,$F$14:$F$1213,_xlfn.MAXIFS($F$14:$F$1213,$A$14:$A$1213,$H121))&gt;1),"",IFERROR(INDEX($E$14:$E$1213,MATCH($H121&amp;"|"&amp;_xlfn.MAXIFS($F$14:$F$1213,$A$14:$A$1213,$H121),$AB$14:$AB$1213,0)),""))</f>
        <v/>
      </c>
      <c r="AL121" s="27">
        <f>IF(OR($H121="",COUNTIFS($A$14:$A$1213,$H121,$F$14:$F$1213,"&gt;=0")&lt;2,COUNTIFS($A$14:$A$1213,$H121,$F$14:$F$1213,_xlfn.MAXIFS($F$14:$F$1213,$A$14:$A$1213,$H121))&gt;1),"",IFERROR(INDEX($D$14:$D$1213,MATCH($H121&amp;"|"&amp;_xlfn.MAXIFS($F$14:$F$1213,$A$14:$A$1213,$H121,$F$14:$F$1213,"&lt;"&amp;_xlfn.MAXIFS($F$14:$F$1213,$A$14:$A$1213,$H121)),$AB$14:$AB$1213,0)),""))</f>
        <v/>
      </c>
      <c r="AM121" s="27">
        <f>IF(OR($H121="",COUNTIFS($A$14:$A$1213,$H121,$F$14:$F$1213,"&gt;=0")&lt;2,COUNTIFS($A$14:$A$1213,$H121,$F$14:$F$1213,_xlfn.MAXIFS($F$14:$F$1213,$A$14:$A$1213,$H121))&gt;1),"",IFERROR(INDEX($E$14:$E$1213,MATCH($H121&amp;"|"&amp;_xlfn.MAXIFS($F$14:$F$1213,$A$14:$A$1213,$H121,$F$14:$F$1213,"&lt;"&amp;_xlfn.MAXIFS($F$14:$F$1213,$A$14:$A$1213,$H121)),$AB$14:$AB$1213,0)),""))</f>
        <v/>
      </c>
      <c r="AN121" s="27">
        <f>IF(OR(NOT(ISNUMBER($AJ121)),NOT(ISNUMBER($AL121)),$AK121=0,$AM121=0),"",IF(OR((($AJ121+$AL121)/($AK121+$AM121))&lt;=0,(($AJ121+$AL121)/($AK121+$AM121))&gt;=1),"",($AJ121/$AK121-$AL121/$AM121)/SQRT((($AJ121+$AL121)/($AK121+$AM121))*(1-(($AJ121+$AL121)/($AK121+$AM121)))*(1/$AK121+1/$AM121))))</f>
        <v/>
      </c>
      <c r="AO121" s="27">
        <f>IF($A121="","",IF(AND(COUNTIFS($A$14:$A$1213,$A121,$F$14:$F$1213,"&gt;=0")=2,IFERROR(INDEX($M$14:$M$313,MATCH($A121,$H$14:$H$313,0)),"Yes")&lt;&gt;"Yes"),1,0))</f>
        <v/>
      </c>
    </row>
    <row r="122" ht="24" customHeight="1">
      <c r="A122" s="19">
        <f>IF('Enter messages'!A122="","",'Enter messages'!A122)</f>
        <v/>
      </c>
      <c r="B122" s="20">
        <f>IF('Enter messages'!B122="","",'Enter messages'!B122)</f>
        <v/>
      </c>
      <c r="C122" s="21">
        <f>IFERROR(AVERAGE(P122:T122),"")</f>
        <v/>
      </c>
      <c r="D122" s="29" t="n"/>
      <c r="E122" s="29" t="n"/>
      <c r="F122" s="30">
        <f>IF(AND(ISNUMBER($D122),ISNUMBER($E122),$E122&gt;0,$D122&lt;=$E122),$D122/$E122,"")</f>
        <v/>
      </c>
      <c r="H122" s="19">
        <f>IFERROR(INDEX($A$14:$A$1213,MATCH(109,$AI$14:$AI$1213,0)),"")</f>
        <v/>
      </c>
      <c r="I122" s="24">
        <f>IF($H122="","",IF(COUNTIFS($A$14:$A$1213,$H122,$C$14:$C$1213,"&gt;=0")=0,"—",IFERROR(INDEX($B$14:$B$1213,MATCH($H122&amp;"|1",$Z$14:$Z$1213,0)),"(tied)")))</f>
        <v/>
      </c>
      <c r="J122" s="25">
        <f>IF($H122="","",IF(OR(COUNTIFS($A$14:$A$1213,$H122,$C$14:$C$1213,"&gt;=0")=0,COUNTIFS($A$14:$A$1213,$H122,$F$14:$F$1213,"&gt;=0")=0),"—",IF(OR(ISERROR(MATCH($H122&amp;"|1",$Z$14:$Z$1213,0)),ISERROR(MATCH($H122&amp;"|1",$AA$14:$AA$1213,0))),"Tie",IF(MATCH($H122&amp;"|1",$Z$14:$Z$1213,0)=MATCH($H122&amp;"|1",$AA$14:$AA$1213,0),"Hit","Miss"))))</f>
        <v/>
      </c>
      <c r="K122" s="24">
        <f>IF($H122="","",IF(COUNTIFS($A$14:$A$1213,$H122,$F$14:$F$1213,"&gt;=0")=0,"—",IFERROR(INDEX($B$14:$B$1213,MATCH($H122&amp;"|1",$AA$14:$AA$1213,0)),"(tied)")))</f>
        <v/>
      </c>
      <c r="L122" s="25">
        <f>IF($H122="","",IF((--(COUNTIFS($A$14:$A$1213,$H122,$P$14:$P$1213,"&gt;=0")&gt;0)+--(COUNTIFS($A$14:$A$1213,$H122,$Q$14:$Q$1213,"&gt;=0")&gt;0)+--(COUNTIFS($A$14:$A$1213,$H122,$R$14:$R$1213,"&gt;=0")&gt;0)+--(COUNTIFS($A$14:$A$1213,$H122,$S$14:$S$1213,"&gt;=0")&gt;0)+--(COUNTIFS($A$14:$A$1213,$H122,$T$14:$T$1213,"&gt;=0")&gt;0))&lt;2,"—",IF(SUMIFS($AH$14:$AH$1213,$A$14:$A$1213,$H122)=0,"Yes","No")))</f>
        <v/>
      </c>
      <c r="M122" s="25">
        <f>IF($H122="","",IF(COUNTIFS($A$14:$A$1213,$H122,$F$14:$F$1213,"&gt;=0")&lt;2,"—",IF(COUNTIFS($A$14:$A$1213,$H122,$F$14:$F$1213,_xlfn.MAXIFS($F$14:$F$1213,$A$14:$A$1213,$H122))&gt;1,"No",IF(NOT(ISNUMBER($AN122)),"—",IF((2*(1-NORMSDIST(ABS($AN122))))&lt;0.05,"Yes","No")))))</f>
        <v/>
      </c>
      <c r="N122" s="21">
        <f>IF($H122="","",IF(NOT(ISNUMBER($AN122)),"—",IF((2*(1-NORMSDIST(ABS($AN122))))&lt;0.001,"&lt;0.001",TEXT((2*(1-NORMSDIST(ABS($AN122)))),"0.000"))))</f>
        <v/>
      </c>
      <c r="P122" s="26" t="n"/>
      <c r="Q122" s="26" t="n"/>
      <c r="R122" s="26" t="n"/>
      <c r="S122" s="26" t="n"/>
      <c r="T122" s="26" t="n"/>
      <c r="V122" s="27">
        <f>IF(ISNUMBER($C122),COUNTIFS($A$14:$A$1213,$A122,$C$14:$C$1213,"&gt;"&amp;$C122)+(COUNTIFS($A$14:$A$1213,$A122,$C$14:$C$1213,"="&amp;$C122)+1)/2,"")</f>
        <v/>
      </c>
      <c r="W122" s="27">
        <f>IF(ISNUMBER($F122),COUNTIFS($A$14:$A$1213,$A122,$F$14:$F$1213,"&gt;"&amp;$F122)+(COUNTIFS($A$14:$A$1213,$A122,$F$14:$F$1213,"="&amp;$F122)+1)/2,"")</f>
        <v/>
      </c>
      <c r="X122" s="27">
        <f>IF(OR(NOT(ISNUMBER($V122)),$AO122=1),"",$V122-(COUNTIFS($A$14:$A$1213,$A122,$C$14:$C$1213,"&gt;=0")+1)/2)</f>
        <v/>
      </c>
      <c r="Y122" s="27">
        <f>IF(OR(NOT(ISNUMBER($W122)),$AO122=1),"",$W122-(COUNTIFS($A$14:$A$1213,$A122,$F$14:$F$1213,"&gt;=0")+1)/2)</f>
        <v/>
      </c>
      <c r="Z122" s="27">
        <f>IF(ISNUMBER($V122),$A122&amp;"|"&amp;$V122,"")</f>
        <v/>
      </c>
      <c r="AA122" s="27">
        <f>IF(ISNUMBER($W122),$A122&amp;"|"&amp;$W122,"")</f>
        <v/>
      </c>
      <c r="AB122" s="27">
        <f>IF(ISNUMBER($F122),$A122&amp;"|"&amp;$F122,"")</f>
        <v/>
      </c>
      <c r="AC122" s="27">
        <f>IF(ISNUMBER($P122),COUNTIFS($A$14:$A$1213,$A122,$P$14:$P$1213,"&gt;"&amp;$P122)+(COUNTIFS($A$14:$A$1213,$A122,$P$14:$P$1213,"="&amp;$P122)+1)/2,"")</f>
        <v/>
      </c>
      <c r="AD122" s="27">
        <f>IF(ISNUMBER($Q122),COUNTIFS($A$14:$A$1213,$A122,$Q$14:$Q$1213,"&gt;"&amp;$Q122)+(COUNTIFS($A$14:$A$1213,$A122,$Q$14:$Q$1213,"="&amp;$Q122)+1)/2,"")</f>
        <v/>
      </c>
      <c r="AE122" s="27">
        <f>IF(ISNUMBER($R122),COUNTIFS($A$14:$A$1213,$A122,$R$14:$R$1213,"&gt;"&amp;$R122)+(COUNTIFS($A$14:$A$1213,$A122,$R$14:$R$1213,"="&amp;$R122)+1)/2,"")</f>
        <v/>
      </c>
      <c r="AF122" s="27">
        <f>IF(ISNUMBER($S122),COUNTIFS($A$14:$A$1213,$A122,$S$14:$S$1213,"&gt;"&amp;$S122)+(COUNTIFS($A$14:$A$1213,$A122,$S$14:$S$1213,"="&amp;$S122)+1)/2,"")</f>
        <v/>
      </c>
      <c r="AG122" s="27">
        <f>IF(ISNUMBER($T122),COUNTIFS($A$14:$A$1213,$A122,$T$14:$T$1213,"&gt;"&amp;$T122)+(COUNTIFS($A$14:$A$1213,$A122,$T$14:$T$1213,"="&amp;$T122)+1)/2,"")</f>
        <v/>
      </c>
      <c r="AH122" s="27">
        <f>IF(COUNT($AC122:$AG122)&lt;2,"",IF(MAX($AC122:$AG122)=MIN($AC122:$AG122),0,1))</f>
        <v/>
      </c>
      <c r="AI122" s="27">
        <f>IF($A122="","",IF(COUNTIF($A$14:$A122,$A122)=1,COUNTIF($AI$13:AI121,"&gt;0")+1,""))</f>
        <v/>
      </c>
      <c r="AJ122" s="27">
        <f>IF(OR($H122="",COUNTIFS($A$14:$A$1213,$H122,$F$14:$F$1213,"&gt;=0")&lt;2,COUNTIFS($A$14:$A$1213,$H122,$F$14:$F$1213,_xlfn.MAXIFS($F$14:$F$1213,$A$14:$A$1213,$H122))&gt;1),"",IFERROR(INDEX($D$14:$D$1213,MATCH($H122&amp;"|"&amp;_xlfn.MAXIFS($F$14:$F$1213,$A$14:$A$1213,$H122),$AB$14:$AB$1213,0)),""))</f>
        <v/>
      </c>
      <c r="AK122" s="27">
        <f>IF(OR($H122="",COUNTIFS($A$14:$A$1213,$H122,$F$14:$F$1213,"&gt;=0")&lt;2,COUNTIFS($A$14:$A$1213,$H122,$F$14:$F$1213,_xlfn.MAXIFS($F$14:$F$1213,$A$14:$A$1213,$H122))&gt;1),"",IFERROR(INDEX($E$14:$E$1213,MATCH($H122&amp;"|"&amp;_xlfn.MAXIFS($F$14:$F$1213,$A$14:$A$1213,$H122),$AB$14:$AB$1213,0)),""))</f>
        <v/>
      </c>
      <c r="AL122" s="27">
        <f>IF(OR($H122="",COUNTIFS($A$14:$A$1213,$H122,$F$14:$F$1213,"&gt;=0")&lt;2,COUNTIFS($A$14:$A$1213,$H122,$F$14:$F$1213,_xlfn.MAXIFS($F$14:$F$1213,$A$14:$A$1213,$H122))&gt;1),"",IFERROR(INDEX($D$14:$D$1213,MATCH($H122&amp;"|"&amp;_xlfn.MAXIFS($F$14:$F$1213,$A$14:$A$1213,$H122,$F$14:$F$1213,"&lt;"&amp;_xlfn.MAXIFS($F$14:$F$1213,$A$14:$A$1213,$H122)),$AB$14:$AB$1213,0)),""))</f>
        <v/>
      </c>
      <c r="AM122" s="27">
        <f>IF(OR($H122="",COUNTIFS($A$14:$A$1213,$H122,$F$14:$F$1213,"&gt;=0")&lt;2,COUNTIFS($A$14:$A$1213,$H122,$F$14:$F$1213,_xlfn.MAXIFS($F$14:$F$1213,$A$14:$A$1213,$H122))&gt;1),"",IFERROR(INDEX($E$14:$E$1213,MATCH($H122&amp;"|"&amp;_xlfn.MAXIFS($F$14:$F$1213,$A$14:$A$1213,$H122,$F$14:$F$1213,"&lt;"&amp;_xlfn.MAXIFS($F$14:$F$1213,$A$14:$A$1213,$H122)),$AB$14:$AB$1213,0)),""))</f>
        <v/>
      </c>
      <c r="AN122" s="27">
        <f>IF(OR(NOT(ISNUMBER($AJ122)),NOT(ISNUMBER($AL122)),$AK122=0,$AM122=0),"",IF(OR((($AJ122+$AL122)/($AK122+$AM122))&lt;=0,(($AJ122+$AL122)/($AK122+$AM122))&gt;=1),"",($AJ122/$AK122-$AL122/$AM122)/SQRT((($AJ122+$AL122)/($AK122+$AM122))*(1-(($AJ122+$AL122)/($AK122+$AM122)))*(1/$AK122+1/$AM122))))</f>
        <v/>
      </c>
      <c r="AO122" s="27">
        <f>IF($A122="","",IF(AND(COUNTIFS($A$14:$A$1213,$A122,$F$14:$F$1213,"&gt;=0")=2,IFERROR(INDEX($M$14:$M$313,MATCH($A122,$H$14:$H$313,0)),"Yes")&lt;&gt;"Yes"),1,0))</f>
        <v/>
      </c>
    </row>
    <row r="123" ht="24" customHeight="1">
      <c r="A123" s="19">
        <f>IF('Enter messages'!A123="","",'Enter messages'!A123)</f>
        <v/>
      </c>
      <c r="B123" s="20">
        <f>IF('Enter messages'!B123="","",'Enter messages'!B123)</f>
        <v/>
      </c>
      <c r="C123" s="21">
        <f>IFERROR(AVERAGE(P123:T123),"")</f>
        <v/>
      </c>
      <c r="D123" s="29" t="n"/>
      <c r="E123" s="29" t="n"/>
      <c r="F123" s="30">
        <f>IF(AND(ISNUMBER($D123),ISNUMBER($E123),$E123&gt;0,$D123&lt;=$E123),$D123/$E123,"")</f>
        <v/>
      </c>
      <c r="H123" s="19">
        <f>IFERROR(INDEX($A$14:$A$1213,MATCH(110,$AI$14:$AI$1213,0)),"")</f>
        <v/>
      </c>
      <c r="I123" s="24">
        <f>IF($H123="","",IF(COUNTIFS($A$14:$A$1213,$H123,$C$14:$C$1213,"&gt;=0")=0,"—",IFERROR(INDEX($B$14:$B$1213,MATCH($H123&amp;"|1",$Z$14:$Z$1213,0)),"(tied)")))</f>
        <v/>
      </c>
      <c r="J123" s="25">
        <f>IF($H123="","",IF(OR(COUNTIFS($A$14:$A$1213,$H123,$C$14:$C$1213,"&gt;=0")=0,COUNTIFS($A$14:$A$1213,$H123,$F$14:$F$1213,"&gt;=0")=0),"—",IF(OR(ISERROR(MATCH($H123&amp;"|1",$Z$14:$Z$1213,0)),ISERROR(MATCH($H123&amp;"|1",$AA$14:$AA$1213,0))),"Tie",IF(MATCH($H123&amp;"|1",$Z$14:$Z$1213,0)=MATCH($H123&amp;"|1",$AA$14:$AA$1213,0),"Hit","Miss"))))</f>
        <v/>
      </c>
      <c r="K123" s="24">
        <f>IF($H123="","",IF(COUNTIFS($A$14:$A$1213,$H123,$F$14:$F$1213,"&gt;=0")=0,"—",IFERROR(INDEX($B$14:$B$1213,MATCH($H123&amp;"|1",$AA$14:$AA$1213,0)),"(tied)")))</f>
        <v/>
      </c>
      <c r="L123" s="25">
        <f>IF($H123="","",IF((--(COUNTIFS($A$14:$A$1213,$H123,$P$14:$P$1213,"&gt;=0")&gt;0)+--(COUNTIFS($A$14:$A$1213,$H123,$Q$14:$Q$1213,"&gt;=0")&gt;0)+--(COUNTIFS($A$14:$A$1213,$H123,$R$14:$R$1213,"&gt;=0")&gt;0)+--(COUNTIFS($A$14:$A$1213,$H123,$S$14:$S$1213,"&gt;=0")&gt;0)+--(COUNTIFS($A$14:$A$1213,$H123,$T$14:$T$1213,"&gt;=0")&gt;0))&lt;2,"—",IF(SUMIFS($AH$14:$AH$1213,$A$14:$A$1213,$H123)=0,"Yes","No")))</f>
        <v/>
      </c>
      <c r="M123" s="25">
        <f>IF($H123="","",IF(COUNTIFS($A$14:$A$1213,$H123,$F$14:$F$1213,"&gt;=0")&lt;2,"—",IF(COUNTIFS($A$14:$A$1213,$H123,$F$14:$F$1213,_xlfn.MAXIFS($F$14:$F$1213,$A$14:$A$1213,$H123))&gt;1,"No",IF(NOT(ISNUMBER($AN123)),"—",IF((2*(1-NORMSDIST(ABS($AN123))))&lt;0.05,"Yes","No")))))</f>
        <v/>
      </c>
      <c r="N123" s="21">
        <f>IF($H123="","",IF(NOT(ISNUMBER($AN123)),"—",IF((2*(1-NORMSDIST(ABS($AN123))))&lt;0.001,"&lt;0.001",TEXT((2*(1-NORMSDIST(ABS($AN123)))),"0.000"))))</f>
        <v/>
      </c>
      <c r="P123" s="26" t="n"/>
      <c r="Q123" s="26" t="n"/>
      <c r="R123" s="26" t="n"/>
      <c r="S123" s="26" t="n"/>
      <c r="T123" s="26" t="n"/>
      <c r="V123" s="27">
        <f>IF(ISNUMBER($C123),COUNTIFS($A$14:$A$1213,$A123,$C$14:$C$1213,"&gt;"&amp;$C123)+(COUNTIFS($A$14:$A$1213,$A123,$C$14:$C$1213,"="&amp;$C123)+1)/2,"")</f>
        <v/>
      </c>
      <c r="W123" s="27">
        <f>IF(ISNUMBER($F123),COUNTIFS($A$14:$A$1213,$A123,$F$14:$F$1213,"&gt;"&amp;$F123)+(COUNTIFS($A$14:$A$1213,$A123,$F$14:$F$1213,"="&amp;$F123)+1)/2,"")</f>
        <v/>
      </c>
      <c r="X123" s="27">
        <f>IF(OR(NOT(ISNUMBER($V123)),$AO123=1),"",$V123-(COUNTIFS($A$14:$A$1213,$A123,$C$14:$C$1213,"&gt;=0")+1)/2)</f>
        <v/>
      </c>
      <c r="Y123" s="27">
        <f>IF(OR(NOT(ISNUMBER($W123)),$AO123=1),"",$W123-(COUNTIFS($A$14:$A$1213,$A123,$F$14:$F$1213,"&gt;=0")+1)/2)</f>
        <v/>
      </c>
      <c r="Z123" s="27">
        <f>IF(ISNUMBER($V123),$A123&amp;"|"&amp;$V123,"")</f>
        <v/>
      </c>
      <c r="AA123" s="27">
        <f>IF(ISNUMBER($W123),$A123&amp;"|"&amp;$W123,"")</f>
        <v/>
      </c>
      <c r="AB123" s="27">
        <f>IF(ISNUMBER($F123),$A123&amp;"|"&amp;$F123,"")</f>
        <v/>
      </c>
      <c r="AC123" s="27">
        <f>IF(ISNUMBER($P123),COUNTIFS($A$14:$A$1213,$A123,$P$14:$P$1213,"&gt;"&amp;$P123)+(COUNTIFS($A$14:$A$1213,$A123,$P$14:$P$1213,"="&amp;$P123)+1)/2,"")</f>
        <v/>
      </c>
      <c r="AD123" s="27">
        <f>IF(ISNUMBER($Q123),COUNTIFS($A$14:$A$1213,$A123,$Q$14:$Q$1213,"&gt;"&amp;$Q123)+(COUNTIFS($A$14:$A$1213,$A123,$Q$14:$Q$1213,"="&amp;$Q123)+1)/2,"")</f>
        <v/>
      </c>
      <c r="AE123" s="27">
        <f>IF(ISNUMBER($R123),COUNTIFS($A$14:$A$1213,$A123,$R$14:$R$1213,"&gt;"&amp;$R123)+(COUNTIFS($A$14:$A$1213,$A123,$R$14:$R$1213,"="&amp;$R123)+1)/2,"")</f>
        <v/>
      </c>
      <c r="AF123" s="27">
        <f>IF(ISNUMBER($S123),COUNTIFS($A$14:$A$1213,$A123,$S$14:$S$1213,"&gt;"&amp;$S123)+(COUNTIFS($A$14:$A$1213,$A123,$S$14:$S$1213,"="&amp;$S123)+1)/2,"")</f>
        <v/>
      </c>
      <c r="AG123" s="27">
        <f>IF(ISNUMBER($T123),COUNTIFS($A$14:$A$1213,$A123,$T$14:$T$1213,"&gt;"&amp;$T123)+(COUNTIFS($A$14:$A$1213,$A123,$T$14:$T$1213,"="&amp;$T123)+1)/2,"")</f>
        <v/>
      </c>
      <c r="AH123" s="27">
        <f>IF(COUNT($AC123:$AG123)&lt;2,"",IF(MAX($AC123:$AG123)=MIN($AC123:$AG123),0,1))</f>
        <v/>
      </c>
      <c r="AI123" s="27">
        <f>IF($A123="","",IF(COUNTIF($A$14:$A123,$A123)=1,COUNTIF($AI$13:AI122,"&gt;0")+1,""))</f>
        <v/>
      </c>
      <c r="AJ123" s="27">
        <f>IF(OR($H123="",COUNTIFS($A$14:$A$1213,$H123,$F$14:$F$1213,"&gt;=0")&lt;2,COUNTIFS($A$14:$A$1213,$H123,$F$14:$F$1213,_xlfn.MAXIFS($F$14:$F$1213,$A$14:$A$1213,$H123))&gt;1),"",IFERROR(INDEX($D$14:$D$1213,MATCH($H123&amp;"|"&amp;_xlfn.MAXIFS($F$14:$F$1213,$A$14:$A$1213,$H123),$AB$14:$AB$1213,0)),""))</f>
        <v/>
      </c>
      <c r="AK123" s="27">
        <f>IF(OR($H123="",COUNTIFS($A$14:$A$1213,$H123,$F$14:$F$1213,"&gt;=0")&lt;2,COUNTIFS($A$14:$A$1213,$H123,$F$14:$F$1213,_xlfn.MAXIFS($F$14:$F$1213,$A$14:$A$1213,$H123))&gt;1),"",IFERROR(INDEX($E$14:$E$1213,MATCH($H123&amp;"|"&amp;_xlfn.MAXIFS($F$14:$F$1213,$A$14:$A$1213,$H123),$AB$14:$AB$1213,0)),""))</f>
        <v/>
      </c>
      <c r="AL123" s="27">
        <f>IF(OR($H123="",COUNTIFS($A$14:$A$1213,$H123,$F$14:$F$1213,"&gt;=0")&lt;2,COUNTIFS($A$14:$A$1213,$H123,$F$14:$F$1213,_xlfn.MAXIFS($F$14:$F$1213,$A$14:$A$1213,$H123))&gt;1),"",IFERROR(INDEX($D$14:$D$1213,MATCH($H123&amp;"|"&amp;_xlfn.MAXIFS($F$14:$F$1213,$A$14:$A$1213,$H123,$F$14:$F$1213,"&lt;"&amp;_xlfn.MAXIFS($F$14:$F$1213,$A$14:$A$1213,$H123)),$AB$14:$AB$1213,0)),""))</f>
        <v/>
      </c>
      <c r="AM123" s="27">
        <f>IF(OR($H123="",COUNTIFS($A$14:$A$1213,$H123,$F$14:$F$1213,"&gt;=0")&lt;2,COUNTIFS($A$14:$A$1213,$H123,$F$14:$F$1213,_xlfn.MAXIFS($F$14:$F$1213,$A$14:$A$1213,$H123))&gt;1),"",IFERROR(INDEX($E$14:$E$1213,MATCH($H123&amp;"|"&amp;_xlfn.MAXIFS($F$14:$F$1213,$A$14:$A$1213,$H123,$F$14:$F$1213,"&lt;"&amp;_xlfn.MAXIFS($F$14:$F$1213,$A$14:$A$1213,$H123)),$AB$14:$AB$1213,0)),""))</f>
        <v/>
      </c>
      <c r="AN123" s="27">
        <f>IF(OR(NOT(ISNUMBER($AJ123)),NOT(ISNUMBER($AL123)),$AK123=0,$AM123=0),"",IF(OR((($AJ123+$AL123)/($AK123+$AM123))&lt;=0,(($AJ123+$AL123)/($AK123+$AM123))&gt;=1),"",($AJ123/$AK123-$AL123/$AM123)/SQRT((($AJ123+$AL123)/($AK123+$AM123))*(1-(($AJ123+$AL123)/($AK123+$AM123)))*(1/$AK123+1/$AM123))))</f>
        <v/>
      </c>
      <c r="AO123" s="27">
        <f>IF($A123="","",IF(AND(COUNTIFS($A$14:$A$1213,$A123,$F$14:$F$1213,"&gt;=0")=2,IFERROR(INDEX($M$14:$M$313,MATCH($A123,$H$14:$H$313,0)),"Yes")&lt;&gt;"Yes"),1,0))</f>
        <v/>
      </c>
    </row>
    <row r="124" ht="24" customHeight="1">
      <c r="A124" s="19">
        <f>IF('Enter messages'!A124="","",'Enter messages'!A124)</f>
        <v/>
      </c>
      <c r="B124" s="20">
        <f>IF('Enter messages'!B124="","",'Enter messages'!B124)</f>
        <v/>
      </c>
      <c r="C124" s="21">
        <f>IFERROR(AVERAGE(P124:T124),"")</f>
        <v/>
      </c>
      <c r="D124" s="29" t="n"/>
      <c r="E124" s="29" t="n"/>
      <c r="F124" s="30">
        <f>IF(AND(ISNUMBER($D124),ISNUMBER($E124),$E124&gt;0,$D124&lt;=$E124),$D124/$E124,"")</f>
        <v/>
      </c>
      <c r="H124" s="19">
        <f>IFERROR(INDEX($A$14:$A$1213,MATCH(111,$AI$14:$AI$1213,0)),"")</f>
        <v/>
      </c>
      <c r="I124" s="24">
        <f>IF($H124="","",IF(COUNTIFS($A$14:$A$1213,$H124,$C$14:$C$1213,"&gt;=0")=0,"—",IFERROR(INDEX($B$14:$B$1213,MATCH($H124&amp;"|1",$Z$14:$Z$1213,0)),"(tied)")))</f>
        <v/>
      </c>
      <c r="J124" s="25">
        <f>IF($H124="","",IF(OR(COUNTIFS($A$14:$A$1213,$H124,$C$14:$C$1213,"&gt;=0")=0,COUNTIFS($A$14:$A$1213,$H124,$F$14:$F$1213,"&gt;=0")=0),"—",IF(OR(ISERROR(MATCH($H124&amp;"|1",$Z$14:$Z$1213,0)),ISERROR(MATCH($H124&amp;"|1",$AA$14:$AA$1213,0))),"Tie",IF(MATCH($H124&amp;"|1",$Z$14:$Z$1213,0)=MATCH($H124&amp;"|1",$AA$14:$AA$1213,0),"Hit","Miss"))))</f>
        <v/>
      </c>
      <c r="K124" s="24">
        <f>IF($H124="","",IF(COUNTIFS($A$14:$A$1213,$H124,$F$14:$F$1213,"&gt;=0")=0,"—",IFERROR(INDEX($B$14:$B$1213,MATCH($H124&amp;"|1",$AA$14:$AA$1213,0)),"(tied)")))</f>
        <v/>
      </c>
      <c r="L124" s="25">
        <f>IF($H124="","",IF((--(COUNTIFS($A$14:$A$1213,$H124,$P$14:$P$1213,"&gt;=0")&gt;0)+--(COUNTIFS($A$14:$A$1213,$H124,$Q$14:$Q$1213,"&gt;=0")&gt;0)+--(COUNTIFS($A$14:$A$1213,$H124,$R$14:$R$1213,"&gt;=0")&gt;0)+--(COUNTIFS($A$14:$A$1213,$H124,$S$14:$S$1213,"&gt;=0")&gt;0)+--(COUNTIFS($A$14:$A$1213,$H124,$T$14:$T$1213,"&gt;=0")&gt;0))&lt;2,"—",IF(SUMIFS($AH$14:$AH$1213,$A$14:$A$1213,$H124)=0,"Yes","No")))</f>
        <v/>
      </c>
      <c r="M124" s="25">
        <f>IF($H124="","",IF(COUNTIFS($A$14:$A$1213,$H124,$F$14:$F$1213,"&gt;=0")&lt;2,"—",IF(COUNTIFS($A$14:$A$1213,$H124,$F$14:$F$1213,_xlfn.MAXIFS($F$14:$F$1213,$A$14:$A$1213,$H124))&gt;1,"No",IF(NOT(ISNUMBER($AN124)),"—",IF((2*(1-NORMSDIST(ABS($AN124))))&lt;0.05,"Yes","No")))))</f>
        <v/>
      </c>
      <c r="N124" s="21">
        <f>IF($H124="","",IF(NOT(ISNUMBER($AN124)),"—",IF((2*(1-NORMSDIST(ABS($AN124))))&lt;0.001,"&lt;0.001",TEXT((2*(1-NORMSDIST(ABS($AN124)))),"0.000"))))</f>
        <v/>
      </c>
      <c r="P124" s="26" t="n"/>
      <c r="Q124" s="26" t="n"/>
      <c r="R124" s="26" t="n"/>
      <c r="S124" s="26" t="n"/>
      <c r="T124" s="26" t="n"/>
      <c r="V124" s="27">
        <f>IF(ISNUMBER($C124),COUNTIFS($A$14:$A$1213,$A124,$C$14:$C$1213,"&gt;"&amp;$C124)+(COUNTIFS($A$14:$A$1213,$A124,$C$14:$C$1213,"="&amp;$C124)+1)/2,"")</f>
        <v/>
      </c>
      <c r="W124" s="27">
        <f>IF(ISNUMBER($F124),COUNTIFS($A$14:$A$1213,$A124,$F$14:$F$1213,"&gt;"&amp;$F124)+(COUNTIFS($A$14:$A$1213,$A124,$F$14:$F$1213,"="&amp;$F124)+1)/2,"")</f>
        <v/>
      </c>
      <c r="X124" s="27">
        <f>IF(OR(NOT(ISNUMBER($V124)),$AO124=1),"",$V124-(COUNTIFS($A$14:$A$1213,$A124,$C$14:$C$1213,"&gt;=0")+1)/2)</f>
        <v/>
      </c>
      <c r="Y124" s="27">
        <f>IF(OR(NOT(ISNUMBER($W124)),$AO124=1),"",$W124-(COUNTIFS($A$14:$A$1213,$A124,$F$14:$F$1213,"&gt;=0")+1)/2)</f>
        <v/>
      </c>
      <c r="Z124" s="27">
        <f>IF(ISNUMBER($V124),$A124&amp;"|"&amp;$V124,"")</f>
        <v/>
      </c>
      <c r="AA124" s="27">
        <f>IF(ISNUMBER($W124),$A124&amp;"|"&amp;$W124,"")</f>
        <v/>
      </c>
      <c r="AB124" s="27">
        <f>IF(ISNUMBER($F124),$A124&amp;"|"&amp;$F124,"")</f>
        <v/>
      </c>
      <c r="AC124" s="27">
        <f>IF(ISNUMBER($P124),COUNTIFS($A$14:$A$1213,$A124,$P$14:$P$1213,"&gt;"&amp;$P124)+(COUNTIFS($A$14:$A$1213,$A124,$P$14:$P$1213,"="&amp;$P124)+1)/2,"")</f>
        <v/>
      </c>
      <c r="AD124" s="27">
        <f>IF(ISNUMBER($Q124),COUNTIFS($A$14:$A$1213,$A124,$Q$14:$Q$1213,"&gt;"&amp;$Q124)+(COUNTIFS($A$14:$A$1213,$A124,$Q$14:$Q$1213,"="&amp;$Q124)+1)/2,"")</f>
        <v/>
      </c>
      <c r="AE124" s="27">
        <f>IF(ISNUMBER($R124),COUNTIFS($A$14:$A$1213,$A124,$R$14:$R$1213,"&gt;"&amp;$R124)+(COUNTIFS($A$14:$A$1213,$A124,$R$14:$R$1213,"="&amp;$R124)+1)/2,"")</f>
        <v/>
      </c>
      <c r="AF124" s="27">
        <f>IF(ISNUMBER($S124),COUNTIFS($A$14:$A$1213,$A124,$S$14:$S$1213,"&gt;"&amp;$S124)+(COUNTIFS($A$14:$A$1213,$A124,$S$14:$S$1213,"="&amp;$S124)+1)/2,"")</f>
        <v/>
      </c>
      <c r="AG124" s="27">
        <f>IF(ISNUMBER($T124),COUNTIFS($A$14:$A$1213,$A124,$T$14:$T$1213,"&gt;"&amp;$T124)+(COUNTIFS($A$14:$A$1213,$A124,$T$14:$T$1213,"="&amp;$T124)+1)/2,"")</f>
        <v/>
      </c>
      <c r="AH124" s="27">
        <f>IF(COUNT($AC124:$AG124)&lt;2,"",IF(MAX($AC124:$AG124)=MIN($AC124:$AG124),0,1))</f>
        <v/>
      </c>
      <c r="AI124" s="27">
        <f>IF($A124="","",IF(COUNTIF($A$14:$A124,$A124)=1,COUNTIF($AI$13:AI123,"&gt;0")+1,""))</f>
        <v/>
      </c>
      <c r="AJ124" s="27">
        <f>IF(OR($H124="",COUNTIFS($A$14:$A$1213,$H124,$F$14:$F$1213,"&gt;=0")&lt;2,COUNTIFS($A$14:$A$1213,$H124,$F$14:$F$1213,_xlfn.MAXIFS($F$14:$F$1213,$A$14:$A$1213,$H124))&gt;1),"",IFERROR(INDEX($D$14:$D$1213,MATCH($H124&amp;"|"&amp;_xlfn.MAXIFS($F$14:$F$1213,$A$14:$A$1213,$H124),$AB$14:$AB$1213,0)),""))</f>
        <v/>
      </c>
      <c r="AK124" s="27">
        <f>IF(OR($H124="",COUNTIFS($A$14:$A$1213,$H124,$F$14:$F$1213,"&gt;=0")&lt;2,COUNTIFS($A$14:$A$1213,$H124,$F$14:$F$1213,_xlfn.MAXIFS($F$14:$F$1213,$A$14:$A$1213,$H124))&gt;1),"",IFERROR(INDEX($E$14:$E$1213,MATCH($H124&amp;"|"&amp;_xlfn.MAXIFS($F$14:$F$1213,$A$14:$A$1213,$H124),$AB$14:$AB$1213,0)),""))</f>
        <v/>
      </c>
      <c r="AL124" s="27">
        <f>IF(OR($H124="",COUNTIFS($A$14:$A$1213,$H124,$F$14:$F$1213,"&gt;=0")&lt;2,COUNTIFS($A$14:$A$1213,$H124,$F$14:$F$1213,_xlfn.MAXIFS($F$14:$F$1213,$A$14:$A$1213,$H124))&gt;1),"",IFERROR(INDEX($D$14:$D$1213,MATCH($H124&amp;"|"&amp;_xlfn.MAXIFS($F$14:$F$1213,$A$14:$A$1213,$H124,$F$14:$F$1213,"&lt;"&amp;_xlfn.MAXIFS($F$14:$F$1213,$A$14:$A$1213,$H124)),$AB$14:$AB$1213,0)),""))</f>
        <v/>
      </c>
      <c r="AM124" s="27">
        <f>IF(OR($H124="",COUNTIFS($A$14:$A$1213,$H124,$F$14:$F$1213,"&gt;=0")&lt;2,COUNTIFS($A$14:$A$1213,$H124,$F$14:$F$1213,_xlfn.MAXIFS($F$14:$F$1213,$A$14:$A$1213,$H124))&gt;1),"",IFERROR(INDEX($E$14:$E$1213,MATCH($H124&amp;"|"&amp;_xlfn.MAXIFS($F$14:$F$1213,$A$14:$A$1213,$H124,$F$14:$F$1213,"&lt;"&amp;_xlfn.MAXIFS($F$14:$F$1213,$A$14:$A$1213,$H124)),$AB$14:$AB$1213,0)),""))</f>
        <v/>
      </c>
      <c r="AN124" s="27">
        <f>IF(OR(NOT(ISNUMBER($AJ124)),NOT(ISNUMBER($AL124)),$AK124=0,$AM124=0),"",IF(OR((($AJ124+$AL124)/($AK124+$AM124))&lt;=0,(($AJ124+$AL124)/($AK124+$AM124))&gt;=1),"",($AJ124/$AK124-$AL124/$AM124)/SQRT((($AJ124+$AL124)/($AK124+$AM124))*(1-(($AJ124+$AL124)/($AK124+$AM124)))*(1/$AK124+1/$AM124))))</f>
        <v/>
      </c>
      <c r="AO124" s="27">
        <f>IF($A124="","",IF(AND(COUNTIFS($A$14:$A$1213,$A124,$F$14:$F$1213,"&gt;=0")=2,IFERROR(INDEX($M$14:$M$313,MATCH($A124,$H$14:$H$313,0)),"Yes")&lt;&gt;"Yes"),1,0))</f>
        <v/>
      </c>
    </row>
    <row r="125" ht="24" customHeight="1">
      <c r="A125" s="19">
        <f>IF('Enter messages'!A125="","",'Enter messages'!A125)</f>
        <v/>
      </c>
      <c r="B125" s="20">
        <f>IF('Enter messages'!B125="","",'Enter messages'!B125)</f>
        <v/>
      </c>
      <c r="C125" s="21">
        <f>IFERROR(AVERAGE(P125:T125),"")</f>
        <v/>
      </c>
      <c r="D125" s="29" t="n"/>
      <c r="E125" s="29" t="n"/>
      <c r="F125" s="30">
        <f>IF(AND(ISNUMBER($D125),ISNUMBER($E125),$E125&gt;0,$D125&lt;=$E125),$D125/$E125,"")</f>
        <v/>
      </c>
      <c r="H125" s="19">
        <f>IFERROR(INDEX($A$14:$A$1213,MATCH(112,$AI$14:$AI$1213,0)),"")</f>
        <v/>
      </c>
      <c r="I125" s="24">
        <f>IF($H125="","",IF(COUNTIFS($A$14:$A$1213,$H125,$C$14:$C$1213,"&gt;=0")=0,"—",IFERROR(INDEX($B$14:$B$1213,MATCH($H125&amp;"|1",$Z$14:$Z$1213,0)),"(tied)")))</f>
        <v/>
      </c>
      <c r="J125" s="25">
        <f>IF($H125="","",IF(OR(COUNTIFS($A$14:$A$1213,$H125,$C$14:$C$1213,"&gt;=0")=0,COUNTIFS($A$14:$A$1213,$H125,$F$14:$F$1213,"&gt;=0")=0),"—",IF(OR(ISERROR(MATCH($H125&amp;"|1",$Z$14:$Z$1213,0)),ISERROR(MATCH($H125&amp;"|1",$AA$14:$AA$1213,0))),"Tie",IF(MATCH($H125&amp;"|1",$Z$14:$Z$1213,0)=MATCH($H125&amp;"|1",$AA$14:$AA$1213,0),"Hit","Miss"))))</f>
        <v/>
      </c>
      <c r="K125" s="24">
        <f>IF($H125="","",IF(COUNTIFS($A$14:$A$1213,$H125,$F$14:$F$1213,"&gt;=0")=0,"—",IFERROR(INDEX($B$14:$B$1213,MATCH($H125&amp;"|1",$AA$14:$AA$1213,0)),"(tied)")))</f>
        <v/>
      </c>
      <c r="L125" s="25">
        <f>IF($H125="","",IF((--(COUNTIFS($A$14:$A$1213,$H125,$P$14:$P$1213,"&gt;=0")&gt;0)+--(COUNTIFS($A$14:$A$1213,$H125,$Q$14:$Q$1213,"&gt;=0")&gt;0)+--(COUNTIFS($A$14:$A$1213,$H125,$R$14:$R$1213,"&gt;=0")&gt;0)+--(COUNTIFS($A$14:$A$1213,$H125,$S$14:$S$1213,"&gt;=0")&gt;0)+--(COUNTIFS($A$14:$A$1213,$H125,$T$14:$T$1213,"&gt;=0")&gt;0))&lt;2,"—",IF(SUMIFS($AH$14:$AH$1213,$A$14:$A$1213,$H125)=0,"Yes","No")))</f>
        <v/>
      </c>
      <c r="M125" s="25">
        <f>IF($H125="","",IF(COUNTIFS($A$14:$A$1213,$H125,$F$14:$F$1213,"&gt;=0")&lt;2,"—",IF(COUNTIFS($A$14:$A$1213,$H125,$F$14:$F$1213,_xlfn.MAXIFS($F$14:$F$1213,$A$14:$A$1213,$H125))&gt;1,"No",IF(NOT(ISNUMBER($AN125)),"—",IF((2*(1-NORMSDIST(ABS($AN125))))&lt;0.05,"Yes","No")))))</f>
        <v/>
      </c>
      <c r="N125" s="21">
        <f>IF($H125="","",IF(NOT(ISNUMBER($AN125)),"—",IF((2*(1-NORMSDIST(ABS($AN125))))&lt;0.001,"&lt;0.001",TEXT((2*(1-NORMSDIST(ABS($AN125)))),"0.000"))))</f>
        <v/>
      </c>
      <c r="P125" s="26" t="n"/>
      <c r="Q125" s="26" t="n"/>
      <c r="R125" s="26" t="n"/>
      <c r="S125" s="26" t="n"/>
      <c r="T125" s="26" t="n"/>
      <c r="V125" s="27">
        <f>IF(ISNUMBER($C125),COUNTIFS($A$14:$A$1213,$A125,$C$14:$C$1213,"&gt;"&amp;$C125)+(COUNTIFS($A$14:$A$1213,$A125,$C$14:$C$1213,"="&amp;$C125)+1)/2,"")</f>
        <v/>
      </c>
      <c r="W125" s="27">
        <f>IF(ISNUMBER($F125),COUNTIFS($A$14:$A$1213,$A125,$F$14:$F$1213,"&gt;"&amp;$F125)+(COUNTIFS($A$14:$A$1213,$A125,$F$14:$F$1213,"="&amp;$F125)+1)/2,"")</f>
        <v/>
      </c>
      <c r="X125" s="27">
        <f>IF(OR(NOT(ISNUMBER($V125)),$AO125=1),"",$V125-(COUNTIFS($A$14:$A$1213,$A125,$C$14:$C$1213,"&gt;=0")+1)/2)</f>
        <v/>
      </c>
      <c r="Y125" s="27">
        <f>IF(OR(NOT(ISNUMBER($W125)),$AO125=1),"",$W125-(COUNTIFS($A$14:$A$1213,$A125,$F$14:$F$1213,"&gt;=0")+1)/2)</f>
        <v/>
      </c>
      <c r="Z125" s="27">
        <f>IF(ISNUMBER($V125),$A125&amp;"|"&amp;$V125,"")</f>
        <v/>
      </c>
      <c r="AA125" s="27">
        <f>IF(ISNUMBER($W125),$A125&amp;"|"&amp;$W125,"")</f>
        <v/>
      </c>
      <c r="AB125" s="27">
        <f>IF(ISNUMBER($F125),$A125&amp;"|"&amp;$F125,"")</f>
        <v/>
      </c>
      <c r="AC125" s="27">
        <f>IF(ISNUMBER($P125),COUNTIFS($A$14:$A$1213,$A125,$P$14:$P$1213,"&gt;"&amp;$P125)+(COUNTIFS($A$14:$A$1213,$A125,$P$14:$P$1213,"="&amp;$P125)+1)/2,"")</f>
        <v/>
      </c>
      <c r="AD125" s="27">
        <f>IF(ISNUMBER($Q125),COUNTIFS($A$14:$A$1213,$A125,$Q$14:$Q$1213,"&gt;"&amp;$Q125)+(COUNTIFS($A$14:$A$1213,$A125,$Q$14:$Q$1213,"="&amp;$Q125)+1)/2,"")</f>
        <v/>
      </c>
      <c r="AE125" s="27">
        <f>IF(ISNUMBER($R125),COUNTIFS($A$14:$A$1213,$A125,$R$14:$R$1213,"&gt;"&amp;$R125)+(COUNTIFS($A$14:$A$1213,$A125,$R$14:$R$1213,"="&amp;$R125)+1)/2,"")</f>
        <v/>
      </c>
      <c r="AF125" s="27">
        <f>IF(ISNUMBER($S125),COUNTIFS($A$14:$A$1213,$A125,$S$14:$S$1213,"&gt;"&amp;$S125)+(COUNTIFS($A$14:$A$1213,$A125,$S$14:$S$1213,"="&amp;$S125)+1)/2,"")</f>
        <v/>
      </c>
      <c r="AG125" s="27">
        <f>IF(ISNUMBER($T125),COUNTIFS($A$14:$A$1213,$A125,$T$14:$T$1213,"&gt;"&amp;$T125)+(COUNTIFS($A$14:$A$1213,$A125,$T$14:$T$1213,"="&amp;$T125)+1)/2,"")</f>
        <v/>
      </c>
      <c r="AH125" s="27">
        <f>IF(COUNT($AC125:$AG125)&lt;2,"",IF(MAX($AC125:$AG125)=MIN($AC125:$AG125),0,1))</f>
        <v/>
      </c>
      <c r="AI125" s="27">
        <f>IF($A125="","",IF(COUNTIF($A$14:$A125,$A125)=1,COUNTIF($AI$13:AI124,"&gt;0")+1,""))</f>
        <v/>
      </c>
      <c r="AJ125" s="27">
        <f>IF(OR($H125="",COUNTIFS($A$14:$A$1213,$H125,$F$14:$F$1213,"&gt;=0")&lt;2,COUNTIFS($A$14:$A$1213,$H125,$F$14:$F$1213,_xlfn.MAXIFS($F$14:$F$1213,$A$14:$A$1213,$H125))&gt;1),"",IFERROR(INDEX($D$14:$D$1213,MATCH($H125&amp;"|"&amp;_xlfn.MAXIFS($F$14:$F$1213,$A$14:$A$1213,$H125),$AB$14:$AB$1213,0)),""))</f>
        <v/>
      </c>
      <c r="AK125" s="27">
        <f>IF(OR($H125="",COUNTIFS($A$14:$A$1213,$H125,$F$14:$F$1213,"&gt;=0")&lt;2,COUNTIFS($A$14:$A$1213,$H125,$F$14:$F$1213,_xlfn.MAXIFS($F$14:$F$1213,$A$14:$A$1213,$H125))&gt;1),"",IFERROR(INDEX($E$14:$E$1213,MATCH($H125&amp;"|"&amp;_xlfn.MAXIFS($F$14:$F$1213,$A$14:$A$1213,$H125),$AB$14:$AB$1213,0)),""))</f>
        <v/>
      </c>
      <c r="AL125" s="27">
        <f>IF(OR($H125="",COUNTIFS($A$14:$A$1213,$H125,$F$14:$F$1213,"&gt;=0")&lt;2,COUNTIFS($A$14:$A$1213,$H125,$F$14:$F$1213,_xlfn.MAXIFS($F$14:$F$1213,$A$14:$A$1213,$H125))&gt;1),"",IFERROR(INDEX($D$14:$D$1213,MATCH($H125&amp;"|"&amp;_xlfn.MAXIFS($F$14:$F$1213,$A$14:$A$1213,$H125,$F$14:$F$1213,"&lt;"&amp;_xlfn.MAXIFS($F$14:$F$1213,$A$14:$A$1213,$H125)),$AB$14:$AB$1213,0)),""))</f>
        <v/>
      </c>
      <c r="AM125" s="27">
        <f>IF(OR($H125="",COUNTIFS($A$14:$A$1213,$H125,$F$14:$F$1213,"&gt;=0")&lt;2,COUNTIFS($A$14:$A$1213,$H125,$F$14:$F$1213,_xlfn.MAXIFS($F$14:$F$1213,$A$14:$A$1213,$H125))&gt;1),"",IFERROR(INDEX($E$14:$E$1213,MATCH($H125&amp;"|"&amp;_xlfn.MAXIFS($F$14:$F$1213,$A$14:$A$1213,$H125,$F$14:$F$1213,"&lt;"&amp;_xlfn.MAXIFS($F$14:$F$1213,$A$14:$A$1213,$H125)),$AB$14:$AB$1213,0)),""))</f>
        <v/>
      </c>
      <c r="AN125" s="27">
        <f>IF(OR(NOT(ISNUMBER($AJ125)),NOT(ISNUMBER($AL125)),$AK125=0,$AM125=0),"",IF(OR((($AJ125+$AL125)/($AK125+$AM125))&lt;=0,(($AJ125+$AL125)/($AK125+$AM125))&gt;=1),"",($AJ125/$AK125-$AL125/$AM125)/SQRT((($AJ125+$AL125)/($AK125+$AM125))*(1-(($AJ125+$AL125)/($AK125+$AM125)))*(1/$AK125+1/$AM125))))</f>
        <v/>
      </c>
      <c r="AO125" s="27">
        <f>IF($A125="","",IF(AND(COUNTIFS($A$14:$A$1213,$A125,$F$14:$F$1213,"&gt;=0")=2,IFERROR(INDEX($M$14:$M$313,MATCH($A125,$H$14:$H$313,0)),"Yes")&lt;&gt;"Yes"),1,0))</f>
        <v/>
      </c>
    </row>
    <row r="126" ht="24" customHeight="1">
      <c r="A126" s="19">
        <f>IF('Enter messages'!A126="","",'Enter messages'!A126)</f>
        <v/>
      </c>
      <c r="B126" s="20">
        <f>IF('Enter messages'!B126="","",'Enter messages'!B126)</f>
        <v/>
      </c>
      <c r="C126" s="21">
        <f>IFERROR(AVERAGE(P126:T126),"")</f>
        <v/>
      </c>
      <c r="D126" s="29" t="n"/>
      <c r="E126" s="29" t="n"/>
      <c r="F126" s="30">
        <f>IF(AND(ISNUMBER($D126),ISNUMBER($E126),$E126&gt;0,$D126&lt;=$E126),$D126/$E126,"")</f>
        <v/>
      </c>
      <c r="H126" s="19">
        <f>IFERROR(INDEX($A$14:$A$1213,MATCH(113,$AI$14:$AI$1213,0)),"")</f>
        <v/>
      </c>
      <c r="I126" s="24">
        <f>IF($H126="","",IF(COUNTIFS($A$14:$A$1213,$H126,$C$14:$C$1213,"&gt;=0")=0,"—",IFERROR(INDEX($B$14:$B$1213,MATCH($H126&amp;"|1",$Z$14:$Z$1213,0)),"(tied)")))</f>
        <v/>
      </c>
      <c r="J126" s="25">
        <f>IF($H126="","",IF(OR(COUNTIFS($A$14:$A$1213,$H126,$C$14:$C$1213,"&gt;=0")=0,COUNTIFS($A$14:$A$1213,$H126,$F$14:$F$1213,"&gt;=0")=0),"—",IF(OR(ISERROR(MATCH($H126&amp;"|1",$Z$14:$Z$1213,0)),ISERROR(MATCH($H126&amp;"|1",$AA$14:$AA$1213,0))),"Tie",IF(MATCH($H126&amp;"|1",$Z$14:$Z$1213,0)=MATCH($H126&amp;"|1",$AA$14:$AA$1213,0),"Hit","Miss"))))</f>
        <v/>
      </c>
      <c r="K126" s="24">
        <f>IF($H126="","",IF(COUNTIFS($A$14:$A$1213,$H126,$F$14:$F$1213,"&gt;=0")=0,"—",IFERROR(INDEX($B$14:$B$1213,MATCH($H126&amp;"|1",$AA$14:$AA$1213,0)),"(tied)")))</f>
        <v/>
      </c>
      <c r="L126" s="25">
        <f>IF($H126="","",IF((--(COUNTIFS($A$14:$A$1213,$H126,$P$14:$P$1213,"&gt;=0")&gt;0)+--(COUNTIFS($A$14:$A$1213,$H126,$Q$14:$Q$1213,"&gt;=0")&gt;0)+--(COUNTIFS($A$14:$A$1213,$H126,$R$14:$R$1213,"&gt;=0")&gt;0)+--(COUNTIFS($A$14:$A$1213,$H126,$S$14:$S$1213,"&gt;=0")&gt;0)+--(COUNTIFS($A$14:$A$1213,$H126,$T$14:$T$1213,"&gt;=0")&gt;0))&lt;2,"—",IF(SUMIFS($AH$14:$AH$1213,$A$14:$A$1213,$H126)=0,"Yes","No")))</f>
        <v/>
      </c>
      <c r="M126" s="25">
        <f>IF($H126="","",IF(COUNTIFS($A$14:$A$1213,$H126,$F$14:$F$1213,"&gt;=0")&lt;2,"—",IF(COUNTIFS($A$14:$A$1213,$H126,$F$14:$F$1213,_xlfn.MAXIFS($F$14:$F$1213,$A$14:$A$1213,$H126))&gt;1,"No",IF(NOT(ISNUMBER($AN126)),"—",IF((2*(1-NORMSDIST(ABS($AN126))))&lt;0.05,"Yes","No")))))</f>
        <v/>
      </c>
      <c r="N126" s="21">
        <f>IF($H126="","",IF(NOT(ISNUMBER($AN126)),"—",IF((2*(1-NORMSDIST(ABS($AN126))))&lt;0.001,"&lt;0.001",TEXT((2*(1-NORMSDIST(ABS($AN126)))),"0.000"))))</f>
        <v/>
      </c>
      <c r="P126" s="26" t="n"/>
      <c r="Q126" s="26" t="n"/>
      <c r="R126" s="26" t="n"/>
      <c r="S126" s="26" t="n"/>
      <c r="T126" s="26" t="n"/>
      <c r="V126" s="27">
        <f>IF(ISNUMBER($C126),COUNTIFS($A$14:$A$1213,$A126,$C$14:$C$1213,"&gt;"&amp;$C126)+(COUNTIFS($A$14:$A$1213,$A126,$C$14:$C$1213,"="&amp;$C126)+1)/2,"")</f>
        <v/>
      </c>
      <c r="W126" s="27">
        <f>IF(ISNUMBER($F126),COUNTIFS($A$14:$A$1213,$A126,$F$14:$F$1213,"&gt;"&amp;$F126)+(COUNTIFS($A$14:$A$1213,$A126,$F$14:$F$1213,"="&amp;$F126)+1)/2,"")</f>
        <v/>
      </c>
      <c r="X126" s="27">
        <f>IF(OR(NOT(ISNUMBER($V126)),$AO126=1),"",$V126-(COUNTIFS($A$14:$A$1213,$A126,$C$14:$C$1213,"&gt;=0")+1)/2)</f>
        <v/>
      </c>
      <c r="Y126" s="27">
        <f>IF(OR(NOT(ISNUMBER($W126)),$AO126=1),"",$W126-(COUNTIFS($A$14:$A$1213,$A126,$F$14:$F$1213,"&gt;=0")+1)/2)</f>
        <v/>
      </c>
      <c r="Z126" s="27">
        <f>IF(ISNUMBER($V126),$A126&amp;"|"&amp;$V126,"")</f>
        <v/>
      </c>
      <c r="AA126" s="27">
        <f>IF(ISNUMBER($W126),$A126&amp;"|"&amp;$W126,"")</f>
        <v/>
      </c>
      <c r="AB126" s="27">
        <f>IF(ISNUMBER($F126),$A126&amp;"|"&amp;$F126,"")</f>
        <v/>
      </c>
      <c r="AC126" s="27">
        <f>IF(ISNUMBER($P126),COUNTIFS($A$14:$A$1213,$A126,$P$14:$P$1213,"&gt;"&amp;$P126)+(COUNTIFS($A$14:$A$1213,$A126,$P$14:$P$1213,"="&amp;$P126)+1)/2,"")</f>
        <v/>
      </c>
      <c r="AD126" s="27">
        <f>IF(ISNUMBER($Q126),COUNTIFS($A$14:$A$1213,$A126,$Q$14:$Q$1213,"&gt;"&amp;$Q126)+(COUNTIFS($A$14:$A$1213,$A126,$Q$14:$Q$1213,"="&amp;$Q126)+1)/2,"")</f>
        <v/>
      </c>
      <c r="AE126" s="27">
        <f>IF(ISNUMBER($R126),COUNTIFS($A$14:$A$1213,$A126,$R$14:$R$1213,"&gt;"&amp;$R126)+(COUNTIFS($A$14:$A$1213,$A126,$R$14:$R$1213,"="&amp;$R126)+1)/2,"")</f>
        <v/>
      </c>
      <c r="AF126" s="27">
        <f>IF(ISNUMBER($S126),COUNTIFS($A$14:$A$1213,$A126,$S$14:$S$1213,"&gt;"&amp;$S126)+(COUNTIFS($A$14:$A$1213,$A126,$S$14:$S$1213,"="&amp;$S126)+1)/2,"")</f>
        <v/>
      </c>
      <c r="AG126" s="27">
        <f>IF(ISNUMBER($T126),COUNTIFS($A$14:$A$1213,$A126,$T$14:$T$1213,"&gt;"&amp;$T126)+(COUNTIFS($A$14:$A$1213,$A126,$T$14:$T$1213,"="&amp;$T126)+1)/2,"")</f>
        <v/>
      </c>
      <c r="AH126" s="27">
        <f>IF(COUNT($AC126:$AG126)&lt;2,"",IF(MAX($AC126:$AG126)=MIN($AC126:$AG126),0,1))</f>
        <v/>
      </c>
      <c r="AI126" s="27">
        <f>IF($A126="","",IF(COUNTIF($A$14:$A126,$A126)=1,COUNTIF($AI$13:AI125,"&gt;0")+1,""))</f>
        <v/>
      </c>
      <c r="AJ126" s="27">
        <f>IF(OR($H126="",COUNTIFS($A$14:$A$1213,$H126,$F$14:$F$1213,"&gt;=0")&lt;2,COUNTIFS($A$14:$A$1213,$H126,$F$14:$F$1213,_xlfn.MAXIFS($F$14:$F$1213,$A$14:$A$1213,$H126))&gt;1),"",IFERROR(INDEX($D$14:$D$1213,MATCH($H126&amp;"|"&amp;_xlfn.MAXIFS($F$14:$F$1213,$A$14:$A$1213,$H126),$AB$14:$AB$1213,0)),""))</f>
        <v/>
      </c>
      <c r="AK126" s="27">
        <f>IF(OR($H126="",COUNTIFS($A$14:$A$1213,$H126,$F$14:$F$1213,"&gt;=0")&lt;2,COUNTIFS($A$14:$A$1213,$H126,$F$14:$F$1213,_xlfn.MAXIFS($F$14:$F$1213,$A$14:$A$1213,$H126))&gt;1),"",IFERROR(INDEX($E$14:$E$1213,MATCH($H126&amp;"|"&amp;_xlfn.MAXIFS($F$14:$F$1213,$A$14:$A$1213,$H126),$AB$14:$AB$1213,0)),""))</f>
        <v/>
      </c>
      <c r="AL126" s="27">
        <f>IF(OR($H126="",COUNTIFS($A$14:$A$1213,$H126,$F$14:$F$1213,"&gt;=0")&lt;2,COUNTIFS($A$14:$A$1213,$H126,$F$14:$F$1213,_xlfn.MAXIFS($F$14:$F$1213,$A$14:$A$1213,$H126))&gt;1),"",IFERROR(INDEX($D$14:$D$1213,MATCH($H126&amp;"|"&amp;_xlfn.MAXIFS($F$14:$F$1213,$A$14:$A$1213,$H126,$F$14:$F$1213,"&lt;"&amp;_xlfn.MAXIFS($F$14:$F$1213,$A$14:$A$1213,$H126)),$AB$14:$AB$1213,0)),""))</f>
        <v/>
      </c>
      <c r="AM126" s="27">
        <f>IF(OR($H126="",COUNTIFS($A$14:$A$1213,$H126,$F$14:$F$1213,"&gt;=0")&lt;2,COUNTIFS($A$14:$A$1213,$H126,$F$14:$F$1213,_xlfn.MAXIFS($F$14:$F$1213,$A$14:$A$1213,$H126))&gt;1),"",IFERROR(INDEX($E$14:$E$1213,MATCH($H126&amp;"|"&amp;_xlfn.MAXIFS($F$14:$F$1213,$A$14:$A$1213,$H126,$F$14:$F$1213,"&lt;"&amp;_xlfn.MAXIFS($F$14:$F$1213,$A$14:$A$1213,$H126)),$AB$14:$AB$1213,0)),""))</f>
        <v/>
      </c>
      <c r="AN126" s="27">
        <f>IF(OR(NOT(ISNUMBER($AJ126)),NOT(ISNUMBER($AL126)),$AK126=0,$AM126=0),"",IF(OR((($AJ126+$AL126)/($AK126+$AM126))&lt;=0,(($AJ126+$AL126)/($AK126+$AM126))&gt;=1),"",($AJ126/$AK126-$AL126/$AM126)/SQRT((($AJ126+$AL126)/($AK126+$AM126))*(1-(($AJ126+$AL126)/($AK126+$AM126)))*(1/$AK126+1/$AM126))))</f>
        <v/>
      </c>
      <c r="AO126" s="27">
        <f>IF($A126="","",IF(AND(COUNTIFS($A$14:$A$1213,$A126,$F$14:$F$1213,"&gt;=0")=2,IFERROR(INDEX($M$14:$M$313,MATCH($A126,$H$14:$H$313,0)),"Yes")&lt;&gt;"Yes"),1,0))</f>
        <v/>
      </c>
    </row>
    <row r="127" ht="24" customHeight="1">
      <c r="A127" s="19">
        <f>IF('Enter messages'!A127="","",'Enter messages'!A127)</f>
        <v/>
      </c>
      <c r="B127" s="20">
        <f>IF('Enter messages'!B127="","",'Enter messages'!B127)</f>
        <v/>
      </c>
      <c r="C127" s="21">
        <f>IFERROR(AVERAGE(P127:T127),"")</f>
        <v/>
      </c>
      <c r="D127" s="29" t="n"/>
      <c r="E127" s="29" t="n"/>
      <c r="F127" s="30">
        <f>IF(AND(ISNUMBER($D127),ISNUMBER($E127),$E127&gt;0,$D127&lt;=$E127),$D127/$E127,"")</f>
        <v/>
      </c>
      <c r="H127" s="19">
        <f>IFERROR(INDEX($A$14:$A$1213,MATCH(114,$AI$14:$AI$1213,0)),"")</f>
        <v/>
      </c>
      <c r="I127" s="24">
        <f>IF($H127="","",IF(COUNTIFS($A$14:$A$1213,$H127,$C$14:$C$1213,"&gt;=0")=0,"—",IFERROR(INDEX($B$14:$B$1213,MATCH($H127&amp;"|1",$Z$14:$Z$1213,0)),"(tied)")))</f>
        <v/>
      </c>
      <c r="J127" s="25">
        <f>IF($H127="","",IF(OR(COUNTIFS($A$14:$A$1213,$H127,$C$14:$C$1213,"&gt;=0")=0,COUNTIFS($A$14:$A$1213,$H127,$F$14:$F$1213,"&gt;=0")=0),"—",IF(OR(ISERROR(MATCH($H127&amp;"|1",$Z$14:$Z$1213,0)),ISERROR(MATCH($H127&amp;"|1",$AA$14:$AA$1213,0))),"Tie",IF(MATCH($H127&amp;"|1",$Z$14:$Z$1213,0)=MATCH($H127&amp;"|1",$AA$14:$AA$1213,0),"Hit","Miss"))))</f>
        <v/>
      </c>
      <c r="K127" s="24">
        <f>IF($H127="","",IF(COUNTIFS($A$14:$A$1213,$H127,$F$14:$F$1213,"&gt;=0")=0,"—",IFERROR(INDEX($B$14:$B$1213,MATCH($H127&amp;"|1",$AA$14:$AA$1213,0)),"(tied)")))</f>
        <v/>
      </c>
      <c r="L127" s="25">
        <f>IF($H127="","",IF((--(COUNTIFS($A$14:$A$1213,$H127,$P$14:$P$1213,"&gt;=0")&gt;0)+--(COUNTIFS($A$14:$A$1213,$H127,$Q$14:$Q$1213,"&gt;=0")&gt;0)+--(COUNTIFS($A$14:$A$1213,$H127,$R$14:$R$1213,"&gt;=0")&gt;0)+--(COUNTIFS($A$14:$A$1213,$H127,$S$14:$S$1213,"&gt;=0")&gt;0)+--(COUNTIFS($A$14:$A$1213,$H127,$T$14:$T$1213,"&gt;=0")&gt;0))&lt;2,"—",IF(SUMIFS($AH$14:$AH$1213,$A$14:$A$1213,$H127)=0,"Yes","No")))</f>
        <v/>
      </c>
      <c r="M127" s="25">
        <f>IF($H127="","",IF(COUNTIFS($A$14:$A$1213,$H127,$F$14:$F$1213,"&gt;=0")&lt;2,"—",IF(COUNTIFS($A$14:$A$1213,$H127,$F$14:$F$1213,_xlfn.MAXIFS($F$14:$F$1213,$A$14:$A$1213,$H127))&gt;1,"No",IF(NOT(ISNUMBER($AN127)),"—",IF((2*(1-NORMSDIST(ABS($AN127))))&lt;0.05,"Yes","No")))))</f>
        <v/>
      </c>
      <c r="N127" s="21">
        <f>IF($H127="","",IF(NOT(ISNUMBER($AN127)),"—",IF((2*(1-NORMSDIST(ABS($AN127))))&lt;0.001,"&lt;0.001",TEXT((2*(1-NORMSDIST(ABS($AN127)))),"0.000"))))</f>
        <v/>
      </c>
      <c r="P127" s="26" t="n"/>
      <c r="Q127" s="26" t="n"/>
      <c r="R127" s="26" t="n"/>
      <c r="S127" s="26" t="n"/>
      <c r="T127" s="26" t="n"/>
      <c r="V127" s="27">
        <f>IF(ISNUMBER($C127),COUNTIFS($A$14:$A$1213,$A127,$C$14:$C$1213,"&gt;"&amp;$C127)+(COUNTIFS($A$14:$A$1213,$A127,$C$14:$C$1213,"="&amp;$C127)+1)/2,"")</f>
        <v/>
      </c>
      <c r="W127" s="27">
        <f>IF(ISNUMBER($F127),COUNTIFS($A$14:$A$1213,$A127,$F$14:$F$1213,"&gt;"&amp;$F127)+(COUNTIFS($A$14:$A$1213,$A127,$F$14:$F$1213,"="&amp;$F127)+1)/2,"")</f>
        <v/>
      </c>
      <c r="X127" s="27">
        <f>IF(OR(NOT(ISNUMBER($V127)),$AO127=1),"",$V127-(COUNTIFS($A$14:$A$1213,$A127,$C$14:$C$1213,"&gt;=0")+1)/2)</f>
        <v/>
      </c>
      <c r="Y127" s="27">
        <f>IF(OR(NOT(ISNUMBER($W127)),$AO127=1),"",$W127-(COUNTIFS($A$14:$A$1213,$A127,$F$14:$F$1213,"&gt;=0")+1)/2)</f>
        <v/>
      </c>
      <c r="Z127" s="27">
        <f>IF(ISNUMBER($V127),$A127&amp;"|"&amp;$V127,"")</f>
        <v/>
      </c>
      <c r="AA127" s="27">
        <f>IF(ISNUMBER($W127),$A127&amp;"|"&amp;$W127,"")</f>
        <v/>
      </c>
      <c r="AB127" s="27">
        <f>IF(ISNUMBER($F127),$A127&amp;"|"&amp;$F127,"")</f>
        <v/>
      </c>
      <c r="AC127" s="27">
        <f>IF(ISNUMBER($P127),COUNTIFS($A$14:$A$1213,$A127,$P$14:$P$1213,"&gt;"&amp;$P127)+(COUNTIFS($A$14:$A$1213,$A127,$P$14:$P$1213,"="&amp;$P127)+1)/2,"")</f>
        <v/>
      </c>
      <c r="AD127" s="27">
        <f>IF(ISNUMBER($Q127),COUNTIFS($A$14:$A$1213,$A127,$Q$14:$Q$1213,"&gt;"&amp;$Q127)+(COUNTIFS($A$14:$A$1213,$A127,$Q$14:$Q$1213,"="&amp;$Q127)+1)/2,"")</f>
        <v/>
      </c>
      <c r="AE127" s="27">
        <f>IF(ISNUMBER($R127),COUNTIFS($A$14:$A$1213,$A127,$R$14:$R$1213,"&gt;"&amp;$R127)+(COUNTIFS($A$14:$A$1213,$A127,$R$14:$R$1213,"="&amp;$R127)+1)/2,"")</f>
        <v/>
      </c>
      <c r="AF127" s="27">
        <f>IF(ISNUMBER($S127),COUNTIFS($A$14:$A$1213,$A127,$S$14:$S$1213,"&gt;"&amp;$S127)+(COUNTIFS($A$14:$A$1213,$A127,$S$14:$S$1213,"="&amp;$S127)+1)/2,"")</f>
        <v/>
      </c>
      <c r="AG127" s="27">
        <f>IF(ISNUMBER($T127),COUNTIFS($A$14:$A$1213,$A127,$T$14:$T$1213,"&gt;"&amp;$T127)+(COUNTIFS($A$14:$A$1213,$A127,$T$14:$T$1213,"="&amp;$T127)+1)/2,"")</f>
        <v/>
      </c>
      <c r="AH127" s="27">
        <f>IF(COUNT($AC127:$AG127)&lt;2,"",IF(MAX($AC127:$AG127)=MIN($AC127:$AG127),0,1))</f>
        <v/>
      </c>
      <c r="AI127" s="27">
        <f>IF($A127="","",IF(COUNTIF($A$14:$A127,$A127)=1,COUNTIF($AI$13:AI126,"&gt;0")+1,""))</f>
        <v/>
      </c>
      <c r="AJ127" s="27">
        <f>IF(OR($H127="",COUNTIFS($A$14:$A$1213,$H127,$F$14:$F$1213,"&gt;=0")&lt;2,COUNTIFS($A$14:$A$1213,$H127,$F$14:$F$1213,_xlfn.MAXIFS($F$14:$F$1213,$A$14:$A$1213,$H127))&gt;1),"",IFERROR(INDEX($D$14:$D$1213,MATCH($H127&amp;"|"&amp;_xlfn.MAXIFS($F$14:$F$1213,$A$14:$A$1213,$H127),$AB$14:$AB$1213,0)),""))</f>
        <v/>
      </c>
      <c r="AK127" s="27">
        <f>IF(OR($H127="",COUNTIFS($A$14:$A$1213,$H127,$F$14:$F$1213,"&gt;=0")&lt;2,COUNTIFS($A$14:$A$1213,$H127,$F$14:$F$1213,_xlfn.MAXIFS($F$14:$F$1213,$A$14:$A$1213,$H127))&gt;1),"",IFERROR(INDEX($E$14:$E$1213,MATCH($H127&amp;"|"&amp;_xlfn.MAXIFS($F$14:$F$1213,$A$14:$A$1213,$H127),$AB$14:$AB$1213,0)),""))</f>
        <v/>
      </c>
      <c r="AL127" s="27">
        <f>IF(OR($H127="",COUNTIFS($A$14:$A$1213,$H127,$F$14:$F$1213,"&gt;=0")&lt;2,COUNTIFS($A$14:$A$1213,$H127,$F$14:$F$1213,_xlfn.MAXIFS($F$14:$F$1213,$A$14:$A$1213,$H127))&gt;1),"",IFERROR(INDEX($D$14:$D$1213,MATCH($H127&amp;"|"&amp;_xlfn.MAXIFS($F$14:$F$1213,$A$14:$A$1213,$H127,$F$14:$F$1213,"&lt;"&amp;_xlfn.MAXIFS($F$14:$F$1213,$A$14:$A$1213,$H127)),$AB$14:$AB$1213,0)),""))</f>
        <v/>
      </c>
      <c r="AM127" s="27">
        <f>IF(OR($H127="",COUNTIFS($A$14:$A$1213,$H127,$F$14:$F$1213,"&gt;=0")&lt;2,COUNTIFS($A$14:$A$1213,$H127,$F$14:$F$1213,_xlfn.MAXIFS($F$14:$F$1213,$A$14:$A$1213,$H127))&gt;1),"",IFERROR(INDEX($E$14:$E$1213,MATCH($H127&amp;"|"&amp;_xlfn.MAXIFS($F$14:$F$1213,$A$14:$A$1213,$H127,$F$14:$F$1213,"&lt;"&amp;_xlfn.MAXIFS($F$14:$F$1213,$A$14:$A$1213,$H127)),$AB$14:$AB$1213,0)),""))</f>
        <v/>
      </c>
      <c r="AN127" s="27">
        <f>IF(OR(NOT(ISNUMBER($AJ127)),NOT(ISNUMBER($AL127)),$AK127=0,$AM127=0),"",IF(OR((($AJ127+$AL127)/($AK127+$AM127))&lt;=0,(($AJ127+$AL127)/($AK127+$AM127))&gt;=1),"",($AJ127/$AK127-$AL127/$AM127)/SQRT((($AJ127+$AL127)/($AK127+$AM127))*(1-(($AJ127+$AL127)/($AK127+$AM127)))*(1/$AK127+1/$AM127))))</f>
        <v/>
      </c>
      <c r="AO127" s="27">
        <f>IF($A127="","",IF(AND(COUNTIFS($A$14:$A$1213,$A127,$F$14:$F$1213,"&gt;=0")=2,IFERROR(INDEX($M$14:$M$313,MATCH($A127,$H$14:$H$313,0)),"Yes")&lt;&gt;"Yes"),1,0))</f>
        <v/>
      </c>
    </row>
    <row r="128" ht="24" customHeight="1">
      <c r="A128" s="19">
        <f>IF('Enter messages'!A128="","",'Enter messages'!A128)</f>
        <v/>
      </c>
      <c r="B128" s="20">
        <f>IF('Enter messages'!B128="","",'Enter messages'!B128)</f>
        <v/>
      </c>
      <c r="C128" s="21">
        <f>IFERROR(AVERAGE(P128:T128),"")</f>
        <v/>
      </c>
      <c r="D128" s="29" t="n"/>
      <c r="E128" s="29" t="n"/>
      <c r="F128" s="30">
        <f>IF(AND(ISNUMBER($D128),ISNUMBER($E128),$E128&gt;0,$D128&lt;=$E128),$D128/$E128,"")</f>
        <v/>
      </c>
      <c r="H128" s="19">
        <f>IFERROR(INDEX($A$14:$A$1213,MATCH(115,$AI$14:$AI$1213,0)),"")</f>
        <v/>
      </c>
      <c r="I128" s="24">
        <f>IF($H128="","",IF(COUNTIFS($A$14:$A$1213,$H128,$C$14:$C$1213,"&gt;=0")=0,"—",IFERROR(INDEX($B$14:$B$1213,MATCH($H128&amp;"|1",$Z$14:$Z$1213,0)),"(tied)")))</f>
        <v/>
      </c>
      <c r="J128" s="25">
        <f>IF($H128="","",IF(OR(COUNTIFS($A$14:$A$1213,$H128,$C$14:$C$1213,"&gt;=0")=0,COUNTIFS($A$14:$A$1213,$H128,$F$14:$F$1213,"&gt;=0")=0),"—",IF(OR(ISERROR(MATCH($H128&amp;"|1",$Z$14:$Z$1213,0)),ISERROR(MATCH($H128&amp;"|1",$AA$14:$AA$1213,0))),"Tie",IF(MATCH($H128&amp;"|1",$Z$14:$Z$1213,0)=MATCH($H128&amp;"|1",$AA$14:$AA$1213,0),"Hit","Miss"))))</f>
        <v/>
      </c>
      <c r="K128" s="24">
        <f>IF($H128="","",IF(COUNTIFS($A$14:$A$1213,$H128,$F$14:$F$1213,"&gt;=0")=0,"—",IFERROR(INDEX($B$14:$B$1213,MATCH($H128&amp;"|1",$AA$14:$AA$1213,0)),"(tied)")))</f>
        <v/>
      </c>
      <c r="L128" s="25">
        <f>IF($H128="","",IF((--(COUNTIFS($A$14:$A$1213,$H128,$P$14:$P$1213,"&gt;=0")&gt;0)+--(COUNTIFS($A$14:$A$1213,$H128,$Q$14:$Q$1213,"&gt;=0")&gt;0)+--(COUNTIFS($A$14:$A$1213,$H128,$R$14:$R$1213,"&gt;=0")&gt;0)+--(COUNTIFS($A$14:$A$1213,$H128,$S$14:$S$1213,"&gt;=0")&gt;0)+--(COUNTIFS($A$14:$A$1213,$H128,$T$14:$T$1213,"&gt;=0")&gt;0))&lt;2,"—",IF(SUMIFS($AH$14:$AH$1213,$A$14:$A$1213,$H128)=0,"Yes","No")))</f>
        <v/>
      </c>
      <c r="M128" s="25">
        <f>IF($H128="","",IF(COUNTIFS($A$14:$A$1213,$H128,$F$14:$F$1213,"&gt;=0")&lt;2,"—",IF(COUNTIFS($A$14:$A$1213,$H128,$F$14:$F$1213,_xlfn.MAXIFS($F$14:$F$1213,$A$14:$A$1213,$H128))&gt;1,"No",IF(NOT(ISNUMBER($AN128)),"—",IF((2*(1-NORMSDIST(ABS($AN128))))&lt;0.05,"Yes","No")))))</f>
        <v/>
      </c>
      <c r="N128" s="21">
        <f>IF($H128="","",IF(NOT(ISNUMBER($AN128)),"—",IF((2*(1-NORMSDIST(ABS($AN128))))&lt;0.001,"&lt;0.001",TEXT((2*(1-NORMSDIST(ABS($AN128)))),"0.000"))))</f>
        <v/>
      </c>
      <c r="P128" s="26" t="n"/>
      <c r="Q128" s="26" t="n"/>
      <c r="R128" s="26" t="n"/>
      <c r="S128" s="26" t="n"/>
      <c r="T128" s="26" t="n"/>
      <c r="V128" s="27">
        <f>IF(ISNUMBER($C128),COUNTIFS($A$14:$A$1213,$A128,$C$14:$C$1213,"&gt;"&amp;$C128)+(COUNTIFS($A$14:$A$1213,$A128,$C$14:$C$1213,"="&amp;$C128)+1)/2,"")</f>
        <v/>
      </c>
      <c r="W128" s="27">
        <f>IF(ISNUMBER($F128),COUNTIFS($A$14:$A$1213,$A128,$F$14:$F$1213,"&gt;"&amp;$F128)+(COUNTIFS($A$14:$A$1213,$A128,$F$14:$F$1213,"="&amp;$F128)+1)/2,"")</f>
        <v/>
      </c>
      <c r="X128" s="27">
        <f>IF(OR(NOT(ISNUMBER($V128)),$AO128=1),"",$V128-(COUNTIFS($A$14:$A$1213,$A128,$C$14:$C$1213,"&gt;=0")+1)/2)</f>
        <v/>
      </c>
      <c r="Y128" s="27">
        <f>IF(OR(NOT(ISNUMBER($W128)),$AO128=1),"",$W128-(COUNTIFS($A$14:$A$1213,$A128,$F$14:$F$1213,"&gt;=0")+1)/2)</f>
        <v/>
      </c>
      <c r="Z128" s="27">
        <f>IF(ISNUMBER($V128),$A128&amp;"|"&amp;$V128,"")</f>
        <v/>
      </c>
      <c r="AA128" s="27">
        <f>IF(ISNUMBER($W128),$A128&amp;"|"&amp;$W128,"")</f>
        <v/>
      </c>
      <c r="AB128" s="27">
        <f>IF(ISNUMBER($F128),$A128&amp;"|"&amp;$F128,"")</f>
        <v/>
      </c>
      <c r="AC128" s="27">
        <f>IF(ISNUMBER($P128),COUNTIFS($A$14:$A$1213,$A128,$P$14:$P$1213,"&gt;"&amp;$P128)+(COUNTIFS($A$14:$A$1213,$A128,$P$14:$P$1213,"="&amp;$P128)+1)/2,"")</f>
        <v/>
      </c>
      <c r="AD128" s="27">
        <f>IF(ISNUMBER($Q128),COUNTIFS($A$14:$A$1213,$A128,$Q$14:$Q$1213,"&gt;"&amp;$Q128)+(COUNTIFS($A$14:$A$1213,$A128,$Q$14:$Q$1213,"="&amp;$Q128)+1)/2,"")</f>
        <v/>
      </c>
      <c r="AE128" s="27">
        <f>IF(ISNUMBER($R128),COUNTIFS($A$14:$A$1213,$A128,$R$14:$R$1213,"&gt;"&amp;$R128)+(COUNTIFS($A$14:$A$1213,$A128,$R$14:$R$1213,"="&amp;$R128)+1)/2,"")</f>
        <v/>
      </c>
      <c r="AF128" s="27">
        <f>IF(ISNUMBER($S128),COUNTIFS($A$14:$A$1213,$A128,$S$14:$S$1213,"&gt;"&amp;$S128)+(COUNTIFS($A$14:$A$1213,$A128,$S$14:$S$1213,"="&amp;$S128)+1)/2,"")</f>
        <v/>
      </c>
      <c r="AG128" s="27">
        <f>IF(ISNUMBER($T128),COUNTIFS($A$14:$A$1213,$A128,$T$14:$T$1213,"&gt;"&amp;$T128)+(COUNTIFS($A$14:$A$1213,$A128,$T$14:$T$1213,"="&amp;$T128)+1)/2,"")</f>
        <v/>
      </c>
      <c r="AH128" s="27">
        <f>IF(COUNT($AC128:$AG128)&lt;2,"",IF(MAX($AC128:$AG128)=MIN($AC128:$AG128),0,1))</f>
        <v/>
      </c>
      <c r="AI128" s="27">
        <f>IF($A128="","",IF(COUNTIF($A$14:$A128,$A128)=1,COUNTIF($AI$13:AI127,"&gt;0")+1,""))</f>
        <v/>
      </c>
      <c r="AJ128" s="27">
        <f>IF(OR($H128="",COUNTIFS($A$14:$A$1213,$H128,$F$14:$F$1213,"&gt;=0")&lt;2,COUNTIFS($A$14:$A$1213,$H128,$F$14:$F$1213,_xlfn.MAXIFS($F$14:$F$1213,$A$14:$A$1213,$H128))&gt;1),"",IFERROR(INDEX($D$14:$D$1213,MATCH($H128&amp;"|"&amp;_xlfn.MAXIFS($F$14:$F$1213,$A$14:$A$1213,$H128),$AB$14:$AB$1213,0)),""))</f>
        <v/>
      </c>
      <c r="AK128" s="27">
        <f>IF(OR($H128="",COUNTIFS($A$14:$A$1213,$H128,$F$14:$F$1213,"&gt;=0")&lt;2,COUNTIFS($A$14:$A$1213,$H128,$F$14:$F$1213,_xlfn.MAXIFS($F$14:$F$1213,$A$14:$A$1213,$H128))&gt;1),"",IFERROR(INDEX($E$14:$E$1213,MATCH($H128&amp;"|"&amp;_xlfn.MAXIFS($F$14:$F$1213,$A$14:$A$1213,$H128),$AB$14:$AB$1213,0)),""))</f>
        <v/>
      </c>
      <c r="AL128" s="27">
        <f>IF(OR($H128="",COUNTIFS($A$14:$A$1213,$H128,$F$14:$F$1213,"&gt;=0")&lt;2,COUNTIFS($A$14:$A$1213,$H128,$F$14:$F$1213,_xlfn.MAXIFS($F$14:$F$1213,$A$14:$A$1213,$H128))&gt;1),"",IFERROR(INDEX($D$14:$D$1213,MATCH($H128&amp;"|"&amp;_xlfn.MAXIFS($F$14:$F$1213,$A$14:$A$1213,$H128,$F$14:$F$1213,"&lt;"&amp;_xlfn.MAXIFS($F$14:$F$1213,$A$14:$A$1213,$H128)),$AB$14:$AB$1213,0)),""))</f>
        <v/>
      </c>
      <c r="AM128" s="27">
        <f>IF(OR($H128="",COUNTIFS($A$14:$A$1213,$H128,$F$14:$F$1213,"&gt;=0")&lt;2,COUNTIFS($A$14:$A$1213,$H128,$F$14:$F$1213,_xlfn.MAXIFS($F$14:$F$1213,$A$14:$A$1213,$H128))&gt;1),"",IFERROR(INDEX($E$14:$E$1213,MATCH($H128&amp;"|"&amp;_xlfn.MAXIFS($F$14:$F$1213,$A$14:$A$1213,$H128,$F$14:$F$1213,"&lt;"&amp;_xlfn.MAXIFS($F$14:$F$1213,$A$14:$A$1213,$H128)),$AB$14:$AB$1213,0)),""))</f>
        <v/>
      </c>
      <c r="AN128" s="27">
        <f>IF(OR(NOT(ISNUMBER($AJ128)),NOT(ISNUMBER($AL128)),$AK128=0,$AM128=0),"",IF(OR((($AJ128+$AL128)/($AK128+$AM128))&lt;=0,(($AJ128+$AL128)/($AK128+$AM128))&gt;=1),"",($AJ128/$AK128-$AL128/$AM128)/SQRT((($AJ128+$AL128)/($AK128+$AM128))*(1-(($AJ128+$AL128)/($AK128+$AM128)))*(1/$AK128+1/$AM128))))</f>
        <v/>
      </c>
      <c r="AO128" s="27">
        <f>IF($A128="","",IF(AND(COUNTIFS($A$14:$A$1213,$A128,$F$14:$F$1213,"&gt;=0")=2,IFERROR(INDEX($M$14:$M$313,MATCH($A128,$H$14:$H$313,0)),"Yes")&lt;&gt;"Yes"),1,0))</f>
        <v/>
      </c>
    </row>
    <row r="129" ht="24" customHeight="1">
      <c r="A129" s="19">
        <f>IF('Enter messages'!A129="","",'Enter messages'!A129)</f>
        <v/>
      </c>
      <c r="B129" s="20">
        <f>IF('Enter messages'!B129="","",'Enter messages'!B129)</f>
        <v/>
      </c>
      <c r="C129" s="21">
        <f>IFERROR(AVERAGE(P129:T129),"")</f>
        <v/>
      </c>
      <c r="D129" s="29" t="n"/>
      <c r="E129" s="29" t="n"/>
      <c r="F129" s="30">
        <f>IF(AND(ISNUMBER($D129),ISNUMBER($E129),$E129&gt;0,$D129&lt;=$E129),$D129/$E129,"")</f>
        <v/>
      </c>
      <c r="H129" s="19">
        <f>IFERROR(INDEX($A$14:$A$1213,MATCH(116,$AI$14:$AI$1213,0)),"")</f>
        <v/>
      </c>
      <c r="I129" s="24">
        <f>IF($H129="","",IF(COUNTIFS($A$14:$A$1213,$H129,$C$14:$C$1213,"&gt;=0")=0,"—",IFERROR(INDEX($B$14:$B$1213,MATCH($H129&amp;"|1",$Z$14:$Z$1213,0)),"(tied)")))</f>
        <v/>
      </c>
      <c r="J129" s="25">
        <f>IF($H129="","",IF(OR(COUNTIFS($A$14:$A$1213,$H129,$C$14:$C$1213,"&gt;=0")=0,COUNTIFS($A$14:$A$1213,$H129,$F$14:$F$1213,"&gt;=0")=0),"—",IF(OR(ISERROR(MATCH($H129&amp;"|1",$Z$14:$Z$1213,0)),ISERROR(MATCH($H129&amp;"|1",$AA$14:$AA$1213,0))),"Tie",IF(MATCH($H129&amp;"|1",$Z$14:$Z$1213,0)=MATCH($H129&amp;"|1",$AA$14:$AA$1213,0),"Hit","Miss"))))</f>
        <v/>
      </c>
      <c r="K129" s="24">
        <f>IF($H129="","",IF(COUNTIFS($A$14:$A$1213,$H129,$F$14:$F$1213,"&gt;=0")=0,"—",IFERROR(INDEX($B$14:$B$1213,MATCH($H129&amp;"|1",$AA$14:$AA$1213,0)),"(tied)")))</f>
        <v/>
      </c>
      <c r="L129" s="25">
        <f>IF($H129="","",IF((--(COUNTIFS($A$14:$A$1213,$H129,$P$14:$P$1213,"&gt;=0")&gt;0)+--(COUNTIFS($A$14:$A$1213,$H129,$Q$14:$Q$1213,"&gt;=0")&gt;0)+--(COUNTIFS($A$14:$A$1213,$H129,$R$14:$R$1213,"&gt;=0")&gt;0)+--(COUNTIFS($A$14:$A$1213,$H129,$S$14:$S$1213,"&gt;=0")&gt;0)+--(COUNTIFS($A$14:$A$1213,$H129,$T$14:$T$1213,"&gt;=0")&gt;0))&lt;2,"—",IF(SUMIFS($AH$14:$AH$1213,$A$14:$A$1213,$H129)=0,"Yes","No")))</f>
        <v/>
      </c>
      <c r="M129" s="25">
        <f>IF($H129="","",IF(COUNTIFS($A$14:$A$1213,$H129,$F$14:$F$1213,"&gt;=0")&lt;2,"—",IF(COUNTIFS($A$14:$A$1213,$H129,$F$14:$F$1213,_xlfn.MAXIFS($F$14:$F$1213,$A$14:$A$1213,$H129))&gt;1,"No",IF(NOT(ISNUMBER($AN129)),"—",IF((2*(1-NORMSDIST(ABS($AN129))))&lt;0.05,"Yes","No")))))</f>
        <v/>
      </c>
      <c r="N129" s="21">
        <f>IF($H129="","",IF(NOT(ISNUMBER($AN129)),"—",IF((2*(1-NORMSDIST(ABS($AN129))))&lt;0.001,"&lt;0.001",TEXT((2*(1-NORMSDIST(ABS($AN129)))),"0.000"))))</f>
        <v/>
      </c>
      <c r="P129" s="26" t="n"/>
      <c r="Q129" s="26" t="n"/>
      <c r="R129" s="26" t="n"/>
      <c r="S129" s="26" t="n"/>
      <c r="T129" s="26" t="n"/>
      <c r="V129" s="27">
        <f>IF(ISNUMBER($C129),COUNTIFS($A$14:$A$1213,$A129,$C$14:$C$1213,"&gt;"&amp;$C129)+(COUNTIFS($A$14:$A$1213,$A129,$C$14:$C$1213,"="&amp;$C129)+1)/2,"")</f>
        <v/>
      </c>
      <c r="W129" s="27">
        <f>IF(ISNUMBER($F129),COUNTIFS($A$14:$A$1213,$A129,$F$14:$F$1213,"&gt;"&amp;$F129)+(COUNTIFS($A$14:$A$1213,$A129,$F$14:$F$1213,"="&amp;$F129)+1)/2,"")</f>
        <v/>
      </c>
      <c r="X129" s="27">
        <f>IF(OR(NOT(ISNUMBER($V129)),$AO129=1),"",$V129-(COUNTIFS($A$14:$A$1213,$A129,$C$14:$C$1213,"&gt;=0")+1)/2)</f>
        <v/>
      </c>
      <c r="Y129" s="27">
        <f>IF(OR(NOT(ISNUMBER($W129)),$AO129=1),"",$W129-(COUNTIFS($A$14:$A$1213,$A129,$F$14:$F$1213,"&gt;=0")+1)/2)</f>
        <v/>
      </c>
      <c r="Z129" s="27">
        <f>IF(ISNUMBER($V129),$A129&amp;"|"&amp;$V129,"")</f>
        <v/>
      </c>
      <c r="AA129" s="27">
        <f>IF(ISNUMBER($W129),$A129&amp;"|"&amp;$W129,"")</f>
        <v/>
      </c>
      <c r="AB129" s="27">
        <f>IF(ISNUMBER($F129),$A129&amp;"|"&amp;$F129,"")</f>
        <v/>
      </c>
      <c r="AC129" s="27">
        <f>IF(ISNUMBER($P129),COUNTIFS($A$14:$A$1213,$A129,$P$14:$P$1213,"&gt;"&amp;$P129)+(COUNTIFS($A$14:$A$1213,$A129,$P$14:$P$1213,"="&amp;$P129)+1)/2,"")</f>
        <v/>
      </c>
      <c r="AD129" s="27">
        <f>IF(ISNUMBER($Q129),COUNTIFS($A$14:$A$1213,$A129,$Q$14:$Q$1213,"&gt;"&amp;$Q129)+(COUNTIFS($A$14:$A$1213,$A129,$Q$14:$Q$1213,"="&amp;$Q129)+1)/2,"")</f>
        <v/>
      </c>
      <c r="AE129" s="27">
        <f>IF(ISNUMBER($R129),COUNTIFS($A$14:$A$1213,$A129,$R$14:$R$1213,"&gt;"&amp;$R129)+(COUNTIFS($A$14:$A$1213,$A129,$R$14:$R$1213,"="&amp;$R129)+1)/2,"")</f>
        <v/>
      </c>
      <c r="AF129" s="27">
        <f>IF(ISNUMBER($S129),COUNTIFS($A$14:$A$1213,$A129,$S$14:$S$1213,"&gt;"&amp;$S129)+(COUNTIFS($A$14:$A$1213,$A129,$S$14:$S$1213,"="&amp;$S129)+1)/2,"")</f>
        <v/>
      </c>
      <c r="AG129" s="27">
        <f>IF(ISNUMBER($T129),COUNTIFS($A$14:$A$1213,$A129,$T$14:$T$1213,"&gt;"&amp;$T129)+(COUNTIFS($A$14:$A$1213,$A129,$T$14:$T$1213,"="&amp;$T129)+1)/2,"")</f>
        <v/>
      </c>
      <c r="AH129" s="27">
        <f>IF(COUNT($AC129:$AG129)&lt;2,"",IF(MAX($AC129:$AG129)=MIN($AC129:$AG129),0,1))</f>
        <v/>
      </c>
      <c r="AI129" s="27">
        <f>IF($A129="","",IF(COUNTIF($A$14:$A129,$A129)=1,COUNTIF($AI$13:AI128,"&gt;0")+1,""))</f>
        <v/>
      </c>
      <c r="AJ129" s="27">
        <f>IF(OR($H129="",COUNTIFS($A$14:$A$1213,$H129,$F$14:$F$1213,"&gt;=0")&lt;2,COUNTIFS($A$14:$A$1213,$H129,$F$14:$F$1213,_xlfn.MAXIFS($F$14:$F$1213,$A$14:$A$1213,$H129))&gt;1),"",IFERROR(INDEX($D$14:$D$1213,MATCH($H129&amp;"|"&amp;_xlfn.MAXIFS($F$14:$F$1213,$A$14:$A$1213,$H129),$AB$14:$AB$1213,0)),""))</f>
        <v/>
      </c>
      <c r="AK129" s="27">
        <f>IF(OR($H129="",COUNTIFS($A$14:$A$1213,$H129,$F$14:$F$1213,"&gt;=0")&lt;2,COUNTIFS($A$14:$A$1213,$H129,$F$14:$F$1213,_xlfn.MAXIFS($F$14:$F$1213,$A$14:$A$1213,$H129))&gt;1),"",IFERROR(INDEX($E$14:$E$1213,MATCH($H129&amp;"|"&amp;_xlfn.MAXIFS($F$14:$F$1213,$A$14:$A$1213,$H129),$AB$14:$AB$1213,0)),""))</f>
        <v/>
      </c>
      <c r="AL129" s="27">
        <f>IF(OR($H129="",COUNTIFS($A$14:$A$1213,$H129,$F$14:$F$1213,"&gt;=0")&lt;2,COUNTIFS($A$14:$A$1213,$H129,$F$14:$F$1213,_xlfn.MAXIFS($F$14:$F$1213,$A$14:$A$1213,$H129))&gt;1),"",IFERROR(INDEX($D$14:$D$1213,MATCH($H129&amp;"|"&amp;_xlfn.MAXIFS($F$14:$F$1213,$A$14:$A$1213,$H129,$F$14:$F$1213,"&lt;"&amp;_xlfn.MAXIFS($F$14:$F$1213,$A$14:$A$1213,$H129)),$AB$14:$AB$1213,0)),""))</f>
        <v/>
      </c>
      <c r="AM129" s="27">
        <f>IF(OR($H129="",COUNTIFS($A$14:$A$1213,$H129,$F$14:$F$1213,"&gt;=0")&lt;2,COUNTIFS($A$14:$A$1213,$H129,$F$14:$F$1213,_xlfn.MAXIFS($F$14:$F$1213,$A$14:$A$1213,$H129))&gt;1),"",IFERROR(INDEX($E$14:$E$1213,MATCH($H129&amp;"|"&amp;_xlfn.MAXIFS($F$14:$F$1213,$A$14:$A$1213,$H129,$F$14:$F$1213,"&lt;"&amp;_xlfn.MAXIFS($F$14:$F$1213,$A$14:$A$1213,$H129)),$AB$14:$AB$1213,0)),""))</f>
        <v/>
      </c>
      <c r="AN129" s="27">
        <f>IF(OR(NOT(ISNUMBER($AJ129)),NOT(ISNUMBER($AL129)),$AK129=0,$AM129=0),"",IF(OR((($AJ129+$AL129)/($AK129+$AM129))&lt;=0,(($AJ129+$AL129)/($AK129+$AM129))&gt;=1),"",($AJ129/$AK129-$AL129/$AM129)/SQRT((($AJ129+$AL129)/($AK129+$AM129))*(1-(($AJ129+$AL129)/($AK129+$AM129)))*(1/$AK129+1/$AM129))))</f>
        <v/>
      </c>
      <c r="AO129" s="27">
        <f>IF($A129="","",IF(AND(COUNTIFS($A$14:$A$1213,$A129,$F$14:$F$1213,"&gt;=0")=2,IFERROR(INDEX($M$14:$M$313,MATCH($A129,$H$14:$H$313,0)),"Yes")&lt;&gt;"Yes"),1,0))</f>
        <v/>
      </c>
    </row>
    <row r="130" ht="24" customHeight="1">
      <c r="A130" s="19">
        <f>IF('Enter messages'!A130="","",'Enter messages'!A130)</f>
        <v/>
      </c>
      <c r="B130" s="20">
        <f>IF('Enter messages'!B130="","",'Enter messages'!B130)</f>
        <v/>
      </c>
      <c r="C130" s="21">
        <f>IFERROR(AVERAGE(P130:T130),"")</f>
        <v/>
      </c>
      <c r="D130" s="29" t="n"/>
      <c r="E130" s="29" t="n"/>
      <c r="F130" s="30">
        <f>IF(AND(ISNUMBER($D130),ISNUMBER($E130),$E130&gt;0,$D130&lt;=$E130),$D130/$E130,"")</f>
        <v/>
      </c>
      <c r="H130" s="19">
        <f>IFERROR(INDEX($A$14:$A$1213,MATCH(117,$AI$14:$AI$1213,0)),"")</f>
        <v/>
      </c>
      <c r="I130" s="24">
        <f>IF($H130="","",IF(COUNTIFS($A$14:$A$1213,$H130,$C$14:$C$1213,"&gt;=0")=0,"—",IFERROR(INDEX($B$14:$B$1213,MATCH($H130&amp;"|1",$Z$14:$Z$1213,0)),"(tied)")))</f>
        <v/>
      </c>
      <c r="J130" s="25">
        <f>IF($H130="","",IF(OR(COUNTIFS($A$14:$A$1213,$H130,$C$14:$C$1213,"&gt;=0")=0,COUNTIFS($A$14:$A$1213,$H130,$F$14:$F$1213,"&gt;=0")=0),"—",IF(OR(ISERROR(MATCH($H130&amp;"|1",$Z$14:$Z$1213,0)),ISERROR(MATCH($H130&amp;"|1",$AA$14:$AA$1213,0))),"Tie",IF(MATCH($H130&amp;"|1",$Z$14:$Z$1213,0)=MATCH($H130&amp;"|1",$AA$14:$AA$1213,0),"Hit","Miss"))))</f>
        <v/>
      </c>
      <c r="K130" s="24">
        <f>IF($H130="","",IF(COUNTIFS($A$14:$A$1213,$H130,$F$14:$F$1213,"&gt;=0")=0,"—",IFERROR(INDEX($B$14:$B$1213,MATCH($H130&amp;"|1",$AA$14:$AA$1213,0)),"(tied)")))</f>
        <v/>
      </c>
      <c r="L130" s="25">
        <f>IF($H130="","",IF((--(COUNTIFS($A$14:$A$1213,$H130,$P$14:$P$1213,"&gt;=0")&gt;0)+--(COUNTIFS($A$14:$A$1213,$H130,$Q$14:$Q$1213,"&gt;=0")&gt;0)+--(COUNTIFS($A$14:$A$1213,$H130,$R$14:$R$1213,"&gt;=0")&gt;0)+--(COUNTIFS($A$14:$A$1213,$H130,$S$14:$S$1213,"&gt;=0")&gt;0)+--(COUNTIFS($A$14:$A$1213,$H130,$T$14:$T$1213,"&gt;=0")&gt;0))&lt;2,"—",IF(SUMIFS($AH$14:$AH$1213,$A$14:$A$1213,$H130)=0,"Yes","No")))</f>
        <v/>
      </c>
      <c r="M130" s="25">
        <f>IF($H130="","",IF(COUNTIFS($A$14:$A$1213,$H130,$F$14:$F$1213,"&gt;=0")&lt;2,"—",IF(COUNTIFS($A$14:$A$1213,$H130,$F$14:$F$1213,_xlfn.MAXIFS($F$14:$F$1213,$A$14:$A$1213,$H130))&gt;1,"No",IF(NOT(ISNUMBER($AN130)),"—",IF((2*(1-NORMSDIST(ABS($AN130))))&lt;0.05,"Yes","No")))))</f>
        <v/>
      </c>
      <c r="N130" s="21">
        <f>IF($H130="","",IF(NOT(ISNUMBER($AN130)),"—",IF((2*(1-NORMSDIST(ABS($AN130))))&lt;0.001,"&lt;0.001",TEXT((2*(1-NORMSDIST(ABS($AN130)))),"0.000"))))</f>
        <v/>
      </c>
      <c r="P130" s="26" t="n"/>
      <c r="Q130" s="26" t="n"/>
      <c r="R130" s="26" t="n"/>
      <c r="S130" s="26" t="n"/>
      <c r="T130" s="26" t="n"/>
      <c r="V130" s="27">
        <f>IF(ISNUMBER($C130),COUNTIFS($A$14:$A$1213,$A130,$C$14:$C$1213,"&gt;"&amp;$C130)+(COUNTIFS($A$14:$A$1213,$A130,$C$14:$C$1213,"="&amp;$C130)+1)/2,"")</f>
        <v/>
      </c>
      <c r="W130" s="27">
        <f>IF(ISNUMBER($F130),COUNTIFS($A$14:$A$1213,$A130,$F$14:$F$1213,"&gt;"&amp;$F130)+(COUNTIFS($A$14:$A$1213,$A130,$F$14:$F$1213,"="&amp;$F130)+1)/2,"")</f>
        <v/>
      </c>
      <c r="X130" s="27">
        <f>IF(OR(NOT(ISNUMBER($V130)),$AO130=1),"",$V130-(COUNTIFS($A$14:$A$1213,$A130,$C$14:$C$1213,"&gt;=0")+1)/2)</f>
        <v/>
      </c>
      <c r="Y130" s="27">
        <f>IF(OR(NOT(ISNUMBER($W130)),$AO130=1),"",$W130-(COUNTIFS($A$14:$A$1213,$A130,$F$14:$F$1213,"&gt;=0")+1)/2)</f>
        <v/>
      </c>
      <c r="Z130" s="27">
        <f>IF(ISNUMBER($V130),$A130&amp;"|"&amp;$V130,"")</f>
        <v/>
      </c>
      <c r="AA130" s="27">
        <f>IF(ISNUMBER($W130),$A130&amp;"|"&amp;$W130,"")</f>
        <v/>
      </c>
      <c r="AB130" s="27">
        <f>IF(ISNUMBER($F130),$A130&amp;"|"&amp;$F130,"")</f>
        <v/>
      </c>
      <c r="AC130" s="27">
        <f>IF(ISNUMBER($P130),COUNTIFS($A$14:$A$1213,$A130,$P$14:$P$1213,"&gt;"&amp;$P130)+(COUNTIFS($A$14:$A$1213,$A130,$P$14:$P$1213,"="&amp;$P130)+1)/2,"")</f>
        <v/>
      </c>
      <c r="AD130" s="27">
        <f>IF(ISNUMBER($Q130),COUNTIFS($A$14:$A$1213,$A130,$Q$14:$Q$1213,"&gt;"&amp;$Q130)+(COUNTIFS($A$14:$A$1213,$A130,$Q$14:$Q$1213,"="&amp;$Q130)+1)/2,"")</f>
        <v/>
      </c>
      <c r="AE130" s="27">
        <f>IF(ISNUMBER($R130),COUNTIFS($A$14:$A$1213,$A130,$R$14:$R$1213,"&gt;"&amp;$R130)+(COUNTIFS($A$14:$A$1213,$A130,$R$14:$R$1213,"="&amp;$R130)+1)/2,"")</f>
        <v/>
      </c>
      <c r="AF130" s="27">
        <f>IF(ISNUMBER($S130),COUNTIFS($A$14:$A$1213,$A130,$S$14:$S$1213,"&gt;"&amp;$S130)+(COUNTIFS($A$14:$A$1213,$A130,$S$14:$S$1213,"="&amp;$S130)+1)/2,"")</f>
        <v/>
      </c>
      <c r="AG130" s="27">
        <f>IF(ISNUMBER($T130),COUNTIFS($A$14:$A$1213,$A130,$T$14:$T$1213,"&gt;"&amp;$T130)+(COUNTIFS($A$14:$A$1213,$A130,$T$14:$T$1213,"="&amp;$T130)+1)/2,"")</f>
        <v/>
      </c>
      <c r="AH130" s="27">
        <f>IF(COUNT($AC130:$AG130)&lt;2,"",IF(MAX($AC130:$AG130)=MIN($AC130:$AG130),0,1))</f>
        <v/>
      </c>
      <c r="AI130" s="27">
        <f>IF($A130="","",IF(COUNTIF($A$14:$A130,$A130)=1,COUNTIF($AI$13:AI129,"&gt;0")+1,""))</f>
        <v/>
      </c>
      <c r="AJ130" s="27">
        <f>IF(OR($H130="",COUNTIFS($A$14:$A$1213,$H130,$F$14:$F$1213,"&gt;=0")&lt;2,COUNTIFS($A$14:$A$1213,$H130,$F$14:$F$1213,_xlfn.MAXIFS($F$14:$F$1213,$A$14:$A$1213,$H130))&gt;1),"",IFERROR(INDEX($D$14:$D$1213,MATCH($H130&amp;"|"&amp;_xlfn.MAXIFS($F$14:$F$1213,$A$14:$A$1213,$H130),$AB$14:$AB$1213,0)),""))</f>
        <v/>
      </c>
      <c r="AK130" s="27">
        <f>IF(OR($H130="",COUNTIFS($A$14:$A$1213,$H130,$F$14:$F$1213,"&gt;=0")&lt;2,COUNTIFS($A$14:$A$1213,$H130,$F$14:$F$1213,_xlfn.MAXIFS($F$14:$F$1213,$A$14:$A$1213,$H130))&gt;1),"",IFERROR(INDEX($E$14:$E$1213,MATCH($H130&amp;"|"&amp;_xlfn.MAXIFS($F$14:$F$1213,$A$14:$A$1213,$H130),$AB$14:$AB$1213,0)),""))</f>
        <v/>
      </c>
      <c r="AL130" s="27">
        <f>IF(OR($H130="",COUNTIFS($A$14:$A$1213,$H130,$F$14:$F$1213,"&gt;=0")&lt;2,COUNTIFS($A$14:$A$1213,$H130,$F$14:$F$1213,_xlfn.MAXIFS($F$14:$F$1213,$A$14:$A$1213,$H130))&gt;1),"",IFERROR(INDEX($D$14:$D$1213,MATCH($H130&amp;"|"&amp;_xlfn.MAXIFS($F$14:$F$1213,$A$14:$A$1213,$H130,$F$14:$F$1213,"&lt;"&amp;_xlfn.MAXIFS($F$14:$F$1213,$A$14:$A$1213,$H130)),$AB$14:$AB$1213,0)),""))</f>
        <v/>
      </c>
      <c r="AM130" s="27">
        <f>IF(OR($H130="",COUNTIFS($A$14:$A$1213,$H130,$F$14:$F$1213,"&gt;=0")&lt;2,COUNTIFS($A$14:$A$1213,$H130,$F$14:$F$1213,_xlfn.MAXIFS($F$14:$F$1213,$A$14:$A$1213,$H130))&gt;1),"",IFERROR(INDEX($E$14:$E$1213,MATCH($H130&amp;"|"&amp;_xlfn.MAXIFS($F$14:$F$1213,$A$14:$A$1213,$H130,$F$14:$F$1213,"&lt;"&amp;_xlfn.MAXIFS($F$14:$F$1213,$A$14:$A$1213,$H130)),$AB$14:$AB$1213,0)),""))</f>
        <v/>
      </c>
      <c r="AN130" s="27">
        <f>IF(OR(NOT(ISNUMBER($AJ130)),NOT(ISNUMBER($AL130)),$AK130=0,$AM130=0),"",IF(OR((($AJ130+$AL130)/($AK130+$AM130))&lt;=0,(($AJ130+$AL130)/($AK130+$AM130))&gt;=1),"",($AJ130/$AK130-$AL130/$AM130)/SQRT((($AJ130+$AL130)/($AK130+$AM130))*(1-(($AJ130+$AL130)/($AK130+$AM130)))*(1/$AK130+1/$AM130))))</f>
        <v/>
      </c>
      <c r="AO130" s="27">
        <f>IF($A130="","",IF(AND(COUNTIFS($A$14:$A$1213,$A130,$F$14:$F$1213,"&gt;=0")=2,IFERROR(INDEX($M$14:$M$313,MATCH($A130,$H$14:$H$313,0)),"Yes")&lt;&gt;"Yes"),1,0))</f>
        <v/>
      </c>
    </row>
    <row r="131" ht="24" customHeight="1">
      <c r="A131" s="19">
        <f>IF('Enter messages'!A131="","",'Enter messages'!A131)</f>
        <v/>
      </c>
      <c r="B131" s="20">
        <f>IF('Enter messages'!B131="","",'Enter messages'!B131)</f>
        <v/>
      </c>
      <c r="C131" s="21">
        <f>IFERROR(AVERAGE(P131:T131),"")</f>
        <v/>
      </c>
      <c r="D131" s="29" t="n"/>
      <c r="E131" s="29" t="n"/>
      <c r="F131" s="30">
        <f>IF(AND(ISNUMBER($D131),ISNUMBER($E131),$E131&gt;0,$D131&lt;=$E131),$D131/$E131,"")</f>
        <v/>
      </c>
      <c r="H131" s="19">
        <f>IFERROR(INDEX($A$14:$A$1213,MATCH(118,$AI$14:$AI$1213,0)),"")</f>
        <v/>
      </c>
      <c r="I131" s="24">
        <f>IF($H131="","",IF(COUNTIFS($A$14:$A$1213,$H131,$C$14:$C$1213,"&gt;=0")=0,"—",IFERROR(INDEX($B$14:$B$1213,MATCH($H131&amp;"|1",$Z$14:$Z$1213,0)),"(tied)")))</f>
        <v/>
      </c>
      <c r="J131" s="25">
        <f>IF($H131="","",IF(OR(COUNTIFS($A$14:$A$1213,$H131,$C$14:$C$1213,"&gt;=0")=0,COUNTIFS($A$14:$A$1213,$H131,$F$14:$F$1213,"&gt;=0")=0),"—",IF(OR(ISERROR(MATCH($H131&amp;"|1",$Z$14:$Z$1213,0)),ISERROR(MATCH($H131&amp;"|1",$AA$14:$AA$1213,0))),"Tie",IF(MATCH($H131&amp;"|1",$Z$14:$Z$1213,0)=MATCH($H131&amp;"|1",$AA$14:$AA$1213,0),"Hit","Miss"))))</f>
        <v/>
      </c>
      <c r="K131" s="24">
        <f>IF($H131="","",IF(COUNTIFS($A$14:$A$1213,$H131,$F$14:$F$1213,"&gt;=0")=0,"—",IFERROR(INDEX($B$14:$B$1213,MATCH($H131&amp;"|1",$AA$14:$AA$1213,0)),"(tied)")))</f>
        <v/>
      </c>
      <c r="L131" s="25">
        <f>IF($H131="","",IF((--(COUNTIFS($A$14:$A$1213,$H131,$P$14:$P$1213,"&gt;=0")&gt;0)+--(COUNTIFS($A$14:$A$1213,$H131,$Q$14:$Q$1213,"&gt;=0")&gt;0)+--(COUNTIFS($A$14:$A$1213,$H131,$R$14:$R$1213,"&gt;=0")&gt;0)+--(COUNTIFS($A$14:$A$1213,$H131,$S$14:$S$1213,"&gt;=0")&gt;0)+--(COUNTIFS($A$14:$A$1213,$H131,$T$14:$T$1213,"&gt;=0")&gt;0))&lt;2,"—",IF(SUMIFS($AH$14:$AH$1213,$A$14:$A$1213,$H131)=0,"Yes","No")))</f>
        <v/>
      </c>
      <c r="M131" s="25">
        <f>IF($H131="","",IF(COUNTIFS($A$14:$A$1213,$H131,$F$14:$F$1213,"&gt;=0")&lt;2,"—",IF(COUNTIFS($A$14:$A$1213,$H131,$F$14:$F$1213,_xlfn.MAXIFS($F$14:$F$1213,$A$14:$A$1213,$H131))&gt;1,"No",IF(NOT(ISNUMBER($AN131)),"—",IF((2*(1-NORMSDIST(ABS($AN131))))&lt;0.05,"Yes","No")))))</f>
        <v/>
      </c>
      <c r="N131" s="21">
        <f>IF($H131="","",IF(NOT(ISNUMBER($AN131)),"—",IF((2*(1-NORMSDIST(ABS($AN131))))&lt;0.001,"&lt;0.001",TEXT((2*(1-NORMSDIST(ABS($AN131)))),"0.000"))))</f>
        <v/>
      </c>
      <c r="P131" s="26" t="n"/>
      <c r="Q131" s="26" t="n"/>
      <c r="R131" s="26" t="n"/>
      <c r="S131" s="26" t="n"/>
      <c r="T131" s="26" t="n"/>
      <c r="V131" s="27">
        <f>IF(ISNUMBER($C131),COUNTIFS($A$14:$A$1213,$A131,$C$14:$C$1213,"&gt;"&amp;$C131)+(COUNTIFS($A$14:$A$1213,$A131,$C$14:$C$1213,"="&amp;$C131)+1)/2,"")</f>
        <v/>
      </c>
      <c r="W131" s="27">
        <f>IF(ISNUMBER($F131),COUNTIFS($A$14:$A$1213,$A131,$F$14:$F$1213,"&gt;"&amp;$F131)+(COUNTIFS($A$14:$A$1213,$A131,$F$14:$F$1213,"="&amp;$F131)+1)/2,"")</f>
        <v/>
      </c>
      <c r="X131" s="27">
        <f>IF(OR(NOT(ISNUMBER($V131)),$AO131=1),"",$V131-(COUNTIFS($A$14:$A$1213,$A131,$C$14:$C$1213,"&gt;=0")+1)/2)</f>
        <v/>
      </c>
      <c r="Y131" s="27">
        <f>IF(OR(NOT(ISNUMBER($W131)),$AO131=1),"",$W131-(COUNTIFS($A$14:$A$1213,$A131,$F$14:$F$1213,"&gt;=0")+1)/2)</f>
        <v/>
      </c>
      <c r="Z131" s="27">
        <f>IF(ISNUMBER($V131),$A131&amp;"|"&amp;$V131,"")</f>
        <v/>
      </c>
      <c r="AA131" s="27">
        <f>IF(ISNUMBER($W131),$A131&amp;"|"&amp;$W131,"")</f>
        <v/>
      </c>
      <c r="AB131" s="27">
        <f>IF(ISNUMBER($F131),$A131&amp;"|"&amp;$F131,"")</f>
        <v/>
      </c>
      <c r="AC131" s="27">
        <f>IF(ISNUMBER($P131),COUNTIFS($A$14:$A$1213,$A131,$P$14:$P$1213,"&gt;"&amp;$P131)+(COUNTIFS($A$14:$A$1213,$A131,$P$14:$P$1213,"="&amp;$P131)+1)/2,"")</f>
        <v/>
      </c>
      <c r="AD131" s="27">
        <f>IF(ISNUMBER($Q131),COUNTIFS($A$14:$A$1213,$A131,$Q$14:$Q$1213,"&gt;"&amp;$Q131)+(COUNTIFS($A$14:$A$1213,$A131,$Q$14:$Q$1213,"="&amp;$Q131)+1)/2,"")</f>
        <v/>
      </c>
      <c r="AE131" s="27">
        <f>IF(ISNUMBER($R131),COUNTIFS($A$14:$A$1213,$A131,$R$14:$R$1213,"&gt;"&amp;$R131)+(COUNTIFS($A$14:$A$1213,$A131,$R$14:$R$1213,"="&amp;$R131)+1)/2,"")</f>
        <v/>
      </c>
      <c r="AF131" s="27">
        <f>IF(ISNUMBER($S131),COUNTIFS($A$14:$A$1213,$A131,$S$14:$S$1213,"&gt;"&amp;$S131)+(COUNTIFS($A$14:$A$1213,$A131,$S$14:$S$1213,"="&amp;$S131)+1)/2,"")</f>
        <v/>
      </c>
      <c r="AG131" s="27">
        <f>IF(ISNUMBER($T131),COUNTIFS($A$14:$A$1213,$A131,$T$14:$T$1213,"&gt;"&amp;$T131)+(COUNTIFS($A$14:$A$1213,$A131,$T$14:$T$1213,"="&amp;$T131)+1)/2,"")</f>
        <v/>
      </c>
      <c r="AH131" s="27">
        <f>IF(COUNT($AC131:$AG131)&lt;2,"",IF(MAX($AC131:$AG131)=MIN($AC131:$AG131),0,1))</f>
        <v/>
      </c>
      <c r="AI131" s="27">
        <f>IF($A131="","",IF(COUNTIF($A$14:$A131,$A131)=1,COUNTIF($AI$13:AI130,"&gt;0")+1,""))</f>
        <v/>
      </c>
      <c r="AJ131" s="27">
        <f>IF(OR($H131="",COUNTIFS($A$14:$A$1213,$H131,$F$14:$F$1213,"&gt;=0")&lt;2,COUNTIFS($A$14:$A$1213,$H131,$F$14:$F$1213,_xlfn.MAXIFS($F$14:$F$1213,$A$14:$A$1213,$H131))&gt;1),"",IFERROR(INDEX($D$14:$D$1213,MATCH($H131&amp;"|"&amp;_xlfn.MAXIFS($F$14:$F$1213,$A$14:$A$1213,$H131),$AB$14:$AB$1213,0)),""))</f>
        <v/>
      </c>
      <c r="AK131" s="27">
        <f>IF(OR($H131="",COUNTIFS($A$14:$A$1213,$H131,$F$14:$F$1213,"&gt;=0")&lt;2,COUNTIFS($A$14:$A$1213,$H131,$F$14:$F$1213,_xlfn.MAXIFS($F$14:$F$1213,$A$14:$A$1213,$H131))&gt;1),"",IFERROR(INDEX($E$14:$E$1213,MATCH($H131&amp;"|"&amp;_xlfn.MAXIFS($F$14:$F$1213,$A$14:$A$1213,$H131),$AB$14:$AB$1213,0)),""))</f>
        <v/>
      </c>
      <c r="AL131" s="27">
        <f>IF(OR($H131="",COUNTIFS($A$14:$A$1213,$H131,$F$14:$F$1213,"&gt;=0")&lt;2,COUNTIFS($A$14:$A$1213,$H131,$F$14:$F$1213,_xlfn.MAXIFS($F$14:$F$1213,$A$14:$A$1213,$H131))&gt;1),"",IFERROR(INDEX($D$14:$D$1213,MATCH($H131&amp;"|"&amp;_xlfn.MAXIFS($F$14:$F$1213,$A$14:$A$1213,$H131,$F$14:$F$1213,"&lt;"&amp;_xlfn.MAXIFS($F$14:$F$1213,$A$14:$A$1213,$H131)),$AB$14:$AB$1213,0)),""))</f>
        <v/>
      </c>
      <c r="AM131" s="27">
        <f>IF(OR($H131="",COUNTIFS($A$14:$A$1213,$H131,$F$14:$F$1213,"&gt;=0")&lt;2,COUNTIFS($A$14:$A$1213,$H131,$F$14:$F$1213,_xlfn.MAXIFS($F$14:$F$1213,$A$14:$A$1213,$H131))&gt;1),"",IFERROR(INDEX($E$14:$E$1213,MATCH($H131&amp;"|"&amp;_xlfn.MAXIFS($F$14:$F$1213,$A$14:$A$1213,$H131,$F$14:$F$1213,"&lt;"&amp;_xlfn.MAXIFS($F$14:$F$1213,$A$14:$A$1213,$H131)),$AB$14:$AB$1213,0)),""))</f>
        <v/>
      </c>
      <c r="AN131" s="27">
        <f>IF(OR(NOT(ISNUMBER($AJ131)),NOT(ISNUMBER($AL131)),$AK131=0,$AM131=0),"",IF(OR((($AJ131+$AL131)/($AK131+$AM131))&lt;=0,(($AJ131+$AL131)/($AK131+$AM131))&gt;=1),"",($AJ131/$AK131-$AL131/$AM131)/SQRT((($AJ131+$AL131)/($AK131+$AM131))*(1-(($AJ131+$AL131)/($AK131+$AM131)))*(1/$AK131+1/$AM131))))</f>
        <v/>
      </c>
      <c r="AO131" s="27">
        <f>IF($A131="","",IF(AND(COUNTIFS($A$14:$A$1213,$A131,$F$14:$F$1213,"&gt;=0")=2,IFERROR(INDEX($M$14:$M$313,MATCH($A131,$H$14:$H$313,0)),"Yes")&lt;&gt;"Yes"),1,0))</f>
        <v/>
      </c>
    </row>
    <row r="132" ht="24" customHeight="1">
      <c r="A132" s="19">
        <f>IF('Enter messages'!A132="","",'Enter messages'!A132)</f>
        <v/>
      </c>
      <c r="B132" s="20">
        <f>IF('Enter messages'!B132="","",'Enter messages'!B132)</f>
        <v/>
      </c>
      <c r="C132" s="21">
        <f>IFERROR(AVERAGE(P132:T132),"")</f>
        <v/>
      </c>
      <c r="D132" s="29" t="n"/>
      <c r="E132" s="29" t="n"/>
      <c r="F132" s="30">
        <f>IF(AND(ISNUMBER($D132),ISNUMBER($E132),$E132&gt;0,$D132&lt;=$E132),$D132/$E132,"")</f>
        <v/>
      </c>
      <c r="H132" s="19">
        <f>IFERROR(INDEX($A$14:$A$1213,MATCH(119,$AI$14:$AI$1213,0)),"")</f>
        <v/>
      </c>
      <c r="I132" s="24">
        <f>IF($H132="","",IF(COUNTIFS($A$14:$A$1213,$H132,$C$14:$C$1213,"&gt;=0")=0,"—",IFERROR(INDEX($B$14:$B$1213,MATCH($H132&amp;"|1",$Z$14:$Z$1213,0)),"(tied)")))</f>
        <v/>
      </c>
      <c r="J132" s="25">
        <f>IF($H132="","",IF(OR(COUNTIFS($A$14:$A$1213,$H132,$C$14:$C$1213,"&gt;=0")=0,COUNTIFS($A$14:$A$1213,$H132,$F$14:$F$1213,"&gt;=0")=0),"—",IF(OR(ISERROR(MATCH($H132&amp;"|1",$Z$14:$Z$1213,0)),ISERROR(MATCH($H132&amp;"|1",$AA$14:$AA$1213,0))),"Tie",IF(MATCH($H132&amp;"|1",$Z$14:$Z$1213,0)=MATCH($H132&amp;"|1",$AA$14:$AA$1213,0),"Hit","Miss"))))</f>
        <v/>
      </c>
      <c r="K132" s="24">
        <f>IF($H132="","",IF(COUNTIFS($A$14:$A$1213,$H132,$F$14:$F$1213,"&gt;=0")=0,"—",IFERROR(INDEX($B$14:$B$1213,MATCH($H132&amp;"|1",$AA$14:$AA$1213,0)),"(tied)")))</f>
        <v/>
      </c>
      <c r="L132" s="25">
        <f>IF($H132="","",IF((--(COUNTIFS($A$14:$A$1213,$H132,$P$14:$P$1213,"&gt;=0")&gt;0)+--(COUNTIFS($A$14:$A$1213,$H132,$Q$14:$Q$1213,"&gt;=0")&gt;0)+--(COUNTIFS($A$14:$A$1213,$H132,$R$14:$R$1213,"&gt;=0")&gt;0)+--(COUNTIFS($A$14:$A$1213,$H132,$S$14:$S$1213,"&gt;=0")&gt;0)+--(COUNTIFS($A$14:$A$1213,$H132,$T$14:$T$1213,"&gt;=0")&gt;0))&lt;2,"—",IF(SUMIFS($AH$14:$AH$1213,$A$14:$A$1213,$H132)=0,"Yes","No")))</f>
        <v/>
      </c>
      <c r="M132" s="25">
        <f>IF($H132="","",IF(COUNTIFS($A$14:$A$1213,$H132,$F$14:$F$1213,"&gt;=0")&lt;2,"—",IF(COUNTIFS($A$14:$A$1213,$H132,$F$14:$F$1213,_xlfn.MAXIFS($F$14:$F$1213,$A$14:$A$1213,$H132))&gt;1,"No",IF(NOT(ISNUMBER($AN132)),"—",IF((2*(1-NORMSDIST(ABS($AN132))))&lt;0.05,"Yes","No")))))</f>
        <v/>
      </c>
      <c r="N132" s="21">
        <f>IF($H132="","",IF(NOT(ISNUMBER($AN132)),"—",IF((2*(1-NORMSDIST(ABS($AN132))))&lt;0.001,"&lt;0.001",TEXT((2*(1-NORMSDIST(ABS($AN132)))),"0.000"))))</f>
        <v/>
      </c>
      <c r="P132" s="26" t="n"/>
      <c r="Q132" s="26" t="n"/>
      <c r="R132" s="26" t="n"/>
      <c r="S132" s="26" t="n"/>
      <c r="T132" s="26" t="n"/>
      <c r="V132" s="27">
        <f>IF(ISNUMBER($C132),COUNTIFS($A$14:$A$1213,$A132,$C$14:$C$1213,"&gt;"&amp;$C132)+(COUNTIFS($A$14:$A$1213,$A132,$C$14:$C$1213,"="&amp;$C132)+1)/2,"")</f>
        <v/>
      </c>
      <c r="W132" s="27">
        <f>IF(ISNUMBER($F132),COUNTIFS($A$14:$A$1213,$A132,$F$14:$F$1213,"&gt;"&amp;$F132)+(COUNTIFS($A$14:$A$1213,$A132,$F$14:$F$1213,"="&amp;$F132)+1)/2,"")</f>
        <v/>
      </c>
      <c r="X132" s="27">
        <f>IF(OR(NOT(ISNUMBER($V132)),$AO132=1),"",$V132-(COUNTIFS($A$14:$A$1213,$A132,$C$14:$C$1213,"&gt;=0")+1)/2)</f>
        <v/>
      </c>
      <c r="Y132" s="27">
        <f>IF(OR(NOT(ISNUMBER($W132)),$AO132=1),"",$W132-(COUNTIFS($A$14:$A$1213,$A132,$F$14:$F$1213,"&gt;=0")+1)/2)</f>
        <v/>
      </c>
      <c r="Z132" s="27">
        <f>IF(ISNUMBER($V132),$A132&amp;"|"&amp;$V132,"")</f>
        <v/>
      </c>
      <c r="AA132" s="27">
        <f>IF(ISNUMBER($W132),$A132&amp;"|"&amp;$W132,"")</f>
        <v/>
      </c>
      <c r="AB132" s="27">
        <f>IF(ISNUMBER($F132),$A132&amp;"|"&amp;$F132,"")</f>
        <v/>
      </c>
      <c r="AC132" s="27">
        <f>IF(ISNUMBER($P132),COUNTIFS($A$14:$A$1213,$A132,$P$14:$P$1213,"&gt;"&amp;$P132)+(COUNTIFS($A$14:$A$1213,$A132,$P$14:$P$1213,"="&amp;$P132)+1)/2,"")</f>
        <v/>
      </c>
      <c r="AD132" s="27">
        <f>IF(ISNUMBER($Q132),COUNTIFS($A$14:$A$1213,$A132,$Q$14:$Q$1213,"&gt;"&amp;$Q132)+(COUNTIFS($A$14:$A$1213,$A132,$Q$14:$Q$1213,"="&amp;$Q132)+1)/2,"")</f>
        <v/>
      </c>
      <c r="AE132" s="27">
        <f>IF(ISNUMBER($R132),COUNTIFS($A$14:$A$1213,$A132,$R$14:$R$1213,"&gt;"&amp;$R132)+(COUNTIFS($A$14:$A$1213,$A132,$R$14:$R$1213,"="&amp;$R132)+1)/2,"")</f>
        <v/>
      </c>
      <c r="AF132" s="27">
        <f>IF(ISNUMBER($S132),COUNTIFS($A$14:$A$1213,$A132,$S$14:$S$1213,"&gt;"&amp;$S132)+(COUNTIFS($A$14:$A$1213,$A132,$S$14:$S$1213,"="&amp;$S132)+1)/2,"")</f>
        <v/>
      </c>
      <c r="AG132" s="27">
        <f>IF(ISNUMBER($T132),COUNTIFS($A$14:$A$1213,$A132,$T$14:$T$1213,"&gt;"&amp;$T132)+(COUNTIFS($A$14:$A$1213,$A132,$T$14:$T$1213,"="&amp;$T132)+1)/2,"")</f>
        <v/>
      </c>
      <c r="AH132" s="27">
        <f>IF(COUNT($AC132:$AG132)&lt;2,"",IF(MAX($AC132:$AG132)=MIN($AC132:$AG132),0,1))</f>
        <v/>
      </c>
      <c r="AI132" s="27">
        <f>IF($A132="","",IF(COUNTIF($A$14:$A132,$A132)=1,COUNTIF($AI$13:AI131,"&gt;0")+1,""))</f>
        <v/>
      </c>
      <c r="AJ132" s="27">
        <f>IF(OR($H132="",COUNTIFS($A$14:$A$1213,$H132,$F$14:$F$1213,"&gt;=0")&lt;2,COUNTIFS($A$14:$A$1213,$H132,$F$14:$F$1213,_xlfn.MAXIFS($F$14:$F$1213,$A$14:$A$1213,$H132))&gt;1),"",IFERROR(INDEX($D$14:$D$1213,MATCH($H132&amp;"|"&amp;_xlfn.MAXIFS($F$14:$F$1213,$A$14:$A$1213,$H132),$AB$14:$AB$1213,0)),""))</f>
        <v/>
      </c>
      <c r="AK132" s="27">
        <f>IF(OR($H132="",COUNTIFS($A$14:$A$1213,$H132,$F$14:$F$1213,"&gt;=0")&lt;2,COUNTIFS($A$14:$A$1213,$H132,$F$14:$F$1213,_xlfn.MAXIFS($F$14:$F$1213,$A$14:$A$1213,$H132))&gt;1),"",IFERROR(INDEX($E$14:$E$1213,MATCH($H132&amp;"|"&amp;_xlfn.MAXIFS($F$14:$F$1213,$A$14:$A$1213,$H132),$AB$14:$AB$1213,0)),""))</f>
        <v/>
      </c>
      <c r="AL132" s="27">
        <f>IF(OR($H132="",COUNTIFS($A$14:$A$1213,$H132,$F$14:$F$1213,"&gt;=0")&lt;2,COUNTIFS($A$14:$A$1213,$H132,$F$14:$F$1213,_xlfn.MAXIFS($F$14:$F$1213,$A$14:$A$1213,$H132))&gt;1),"",IFERROR(INDEX($D$14:$D$1213,MATCH($H132&amp;"|"&amp;_xlfn.MAXIFS($F$14:$F$1213,$A$14:$A$1213,$H132,$F$14:$F$1213,"&lt;"&amp;_xlfn.MAXIFS($F$14:$F$1213,$A$14:$A$1213,$H132)),$AB$14:$AB$1213,0)),""))</f>
        <v/>
      </c>
      <c r="AM132" s="27">
        <f>IF(OR($H132="",COUNTIFS($A$14:$A$1213,$H132,$F$14:$F$1213,"&gt;=0")&lt;2,COUNTIFS($A$14:$A$1213,$H132,$F$14:$F$1213,_xlfn.MAXIFS($F$14:$F$1213,$A$14:$A$1213,$H132))&gt;1),"",IFERROR(INDEX($E$14:$E$1213,MATCH($H132&amp;"|"&amp;_xlfn.MAXIFS($F$14:$F$1213,$A$14:$A$1213,$H132,$F$14:$F$1213,"&lt;"&amp;_xlfn.MAXIFS($F$14:$F$1213,$A$14:$A$1213,$H132)),$AB$14:$AB$1213,0)),""))</f>
        <v/>
      </c>
      <c r="AN132" s="27">
        <f>IF(OR(NOT(ISNUMBER($AJ132)),NOT(ISNUMBER($AL132)),$AK132=0,$AM132=0),"",IF(OR((($AJ132+$AL132)/($AK132+$AM132))&lt;=0,(($AJ132+$AL132)/($AK132+$AM132))&gt;=1),"",($AJ132/$AK132-$AL132/$AM132)/SQRT((($AJ132+$AL132)/($AK132+$AM132))*(1-(($AJ132+$AL132)/($AK132+$AM132)))*(1/$AK132+1/$AM132))))</f>
        <v/>
      </c>
      <c r="AO132" s="27">
        <f>IF($A132="","",IF(AND(COUNTIFS($A$14:$A$1213,$A132,$F$14:$F$1213,"&gt;=0")=2,IFERROR(INDEX($M$14:$M$313,MATCH($A132,$H$14:$H$313,0)),"Yes")&lt;&gt;"Yes"),1,0))</f>
        <v/>
      </c>
    </row>
    <row r="133" ht="24" customHeight="1">
      <c r="A133" s="19">
        <f>IF('Enter messages'!A133="","",'Enter messages'!A133)</f>
        <v/>
      </c>
      <c r="B133" s="20">
        <f>IF('Enter messages'!B133="","",'Enter messages'!B133)</f>
        <v/>
      </c>
      <c r="C133" s="21">
        <f>IFERROR(AVERAGE(P133:T133),"")</f>
        <v/>
      </c>
      <c r="D133" s="29" t="n"/>
      <c r="E133" s="29" t="n"/>
      <c r="F133" s="30">
        <f>IF(AND(ISNUMBER($D133),ISNUMBER($E133),$E133&gt;0,$D133&lt;=$E133),$D133/$E133,"")</f>
        <v/>
      </c>
      <c r="H133" s="19">
        <f>IFERROR(INDEX($A$14:$A$1213,MATCH(120,$AI$14:$AI$1213,0)),"")</f>
        <v/>
      </c>
      <c r="I133" s="24">
        <f>IF($H133="","",IF(COUNTIFS($A$14:$A$1213,$H133,$C$14:$C$1213,"&gt;=0")=0,"—",IFERROR(INDEX($B$14:$B$1213,MATCH($H133&amp;"|1",$Z$14:$Z$1213,0)),"(tied)")))</f>
        <v/>
      </c>
      <c r="J133" s="25">
        <f>IF($H133="","",IF(OR(COUNTIFS($A$14:$A$1213,$H133,$C$14:$C$1213,"&gt;=0")=0,COUNTIFS($A$14:$A$1213,$H133,$F$14:$F$1213,"&gt;=0")=0),"—",IF(OR(ISERROR(MATCH($H133&amp;"|1",$Z$14:$Z$1213,0)),ISERROR(MATCH($H133&amp;"|1",$AA$14:$AA$1213,0))),"Tie",IF(MATCH($H133&amp;"|1",$Z$14:$Z$1213,0)=MATCH($H133&amp;"|1",$AA$14:$AA$1213,0),"Hit","Miss"))))</f>
        <v/>
      </c>
      <c r="K133" s="24">
        <f>IF($H133="","",IF(COUNTIFS($A$14:$A$1213,$H133,$F$14:$F$1213,"&gt;=0")=0,"—",IFERROR(INDEX($B$14:$B$1213,MATCH($H133&amp;"|1",$AA$14:$AA$1213,0)),"(tied)")))</f>
        <v/>
      </c>
      <c r="L133" s="25">
        <f>IF($H133="","",IF((--(COUNTIFS($A$14:$A$1213,$H133,$P$14:$P$1213,"&gt;=0")&gt;0)+--(COUNTIFS($A$14:$A$1213,$H133,$Q$14:$Q$1213,"&gt;=0")&gt;0)+--(COUNTIFS($A$14:$A$1213,$H133,$R$14:$R$1213,"&gt;=0")&gt;0)+--(COUNTIFS($A$14:$A$1213,$H133,$S$14:$S$1213,"&gt;=0")&gt;0)+--(COUNTIFS($A$14:$A$1213,$H133,$T$14:$T$1213,"&gt;=0")&gt;0))&lt;2,"—",IF(SUMIFS($AH$14:$AH$1213,$A$14:$A$1213,$H133)=0,"Yes","No")))</f>
        <v/>
      </c>
      <c r="M133" s="25">
        <f>IF($H133="","",IF(COUNTIFS($A$14:$A$1213,$H133,$F$14:$F$1213,"&gt;=0")&lt;2,"—",IF(COUNTIFS($A$14:$A$1213,$H133,$F$14:$F$1213,_xlfn.MAXIFS($F$14:$F$1213,$A$14:$A$1213,$H133))&gt;1,"No",IF(NOT(ISNUMBER($AN133)),"—",IF((2*(1-NORMSDIST(ABS($AN133))))&lt;0.05,"Yes","No")))))</f>
        <v/>
      </c>
      <c r="N133" s="21">
        <f>IF($H133="","",IF(NOT(ISNUMBER($AN133)),"—",IF((2*(1-NORMSDIST(ABS($AN133))))&lt;0.001,"&lt;0.001",TEXT((2*(1-NORMSDIST(ABS($AN133)))),"0.000"))))</f>
        <v/>
      </c>
      <c r="P133" s="26" t="n"/>
      <c r="Q133" s="26" t="n"/>
      <c r="R133" s="26" t="n"/>
      <c r="S133" s="26" t="n"/>
      <c r="T133" s="26" t="n"/>
      <c r="V133" s="27">
        <f>IF(ISNUMBER($C133),COUNTIFS($A$14:$A$1213,$A133,$C$14:$C$1213,"&gt;"&amp;$C133)+(COUNTIFS($A$14:$A$1213,$A133,$C$14:$C$1213,"="&amp;$C133)+1)/2,"")</f>
        <v/>
      </c>
      <c r="W133" s="27">
        <f>IF(ISNUMBER($F133),COUNTIFS($A$14:$A$1213,$A133,$F$14:$F$1213,"&gt;"&amp;$F133)+(COUNTIFS($A$14:$A$1213,$A133,$F$14:$F$1213,"="&amp;$F133)+1)/2,"")</f>
        <v/>
      </c>
      <c r="X133" s="27">
        <f>IF(OR(NOT(ISNUMBER($V133)),$AO133=1),"",$V133-(COUNTIFS($A$14:$A$1213,$A133,$C$14:$C$1213,"&gt;=0")+1)/2)</f>
        <v/>
      </c>
      <c r="Y133" s="27">
        <f>IF(OR(NOT(ISNUMBER($W133)),$AO133=1),"",$W133-(COUNTIFS($A$14:$A$1213,$A133,$F$14:$F$1213,"&gt;=0")+1)/2)</f>
        <v/>
      </c>
      <c r="Z133" s="27">
        <f>IF(ISNUMBER($V133),$A133&amp;"|"&amp;$V133,"")</f>
        <v/>
      </c>
      <c r="AA133" s="27">
        <f>IF(ISNUMBER($W133),$A133&amp;"|"&amp;$W133,"")</f>
        <v/>
      </c>
      <c r="AB133" s="27">
        <f>IF(ISNUMBER($F133),$A133&amp;"|"&amp;$F133,"")</f>
        <v/>
      </c>
      <c r="AC133" s="27">
        <f>IF(ISNUMBER($P133),COUNTIFS($A$14:$A$1213,$A133,$P$14:$P$1213,"&gt;"&amp;$P133)+(COUNTIFS($A$14:$A$1213,$A133,$P$14:$P$1213,"="&amp;$P133)+1)/2,"")</f>
        <v/>
      </c>
      <c r="AD133" s="27">
        <f>IF(ISNUMBER($Q133),COUNTIFS($A$14:$A$1213,$A133,$Q$14:$Q$1213,"&gt;"&amp;$Q133)+(COUNTIFS($A$14:$A$1213,$A133,$Q$14:$Q$1213,"="&amp;$Q133)+1)/2,"")</f>
        <v/>
      </c>
      <c r="AE133" s="27">
        <f>IF(ISNUMBER($R133),COUNTIFS($A$14:$A$1213,$A133,$R$14:$R$1213,"&gt;"&amp;$R133)+(COUNTIFS($A$14:$A$1213,$A133,$R$14:$R$1213,"="&amp;$R133)+1)/2,"")</f>
        <v/>
      </c>
      <c r="AF133" s="27">
        <f>IF(ISNUMBER($S133),COUNTIFS($A$14:$A$1213,$A133,$S$14:$S$1213,"&gt;"&amp;$S133)+(COUNTIFS($A$14:$A$1213,$A133,$S$14:$S$1213,"="&amp;$S133)+1)/2,"")</f>
        <v/>
      </c>
      <c r="AG133" s="27">
        <f>IF(ISNUMBER($T133),COUNTIFS($A$14:$A$1213,$A133,$T$14:$T$1213,"&gt;"&amp;$T133)+(COUNTIFS($A$14:$A$1213,$A133,$T$14:$T$1213,"="&amp;$T133)+1)/2,"")</f>
        <v/>
      </c>
      <c r="AH133" s="27">
        <f>IF(COUNT($AC133:$AG133)&lt;2,"",IF(MAX($AC133:$AG133)=MIN($AC133:$AG133),0,1))</f>
        <v/>
      </c>
      <c r="AI133" s="27">
        <f>IF($A133="","",IF(COUNTIF($A$14:$A133,$A133)=1,COUNTIF($AI$13:AI132,"&gt;0")+1,""))</f>
        <v/>
      </c>
      <c r="AJ133" s="27">
        <f>IF(OR($H133="",COUNTIFS($A$14:$A$1213,$H133,$F$14:$F$1213,"&gt;=0")&lt;2,COUNTIFS($A$14:$A$1213,$H133,$F$14:$F$1213,_xlfn.MAXIFS($F$14:$F$1213,$A$14:$A$1213,$H133))&gt;1),"",IFERROR(INDEX($D$14:$D$1213,MATCH($H133&amp;"|"&amp;_xlfn.MAXIFS($F$14:$F$1213,$A$14:$A$1213,$H133),$AB$14:$AB$1213,0)),""))</f>
        <v/>
      </c>
      <c r="AK133" s="27">
        <f>IF(OR($H133="",COUNTIFS($A$14:$A$1213,$H133,$F$14:$F$1213,"&gt;=0")&lt;2,COUNTIFS($A$14:$A$1213,$H133,$F$14:$F$1213,_xlfn.MAXIFS($F$14:$F$1213,$A$14:$A$1213,$H133))&gt;1),"",IFERROR(INDEX($E$14:$E$1213,MATCH($H133&amp;"|"&amp;_xlfn.MAXIFS($F$14:$F$1213,$A$14:$A$1213,$H133),$AB$14:$AB$1213,0)),""))</f>
        <v/>
      </c>
      <c r="AL133" s="27">
        <f>IF(OR($H133="",COUNTIFS($A$14:$A$1213,$H133,$F$14:$F$1213,"&gt;=0")&lt;2,COUNTIFS($A$14:$A$1213,$H133,$F$14:$F$1213,_xlfn.MAXIFS($F$14:$F$1213,$A$14:$A$1213,$H133))&gt;1),"",IFERROR(INDEX($D$14:$D$1213,MATCH($H133&amp;"|"&amp;_xlfn.MAXIFS($F$14:$F$1213,$A$14:$A$1213,$H133,$F$14:$F$1213,"&lt;"&amp;_xlfn.MAXIFS($F$14:$F$1213,$A$14:$A$1213,$H133)),$AB$14:$AB$1213,0)),""))</f>
        <v/>
      </c>
      <c r="AM133" s="27">
        <f>IF(OR($H133="",COUNTIFS($A$14:$A$1213,$H133,$F$14:$F$1213,"&gt;=0")&lt;2,COUNTIFS($A$14:$A$1213,$H133,$F$14:$F$1213,_xlfn.MAXIFS($F$14:$F$1213,$A$14:$A$1213,$H133))&gt;1),"",IFERROR(INDEX($E$14:$E$1213,MATCH($H133&amp;"|"&amp;_xlfn.MAXIFS($F$14:$F$1213,$A$14:$A$1213,$H133,$F$14:$F$1213,"&lt;"&amp;_xlfn.MAXIFS($F$14:$F$1213,$A$14:$A$1213,$H133)),$AB$14:$AB$1213,0)),""))</f>
        <v/>
      </c>
      <c r="AN133" s="27">
        <f>IF(OR(NOT(ISNUMBER($AJ133)),NOT(ISNUMBER($AL133)),$AK133=0,$AM133=0),"",IF(OR((($AJ133+$AL133)/($AK133+$AM133))&lt;=0,(($AJ133+$AL133)/($AK133+$AM133))&gt;=1),"",($AJ133/$AK133-$AL133/$AM133)/SQRT((($AJ133+$AL133)/($AK133+$AM133))*(1-(($AJ133+$AL133)/($AK133+$AM133)))*(1/$AK133+1/$AM133))))</f>
        <v/>
      </c>
      <c r="AO133" s="27">
        <f>IF($A133="","",IF(AND(COUNTIFS($A$14:$A$1213,$A133,$F$14:$F$1213,"&gt;=0")=2,IFERROR(INDEX($M$14:$M$313,MATCH($A133,$H$14:$H$313,0)),"Yes")&lt;&gt;"Yes"),1,0))</f>
        <v/>
      </c>
    </row>
    <row r="134" ht="24" customHeight="1">
      <c r="A134" s="19">
        <f>IF('Enter messages'!A134="","",'Enter messages'!A134)</f>
        <v/>
      </c>
      <c r="B134" s="20">
        <f>IF('Enter messages'!B134="","",'Enter messages'!B134)</f>
        <v/>
      </c>
      <c r="C134" s="21">
        <f>IFERROR(AVERAGE(P134:T134),"")</f>
        <v/>
      </c>
      <c r="D134" s="29" t="n"/>
      <c r="E134" s="29" t="n"/>
      <c r="F134" s="30">
        <f>IF(AND(ISNUMBER($D134),ISNUMBER($E134),$E134&gt;0,$D134&lt;=$E134),$D134/$E134,"")</f>
        <v/>
      </c>
      <c r="H134" s="19">
        <f>IFERROR(INDEX($A$14:$A$1213,MATCH(121,$AI$14:$AI$1213,0)),"")</f>
        <v/>
      </c>
      <c r="I134" s="24">
        <f>IF($H134="","",IF(COUNTIFS($A$14:$A$1213,$H134,$C$14:$C$1213,"&gt;=0")=0,"—",IFERROR(INDEX($B$14:$B$1213,MATCH($H134&amp;"|1",$Z$14:$Z$1213,0)),"(tied)")))</f>
        <v/>
      </c>
      <c r="J134" s="25">
        <f>IF($H134="","",IF(OR(COUNTIFS($A$14:$A$1213,$H134,$C$14:$C$1213,"&gt;=0")=0,COUNTIFS($A$14:$A$1213,$H134,$F$14:$F$1213,"&gt;=0")=0),"—",IF(OR(ISERROR(MATCH($H134&amp;"|1",$Z$14:$Z$1213,0)),ISERROR(MATCH($H134&amp;"|1",$AA$14:$AA$1213,0))),"Tie",IF(MATCH($H134&amp;"|1",$Z$14:$Z$1213,0)=MATCH($H134&amp;"|1",$AA$14:$AA$1213,0),"Hit","Miss"))))</f>
        <v/>
      </c>
      <c r="K134" s="24">
        <f>IF($H134="","",IF(COUNTIFS($A$14:$A$1213,$H134,$F$14:$F$1213,"&gt;=0")=0,"—",IFERROR(INDEX($B$14:$B$1213,MATCH($H134&amp;"|1",$AA$14:$AA$1213,0)),"(tied)")))</f>
        <v/>
      </c>
      <c r="L134" s="25">
        <f>IF($H134="","",IF((--(COUNTIFS($A$14:$A$1213,$H134,$P$14:$P$1213,"&gt;=0")&gt;0)+--(COUNTIFS($A$14:$A$1213,$H134,$Q$14:$Q$1213,"&gt;=0")&gt;0)+--(COUNTIFS($A$14:$A$1213,$H134,$R$14:$R$1213,"&gt;=0")&gt;0)+--(COUNTIFS($A$14:$A$1213,$H134,$S$14:$S$1213,"&gt;=0")&gt;0)+--(COUNTIFS($A$14:$A$1213,$H134,$T$14:$T$1213,"&gt;=0")&gt;0))&lt;2,"—",IF(SUMIFS($AH$14:$AH$1213,$A$14:$A$1213,$H134)=0,"Yes","No")))</f>
        <v/>
      </c>
      <c r="M134" s="25">
        <f>IF($H134="","",IF(COUNTIFS($A$14:$A$1213,$H134,$F$14:$F$1213,"&gt;=0")&lt;2,"—",IF(COUNTIFS($A$14:$A$1213,$H134,$F$14:$F$1213,_xlfn.MAXIFS($F$14:$F$1213,$A$14:$A$1213,$H134))&gt;1,"No",IF(NOT(ISNUMBER($AN134)),"—",IF((2*(1-NORMSDIST(ABS($AN134))))&lt;0.05,"Yes","No")))))</f>
        <v/>
      </c>
      <c r="N134" s="21">
        <f>IF($H134="","",IF(NOT(ISNUMBER($AN134)),"—",IF((2*(1-NORMSDIST(ABS($AN134))))&lt;0.001,"&lt;0.001",TEXT((2*(1-NORMSDIST(ABS($AN134)))),"0.000"))))</f>
        <v/>
      </c>
      <c r="P134" s="26" t="n"/>
      <c r="Q134" s="26" t="n"/>
      <c r="R134" s="26" t="n"/>
      <c r="S134" s="26" t="n"/>
      <c r="T134" s="26" t="n"/>
      <c r="V134" s="27">
        <f>IF(ISNUMBER($C134),COUNTIFS($A$14:$A$1213,$A134,$C$14:$C$1213,"&gt;"&amp;$C134)+(COUNTIFS($A$14:$A$1213,$A134,$C$14:$C$1213,"="&amp;$C134)+1)/2,"")</f>
        <v/>
      </c>
      <c r="W134" s="27">
        <f>IF(ISNUMBER($F134),COUNTIFS($A$14:$A$1213,$A134,$F$14:$F$1213,"&gt;"&amp;$F134)+(COUNTIFS($A$14:$A$1213,$A134,$F$14:$F$1213,"="&amp;$F134)+1)/2,"")</f>
        <v/>
      </c>
      <c r="X134" s="27">
        <f>IF(OR(NOT(ISNUMBER($V134)),$AO134=1),"",$V134-(COUNTIFS($A$14:$A$1213,$A134,$C$14:$C$1213,"&gt;=0")+1)/2)</f>
        <v/>
      </c>
      <c r="Y134" s="27">
        <f>IF(OR(NOT(ISNUMBER($W134)),$AO134=1),"",$W134-(COUNTIFS($A$14:$A$1213,$A134,$F$14:$F$1213,"&gt;=0")+1)/2)</f>
        <v/>
      </c>
      <c r="Z134" s="27">
        <f>IF(ISNUMBER($V134),$A134&amp;"|"&amp;$V134,"")</f>
        <v/>
      </c>
      <c r="AA134" s="27">
        <f>IF(ISNUMBER($W134),$A134&amp;"|"&amp;$W134,"")</f>
        <v/>
      </c>
      <c r="AB134" s="27">
        <f>IF(ISNUMBER($F134),$A134&amp;"|"&amp;$F134,"")</f>
        <v/>
      </c>
      <c r="AC134" s="27">
        <f>IF(ISNUMBER($P134),COUNTIFS($A$14:$A$1213,$A134,$P$14:$P$1213,"&gt;"&amp;$P134)+(COUNTIFS($A$14:$A$1213,$A134,$P$14:$P$1213,"="&amp;$P134)+1)/2,"")</f>
        <v/>
      </c>
      <c r="AD134" s="27">
        <f>IF(ISNUMBER($Q134),COUNTIFS($A$14:$A$1213,$A134,$Q$14:$Q$1213,"&gt;"&amp;$Q134)+(COUNTIFS($A$14:$A$1213,$A134,$Q$14:$Q$1213,"="&amp;$Q134)+1)/2,"")</f>
        <v/>
      </c>
      <c r="AE134" s="27">
        <f>IF(ISNUMBER($R134),COUNTIFS($A$14:$A$1213,$A134,$R$14:$R$1213,"&gt;"&amp;$R134)+(COUNTIFS($A$14:$A$1213,$A134,$R$14:$R$1213,"="&amp;$R134)+1)/2,"")</f>
        <v/>
      </c>
      <c r="AF134" s="27">
        <f>IF(ISNUMBER($S134),COUNTIFS($A$14:$A$1213,$A134,$S$14:$S$1213,"&gt;"&amp;$S134)+(COUNTIFS($A$14:$A$1213,$A134,$S$14:$S$1213,"="&amp;$S134)+1)/2,"")</f>
        <v/>
      </c>
      <c r="AG134" s="27">
        <f>IF(ISNUMBER($T134),COUNTIFS($A$14:$A$1213,$A134,$T$14:$T$1213,"&gt;"&amp;$T134)+(COUNTIFS($A$14:$A$1213,$A134,$T$14:$T$1213,"="&amp;$T134)+1)/2,"")</f>
        <v/>
      </c>
      <c r="AH134" s="27">
        <f>IF(COUNT($AC134:$AG134)&lt;2,"",IF(MAX($AC134:$AG134)=MIN($AC134:$AG134),0,1))</f>
        <v/>
      </c>
      <c r="AI134" s="27">
        <f>IF($A134="","",IF(COUNTIF($A$14:$A134,$A134)=1,COUNTIF($AI$13:AI133,"&gt;0")+1,""))</f>
        <v/>
      </c>
      <c r="AJ134" s="27">
        <f>IF(OR($H134="",COUNTIFS($A$14:$A$1213,$H134,$F$14:$F$1213,"&gt;=0")&lt;2,COUNTIFS($A$14:$A$1213,$H134,$F$14:$F$1213,_xlfn.MAXIFS($F$14:$F$1213,$A$14:$A$1213,$H134))&gt;1),"",IFERROR(INDEX($D$14:$D$1213,MATCH($H134&amp;"|"&amp;_xlfn.MAXIFS($F$14:$F$1213,$A$14:$A$1213,$H134),$AB$14:$AB$1213,0)),""))</f>
        <v/>
      </c>
      <c r="AK134" s="27">
        <f>IF(OR($H134="",COUNTIFS($A$14:$A$1213,$H134,$F$14:$F$1213,"&gt;=0")&lt;2,COUNTIFS($A$14:$A$1213,$H134,$F$14:$F$1213,_xlfn.MAXIFS($F$14:$F$1213,$A$14:$A$1213,$H134))&gt;1),"",IFERROR(INDEX($E$14:$E$1213,MATCH($H134&amp;"|"&amp;_xlfn.MAXIFS($F$14:$F$1213,$A$14:$A$1213,$H134),$AB$14:$AB$1213,0)),""))</f>
        <v/>
      </c>
      <c r="AL134" s="27">
        <f>IF(OR($H134="",COUNTIFS($A$14:$A$1213,$H134,$F$14:$F$1213,"&gt;=0")&lt;2,COUNTIFS($A$14:$A$1213,$H134,$F$14:$F$1213,_xlfn.MAXIFS($F$14:$F$1213,$A$14:$A$1213,$H134))&gt;1),"",IFERROR(INDEX($D$14:$D$1213,MATCH($H134&amp;"|"&amp;_xlfn.MAXIFS($F$14:$F$1213,$A$14:$A$1213,$H134,$F$14:$F$1213,"&lt;"&amp;_xlfn.MAXIFS($F$14:$F$1213,$A$14:$A$1213,$H134)),$AB$14:$AB$1213,0)),""))</f>
        <v/>
      </c>
      <c r="AM134" s="27">
        <f>IF(OR($H134="",COUNTIFS($A$14:$A$1213,$H134,$F$14:$F$1213,"&gt;=0")&lt;2,COUNTIFS($A$14:$A$1213,$H134,$F$14:$F$1213,_xlfn.MAXIFS($F$14:$F$1213,$A$14:$A$1213,$H134))&gt;1),"",IFERROR(INDEX($E$14:$E$1213,MATCH($H134&amp;"|"&amp;_xlfn.MAXIFS($F$14:$F$1213,$A$14:$A$1213,$H134,$F$14:$F$1213,"&lt;"&amp;_xlfn.MAXIFS($F$14:$F$1213,$A$14:$A$1213,$H134)),$AB$14:$AB$1213,0)),""))</f>
        <v/>
      </c>
      <c r="AN134" s="27">
        <f>IF(OR(NOT(ISNUMBER($AJ134)),NOT(ISNUMBER($AL134)),$AK134=0,$AM134=0),"",IF(OR((($AJ134+$AL134)/($AK134+$AM134))&lt;=0,(($AJ134+$AL134)/($AK134+$AM134))&gt;=1),"",($AJ134/$AK134-$AL134/$AM134)/SQRT((($AJ134+$AL134)/($AK134+$AM134))*(1-(($AJ134+$AL134)/($AK134+$AM134)))*(1/$AK134+1/$AM134))))</f>
        <v/>
      </c>
      <c r="AO134" s="27">
        <f>IF($A134="","",IF(AND(COUNTIFS($A$14:$A$1213,$A134,$F$14:$F$1213,"&gt;=0")=2,IFERROR(INDEX($M$14:$M$313,MATCH($A134,$H$14:$H$313,0)),"Yes")&lt;&gt;"Yes"),1,0))</f>
        <v/>
      </c>
    </row>
    <row r="135" ht="24" customHeight="1">
      <c r="A135" s="19">
        <f>IF('Enter messages'!A135="","",'Enter messages'!A135)</f>
        <v/>
      </c>
      <c r="B135" s="20">
        <f>IF('Enter messages'!B135="","",'Enter messages'!B135)</f>
        <v/>
      </c>
      <c r="C135" s="21">
        <f>IFERROR(AVERAGE(P135:T135),"")</f>
        <v/>
      </c>
      <c r="D135" s="29" t="n"/>
      <c r="E135" s="29" t="n"/>
      <c r="F135" s="30">
        <f>IF(AND(ISNUMBER($D135),ISNUMBER($E135),$E135&gt;0,$D135&lt;=$E135),$D135/$E135,"")</f>
        <v/>
      </c>
      <c r="H135" s="19">
        <f>IFERROR(INDEX($A$14:$A$1213,MATCH(122,$AI$14:$AI$1213,0)),"")</f>
        <v/>
      </c>
      <c r="I135" s="24">
        <f>IF($H135="","",IF(COUNTIFS($A$14:$A$1213,$H135,$C$14:$C$1213,"&gt;=0")=0,"—",IFERROR(INDEX($B$14:$B$1213,MATCH($H135&amp;"|1",$Z$14:$Z$1213,0)),"(tied)")))</f>
        <v/>
      </c>
      <c r="J135" s="25">
        <f>IF($H135="","",IF(OR(COUNTIFS($A$14:$A$1213,$H135,$C$14:$C$1213,"&gt;=0")=0,COUNTIFS($A$14:$A$1213,$H135,$F$14:$F$1213,"&gt;=0")=0),"—",IF(OR(ISERROR(MATCH($H135&amp;"|1",$Z$14:$Z$1213,0)),ISERROR(MATCH($H135&amp;"|1",$AA$14:$AA$1213,0))),"Tie",IF(MATCH($H135&amp;"|1",$Z$14:$Z$1213,0)=MATCH($H135&amp;"|1",$AA$14:$AA$1213,0),"Hit","Miss"))))</f>
        <v/>
      </c>
      <c r="K135" s="24">
        <f>IF($H135="","",IF(COUNTIFS($A$14:$A$1213,$H135,$F$14:$F$1213,"&gt;=0")=0,"—",IFERROR(INDEX($B$14:$B$1213,MATCH($H135&amp;"|1",$AA$14:$AA$1213,0)),"(tied)")))</f>
        <v/>
      </c>
      <c r="L135" s="25">
        <f>IF($H135="","",IF((--(COUNTIFS($A$14:$A$1213,$H135,$P$14:$P$1213,"&gt;=0")&gt;0)+--(COUNTIFS($A$14:$A$1213,$H135,$Q$14:$Q$1213,"&gt;=0")&gt;0)+--(COUNTIFS($A$14:$A$1213,$H135,$R$14:$R$1213,"&gt;=0")&gt;0)+--(COUNTIFS($A$14:$A$1213,$H135,$S$14:$S$1213,"&gt;=0")&gt;0)+--(COUNTIFS($A$14:$A$1213,$H135,$T$14:$T$1213,"&gt;=0")&gt;0))&lt;2,"—",IF(SUMIFS($AH$14:$AH$1213,$A$14:$A$1213,$H135)=0,"Yes","No")))</f>
        <v/>
      </c>
      <c r="M135" s="25">
        <f>IF($H135="","",IF(COUNTIFS($A$14:$A$1213,$H135,$F$14:$F$1213,"&gt;=0")&lt;2,"—",IF(COUNTIFS($A$14:$A$1213,$H135,$F$14:$F$1213,_xlfn.MAXIFS($F$14:$F$1213,$A$14:$A$1213,$H135))&gt;1,"No",IF(NOT(ISNUMBER($AN135)),"—",IF((2*(1-NORMSDIST(ABS($AN135))))&lt;0.05,"Yes","No")))))</f>
        <v/>
      </c>
      <c r="N135" s="21">
        <f>IF($H135="","",IF(NOT(ISNUMBER($AN135)),"—",IF((2*(1-NORMSDIST(ABS($AN135))))&lt;0.001,"&lt;0.001",TEXT((2*(1-NORMSDIST(ABS($AN135)))),"0.000"))))</f>
        <v/>
      </c>
      <c r="P135" s="26" t="n"/>
      <c r="Q135" s="26" t="n"/>
      <c r="R135" s="26" t="n"/>
      <c r="S135" s="26" t="n"/>
      <c r="T135" s="26" t="n"/>
      <c r="V135" s="27">
        <f>IF(ISNUMBER($C135),COUNTIFS($A$14:$A$1213,$A135,$C$14:$C$1213,"&gt;"&amp;$C135)+(COUNTIFS($A$14:$A$1213,$A135,$C$14:$C$1213,"="&amp;$C135)+1)/2,"")</f>
        <v/>
      </c>
      <c r="W135" s="27">
        <f>IF(ISNUMBER($F135),COUNTIFS($A$14:$A$1213,$A135,$F$14:$F$1213,"&gt;"&amp;$F135)+(COUNTIFS($A$14:$A$1213,$A135,$F$14:$F$1213,"="&amp;$F135)+1)/2,"")</f>
        <v/>
      </c>
      <c r="X135" s="27">
        <f>IF(OR(NOT(ISNUMBER($V135)),$AO135=1),"",$V135-(COUNTIFS($A$14:$A$1213,$A135,$C$14:$C$1213,"&gt;=0")+1)/2)</f>
        <v/>
      </c>
      <c r="Y135" s="27">
        <f>IF(OR(NOT(ISNUMBER($W135)),$AO135=1),"",$W135-(COUNTIFS($A$14:$A$1213,$A135,$F$14:$F$1213,"&gt;=0")+1)/2)</f>
        <v/>
      </c>
      <c r="Z135" s="27">
        <f>IF(ISNUMBER($V135),$A135&amp;"|"&amp;$V135,"")</f>
        <v/>
      </c>
      <c r="AA135" s="27">
        <f>IF(ISNUMBER($W135),$A135&amp;"|"&amp;$W135,"")</f>
        <v/>
      </c>
      <c r="AB135" s="27">
        <f>IF(ISNUMBER($F135),$A135&amp;"|"&amp;$F135,"")</f>
        <v/>
      </c>
      <c r="AC135" s="27">
        <f>IF(ISNUMBER($P135),COUNTIFS($A$14:$A$1213,$A135,$P$14:$P$1213,"&gt;"&amp;$P135)+(COUNTIFS($A$14:$A$1213,$A135,$P$14:$P$1213,"="&amp;$P135)+1)/2,"")</f>
        <v/>
      </c>
      <c r="AD135" s="27">
        <f>IF(ISNUMBER($Q135),COUNTIFS($A$14:$A$1213,$A135,$Q$14:$Q$1213,"&gt;"&amp;$Q135)+(COUNTIFS($A$14:$A$1213,$A135,$Q$14:$Q$1213,"="&amp;$Q135)+1)/2,"")</f>
        <v/>
      </c>
      <c r="AE135" s="27">
        <f>IF(ISNUMBER($R135),COUNTIFS($A$14:$A$1213,$A135,$R$14:$R$1213,"&gt;"&amp;$R135)+(COUNTIFS($A$14:$A$1213,$A135,$R$14:$R$1213,"="&amp;$R135)+1)/2,"")</f>
        <v/>
      </c>
      <c r="AF135" s="27">
        <f>IF(ISNUMBER($S135),COUNTIFS($A$14:$A$1213,$A135,$S$14:$S$1213,"&gt;"&amp;$S135)+(COUNTIFS($A$14:$A$1213,$A135,$S$14:$S$1213,"="&amp;$S135)+1)/2,"")</f>
        <v/>
      </c>
      <c r="AG135" s="27">
        <f>IF(ISNUMBER($T135),COUNTIFS($A$14:$A$1213,$A135,$T$14:$T$1213,"&gt;"&amp;$T135)+(COUNTIFS($A$14:$A$1213,$A135,$T$14:$T$1213,"="&amp;$T135)+1)/2,"")</f>
        <v/>
      </c>
      <c r="AH135" s="27">
        <f>IF(COUNT($AC135:$AG135)&lt;2,"",IF(MAX($AC135:$AG135)=MIN($AC135:$AG135),0,1))</f>
        <v/>
      </c>
      <c r="AI135" s="27">
        <f>IF($A135="","",IF(COUNTIF($A$14:$A135,$A135)=1,COUNTIF($AI$13:AI134,"&gt;0")+1,""))</f>
        <v/>
      </c>
      <c r="AJ135" s="27">
        <f>IF(OR($H135="",COUNTIFS($A$14:$A$1213,$H135,$F$14:$F$1213,"&gt;=0")&lt;2,COUNTIFS($A$14:$A$1213,$H135,$F$14:$F$1213,_xlfn.MAXIFS($F$14:$F$1213,$A$14:$A$1213,$H135))&gt;1),"",IFERROR(INDEX($D$14:$D$1213,MATCH($H135&amp;"|"&amp;_xlfn.MAXIFS($F$14:$F$1213,$A$14:$A$1213,$H135),$AB$14:$AB$1213,0)),""))</f>
        <v/>
      </c>
      <c r="AK135" s="27">
        <f>IF(OR($H135="",COUNTIFS($A$14:$A$1213,$H135,$F$14:$F$1213,"&gt;=0")&lt;2,COUNTIFS($A$14:$A$1213,$H135,$F$14:$F$1213,_xlfn.MAXIFS($F$14:$F$1213,$A$14:$A$1213,$H135))&gt;1),"",IFERROR(INDEX($E$14:$E$1213,MATCH($H135&amp;"|"&amp;_xlfn.MAXIFS($F$14:$F$1213,$A$14:$A$1213,$H135),$AB$14:$AB$1213,0)),""))</f>
        <v/>
      </c>
      <c r="AL135" s="27">
        <f>IF(OR($H135="",COUNTIFS($A$14:$A$1213,$H135,$F$14:$F$1213,"&gt;=0")&lt;2,COUNTIFS($A$14:$A$1213,$H135,$F$14:$F$1213,_xlfn.MAXIFS($F$14:$F$1213,$A$14:$A$1213,$H135))&gt;1),"",IFERROR(INDEX($D$14:$D$1213,MATCH($H135&amp;"|"&amp;_xlfn.MAXIFS($F$14:$F$1213,$A$14:$A$1213,$H135,$F$14:$F$1213,"&lt;"&amp;_xlfn.MAXIFS($F$14:$F$1213,$A$14:$A$1213,$H135)),$AB$14:$AB$1213,0)),""))</f>
        <v/>
      </c>
      <c r="AM135" s="27">
        <f>IF(OR($H135="",COUNTIFS($A$14:$A$1213,$H135,$F$14:$F$1213,"&gt;=0")&lt;2,COUNTIFS($A$14:$A$1213,$H135,$F$14:$F$1213,_xlfn.MAXIFS($F$14:$F$1213,$A$14:$A$1213,$H135))&gt;1),"",IFERROR(INDEX($E$14:$E$1213,MATCH($H135&amp;"|"&amp;_xlfn.MAXIFS($F$14:$F$1213,$A$14:$A$1213,$H135,$F$14:$F$1213,"&lt;"&amp;_xlfn.MAXIFS($F$14:$F$1213,$A$14:$A$1213,$H135)),$AB$14:$AB$1213,0)),""))</f>
        <v/>
      </c>
      <c r="AN135" s="27">
        <f>IF(OR(NOT(ISNUMBER($AJ135)),NOT(ISNUMBER($AL135)),$AK135=0,$AM135=0),"",IF(OR((($AJ135+$AL135)/($AK135+$AM135))&lt;=0,(($AJ135+$AL135)/($AK135+$AM135))&gt;=1),"",($AJ135/$AK135-$AL135/$AM135)/SQRT((($AJ135+$AL135)/($AK135+$AM135))*(1-(($AJ135+$AL135)/($AK135+$AM135)))*(1/$AK135+1/$AM135))))</f>
        <v/>
      </c>
      <c r="AO135" s="27">
        <f>IF($A135="","",IF(AND(COUNTIFS($A$14:$A$1213,$A135,$F$14:$F$1213,"&gt;=0")=2,IFERROR(INDEX($M$14:$M$313,MATCH($A135,$H$14:$H$313,0)),"Yes")&lt;&gt;"Yes"),1,0))</f>
        <v/>
      </c>
    </row>
    <row r="136" ht="24" customHeight="1">
      <c r="A136" s="19">
        <f>IF('Enter messages'!A136="","",'Enter messages'!A136)</f>
        <v/>
      </c>
      <c r="B136" s="20">
        <f>IF('Enter messages'!B136="","",'Enter messages'!B136)</f>
        <v/>
      </c>
      <c r="C136" s="21">
        <f>IFERROR(AVERAGE(P136:T136),"")</f>
        <v/>
      </c>
      <c r="D136" s="29" t="n"/>
      <c r="E136" s="29" t="n"/>
      <c r="F136" s="30">
        <f>IF(AND(ISNUMBER($D136),ISNUMBER($E136),$E136&gt;0,$D136&lt;=$E136),$D136/$E136,"")</f>
        <v/>
      </c>
      <c r="H136" s="19">
        <f>IFERROR(INDEX($A$14:$A$1213,MATCH(123,$AI$14:$AI$1213,0)),"")</f>
        <v/>
      </c>
      <c r="I136" s="24">
        <f>IF($H136="","",IF(COUNTIFS($A$14:$A$1213,$H136,$C$14:$C$1213,"&gt;=0")=0,"—",IFERROR(INDEX($B$14:$B$1213,MATCH($H136&amp;"|1",$Z$14:$Z$1213,0)),"(tied)")))</f>
        <v/>
      </c>
      <c r="J136" s="25">
        <f>IF($H136="","",IF(OR(COUNTIFS($A$14:$A$1213,$H136,$C$14:$C$1213,"&gt;=0")=0,COUNTIFS($A$14:$A$1213,$H136,$F$14:$F$1213,"&gt;=0")=0),"—",IF(OR(ISERROR(MATCH($H136&amp;"|1",$Z$14:$Z$1213,0)),ISERROR(MATCH($H136&amp;"|1",$AA$14:$AA$1213,0))),"Tie",IF(MATCH($H136&amp;"|1",$Z$14:$Z$1213,0)=MATCH($H136&amp;"|1",$AA$14:$AA$1213,0),"Hit","Miss"))))</f>
        <v/>
      </c>
      <c r="K136" s="24">
        <f>IF($H136="","",IF(COUNTIFS($A$14:$A$1213,$H136,$F$14:$F$1213,"&gt;=0")=0,"—",IFERROR(INDEX($B$14:$B$1213,MATCH($H136&amp;"|1",$AA$14:$AA$1213,0)),"(tied)")))</f>
        <v/>
      </c>
      <c r="L136" s="25">
        <f>IF($H136="","",IF((--(COUNTIFS($A$14:$A$1213,$H136,$P$14:$P$1213,"&gt;=0")&gt;0)+--(COUNTIFS($A$14:$A$1213,$H136,$Q$14:$Q$1213,"&gt;=0")&gt;0)+--(COUNTIFS($A$14:$A$1213,$H136,$R$14:$R$1213,"&gt;=0")&gt;0)+--(COUNTIFS($A$14:$A$1213,$H136,$S$14:$S$1213,"&gt;=0")&gt;0)+--(COUNTIFS($A$14:$A$1213,$H136,$T$14:$T$1213,"&gt;=0")&gt;0))&lt;2,"—",IF(SUMIFS($AH$14:$AH$1213,$A$14:$A$1213,$H136)=0,"Yes","No")))</f>
        <v/>
      </c>
      <c r="M136" s="25">
        <f>IF($H136="","",IF(COUNTIFS($A$14:$A$1213,$H136,$F$14:$F$1213,"&gt;=0")&lt;2,"—",IF(COUNTIFS($A$14:$A$1213,$H136,$F$14:$F$1213,_xlfn.MAXIFS($F$14:$F$1213,$A$14:$A$1213,$H136))&gt;1,"No",IF(NOT(ISNUMBER($AN136)),"—",IF((2*(1-NORMSDIST(ABS($AN136))))&lt;0.05,"Yes","No")))))</f>
        <v/>
      </c>
      <c r="N136" s="21">
        <f>IF($H136="","",IF(NOT(ISNUMBER($AN136)),"—",IF((2*(1-NORMSDIST(ABS($AN136))))&lt;0.001,"&lt;0.001",TEXT((2*(1-NORMSDIST(ABS($AN136)))),"0.000"))))</f>
        <v/>
      </c>
      <c r="P136" s="26" t="n"/>
      <c r="Q136" s="26" t="n"/>
      <c r="R136" s="26" t="n"/>
      <c r="S136" s="26" t="n"/>
      <c r="T136" s="26" t="n"/>
      <c r="V136" s="27">
        <f>IF(ISNUMBER($C136),COUNTIFS($A$14:$A$1213,$A136,$C$14:$C$1213,"&gt;"&amp;$C136)+(COUNTIFS($A$14:$A$1213,$A136,$C$14:$C$1213,"="&amp;$C136)+1)/2,"")</f>
        <v/>
      </c>
      <c r="W136" s="27">
        <f>IF(ISNUMBER($F136),COUNTIFS($A$14:$A$1213,$A136,$F$14:$F$1213,"&gt;"&amp;$F136)+(COUNTIFS($A$14:$A$1213,$A136,$F$14:$F$1213,"="&amp;$F136)+1)/2,"")</f>
        <v/>
      </c>
      <c r="X136" s="27">
        <f>IF(OR(NOT(ISNUMBER($V136)),$AO136=1),"",$V136-(COUNTIFS($A$14:$A$1213,$A136,$C$14:$C$1213,"&gt;=0")+1)/2)</f>
        <v/>
      </c>
      <c r="Y136" s="27">
        <f>IF(OR(NOT(ISNUMBER($W136)),$AO136=1),"",$W136-(COUNTIFS($A$14:$A$1213,$A136,$F$14:$F$1213,"&gt;=0")+1)/2)</f>
        <v/>
      </c>
      <c r="Z136" s="27">
        <f>IF(ISNUMBER($V136),$A136&amp;"|"&amp;$V136,"")</f>
        <v/>
      </c>
      <c r="AA136" s="27">
        <f>IF(ISNUMBER($W136),$A136&amp;"|"&amp;$W136,"")</f>
        <v/>
      </c>
      <c r="AB136" s="27">
        <f>IF(ISNUMBER($F136),$A136&amp;"|"&amp;$F136,"")</f>
        <v/>
      </c>
      <c r="AC136" s="27">
        <f>IF(ISNUMBER($P136),COUNTIFS($A$14:$A$1213,$A136,$P$14:$P$1213,"&gt;"&amp;$P136)+(COUNTIFS($A$14:$A$1213,$A136,$P$14:$P$1213,"="&amp;$P136)+1)/2,"")</f>
        <v/>
      </c>
      <c r="AD136" s="27">
        <f>IF(ISNUMBER($Q136),COUNTIFS($A$14:$A$1213,$A136,$Q$14:$Q$1213,"&gt;"&amp;$Q136)+(COUNTIFS($A$14:$A$1213,$A136,$Q$14:$Q$1213,"="&amp;$Q136)+1)/2,"")</f>
        <v/>
      </c>
      <c r="AE136" s="27">
        <f>IF(ISNUMBER($R136),COUNTIFS($A$14:$A$1213,$A136,$R$14:$R$1213,"&gt;"&amp;$R136)+(COUNTIFS($A$14:$A$1213,$A136,$R$14:$R$1213,"="&amp;$R136)+1)/2,"")</f>
        <v/>
      </c>
      <c r="AF136" s="27">
        <f>IF(ISNUMBER($S136),COUNTIFS($A$14:$A$1213,$A136,$S$14:$S$1213,"&gt;"&amp;$S136)+(COUNTIFS($A$14:$A$1213,$A136,$S$14:$S$1213,"="&amp;$S136)+1)/2,"")</f>
        <v/>
      </c>
      <c r="AG136" s="27">
        <f>IF(ISNUMBER($T136),COUNTIFS($A$14:$A$1213,$A136,$T$14:$T$1213,"&gt;"&amp;$T136)+(COUNTIFS($A$14:$A$1213,$A136,$T$14:$T$1213,"="&amp;$T136)+1)/2,"")</f>
        <v/>
      </c>
      <c r="AH136" s="27">
        <f>IF(COUNT($AC136:$AG136)&lt;2,"",IF(MAX($AC136:$AG136)=MIN($AC136:$AG136),0,1))</f>
        <v/>
      </c>
      <c r="AI136" s="27">
        <f>IF($A136="","",IF(COUNTIF($A$14:$A136,$A136)=1,COUNTIF($AI$13:AI135,"&gt;0")+1,""))</f>
        <v/>
      </c>
      <c r="AJ136" s="27">
        <f>IF(OR($H136="",COUNTIFS($A$14:$A$1213,$H136,$F$14:$F$1213,"&gt;=0")&lt;2,COUNTIFS($A$14:$A$1213,$H136,$F$14:$F$1213,_xlfn.MAXIFS($F$14:$F$1213,$A$14:$A$1213,$H136))&gt;1),"",IFERROR(INDEX($D$14:$D$1213,MATCH($H136&amp;"|"&amp;_xlfn.MAXIFS($F$14:$F$1213,$A$14:$A$1213,$H136),$AB$14:$AB$1213,0)),""))</f>
        <v/>
      </c>
      <c r="AK136" s="27">
        <f>IF(OR($H136="",COUNTIFS($A$14:$A$1213,$H136,$F$14:$F$1213,"&gt;=0")&lt;2,COUNTIFS($A$14:$A$1213,$H136,$F$14:$F$1213,_xlfn.MAXIFS($F$14:$F$1213,$A$14:$A$1213,$H136))&gt;1),"",IFERROR(INDEX($E$14:$E$1213,MATCH($H136&amp;"|"&amp;_xlfn.MAXIFS($F$14:$F$1213,$A$14:$A$1213,$H136),$AB$14:$AB$1213,0)),""))</f>
        <v/>
      </c>
      <c r="AL136" s="27">
        <f>IF(OR($H136="",COUNTIFS($A$14:$A$1213,$H136,$F$14:$F$1213,"&gt;=0")&lt;2,COUNTIFS($A$14:$A$1213,$H136,$F$14:$F$1213,_xlfn.MAXIFS($F$14:$F$1213,$A$14:$A$1213,$H136))&gt;1),"",IFERROR(INDEX($D$14:$D$1213,MATCH($H136&amp;"|"&amp;_xlfn.MAXIFS($F$14:$F$1213,$A$14:$A$1213,$H136,$F$14:$F$1213,"&lt;"&amp;_xlfn.MAXIFS($F$14:$F$1213,$A$14:$A$1213,$H136)),$AB$14:$AB$1213,0)),""))</f>
        <v/>
      </c>
      <c r="AM136" s="27">
        <f>IF(OR($H136="",COUNTIFS($A$14:$A$1213,$H136,$F$14:$F$1213,"&gt;=0")&lt;2,COUNTIFS($A$14:$A$1213,$H136,$F$14:$F$1213,_xlfn.MAXIFS($F$14:$F$1213,$A$14:$A$1213,$H136))&gt;1),"",IFERROR(INDEX($E$14:$E$1213,MATCH($H136&amp;"|"&amp;_xlfn.MAXIFS($F$14:$F$1213,$A$14:$A$1213,$H136,$F$14:$F$1213,"&lt;"&amp;_xlfn.MAXIFS($F$14:$F$1213,$A$14:$A$1213,$H136)),$AB$14:$AB$1213,0)),""))</f>
        <v/>
      </c>
      <c r="AN136" s="27">
        <f>IF(OR(NOT(ISNUMBER($AJ136)),NOT(ISNUMBER($AL136)),$AK136=0,$AM136=0),"",IF(OR((($AJ136+$AL136)/($AK136+$AM136))&lt;=0,(($AJ136+$AL136)/($AK136+$AM136))&gt;=1),"",($AJ136/$AK136-$AL136/$AM136)/SQRT((($AJ136+$AL136)/($AK136+$AM136))*(1-(($AJ136+$AL136)/($AK136+$AM136)))*(1/$AK136+1/$AM136))))</f>
        <v/>
      </c>
      <c r="AO136" s="27">
        <f>IF($A136="","",IF(AND(COUNTIFS($A$14:$A$1213,$A136,$F$14:$F$1213,"&gt;=0")=2,IFERROR(INDEX($M$14:$M$313,MATCH($A136,$H$14:$H$313,0)),"Yes")&lt;&gt;"Yes"),1,0))</f>
        <v/>
      </c>
    </row>
    <row r="137" ht="24" customHeight="1">
      <c r="A137" s="19">
        <f>IF('Enter messages'!A137="","",'Enter messages'!A137)</f>
        <v/>
      </c>
      <c r="B137" s="20">
        <f>IF('Enter messages'!B137="","",'Enter messages'!B137)</f>
        <v/>
      </c>
      <c r="C137" s="21">
        <f>IFERROR(AVERAGE(P137:T137),"")</f>
        <v/>
      </c>
      <c r="D137" s="29" t="n"/>
      <c r="E137" s="29" t="n"/>
      <c r="F137" s="30">
        <f>IF(AND(ISNUMBER($D137),ISNUMBER($E137),$E137&gt;0,$D137&lt;=$E137),$D137/$E137,"")</f>
        <v/>
      </c>
      <c r="H137" s="19">
        <f>IFERROR(INDEX($A$14:$A$1213,MATCH(124,$AI$14:$AI$1213,0)),"")</f>
        <v/>
      </c>
      <c r="I137" s="24">
        <f>IF($H137="","",IF(COUNTIFS($A$14:$A$1213,$H137,$C$14:$C$1213,"&gt;=0")=0,"—",IFERROR(INDEX($B$14:$B$1213,MATCH($H137&amp;"|1",$Z$14:$Z$1213,0)),"(tied)")))</f>
        <v/>
      </c>
      <c r="J137" s="25">
        <f>IF($H137="","",IF(OR(COUNTIFS($A$14:$A$1213,$H137,$C$14:$C$1213,"&gt;=0")=0,COUNTIFS($A$14:$A$1213,$H137,$F$14:$F$1213,"&gt;=0")=0),"—",IF(OR(ISERROR(MATCH($H137&amp;"|1",$Z$14:$Z$1213,0)),ISERROR(MATCH($H137&amp;"|1",$AA$14:$AA$1213,0))),"Tie",IF(MATCH($H137&amp;"|1",$Z$14:$Z$1213,0)=MATCH($H137&amp;"|1",$AA$14:$AA$1213,0),"Hit","Miss"))))</f>
        <v/>
      </c>
      <c r="K137" s="24">
        <f>IF($H137="","",IF(COUNTIFS($A$14:$A$1213,$H137,$F$14:$F$1213,"&gt;=0")=0,"—",IFERROR(INDEX($B$14:$B$1213,MATCH($H137&amp;"|1",$AA$14:$AA$1213,0)),"(tied)")))</f>
        <v/>
      </c>
      <c r="L137" s="25">
        <f>IF($H137="","",IF((--(COUNTIFS($A$14:$A$1213,$H137,$P$14:$P$1213,"&gt;=0")&gt;0)+--(COUNTIFS($A$14:$A$1213,$H137,$Q$14:$Q$1213,"&gt;=0")&gt;0)+--(COUNTIFS($A$14:$A$1213,$H137,$R$14:$R$1213,"&gt;=0")&gt;0)+--(COUNTIFS($A$14:$A$1213,$H137,$S$14:$S$1213,"&gt;=0")&gt;0)+--(COUNTIFS($A$14:$A$1213,$H137,$T$14:$T$1213,"&gt;=0")&gt;0))&lt;2,"—",IF(SUMIFS($AH$14:$AH$1213,$A$14:$A$1213,$H137)=0,"Yes","No")))</f>
        <v/>
      </c>
      <c r="M137" s="25">
        <f>IF($H137="","",IF(COUNTIFS($A$14:$A$1213,$H137,$F$14:$F$1213,"&gt;=0")&lt;2,"—",IF(COUNTIFS($A$14:$A$1213,$H137,$F$14:$F$1213,_xlfn.MAXIFS($F$14:$F$1213,$A$14:$A$1213,$H137))&gt;1,"No",IF(NOT(ISNUMBER($AN137)),"—",IF((2*(1-NORMSDIST(ABS($AN137))))&lt;0.05,"Yes","No")))))</f>
        <v/>
      </c>
      <c r="N137" s="21">
        <f>IF($H137="","",IF(NOT(ISNUMBER($AN137)),"—",IF((2*(1-NORMSDIST(ABS($AN137))))&lt;0.001,"&lt;0.001",TEXT((2*(1-NORMSDIST(ABS($AN137)))),"0.000"))))</f>
        <v/>
      </c>
      <c r="P137" s="26" t="n"/>
      <c r="Q137" s="26" t="n"/>
      <c r="R137" s="26" t="n"/>
      <c r="S137" s="26" t="n"/>
      <c r="T137" s="26" t="n"/>
      <c r="V137" s="27">
        <f>IF(ISNUMBER($C137),COUNTIFS($A$14:$A$1213,$A137,$C$14:$C$1213,"&gt;"&amp;$C137)+(COUNTIFS($A$14:$A$1213,$A137,$C$14:$C$1213,"="&amp;$C137)+1)/2,"")</f>
        <v/>
      </c>
      <c r="W137" s="27">
        <f>IF(ISNUMBER($F137),COUNTIFS($A$14:$A$1213,$A137,$F$14:$F$1213,"&gt;"&amp;$F137)+(COUNTIFS($A$14:$A$1213,$A137,$F$14:$F$1213,"="&amp;$F137)+1)/2,"")</f>
        <v/>
      </c>
      <c r="X137" s="27">
        <f>IF(OR(NOT(ISNUMBER($V137)),$AO137=1),"",$V137-(COUNTIFS($A$14:$A$1213,$A137,$C$14:$C$1213,"&gt;=0")+1)/2)</f>
        <v/>
      </c>
      <c r="Y137" s="27">
        <f>IF(OR(NOT(ISNUMBER($W137)),$AO137=1),"",$W137-(COUNTIFS($A$14:$A$1213,$A137,$F$14:$F$1213,"&gt;=0")+1)/2)</f>
        <v/>
      </c>
      <c r="Z137" s="27">
        <f>IF(ISNUMBER($V137),$A137&amp;"|"&amp;$V137,"")</f>
        <v/>
      </c>
      <c r="AA137" s="27">
        <f>IF(ISNUMBER($W137),$A137&amp;"|"&amp;$W137,"")</f>
        <v/>
      </c>
      <c r="AB137" s="27">
        <f>IF(ISNUMBER($F137),$A137&amp;"|"&amp;$F137,"")</f>
        <v/>
      </c>
      <c r="AC137" s="27">
        <f>IF(ISNUMBER($P137),COUNTIFS($A$14:$A$1213,$A137,$P$14:$P$1213,"&gt;"&amp;$P137)+(COUNTIFS($A$14:$A$1213,$A137,$P$14:$P$1213,"="&amp;$P137)+1)/2,"")</f>
        <v/>
      </c>
      <c r="AD137" s="27">
        <f>IF(ISNUMBER($Q137),COUNTIFS($A$14:$A$1213,$A137,$Q$14:$Q$1213,"&gt;"&amp;$Q137)+(COUNTIFS($A$14:$A$1213,$A137,$Q$14:$Q$1213,"="&amp;$Q137)+1)/2,"")</f>
        <v/>
      </c>
      <c r="AE137" s="27">
        <f>IF(ISNUMBER($R137),COUNTIFS($A$14:$A$1213,$A137,$R$14:$R$1213,"&gt;"&amp;$R137)+(COUNTIFS($A$14:$A$1213,$A137,$R$14:$R$1213,"="&amp;$R137)+1)/2,"")</f>
        <v/>
      </c>
      <c r="AF137" s="27">
        <f>IF(ISNUMBER($S137),COUNTIFS($A$14:$A$1213,$A137,$S$14:$S$1213,"&gt;"&amp;$S137)+(COUNTIFS($A$14:$A$1213,$A137,$S$14:$S$1213,"="&amp;$S137)+1)/2,"")</f>
        <v/>
      </c>
      <c r="AG137" s="27">
        <f>IF(ISNUMBER($T137),COUNTIFS($A$14:$A$1213,$A137,$T$14:$T$1213,"&gt;"&amp;$T137)+(COUNTIFS($A$14:$A$1213,$A137,$T$14:$T$1213,"="&amp;$T137)+1)/2,"")</f>
        <v/>
      </c>
      <c r="AH137" s="27">
        <f>IF(COUNT($AC137:$AG137)&lt;2,"",IF(MAX($AC137:$AG137)=MIN($AC137:$AG137),0,1))</f>
        <v/>
      </c>
      <c r="AI137" s="27">
        <f>IF($A137="","",IF(COUNTIF($A$14:$A137,$A137)=1,COUNTIF($AI$13:AI136,"&gt;0")+1,""))</f>
        <v/>
      </c>
      <c r="AJ137" s="27">
        <f>IF(OR($H137="",COUNTIFS($A$14:$A$1213,$H137,$F$14:$F$1213,"&gt;=0")&lt;2,COUNTIFS($A$14:$A$1213,$H137,$F$14:$F$1213,_xlfn.MAXIFS($F$14:$F$1213,$A$14:$A$1213,$H137))&gt;1),"",IFERROR(INDEX($D$14:$D$1213,MATCH($H137&amp;"|"&amp;_xlfn.MAXIFS($F$14:$F$1213,$A$14:$A$1213,$H137),$AB$14:$AB$1213,0)),""))</f>
        <v/>
      </c>
      <c r="AK137" s="27">
        <f>IF(OR($H137="",COUNTIFS($A$14:$A$1213,$H137,$F$14:$F$1213,"&gt;=0")&lt;2,COUNTIFS($A$14:$A$1213,$H137,$F$14:$F$1213,_xlfn.MAXIFS($F$14:$F$1213,$A$14:$A$1213,$H137))&gt;1),"",IFERROR(INDEX($E$14:$E$1213,MATCH($H137&amp;"|"&amp;_xlfn.MAXIFS($F$14:$F$1213,$A$14:$A$1213,$H137),$AB$14:$AB$1213,0)),""))</f>
        <v/>
      </c>
      <c r="AL137" s="27">
        <f>IF(OR($H137="",COUNTIFS($A$14:$A$1213,$H137,$F$14:$F$1213,"&gt;=0")&lt;2,COUNTIFS($A$14:$A$1213,$H137,$F$14:$F$1213,_xlfn.MAXIFS($F$14:$F$1213,$A$14:$A$1213,$H137))&gt;1),"",IFERROR(INDEX($D$14:$D$1213,MATCH($H137&amp;"|"&amp;_xlfn.MAXIFS($F$14:$F$1213,$A$14:$A$1213,$H137,$F$14:$F$1213,"&lt;"&amp;_xlfn.MAXIFS($F$14:$F$1213,$A$14:$A$1213,$H137)),$AB$14:$AB$1213,0)),""))</f>
        <v/>
      </c>
      <c r="AM137" s="27">
        <f>IF(OR($H137="",COUNTIFS($A$14:$A$1213,$H137,$F$14:$F$1213,"&gt;=0")&lt;2,COUNTIFS($A$14:$A$1213,$H137,$F$14:$F$1213,_xlfn.MAXIFS($F$14:$F$1213,$A$14:$A$1213,$H137))&gt;1),"",IFERROR(INDEX($E$14:$E$1213,MATCH($H137&amp;"|"&amp;_xlfn.MAXIFS($F$14:$F$1213,$A$14:$A$1213,$H137,$F$14:$F$1213,"&lt;"&amp;_xlfn.MAXIFS($F$14:$F$1213,$A$14:$A$1213,$H137)),$AB$14:$AB$1213,0)),""))</f>
        <v/>
      </c>
      <c r="AN137" s="27">
        <f>IF(OR(NOT(ISNUMBER($AJ137)),NOT(ISNUMBER($AL137)),$AK137=0,$AM137=0),"",IF(OR((($AJ137+$AL137)/($AK137+$AM137))&lt;=0,(($AJ137+$AL137)/($AK137+$AM137))&gt;=1),"",($AJ137/$AK137-$AL137/$AM137)/SQRT((($AJ137+$AL137)/($AK137+$AM137))*(1-(($AJ137+$AL137)/($AK137+$AM137)))*(1/$AK137+1/$AM137))))</f>
        <v/>
      </c>
      <c r="AO137" s="27">
        <f>IF($A137="","",IF(AND(COUNTIFS($A$14:$A$1213,$A137,$F$14:$F$1213,"&gt;=0")=2,IFERROR(INDEX($M$14:$M$313,MATCH($A137,$H$14:$H$313,0)),"Yes")&lt;&gt;"Yes"),1,0))</f>
        <v/>
      </c>
    </row>
    <row r="138" ht="24" customHeight="1">
      <c r="A138" s="19">
        <f>IF('Enter messages'!A138="","",'Enter messages'!A138)</f>
        <v/>
      </c>
      <c r="B138" s="20">
        <f>IF('Enter messages'!B138="","",'Enter messages'!B138)</f>
        <v/>
      </c>
      <c r="C138" s="21">
        <f>IFERROR(AVERAGE(P138:T138),"")</f>
        <v/>
      </c>
      <c r="D138" s="29" t="n"/>
      <c r="E138" s="29" t="n"/>
      <c r="F138" s="30">
        <f>IF(AND(ISNUMBER($D138),ISNUMBER($E138),$E138&gt;0,$D138&lt;=$E138),$D138/$E138,"")</f>
        <v/>
      </c>
      <c r="H138" s="19">
        <f>IFERROR(INDEX($A$14:$A$1213,MATCH(125,$AI$14:$AI$1213,0)),"")</f>
        <v/>
      </c>
      <c r="I138" s="24">
        <f>IF($H138="","",IF(COUNTIFS($A$14:$A$1213,$H138,$C$14:$C$1213,"&gt;=0")=0,"—",IFERROR(INDEX($B$14:$B$1213,MATCH($H138&amp;"|1",$Z$14:$Z$1213,0)),"(tied)")))</f>
        <v/>
      </c>
      <c r="J138" s="25">
        <f>IF($H138="","",IF(OR(COUNTIFS($A$14:$A$1213,$H138,$C$14:$C$1213,"&gt;=0")=0,COUNTIFS($A$14:$A$1213,$H138,$F$14:$F$1213,"&gt;=0")=0),"—",IF(OR(ISERROR(MATCH($H138&amp;"|1",$Z$14:$Z$1213,0)),ISERROR(MATCH($H138&amp;"|1",$AA$14:$AA$1213,0))),"Tie",IF(MATCH($H138&amp;"|1",$Z$14:$Z$1213,0)=MATCH($H138&amp;"|1",$AA$14:$AA$1213,0),"Hit","Miss"))))</f>
        <v/>
      </c>
      <c r="K138" s="24">
        <f>IF($H138="","",IF(COUNTIFS($A$14:$A$1213,$H138,$F$14:$F$1213,"&gt;=0")=0,"—",IFERROR(INDEX($B$14:$B$1213,MATCH($H138&amp;"|1",$AA$14:$AA$1213,0)),"(tied)")))</f>
        <v/>
      </c>
      <c r="L138" s="25">
        <f>IF($H138="","",IF((--(COUNTIFS($A$14:$A$1213,$H138,$P$14:$P$1213,"&gt;=0")&gt;0)+--(COUNTIFS($A$14:$A$1213,$H138,$Q$14:$Q$1213,"&gt;=0")&gt;0)+--(COUNTIFS($A$14:$A$1213,$H138,$R$14:$R$1213,"&gt;=0")&gt;0)+--(COUNTIFS($A$14:$A$1213,$H138,$S$14:$S$1213,"&gt;=0")&gt;0)+--(COUNTIFS($A$14:$A$1213,$H138,$T$14:$T$1213,"&gt;=0")&gt;0))&lt;2,"—",IF(SUMIFS($AH$14:$AH$1213,$A$14:$A$1213,$H138)=0,"Yes","No")))</f>
        <v/>
      </c>
      <c r="M138" s="25">
        <f>IF($H138="","",IF(COUNTIFS($A$14:$A$1213,$H138,$F$14:$F$1213,"&gt;=0")&lt;2,"—",IF(COUNTIFS($A$14:$A$1213,$H138,$F$14:$F$1213,_xlfn.MAXIFS($F$14:$F$1213,$A$14:$A$1213,$H138))&gt;1,"No",IF(NOT(ISNUMBER($AN138)),"—",IF((2*(1-NORMSDIST(ABS($AN138))))&lt;0.05,"Yes","No")))))</f>
        <v/>
      </c>
      <c r="N138" s="21">
        <f>IF($H138="","",IF(NOT(ISNUMBER($AN138)),"—",IF((2*(1-NORMSDIST(ABS($AN138))))&lt;0.001,"&lt;0.001",TEXT((2*(1-NORMSDIST(ABS($AN138)))),"0.000"))))</f>
        <v/>
      </c>
      <c r="P138" s="26" t="n"/>
      <c r="Q138" s="26" t="n"/>
      <c r="R138" s="26" t="n"/>
      <c r="S138" s="26" t="n"/>
      <c r="T138" s="26" t="n"/>
      <c r="V138" s="27">
        <f>IF(ISNUMBER($C138),COUNTIFS($A$14:$A$1213,$A138,$C$14:$C$1213,"&gt;"&amp;$C138)+(COUNTIFS($A$14:$A$1213,$A138,$C$14:$C$1213,"="&amp;$C138)+1)/2,"")</f>
        <v/>
      </c>
      <c r="W138" s="27">
        <f>IF(ISNUMBER($F138),COUNTIFS($A$14:$A$1213,$A138,$F$14:$F$1213,"&gt;"&amp;$F138)+(COUNTIFS($A$14:$A$1213,$A138,$F$14:$F$1213,"="&amp;$F138)+1)/2,"")</f>
        <v/>
      </c>
      <c r="X138" s="27">
        <f>IF(OR(NOT(ISNUMBER($V138)),$AO138=1),"",$V138-(COUNTIFS($A$14:$A$1213,$A138,$C$14:$C$1213,"&gt;=0")+1)/2)</f>
        <v/>
      </c>
      <c r="Y138" s="27">
        <f>IF(OR(NOT(ISNUMBER($W138)),$AO138=1),"",$W138-(COUNTIFS($A$14:$A$1213,$A138,$F$14:$F$1213,"&gt;=0")+1)/2)</f>
        <v/>
      </c>
      <c r="Z138" s="27">
        <f>IF(ISNUMBER($V138),$A138&amp;"|"&amp;$V138,"")</f>
        <v/>
      </c>
      <c r="AA138" s="27">
        <f>IF(ISNUMBER($W138),$A138&amp;"|"&amp;$W138,"")</f>
        <v/>
      </c>
      <c r="AB138" s="27">
        <f>IF(ISNUMBER($F138),$A138&amp;"|"&amp;$F138,"")</f>
        <v/>
      </c>
      <c r="AC138" s="27">
        <f>IF(ISNUMBER($P138),COUNTIFS($A$14:$A$1213,$A138,$P$14:$P$1213,"&gt;"&amp;$P138)+(COUNTIFS($A$14:$A$1213,$A138,$P$14:$P$1213,"="&amp;$P138)+1)/2,"")</f>
        <v/>
      </c>
      <c r="AD138" s="27">
        <f>IF(ISNUMBER($Q138),COUNTIFS($A$14:$A$1213,$A138,$Q$14:$Q$1213,"&gt;"&amp;$Q138)+(COUNTIFS($A$14:$A$1213,$A138,$Q$14:$Q$1213,"="&amp;$Q138)+1)/2,"")</f>
        <v/>
      </c>
      <c r="AE138" s="27">
        <f>IF(ISNUMBER($R138),COUNTIFS($A$14:$A$1213,$A138,$R$14:$R$1213,"&gt;"&amp;$R138)+(COUNTIFS($A$14:$A$1213,$A138,$R$14:$R$1213,"="&amp;$R138)+1)/2,"")</f>
        <v/>
      </c>
      <c r="AF138" s="27">
        <f>IF(ISNUMBER($S138),COUNTIFS($A$14:$A$1213,$A138,$S$14:$S$1213,"&gt;"&amp;$S138)+(COUNTIFS($A$14:$A$1213,$A138,$S$14:$S$1213,"="&amp;$S138)+1)/2,"")</f>
        <v/>
      </c>
      <c r="AG138" s="27">
        <f>IF(ISNUMBER($T138),COUNTIFS($A$14:$A$1213,$A138,$T$14:$T$1213,"&gt;"&amp;$T138)+(COUNTIFS($A$14:$A$1213,$A138,$T$14:$T$1213,"="&amp;$T138)+1)/2,"")</f>
        <v/>
      </c>
      <c r="AH138" s="27">
        <f>IF(COUNT($AC138:$AG138)&lt;2,"",IF(MAX($AC138:$AG138)=MIN($AC138:$AG138),0,1))</f>
        <v/>
      </c>
      <c r="AI138" s="27">
        <f>IF($A138="","",IF(COUNTIF($A$14:$A138,$A138)=1,COUNTIF($AI$13:AI137,"&gt;0")+1,""))</f>
        <v/>
      </c>
      <c r="AJ138" s="27">
        <f>IF(OR($H138="",COUNTIFS($A$14:$A$1213,$H138,$F$14:$F$1213,"&gt;=0")&lt;2,COUNTIFS($A$14:$A$1213,$H138,$F$14:$F$1213,_xlfn.MAXIFS($F$14:$F$1213,$A$14:$A$1213,$H138))&gt;1),"",IFERROR(INDEX($D$14:$D$1213,MATCH($H138&amp;"|"&amp;_xlfn.MAXIFS($F$14:$F$1213,$A$14:$A$1213,$H138),$AB$14:$AB$1213,0)),""))</f>
        <v/>
      </c>
      <c r="AK138" s="27">
        <f>IF(OR($H138="",COUNTIFS($A$14:$A$1213,$H138,$F$14:$F$1213,"&gt;=0")&lt;2,COUNTIFS($A$14:$A$1213,$H138,$F$14:$F$1213,_xlfn.MAXIFS($F$14:$F$1213,$A$14:$A$1213,$H138))&gt;1),"",IFERROR(INDEX($E$14:$E$1213,MATCH($H138&amp;"|"&amp;_xlfn.MAXIFS($F$14:$F$1213,$A$14:$A$1213,$H138),$AB$14:$AB$1213,0)),""))</f>
        <v/>
      </c>
      <c r="AL138" s="27">
        <f>IF(OR($H138="",COUNTIFS($A$14:$A$1213,$H138,$F$14:$F$1213,"&gt;=0")&lt;2,COUNTIFS($A$14:$A$1213,$H138,$F$14:$F$1213,_xlfn.MAXIFS($F$14:$F$1213,$A$14:$A$1213,$H138))&gt;1),"",IFERROR(INDEX($D$14:$D$1213,MATCH($H138&amp;"|"&amp;_xlfn.MAXIFS($F$14:$F$1213,$A$14:$A$1213,$H138,$F$14:$F$1213,"&lt;"&amp;_xlfn.MAXIFS($F$14:$F$1213,$A$14:$A$1213,$H138)),$AB$14:$AB$1213,0)),""))</f>
        <v/>
      </c>
      <c r="AM138" s="27">
        <f>IF(OR($H138="",COUNTIFS($A$14:$A$1213,$H138,$F$14:$F$1213,"&gt;=0")&lt;2,COUNTIFS($A$14:$A$1213,$H138,$F$14:$F$1213,_xlfn.MAXIFS($F$14:$F$1213,$A$14:$A$1213,$H138))&gt;1),"",IFERROR(INDEX($E$14:$E$1213,MATCH($H138&amp;"|"&amp;_xlfn.MAXIFS($F$14:$F$1213,$A$14:$A$1213,$H138,$F$14:$F$1213,"&lt;"&amp;_xlfn.MAXIFS($F$14:$F$1213,$A$14:$A$1213,$H138)),$AB$14:$AB$1213,0)),""))</f>
        <v/>
      </c>
      <c r="AN138" s="27">
        <f>IF(OR(NOT(ISNUMBER($AJ138)),NOT(ISNUMBER($AL138)),$AK138=0,$AM138=0),"",IF(OR((($AJ138+$AL138)/($AK138+$AM138))&lt;=0,(($AJ138+$AL138)/($AK138+$AM138))&gt;=1),"",($AJ138/$AK138-$AL138/$AM138)/SQRT((($AJ138+$AL138)/($AK138+$AM138))*(1-(($AJ138+$AL138)/($AK138+$AM138)))*(1/$AK138+1/$AM138))))</f>
        <v/>
      </c>
      <c r="AO138" s="27">
        <f>IF($A138="","",IF(AND(COUNTIFS($A$14:$A$1213,$A138,$F$14:$F$1213,"&gt;=0")=2,IFERROR(INDEX($M$14:$M$313,MATCH($A138,$H$14:$H$313,0)),"Yes")&lt;&gt;"Yes"),1,0))</f>
        <v/>
      </c>
    </row>
    <row r="139" ht="24" customHeight="1">
      <c r="A139" s="19">
        <f>IF('Enter messages'!A139="","",'Enter messages'!A139)</f>
        <v/>
      </c>
      <c r="B139" s="20">
        <f>IF('Enter messages'!B139="","",'Enter messages'!B139)</f>
        <v/>
      </c>
      <c r="C139" s="21">
        <f>IFERROR(AVERAGE(P139:T139),"")</f>
        <v/>
      </c>
      <c r="D139" s="29" t="n"/>
      <c r="E139" s="29" t="n"/>
      <c r="F139" s="30">
        <f>IF(AND(ISNUMBER($D139),ISNUMBER($E139),$E139&gt;0,$D139&lt;=$E139),$D139/$E139,"")</f>
        <v/>
      </c>
      <c r="H139" s="19">
        <f>IFERROR(INDEX($A$14:$A$1213,MATCH(126,$AI$14:$AI$1213,0)),"")</f>
        <v/>
      </c>
      <c r="I139" s="24">
        <f>IF($H139="","",IF(COUNTIFS($A$14:$A$1213,$H139,$C$14:$C$1213,"&gt;=0")=0,"—",IFERROR(INDEX($B$14:$B$1213,MATCH($H139&amp;"|1",$Z$14:$Z$1213,0)),"(tied)")))</f>
        <v/>
      </c>
      <c r="J139" s="25">
        <f>IF($H139="","",IF(OR(COUNTIFS($A$14:$A$1213,$H139,$C$14:$C$1213,"&gt;=0")=0,COUNTIFS($A$14:$A$1213,$H139,$F$14:$F$1213,"&gt;=0")=0),"—",IF(OR(ISERROR(MATCH($H139&amp;"|1",$Z$14:$Z$1213,0)),ISERROR(MATCH($H139&amp;"|1",$AA$14:$AA$1213,0))),"Tie",IF(MATCH($H139&amp;"|1",$Z$14:$Z$1213,0)=MATCH($H139&amp;"|1",$AA$14:$AA$1213,0),"Hit","Miss"))))</f>
        <v/>
      </c>
      <c r="K139" s="24">
        <f>IF($H139="","",IF(COUNTIFS($A$14:$A$1213,$H139,$F$14:$F$1213,"&gt;=0")=0,"—",IFERROR(INDEX($B$14:$B$1213,MATCH($H139&amp;"|1",$AA$14:$AA$1213,0)),"(tied)")))</f>
        <v/>
      </c>
      <c r="L139" s="25">
        <f>IF($H139="","",IF((--(COUNTIFS($A$14:$A$1213,$H139,$P$14:$P$1213,"&gt;=0")&gt;0)+--(COUNTIFS($A$14:$A$1213,$H139,$Q$14:$Q$1213,"&gt;=0")&gt;0)+--(COUNTIFS($A$14:$A$1213,$H139,$R$14:$R$1213,"&gt;=0")&gt;0)+--(COUNTIFS($A$14:$A$1213,$H139,$S$14:$S$1213,"&gt;=0")&gt;0)+--(COUNTIFS($A$14:$A$1213,$H139,$T$14:$T$1213,"&gt;=0")&gt;0))&lt;2,"—",IF(SUMIFS($AH$14:$AH$1213,$A$14:$A$1213,$H139)=0,"Yes","No")))</f>
        <v/>
      </c>
      <c r="M139" s="25">
        <f>IF($H139="","",IF(COUNTIFS($A$14:$A$1213,$H139,$F$14:$F$1213,"&gt;=0")&lt;2,"—",IF(COUNTIFS($A$14:$A$1213,$H139,$F$14:$F$1213,_xlfn.MAXIFS($F$14:$F$1213,$A$14:$A$1213,$H139))&gt;1,"No",IF(NOT(ISNUMBER($AN139)),"—",IF((2*(1-NORMSDIST(ABS($AN139))))&lt;0.05,"Yes","No")))))</f>
        <v/>
      </c>
      <c r="N139" s="21">
        <f>IF($H139="","",IF(NOT(ISNUMBER($AN139)),"—",IF((2*(1-NORMSDIST(ABS($AN139))))&lt;0.001,"&lt;0.001",TEXT((2*(1-NORMSDIST(ABS($AN139)))),"0.000"))))</f>
        <v/>
      </c>
      <c r="P139" s="26" t="n"/>
      <c r="Q139" s="26" t="n"/>
      <c r="R139" s="26" t="n"/>
      <c r="S139" s="26" t="n"/>
      <c r="T139" s="26" t="n"/>
      <c r="V139" s="27">
        <f>IF(ISNUMBER($C139),COUNTIFS($A$14:$A$1213,$A139,$C$14:$C$1213,"&gt;"&amp;$C139)+(COUNTIFS($A$14:$A$1213,$A139,$C$14:$C$1213,"="&amp;$C139)+1)/2,"")</f>
        <v/>
      </c>
      <c r="W139" s="27">
        <f>IF(ISNUMBER($F139),COUNTIFS($A$14:$A$1213,$A139,$F$14:$F$1213,"&gt;"&amp;$F139)+(COUNTIFS($A$14:$A$1213,$A139,$F$14:$F$1213,"="&amp;$F139)+1)/2,"")</f>
        <v/>
      </c>
      <c r="X139" s="27">
        <f>IF(OR(NOT(ISNUMBER($V139)),$AO139=1),"",$V139-(COUNTIFS($A$14:$A$1213,$A139,$C$14:$C$1213,"&gt;=0")+1)/2)</f>
        <v/>
      </c>
      <c r="Y139" s="27">
        <f>IF(OR(NOT(ISNUMBER($W139)),$AO139=1),"",$W139-(COUNTIFS($A$14:$A$1213,$A139,$F$14:$F$1213,"&gt;=0")+1)/2)</f>
        <v/>
      </c>
      <c r="Z139" s="27">
        <f>IF(ISNUMBER($V139),$A139&amp;"|"&amp;$V139,"")</f>
        <v/>
      </c>
      <c r="AA139" s="27">
        <f>IF(ISNUMBER($W139),$A139&amp;"|"&amp;$W139,"")</f>
        <v/>
      </c>
      <c r="AB139" s="27">
        <f>IF(ISNUMBER($F139),$A139&amp;"|"&amp;$F139,"")</f>
        <v/>
      </c>
      <c r="AC139" s="27">
        <f>IF(ISNUMBER($P139),COUNTIFS($A$14:$A$1213,$A139,$P$14:$P$1213,"&gt;"&amp;$P139)+(COUNTIFS($A$14:$A$1213,$A139,$P$14:$P$1213,"="&amp;$P139)+1)/2,"")</f>
        <v/>
      </c>
      <c r="AD139" s="27">
        <f>IF(ISNUMBER($Q139),COUNTIFS($A$14:$A$1213,$A139,$Q$14:$Q$1213,"&gt;"&amp;$Q139)+(COUNTIFS($A$14:$A$1213,$A139,$Q$14:$Q$1213,"="&amp;$Q139)+1)/2,"")</f>
        <v/>
      </c>
      <c r="AE139" s="27">
        <f>IF(ISNUMBER($R139),COUNTIFS($A$14:$A$1213,$A139,$R$14:$R$1213,"&gt;"&amp;$R139)+(COUNTIFS($A$14:$A$1213,$A139,$R$14:$R$1213,"="&amp;$R139)+1)/2,"")</f>
        <v/>
      </c>
      <c r="AF139" s="27">
        <f>IF(ISNUMBER($S139),COUNTIFS($A$14:$A$1213,$A139,$S$14:$S$1213,"&gt;"&amp;$S139)+(COUNTIFS($A$14:$A$1213,$A139,$S$14:$S$1213,"="&amp;$S139)+1)/2,"")</f>
        <v/>
      </c>
      <c r="AG139" s="27">
        <f>IF(ISNUMBER($T139),COUNTIFS($A$14:$A$1213,$A139,$T$14:$T$1213,"&gt;"&amp;$T139)+(COUNTIFS($A$14:$A$1213,$A139,$T$14:$T$1213,"="&amp;$T139)+1)/2,"")</f>
        <v/>
      </c>
      <c r="AH139" s="27">
        <f>IF(COUNT($AC139:$AG139)&lt;2,"",IF(MAX($AC139:$AG139)=MIN($AC139:$AG139),0,1))</f>
        <v/>
      </c>
      <c r="AI139" s="27">
        <f>IF($A139="","",IF(COUNTIF($A$14:$A139,$A139)=1,COUNTIF($AI$13:AI138,"&gt;0")+1,""))</f>
        <v/>
      </c>
      <c r="AJ139" s="27">
        <f>IF(OR($H139="",COUNTIFS($A$14:$A$1213,$H139,$F$14:$F$1213,"&gt;=0")&lt;2,COUNTIFS($A$14:$A$1213,$H139,$F$14:$F$1213,_xlfn.MAXIFS($F$14:$F$1213,$A$14:$A$1213,$H139))&gt;1),"",IFERROR(INDEX($D$14:$D$1213,MATCH($H139&amp;"|"&amp;_xlfn.MAXIFS($F$14:$F$1213,$A$14:$A$1213,$H139),$AB$14:$AB$1213,0)),""))</f>
        <v/>
      </c>
      <c r="AK139" s="27">
        <f>IF(OR($H139="",COUNTIFS($A$14:$A$1213,$H139,$F$14:$F$1213,"&gt;=0")&lt;2,COUNTIFS($A$14:$A$1213,$H139,$F$14:$F$1213,_xlfn.MAXIFS($F$14:$F$1213,$A$14:$A$1213,$H139))&gt;1),"",IFERROR(INDEX($E$14:$E$1213,MATCH($H139&amp;"|"&amp;_xlfn.MAXIFS($F$14:$F$1213,$A$14:$A$1213,$H139),$AB$14:$AB$1213,0)),""))</f>
        <v/>
      </c>
      <c r="AL139" s="27">
        <f>IF(OR($H139="",COUNTIFS($A$14:$A$1213,$H139,$F$14:$F$1213,"&gt;=0")&lt;2,COUNTIFS($A$14:$A$1213,$H139,$F$14:$F$1213,_xlfn.MAXIFS($F$14:$F$1213,$A$14:$A$1213,$H139))&gt;1),"",IFERROR(INDEX($D$14:$D$1213,MATCH($H139&amp;"|"&amp;_xlfn.MAXIFS($F$14:$F$1213,$A$14:$A$1213,$H139,$F$14:$F$1213,"&lt;"&amp;_xlfn.MAXIFS($F$14:$F$1213,$A$14:$A$1213,$H139)),$AB$14:$AB$1213,0)),""))</f>
        <v/>
      </c>
      <c r="AM139" s="27">
        <f>IF(OR($H139="",COUNTIFS($A$14:$A$1213,$H139,$F$14:$F$1213,"&gt;=0")&lt;2,COUNTIFS($A$14:$A$1213,$H139,$F$14:$F$1213,_xlfn.MAXIFS($F$14:$F$1213,$A$14:$A$1213,$H139))&gt;1),"",IFERROR(INDEX($E$14:$E$1213,MATCH($H139&amp;"|"&amp;_xlfn.MAXIFS($F$14:$F$1213,$A$14:$A$1213,$H139,$F$14:$F$1213,"&lt;"&amp;_xlfn.MAXIFS($F$14:$F$1213,$A$14:$A$1213,$H139)),$AB$14:$AB$1213,0)),""))</f>
        <v/>
      </c>
      <c r="AN139" s="27">
        <f>IF(OR(NOT(ISNUMBER($AJ139)),NOT(ISNUMBER($AL139)),$AK139=0,$AM139=0),"",IF(OR((($AJ139+$AL139)/($AK139+$AM139))&lt;=0,(($AJ139+$AL139)/($AK139+$AM139))&gt;=1),"",($AJ139/$AK139-$AL139/$AM139)/SQRT((($AJ139+$AL139)/($AK139+$AM139))*(1-(($AJ139+$AL139)/($AK139+$AM139)))*(1/$AK139+1/$AM139))))</f>
        <v/>
      </c>
      <c r="AO139" s="27">
        <f>IF($A139="","",IF(AND(COUNTIFS($A$14:$A$1213,$A139,$F$14:$F$1213,"&gt;=0")=2,IFERROR(INDEX($M$14:$M$313,MATCH($A139,$H$14:$H$313,0)),"Yes")&lt;&gt;"Yes"),1,0))</f>
        <v/>
      </c>
    </row>
    <row r="140" ht="24" customHeight="1">
      <c r="A140" s="19">
        <f>IF('Enter messages'!A140="","",'Enter messages'!A140)</f>
        <v/>
      </c>
      <c r="B140" s="20">
        <f>IF('Enter messages'!B140="","",'Enter messages'!B140)</f>
        <v/>
      </c>
      <c r="C140" s="21">
        <f>IFERROR(AVERAGE(P140:T140),"")</f>
        <v/>
      </c>
      <c r="D140" s="29" t="n"/>
      <c r="E140" s="29" t="n"/>
      <c r="F140" s="30">
        <f>IF(AND(ISNUMBER($D140),ISNUMBER($E140),$E140&gt;0,$D140&lt;=$E140),$D140/$E140,"")</f>
        <v/>
      </c>
      <c r="H140" s="19">
        <f>IFERROR(INDEX($A$14:$A$1213,MATCH(127,$AI$14:$AI$1213,0)),"")</f>
        <v/>
      </c>
      <c r="I140" s="24">
        <f>IF($H140="","",IF(COUNTIFS($A$14:$A$1213,$H140,$C$14:$C$1213,"&gt;=0")=0,"—",IFERROR(INDEX($B$14:$B$1213,MATCH($H140&amp;"|1",$Z$14:$Z$1213,0)),"(tied)")))</f>
        <v/>
      </c>
      <c r="J140" s="25">
        <f>IF($H140="","",IF(OR(COUNTIFS($A$14:$A$1213,$H140,$C$14:$C$1213,"&gt;=0")=0,COUNTIFS($A$14:$A$1213,$H140,$F$14:$F$1213,"&gt;=0")=0),"—",IF(OR(ISERROR(MATCH($H140&amp;"|1",$Z$14:$Z$1213,0)),ISERROR(MATCH($H140&amp;"|1",$AA$14:$AA$1213,0))),"Tie",IF(MATCH($H140&amp;"|1",$Z$14:$Z$1213,0)=MATCH($H140&amp;"|1",$AA$14:$AA$1213,0),"Hit","Miss"))))</f>
        <v/>
      </c>
      <c r="K140" s="24">
        <f>IF($H140="","",IF(COUNTIFS($A$14:$A$1213,$H140,$F$14:$F$1213,"&gt;=0")=0,"—",IFERROR(INDEX($B$14:$B$1213,MATCH($H140&amp;"|1",$AA$14:$AA$1213,0)),"(tied)")))</f>
        <v/>
      </c>
      <c r="L140" s="25">
        <f>IF($H140="","",IF((--(COUNTIFS($A$14:$A$1213,$H140,$P$14:$P$1213,"&gt;=0")&gt;0)+--(COUNTIFS($A$14:$A$1213,$H140,$Q$14:$Q$1213,"&gt;=0")&gt;0)+--(COUNTIFS($A$14:$A$1213,$H140,$R$14:$R$1213,"&gt;=0")&gt;0)+--(COUNTIFS($A$14:$A$1213,$H140,$S$14:$S$1213,"&gt;=0")&gt;0)+--(COUNTIFS($A$14:$A$1213,$H140,$T$14:$T$1213,"&gt;=0")&gt;0))&lt;2,"—",IF(SUMIFS($AH$14:$AH$1213,$A$14:$A$1213,$H140)=0,"Yes","No")))</f>
        <v/>
      </c>
      <c r="M140" s="25">
        <f>IF($H140="","",IF(COUNTIFS($A$14:$A$1213,$H140,$F$14:$F$1213,"&gt;=0")&lt;2,"—",IF(COUNTIFS($A$14:$A$1213,$H140,$F$14:$F$1213,_xlfn.MAXIFS($F$14:$F$1213,$A$14:$A$1213,$H140))&gt;1,"No",IF(NOT(ISNUMBER($AN140)),"—",IF((2*(1-NORMSDIST(ABS($AN140))))&lt;0.05,"Yes","No")))))</f>
        <v/>
      </c>
      <c r="N140" s="21">
        <f>IF($H140="","",IF(NOT(ISNUMBER($AN140)),"—",IF((2*(1-NORMSDIST(ABS($AN140))))&lt;0.001,"&lt;0.001",TEXT((2*(1-NORMSDIST(ABS($AN140)))),"0.000"))))</f>
        <v/>
      </c>
      <c r="P140" s="26" t="n"/>
      <c r="Q140" s="26" t="n"/>
      <c r="R140" s="26" t="n"/>
      <c r="S140" s="26" t="n"/>
      <c r="T140" s="26" t="n"/>
      <c r="V140" s="27">
        <f>IF(ISNUMBER($C140),COUNTIFS($A$14:$A$1213,$A140,$C$14:$C$1213,"&gt;"&amp;$C140)+(COUNTIFS($A$14:$A$1213,$A140,$C$14:$C$1213,"="&amp;$C140)+1)/2,"")</f>
        <v/>
      </c>
      <c r="W140" s="27">
        <f>IF(ISNUMBER($F140),COUNTIFS($A$14:$A$1213,$A140,$F$14:$F$1213,"&gt;"&amp;$F140)+(COUNTIFS($A$14:$A$1213,$A140,$F$14:$F$1213,"="&amp;$F140)+1)/2,"")</f>
        <v/>
      </c>
      <c r="X140" s="27">
        <f>IF(OR(NOT(ISNUMBER($V140)),$AO140=1),"",$V140-(COUNTIFS($A$14:$A$1213,$A140,$C$14:$C$1213,"&gt;=0")+1)/2)</f>
        <v/>
      </c>
      <c r="Y140" s="27">
        <f>IF(OR(NOT(ISNUMBER($W140)),$AO140=1),"",$W140-(COUNTIFS($A$14:$A$1213,$A140,$F$14:$F$1213,"&gt;=0")+1)/2)</f>
        <v/>
      </c>
      <c r="Z140" s="27">
        <f>IF(ISNUMBER($V140),$A140&amp;"|"&amp;$V140,"")</f>
        <v/>
      </c>
      <c r="AA140" s="27">
        <f>IF(ISNUMBER($W140),$A140&amp;"|"&amp;$W140,"")</f>
        <v/>
      </c>
      <c r="AB140" s="27">
        <f>IF(ISNUMBER($F140),$A140&amp;"|"&amp;$F140,"")</f>
        <v/>
      </c>
      <c r="AC140" s="27">
        <f>IF(ISNUMBER($P140),COUNTIFS($A$14:$A$1213,$A140,$P$14:$P$1213,"&gt;"&amp;$P140)+(COUNTIFS($A$14:$A$1213,$A140,$P$14:$P$1213,"="&amp;$P140)+1)/2,"")</f>
        <v/>
      </c>
      <c r="AD140" s="27">
        <f>IF(ISNUMBER($Q140),COUNTIFS($A$14:$A$1213,$A140,$Q$14:$Q$1213,"&gt;"&amp;$Q140)+(COUNTIFS($A$14:$A$1213,$A140,$Q$14:$Q$1213,"="&amp;$Q140)+1)/2,"")</f>
        <v/>
      </c>
      <c r="AE140" s="27">
        <f>IF(ISNUMBER($R140),COUNTIFS($A$14:$A$1213,$A140,$R$14:$R$1213,"&gt;"&amp;$R140)+(COUNTIFS($A$14:$A$1213,$A140,$R$14:$R$1213,"="&amp;$R140)+1)/2,"")</f>
        <v/>
      </c>
      <c r="AF140" s="27">
        <f>IF(ISNUMBER($S140),COUNTIFS($A$14:$A$1213,$A140,$S$14:$S$1213,"&gt;"&amp;$S140)+(COUNTIFS($A$14:$A$1213,$A140,$S$14:$S$1213,"="&amp;$S140)+1)/2,"")</f>
        <v/>
      </c>
      <c r="AG140" s="27">
        <f>IF(ISNUMBER($T140),COUNTIFS($A$14:$A$1213,$A140,$T$14:$T$1213,"&gt;"&amp;$T140)+(COUNTIFS($A$14:$A$1213,$A140,$T$14:$T$1213,"="&amp;$T140)+1)/2,"")</f>
        <v/>
      </c>
      <c r="AH140" s="27">
        <f>IF(COUNT($AC140:$AG140)&lt;2,"",IF(MAX($AC140:$AG140)=MIN($AC140:$AG140),0,1))</f>
        <v/>
      </c>
      <c r="AI140" s="27">
        <f>IF($A140="","",IF(COUNTIF($A$14:$A140,$A140)=1,COUNTIF($AI$13:AI139,"&gt;0")+1,""))</f>
        <v/>
      </c>
      <c r="AJ140" s="27">
        <f>IF(OR($H140="",COUNTIFS($A$14:$A$1213,$H140,$F$14:$F$1213,"&gt;=0")&lt;2,COUNTIFS($A$14:$A$1213,$H140,$F$14:$F$1213,_xlfn.MAXIFS($F$14:$F$1213,$A$14:$A$1213,$H140))&gt;1),"",IFERROR(INDEX($D$14:$D$1213,MATCH($H140&amp;"|"&amp;_xlfn.MAXIFS($F$14:$F$1213,$A$14:$A$1213,$H140),$AB$14:$AB$1213,0)),""))</f>
        <v/>
      </c>
      <c r="AK140" s="27">
        <f>IF(OR($H140="",COUNTIFS($A$14:$A$1213,$H140,$F$14:$F$1213,"&gt;=0")&lt;2,COUNTIFS($A$14:$A$1213,$H140,$F$14:$F$1213,_xlfn.MAXIFS($F$14:$F$1213,$A$14:$A$1213,$H140))&gt;1),"",IFERROR(INDEX($E$14:$E$1213,MATCH($H140&amp;"|"&amp;_xlfn.MAXIFS($F$14:$F$1213,$A$14:$A$1213,$H140),$AB$14:$AB$1213,0)),""))</f>
        <v/>
      </c>
      <c r="AL140" s="27">
        <f>IF(OR($H140="",COUNTIFS($A$14:$A$1213,$H140,$F$14:$F$1213,"&gt;=0")&lt;2,COUNTIFS($A$14:$A$1213,$H140,$F$14:$F$1213,_xlfn.MAXIFS($F$14:$F$1213,$A$14:$A$1213,$H140))&gt;1),"",IFERROR(INDEX($D$14:$D$1213,MATCH($H140&amp;"|"&amp;_xlfn.MAXIFS($F$14:$F$1213,$A$14:$A$1213,$H140,$F$14:$F$1213,"&lt;"&amp;_xlfn.MAXIFS($F$14:$F$1213,$A$14:$A$1213,$H140)),$AB$14:$AB$1213,0)),""))</f>
        <v/>
      </c>
      <c r="AM140" s="27">
        <f>IF(OR($H140="",COUNTIFS($A$14:$A$1213,$H140,$F$14:$F$1213,"&gt;=0")&lt;2,COUNTIFS($A$14:$A$1213,$H140,$F$14:$F$1213,_xlfn.MAXIFS($F$14:$F$1213,$A$14:$A$1213,$H140))&gt;1),"",IFERROR(INDEX($E$14:$E$1213,MATCH($H140&amp;"|"&amp;_xlfn.MAXIFS($F$14:$F$1213,$A$14:$A$1213,$H140,$F$14:$F$1213,"&lt;"&amp;_xlfn.MAXIFS($F$14:$F$1213,$A$14:$A$1213,$H140)),$AB$14:$AB$1213,0)),""))</f>
        <v/>
      </c>
      <c r="AN140" s="27">
        <f>IF(OR(NOT(ISNUMBER($AJ140)),NOT(ISNUMBER($AL140)),$AK140=0,$AM140=0),"",IF(OR((($AJ140+$AL140)/($AK140+$AM140))&lt;=0,(($AJ140+$AL140)/($AK140+$AM140))&gt;=1),"",($AJ140/$AK140-$AL140/$AM140)/SQRT((($AJ140+$AL140)/($AK140+$AM140))*(1-(($AJ140+$AL140)/($AK140+$AM140)))*(1/$AK140+1/$AM140))))</f>
        <v/>
      </c>
      <c r="AO140" s="27">
        <f>IF($A140="","",IF(AND(COUNTIFS($A$14:$A$1213,$A140,$F$14:$F$1213,"&gt;=0")=2,IFERROR(INDEX($M$14:$M$313,MATCH($A140,$H$14:$H$313,0)),"Yes")&lt;&gt;"Yes"),1,0))</f>
        <v/>
      </c>
    </row>
    <row r="141" ht="24" customHeight="1">
      <c r="A141" s="19">
        <f>IF('Enter messages'!A141="","",'Enter messages'!A141)</f>
        <v/>
      </c>
      <c r="B141" s="20">
        <f>IF('Enter messages'!B141="","",'Enter messages'!B141)</f>
        <v/>
      </c>
      <c r="C141" s="21">
        <f>IFERROR(AVERAGE(P141:T141),"")</f>
        <v/>
      </c>
      <c r="D141" s="29" t="n"/>
      <c r="E141" s="29" t="n"/>
      <c r="F141" s="30">
        <f>IF(AND(ISNUMBER($D141),ISNUMBER($E141),$E141&gt;0,$D141&lt;=$E141),$D141/$E141,"")</f>
        <v/>
      </c>
      <c r="H141" s="19">
        <f>IFERROR(INDEX($A$14:$A$1213,MATCH(128,$AI$14:$AI$1213,0)),"")</f>
        <v/>
      </c>
      <c r="I141" s="24">
        <f>IF($H141="","",IF(COUNTIFS($A$14:$A$1213,$H141,$C$14:$C$1213,"&gt;=0")=0,"—",IFERROR(INDEX($B$14:$B$1213,MATCH($H141&amp;"|1",$Z$14:$Z$1213,0)),"(tied)")))</f>
        <v/>
      </c>
      <c r="J141" s="25">
        <f>IF($H141="","",IF(OR(COUNTIFS($A$14:$A$1213,$H141,$C$14:$C$1213,"&gt;=0")=0,COUNTIFS($A$14:$A$1213,$H141,$F$14:$F$1213,"&gt;=0")=0),"—",IF(OR(ISERROR(MATCH($H141&amp;"|1",$Z$14:$Z$1213,0)),ISERROR(MATCH($H141&amp;"|1",$AA$14:$AA$1213,0))),"Tie",IF(MATCH($H141&amp;"|1",$Z$14:$Z$1213,0)=MATCH($H141&amp;"|1",$AA$14:$AA$1213,0),"Hit","Miss"))))</f>
        <v/>
      </c>
      <c r="K141" s="24">
        <f>IF($H141="","",IF(COUNTIFS($A$14:$A$1213,$H141,$F$14:$F$1213,"&gt;=0")=0,"—",IFERROR(INDEX($B$14:$B$1213,MATCH($H141&amp;"|1",$AA$14:$AA$1213,0)),"(tied)")))</f>
        <v/>
      </c>
      <c r="L141" s="25">
        <f>IF($H141="","",IF((--(COUNTIFS($A$14:$A$1213,$H141,$P$14:$P$1213,"&gt;=0")&gt;0)+--(COUNTIFS($A$14:$A$1213,$H141,$Q$14:$Q$1213,"&gt;=0")&gt;0)+--(COUNTIFS($A$14:$A$1213,$H141,$R$14:$R$1213,"&gt;=0")&gt;0)+--(COUNTIFS($A$14:$A$1213,$H141,$S$14:$S$1213,"&gt;=0")&gt;0)+--(COUNTIFS($A$14:$A$1213,$H141,$T$14:$T$1213,"&gt;=0")&gt;0))&lt;2,"—",IF(SUMIFS($AH$14:$AH$1213,$A$14:$A$1213,$H141)=0,"Yes","No")))</f>
        <v/>
      </c>
      <c r="M141" s="25">
        <f>IF($H141="","",IF(COUNTIFS($A$14:$A$1213,$H141,$F$14:$F$1213,"&gt;=0")&lt;2,"—",IF(COUNTIFS($A$14:$A$1213,$H141,$F$14:$F$1213,_xlfn.MAXIFS($F$14:$F$1213,$A$14:$A$1213,$H141))&gt;1,"No",IF(NOT(ISNUMBER($AN141)),"—",IF((2*(1-NORMSDIST(ABS($AN141))))&lt;0.05,"Yes","No")))))</f>
        <v/>
      </c>
      <c r="N141" s="21">
        <f>IF($H141="","",IF(NOT(ISNUMBER($AN141)),"—",IF((2*(1-NORMSDIST(ABS($AN141))))&lt;0.001,"&lt;0.001",TEXT((2*(1-NORMSDIST(ABS($AN141)))),"0.000"))))</f>
        <v/>
      </c>
      <c r="P141" s="26" t="n"/>
      <c r="Q141" s="26" t="n"/>
      <c r="R141" s="26" t="n"/>
      <c r="S141" s="26" t="n"/>
      <c r="T141" s="26" t="n"/>
      <c r="V141" s="27">
        <f>IF(ISNUMBER($C141),COUNTIFS($A$14:$A$1213,$A141,$C$14:$C$1213,"&gt;"&amp;$C141)+(COUNTIFS($A$14:$A$1213,$A141,$C$14:$C$1213,"="&amp;$C141)+1)/2,"")</f>
        <v/>
      </c>
      <c r="W141" s="27">
        <f>IF(ISNUMBER($F141),COUNTIFS($A$14:$A$1213,$A141,$F$14:$F$1213,"&gt;"&amp;$F141)+(COUNTIFS($A$14:$A$1213,$A141,$F$14:$F$1213,"="&amp;$F141)+1)/2,"")</f>
        <v/>
      </c>
      <c r="X141" s="27">
        <f>IF(OR(NOT(ISNUMBER($V141)),$AO141=1),"",$V141-(COUNTIFS($A$14:$A$1213,$A141,$C$14:$C$1213,"&gt;=0")+1)/2)</f>
        <v/>
      </c>
      <c r="Y141" s="27">
        <f>IF(OR(NOT(ISNUMBER($W141)),$AO141=1),"",$W141-(COUNTIFS($A$14:$A$1213,$A141,$F$14:$F$1213,"&gt;=0")+1)/2)</f>
        <v/>
      </c>
      <c r="Z141" s="27">
        <f>IF(ISNUMBER($V141),$A141&amp;"|"&amp;$V141,"")</f>
        <v/>
      </c>
      <c r="AA141" s="27">
        <f>IF(ISNUMBER($W141),$A141&amp;"|"&amp;$W141,"")</f>
        <v/>
      </c>
      <c r="AB141" s="27">
        <f>IF(ISNUMBER($F141),$A141&amp;"|"&amp;$F141,"")</f>
        <v/>
      </c>
      <c r="AC141" s="27">
        <f>IF(ISNUMBER($P141),COUNTIFS($A$14:$A$1213,$A141,$P$14:$P$1213,"&gt;"&amp;$P141)+(COUNTIFS($A$14:$A$1213,$A141,$P$14:$P$1213,"="&amp;$P141)+1)/2,"")</f>
        <v/>
      </c>
      <c r="AD141" s="27">
        <f>IF(ISNUMBER($Q141),COUNTIFS($A$14:$A$1213,$A141,$Q$14:$Q$1213,"&gt;"&amp;$Q141)+(COUNTIFS($A$14:$A$1213,$A141,$Q$14:$Q$1213,"="&amp;$Q141)+1)/2,"")</f>
        <v/>
      </c>
      <c r="AE141" s="27">
        <f>IF(ISNUMBER($R141),COUNTIFS($A$14:$A$1213,$A141,$R$14:$R$1213,"&gt;"&amp;$R141)+(COUNTIFS($A$14:$A$1213,$A141,$R$14:$R$1213,"="&amp;$R141)+1)/2,"")</f>
        <v/>
      </c>
      <c r="AF141" s="27">
        <f>IF(ISNUMBER($S141),COUNTIFS($A$14:$A$1213,$A141,$S$14:$S$1213,"&gt;"&amp;$S141)+(COUNTIFS($A$14:$A$1213,$A141,$S$14:$S$1213,"="&amp;$S141)+1)/2,"")</f>
        <v/>
      </c>
      <c r="AG141" s="27">
        <f>IF(ISNUMBER($T141),COUNTIFS($A$14:$A$1213,$A141,$T$14:$T$1213,"&gt;"&amp;$T141)+(COUNTIFS($A$14:$A$1213,$A141,$T$14:$T$1213,"="&amp;$T141)+1)/2,"")</f>
        <v/>
      </c>
      <c r="AH141" s="27">
        <f>IF(COUNT($AC141:$AG141)&lt;2,"",IF(MAX($AC141:$AG141)=MIN($AC141:$AG141),0,1))</f>
        <v/>
      </c>
      <c r="AI141" s="27">
        <f>IF($A141="","",IF(COUNTIF($A$14:$A141,$A141)=1,COUNTIF($AI$13:AI140,"&gt;0")+1,""))</f>
        <v/>
      </c>
      <c r="AJ141" s="27">
        <f>IF(OR($H141="",COUNTIFS($A$14:$A$1213,$H141,$F$14:$F$1213,"&gt;=0")&lt;2,COUNTIFS($A$14:$A$1213,$H141,$F$14:$F$1213,_xlfn.MAXIFS($F$14:$F$1213,$A$14:$A$1213,$H141))&gt;1),"",IFERROR(INDEX($D$14:$D$1213,MATCH($H141&amp;"|"&amp;_xlfn.MAXIFS($F$14:$F$1213,$A$14:$A$1213,$H141),$AB$14:$AB$1213,0)),""))</f>
        <v/>
      </c>
      <c r="AK141" s="27">
        <f>IF(OR($H141="",COUNTIFS($A$14:$A$1213,$H141,$F$14:$F$1213,"&gt;=0")&lt;2,COUNTIFS($A$14:$A$1213,$H141,$F$14:$F$1213,_xlfn.MAXIFS($F$14:$F$1213,$A$14:$A$1213,$H141))&gt;1),"",IFERROR(INDEX($E$14:$E$1213,MATCH($H141&amp;"|"&amp;_xlfn.MAXIFS($F$14:$F$1213,$A$14:$A$1213,$H141),$AB$14:$AB$1213,0)),""))</f>
        <v/>
      </c>
      <c r="AL141" s="27">
        <f>IF(OR($H141="",COUNTIFS($A$14:$A$1213,$H141,$F$14:$F$1213,"&gt;=0")&lt;2,COUNTIFS($A$14:$A$1213,$H141,$F$14:$F$1213,_xlfn.MAXIFS($F$14:$F$1213,$A$14:$A$1213,$H141))&gt;1),"",IFERROR(INDEX($D$14:$D$1213,MATCH($H141&amp;"|"&amp;_xlfn.MAXIFS($F$14:$F$1213,$A$14:$A$1213,$H141,$F$14:$F$1213,"&lt;"&amp;_xlfn.MAXIFS($F$14:$F$1213,$A$14:$A$1213,$H141)),$AB$14:$AB$1213,0)),""))</f>
        <v/>
      </c>
      <c r="AM141" s="27">
        <f>IF(OR($H141="",COUNTIFS($A$14:$A$1213,$H141,$F$14:$F$1213,"&gt;=0")&lt;2,COUNTIFS($A$14:$A$1213,$H141,$F$14:$F$1213,_xlfn.MAXIFS($F$14:$F$1213,$A$14:$A$1213,$H141))&gt;1),"",IFERROR(INDEX($E$14:$E$1213,MATCH($H141&amp;"|"&amp;_xlfn.MAXIFS($F$14:$F$1213,$A$14:$A$1213,$H141,$F$14:$F$1213,"&lt;"&amp;_xlfn.MAXIFS($F$14:$F$1213,$A$14:$A$1213,$H141)),$AB$14:$AB$1213,0)),""))</f>
        <v/>
      </c>
      <c r="AN141" s="27">
        <f>IF(OR(NOT(ISNUMBER($AJ141)),NOT(ISNUMBER($AL141)),$AK141=0,$AM141=0),"",IF(OR((($AJ141+$AL141)/($AK141+$AM141))&lt;=0,(($AJ141+$AL141)/($AK141+$AM141))&gt;=1),"",($AJ141/$AK141-$AL141/$AM141)/SQRT((($AJ141+$AL141)/($AK141+$AM141))*(1-(($AJ141+$AL141)/($AK141+$AM141)))*(1/$AK141+1/$AM141))))</f>
        <v/>
      </c>
      <c r="AO141" s="27">
        <f>IF($A141="","",IF(AND(COUNTIFS($A$14:$A$1213,$A141,$F$14:$F$1213,"&gt;=0")=2,IFERROR(INDEX($M$14:$M$313,MATCH($A141,$H$14:$H$313,0)),"Yes")&lt;&gt;"Yes"),1,0))</f>
        <v/>
      </c>
    </row>
    <row r="142" ht="24" customHeight="1">
      <c r="A142" s="19">
        <f>IF('Enter messages'!A142="","",'Enter messages'!A142)</f>
        <v/>
      </c>
      <c r="B142" s="20">
        <f>IF('Enter messages'!B142="","",'Enter messages'!B142)</f>
        <v/>
      </c>
      <c r="C142" s="21">
        <f>IFERROR(AVERAGE(P142:T142),"")</f>
        <v/>
      </c>
      <c r="D142" s="29" t="n"/>
      <c r="E142" s="29" t="n"/>
      <c r="F142" s="30">
        <f>IF(AND(ISNUMBER($D142),ISNUMBER($E142),$E142&gt;0,$D142&lt;=$E142),$D142/$E142,"")</f>
        <v/>
      </c>
      <c r="H142" s="19">
        <f>IFERROR(INDEX($A$14:$A$1213,MATCH(129,$AI$14:$AI$1213,0)),"")</f>
        <v/>
      </c>
      <c r="I142" s="24">
        <f>IF($H142="","",IF(COUNTIFS($A$14:$A$1213,$H142,$C$14:$C$1213,"&gt;=0")=0,"—",IFERROR(INDEX($B$14:$B$1213,MATCH($H142&amp;"|1",$Z$14:$Z$1213,0)),"(tied)")))</f>
        <v/>
      </c>
      <c r="J142" s="25">
        <f>IF($H142="","",IF(OR(COUNTIFS($A$14:$A$1213,$H142,$C$14:$C$1213,"&gt;=0")=0,COUNTIFS($A$14:$A$1213,$H142,$F$14:$F$1213,"&gt;=0")=0),"—",IF(OR(ISERROR(MATCH($H142&amp;"|1",$Z$14:$Z$1213,0)),ISERROR(MATCH($H142&amp;"|1",$AA$14:$AA$1213,0))),"Tie",IF(MATCH($H142&amp;"|1",$Z$14:$Z$1213,0)=MATCH($H142&amp;"|1",$AA$14:$AA$1213,0),"Hit","Miss"))))</f>
        <v/>
      </c>
      <c r="K142" s="24">
        <f>IF($H142="","",IF(COUNTIFS($A$14:$A$1213,$H142,$F$14:$F$1213,"&gt;=0")=0,"—",IFERROR(INDEX($B$14:$B$1213,MATCH($H142&amp;"|1",$AA$14:$AA$1213,0)),"(tied)")))</f>
        <v/>
      </c>
      <c r="L142" s="25">
        <f>IF($H142="","",IF((--(COUNTIFS($A$14:$A$1213,$H142,$P$14:$P$1213,"&gt;=0")&gt;0)+--(COUNTIFS($A$14:$A$1213,$H142,$Q$14:$Q$1213,"&gt;=0")&gt;0)+--(COUNTIFS($A$14:$A$1213,$H142,$R$14:$R$1213,"&gt;=0")&gt;0)+--(COUNTIFS($A$14:$A$1213,$H142,$S$14:$S$1213,"&gt;=0")&gt;0)+--(COUNTIFS($A$14:$A$1213,$H142,$T$14:$T$1213,"&gt;=0")&gt;0))&lt;2,"—",IF(SUMIFS($AH$14:$AH$1213,$A$14:$A$1213,$H142)=0,"Yes","No")))</f>
        <v/>
      </c>
      <c r="M142" s="25">
        <f>IF($H142="","",IF(COUNTIFS($A$14:$A$1213,$H142,$F$14:$F$1213,"&gt;=0")&lt;2,"—",IF(COUNTIFS($A$14:$A$1213,$H142,$F$14:$F$1213,_xlfn.MAXIFS($F$14:$F$1213,$A$14:$A$1213,$H142))&gt;1,"No",IF(NOT(ISNUMBER($AN142)),"—",IF((2*(1-NORMSDIST(ABS($AN142))))&lt;0.05,"Yes","No")))))</f>
        <v/>
      </c>
      <c r="N142" s="21">
        <f>IF($H142="","",IF(NOT(ISNUMBER($AN142)),"—",IF((2*(1-NORMSDIST(ABS($AN142))))&lt;0.001,"&lt;0.001",TEXT((2*(1-NORMSDIST(ABS($AN142)))),"0.000"))))</f>
        <v/>
      </c>
      <c r="P142" s="26" t="n"/>
      <c r="Q142" s="26" t="n"/>
      <c r="R142" s="26" t="n"/>
      <c r="S142" s="26" t="n"/>
      <c r="T142" s="26" t="n"/>
      <c r="V142" s="27">
        <f>IF(ISNUMBER($C142),COUNTIFS($A$14:$A$1213,$A142,$C$14:$C$1213,"&gt;"&amp;$C142)+(COUNTIFS($A$14:$A$1213,$A142,$C$14:$C$1213,"="&amp;$C142)+1)/2,"")</f>
        <v/>
      </c>
      <c r="W142" s="27">
        <f>IF(ISNUMBER($F142),COUNTIFS($A$14:$A$1213,$A142,$F$14:$F$1213,"&gt;"&amp;$F142)+(COUNTIFS($A$14:$A$1213,$A142,$F$14:$F$1213,"="&amp;$F142)+1)/2,"")</f>
        <v/>
      </c>
      <c r="X142" s="27">
        <f>IF(OR(NOT(ISNUMBER($V142)),$AO142=1),"",$V142-(COUNTIFS($A$14:$A$1213,$A142,$C$14:$C$1213,"&gt;=0")+1)/2)</f>
        <v/>
      </c>
      <c r="Y142" s="27">
        <f>IF(OR(NOT(ISNUMBER($W142)),$AO142=1),"",$W142-(COUNTIFS($A$14:$A$1213,$A142,$F$14:$F$1213,"&gt;=0")+1)/2)</f>
        <v/>
      </c>
      <c r="Z142" s="27">
        <f>IF(ISNUMBER($V142),$A142&amp;"|"&amp;$V142,"")</f>
        <v/>
      </c>
      <c r="AA142" s="27">
        <f>IF(ISNUMBER($W142),$A142&amp;"|"&amp;$W142,"")</f>
        <v/>
      </c>
      <c r="AB142" s="27">
        <f>IF(ISNUMBER($F142),$A142&amp;"|"&amp;$F142,"")</f>
        <v/>
      </c>
      <c r="AC142" s="27">
        <f>IF(ISNUMBER($P142),COUNTIFS($A$14:$A$1213,$A142,$P$14:$P$1213,"&gt;"&amp;$P142)+(COUNTIFS($A$14:$A$1213,$A142,$P$14:$P$1213,"="&amp;$P142)+1)/2,"")</f>
        <v/>
      </c>
      <c r="AD142" s="27">
        <f>IF(ISNUMBER($Q142),COUNTIFS($A$14:$A$1213,$A142,$Q$14:$Q$1213,"&gt;"&amp;$Q142)+(COUNTIFS($A$14:$A$1213,$A142,$Q$14:$Q$1213,"="&amp;$Q142)+1)/2,"")</f>
        <v/>
      </c>
      <c r="AE142" s="27">
        <f>IF(ISNUMBER($R142),COUNTIFS($A$14:$A$1213,$A142,$R$14:$R$1213,"&gt;"&amp;$R142)+(COUNTIFS($A$14:$A$1213,$A142,$R$14:$R$1213,"="&amp;$R142)+1)/2,"")</f>
        <v/>
      </c>
      <c r="AF142" s="27">
        <f>IF(ISNUMBER($S142),COUNTIFS($A$14:$A$1213,$A142,$S$14:$S$1213,"&gt;"&amp;$S142)+(COUNTIFS($A$14:$A$1213,$A142,$S$14:$S$1213,"="&amp;$S142)+1)/2,"")</f>
        <v/>
      </c>
      <c r="AG142" s="27">
        <f>IF(ISNUMBER($T142),COUNTIFS($A$14:$A$1213,$A142,$T$14:$T$1213,"&gt;"&amp;$T142)+(COUNTIFS($A$14:$A$1213,$A142,$T$14:$T$1213,"="&amp;$T142)+1)/2,"")</f>
        <v/>
      </c>
      <c r="AH142" s="27">
        <f>IF(COUNT($AC142:$AG142)&lt;2,"",IF(MAX($AC142:$AG142)=MIN($AC142:$AG142),0,1))</f>
        <v/>
      </c>
      <c r="AI142" s="27">
        <f>IF($A142="","",IF(COUNTIF($A$14:$A142,$A142)=1,COUNTIF($AI$13:AI141,"&gt;0")+1,""))</f>
        <v/>
      </c>
      <c r="AJ142" s="27">
        <f>IF(OR($H142="",COUNTIFS($A$14:$A$1213,$H142,$F$14:$F$1213,"&gt;=0")&lt;2,COUNTIFS($A$14:$A$1213,$H142,$F$14:$F$1213,_xlfn.MAXIFS($F$14:$F$1213,$A$14:$A$1213,$H142))&gt;1),"",IFERROR(INDEX($D$14:$D$1213,MATCH($H142&amp;"|"&amp;_xlfn.MAXIFS($F$14:$F$1213,$A$14:$A$1213,$H142),$AB$14:$AB$1213,0)),""))</f>
        <v/>
      </c>
      <c r="AK142" s="27">
        <f>IF(OR($H142="",COUNTIFS($A$14:$A$1213,$H142,$F$14:$F$1213,"&gt;=0")&lt;2,COUNTIFS($A$14:$A$1213,$H142,$F$14:$F$1213,_xlfn.MAXIFS($F$14:$F$1213,$A$14:$A$1213,$H142))&gt;1),"",IFERROR(INDEX($E$14:$E$1213,MATCH($H142&amp;"|"&amp;_xlfn.MAXIFS($F$14:$F$1213,$A$14:$A$1213,$H142),$AB$14:$AB$1213,0)),""))</f>
        <v/>
      </c>
      <c r="AL142" s="27">
        <f>IF(OR($H142="",COUNTIFS($A$14:$A$1213,$H142,$F$14:$F$1213,"&gt;=0")&lt;2,COUNTIFS($A$14:$A$1213,$H142,$F$14:$F$1213,_xlfn.MAXIFS($F$14:$F$1213,$A$14:$A$1213,$H142))&gt;1),"",IFERROR(INDEX($D$14:$D$1213,MATCH($H142&amp;"|"&amp;_xlfn.MAXIFS($F$14:$F$1213,$A$14:$A$1213,$H142,$F$14:$F$1213,"&lt;"&amp;_xlfn.MAXIFS($F$14:$F$1213,$A$14:$A$1213,$H142)),$AB$14:$AB$1213,0)),""))</f>
        <v/>
      </c>
      <c r="AM142" s="27">
        <f>IF(OR($H142="",COUNTIFS($A$14:$A$1213,$H142,$F$14:$F$1213,"&gt;=0")&lt;2,COUNTIFS($A$14:$A$1213,$H142,$F$14:$F$1213,_xlfn.MAXIFS($F$14:$F$1213,$A$14:$A$1213,$H142))&gt;1),"",IFERROR(INDEX($E$14:$E$1213,MATCH($H142&amp;"|"&amp;_xlfn.MAXIFS($F$14:$F$1213,$A$14:$A$1213,$H142,$F$14:$F$1213,"&lt;"&amp;_xlfn.MAXIFS($F$14:$F$1213,$A$14:$A$1213,$H142)),$AB$14:$AB$1213,0)),""))</f>
        <v/>
      </c>
      <c r="AN142" s="27">
        <f>IF(OR(NOT(ISNUMBER($AJ142)),NOT(ISNUMBER($AL142)),$AK142=0,$AM142=0),"",IF(OR((($AJ142+$AL142)/($AK142+$AM142))&lt;=0,(($AJ142+$AL142)/($AK142+$AM142))&gt;=1),"",($AJ142/$AK142-$AL142/$AM142)/SQRT((($AJ142+$AL142)/($AK142+$AM142))*(1-(($AJ142+$AL142)/($AK142+$AM142)))*(1/$AK142+1/$AM142))))</f>
        <v/>
      </c>
      <c r="AO142" s="27">
        <f>IF($A142="","",IF(AND(COUNTIFS($A$14:$A$1213,$A142,$F$14:$F$1213,"&gt;=0")=2,IFERROR(INDEX($M$14:$M$313,MATCH($A142,$H$14:$H$313,0)),"Yes")&lt;&gt;"Yes"),1,0))</f>
        <v/>
      </c>
    </row>
    <row r="143" ht="24" customHeight="1">
      <c r="A143" s="19">
        <f>IF('Enter messages'!A143="","",'Enter messages'!A143)</f>
        <v/>
      </c>
      <c r="B143" s="20">
        <f>IF('Enter messages'!B143="","",'Enter messages'!B143)</f>
        <v/>
      </c>
      <c r="C143" s="21">
        <f>IFERROR(AVERAGE(P143:T143),"")</f>
        <v/>
      </c>
      <c r="D143" s="29" t="n"/>
      <c r="E143" s="29" t="n"/>
      <c r="F143" s="30">
        <f>IF(AND(ISNUMBER($D143),ISNUMBER($E143),$E143&gt;0,$D143&lt;=$E143),$D143/$E143,"")</f>
        <v/>
      </c>
      <c r="H143" s="19">
        <f>IFERROR(INDEX($A$14:$A$1213,MATCH(130,$AI$14:$AI$1213,0)),"")</f>
        <v/>
      </c>
      <c r="I143" s="24">
        <f>IF($H143="","",IF(COUNTIFS($A$14:$A$1213,$H143,$C$14:$C$1213,"&gt;=0")=0,"—",IFERROR(INDEX($B$14:$B$1213,MATCH($H143&amp;"|1",$Z$14:$Z$1213,0)),"(tied)")))</f>
        <v/>
      </c>
      <c r="J143" s="25">
        <f>IF($H143="","",IF(OR(COUNTIFS($A$14:$A$1213,$H143,$C$14:$C$1213,"&gt;=0")=0,COUNTIFS($A$14:$A$1213,$H143,$F$14:$F$1213,"&gt;=0")=0),"—",IF(OR(ISERROR(MATCH($H143&amp;"|1",$Z$14:$Z$1213,0)),ISERROR(MATCH($H143&amp;"|1",$AA$14:$AA$1213,0))),"Tie",IF(MATCH($H143&amp;"|1",$Z$14:$Z$1213,0)=MATCH($H143&amp;"|1",$AA$14:$AA$1213,0),"Hit","Miss"))))</f>
        <v/>
      </c>
      <c r="K143" s="24">
        <f>IF($H143="","",IF(COUNTIFS($A$14:$A$1213,$H143,$F$14:$F$1213,"&gt;=0")=0,"—",IFERROR(INDEX($B$14:$B$1213,MATCH($H143&amp;"|1",$AA$14:$AA$1213,0)),"(tied)")))</f>
        <v/>
      </c>
      <c r="L143" s="25">
        <f>IF($H143="","",IF((--(COUNTIFS($A$14:$A$1213,$H143,$P$14:$P$1213,"&gt;=0")&gt;0)+--(COUNTIFS($A$14:$A$1213,$H143,$Q$14:$Q$1213,"&gt;=0")&gt;0)+--(COUNTIFS($A$14:$A$1213,$H143,$R$14:$R$1213,"&gt;=0")&gt;0)+--(COUNTIFS($A$14:$A$1213,$H143,$S$14:$S$1213,"&gt;=0")&gt;0)+--(COUNTIFS($A$14:$A$1213,$H143,$T$14:$T$1213,"&gt;=0")&gt;0))&lt;2,"—",IF(SUMIFS($AH$14:$AH$1213,$A$14:$A$1213,$H143)=0,"Yes","No")))</f>
        <v/>
      </c>
      <c r="M143" s="25">
        <f>IF($H143="","",IF(COUNTIFS($A$14:$A$1213,$H143,$F$14:$F$1213,"&gt;=0")&lt;2,"—",IF(COUNTIFS($A$14:$A$1213,$H143,$F$14:$F$1213,_xlfn.MAXIFS($F$14:$F$1213,$A$14:$A$1213,$H143))&gt;1,"No",IF(NOT(ISNUMBER($AN143)),"—",IF((2*(1-NORMSDIST(ABS($AN143))))&lt;0.05,"Yes","No")))))</f>
        <v/>
      </c>
      <c r="N143" s="21">
        <f>IF($H143="","",IF(NOT(ISNUMBER($AN143)),"—",IF((2*(1-NORMSDIST(ABS($AN143))))&lt;0.001,"&lt;0.001",TEXT((2*(1-NORMSDIST(ABS($AN143)))),"0.000"))))</f>
        <v/>
      </c>
      <c r="P143" s="26" t="n"/>
      <c r="Q143" s="26" t="n"/>
      <c r="R143" s="26" t="n"/>
      <c r="S143" s="26" t="n"/>
      <c r="T143" s="26" t="n"/>
      <c r="V143" s="27">
        <f>IF(ISNUMBER($C143),COUNTIFS($A$14:$A$1213,$A143,$C$14:$C$1213,"&gt;"&amp;$C143)+(COUNTIFS($A$14:$A$1213,$A143,$C$14:$C$1213,"="&amp;$C143)+1)/2,"")</f>
        <v/>
      </c>
      <c r="W143" s="27">
        <f>IF(ISNUMBER($F143),COUNTIFS($A$14:$A$1213,$A143,$F$14:$F$1213,"&gt;"&amp;$F143)+(COUNTIFS($A$14:$A$1213,$A143,$F$14:$F$1213,"="&amp;$F143)+1)/2,"")</f>
        <v/>
      </c>
      <c r="X143" s="27">
        <f>IF(OR(NOT(ISNUMBER($V143)),$AO143=1),"",$V143-(COUNTIFS($A$14:$A$1213,$A143,$C$14:$C$1213,"&gt;=0")+1)/2)</f>
        <v/>
      </c>
      <c r="Y143" s="27">
        <f>IF(OR(NOT(ISNUMBER($W143)),$AO143=1),"",$W143-(COUNTIFS($A$14:$A$1213,$A143,$F$14:$F$1213,"&gt;=0")+1)/2)</f>
        <v/>
      </c>
      <c r="Z143" s="27">
        <f>IF(ISNUMBER($V143),$A143&amp;"|"&amp;$V143,"")</f>
        <v/>
      </c>
      <c r="AA143" s="27">
        <f>IF(ISNUMBER($W143),$A143&amp;"|"&amp;$W143,"")</f>
        <v/>
      </c>
      <c r="AB143" s="27">
        <f>IF(ISNUMBER($F143),$A143&amp;"|"&amp;$F143,"")</f>
        <v/>
      </c>
      <c r="AC143" s="27">
        <f>IF(ISNUMBER($P143),COUNTIFS($A$14:$A$1213,$A143,$P$14:$P$1213,"&gt;"&amp;$P143)+(COUNTIFS($A$14:$A$1213,$A143,$P$14:$P$1213,"="&amp;$P143)+1)/2,"")</f>
        <v/>
      </c>
      <c r="AD143" s="27">
        <f>IF(ISNUMBER($Q143),COUNTIFS($A$14:$A$1213,$A143,$Q$14:$Q$1213,"&gt;"&amp;$Q143)+(COUNTIFS($A$14:$A$1213,$A143,$Q$14:$Q$1213,"="&amp;$Q143)+1)/2,"")</f>
        <v/>
      </c>
      <c r="AE143" s="27">
        <f>IF(ISNUMBER($R143),COUNTIFS($A$14:$A$1213,$A143,$R$14:$R$1213,"&gt;"&amp;$R143)+(COUNTIFS($A$14:$A$1213,$A143,$R$14:$R$1213,"="&amp;$R143)+1)/2,"")</f>
        <v/>
      </c>
      <c r="AF143" s="27">
        <f>IF(ISNUMBER($S143),COUNTIFS($A$14:$A$1213,$A143,$S$14:$S$1213,"&gt;"&amp;$S143)+(COUNTIFS($A$14:$A$1213,$A143,$S$14:$S$1213,"="&amp;$S143)+1)/2,"")</f>
        <v/>
      </c>
      <c r="AG143" s="27">
        <f>IF(ISNUMBER($T143),COUNTIFS($A$14:$A$1213,$A143,$T$14:$T$1213,"&gt;"&amp;$T143)+(COUNTIFS($A$14:$A$1213,$A143,$T$14:$T$1213,"="&amp;$T143)+1)/2,"")</f>
        <v/>
      </c>
      <c r="AH143" s="27">
        <f>IF(COUNT($AC143:$AG143)&lt;2,"",IF(MAX($AC143:$AG143)=MIN($AC143:$AG143),0,1))</f>
        <v/>
      </c>
      <c r="AI143" s="27">
        <f>IF($A143="","",IF(COUNTIF($A$14:$A143,$A143)=1,COUNTIF($AI$13:AI142,"&gt;0")+1,""))</f>
        <v/>
      </c>
      <c r="AJ143" s="27">
        <f>IF(OR($H143="",COUNTIFS($A$14:$A$1213,$H143,$F$14:$F$1213,"&gt;=0")&lt;2,COUNTIFS($A$14:$A$1213,$H143,$F$14:$F$1213,_xlfn.MAXIFS($F$14:$F$1213,$A$14:$A$1213,$H143))&gt;1),"",IFERROR(INDEX($D$14:$D$1213,MATCH($H143&amp;"|"&amp;_xlfn.MAXIFS($F$14:$F$1213,$A$14:$A$1213,$H143),$AB$14:$AB$1213,0)),""))</f>
        <v/>
      </c>
      <c r="AK143" s="27">
        <f>IF(OR($H143="",COUNTIFS($A$14:$A$1213,$H143,$F$14:$F$1213,"&gt;=0")&lt;2,COUNTIFS($A$14:$A$1213,$H143,$F$14:$F$1213,_xlfn.MAXIFS($F$14:$F$1213,$A$14:$A$1213,$H143))&gt;1),"",IFERROR(INDEX($E$14:$E$1213,MATCH($H143&amp;"|"&amp;_xlfn.MAXIFS($F$14:$F$1213,$A$14:$A$1213,$H143),$AB$14:$AB$1213,0)),""))</f>
        <v/>
      </c>
      <c r="AL143" s="27">
        <f>IF(OR($H143="",COUNTIFS($A$14:$A$1213,$H143,$F$14:$F$1213,"&gt;=0")&lt;2,COUNTIFS($A$14:$A$1213,$H143,$F$14:$F$1213,_xlfn.MAXIFS($F$14:$F$1213,$A$14:$A$1213,$H143))&gt;1),"",IFERROR(INDEX($D$14:$D$1213,MATCH($H143&amp;"|"&amp;_xlfn.MAXIFS($F$14:$F$1213,$A$14:$A$1213,$H143,$F$14:$F$1213,"&lt;"&amp;_xlfn.MAXIFS($F$14:$F$1213,$A$14:$A$1213,$H143)),$AB$14:$AB$1213,0)),""))</f>
        <v/>
      </c>
      <c r="AM143" s="27">
        <f>IF(OR($H143="",COUNTIFS($A$14:$A$1213,$H143,$F$14:$F$1213,"&gt;=0")&lt;2,COUNTIFS($A$14:$A$1213,$H143,$F$14:$F$1213,_xlfn.MAXIFS($F$14:$F$1213,$A$14:$A$1213,$H143))&gt;1),"",IFERROR(INDEX($E$14:$E$1213,MATCH($H143&amp;"|"&amp;_xlfn.MAXIFS($F$14:$F$1213,$A$14:$A$1213,$H143,$F$14:$F$1213,"&lt;"&amp;_xlfn.MAXIFS($F$14:$F$1213,$A$14:$A$1213,$H143)),$AB$14:$AB$1213,0)),""))</f>
        <v/>
      </c>
      <c r="AN143" s="27">
        <f>IF(OR(NOT(ISNUMBER($AJ143)),NOT(ISNUMBER($AL143)),$AK143=0,$AM143=0),"",IF(OR((($AJ143+$AL143)/($AK143+$AM143))&lt;=0,(($AJ143+$AL143)/($AK143+$AM143))&gt;=1),"",($AJ143/$AK143-$AL143/$AM143)/SQRT((($AJ143+$AL143)/($AK143+$AM143))*(1-(($AJ143+$AL143)/($AK143+$AM143)))*(1/$AK143+1/$AM143))))</f>
        <v/>
      </c>
      <c r="AO143" s="27">
        <f>IF($A143="","",IF(AND(COUNTIFS($A$14:$A$1213,$A143,$F$14:$F$1213,"&gt;=0")=2,IFERROR(INDEX($M$14:$M$313,MATCH($A143,$H$14:$H$313,0)),"Yes")&lt;&gt;"Yes"),1,0))</f>
        <v/>
      </c>
    </row>
    <row r="144" ht="24" customHeight="1">
      <c r="A144" s="19">
        <f>IF('Enter messages'!A144="","",'Enter messages'!A144)</f>
        <v/>
      </c>
      <c r="B144" s="20">
        <f>IF('Enter messages'!B144="","",'Enter messages'!B144)</f>
        <v/>
      </c>
      <c r="C144" s="21">
        <f>IFERROR(AVERAGE(P144:T144),"")</f>
        <v/>
      </c>
      <c r="D144" s="29" t="n"/>
      <c r="E144" s="29" t="n"/>
      <c r="F144" s="30">
        <f>IF(AND(ISNUMBER($D144),ISNUMBER($E144),$E144&gt;0,$D144&lt;=$E144),$D144/$E144,"")</f>
        <v/>
      </c>
      <c r="H144" s="19">
        <f>IFERROR(INDEX($A$14:$A$1213,MATCH(131,$AI$14:$AI$1213,0)),"")</f>
        <v/>
      </c>
      <c r="I144" s="24">
        <f>IF($H144="","",IF(COUNTIFS($A$14:$A$1213,$H144,$C$14:$C$1213,"&gt;=0")=0,"—",IFERROR(INDEX($B$14:$B$1213,MATCH($H144&amp;"|1",$Z$14:$Z$1213,0)),"(tied)")))</f>
        <v/>
      </c>
      <c r="J144" s="25">
        <f>IF($H144="","",IF(OR(COUNTIFS($A$14:$A$1213,$H144,$C$14:$C$1213,"&gt;=0")=0,COUNTIFS($A$14:$A$1213,$H144,$F$14:$F$1213,"&gt;=0")=0),"—",IF(OR(ISERROR(MATCH($H144&amp;"|1",$Z$14:$Z$1213,0)),ISERROR(MATCH($H144&amp;"|1",$AA$14:$AA$1213,0))),"Tie",IF(MATCH($H144&amp;"|1",$Z$14:$Z$1213,0)=MATCH($H144&amp;"|1",$AA$14:$AA$1213,0),"Hit","Miss"))))</f>
        <v/>
      </c>
      <c r="K144" s="24">
        <f>IF($H144="","",IF(COUNTIFS($A$14:$A$1213,$H144,$F$14:$F$1213,"&gt;=0")=0,"—",IFERROR(INDEX($B$14:$B$1213,MATCH($H144&amp;"|1",$AA$14:$AA$1213,0)),"(tied)")))</f>
        <v/>
      </c>
      <c r="L144" s="25">
        <f>IF($H144="","",IF((--(COUNTIFS($A$14:$A$1213,$H144,$P$14:$P$1213,"&gt;=0")&gt;0)+--(COUNTIFS($A$14:$A$1213,$H144,$Q$14:$Q$1213,"&gt;=0")&gt;0)+--(COUNTIFS($A$14:$A$1213,$H144,$R$14:$R$1213,"&gt;=0")&gt;0)+--(COUNTIFS($A$14:$A$1213,$H144,$S$14:$S$1213,"&gt;=0")&gt;0)+--(COUNTIFS($A$14:$A$1213,$H144,$T$14:$T$1213,"&gt;=0")&gt;0))&lt;2,"—",IF(SUMIFS($AH$14:$AH$1213,$A$14:$A$1213,$H144)=0,"Yes","No")))</f>
        <v/>
      </c>
      <c r="M144" s="25">
        <f>IF($H144="","",IF(COUNTIFS($A$14:$A$1213,$H144,$F$14:$F$1213,"&gt;=0")&lt;2,"—",IF(COUNTIFS($A$14:$A$1213,$H144,$F$14:$F$1213,_xlfn.MAXIFS($F$14:$F$1213,$A$14:$A$1213,$H144))&gt;1,"No",IF(NOT(ISNUMBER($AN144)),"—",IF((2*(1-NORMSDIST(ABS($AN144))))&lt;0.05,"Yes","No")))))</f>
        <v/>
      </c>
      <c r="N144" s="21">
        <f>IF($H144="","",IF(NOT(ISNUMBER($AN144)),"—",IF((2*(1-NORMSDIST(ABS($AN144))))&lt;0.001,"&lt;0.001",TEXT((2*(1-NORMSDIST(ABS($AN144)))),"0.000"))))</f>
        <v/>
      </c>
      <c r="P144" s="26" t="n"/>
      <c r="Q144" s="26" t="n"/>
      <c r="R144" s="26" t="n"/>
      <c r="S144" s="26" t="n"/>
      <c r="T144" s="26" t="n"/>
      <c r="V144" s="27">
        <f>IF(ISNUMBER($C144),COUNTIFS($A$14:$A$1213,$A144,$C$14:$C$1213,"&gt;"&amp;$C144)+(COUNTIFS($A$14:$A$1213,$A144,$C$14:$C$1213,"="&amp;$C144)+1)/2,"")</f>
        <v/>
      </c>
      <c r="W144" s="27">
        <f>IF(ISNUMBER($F144),COUNTIFS($A$14:$A$1213,$A144,$F$14:$F$1213,"&gt;"&amp;$F144)+(COUNTIFS($A$14:$A$1213,$A144,$F$14:$F$1213,"="&amp;$F144)+1)/2,"")</f>
        <v/>
      </c>
      <c r="X144" s="27">
        <f>IF(OR(NOT(ISNUMBER($V144)),$AO144=1),"",$V144-(COUNTIFS($A$14:$A$1213,$A144,$C$14:$C$1213,"&gt;=0")+1)/2)</f>
        <v/>
      </c>
      <c r="Y144" s="27">
        <f>IF(OR(NOT(ISNUMBER($W144)),$AO144=1),"",$W144-(COUNTIFS($A$14:$A$1213,$A144,$F$14:$F$1213,"&gt;=0")+1)/2)</f>
        <v/>
      </c>
      <c r="Z144" s="27">
        <f>IF(ISNUMBER($V144),$A144&amp;"|"&amp;$V144,"")</f>
        <v/>
      </c>
      <c r="AA144" s="27">
        <f>IF(ISNUMBER($W144),$A144&amp;"|"&amp;$W144,"")</f>
        <v/>
      </c>
      <c r="AB144" s="27">
        <f>IF(ISNUMBER($F144),$A144&amp;"|"&amp;$F144,"")</f>
        <v/>
      </c>
      <c r="AC144" s="27">
        <f>IF(ISNUMBER($P144),COUNTIFS($A$14:$A$1213,$A144,$P$14:$P$1213,"&gt;"&amp;$P144)+(COUNTIFS($A$14:$A$1213,$A144,$P$14:$P$1213,"="&amp;$P144)+1)/2,"")</f>
        <v/>
      </c>
      <c r="AD144" s="27">
        <f>IF(ISNUMBER($Q144),COUNTIFS($A$14:$A$1213,$A144,$Q$14:$Q$1213,"&gt;"&amp;$Q144)+(COUNTIFS($A$14:$A$1213,$A144,$Q$14:$Q$1213,"="&amp;$Q144)+1)/2,"")</f>
        <v/>
      </c>
      <c r="AE144" s="27">
        <f>IF(ISNUMBER($R144),COUNTIFS($A$14:$A$1213,$A144,$R$14:$R$1213,"&gt;"&amp;$R144)+(COUNTIFS($A$14:$A$1213,$A144,$R$14:$R$1213,"="&amp;$R144)+1)/2,"")</f>
        <v/>
      </c>
      <c r="AF144" s="27">
        <f>IF(ISNUMBER($S144),COUNTIFS($A$14:$A$1213,$A144,$S$14:$S$1213,"&gt;"&amp;$S144)+(COUNTIFS($A$14:$A$1213,$A144,$S$14:$S$1213,"="&amp;$S144)+1)/2,"")</f>
        <v/>
      </c>
      <c r="AG144" s="27">
        <f>IF(ISNUMBER($T144),COUNTIFS($A$14:$A$1213,$A144,$T$14:$T$1213,"&gt;"&amp;$T144)+(COUNTIFS($A$14:$A$1213,$A144,$T$14:$T$1213,"="&amp;$T144)+1)/2,"")</f>
        <v/>
      </c>
      <c r="AH144" s="27">
        <f>IF(COUNT($AC144:$AG144)&lt;2,"",IF(MAX($AC144:$AG144)=MIN($AC144:$AG144),0,1))</f>
        <v/>
      </c>
      <c r="AI144" s="27">
        <f>IF($A144="","",IF(COUNTIF($A$14:$A144,$A144)=1,COUNTIF($AI$13:AI143,"&gt;0")+1,""))</f>
        <v/>
      </c>
      <c r="AJ144" s="27">
        <f>IF(OR($H144="",COUNTIFS($A$14:$A$1213,$H144,$F$14:$F$1213,"&gt;=0")&lt;2,COUNTIFS($A$14:$A$1213,$H144,$F$14:$F$1213,_xlfn.MAXIFS($F$14:$F$1213,$A$14:$A$1213,$H144))&gt;1),"",IFERROR(INDEX($D$14:$D$1213,MATCH($H144&amp;"|"&amp;_xlfn.MAXIFS($F$14:$F$1213,$A$14:$A$1213,$H144),$AB$14:$AB$1213,0)),""))</f>
        <v/>
      </c>
      <c r="AK144" s="27">
        <f>IF(OR($H144="",COUNTIFS($A$14:$A$1213,$H144,$F$14:$F$1213,"&gt;=0")&lt;2,COUNTIFS($A$14:$A$1213,$H144,$F$14:$F$1213,_xlfn.MAXIFS($F$14:$F$1213,$A$14:$A$1213,$H144))&gt;1),"",IFERROR(INDEX($E$14:$E$1213,MATCH($H144&amp;"|"&amp;_xlfn.MAXIFS($F$14:$F$1213,$A$14:$A$1213,$H144),$AB$14:$AB$1213,0)),""))</f>
        <v/>
      </c>
      <c r="AL144" s="27">
        <f>IF(OR($H144="",COUNTIFS($A$14:$A$1213,$H144,$F$14:$F$1213,"&gt;=0")&lt;2,COUNTIFS($A$14:$A$1213,$H144,$F$14:$F$1213,_xlfn.MAXIFS($F$14:$F$1213,$A$14:$A$1213,$H144))&gt;1),"",IFERROR(INDEX($D$14:$D$1213,MATCH($H144&amp;"|"&amp;_xlfn.MAXIFS($F$14:$F$1213,$A$14:$A$1213,$H144,$F$14:$F$1213,"&lt;"&amp;_xlfn.MAXIFS($F$14:$F$1213,$A$14:$A$1213,$H144)),$AB$14:$AB$1213,0)),""))</f>
        <v/>
      </c>
      <c r="AM144" s="27">
        <f>IF(OR($H144="",COUNTIFS($A$14:$A$1213,$H144,$F$14:$F$1213,"&gt;=0")&lt;2,COUNTIFS($A$14:$A$1213,$H144,$F$14:$F$1213,_xlfn.MAXIFS($F$14:$F$1213,$A$14:$A$1213,$H144))&gt;1),"",IFERROR(INDEX($E$14:$E$1213,MATCH($H144&amp;"|"&amp;_xlfn.MAXIFS($F$14:$F$1213,$A$14:$A$1213,$H144,$F$14:$F$1213,"&lt;"&amp;_xlfn.MAXIFS($F$14:$F$1213,$A$14:$A$1213,$H144)),$AB$14:$AB$1213,0)),""))</f>
        <v/>
      </c>
      <c r="AN144" s="27">
        <f>IF(OR(NOT(ISNUMBER($AJ144)),NOT(ISNUMBER($AL144)),$AK144=0,$AM144=0),"",IF(OR((($AJ144+$AL144)/($AK144+$AM144))&lt;=0,(($AJ144+$AL144)/($AK144+$AM144))&gt;=1),"",($AJ144/$AK144-$AL144/$AM144)/SQRT((($AJ144+$AL144)/($AK144+$AM144))*(1-(($AJ144+$AL144)/($AK144+$AM144)))*(1/$AK144+1/$AM144))))</f>
        <v/>
      </c>
      <c r="AO144" s="27">
        <f>IF($A144="","",IF(AND(COUNTIFS($A$14:$A$1213,$A144,$F$14:$F$1213,"&gt;=0")=2,IFERROR(INDEX($M$14:$M$313,MATCH($A144,$H$14:$H$313,0)),"Yes")&lt;&gt;"Yes"),1,0))</f>
        <v/>
      </c>
    </row>
    <row r="145" ht="24" customHeight="1">
      <c r="A145" s="19">
        <f>IF('Enter messages'!A145="","",'Enter messages'!A145)</f>
        <v/>
      </c>
      <c r="B145" s="20">
        <f>IF('Enter messages'!B145="","",'Enter messages'!B145)</f>
        <v/>
      </c>
      <c r="C145" s="21">
        <f>IFERROR(AVERAGE(P145:T145),"")</f>
        <v/>
      </c>
      <c r="D145" s="29" t="n"/>
      <c r="E145" s="29" t="n"/>
      <c r="F145" s="30">
        <f>IF(AND(ISNUMBER($D145),ISNUMBER($E145),$E145&gt;0,$D145&lt;=$E145),$D145/$E145,"")</f>
        <v/>
      </c>
      <c r="H145" s="19">
        <f>IFERROR(INDEX($A$14:$A$1213,MATCH(132,$AI$14:$AI$1213,0)),"")</f>
        <v/>
      </c>
      <c r="I145" s="24">
        <f>IF($H145="","",IF(COUNTIFS($A$14:$A$1213,$H145,$C$14:$C$1213,"&gt;=0")=0,"—",IFERROR(INDEX($B$14:$B$1213,MATCH($H145&amp;"|1",$Z$14:$Z$1213,0)),"(tied)")))</f>
        <v/>
      </c>
      <c r="J145" s="25">
        <f>IF($H145="","",IF(OR(COUNTIFS($A$14:$A$1213,$H145,$C$14:$C$1213,"&gt;=0")=0,COUNTIFS($A$14:$A$1213,$H145,$F$14:$F$1213,"&gt;=0")=0),"—",IF(OR(ISERROR(MATCH($H145&amp;"|1",$Z$14:$Z$1213,0)),ISERROR(MATCH($H145&amp;"|1",$AA$14:$AA$1213,0))),"Tie",IF(MATCH($H145&amp;"|1",$Z$14:$Z$1213,0)=MATCH($H145&amp;"|1",$AA$14:$AA$1213,0),"Hit","Miss"))))</f>
        <v/>
      </c>
      <c r="K145" s="24">
        <f>IF($H145="","",IF(COUNTIFS($A$14:$A$1213,$H145,$F$14:$F$1213,"&gt;=0")=0,"—",IFERROR(INDEX($B$14:$B$1213,MATCH($H145&amp;"|1",$AA$14:$AA$1213,0)),"(tied)")))</f>
        <v/>
      </c>
      <c r="L145" s="25">
        <f>IF($H145="","",IF((--(COUNTIFS($A$14:$A$1213,$H145,$P$14:$P$1213,"&gt;=0")&gt;0)+--(COUNTIFS($A$14:$A$1213,$H145,$Q$14:$Q$1213,"&gt;=0")&gt;0)+--(COUNTIFS($A$14:$A$1213,$H145,$R$14:$R$1213,"&gt;=0")&gt;0)+--(COUNTIFS($A$14:$A$1213,$H145,$S$14:$S$1213,"&gt;=0")&gt;0)+--(COUNTIFS($A$14:$A$1213,$H145,$T$14:$T$1213,"&gt;=0")&gt;0))&lt;2,"—",IF(SUMIFS($AH$14:$AH$1213,$A$14:$A$1213,$H145)=0,"Yes","No")))</f>
        <v/>
      </c>
      <c r="M145" s="25">
        <f>IF($H145="","",IF(COUNTIFS($A$14:$A$1213,$H145,$F$14:$F$1213,"&gt;=0")&lt;2,"—",IF(COUNTIFS($A$14:$A$1213,$H145,$F$14:$F$1213,_xlfn.MAXIFS($F$14:$F$1213,$A$14:$A$1213,$H145))&gt;1,"No",IF(NOT(ISNUMBER($AN145)),"—",IF((2*(1-NORMSDIST(ABS($AN145))))&lt;0.05,"Yes","No")))))</f>
        <v/>
      </c>
      <c r="N145" s="21">
        <f>IF($H145="","",IF(NOT(ISNUMBER($AN145)),"—",IF((2*(1-NORMSDIST(ABS($AN145))))&lt;0.001,"&lt;0.001",TEXT((2*(1-NORMSDIST(ABS($AN145)))),"0.000"))))</f>
        <v/>
      </c>
      <c r="P145" s="26" t="n"/>
      <c r="Q145" s="26" t="n"/>
      <c r="R145" s="26" t="n"/>
      <c r="S145" s="26" t="n"/>
      <c r="T145" s="26" t="n"/>
      <c r="V145" s="27">
        <f>IF(ISNUMBER($C145),COUNTIFS($A$14:$A$1213,$A145,$C$14:$C$1213,"&gt;"&amp;$C145)+(COUNTIFS($A$14:$A$1213,$A145,$C$14:$C$1213,"="&amp;$C145)+1)/2,"")</f>
        <v/>
      </c>
      <c r="W145" s="27">
        <f>IF(ISNUMBER($F145),COUNTIFS($A$14:$A$1213,$A145,$F$14:$F$1213,"&gt;"&amp;$F145)+(COUNTIFS($A$14:$A$1213,$A145,$F$14:$F$1213,"="&amp;$F145)+1)/2,"")</f>
        <v/>
      </c>
      <c r="X145" s="27">
        <f>IF(OR(NOT(ISNUMBER($V145)),$AO145=1),"",$V145-(COUNTIFS($A$14:$A$1213,$A145,$C$14:$C$1213,"&gt;=0")+1)/2)</f>
        <v/>
      </c>
      <c r="Y145" s="27">
        <f>IF(OR(NOT(ISNUMBER($W145)),$AO145=1),"",$W145-(COUNTIFS($A$14:$A$1213,$A145,$F$14:$F$1213,"&gt;=0")+1)/2)</f>
        <v/>
      </c>
      <c r="Z145" s="27">
        <f>IF(ISNUMBER($V145),$A145&amp;"|"&amp;$V145,"")</f>
        <v/>
      </c>
      <c r="AA145" s="27">
        <f>IF(ISNUMBER($W145),$A145&amp;"|"&amp;$W145,"")</f>
        <v/>
      </c>
      <c r="AB145" s="27">
        <f>IF(ISNUMBER($F145),$A145&amp;"|"&amp;$F145,"")</f>
        <v/>
      </c>
      <c r="AC145" s="27">
        <f>IF(ISNUMBER($P145),COUNTIFS($A$14:$A$1213,$A145,$P$14:$P$1213,"&gt;"&amp;$P145)+(COUNTIFS($A$14:$A$1213,$A145,$P$14:$P$1213,"="&amp;$P145)+1)/2,"")</f>
        <v/>
      </c>
      <c r="AD145" s="27">
        <f>IF(ISNUMBER($Q145),COUNTIFS($A$14:$A$1213,$A145,$Q$14:$Q$1213,"&gt;"&amp;$Q145)+(COUNTIFS($A$14:$A$1213,$A145,$Q$14:$Q$1213,"="&amp;$Q145)+1)/2,"")</f>
        <v/>
      </c>
      <c r="AE145" s="27">
        <f>IF(ISNUMBER($R145),COUNTIFS($A$14:$A$1213,$A145,$R$14:$R$1213,"&gt;"&amp;$R145)+(COUNTIFS($A$14:$A$1213,$A145,$R$14:$R$1213,"="&amp;$R145)+1)/2,"")</f>
        <v/>
      </c>
      <c r="AF145" s="27">
        <f>IF(ISNUMBER($S145),COUNTIFS($A$14:$A$1213,$A145,$S$14:$S$1213,"&gt;"&amp;$S145)+(COUNTIFS($A$14:$A$1213,$A145,$S$14:$S$1213,"="&amp;$S145)+1)/2,"")</f>
        <v/>
      </c>
      <c r="AG145" s="27">
        <f>IF(ISNUMBER($T145),COUNTIFS($A$14:$A$1213,$A145,$T$14:$T$1213,"&gt;"&amp;$T145)+(COUNTIFS($A$14:$A$1213,$A145,$T$14:$T$1213,"="&amp;$T145)+1)/2,"")</f>
        <v/>
      </c>
      <c r="AH145" s="27">
        <f>IF(COUNT($AC145:$AG145)&lt;2,"",IF(MAX($AC145:$AG145)=MIN($AC145:$AG145),0,1))</f>
        <v/>
      </c>
      <c r="AI145" s="27">
        <f>IF($A145="","",IF(COUNTIF($A$14:$A145,$A145)=1,COUNTIF($AI$13:AI144,"&gt;0")+1,""))</f>
        <v/>
      </c>
      <c r="AJ145" s="27">
        <f>IF(OR($H145="",COUNTIFS($A$14:$A$1213,$H145,$F$14:$F$1213,"&gt;=0")&lt;2,COUNTIFS($A$14:$A$1213,$H145,$F$14:$F$1213,_xlfn.MAXIFS($F$14:$F$1213,$A$14:$A$1213,$H145))&gt;1),"",IFERROR(INDEX($D$14:$D$1213,MATCH($H145&amp;"|"&amp;_xlfn.MAXIFS($F$14:$F$1213,$A$14:$A$1213,$H145),$AB$14:$AB$1213,0)),""))</f>
        <v/>
      </c>
      <c r="AK145" s="27">
        <f>IF(OR($H145="",COUNTIFS($A$14:$A$1213,$H145,$F$14:$F$1213,"&gt;=0")&lt;2,COUNTIFS($A$14:$A$1213,$H145,$F$14:$F$1213,_xlfn.MAXIFS($F$14:$F$1213,$A$14:$A$1213,$H145))&gt;1),"",IFERROR(INDEX($E$14:$E$1213,MATCH($H145&amp;"|"&amp;_xlfn.MAXIFS($F$14:$F$1213,$A$14:$A$1213,$H145),$AB$14:$AB$1213,0)),""))</f>
        <v/>
      </c>
      <c r="AL145" s="27">
        <f>IF(OR($H145="",COUNTIFS($A$14:$A$1213,$H145,$F$14:$F$1213,"&gt;=0")&lt;2,COUNTIFS($A$14:$A$1213,$H145,$F$14:$F$1213,_xlfn.MAXIFS($F$14:$F$1213,$A$14:$A$1213,$H145))&gt;1),"",IFERROR(INDEX($D$14:$D$1213,MATCH($H145&amp;"|"&amp;_xlfn.MAXIFS($F$14:$F$1213,$A$14:$A$1213,$H145,$F$14:$F$1213,"&lt;"&amp;_xlfn.MAXIFS($F$14:$F$1213,$A$14:$A$1213,$H145)),$AB$14:$AB$1213,0)),""))</f>
        <v/>
      </c>
      <c r="AM145" s="27">
        <f>IF(OR($H145="",COUNTIFS($A$14:$A$1213,$H145,$F$14:$F$1213,"&gt;=0")&lt;2,COUNTIFS($A$14:$A$1213,$H145,$F$14:$F$1213,_xlfn.MAXIFS($F$14:$F$1213,$A$14:$A$1213,$H145))&gt;1),"",IFERROR(INDEX($E$14:$E$1213,MATCH($H145&amp;"|"&amp;_xlfn.MAXIFS($F$14:$F$1213,$A$14:$A$1213,$H145,$F$14:$F$1213,"&lt;"&amp;_xlfn.MAXIFS($F$14:$F$1213,$A$14:$A$1213,$H145)),$AB$14:$AB$1213,0)),""))</f>
        <v/>
      </c>
      <c r="AN145" s="27">
        <f>IF(OR(NOT(ISNUMBER($AJ145)),NOT(ISNUMBER($AL145)),$AK145=0,$AM145=0),"",IF(OR((($AJ145+$AL145)/($AK145+$AM145))&lt;=0,(($AJ145+$AL145)/($AK145+$AM145))&gt;=1),"",($AJ145/$AK145-$AL145/$AM145)/SQRT((($AJ145+$AL145)/($AK145+$AM145))*(1-(($AJ145+$AL145)/($AK145+$AM145)))*(1/$AK145+1/$AM145))))</f>
        <v/>
      </c>
      <c r="AO145" s="27">
        <f>IF($A145="","",IF(AND(COUNTIFS($A$14:$A$1213,$A145,$F$14:$F$1213,"&gt;=0")=2,IFERROR(INDEX($M$14:$M$313,MATCH($A145,$H$14:$H$313,0)),"Yes")&lt;&gt;"Yes"),1,0))</f>
        <v/>
      </c>
    </row>
    <row r="146" ht="24" customHeight="1">
      <c r="A146" s="19">
        <f>IF('Enter messages'!A146="","",'Enter messages'!A146)</f>
        <v/>
      </c>
      <c r="B146" s="20">
        <f>IF('Enter messages'!B146="","",'Enter messages'!B146)</f>
        <v/>
      </c>
      <c r="C146" s="21">
        <f>IFERROR(AVERAGE(P146:T146),"")</f>
        <v/>
      </c>
      <c r="D146" s="29" t="n"/>
      <c r="E146" s="29" t="n"/>
      <c r="F146" s="30">
        <f>IF(AND(ISNUMBER($D146),ISNUMBER($E146),$E146&gt;0,$D146&lt;=$E146),$D146/$E146,"")</f>
        <v/>
      </c>
      <c r="H146" s="19">
        <f>IFERROR(INDEX($A$14:$A$1213,MATCH(133,$AI$14:$AI$1213,0)),"")</f>
        <v/>
      </c>
      <c r="I146" s="24">
        <f>IF($H146="","",IF(COUNTIFS($A$14:$A$1213,$H146,$C$14:$C$1213,"&gt;=0")=0,"—",IFERROR(INDEX($B$14:$B$1213,MATCH($H146&amp;"|1",$Z$14:$Z$1213,0)),"(tied)")))</f>
        <v/>
      </c>
      <c r="J146" s="25">
        <f>IF($H146="","",IF(OR(COUNTIFS($A$14:$A$1213,$H146,$C$14:$C$1213,"&gt;=0")=0,COUNTIFS($A$14:$A$1213,$H146,$F$14:$F$1213,"&gt;=0")=0),"—",IF(OR(ISERROR(MATCH($H146&amp;"|1",$Z$14:$Z$1213,0)),ISERROR(MATCH($H146&amp;"|1",$AA$14:$AA$1213,0))),"Tie",IF(MATCH($H146&amp;"|1",$Z$14:$Z$1213,0)=MATCH($H146&amp;"|1",$AA$14:$AA$1213,0),"Hit","Miss"))))</f>
        <v/>
      </c>
      <c r="K146" s="24">
        <f>IF($H146="","",IF(COUNTIFS($A$14:$A$1213,$H146,$F$14:$F$1213,"&gt;=0")=0,"—",IFERROR(INDEX($B$14:$B$1213,MATCH($H146&amp;"|1",$AA$14:$AA$1213,0)),"(tied)")))</f>
        <v/>
      </c>
      <c r="L146" s="25">
        <f>IF($H146="","",IF((--(COUNTIFS($A$14:$A$1213,$H146,$P$14:$P$1213,"&gt;=0")&gt;0)+--(COUNTIFS($A$14:$A$1213,$H146,$Q$14:$Q$1213,"&gt;=0")&gt;0)+--(COUNTIFS($A$14:$A$1213,$H146,$R$14:$R$1213,"&gt;=0")&gt;0)+--(COUNTIFS($A$14:$A$1213,$H146,$S$14:$S$1213,"&gt;=0")&gt;0)+--(COUNTIFS($A$14:$A$1213,$H146,$T$14:$T$1213,"&gt;=0")&gt;0))&lt;2,"—",IF(SUMIFS($AH$14:$AH$1213,$A$14:$A$1213,$H146)=0,"Yes","No")))</f>
        <v/>
      </c>
      <c r="M146" s="25">
        <f>IF($H146="","",IF(COUNTIFS($A$14:$A$1213,$H146,$F$14:$F$1213,"&gt;=0")&lt;2,"—",IF(COUNTIFS($A$14:$A$1213,$H146,$F$14:$F$1213,_xlfn.MAXIFS($F$14:$F$1213,$A$14:$A$1213,$H146))&gt;1,"No",IF(NOT(ISNUMBER($AN146)),"—",IF((2*(1-NORMSDIST(ABS($AN146))))&lt;0.05,"Yes","No")))))</f>
        <v/>
      </c>
      <c r="N146" s="21">
        <f>IF($H146="","",IF(NOT(ISNUMBER($AN146)),"—",IF((2*(1-NORMSDIST(ABS($AN146))))&lt;0.001,"&lt;0.001",TEXT((2*(1-NORMSDIST(ABS($AN146)))),"0.000"))))</f>
        <v/>
      </c>
      <c r="P146" s="26" t="n"/>
      <c r="Q146" s="26" t="n"/>
      <c r="R146" s="26" t="n"/>
      <c r="S146" s="26" t="n"/>
      <c r="T146" s="26" t="n"/>
      <c r="V146" s="27">
        <f>IF(ISNUMBER($C146),COUNTIFS($A$14:$A$1213,$A146,$C$14:$C$1213,"&gt;"&amp;$C146)+(COUNTIFS($A$14:$A$1213,$A146,$C$14:$C$1213,"="&amp;$C146)+1)/2,"")</f>
        <v/>
      </c>
      <c r="W146" s="27">
        <f>IF(ISNUMBER($F146),COUNTIFS($A$14:$A$1213,$A146,$F$14:$F$1213,"&gt;"&amp;$F146)+(COUNTIFS($A$14:$A$1213,$A146,$F$14:$F$1213,"="&amp;$F146)+1)/2,"")</f>
        <v/>
      </c>
      <c r="X146" s="27">
        <f>IF(OR(NOT(ISNUMBER($V146)),$AO146=1),"",$V146-(COUNTIFS($A$14:$A$1213,$A146,$C$14:$C$1213,"&gt;=0")+1)/2)</f>
        <v/>
      </c>
      <c r="Y146" s="27">
        <f>IF(OR(NOT(ISNUMBER($W146)),$AO146=1),"",$W146-(COUNTIFS($A$14:$A$1213,$A146,$F$14:$F$1213,"&gt;=0")+1)/2)</f>
        <v/>
      </c>
      <c r="Z146" s="27">
        <f>IF(ISNUMBER($V146),$A146&amp;"|"&amp;$V146,"")</f>
        <v/>
      </c>
      <c r="AA146" s="27">
        <f>IF(ISNUMBER($W146),$A146&amp;"|"&amp;$W146,"")</f>
        <v/>
      </c>
      <c r="AB146" s="27">
        <f>IF(ISNUMBER($F146),$A146&amp;"|"&amp;$F146,"")</f>
        <v/>
      </c>
      <c r="AC146" s="27">
        <f>IF(ISNUMBER($P146),COUNTIFS($A$14:$A$1213,$A146,$P$14:$P$1213,"&gt;"&amp;$P146)+(COUNTIFS($A$14:$A$1213,$A146,$P$14:$P$1213,"="&amp;$P146)+1)/2,"")</f>
        <v/>
      </c>
      <c r="AD146" s="27">
        <f>IF(ISNUMBER($Q146),COUNTIFS($A$14:$A$1213,$A146,$Q$14:$Q$1213,"&gt;"&amp;$Q146)+(COUNTIFS($A$14:$A$1213,$A146,$Q$14:$Q$1213,"="&amp;$Q146)+1)/2,"")</f>
        <v/>
      </c>
      <c r="AE146" s="27">
        <f>IF(ISNUMBER($R146),COUNTIFS($A$14:$A$1213,$A146,$R$14:$R$1213,"&gt;"&amp;$R146)+(COUNTIFS($A$14:$A$1213,$A146,$R$14:$R$1213,"="&amp;$R146)+1)/2,"")</f>
        <v/>
      </c>
      <c r="AF146" s="27">
        <f>IF(ISNUMBER($S146),COUNTIFS($A$14:$A$1213,$A146,$S$14:$S$1213,"&gt;"&amp;$S146)+(COUNTIFS($A$14:$A$1213,$A146,$S$14:$S$1213,"="&amp;$S146)+1)/2,"")</f>
        <v/>
      </c>
      <c r="AG146" s="27">
        <f>IF(ISNUMBER($T146),COUNTIFS($A$14:$A$1213,$A146,$T$14:$T$1213,"&gt;"&amp;$T146)+(COUNTIFS($A$14:$A$1213,$A146,$T$14:$T$1213,"="&amp;$T146)+1)/2,"")</f>
        <v/>
      </c>
      <c r="AH146" s="27">
        <f>IF(COUNT($AC146:$AG146)&lt;2,"",IF(MAX($AC146:$AG146)=MIN($AC146:$AG146),0,1))</f>
        <v/>
      </c>
      <c r="AI146" s="27">
        <f>IF($A146="","",IF(COUNTIF($A$14:$A146,$A146)=1,COUNTIF($AI$13:AI145,"&gt;0")+1,""))</f>
        <v/>
      </c>
      <c r="AJ146" s="27">
        <f>IF(OR($H146="",COUNTIFS($A$14:$A$1213,$H146,$F$14:$F$1213,"&gt;=0")&lt;2,COUNTIFS($A$14:$A$1213,$H146,$F$14:$F$1213,_xlfn.MAXIFS($F$14:$F$1213,$A$14:$A$1213,$H146))&gt;1),"",IFERROR(INDEX($D$14:$D$1213,MATCH($H146&amp;"|"&amp;_xlfn.MAXIFS($F$14:$F$1213,$A$14:$A$1213,$H146),$AB$14:$AB$1213,0)),""))</f>
        <v/>
      </c>
      <c r="AK146" s="27">
        <f>IF(OR($H146="",COUNTIFS($A$14:$A$1213,$H146,$F$14:$F$1213,"&gt;=0")&lt;2,COUNTIFS($A$14:$A$1213,$H146,$F$14:$F$1213,_xlfn.MAXIFS($F$14:$F$1213,$A$14:$A$1213,$H146))&gt;1),"",IFERROR(INDEX($E$14:$E$1213,MATCH($H146&amp;"|"&amp;_xlfn.MAXIFS($F$14:$F$1213,$A$14:$A$1213,$H146),$AB$14:$AB$1213,0)),""))</f>
        <v/>
      </c>
      <c r="AL146" s="27">
        <f>IF(OR($H146="",COUNTIFS($A$14:$A$1213,$H146,$F$14:$F$1213,"&gt;=0")&lt;2,COUNTIFS($A$14:$A$1213,$H146,$F$14:$F$1213,_xlfn.MAXIFS($F$14:$F$1213,$A$14:$A$1213,$H146))&gt;1),"",IFERROR(INDEX($D$14:$D$1213,MATCH($H146&amp;"|"&amp;_xlfn.MAXIFS($F$14:$F$1213,$A$14:$A$1213,$H146,$F$14:$F$1213,"&lt;"&amp;_xlfn.MAXIFS($F$14:$F$1213,$A$14:$A$1213,$H146)),$AB$14:$AB$1213,0)),""))</f>
        <v/>
      </c>
      <c r="AM146" s="27">
        <f>IF(OR($H146="",COUNTIFS($A$14:$A$1213,$H146,$F$14:$F$1213,"&gt;=0")&lt;2,COUNTIFS($A$14:$A$1213,$H146,$F$14:$F$1213,_xlfn.MAXIFS($F$14:$F$1213,$A$14:$A$1213,$H146))&gt;1),"",IFERROR(INDEX($E$14:$E$1213,MATCH($H146&amp;"|"&amp;_xlfn.MAXIFS($F$14:$F$1213,$A$14:$A$1213,$H146,$F$14:$F$1213,"&lt;"&amp;_xlfn.MAXIFS($F$14:$F$1213,$A$14:$A$1213,$H146)),$AB$14:$AB$1213,0)),""))</f>
        <v/>
      </c>
      <c r="AN146" s="27">
        <f>IF(OR(NOT(ISNUMBER($AJ146)),NOT(ISNUMBER($AL146)),$AK146=0,$AM146=0),"",IF(OR((($AJ146+$AL146)/($AK146+$AM146))&lt;=0,(($AJ146+$AL146)/($AK146+$AM146))&gt;=1),"",($AJ146/$AK146-$AL146/$AM146)/SQRT((($AJ146+$AL146)/($AK146+$AM146))*(1-(($AJ146+$AL146)/($AK146+$AM146)))*(1/$AK146+1/$AM146))))</f>
        <v/>
      </c>
      <c r="AO146" s="27">
        <f>IF($A146="","",IF(AND(COUNTIFS($A$14:$A$1213,$A146,$F$14:$F$1213,"&gt;=0")=2,IFERROR(INDEX($M$14:$M$313,MATCH($A146,$H$14:$H$313,0)),"Yes")&lt;&gt;"Yes"),1,0))</f>
        <v/>
      </c>
    </row>
    <row r="147" ht="24" customHeight="1">
      <c r="A147" s="19">
        <f>IF('Enter messages'!A147="","",'Enter messages'!A147)</f>
        <v/>
      </c>
      <c r="B147" s="20">
        <f>IF('Enter messages'!B147="","",'Enter messages'!B147)</f>
        <v/>
      </c>
      <c r="C147" s="21">
        <f>IFERROR(AVERAGE(P147:T147),"")</f>
        <v/>
      </c>
      <c r="D147" s="29" t="n"/>
      <c r="E147" s="29" t="n"/>
      <c r="F147" s="30">
        <f>IF(AND(ISNUMBER($D147),ISNUMBER($E147),$E147&gt;0,$D147&lt;=$E147),$D147/$E147,"")</f>
        <v/>
      </c>
      <c r="H147" s="19">
        <f>IFERROR(INDEX($A$14:$A$1213,MATCH(134,$AI$14:$AI$1213,0)),"")</f>
        <v/>
      </c>
      <c r="I147" s="24">
        <f>IF($H147="","",IF(COUNTIFS($A$14:$A$1213,$H147,$C$14:$C$1213,"&gt;=0")=0,"—",IFERROR(INDEX($B$14:$B$1213,MATCH($H147&amp;"|1",$Z$14:$Z$1213,0)),"(tied)")))</f>
        <v/>
      </c>
      <c r="J147" s="25">
        <f>IF($H147="","",IF(OR(COUNTIFS($A$14:$A$1213,$H147,$C$14:$C$1213,"&gt;=0")=0,COUNTIFS($A$14:$A$1213,$H147,$F$14:$F$1213,"&gt;=0")=0),"—",IF(OR(ISERROR(MATCH($H147&amp;"|1",$Z$14:$Z$1213,0)),ISERROR(MATCH($H147&amp;"|1",$AA$14:$AA$1213,0))),"Tie",IF(MATCH($H147&amp;"|1",$Z$14:$Z$1213,0)=MATCH($H147&amp;"|1",$AA$14:$AA$1213,0),"Hit","Miss"))))</f>
        <v/>
      </c>
      <c r="K147" s="24">
        <f>IF($H147="","",IF(COUNTIFS($A$14:$A$1213,$H147,$F$14:$F$1213,"&gt;=0")=0,"—",IFERROR(INDEX($B$14:$B$1213,MATCH($H147&amp;"|1",$AA$14:$AA$1213,0)),"(tied)")))</f>
        <v/>
      </c>
      <c r="L147" s="25">
        <f>IF($H147="","",IF((--(COUNTIFS($A$14:$A$1213,$H147,$P$14:$P$1213,"&gt;=0")&gt;0)+--(COUNTIFS($A$14:$A$1213,$H147,$Q$14:$Q$1213,"&gt;=0")&gt;0)+--(COUNTIFS($A$14:$A$1213,$H147,$R$14:$R$1213,"&gt;=0")&gt;0)+--(COUNTIFS($A$14:$A$1213,$H147,$S$14:$S$1213,"&gt;=0")&gt;0)+--(COUNTIFS($A$14:$A$1213,$H147,$T$14:$T$1213,"&gt;=0")&gt;0))&lt;2,"—",IF(SUMIFS($AH$14:$AH$1213,$A$14:$A$1213,$H147)=0,"Yes","No")))</f>
        <v/>
      </c>
      <c r="M147" s="25">
        <f>IF($H147="","",IF(COUNTIFS($A$14:$A$1213,$H147,$F$14:$F$1213,"&gt;=0")&lt;2,"—",IF(COUNTIFS($A$14:$A$1213,$H147,$F$14:$F$1213,_xlfn.MAXIFS($F$14:$F$1213,$A$14:$A$1213,$H147))&gt;1,"No",IF(NOT(ISNUMBER($AN147)),"—",IF((2*(1-NORMSDIST(ABS($AN147))))&lt;0.05,"Yes","No")))))</f>
        <v/>
      </c>
      <c r="N147" s="21">
        <f>IF($H147="","",IF(NOT(ISNUMBER($AN147)),"—",IF((2*(1-NORMSDIST(ABS($AN147))))&lt;0.001,"&lt;0.001",TEXT((2*(1-NORMSDIST(ABS($AN147)))),"0.000"))))</f>
        <v/>
      </c>
      <c r="P147" s="26" t="n"/>
      <c r="Q147" s="26" t="n"/>
      <c r="R147" s="26" t="n"/>
      <c r="S147" s="26" t="n"/>
      <c r="T147" s="26" t="n"/>
      <c r="V147" s="27">
        <f>IF(ISNUMBER($C147),COUNTIFS($A$14:$A$1213,$A147,$C$14:$C$1213,"&gt;"&amp;$C147)+(COUNTIFS($A$14:$A$1213,$A147,$C$14:$C$1213,"="&amp;$C147)+1)/2,"")</f>
        <v/>
      </c>
      <c r="W147" s="27">
        <f>IF(ISNUMBER($F147),COUNTIFS($A$14:$A$1213,$A147,$F$14:$F$1213,"&gt;"&amp;$F147)+(COUNTIFS($A$14:$A$1213,$A147,$F$14:$F$1213,"="&amp;$F147)+1)/2,"")</f>
        <v/>
      </c>
      <c r="X147" s="27">
        <f>IF(OR(NOT(ISNUMBER($V147)),$AO147=1),"",$V147-(COUNTIFS($A$14:$A$1213,$A147,$C$14:$C$1213,"&gt;=0")+1)/2)</f>
        <v/>
      </c>
      <c r="Y147" s="27">
        <f>IF(OR(NOT(ISNUMBER($W147)),$AO147=1),"",$W147-(COUNTIFS($A$14:$A$1213,$A147,$F$14:$F$1213,"&gt;=0")+1)/2)</f>
        <v/>
      </c>
      <c r="Z147" s="27">
        <f>IF(ISNUMBER($V147),$A147&amp;"|"&amp;$V147,"")</f>
        <v/>
      </c>
      <c r="AA147" s="27">
        <f>IF(ISNUMBER($W147),$A147&amp;"|"&amp;$W147,"")</f>
        <v/>
      </c>
      <c r="AB147" s="27">
        <f>IF(ISNUMBER($F147),$A147&amp;"|"&amp;$F147,"")</f>
        <v/>
      </c>
      <c r="AC147" s="27">
        <f>IF(ISNUMBER($P147),COUNTIFS($A$14:$A$1213,$A147,$P$14:$P$1213,"&gt;"&amp;$P147)+(COUNTIFS($A$14:$A$1213,$A147,$P$14:$P$1213,"="&amp;$P147)+1)/2,"")</f>
        <v/>
      </c>
      <c r="AD147" s="27">
        <f>IF(ISNUMBER($Q147),COUNTIFS($A$14:$A$1213,$A147,$Q$14:$Q$1213,"&gt;"&amp;$Q147)+(COUNTIFS($A$14:$A$1213,$A147,$Q$14:$Q$1213,"="&amp;$Q147)+1)/2,"")</f>
        <v/>
      </c>
      <c r="AE147" s="27">
        <f>IF(ISNUMBER($R147),COUNTIFS($A$14:$A$1213,$A147,$R$14:$R$1213,"&gt;"&amp;$R147)+(COUNTIFS($A$14:$A$1213,$A147,$R$14:$R$1213,"="&amp;$R147)+1)/2,"")</f>
        <v/>
      </c>
      <c r="AF147" s="27">
        <f>IF(ISNUMBER($S147),COUNTIFS($A$14:$A$1213,$A147,$S$14:$S$1213,"&gt;"&amp;$S147)+(COUNTIFS($A$14:$A$1213,$A147,$S$14:$S$1213,"="&amp;$S147)+1)/2,"")</f>
        <v/>
      </c>
      <c r="AG147" s="27">
        <f>IF(ISNUMBER($T147),COUNTIFS($A$14:$A$1213,$A147,$T$14:$T$1213,"&gt;"&amp;$T147)+(COUNTIFS($A$14:$A$1213,$A147,$T$14:$T$1213,"="&amp;$T147)+1)/2,"")</f>
        <v/>
      </c>
      <c r="AH147" s="27">
        <f>IF(COUNT($AC147:$AG147)&lt;2,"",IF(MAX($AC147:$AG147)=MIN($AC147:$AG147),0,1))</f>
        <v/>
      </c>
      <c r="AI147" s="27">
        <f>IF($A147="","",IF(COUNTIF($A$14:$A147,$A147)=1,COUNTIF($AI$13:AI146,"&gt;0")+1,""))</f>
        <v/>
      </c>
      <c r="AJ147" s="27">
        <f>IF(OR($H147="",COUNTIFS($A$14:$A$1213,$H147,$F$14:$F$1213,"&gt;=0")&lt;2,COUNTIFS($A$14:$A$1213,$H147,$F$14:$F$1213,_xlfn.MAXIFS($F$14:$F$1213,$A$14:$A$1213,$H147))&gt;1),"",IFERROR(INDEX($D$14:$D$1213,MATCH($H147&amp;"|"&amp;_xlfn.MAXIFS($F$14:$F$1213,$A$14:$A$1213,$H147),$AB$14:$AB$1213,0)),""))</f>
        <v/>
      </c>
      <c r="AK147" s="27">
        <f>IF(OR($H147="",COUNTIFS($A$14:$A$1213,$H147,$F$14:$F$1213,"&gt;=0")&lt;2,COUNTIFS($A$14:$A$1213,$H147,$F$14:$F$1213,_xlfn.MAXIFS($F$14:$F$1213,$A$14:$A$1213,$H147))&gt;1),"",IFERROR(INDEX($E$14:$E$1213,MATCH($H147&amp;"|"&amp;_xlfn.MAXIFS($F$14:$F$1213,$A$14:$A$1213,$H147),$AB$14:$AB$1213,0)),""))</f>
        <v/>
      </c>
      <c r="AL147" s="27">
        <f>IF(OR($H147="",COUNTIFS($A$14:$A$1213,$H147,$F$14:$F$1213,"&gt;=0")&lt;2,COUNTIFS($A$14:$A$1213,$H147,$F$14:$F$1213,_xlfn.MAXIFS($F$14:$F$1213,$A$14:$A$1213,$H147))&gt;1),"",IFERROR(INDEX($D$14:$D$1213,MATCH($H147&amp;"|"&amp;_xlfn.MAXIFS($F$14:$F$1213,$A$14:$A$1213,$H147,$F$14:$F$1213,"&lt;"&amp;_xlfn.MAXIFS($F$14:$F$1213,$A$14:$A$1213,$H147)),$AB$14:$AB$1213,0)),""))</f>
        <v/>
      </c>
      <c r="AM147" s="27">
        <f>IF(OR($H147="",COUNTIFS($A$14:$A$1213,$H147,$F$14:$F$1213,"&gt;=0")&lt;2,COUNTIFS($A$14:$A$1213,$H147,$F$14:$F$1213,_xlfn.MAXIFS($F$14:$F$1213,$A$14:$A$1213,$H147))&gt;1),"",IFERROR(INDEX($E$14:$E$1213,MATCH($H147&amp;"|"&amp;_xlfn.MAXIFS($F$14:$F$1213,$A$14:$A$1213,$H147,$F$14:$F$1213,"&lt;"&amp;_xlfn.MAXIFS($F$14:$F$1213,$A$14:$A$1213,$H147)),$AB$14:$AB$1213,0)),""))</f>
        <v/>
      </c>
      <c r="AN147" s="27">
        <f>IF(OR(NOT(ISNUMBER($AJ147)),NOT(ISNUMBER($AL147)),$AK147=0,$AM147=0),"",IF(OR((($AJ147+$AL147)/($AK147+$AM147))&lt;=0,(($AJ147+$AL147)/($AK147+$AM147))&gt;=1),"",($AJ147/$AK147-$AL147/$AM147)/SQRT((($AJ147+$AL147)/($AK147+$AM147))*(1-(($AJ147+$AL147)/($AK147+$AM147)))*(1/$AK147+1/$AM147))))</f>
        <v/>
      </c>
      <c r="AO147" s="27">
        <f>IF($A147="","",IF(AND(COUNTIFS($A$14:$A$1213,$A147,$F$14:$F$1213,"&gt;=0")=2,IFERROR(INDEX($M$14:$M$313,MATCH($A147,$H$14:$H$313,0)),"Yes")&lt;&gt;"Yes"),1,0))</f>
        <v/>
      </c>
    </row>
    <row r="148" ht="24" customHeight="1">
      <c r="A148" s="19">
        <f>IF('Enter messages'!A148="","",'Enter messages'!A148)</f>
        <v/>
      </c>
      <c r="B148" s="20">
        <f>IF('Enter messages'!B148="","",'Enter messages'!B148)</f>
        <v/>
      </c>
      <c r="C148" s="21">
        <f>IFERROR(AVERAGE(P148:T148),"")</f>
        <v/>
      </c>
      <c r="D148" s="29" t="n"/>
      <c r="E148" s="29" t="n"/>
      <c r="F148" s="30">
        <f>IF(AND(ISNUMBER($D148),ISNUMBER($E148),$E148&gt;0,$D148&lt;=$E148),$D148/$E148,"")</f>
        <v/>
      </c>
      <c r="H148" s="19">
        <f>IFERROR(INDEX($A$14:$A$1213,MATCH(135,$AI$14:$AI$1213,0)),"")</f>
        <v/>
      </c>
      <c r="I148" s="24">
        <f>IF($H148="","",IF(COUNTIFS($A$14:$A$1213,$H148,$C$14:$C$1213,"&gt;=0")=0,"—",IFERROR(INDEX($B$14:$B$1213,MATCH($H148&amp;"|1",$Z$14:$Z$1213,0)),"(tied)")))</f>
        <v/>
      </c>
      <c r="J148" s="25">
        <f>IF($H148="","",IF(OR(COUNTIFS($A$14:$A$1213,$H148,$C$14:$C$1213,"&gt;=0")=0,COUNTIFS($A$14:$A$1213,$H148,$F$14:$F$1213,"&gt;=0")=0),"—",IF(OR(ISERROR(MATCH($H148&amp;"|1",$Z$14:$Z$1213,0)),ISERROR(MATCH($H148&amp;"|1",$AA$14:$AA$1213,0))),"Tie",IF(MATCH($H148&amp;"|1",$Z$14:$Z$1213,0)=MATCH($H148&amp;"|1",$AA$14:$AA$1213,0),"Hit","Miss"))))</f>
        <v/>
      </c>
      <c r="K148" s="24">
        <f>IF($H148="","",IF(COUNTIFS($A$14:$A$1213,$H148,$F$14:$F$1213,"&gt;=0")=0,"—",IFERROR(INDEX($B$14:$B$1213,MATCH($H148&amp;"|1",$AA$14:$AA$1213,0)),"(tied)")))</f>
        <v/>
      </c>
      <c r="L148" s="25">
        <f>IF($H148="","",IF((--(COUNTIFS($A$14:$A$1213,$H148,$P$14:$P$1213,"&gt;=0")&gt;0)+--(COUNTIFS($A$14:$A$1213,$H148,$Q$14:$Q$1213,"&gt;=0")&gt;0)+--(COUNTIFS($A$14:$A$1213,$H148,$R$14:$R$1213,"&gt;=0")&gt;0)+--(COUNTIFS($A$14:$A$1213,$H148,$S$14:$S$1213,"&gt;=0")&gt;0)+--(COUNTIFS($A$14:$A$1213,$H148,$T$14:$T$1213,"&gt;=0")&gt;0))&lt;2,"—",IF(SUMIFS($AH$14:$AH$1213,$A$14:$A$1213,$H148)=0,"Yes","No")))</f>
        <v/>
      </c>
      <c r="M148" s="25">
        <f>IF($H148="","",IF(COUNTIFS($A$14:$A$1213,$H148,$F$14:$F$1213,"&gt;=0")&lt;2,"—",IF(COUNTIFS($A$14:$A$1213,$H148,$F$14:$F$1213,_xlfn.MAXIFS($F$14:$F$1213,$A$14:$A$1213,$H148))&gt;1,"No",IF(NOT(ISNUMBER($AN148)),"—",IF((2*(1-NORMSDIST(ABS($AN148))))&lt;0.05,"Yes","No")))))</f>
        <v/>
      </c>
      <c r="N148" s="21">
        <f>IF($H148="","",IF(NOT(ISNUMBER($AN148)),"—",IF((2*(1-NORMSDIST(ABS($AN148))))&lt;0.001,"&lt;0.001",TEXT((2*(1-NORMSDIST(ABS($AN148)))),"0.000"))))</f>
        <v/>
      </c>
      <c r="P148" s="26" t="n"/>
      <c r="Q148" s="26" t="n"/>
      <c r="R148" s="26" t="n"/>
      <c r="S148" s="26" t="n"/>
      <c r="T148" s="26" t="n"/>
      <c r="V148" s="27">
        <f>IF(ISNUMBER($C148),COUNTIFS($A$14:$A$1213,$A148,$C$14:$C$1213,"&gt;"&amp;$C148)+(COUNTIFS($A$14:$A$1213,$A148,$C$14:$C$1213,"="&amp;$C148)+1)/2,"")</f>
        <v/>
      </c>
      <c r="W148" s="27">
        <f>IF(ISNUMBER($F148),COUNTIFS($A$14:$A$1213,$A148,$F$14:$F$1213,"&gt;"&amp;$F148)+(COUNTIFS($A$14:$A$1213,$A148,$F$14:$F$1213,"="&amp;$F148)+1)/2,"")</f>
        <v/>
      </c>
      <c r="X148" s="27">
        <f>IF(OR(NOT(ISNUMBER($V148)),$AO148=1),"",$V148-(COUNTIFS($A$14:$A$1213,$A148,$C$14:$C$1213,"&gt;=0")+1)/2)</f>
        <v/>
      </c>
      <c r="Y148" s="27">
        <f>IF(OR(NOT(ISNUMBER($W148)),$AO148=1),"",$W148-(COUNTIFS($A$14:$A$1213,$A148,$F$14:$F$1213,"&gt;=0")+1)/2)</f>
        <v/>
      </c>
      <c r="Z148" s="27">
        <f>IF(ISNUMBER($V148),$A148&amp;"|"&amp;$V148,"")</f>
        <v/>
      </c>
      <c r="AA148" s="27">
        <f>IF(ISNUMBER($W148),$A148&amp;"|"&amp;$W148,"")</f>
        <v/>
      </c>
      <c r="AB148" s="27">
        <f>IF(ISNUMBER($F148),$A148&amp;"|"&amp;$F148,"")</f>
        <v/>
      </c>
      <c r="AC148" s="27">
        <f>IF(ISNUMBER($P148),COUNTIFS($A$14:$A$1213,$A148,$P$14:$P$1213,"&gt;"&amp;$P148)+(COUNTIFS($A$14:$A$1213,$A148,$P$14:$P$1213,"="&amp;$P148)+1)/2,"")</f>
        <v/>
      </c>
      <c r="AD148" s="27">
        <f>IF(ISNUMBER($Q148),COUNTIFS($A$14:$A$1213,$A148,$Q$14:$Q$1213,"&gt;"&amp;$Q148)+(COUNTIFS($A$14:$A$1213,$A148,$Q$14:$Q$1213,"="&amp;$Q148)+1)/2,"")</f>
        <v/>
      </c>
      <c r="AE148" s="27">
        <f>IF(ISNUMBER($R148),COUNTIFS($A$14:$A$1213,$A148,$R$14:$R$1213,"&gt;"&amp;$R148)+(COUNTIFS($A$14:$A$1213,$A148,$R$14:$R$1213,"="&amp;$R148)+1)/2,"")</f>
        <v/>
      </c>
      <c r="AF148" s="27">
        <f>IF(ISNUMBER($S148),COUNTIFS($A$14:$A$1213,$A148,$S$14:$S$1213,"&gt;"&amp;$S148)+(COUNTIFS($A$14:$A$1213,$A148,$S$14:$S$1213,"="&amp;$S148)+1)/2,"")</f>
        <v/>
      </c>
      <c r="AG148" s="27">
        <f>IF(ISNUMBER($T148),COUNTIFS($A$14:$A$1213,$A148,$T$14:$T$1213,"&gt;"&amp;$T148)+(COUNTIFS($A$14:$A$1213,$A148,$T$14:$T$1213,"="&amp;$T148)+1)/2,"")</f>
        <v/>
      </c>
      <c r="AH148" s="27">
        <f>IF(COUNT($AC148:$AG148)&lt;2,"",IF(MAX($AC148:$AG148)=MIN($AC148:$AG148),0,1))</f>
        <v/>
      </c>
      <c r="AI148" s="27">
        <f>IF($A148="","",IF(COUNTIF($A$14:$A148,$A148)=1,COUNTIF($AI$13:AI147,"&gt;0")+1,""))</f>
        <v/>
      </c>
      <c r="AJ148" s="27">
        <f>IF(OR($H148="",COUNTIFS($A$14:$A$1213,$H148,$F$14:$F$1213,"&gt;=0")&lt;2,COUNTIFS($A$14:$A$1213,$H148,$F$14:$F$1213,_xlfn.MAXIFS($F$14:$F$1213,$A$14:$A$1213,$H148))&gt;1),"",IFERROR(INDEX($D$14:$D$1213,MATCH($H148&amp;"|"&amp;_xlfn.MAXIFS($F$14:$F$1213,$A$14:$A$1213,$H148),$AB$14:$AB$1213,0)),""))</f>
        <v/>
      </c>
      <c r="AK148" s="27">
        <f>IF(OR($H148="",COUNTIFS($A$14:$A$1213,$H148,$F$14:$F$1213,"&gt;=0")&lt;2,COUNTIFS($A$14:$A$1213,$H148,$F$14:$F$1213,_xlfn.MAXIFS($F$14:$F$1213,$A$14:$A$1213,$H148))&gt;1),"",IFERROR(INDEX($E$14:$E$1213,MATCH($H148&amp;"|"&amp;_xlfn.MAXIFS($F$14:$F$1213,$A$14:$A$1213,$H148),$AB$14:$AB$1213,0)),""))</f>
        <v/>
      </c>
      <c r="AL148" s="27">
        <f>IF(OR($H148="",COUNTIFS($A$14:$A$1213,$H148,$F$14:$F$1213,"&gt;=0")&lt;2,COUNTIFS($A$14:$A$1213,$H148,$F$14:$F$1213,_xlfn.MAXIFS($F$14:$F$1213,$A$14:$A$1213,$H148))&gt;1),"",IFERROR(INDEX($D$14:$D$1213,MATCH($H148&amp;"|"&amp;_xlfn.MAXIFS($F$14:$F$1213,$A$14:$A$1213,$H148,$F$14:$F$1213,"&lt;"&amp;_xlfn.MAXIFS($F$14:$F$1213,$A$14:$A$1213,$H148)),$AB$14:$AB$1213,0)),""))</f>
        <v/>
      </c>
      <c r="AM148" s="27">
        <f>IF(OR($H148="",COUNTIFS($A$14:$A$1213,$H148,$F$14:$F$1213,"&gt;=0")&lt;2,COUNTIFS($A$14:$A$1213,$H148,$F$14:$F$1213,_xlfn.MAXIFS($F$14:$F$1213,$A$14:$A$1213,$H148))&gt;1),"",IFERROR(INDEX($E$14:$E$1213,MATCH($H148&amp;"|"&amp;_xlfn.MAXIFS($F$14:$F$1213,$A$14:$A$1213,$H148,$F$14:$F$1213,"&lt;"&amp;_xlfn.MAXIFS($F$14:$F$1213,$A$14:$A$1213,$H148)),$AB$14:$AB$1213,0)),""))</f>
        <v/>
      </c>
      <c r="AN148" s="27">
        <f>IF(OR(NOT(ISNUMBER($AJ148)),NOT(ISNUMBER($AL148)),$AK148=0,$AM148=0),"",IF(OR((($AJ148+$AL148)/($AK148+$AM148))&lt;=0,(($AJ148+$AL148)/($AK148+$AM148))&gt;=1),"",($AJ148/$AK148-$AL148/$AM148)/SQRT((($AJ148+$AL148)/($AK148+$AM148))*(1-(($AJ148+$AL148)/($AK148+$AM148)))*(1/$AK148+1/$AM148))))</f>
        <v/>
      </c>
      <c r="AO148" s="27">
        <f>IF($A148="","",IF(AND(COUNTIFS($A$14:$A$1213,$A148,$F$14:$F$1213,"&gt;=0")=2,IFERROR(INDEX($M$14:$M$313,MATCH($A148,$H$14:$H$313,0)),"Yes")&lt;&gt;"Yes"),1,0))</f>
        <v/>
      </c>
    </row>
    <row r="149" ht="24" customHeight="1">
      <c r="A149" s="19">
        <f>IF('Enter messages'!A149="","",'Enter messages'!A149)</f>
        <v/>
      </c>
      <c r="B149" s="20">
        <f>IF('Enter messages'!B149="","",'Enter messages'!B149)</f>
        <v/>
      </c>
      <c r="C149" s="21">
        <f>IFERROR(AVERAGE(P149:T149),"")</f>
        <v/>
      </c>
      <c r="D149" s="29" t="n"/>
      <c r="E149" s="29" t="n"/>
      <c r="F149" s="30">
        <f>IF(AND(ISNUMBER($D149),ISNUMBER($E149),$E149&gt;0,$D149&lt;=$E149),$D149/$E149,"")</f>
        <v/>
      </c>
      <c r="H149" s="19">
        <f>IFERROR(INDEX($A$14:$A$1213,MATCH(136,$AI$14:$AI$1213,0)),"")</f>
        <v/>
      </c>
      <c r="I149" s="24">
        <f>IF($H149="","",IF(COUNTIFS($A$14:$A$1213,$H149,$C$14:$C$1213,"&gt;=0")=0,"—",IFERROR(INDEX($B$14:$B$1213,MATCH($H149&amp;"|1",$Z$14:$Z$1213,0)),"(tied)")))</f>
        <v/>
      </c>
      <c r="J149" s="25">
        <f>IF($H149="","",IF(OR(COUNTIFS($A$14:$A$1213,$H149,$C$14:$C$1213,"&gt;=0")=0,COUNTIFS($A$14:$A$1213,$H149,$F$14:$F$1213,"&gt;=0")=0),"—",IF(OR(ISERROR(MATCH($H149&amp;"|1",$Z$14:$Z$1213,0)),ISERROR(MATCH($H149&amp;"|1",$AA$14:$AA$1213,0))),"Tie",IF(MATCH($H149&amp;"|1",$Z$14:$Z$1213,0)=MATCH($H149&amp;"|1",$AA$14:$AA$1213,0),"Hit","Miss"))))</f>
        <v/>
      </c>
      <c r="K149" s="24">
        <f>IF($H149="","",IF(COUNTIFS($A$14:$A$1213,$H149,$F$14:$F$1213,"&gt;=0")=0,"—",IFERROR(INDEX($B$14:$B$1213,MATCH($H149&amp;"|1",$AA$14:$AA$1213,0)),"(tied)")))</f>
        <v/>
      </c>
      <c r="L149" s="25">
        <f>IF($H149="","",IF((--(COUNTIFS($A$14:$A$1213,$H149,$P$14:$P$1213,"&gt;=0")&gt;0)+--(COUNTIFS($A$14:$A$1213,$H149,$Q$14:$Q$1213,"&gt;=0")&gt;0)+--(COUNTIFS($A$14:$A$1213,$H149,$R$14:$R$1213,"&gt;=0")&gt;0)+--(COUNTIFS($A$14:$A$1213,$H149,$S$14:$S$1213,"&gt;=0")&gt;0)+--(COUNTIFS($A$14:$A$1213,$H149,$T$14:$T$1213,"&gt;=0")&gt;0))&lt;2,"—",IF(SUMIFS($AH$14:$AH$1213,$A$14:$A$1213,$H149)=0,"Yes","No")))</f>
        <v/>
      </c>
      <c r="M149" s="25">
        <f>IF($H149="","",IF(COUNTIFS($A$14:$A$1213,$H149,$F$14:$F$1213,"&gt;=0")&lt;2,"—",IF(COUNTIFS($A$14:$A$1213,$H149,$F$14:$F$1213,_xlfn.MAXIFS($F$14:$F$1213,$A$14:$A$1213,$H149))&gt;1,"No",IF(NOT(ISNUMBER($AN149)),"—",IF((2*(1-NORMSDIST(ABS($AN149))))&lt;0.05,"Yes","No")))))</f>
        <v/>
      </c>
      <c r="N149" s="21">
        <f>IF($H149="","",IF(NOT(ISNUMBER($AN149)),"—",IF((2*(1-NORMSDIST(ABS($AN149))))&lt;0.001,"&lt;0.001",TEXT((2*(1-NORMSDIST(ABS($AN149)))),"0.000"))))</f>
        <v/>
      </c>
      <c r="P149" s="26" t="n"/>
      <c r="Q149" s="26" t="n"/>
      <c r="R149" s="26" t="n"/>
      <c r="S149" s="26" t="n"/>
      <c r="T149" s="26" t="n"/>
      <c r="V149" s="27">
        <f>IF(ISNUMBER($C149),COUNTIFS($A$14:$A$1213,$A149,$C$14:$C$1213,"&gt;"&amp;$C149)+(COUNTIFS($A$14:$A$1213,$A149,$C$14:$C$1213,"="&amp;$C149)+1)/2,"")</f>
        <v/>
      </c>
      <c r="W149" s="27">
        <f>IF(ISNUMBER($F149),COUNTIFS($A$14:$A$1213,$A149,$F$14:$F$1213,"&gt;"&amp;$F149)+(COUNTIFS($A$14:$A$1213,$A149,$F$14:$F$1213,"="&amp;$F149)+1)/2,"")</f>
        <v/>
      </c>
      <c r="X149" s="27">
        <f>IF(OR(NOT(ISNUMBER($V149)),$AO149=1),"",$V149-(COUNTIFS($A$14:$A$1213,$A149,$C$14:$C$1213,"&gt;=0")+1)/2)</f>
        <v/>
      </c>
      <c r="Y149" s="27">
        <f>IF(OR(NOT(ISNUMBER($W149)),$AO149=1),"",$W149-(COUNTIFS($A$14:$A$1213,$A149,$F$14:$F$1213,"&gt;=0")+1)/2)</f>
        <v/>
      </c>
      <c r="Z149" s="27">
        <f>IF(ISNUMBER($V149),$A149&amp;"|"&amp;$V149,"")</f>
        <v/>
      </c>
      <c r="AA149" s="27">
        <f>IF(ISNUMBER($W149),$A149&amp;"|"&amp;$W149,"")</f>
        <v/>
      </c>
      <c r="AB149" s="27">
        <f>IF(ISNUMBER($F149),$A149&amp;"|"&amp;$F149,"")</f>
        <v/>
      </c>
      <c r="AC149" s="27">
        <f>IF(ISNUMBER($P149),COUNTIFS($A$14:$A$1213,$A149,$P$14:$P$1213,"&gt;"&amp;$P149)+(COUNTIFS($A$14:$A$1213,$A149,$P$14:$P$1213,"="&amp;$P149)+1)/2,"")</f>
        <v/>
      </c>
      <c r="AD149" s="27">
        <f>IF(ISNUMBER($Q149),COUNTIFS($A$14:$A$1213,$A149,$Q$14:$Q$1213,"&gt;"&amp;$Q149)+(COUNTIFS($A$14:$A$1213,$A149,$Q$14:$Q$1213,"="&amp;$Q149)+1)/2,"")</f>
        <v/>
      </c>
      <c r="AE149" s="27">
        <f>IF(ISNUMBER($R149),COUNTIFS($A$14:$A$1213,$A149,$R$14:$R$1213,"&gt;"&amp;$R149)+(COUNTIFS($A$14:$A$1213,$A149,$R$14:$R$1213,"="&amp;$R149)+1)/2,"")</f>
        <v/>
      </c>
      <c r="AF149" s="27">
        <f>IF(ISNUMBER($S149),COUNTIFS($A$14:$A$1213,$A149,$S$14:$S$1213,"&gt;"&amp;$S149)+(COUNTIFS($A$14:$A$1213,$A149,$S$14:$S$1213,"="&amp;$S149)+1)/2,"")</f>
        <v/>
      </c>
      <c r="AG149" s="27">
        <f>IF(ISNUMBER($T149),COUNTIFS($A$14:$A$1213,$A149,$T$14:$T$1213,"&gt;"&amp;$T149)+(COUNTIFS($A$14:$A$1213,$A149,$T$14:$T$1213,"="&amp;$T149)+1)/2,"")</f>
        <v/>
      </c>
      <c r="AH149" s="27">
        <f>IF(COUNT($AC149:$AG149)&lt;2,"",IF(MAX($AC149:$AG149)=MIN($AC149:$AG149),0,1))</f>
        <v/>
      </c>
      <c r="AI149" s="27">
        <f>IF($A149="","",IF(COUNTIF($A$14:$A149,$A149)=1,COUNTIF($AI$13:AI148,"&gt;0")+1,""))</f>
        <v/>
      </c>
      <c r="AJ149" s="27">
        <f>IF(OR($H149="",COUNTIFS($A$14:$A$1213,$H149,$F$14:$F$1213,"&gt;=0")&lt;2,COUNTIFS($A$14:$A$1213,$H149,$F$14:$F$1213,_xlfn.MAXIFS($F$14:$F$1213,$A$14:$A$1213,$H149))&gt;1),"",IFERROR(INDEX($D$14:$D$1213,MATCH($H149&amp;"|"&amp;_xlfn.MAXIFS($F$14:$F$1213,$A$14:$A$1213,$H149),$AB$14:$AB$1213,0)),""))</f>
        <v/>
      </c>
      <c r="AK149" s="27">
        <f>IF(OR($H149="",COUNTIFS($A$14:$A$1213,$H149,$F$14:$F$1213,"&gt;=0")&lt;2,COUNTIFS($A$14:$A$1213,$H149,$F$14:$F$1213,_xlfn.MAXIFS($F$14:$F$1213,$A$14:$A$1213,$H149))&gt;1),"",IFERROR(INDEX($E$14:$E$1213,MATCH($H149&amp;"|"&amp;_xlfn.MAXIFS($F$14:$F$1213,$A$14:$A$1213,$H149),$AB$14:$AB$1213,0)),""))</f>
        <v/>
      </c>
      <c r="AL149" s="27">
        <f>IF(OR($H149="",COUNTIFS($A$14:$A$1213,$H149,$F$14:$F$1213,"&gt;=0")&lt;2,COUNTIFS($A$14:$A$1213,$H149,$F$14:$F$1213,_xlfn.MAXIFS($F$14:$F$1213,$A$14:$A$1213,$H149))&gt;1),"",IFERROR(INDEX($D$14:$D$1213,MATCH($H149&amp;"|"&amp;_xlfn.MAXIFS($F$14:$F$1213,$A$14:$A$1213,$H149,$F$14:$F$1213,"&lt;"&amp;_xlfn.MAXIFS($F$14:$F$1213,$A$14:$A$1213,$H149)),$AB$14:$AB$1213,0)),""))</f>
        <v/>
      </c>
      <c r="AM149" s="27">
        <f>IF(OR($H149="",COUNTIFS($A$14:$A$1213,$H149,$F$14:$F$1213,"&gt;=0")&lt;2,COUNTIFS($A$14:$A$1213,$H149,$F$14:$F$1213,_xlfn.MAXIFS($F$14:$F$1213,$A$14:$A$1213,$H149))&gt;1),"",IFERROR(INDEX($E$14:$E$1213,MATCH($H149&amp;"|"&amp;_xlfn.MAXIFS($F$14:$F$1213,$A$14:$A$1213,$H149,$F$14:$F$1213,"&lt;"&amp;_xlfn.MAXIFS($F$14:$F$1213,$A$14:$A$1213,$H149)),$AB$14:$AB$1213,0)),""))</f>
        <v/>
      </c>
      <c r="AN149" s="27">
        <f>IF(OR(NOT(ISNUMBER($AJ149)),NOT(ISNUMBER($AL149)),$AK149=0,$AM149=0),"",IF(OR((($AJ149+$AL149)/($AK149+$AM149))&lt;=0,(($AJ149+$AL149)/($AK149+$AM149))&gt;=1),"",($AJ149/$AK149-$AL149/$AM149)/SQRT((($AJ149+$AL149)/($AK149+$AM149))*(1-(($AJ149+$AL149)/($AK149+$AM149)))*(1/$AK149+1/$AM149))))</f>
        <v/>
      </c>
      <c r="AO149" s="27">
        <f>IF($A149="","",IF(AND(COUNTIFS($A$14:$A$1213,$A149,$F$14:$F$1213,"&gt;=0")=2,IFERROR(INDEX($M$14:$M$313,MATCH($A149,$H$14:$H$313,0)),"Yes")&lt;&gt;"Yes"),1,0))</f>
        <v/>
      </c>
    </row>
    <row r="150" ht="24" customHeight="1">
      <c r="A150" s="19">
        <f>IF('Enter messages'!A150="","",'Enter messages'!A150)</f>
        <v/>
      </c>
      <c r="B150" s="20">
        <f>IF('Enter messages'!B150="","",'Enter messages'!B150)</f>
        <v/>
      </c>
      <c r="C150" s="21">
        <f>IFERROR(AVERAGE(P150:T150),"")</f>
        <v/>
      </c>
      <c r="D150" s="29" t="n"/>
      <c r="E150" s="29" t="n"/>
      <c r="F150" s="30">
        <f>IF(AND(ISNUMBER($D150),ISNUMBER($E150),$E150&gt;0,$D150&lt;=$E150),$D150/$E150,"")</f>
        <v/>
      </c>
      <c r="H150" s="19">
        <f>IFERROR(INDEX($A$14:$A$1213,MATCH(137,$AI$14:$AI$1213,0)),"")</f>
        <v/>
      </c>
      <c r="I150" s="24">
        <f>IF($H150="","",IF(COUNTIFS($A$14:$A$1213,$H150,$C$14:$C$1213,"&gt;=0")=0,"—",IFERROR(INDEX($B$14:$B$1213,MATCH($H150&amp;"|1",$Z$14:$Z$1213,0)),"(tied)")))</f>
        <v/>
      </c>
      <c r="J150" s="25">
        <f>IF($H150="","",IF(OR(COUNTIFS($A$14:$A$1213,$H150,$C$14:$C$1213,"&gt;=0")=0,COUNTIFS($A$14:$A$1213,$H150,$F$14:$F$1213,"&gt;=0")=0),"—",IF(OR(ISERROR(MATCH($H150&amp;"|1",$Z$14:$Z$1213,0)),ISERROR(MATCH($H150&amp;"|1",$AA$14:$AA$1213,0))),"Tie",IF(MATCH($H150&amp;"|1",$Z$14:$Z$1213,0)=MATCH($H150&amp;"|1",$AA$14:$AA$1213,0),"Hit","Miss"))))</f>
        <v/>
      </c>
      <c r="K150" s="24">
        <f>IF($H150="","",IF(COUNTIFS($A$14:$A$1213,$H150,$F$14:$F$1213,"&gt;=0")=0,"—",IFERROR(INDEX($B$14:$B$1213,MATCH($H150&amp;"|1",$AA$14:$AA$1213,0)),"(tied)")))</f>
        <v/>
      </c>
      <c r="L150" s="25">
        <f>IF($H150="","",IF((--(COUNTIFS($A$14:$A$1213,$H150,$P$14:$P$1213,"&gt;=0")&gt;0)+--(COUNTIFS($A$14:$A$1213,$H150,$Q$14:$Q$1213,"&gt;=0")&gt;0)+--(COUNTIFS($A$14:$A$1213,$H150,$R$14:$R$1213,"&gt;=0")&gt;0)+--(COUNTIFS($A$14:$A$1213,$H150,$S$14:$S$1213,"&gt;=0")&gt;0)+--(COUNTIFS($A$14:$A$1213,$H150,$T$14:$T$1213,"&gt;=0")&gt;0))&lt;2,"—",IF(SUMIFS($AH$14:$AH$1213,$A$14:$A$1213,$H150)=0,"Yes","No")))</f>
        <v/>
      </c>
      <c r="M150" s="25">
        <f>IF($H150="","",IF(COUNTIFS($A$14:$A$1213,$H150,$F$14:$F$1213,"&gt;=0")&lt;2,"—",IF(COUNTIFS($A$14:$A$1213,$H150,$F$14:$F$1213,_xlfn.MAXIFS($F$14:$F$1213,$A$14:$A$1213,$H150))&gt;1,"No",IF(NOT(ISNUMBER($AN150)),"—",IF((2*(1-NORMSDIST(ABS($AN150))))&lt;0.05,"Yes","No")))))</f>
        <v/>
      </c>
      <c r="N150" s="21">
        <f>IF($H150="","",IF(NOT(ISNUMBER($AN150)),"—",IF((2*(1-NORMSDIST(ABS($AN150))))&lt;0.001,"&lt;0.001",TEXT((2*(1-NORMSDIST(ABS($AN150)))),"0.000"))))</f>
        <v/>
      </c>
      <c r="P150" s="26" t="n"/>
      <c r="Q150" s="26" t="n"/>
      <c r="R150" s="26" t="n"/>
      <c r="S150" s="26" t="n"/>
      <c r="T150" s="26" t="n"/>
      <c r="V150" s="27">
        <f>IF(ISNUMBER($C150),COUNTIFS($A$14:$A$1213,$A150,$C$14:$C$1213,"&gt;"&amp;$C150)+(COUNTIFS($A$14:$A$1213,$A150,$C$14:$C$1213,"="&amp;$C150)+1)/2,"")</f>
        <v/>
      </c>
      <c r="W150" s="27">
        <f>IF(ISNUMBER($F150),COUNTIFS($A$14:$A$1213,$A150,$F$14:$F$1213,"&gt;"&amp;$F150)+(COUNTIFS($A$14:$A$1213,$A150,$F$14:$F$1213,"="&amp;$F150)+1)/2,"")</f>
        <v/>
      </c>
      <c r="X150" s="27">
        <f>IF(OR(NOT(ISNUMBER($V150)),$AO150=1),"",$V150-(COUNTIFS($A$14:$A$1213,$A150,$C$14:$C$1213,"&gt;=0")+1)/2)</f>
        <v/>
      </c>
      <c r="Y150" s="27">
        <f>IF(OR(NOT(ISNUMBER($W150)),$AO150=1),"",$W150-(COUNTIFS($A$14:$A$1213,$A150,$F$14:$F$1213,"&gt;=0")+1)/2)</f>
        <v/>
      </c>
      <c r="Z150" s="27">
        <f>IF(ISNUMBER($V150),$A150&amp;"|"&amp;$V150,"")</f>
        <v/>
      </c>
      <c r="AA150" s="27">
        <f>IF(ISNUMBER($W150),$A150&amp;"|"&amp;$W150,"")</f>
        <v/>
      </c>
      <c r="AB150" s="27">
        <f>IF(ISNUMBER($F150),$A150&amp;"|"&amp;$F150,"")</f>
        <v/>
      </c>
      <c r="AC150" s="27">
        <f>IF(ISNUMBER($P150),COUNTIFS($A$14:$A$1213,$A150,$P$14:$P$1213,"&gt;"&amp;$P150)+(COUNTIFS($A$14:$A$1213,$A150,$P$14:$P$1213,"="&amp;$P150)+1)/2,"")</f>
        <v/>
      </c>
      <c r="AD150" s="27">
        <f>IF(ISNUMBER($Q150),COUNTIFS($A$14:$A$1213,$A150,$Q$14:$Q$1213,"&gt;"&amp;$Q150)+(COUNTIFS($A$14:$A$1213,$A150,$Q$14:$Q$1213,"="&amp;$Q150)+1)/2,"")</f>
        <v/>
      </c>
      <c r="AE150" s="27">
        <f>IF(ISNUMBER($R150),COUNTIFS($A$14:$A$1213,$A150,$R$14:$R$1213,"&gt;"&amp;$R150)+(COUNTIFS($A$14:$A$1213,$A150,$R$14:$R$1213,"="&amp;$R150)+1)/2,"")</f>
        <v/>
      </c>
      <c r="AF150" s="27">
        <f>IF(ISNUMBER($S150),COUNTIFS($A$14:$A$1213,$A150,$S$14:$S$1213,"&gt;"&amp;$S150)+(COUNTIFS($A$14:$A$1213,$A150,$S$14:$S$1213,"="&amp;$S150)+1)/2,"")</f>
        <v/>
      </c>
      <c r="AG150" s="27">
        <f>IF(ISNUMBER($T150),COUNTIFS($A$14:$A$1213,$A150,$T$14:$T$1213,"&gt;"&amp;$T150)+(COUNTIFS($A$14:$A$1213,$A150,$T$14:$T$1213,"="&amp;$T150)+1)/2,"")</f>
        <v/>
      </c>
      <c r="AH150" s="27">
        <f>IF(COUNT($AC150:$AG150)&lt;2,"",IF(MAX($AC150:$AG150)=MIN($AC150:$AG150),0,1))</f>
        <v/>
      </c>
      <c r="AI150" s="27">
        <f>IF($A150="","",IF(COUNTIF($A$14:$A150,$A150)=1,COUNTIF($AI$13:AI149,"&gt;0")+1,""))</f>
        <v/>
      </c>
      <c r="AJ150" s="27">
        <f>IF(OR($H150="",COUNTIFS($A$14:$A$1213,$H150,$F$14:$F$1213,"&gt;=0")&lt;2,COUNTIFS($A$14:$A$1213,$H150,$F$14:$F$1213,_xlfn.MAXIFS($F$14:$F$1213,$A$14:$A$1213,$H150))&gt;1),"",IFERROR(INDEX($D$14:$D$1213,MATCH($H150&amp;"|"&amp;_xlfn.MAXIFS($F$14:$F$1213,$A$14:$A$1213,$H150),$AB$14:$AB$1213,0)),""))</f>
        <v/>
      </c>
      <c r="AK150" s="27">
        <f>IF(OR($H150="",COUNTIFS($A$14:$A$1213,$H150,$F$14:$F$1213,"&gt;=0")&lt;2,COUNTIFS($A$14:$A$1213,$H150,$F$14:$F$1213,_xlfn.MAXIFS($F$14:$F$1213,$A$14:$A$1213,$H150))&gt;1),"",IFERROR(INDEX($E$14:$E$1213,MATCH($H150&amp;"|"&amp;_xlfn.MAXIFS($F$14:$F$1213,$A$14:$A$1213,$H150),$AB$14:$AB$1213,0)),""))</f>
        <v/>
      </c>
      <c r="AL150" s="27">
        <f>IF(OR($H150="",COUNTIFS($A$14:$A$1213,$H150,$F$14:$F$1213,"&gt;=0")&lt;2,COUNTIFS($A$14:$A$1213,$H150,$F$14:$F$1213,_xlfn.MAXIFS($F$14:$F$1213,$A$14:$A$1213,$H150))&gt;1),"",IFERROR(INDEX($D$14:$D$1213,MATCH($H150&amp;"|"&amp;_xlfn.MAXIFS($F$14:$F$1213,$A$14:$A$1213,$H150,$F$14:$F$1213,"&lt;"&amp;_xlfn.MAXIFS($F$14:$F$1213,$A$14:$A$1213,$H150)),$AB$14:$AB$1213,0)),""))</f>
        <v/>
      </c>
      <c r="AM150" s="27">
        <f>IF(OR($H150="",COUNTIFS($A$14:$A$1213,$H150,$F$14:$F$1213,"&gt;=0")&lt;2,COUNTIFS($A$14:$A$1213,$H150,$F$14:$F$1213,_xlfn.MAXIFS($F$14:$F$1213,$A$14:$A$1213,$H150))&gt;1),"",IFERROR(INDEX($E$14:$E$1213,MATCH($H150&amp;"|"&amp;_xlfn.MAXIFS($F$14:$F$1213,$A$14:$A$1213,$H150,$F$14:$F$1213,"&lt;"&amp;_xlfn.MAXIFS($F$14:$F$1213,$A$14:$A$1213,$H150)),$AB$14:$AB$1213,0)),""))</f>
        <v/>
      </c>
      <c r="AN150" s="27">
        <f>IF(OR(NOT(ISNUMBER($AJ150)),NOT(ISNUMBER($AL150)),$AK150=0,$AM150=0),"",IF(OR((($AJ150+$AL150)/($AK150+$AM150))&lt;=0,(($AJ150+$AL150)/($AK150+$AM150))&gt;=1),"",($AJ150/$AK150-$AL150/$AM150)/SQRT((($AJ150+$AL150)/($AK150+$AM150))*(1-(($AJ150+$AL150)/($AK150+$AM150)))*(1/$AK150+1/$AM150))))</f>
        <v/>
      </c>
      <c r="AO150" s="27">
        <f>IF($A150="","",IF(AND(COUNTIFS($A$14:$A$1213,$A150,$F$14:$F$1213,"&gt;=0")=2,IFERROR(INDEX($M$14:$M$313,MATCH($A150,$H$14:$H$313,0)),"Yes")&lt;&gt;"Yes"),1,0))</f>
        <v/>
      </c>
    </row>
    <row r="151" ht="24" customHeight="1">
      <c r="A151" s="19">
        <f>IF('Enter messages'!A151="","",'Enter messages'!A151)</f>
        <v/>
      </c>
      <c r="B151" s="20">
        <f>IF('Enter messages'!B151="","",'Enter messages'!B151)</f>
        <v/>
      </c>
      <c r="C151" s="21">
        <f>IFERROR(AVERAGE(P151:T151),"")</f>
        <v/>
      </c>
      <c r="D151" s="29" t="n"/>
      <c r="E151" s="29" t="n"/>
      <c r="F151" s="30">
        <f>IF(AND(ISNUMBER($D151),ISNUMBER($E151),$E151&gt;0,$D151&lt;=$E151),$D151/$E151,"")</f>
        <v/>
      </c>
      <c r="H151" s="19">
        <f>IFERROR(INDEX($A$14:$A$1213,MATCH(138,$AI$14:$AI$1213,0)),"")</f>
        <v/>
      </c>
      <c r="I151" s="24">
        <f>IF($H151="","",IF(COUNTIFS($A$14:$A$1213,$H151,$C$14:$C$1213,"&gt;=0")=0,"—",IFERROR(INDEX($B$14:$B$1213,MATCH($H151&amp;"|1",$Z$14:$Z$1213,0)),"(tied)")))</f>
        <v/>
      </c>
      <c r="J151" s="25">
        <f>IF($H151="","",IF(OR(COUNTIFS($A$14:$A$1213,$H151,$C$14:$C$1213,"&gt;=0")=0,COUNTIFS($A$14:$A$1213,$H151,$F$14:$F$1213,"&gt;=0")=0),"—",IF(OR(ISERROR(MATCH($H151&amp;"|1",$Z$14:$Z$1213,0)),ISERROR(MATCH($H151&amp;"|1",$AA$14:$AA$1213,0))),"Tie",IF(MATCH($H151&amp;"|1",$Z$14:$Z$1213,0)=MATCH($H151&amp;"|1",$AA$14:$AA$1213,0),"Hit","Miss"))))</f>
        <v/>
      </c>
      <c r="K151" s="24">
        <f>IF($H151="","",IF(COUNTIFS($A$14:$A$1213,$H151,$F$14:$F$1213,"&gt;=0")=0,"—",IFERROR(INDEX($B$14:$B$1213,MATCH($H151&amp;"|1",$AA$14:$AA$1213,0)),"(tied)")))</f>
        <v/>
      </c>
      <c r="L151" s="25">
        <f>IF($H151="","",IF((--(COUNTIFS($A$14:$A$1213,$H151,$P$14:$P$1213,"&gt;=0")&gt;0)+--(COUNTIFS($A$14:$A$1213,$H151,$Q$14:$Q$1213,"&gt;=0")&gt;0)+--(COUNTIFS($A$14:$A$1213,$H151,$R$14:$R$1213,"&gt;=0")&gt;0)+--(COUNTIFS($A$14:$A$1213,$H151,$S$14:$S$1213,"&gt;=0")&gt;0)+--(COUNTIFS($A$14:$A$1213,$H151,$T$14:$T$1213,"&gt;=0")&gt;0))&lt;2,"—",IF(SUMIFS($AH$14:$AH$1213,$A$14:$A$1213,$H151)=0,"Yes","No")))</f>
        <v/>
      </c>
      <c r="M151" s="25">
        <f>IF($H151="","",IF(COUNTIFS($A$14:$A$1213,$H151,$F$14:$F$1213,"&gt;=0")&lt;2,"—",IF(COUNTIFS($A$14:$A$1213,$H151,$F$14:$F$1213,_xlfn.MAXIFS($F$14:$F$1213,$A$14:$A$1213,$H151))&gt;1,"No",IF(NOT(ISNUMBER($AN151)),"—",IF((2*(1-NORMSDIST(ABS($AN151))))&lt;0.05,"Yes","No")))))</f>
        <v/>
      </c>
      <c r="N151" s="21">
        <f>IF($H151="","",IF(NOT(ISNUMBER($AN151)),"—",IF((2*(1-NORMSDIST(ABS($AN151))))&lt;0.001,"&lt;0.001",TEXT((2*(1-NORMSDIST(ABS($AN151)))),"0.000"))))</f>
        <v/>
      </c>
      <c r="P151" s="26" t="n"/>
      <c r="Q151" s="26" t="n"/>
      <c r="R151" s="26" t="n"/>
      <c r="S151" s="26" t="n"/>
      <c r="T151" s="26" t="n"/>
      <c r="V151" s="27">
        <f>IF(ISNUMBER($C151),COUNTIFS($A$14:$A$1213,$A151,$C$14:$C$1213,"&gt;"&amp;$C151)+(COUNTIFS($A$14:$A$1213,$A151,$C$14:$C$1213,"="&amp;$C151)+1)/2,"")</f>
        <v/>
      </c>
      <c r="W151" s="27">
        <f>IF(ISNUMBER($F151),COUNTIFS($A$14:$A$1213,$A151,$F$14:$F$1213,"&gt;"&amp;$F151)+(COUNTIFS($A$14:$A$1213,$A151,$F$14:$F$1213,"="&amp;$F151)+1)/2,"")</f>
        <v/>
      </c>
      <c r="X151" s="27">
        <f>IF(OR(NOT(ISNUMBER($V151)),$AO151=1),"",$V151-(COUNTIFS($A$14:$A$1213,$A151,$C$14:$C$1213,"&gt;=0")+1)/2)</f>
        <v/>
      </c>
      <c r="Y151" s="27">
        <f>IF(OR(NOT(ISNUMBER($W151)),$AO151=1),"",$W151-(COUNTIFS($A$14:$A$1213,$A151,$F$14:$F$1213,"&gt;=0")+1)/2)</f>
        <v/>
      </c>
      <c r="Z151" s="27">
        <f>IF(ISNUMBER($V151),$A151&amp;"|"&amp;$V151,"")</f>
        <v/>
      </c>
      <c r="AA151" s="27">
        <f>IF(ISNUMBER($W151),$A151&amp;"|"&amp;$W151,"")</f>
        <v/>
      </c>
      <c r="AB151" s="27">
        <f>IF(ISNUMBER($F151),$A151&amp;"|"&amp;$F151,"")</f>
        <v/>
      </c>
      <c r="AC151" s="27">
        <f>IF(ISNUMBER($P151),COUNTIFS($A$14:$A$1213,$A151,$P$14:$P$1213,"&gt;"&amp;$P151)+(COUNTIFS($A$14:$A$1213,$A151,$P$14:$P$1213,"="&amp;$P151)+1)/2,"")</f>
        <v/>
      </c>
      <c r="AD151" s="27">
        <f>IF(ISNUMBER($Q151),COUNTIFS($A$14:$A$1213,$A151,$Q$14:$Q$1213,"&gt;"&amp;$Q151)+(COUNTIFS($A$14:$A$1213,$A151,$Q$14:$Q$1213,"="&amp;$Q151)+1)/2,"")</f>
        <v/>
      </c>
      <c r="AE151" s="27">
        <f>IF(ISNUMBER($R151),COUNTIFS($A$14:$A$1213,$A151,$R$14:$R$1213,"&gt;"&amp;$R151)+(COUNTIFS($A$14:$A$1213,$A151,$R$14:$R$1213,"="&amp;$R151)+1)/2,"")</f>
        <v/>
      </c>
      <c r="AF151" s="27">
        <f>IF(ISNUMBER($S151),COUNTIFS($A$14:$A$1213,$A151,$S$14:$S$1213,"&gt;"&amp;$S151)+(COUNTIFS($A$14:$A$1213,$A151,$S$14:$S$1213,"="&amp;$S151)+1)/2,"")</f>
        <v/>
      </c>
      <c r="AG151" s="27">
        <f>IF(ISNUMBER($T151),COUNTIFS($A$14:$A$1213,$A151,$T$14:$T$1213,"&gt;"&amp;$T151)+(COUNTIFS($A$14:$A$1213,$A151,$T$14:$T$1213,"="&amp;$T151)+1)/2,"")</f>
        <v/>
      </c>
      <c r="AH151" s="27">
        <f>IF(COUNT($AC151:$AG151)&lt;2,"",IF(MAX($AC151:$AG151)=MIN($AC151:$AG151),0,1))</f>
        <v/>
      </c>
      <c r="AI151" s="27">
        <f>IF($A151="","",IF(COUNTIF($A$14:$A151,$A151)=1,COUNTIF($AI$13:AI150,"&gt;0")+1,""))</f>
        <v/>
      </c>
      <c r="AJ151" s="27">
        <f>IF(OR($H151="",COUNTIFS($A$14:$A$1213,$H151,$F$14:$F$1213,"&gt;=0")&lt;2,COUNTIFS($A$14:$A$1213,$H151,$F$14:$F$1213,_xlfn.MAXIFS($F$14:$F$1213,$A$14:$A$1213,$H151))&gt;1),"",IFERROR(INDEX($D$14:$D$1213,MATCH($H151&amp;"|"&amp;_xlfn.MAXIFS($F$14:$F$1213,$A$14:$A$1213,$H151),$AB$14:$AB$1213,0)),""))</f>
        <v/>
      </c>
      <c r="AK151" s="27">
        <f>IF(OR($H151="",COUNTIFS($A$14:$A$1213,$H151,$F$14:$F$1213,"&gt;=0")&lt;2,COUNTIFS($A$14:$A$1213,$H151,$F$14:$F$1213,_xlfn.MAXIFS($F$14:$F$1213,$A$14:$A$1213,$H151))&gt;1),"",IFERROR(INDEX($E$14:$E$1213,MATCH($H151&amp;"|"&amp;_xlfn.MAXIFS($F$14:$F$1213,$A$14:$A$1213,$H151),$AB$14:$AB$1213,0)),""))</f>
        <v/>
      </c>
      <c r="AL151" s="27">
        <f>IF(OR($H151="",COUNTIFS($A$14:$A$1213,$H151,$F$14:$F$1213,"&gt;=0")&lt;2,COUNTIFS($A$14:$A$1213,$H151,$F$14:$F$1213,_xlfn.MAXIFS($F$14:$F$1213,$A$14:$A$1213,$H151))&gt;1),"",IFERROR(INDEX($D$14:$D$1213,MATCH($H151&amp;"|"&amp;_xlfn.MAXIFS($F$14:$F$1213,$A$14:$A$1213,$H151,$F$14:$F$1213,"&lt;"&amp;_xlfn.MAXIFS($F$14:$F$1213,$A$14:$A$1213,$H151)),$AB$14:$AB$1213,0)),""))</f>
        <v/>
      </c>
      <c r="AM151" s="27">
        <f>IF(OR($H151="",COUNTIFS($A$14:$A$1213,$H151,$F$14:$F$1213,"&gt;=0")&lt;2,COUNTIFS($A$14:$A$1213,$H151,$F$14:$F$1213,_xlfn.MAXIFS($F$14:$F$1213,$A$14:$A$1213,$H151))&gt;1),"",IFERROR(INDEX($E$14:$E$1213,MATCH($H151&amp;"|"&amp;_xlfn.MAXIFS($F$14:$F$1213,$A$14:$A$1213,$H151,$F$14:$F$1213,"&lt;"&amp;_xlfn.MAXIFS($F$14:$F$1213,$A$14:$A$1213,$H151)),$AB$14:$AB$1213,0)),""))</f>
        <v/>
      </c>
      <c r="AN151" s="27">
        <f>IF(OR(NOT(ISNUMBER($AJ151)),NOT(ISNUMBER($AL151)),$AK151=0,$AM151=0),"",IF(OR((($AJ151+$AL151)/($AK151+$AM151))&lt;=0,(($AJ151+$AL151)/($AK151+$AM151))&gt;=1),"",($AJ151/$AK151-$AL151/$AM151)/SQRT((($AJ151+$AL151)/($AK151+$AM151))*(1-(($AJ151+$AL151)/($AK151+$AM151)))*(1/$AK151+1/$AM151))))</f>
        <v/>
      </c>
      <c r="AO151" s="27">
        <f>IF($A151="","",IF(AND(COUNTIFS($A$14:$A$1213,$A151,$F$14:$F$1213,"&gt;=0")=2,IFERROR(INDEX($M$14:$M$313,MATCH($A151,$H$14:$H$313,0)),"Yes")&lt;&gt;"Yes"),1,0))</f>
        <v/>
      </c>
    </row>
    <row r="152" ht="24" customHeight="1">
      <c r="A152" s="19">
        <f>IF('Enter messages'!A152="","",'Enter messages'!A152)</f>
        <v/>
      </c>
      <c r="B152" s="20">
        <f>IF('Enter messages'!B152="","",'Enter messages'!B152)</f>
        <v/>
      </c>
      <c r="C152" s="21">
        <f>IFERROR(AVERAGE(P152:T152),"")</f>
        <v/>
      </c>
      <c r="D152" s="29" t="n"/>
      <c r="E152" s="29" t="n"/>
      <c r="F152" s="30">
        <f>IF(AND(ISNUMBER($D152),ISNUMBER($E152),$E152&gt;0,$D152&lt;=$E152),$D152/$E152,"")</f>
        <v/>
      </c>
      <c r="H152" s="19">
        <f>IFERROR(INDEX($A$14:$A$1213,MATCH(139,$AI$14:$AI$1213,0)),"")</f>
        <v/>
      </c>
      <c r="I152" s="24">
        <f>IF($H152="","",IF(COUNTIFS($A$14:$A$1213,$H152,$C$14:$C$1213,"&gt;=0")=0,"—",IFERROR(INDEX($B$14:$B$1213,MATCH($H152&amp;"|1",$Z$14:$Z$1213,0)),"(tied)")))</f>
        <v/>
      </c>
      <c r="J152" s="25">
        <f>IF($H152="","",IF(OR(COUNTIFS($A$14:$A$1213,$H152,$C$14:$C$1213,"&gt;=0")=0,COUNTIFS($A$14:$A$1213,$H152,$F$14:$F$1213,"&gt;=0")=0),"—",IF(OR(ISERROR(MATCH($H152&amp;"|1",$Z$14:$Z$1213,0)),ISERROR(MATCH($H152&amp;"|1",$AA$14:$AA$1213,0))),"Tie",IF(MATCH($H152&amp;"|1",$Z$14:$Z$1213,0)=MATCH($H152&amp;"|1",$AA$14:$AA$1213,0),"Hit","Miss"))))</f>
        <v/>
      </c>
      <c r="K152" s="24">
        <f>IF($H152="","",IF(COUNTIFS($A$14:$A$1213,$H152,$F$14:$F$1213,"&gt;=0")=0,"—",IFERROR(INDEX($B$14:$B$1213,MATCH($H152&amp;"|1",$AA$14:$AA$1213,0)),"(tied)")))</f>
        <v/>
      </c>
      <c r="L152" s="25">
        <f>IF($H152="","",IF((--(COUNTIFS($A$14:$A$1213,$H152,$P$14:$P$1213,"&gt;=0")&gt;0)+--(COUNTIFS($A$14:$A$1213,$H152,$Q$14:$Q$1213,"&gt;=0")&gt;0)+--(COUNTIFS($A$14:$A$1213,$H152,$R$14:$R$1213,"&gt;=0")&gt;0)+--(COUNTIFS($A$14:$A$1213,$H152,$S$14:$S$1213,"&gt;=0")&gt;0)+--(COUNTIFS($A$14:$A$1213,$H152,$T$14:$T$1213,"&gt;=0")&gt;0))&lt;2,"—",IF(SUMIFS($AH$14:$AH$1213,$A$14:$A$1213,$H152)=0,"Yes","No")))</f>
        <v/>
      </c>
      <c r="M152" s="25">
        <f>IF($H152="","",IF(COUNTIFS($A$14:$A$1213,$H152,$F$14:$F$1213,"&gt;=0")&lt;2,"—",IF(COUNTIFS($A$14:$A$1213,$H152,$F$14:$F$1213,_xlfn.MAXIFS($F$14:$F$1213,$A$14:$A$1213,$H152))&gt;1,"No",IF(NOT(ISNUMBER($AN152)),"—",IF((2*(1-NORMSDIST(ABS($AN152))))&lt;0.05,"Yes","No")))))</f>
        <v/>
      </c>
      <c r="N152" s="21">
        <f>IF($H152="","",IF(NOT(ISNUMBER($AN152)),"—",IF((2*(1-NORMSDIST(ABS($AN152))))&lt;0.001,"&lt;0.001",TEXT((2*(1-NORMSDIST(ABS($AN152)))),"0.000"))))</f>
        <v/>
      </c>
      <c r="P152" s="26" t="n"/>
      <c r="Q152" s="26" t="n"/>
      <c r="R152" s="26" t="n"/>
      <c r="S152" s="26" t="n"/>
      <c r="T152" s="26" t="n"/>
      <c r="V152" s="27">
        <f>IF(ISNUMBER($C152),COUNTIFS($A$14:$A$1213,$A152,$C$14:$C$1213,"&gt;"&amp;$C152)+(COUNTIFS($A$14:$A$1213,$A152,$C$14:$C$1213,"="&amp;$C152)+1)/2,"")</f>
        <v/>
      </c>
      <c r="W152" s="27">
        <f>IF(ISNUMBER($F152),COUNTIFS($A$14:$A$1213,$A152,$F$14:$F$1213,"&gt;"&amp;$F152)+(COUNTIFS($A$14:$A$1213,$A152,$F$14:$F$1213,"="&amp;$F152)+1)/2,"")</f>
        <v/>
      </c>
      <c r="X152" s="27">
        <f>IF(OR(NOT(ISNUMBER($V152)),$AO152=1),"",$V152-(COUNTIFS($A$14:$A$1213,$A152,$C$14:$C$1213,"&gt;=0")+1)/2)</f>
        <v/>
      </c>
      <c r="Y152" s="27">
        <f>IF(OR(NOT(ISNUMBER($W152)),$AO152=1),"",$W152-(COUNTIFS($A$14:$A$1213,$A152,$F$14:$F$1213,"&gt;=0")+1)/2)</f>
        <v/>
      </c>
      <c r="Z152" s="27">
        <f>IF(ISNUMBER($V152),$A152&amp;"|"&amp;$V152,"")</f>
        <v/>
      </c>
      <c r="AA152" s="27">
        <f>IF(ISNUMBER($W152),$A152&amp;"|"&amp;$W152,"")</f>
        <v/>
      </c>
      <c r="AB152" s="27">
        <f>IF(ISNUMBER($F152),$A152&amp;"|"&amp;$F152,"")</f>
        <v/>
      </c>
      <c r="AC152" s="27">
        <f>IF(ISNUMBER($P152),COUNTIFS($A$14:$A$1213,$A152,$P$14:$P$1213,"&gt;"&amp;$P152)+(COUNTIFS($A$14:$A$1213,$A152,$P$14:$P$1213,"="&amp;$P152)+1)/2,"")</f>
        <v/>
      </c>
      <c r="AD152" s="27">
        <f>IF(ISNUMBER($Q152),COUNTIFS($A$14:$A$1213,$A152,$Q$14:$Q$1213,"&gt;"&amp;$Q152)+(COUNTIFS($A$14:$A$1213,$A152,$Q$14:$Q$1213,"="&amp;$Q152)+1)/2,"")</f>
        <v/>
      </c>
      <c r="AE152" s="27">
        <f>IF(ISNUMBER($R152),COUNTIFS($A$14:$A$1213,$A152,$R$14:$R$1213,"&gt;"&amp;$R152)+(COUNTIFS($A$14:$A$1213,$A152,$R$14:$R$1213,"="&amp;$R152)+1)/2,"")</f>
        <v/>
      </c>
      <c r="AF152" s="27">
        <f>IF(ISNUMBER($S152),COUNTIFS($A$14:$A$1213,$A152,$S$14:$S$1213,"&gt;"&amp;$S152)+(COUNTIFS($A$14:$A$1213,$A152,$S$14:$S$1213,"="&amp;$S152)+1)/2,"")</f>
        <v/>
      </c>
      <c r="AG152" s="27">
        <f>IF(ISNUMBER($T152),COUNTIFS($A$14:$A$1213,$A152,$T$14:$T$1213,"&gt;"&amp;$T152)+(COUNTIFS($A$14:$A$1213,$A152,$T$14:$T$1213,"="&amp;$T152)+1)/2,"")</f>
        <v/>
      </c>
      <c r="AH152" s="27">
        <f>IF(COUNT($AC152:$AG152)&lt;2,"",IF(MAX($AC152:$AG152)=MIN($AC152:$AG152),0,1))</f>
        <v/>
      </c>
      <c r="AI152" s="27">
        <f>IF($A152="","",IF(COUNTIF($A$14:$A152,$A152)=1,COUNTIF($AI$13:AI151,"&gt;0")+1,""))</f>
        <v/>
      </c>
      <c r="AJ152" s="27">
        <f>IF(OR($H152="",COUNTIFS($A$14:$A$1213,$H152,$F$14:$F$1213,"&gt;=0")&lt;2,COUNTIFS($A$14:$A$1213,$H152,$F$14:$F$1213,_xlfn.MAXIFS($F$14:$F$1213,$A$14:$A$1213,$H152))&gt;1),"",IFERROR(INDEX($D$14:$D$1213,MATCH($H152&amp;"|"&amp;_xlfn.MAXIFS($F$14:$F$1213,$A$14:$A$1213,$H152),$AB$14:$AB$1213,0)),""))</f>
        <v/>
      </c>
      <c r="AK152" s="27">
        <f>IF(OR($H152="",COUNTIFS($A$14:$A$1213,$H152,$F$14:$F$1213,"&gt;=0")&lt;2,COUNTIFS($A$14:$A$1213,$H152,$F$14:$F$1213,_xlfn.MAXIFS($F$14:$F$1213,$A$14:$A$1213,$H152))&gt;1),"",IFERROR(INDEX($E$14:$E$1213,MATCH($H152&amp;"|"&amp;_xlfn.MAXIFS($F$14:$F$1213,$A$14:$A$1213,$H152),$AB$14:$AB$1213,0)),""))</f>
        <v/>
      </c>
      <c r="AL152" s="27">
        <f>IF(OR($H152="",COUNTIFS($A$14:$A$1213,$H152,$F$14:$F$1213,"&gt;=0")&lt;2,COUNTIFS($A$14:$A$1213,$H152,$F$14:$F$1213,_xlfn.MAXIFS($F$14:$F$1213,$A$14:$A$1213,$H152))&gt;1),"",IFERROR(INDEX($D$14:$D$1213,MATCH($H152&amp;"|"&amp;_xlfn.MAXIFS($F$14:$F$1213,$A$14:$A$1213,$H152,$F$14:$F$1213,"&lt;"&amp;_xlfn.MAXIFS($F$14:$F$1213,$A$14:$A$1213,$H152)),$AB$14:$AB$1213,0)),""))</f>
        <v/>
      </c>
      <c r="AM152" s="27">
        <f>IF(OR($H152="",COUNTIFS($A$14:$A$1213,$H152,$F$14:$F$1213,"&gt;=0")&lt;2,COUNTIFS($A$14:$A$1213,$H152,$F$14:$F$1213,_xlfn.MAXIFS($F$14:$F$1213,$A$14:$A$1213,$H152))&gt;1),"",IFERROR(INDEX($E$14:$E$1213,MATCH($H152&amp;"|"&amp;_xlfn.MAXIFS($F$14:$F$1213,$A$14:$A$1213,$H152,$F$14:$F$1213,"&lt;"&amp;_xlfn.MAXIFS($F$14:$F$1213,$A$14:$A$1213,$H152)),$AB$14:$AB$1213,0)),""))</f>
        <v/>
      </c>
      <c r="AN152" s="27">
        <f>IF(OR(NOT(ISNUMBER($AJ152)),NOT(ISNUMBER($AL152)),$AK152=0,$AM152=0),"",IF(OR((($AJ152+$AL152)/($AK152+$AM152))&lt;=0,(($AJ152+$AL152)/($AK152+$AM152))&gt;=1),"",($AJ152/$AK152-$AL152/$AM152)/SQRT((($AJ152+$AL152)/($AK152+$AM152))*(1-(($AJ152+$AL152)/($AK152+$AM152)))*(1/$AK152+1/$AM152))))</f>
        <v/>
      </c>
      <c r="AO152" s="27">
        <f>IF($A152="","",IF(AND(COUNTIFS($A$14:$A$1213,$A152,$F$14:$F$1213,"&gt;=0")=2,IFERROR(INDEX($M$14:$M$313,MATCH($A152,$H$14:$H$313,0)),"Yes")&lt;&gt;"Yes"),1,0))</f>
        <v/>
      </c>
    </row>
    <row r="153" ht="24" customHeight="1">
      <c r="A153" s="19">
        <f>IF('Enter messages'!A153="","",'Enter messages'!A153)</f>
        <v/>
      </c>
      <c r="B153" s="20">
        <f>IF('Enter messages'!B153="","",'Enter messages'!B153)</f>
        <v/>
      </c>
      <c r="C153" s="21">
        <f>IFERROR(AVERAGE(P153:T153),"")</f>
        <v/>
      </c>
      <c r="D153" s="29" t="n"/>
      <c r="E153" s="29" t="n"/>
      <c r="F153" s="30">
        <f>IF(AND(ISNUMBER($D153),ISNUMBER($E153),$E153&gt;0,$D153&lt;=$E153),$D153/$E153,"")</f>
        <v/>
      </c>
      <c r="H153" s="19">
        <f>IFERROR(INDEX($A$14:$A$1213,MATCH(140,$AI$14:$AI$1213,0)),"")</f>
        <v/>
      </c>
      <c r="I153" s="24">
        <f>IF($H153="","",IF(COUNTIFS($A$14:$A$1213,$H153,$C$14:$C$1213,"&gt;=0")=0,"—",IFERROR(INDEX($B$14:$B$1213,MATCH($H153&amp;"|1",$Z$14:$Z$1213,0)),"(tied)")))</f>
        <v/>
      </c>
      <c r="J153" s="25">
        <f>IF($H153="","",IF(OR(COUNTIFS($A$14:$A$1213,$H153,$C$14:$C$1213,"&gt;=0")=0,COUNTIFS($A$14:$A$1213,$H153,$F$14:$F$1213,"&gt;=0")=0),"—",IF(OR(ISERROR(MATCH($H153&amp;"|1",$Z$14:$Z$1213,0)),ISERROR(MATCH($H153&amp;"|1",$AA$14:$AA$1213,0))),"Tie",IF(MATCH($H153&amp;"|1",$Z$14:$Z$1213,0)=MATCH($H153&amp;"|1",$AA$14:$AA$1213,0),"Hit","Miss"))))</f>
        <v/>
      </c>
      <c r="K153" s="24">
        <f>IF($H153="","",IF(COUNTIFS($A$14:$A$1213,$H153,$F$14:$F$1213,"&gt;=0")=0,"—",IFERROR(INDEX($B$14:$B$1213,MATCH($H153&amp;"|1",$AA$14:$AA$1213,0)),"(tied)")))</f>
        <v/>
      </c>
      <c r="L153" s="25">
        <f>IF($H153="","",IF((--(COUNTIFS($A$14:$A$1213,$H153,$P$14:$P$1213,"&gt;=0")&gt;0)+--(COUNTIFS($A$14:$A$1213,$H153,$Q$14:$Q$1213,"&gt;=0")&gt;0)+--(COUNTIFS($A$14:$A$1213,$H153,$R$14:$R$1213,"&gt;=0")&gt;0)+--(COUNTIFS($A$14:$A$1213,$H153,$S$14:$S$1213,"&gt;=0")&gt;0)+--(COUNTIFS($A$14:$A$1213,$H153,$T$14:$T$1213,"&gt;=0")&gt;0))&lt;2,"—",IF(SUMIFS($AH$14:$AH$1213,$A$14:$A$1213,$H153)=0,"Yes","No")))</f>
        <v/>
      </c>
      <c r="M153" s="25">
        <f>IF($H153="","",IF(COUNTIFS($A$14:$A$1213,$H153,$F$14:$F$1213,"&gt;=0")&lt;2,"—",IF(COUNTIFS($A$14:$A$1213,$H153,$F$14:$F$1213,_xlfn.MAXIFS($F$14:$F$1213,$A$14:$A$1213,$H153))&gt;1,"No",IF(NOT(ISNUMBER($AN153)),"—",IF((2*(1-NORMSDIST(ABS($AN153))))&lt;0.05,"Yes","No")))))</f>
        <v/>
      </c>
      <c r="N153" s="21">
        <f>IF($H153="","",IF(NOT(ISNUMBER($AN153)),"—",IF((2*(1-NORMSDIST(ABS($AN153))))&lt;0.001,"&lt;0.001",TEXT((2*(1-NORMSDIST(ABS($AN153)))),"0.000"))))</f>
        <v/>
      </c>
      <c r="P153" s="26" t="n"/>
      <c r="Q153" s="26" t="n"/>
      <c r="R153" s="26" t="n"/>
      <c r="S153" s="26" t="n"/>
      <c r="T153" s="26" t="n"/>
      <c r="V153" s="27">
        <f>IF(ISNUMBER($C153),COUNTIFS($A$14:$A$1213,$A153,$C$14:$C$1213,"&gt;"&amp;$C153)+(COUNTIFS($A$14:$A$1213,$A153,$C$14:$C$1213,"="&amp;$C153)+1)/2,"")</f>
        <v/>
      </c>
      <c r="W153" s="27">
        <f>IF(ISNUMBER($F153),COUNTIFS($A$14:$A$1213,$A153,$F$14:$F$1213,"&gt;"&amp;$F153)+(COUNTIFS($A$14:$A$1213,$A153,$F$14:$F$1213,"="&amp;$F153)+1)/2,"")</f>
        <v/>
      </c>
      <c r="X153" s="27">
        <f>IF(OR(NOT(ISNUMBER($V153)),$AO153=1),"",$V153-(COUNTIFS($A$14:$A$1213,$A153,$C$14:$C$1213,"&gt;=0")+1)/2)</f>
        <v/>
      </c>
      <c r="Y153" s="27">
        <f>IF(OR(NOT(ISNUMBER($W153)),$AO153=1),"",$W153-(COUNTIFS($A$14:$A$1213,$A153,$F$14:$F$1213,"&gt;=0")+1)/2)</f>
        <v/>
      </c>
      <c r="Z153" s="27">
        <f>IF(ISNUMBER($V153),$A153&amp;"|"&amp;$V153,"")</f>
        <v/>
      </c>
      <c r="AA153" s="27">
        <f>IF(ISNUMBER($W153),$A153&amp;"|"&amp;$W153,"")</f>
        <v/>
      </c>
      <c r="AB153" s="27">
        <f>IF(ISNUMBER($F153),$A153&amp;"|"&amp;$F153,"")</f>
        <v/>
      </c>
      <c r="AC153" s="27">
        <f>IF(ISNUMBER($P153),COUNTIFS($A$14:$A$1213,$A153,$P$14:$P$1213,"&gt;"&amp;$P153)+(COUNTIFS($A$14:$A$1213,$A153,$P$14:$P$1213,"="&amp;$P153)+1)/2,"")</f>
        <v/>
      </c>
      <c r="AD153" s="27">
        <f>IF(ISNUMBER($Q153),COUNTIFS($A$14:$A$1213,$A153,$Q$14:$Q$1213,"&gt;"&amp;$Q153)+(COUNTIFS($A$14:$A$1213,$A153,$Q$14:$Q$1213,"="&amp;$Q153)+1)/2,"")</f>
        <v/>
      </c>
      <c r="AE153" s="27">
        <f>IF(ISNUMBER($R153),COUNTIFS($A$14:$A$1213,$A153,$R$14:$R$1213,"&gt;"&amp;$R153)+(COUNTIFS($A$14:$A$1213,$A153,$R$14:$R$1213,"="&amp;$R153)+1)/2,"")</f>
        <v/>
      </c>
      <c r="AF153" s="27">
        <f>IF(ISNUMBER($S153),COUNTIFS($A$14:$A$1213,$A153,$S$14:$S$1213,"&gt;"&amp;$S153)+(COUNTIFS($A$14:$A$1213,$A153,$S$14:$S$1213,"="&amp;$S153)+1)/2,"")</f>
        <v/>
      </c>
      <c r="AG153" s="27">
        <f>IF(ISNUMBER($T153),COUNTIFS($A$14:$A$1213,$A153,$T$14:$T$1213,"&gt;"&amp;$T153)+(COUNTIFS($A$14:$A$1213,$A153,$T$14:$T$1213,"="&amp;$T153)+1)/2,"")</f>
        <v/>
      </c>
      <c r="AH153" s="27">
        <f>IF(COUNT($AC153:$AG153)&lt;2,"",IF(MAX($AC153:$AG153)=MIN($AC153:$AG153),0,1))</f>
        <v/>
      </c>
      <c r="AI153" s="27">
        <f>IF($A153="","",IF(COUNTIF($A$14:$A153,$A153)=1,COUNTIF($AI$13:AI152,"&gt;0")+1,""))</f>
        <v/>
      </c>
      <c r="AJ153" s="27">
        <f>IF(OR($H153="",COUNTIFS($A$14:$A$1213,$H153,$F$14:$F$1213,"&gt;=0")&lt;2,COUNTIFS($A$14:$A$1213,$H153,$F$14:$F$1213,_xlfn.MAXIFS($F$14:$F$1213,$A$14:$A$1213,$H153))&gt;1),"",IFERROR(INDEX($D$14:$D$1213,MATCH($H153&amp;"|"&amp;_xlfn.MAXIFS($F$14:$F$1213,$A$14:$A$1213,$H153),$AB$14:$AB$1213,0)),""))</f>
        <v/>
      </c>
      <c r="AK153" s="27">
        <f>IF(OR($H153="",COUNTIFS($A$14:$A$1213,$H153,$F$14:$F$1213,"&gt;=0")&lt;2,COUNTIFS($A$14:$A$1213,$H153,$F$14:$F$1213,_xlfn.MAXIFS($F$14:$F$1213,$A$14:$A$1213,$H153))&gt;1),"",IFERROR(INDEX($E$14:$E$1213,MATCH($H153&amp;"|"&amp;_xlfn.MAXIFS($F$14:$F$1213,$A$14:$A$1213,$H153),$AB$14:$AB$1213,0)),""))</f>
        <v/>
      </c>
      <c r="AL153" s="27">
        <f>IF(OR($H153="",COUNTIFS($A$14:$A$1213,$H153,$F$14:$F$1213,"&gt;=0")&lt;2,COUNTIFS($A$14:$A$1213,$H153,$F$14:$F$1213,_xlfn.MAXIFS($F$14:$F$1213,$A$14:$A$1213,$H153))&gt;1),"",IFERROR(INDEX($D$14:$D$1213,MATCH($H153&amp;"|"&amp;_xlfn.MAXIFS($F$14:$F$1213,$A$14:$A$1213,$H153,$F$14:$F$1213,"&lt;"&amp;_xlfn.MAXIFS($F$14:$F$1213,$A$14:$A$1213,$H153)),$AB$14:$AB$1213,0)),""))</f>
        <v/>
      </c>
      <c r="AM153" s="27">
        <f>IF(OR($H153="",COUNTIFS($A$14:$A$1213,$H153,$F$14:$F$1213,"&gt;=0")&lt;2,COUNTIFS($A$14:$A$1213,$H153,$F$14:$F$1213,_xlfn.MAXIFS($F$14:$F$1213,$A$14:$A$1213,$H153))&gt;1),"",IFERROR(INDEX($E$14:$E$1213,MATCH($H153&amp;"|"&amp;_xlfn.MAXIFS($F$14:$F$1213,$A$14:$A$1213,$H153,$F$14:$F$1213,"&lt;"&amp;_xlfn.MAXIFS($F$14:$F$1213,$A$14:$A$1213,$H153)),$AB$14:$AB$1213,0)),""))</f>
        <v/>
      </c>
      <c r="AN153" s="27">
        <f>IF(OR(NOT(ISNUMBER($AJ153)),NOT(ISNUMBER($AL153)),$AK153=0,$AM153=0),"",IF(OR((($AJ153+$AL153)/($AK153+$AM153))&lt;=0,(($AJ153+$AL153)/($AK153+$AM153))&gt;=1),"",($AJ153/$AK153-$AL153/$AM153)/SQRT((($AJ153+$AL153)/($AK153+$AM153))*(1-(($AJ153+$AL153)/($AK153+$AM153)))*(1/$AK153+1/$AM153))))</f>
        <v/>
      </c>
      <c r="AO153" s="27">
        <f>IF($A153="","",IF(AND(COUNTIFS($A$14:$A$1213,$A153,$F$14:$F$1213,"&gt;=0")=2,IFERROR(INDEX($M$14:$M$313,MATCH($A153,$H$14:$H$313,0)),"Yes")&lt;&gt;"Yes"),1,0))</f>
        <v/>
      </c>
    </row>
    <row r="154" ht="24" customHeight="1">
      <c r="A154" s="19">
        <f>IF('Enter messages'!A154="","",'Enter messages'!A154)</f>
        <v/>
      </c>
      <c r="B154" s="20">
        <f>IF('Enter messages'!B154="","",'Enter messages'!B154)</f>
        <v/>
      </c>
      <c r="C154" s="21">
        <f>IFERROR(AVERAGE(P154:T154),"")</f>
        <v/>
      </c>
      <c r="D154" s="29" t="n"/>
      <c r="E154" s="29" t="n"/>
      <c r="F154" s="30">
        <f>IF(AND(ISNUMBER($D154),ISNUMBER($E154),$E154&gt;0,$D154&lt;=$E154),$D154/$E154,"")</f>
        <v/>
      </c>
      <c r="H154" s="19">
        <f>IFERROR(INDEX($A$14:$A$1213,MATCH(141,$AI$14:$AI$1213,0)),"")</f>
        <v/>
      </c>
      <c r="I154" s="24">
        <f>IF($H154="","",IF(COUNTIFS($A$14:$A$1213,$H154,$C$14:$C$1213,"&gt;=0")=0,"—",IFERROR(INDEX($B$14:$B$1213,MATCH($H154&amp;"|1",$Z$14:$Z$1213,0)),"(tied)")))</f>
        <v/>
      </c>
      <c r="J154" s="25">
        <f>IF($H154="","",IF(OR(COUNTIFS($A$14:$A$1213,$H154,$C$14:$C$1213,"&gt;=0")=0,COUNTIFS($A$14:$A$1213,$H154,$F$14:$F$1213,"&gt;=0")=0),"—",IF(OR(ISERROR(MATCH($H154&amp;"|1",$Z$14:$Z$1213,0)),ISERROR(MATCH($H154&amp;"|1",$AA$14:$AA$1213,0))),"Tie",IF(MATCH($H154&amp;"|1",$Z$14:$Z$1213,0)=MATCH($H154&amp;"|1",$AA$14:$AA$1213,0),"Hit","Miss"))))</f>
        <v/>
      </c>
      <c r="K154" s="24">
        <f>IF($H154="","",IF(COUNTIFS($A$14:$A$1213,$H154,$F$14:$F$1213,"&gt;=0")=0,"—",IFERROR(INDEX($B$14:$B$1213,MATCH($H154&amp;"|1",$AA$14:$AA$1213,0)),"(tied)")))</f>
        <v/>
      </c>
      <c r="L154" s="25">
        <f>IF($H154="","",IF((--(COUNTIFS($A$14:$A$1213,$H154,$P$14:$P$1213,"&gt;=0")&gt;0)+--(COUNTIFS($A$14:$A$1213,$H154,$Q$14:$Q$1213,"&gt;=0")&gt;0)+--(COUNTIFS($A$14:$A$1213,$H154,$R$14:$R$1213,"&gt;=0")&gt;0)+--(COUNTIFS($A$14:$A$1213,$H154,$S$14:$S$1213,"&gt;=0")&gt;0)+--(COUNTIFS($A$14:$A$1213,$H154,$T$14:$T$1213,"&gt;=0")&gt;0))&lt;2,"—",IF(SUMIFS($AH$14:$AH$1213,$A$14:$A$1213,$H154)=0,"Yes","No")))</f>
        <v/>
      </c>
      <c r="M154" s="25">
        <f>IF($H154="","",IF(COUNTIFS($A$14:$A$1213,$H154,$F$14:$F$1213,"&gt;=0")&lt;2,"—",IF(COUNTIFS($A$14:$A$1213,$H154,$F$14:$F$1213,_xlfn.MAXIFS($F$14:$F$1213,$A$14:$A$1213,$H154))&gt;1,"No",IF(NOT(ISNUMBER($AN154)),"—",IF((2*(1-NORMSDIST(ABS($AN154))))&lt;0.05,"Yes","No")))))</f>
        <v/>
      </c>
      <c r="N154" s="21">
        <f>IF($H154="","",IF(NOT(ISNUMBER($AN154)),"—",IF((2*(1-NORMSDIST(ABS($AN154))))&lt;0.001,"&lt;0.001",TEXT((2*(1-NORMSDIST(ABS($AN154)))),"0.000"))))</f>
        <v/>
      </c>
      <c r="P154" s="26" t="n"/>
      <c r="Q154" s="26" t="n"/>
      <c r="R154" s="26" t="n"/>
      <c r="S154" s="26" t="n"/>
      <c r="T154" s="26" t="n"/>
      <c r="V154" s="27">
        <f>IF(ISNUMBER($C154),COUNTIFS($A$14:$A$1213,$A154,$C$14:$C$1213,"&gt;"&amp;$C154)+(COUNTIFS($A$14:$A$1213,$A154,$C$14:$C$1213,"="&amp;$C154)+1)/2,"")</f>
        <v/>
      </c>
      <c r="W154" s="27">
        <f>IF(ISNUMBER($F154),COUNTIFS($A$14:$A$1213,$A154,$F$14:$F$1213,"&gt;"&amp;$F154)+(COUNTIFS($A$14:$A$1213,$A154,$F$14:$F$1213,"="&amp;$F154)+1)/2,"")</f>
        <v/>
      </c>
      <c r="X154" s="27">
        <f>IF(OR(NOT(ISNUMBER($V154)),$AO154=1),"",$V154-(COUNTIFS($A$14:$A$1213,$A154,$C$14:$C$1213,"&gt;=0")+1)/2)</f>
        <v/>
      </c>
      <c r="Y154" s="27">
        <f>IF(OR(NOT(ISNUMBER($W154)),$AO154=1),"",$W154-(COUNTIFS($A$14:$A$1213,$A154,$F$14:$F$1213,"&gt;=0")+1)/2)</f>
        <v/>
      </c>
      <c r="Z154" s="27">
        <f>IF(ISNUMBER($V154),$A154&amp;"|"&amp;$V154,"")</f>
        <v/>
      </c>
      <c r="AA154" s="27">
        <f>IF(ISNUMBER($W154),$A154&amp;"|"&amp;$W154,"")</f>
        <v/>
      </c>
      <c r="AB154" s="27">
        <f>IF(ISNUMBER($F154),$A154&amp;"|"&amp;$F154,"")</f>
        <v/>
      </c>
      <c r="AC154" s="27">
        <f>IF(ISNUMBER($P154),COUNTIFS($A$14:$A$1213,$A154,$P$14:$P$1213,"&gt;"&amp;$P154)+(COUNTIFS($A$14:$A$1213,$A154,$P$14:$P$1213,"="&amp;$P154)+1)/2,"")</f>
        <v/>
      </c>
      <c r="AD154" s="27">
        <f>IF(ISNUMBER($Q154),COUNTIFS($A$14:$A$1213,$A154,$Q$14:$Q$1213,"&gt;"&amp;$Q154)+(COUNTIFS($A$14:$A$1213,$A154,$Q$14:$Q$1213,"="&amp;$Q154)+1)/2,"")</f>
        <v/>
      </c>
      <c r="AE154" s="27">
        <f>IF(ISNUMBER($R154),COUNTIFS($A$14:$A$1213,$A154,$R$14:$R$1213,"&gt;"&amp;$R154)+(COUNTIFS($A$14:$A$1213,$A154,$R$14:$R$1213,"="&amp;$R154)+1)/2,"")</f>
        <v/>
      </c>
      <c r="AF154" s="27">
        <f>IF(ISNUMBER($S154),COUNTIFS($A$14:$A$1213,$A154,$S$14:$S$1213,"&gt;"&amp;$S154)+(COUNTIFS($A$14:$A$1213,$A154,$S$14:$S$1213,"="&amp;$S154)+1)/2,"")</f>
        <v/>
      </c>
      <c r="AG154" s="27">
        <f>IF(ISNUMBER($T154),COUNTIFS($A$14:$A$1213,$A154,$T$14:$T$1213,"&gt;"&amp;$T154)+(COUNTIFS($A$14:$A$1213,$A154,$T$14:$T$1213,"="&amp;$T154)+1)/2,"")</f>
        <v/>
      </c>
      <c r="AH154" s="27">
        <f>IF(COUNT($AC154:$AG154)&lt;2,"",IF(MAX($AC154:$AG154)=MIN($AC154:$AG154),0,1))</f>
        <v/>
      </c>
      <c r="AI154" s="27">
        <f>IF($A154="","",IF(COUNTIF($A$14:$A154,$A154)=1,COUNTIF($AI$13:AI153,"&gt;0")+1,""))</f>
        <v/>
      </c>
      <c r="AJ154" s="27">
        <f>IF(OR($H154="",COUNTIFS($A$14:$A$1213,$H154,$F$14:$F$1213,"&gt;=0")&lt;2,COUNTIFS($A$14:$A$1213,$H154,$F$14:$F$1213,_xlfn.MAXIFS($F$14:$F$1213,$A$14:$A$1213,$H154))&gt;1),"",IFERROR(INDEX($D$14:$D$1213,MATCH($H154&amp;"|"&amp;_xlfn.MAXIFS($F$14:$F$1213,$A$14:$A$1213,$H154),$AB$14:$AB$1213,0)),""))</f>
        <v/>
      </c>
      <c r="AK154" s="27">
        <f>IF(OR($H154="",COUNTIFS($A$14:$A$1213,$H154,$F$14:$F$1213,"&gt;=0")&lt;2,COUNTIFS($A$14:$A$1213,$H154,$F$14:$F$1213,_xlfn.MAXIFS($F$14:$F$1213,$A$14:$A$1213,$H154))&gt;1),"",IFERROR(INDEX($E$14:$E$1213,MATCH($H154&amp;"|"&amp;_xlfn.MAXIFS($F$14:$F$1213,$A$14:$A$1213,$H154),$AB$14:$AB$1213,0)),""))</f>
        <v/>
      </c>
      <c r="AL154" s="27">
        <f>IF(OR($H154="",COUNTIFS($A$14:$A$1213,$H154,$F$14:$F$1213,"&gt;=0")&lt;2,COUNTIFS($A$14:$A$1213,$H154,$F$14:$F$1213,_xlfn.MAXIFS($F$14:$F$1213,$A$14:$A$1213,$H154))&gt;1),"",IFERROR(INDEX($D$14:$D$1213,MATCH($H154&amp;"|"&amp;_xlfn.MAXIFS($F$14:$F$1213,$A$14:$A$1213,$H154,$F$14:$F$1213,"&lt;"&amp;_xlfn.MAXIFS($F$14:$F$1213,$A$14:$A$1213,$H154)),$AB$14:$AB$1213,0)),""))</f>
        <v/>
      </c>
      <c r="AM154" s="27">
        <f>IF(OR($H154="",COUNTIFS($A$14:$A$1213,$H154,$F$14:$F$1213,"&gt;=0")&lt;2,COUNTIFS($A$14:$A$1213,$H154,$F$14:$F$1213,_xlfn.MAXIFS($F$14:$F$1213,$A$14:$A$1213,$H154))&gt;1),"",IFERROR(INDEX($E$14:$E$1213,MATCH($H154&amp;"|"&amp;_xlfn.MAXIFS($F$14:$F$1213,$A$14:$A$1213,$H154,$F$14:$F$1213,"&lt;"&amp;_xlfn.MAXIFS($F$14:$F$1213,$A$14:$A$1213,$H154)),$AB$14:$AB$1213,0)),""))</f>
        <v/>
      </c>
      <c r="AN154" s="27">
        <f>IF(OR(NOT(ISNUMBER($AJ154)),NOT(ISNUMBER($AL154)),$AK154=0,$AM154=0),"",IF(OR((($AJ154+$AL154)/($AK154+$AM154))&lt;=0,(($AJ154+$AL154)/($AK154+$AM154))&gt;=1),"",($AJ154/$AK154-$AL154/$AM154)/SQRT((($AJ154+$AL154)/($AK154+$AM154))*(1-(($AJ154+$AL154)/($AK154+$AM154)))*(1/$AK154+1/$AM154))))</f>
        <v/>
      </c>
      <c r="AO154" s="27">
        <f>IF($A154="","",IF(AND(COUNTIFS($A$14:$A$1213,$A154,$F$14:$F$1213,"&gt;=0")=2,IFERROR(INDEX($M$14:$M$313,MATCH($A154,$H$14:$H$313,0)),"Yes")&lt;&gt;"Yes"),1,0))</f>
        <v/>
      </c>
    </row>
    <row r="155" ht="24" customHeight="1">
      <c r="A155" s="19">
        <f>IF('Enter messages'!A155="","",'Enter messages'!A155)</f>
        <v/>
      </c>
      <c r="B155" s="20">
        <f>IF('Enter messages'!B155="","",'Enter messages'!B155)</f>
        <v/>
      </c>
      <c r="C155" s="21">
        <f>IFERROR(AVERAGE(P155:T155),"")</f>
        <v/>
      </c>
      <c r="D155" s="29" t="n"/>
      <c r="E155" s="29" t="n"/>
      <c r="F155" s="30">
        <f>IF(AND(ISNUMBER($D155),ISNUMBER($E155),$E155&gt;0,$D155&lt;=$E155),$D155/$E155,"")</f>
        <v/>
      </c>
      <c r="H155" s="19">
        <f>IFERROR(INDEX($A$14:$A$1213,MATCH(142,$AI$14:$AI$1213,0)),"")</f>
        <v/>
      </c>
      <c r="I155" s="24">
        <f>IF($H155="","",IF(COUNTIFS($A$14:$A$1213,$H155,$C$14:$C$1213,"&gt;=0")=0,"—",IFERROR(INDEX($B$14:$B$1213,MATCH($H155&amp;"|1",$Z$14:$Z$1213,0)),"(tied)")))</f>
        <v/>
      </c>
      <c r="J155" s="25">
        <f>IF($H155="","",IF(OR(COUNTIFS($A$14:$A$1213,$H155,$C$14:$C$1213,"&gt;=0")=0,COUNTIFS($A$14:$A$1213,$H155,$F$14:$F$1213,"&gt;=0")=0),"—",IF(OR(ISERROR(MATCH($H155&amp;"|1",$Z$14:$Z$1213,0)),ISERROR(MATCH($H155&amp;"|1",$AA$14:$AA$1213,0))),"Tie",IF(MATCH($H155&amp;"|1",$Z$14:$Z$1213,0)=MATCH($H155&amp;"|1",$AA$14:$AA$1213,0),"Hit","Miss"))))</f>
        <v/>
      </c>
      <c r="K155" s="24">
        <f>IF($H155="","",IF(COUNTIFS($A$14:$A$1213,$H155,$F$14:$F$1213,"&gt;=0")=0,"—",IFERROR(INDEX($B$14:$B$1213,MATCH($H155&amp;"|1",$AA$14:$AA$1213,0)),"(tied)")))</f>
        <v/>
      </c>
      <c r="L155" s="25">
        <f>IF($H155="","",IF((--(COUNTIFS($A$14:$A$1213,$H155,$P$14:$P$1213,"&gt;=0")&gt;0)+--(COUNTIFS($A$14:$A$1213,$H155,$Q$14:$Q$1213,"&gt;=0")&gt;0)+--(COUNTIFS($A$14:$A$1213,$H155,$R$14:$R$1213,"&gt;=0")&gt;0)+--(COUNTIFS($A$14:$A$1213,$H155,$S$14:$S$1213,"&gt;=0")&gt;0)+--(COUNTIFS($A$14:$A$1213,$H155,$T$14:$T$1213,"&gt;=0")&gt;0))&lt;2,"—",IF(SUMIFS($AH$14:$AH$1213,$A$14:$A$1213,$H155)=0,"Yes","No")))</f>
        <v/>
      </c>
      <c r="M155" s="25">
        <f>IF($H155="","",IF(COUNTIFS($A$14:$A$1213,$H155,$F$14:$F$1213,"&gt;=0")&lt;2,"—",IF(COUNTIFS($A$14:$A$1213,$H155,$F$14:$F$1213,_xlfn.MAXIFS($F$14:$F$1213,$A$14:$A$1213,$H155))&gt;1,"No",IF(NOT(ISNUMBER($AN155)),"—",IF((2*(1-NORMSDIST(ABS($AN155))))&lt;0.05,"Yes","No")))))</f>
        <v/>
      </c>
      <c r="N155" s="21">
        <f>IF($H155="","",IF(NOT(ISNUMBER($AN155)),"—",IF((2*(1-NORMSDIST(ABS($AN155))))&lt;0.001,"&lt;0.001",TEXT((2*(1-NORMSDIST(ABS($AN155)))),"0.000"))))</f>
        <v/>
      </c>
      <c r="P155" s="26" t="n"/>
      <c r="Q155" s="26" t="n"/>
      <c r="R155" s="26" t="n"/>
      <c r="S155" s="26" t="n"/>
      <c r="T155" s="26" t="n"/>
      <c r="V155" s="27">
        <f>IF(ISNUMBER($C155),COUNTIFS($A$14:$A$1213,$A155,$C$14:$C$1213,"&gt;"&amp;$C155)+(COUNTIFS($A$14:$A$1213,$A155,$C$14:$C$1213,"="&amp;$C155)+1)/2,"")</f>
        <v/>
      </c>
      <c r="W155" s="27">
        <f>IF(ISNUMBER($F155),COUNTIFS($A$14:$A$1213,$A155,$F$14:$F$1213,"&gt;"&amp;$F155)+(COUNTIFS($A$14:$A$1213,$A155,$F$14:$F$1213,"="&amp;$F155)+1)/2,"")</f>
        <v/>
      </c>
      <c r="X155" s="27">
        <f>IF(OR(NOT(ISNUMBER($V155)),$AO155=1),"",$V155-(COUNTIFS($A$14:$A$1213,$A155,$C$14:$C$1213,"&gt;=0")+1)/2)</f>
        <v/>
      </c>
      <c r="Y155" s="27">
        <f>IF(OR(NOT(ISNUMBER($W155)),$AO155=1),"",$W155-(COUNTIFS($A$14:$A$1213,$A155,$F$14:$F$1213,"&gt;=0")+1)/2)</f>
        <v/>
      </c>
      <c r="Z155" s="27">
        <f>IF(ISNUMBER($V155),$A155&amp;"|"&amp;$V155,"")</f>
        <v/>
      </c>
      <c r="AA155" s="27">
        <f>IF(ISNUMBER($W155),$A155&amp;"|"&amp;$W155,"")</f>
        <v/>
      </c>
      <c r="AB155" s="27">
        <f>IF(ISNUMBER($F155),$A155&amp;"|"&amp;$F155,"")</f>
        <v/>
      </c>
      <c r="AC155" s="27">
        <f>IF(ISNUMBER($P155),COUNTIFS($A$14:$A$1213,$A155,$P$14:$P$1213,"&gt;"&amp;$P155)+(COUNTIFS($A$14:$A$1213,$A155,$P$14:$P$1213,"="&amp;$P155)+1)/2,"")</f>
        <v/>
      </c>
      <c r="AD155" s="27">
        <f>IF(ISNUMBER($Q155),COUNTIFS($A$14:$A$1213,$A155,$Q$14:$Q$1213,"&gt;"&amp;$Q155)+(COUNTIFS($A$14:$A$1213,$A155,$Q$14:$Q$1213,"="&amp;$Q155)+1)/2,"")</f>
        <v/>
      </c>
      <c r="AE155" s="27">
        <f>IF(ISNUMBER($R155),COUNTIFS($A$14:$A$1213,$A155,$R$14:$R$1213,"&gt;"&amp;$R155)+(COUNTIFS($A$14:$A$1213,$A155,$R$14:$R$1213,"="&amp;$R155)+1)/2,"")</f>
        <v/>
      </c>
      <c r="AF155" s="27">
        <f>IF(ISNUMBER($S155),COUNTIFS($A$14:$A$1213,$A155,$S$14:$S$1213,"&gt;"&amp;$S155)+(COUNTIFS($A$14:$A$1213,$A155,$S$14:$S$1213,"="&amp;$S155)+1)/2,"")</f>
        <v/>
      </c>
      <c r="AG155" s="27">
        <f>IF(ISNUMBER($T155),COUNTIFS($A$14:$A$1213,$A155,$T$14:$T$1213,"&gt;"&amp;$T155)+(COUNTIFS($A$14:$A$1213,$A155,$T$14:$T$1213,"="&amp;$T155)+1)/2,"")</f>
        <v/>
      </c>
      <c r="AH155" s="27">
        <f>IF(COUNT($AC155:$AG155)&lt;2,"",IF(MAX($AC155:$AG155)=MIN($AC155:$AG155),0,1))</f>
        <v/>
      </c>
      <c r="AI155" s="27">
        <f>IF($A155="","",IF(COUNTIF($A$14:$A155,$A155)=1,COUNTIF($AI$13:AI154,"&gt;0")+1,""))</f>
        <v/>
      </c>
      <c r="AJ155" s="27">
        <f>IF(OR($H155="",COUNTIFS($A$14:$A$1213,$H155,$F$14:$F$1213,"&gt;=0")&lt;2,COUNTIFS($A$14:$A$1213,$H155,$F$14:$F$1213,_xlfn.MAXIFS($F$14:$F$1213,$A$14:$A$1213,$H155))&gt;1),"",IFERROR(INDEX($D$14:$D$1213,MATCH($H155&amp;"|"&amp;_xlfn.MAXIFS($F$14:$F$1213,$A$14:$A$1213,$H155),$AB$14:$AB$1213,0)),""))</f>
        <v/>
      </c>
      <c r="AK155" s="27">
        <f>IF(OR($H155="",COUNTIFS($A$14:$A$1213,$H155,$F$14:$F$1213,"&gt;=0")&lt;2,COUNTIFS($A$14:$A$1213,$H155,$F$14:$F$1213,_xlfn.MAXIFS($F$14:$F$1213,$A$14:$A$1213,$H155))&gt;1),"",IFERROR(INDEX($E$14:$E$1213,MATCH($H155&amp;"|"&amp;_xlfn.MAXIFS($F$14:$F$1213,$A$14:$A$1213,$H155),$AB$14:$AB$1213,0)),""))</f>
        <v/>
      </c>
      <c r="AL155" s="27">
        <f>IF(OR($H155="",COUNTIFS($A$14:$A$1213,$H155,$F$14:$F$1213,"&gt;=0")&lt;2,COUNTIFS($A$14:$A$1213,$H155,$F$14:$F$1213,_xlfn.MAXIFS($F$14:$F$1213,$A$14:$A$1213,$H155))&gt;1),"",IFERROR(INDEX($D$14:$D$1213,MATCH($H155&amp;"|"&amp;_xlfn.MAXIFS($F$14:$F$1213,$A$14:$A$1213,$H155,$F$14:$F$1213,"&lt;"&amp;_xlfn.MAXIFS($F$14:$F$1213,$A$14:$A$1213,$H155)),$AB$14:$AB$1213,0)),""))</f>
        <v/>
      </c>
      <c r="AM155" s="27">
        <f>IF(OR($H155="",COUNTIFS($A$14:$A$1213,$H155,$F$14:$F$1213,"&gt;=0")&lt;2,COUNTIFS($A$14:$A$1213,$H155,$F$14:$F$1213,_xlfn.MAXIFS($F$14:$F$1213,$A$14:$A$1213,$H155))&gt;1),"",IFERROR(INDEX($E$14:$E$1213,MATCH($H155&amp;"|"&amp;_xlfn.MAXIFS($F$14:$F$1213,$A$14:$A$1213,$H155,$F$14:$F$1213,"&lt;"&amp;_xlfn.MAXIFS($F$14:$F$1213,$A$14:$A$1213,$H155)),$AB$14:$AB$1213,0)),""))</f>
        <v/>
      </c>
      <c r="AN155" s="27">
        <f>IF(OR(NOT(ISNUMBER($AJ155)),NOT(ISNUMBER($AL155)),$AK155=0,$AM155=0),"",IF(OR((($AJ155+$AL155)/($AK155+$AM155))&lt;=0,(($AJ155+$AL155)/($AK155+$AM155))&gt;=1),"",($AJ155/$AK155-$AL155/$AM155)/SQRT((($AJ155+$AL155)/($AK155+$AM155))*(1-(($AJ155+$AL155)/($AK155+$AM155)))*(1/$AK155+1/$AM155))))</f>
        <v/>
      </c>
      <c r="AO155" s="27">
        <f>IF($A155="","",IF(AND(COUNTIFS($A$14:$A$1213,$A155,$F$14:$F$1213,"&gt;=0")=2,IFERROR(INDEX($M$14:$M$313,MATCH($A155,$H$14:$H$313,0)),"Yes")&lt;&gt;"Yes"),1,0))</f>
        <v/>
      </c>
    </row>
    <row r="156" ht="24" customHeight="1">
      <c r="A156" s="19">
        <f>IF('Enter messages'!A156="","",'Enter messages'!A156)</f>
        <v/>
      </c>
      <c r="B156" s="20">
        <f>IF('Enter messages'!B156="","",'Enter messages'!B156)</f>
        <v/>
      </c>
      <c r="C156" s="21">
        <f>IFERROR(AVERAGE(P156:T156),"")</f>
        <v/>
      </c>
      <c r="D156" s="29" t="n"/>
      <c r="E156" s="29" t="n"/>
      <c r="F156" s="30">
        <f>IF(AND(ISNUMBER($D156),ISNUMBER($E156),$E156&gt;0,$D156&lt;=$E156),$D156/$E156,"")</f>
        <v/>
      </c>
      <c r="H156" s="19">
        <f>IFERROR(INDEX($A$14:$A$1213,MATCH(143,$AI$14:$AI$1213,0)),"")</f>
        <v/>
      </c>
      <c r="I156" s="24">
        <f>IF($H156="","",IF(COUNTIFS($A$14:$A$1213,$H156,$C$14:$C$1213,"&gt;=0")=0,"—",IFERROR(INDEX($B$14:$B$1213,MATCH($H156&amp;"|1",$Z$14:$Z$1213,0)),"(tied)")))</f>
        <v/>
      </c>
      <c r="J156" s="25">
        <f>IF($H156="","",IF(OR(COUNTIFS($A$14:$A$1213,$H156,$C$14:$C$1213,"&gt;=0")=0,COUNTIFS($A$14:$A$1213,$H156,$F$14:$F$1213,"&gt;=0")=0),"—",IF(OR(ISERROR(MATCH($H156&amp;"|1",$Z$14:$Z$1213,0)),ISERROR(MATCH($H156&amp;"|1",$AA$14:$AA$1213,0))),"Tie",IF(MATCH($H156&amp;"|1",$Z$14:$Z$1213,0)=MATCH($H156&amp;"|1",$AA$14:$AA$1213,0),"Hit","Miss"))))</f>
        <v/>
      </c>
      <c r="K156" s="24">
        <f>IF($H156="","",IF(COUNTIFS($A$14:$A$1213,$H156,$F$14:$F$1213,"&gt;=0")=0,"—",IFERROR(INDEX($B$14:$B$1213,MATCH($H156&amp;"|1",$AA$14:$AA$1213,0)),"(tied)")))</f>
        <v/>
      </c>
      <c r="L156" s="25">
        <f>IF($H156="","",IF((--(COUNTIFS($A$14:$A$1213,$H156,$P$14:$P$1213,"&gt;=0")&gt;0)+--(COUNTIFS($A$14:$A$1213,$H156,$Q$14:$Q$1213,"&gt;=0")&gt;0)+--(COUNTIFS($A$14:$A$1213,$H156,$R$14:$R$1213,"&gt;=0")&gt;0)+--(COUNTIFS($A$14:$A$1213,$H156,$S$14:$S$1213,"&gt;=0")&gt;0)+--(COUNTIFS($A$14:$A$1213,$H156,$T$14:$T$1213,"&gt;=0")&gt;0))&lt;2,"—",IF(SUMIFS($AH$14:$AH$1213,$A$14:$A$1213,$H156)=0,"Yes","No")))</f>
        <v/>
      </c>
      <c r="M156" s="25">
        <f>IF($H156="","",IF(COUNTIFS($A$14:$A$1213,$H156,$F$14:$F$1213,"&gt;=0")&lt;2,"—",IF(COUNTIFS($A$14:$A$1213,$H156,$F$14:$F$1213,_xlfn.MAXIFS($F$14:$F$1213,$A$14:$A$1213,$H156))&gt;1,"No",IF(NOT(ISNUMBER($AN156)),"—",IF((2*(1-NORMSDIST(ABS($AN156))))&lt;0.05,"Yes","No")))))</f>
        <v/>
      </c>
      <c r="N156" s="21">
        <f>IF($H156="","",IF(NOT(ISNUMBER($AN156)),"—",IF((2*(1-NORMSDIST(ABS($AN156))))&lt;0.001,"&lt;0.001",TEXT((2*(1-NORMSDIST(ABS($AN156)))),"0.000"))))</f>
        <v/>
      </c>
      <c r="P156" s="26" t="n"/>
      <c r="Q156" s="26" t="n"/>
      <c r="R156" s="26" t="n"/>
      <c r="S156" s="26" t="n"/>
      <c r="T156" s="26" t="n"/>
      <c r="V156" s="27">
        <f>IF(ISNUMBER($C156),COUNTIFS($A$14:$A$1213,$A156,$C$14:$C$1213,"&gt;"&amp;$C156)+(COUNTIFS($A$14:$A$1213,$A156,$C$14:$C$1213,"="&amp;$C156)+1)/2,"")</f>
        <v/>
      </c>
      <c r="W156" s="27">
        <f>IF(ISNUMBER($F156),COUNTIFS($A$14:$A$1213,$A156,$F$14:$F$1213,"&gt;"&amp;$F156)+(COUNTIFS($A$14:$A$1213,$A156,$F$14:$F$1213,"="&amp;$F156)+1)/2,"")</f>
        <v/>
      </c>
      <c r="X156" s="27">
        <f>IF(OR(NOT(ISNUMBER($V156)),$AO156=1),"",$V156-(COUNTIFS($A$14:$A$1213,$A156,$C$14:$C$1213,"&gt;=0")+1)/2)</f>
        <v/>
      </c>
      <c r="Y156" s="27">
        <f>IF(OR(NOT(ISNUMBER($W156)),$AO156=1),"",$W156-(COUNTIFS($A$14:$A$1213,$A156,$F$14:$F$1213,"&gt;=0")+1)/2)</f>
        <v/>
      </c>
      <c r="Z156" s="27">
        <f>IF(ISNUMBER($V156),$A156&amp;"|"&amp;$V156,"")</f>
        <v/>
      </c>
      <c r="AA156" s="27">
        <f>IF(ISNUMBER($W156),$A156&amp;"|"&amp;$W156,"")</f>
        <v/>
      </c>
      <c r="AB156" s="27">
        <f>IF(ISNUMBER($F156),$A156&amp;"|"&amp;$F156,"")</f>
        <v/>
      </c>
      <c r="AC156" s="27">
        <f>IF(ISNUMBER($P156),COUNTIFS($A$14:$A$1213,$A156,$P$14:$P$1213,"&gt;"&amp;$P156)+(COUNTIFS($A$14:$A$1213,$A156,$P$14:$P$1213,"="&amp;$P156)+1)/2,"")</f>
        <v/>
      </c>
      <c r="AD156" s="27">
        <f>IF(ISNUMBER($Q156),COUNTIFS($A$14:$A$1213,$A156,$Q$14:$Q$1213,"&gt;"&amp;$Q156)+(COUNTIFS($A$14:$A$1213,$A156,$Q$14:$Q$1213,"="&amp;$Q156)+1)/2,"")</f>
        <v/>
      </c>
      <c r="AE156" s="27">
        <f>IF(ISNUMBER($R156),COUNTIFS($A$14:$A$1213,$A156,$R$14:$R$1213,"&gt;"&amp;$R156)+(COUNTIFS($A$14:$A$1213,$A156,$R$14:$R$1213,"="&amp;$R156)+1)/2,"")</f>
        <v/>
      </c>
      <c r="AF156" s="27">
        <f>IF(ISNUMBER($S156),COUNTIFS($A$14:$A$1213,$A156,$S$14:$S$1213,"&gt;"&amp;$S156)+(COUNTIFS($A$14:$A$1213,$A156,$S$14:$S$1213,"="&amp;$S156)+1)/2,"")</f>
        <v/>
      </c>
      <c r="AG156" s="27">
        <f>IF(ISNUMBER($T156),COUNTIFS($A$14:$A$1213,$A156,$T$14:$T$1213,"&gt;"&amp;$T156)+(COUNTIFS($A$14:$A$1213,$A156,$T$14:$T$1213,"="&amp;$T156)+1)/2,"")</f>
        <v/>
      </c>
      <c r="AH156" s="27">
        <f>IF(COUNT($AC156:$AG156)&lt;2,"",IF(MAX($AC156:$AG156)=MIN($AC156:$AG156),0,1))</f>
        <v/>
      </c>
      <c r="AI156" s="27">
        <f>IF($A156="","",IF(COUNTIF($A$14:$A156,$A156)=1,COUNTIF($AI$13:AI155,"&gt;0")+1,""))</f>
        <v/>
      </c>
      <c r="AJ156" s="27">
        <f>IF(OR($H156="",COUNTIFS($A$14:$A$1213,$H156,$F$14:$F$1213,"&gt;=0")&lt;2,COUNTIFS($A$14:$A$1213,$H156,$F$14:$F$1213,_xlfn.MAXIFS($F$14:$F$1213,$A$14:$A$1213,$H156))&gt;1),"",IFERROR(INDEX($D$14:$D$1213,MATCH($H156&amp;"|"&amp;_xlfn.MAXIFS($F$14:$F$1213,$A$14:$A$1213,$H156),$AB$14:$AB$1213,0)),""))</f>
        <v/>
      </c>
      <c r="AK156" s="27">
        <f>IF(OR($H156="",COUNTIFS($A$14:$A$1213,$H156,$F$14:$F$1213,"&gt;=0")&lt;2,COUNTIFS($A$14:$A$1213,$H156,$F$14:$F$1213,_xlfn.MAXIFS($F$14:$F$1213,$A$14:$A$1213,$H156))&gt;1),"",IFERROR(INDEX($E$14:$E$1213,MATCH($H156&amp;"|"&amp;_xlfn.MAXIFS($F$14:$F$1213,$A$14:$A$1213,$H156),$AB$14:$AB$1213,0)),""))</f>
        <v/>
      </c>
      <c r="AL156" s="27">
        <f>IF(OR($H156="",COUNTIFS($A$14:$A$1213,$H156,$F$14:$F$1213,"&gt;=0")&lt;2,COUNTIFS($A$14:$A$1213,$H156,$F$14:$F$1213,_xlfn.MAXIFS($F$14:$F$1213,$A$14:$A$1213,$H156))&gt;1),"",IFERROR(INDEX($D$14:$D$1213,MATCH($H156&amp;"|"&amp;_xlfn.MAXIFS($F$14:$F$1213,$A$14:$A$1213,$H156,$F$14:$F$1213,"&lt;"&amp;_xlfn.MAXIFS($F$14:$F$1213,$A$14:$A$1213,$H156)),$AB$14:$AB$1213,0)),""))</f>
        <v/>
      </c>
      <c r="AM156" s="27">
        <f>IF(OR($H156="",COUNTIFS($A$14:$A$1213,$H156,$F$14:$F$1213,"&gt;=0")&lt;2,COUNTIFS($A$14:$A$1213,$H156,$F$14:$F$1213,_xlfn.MAXIFS($F$14:$F$1213,$A$14:$A$1213,$H156))&gt;1),"",IFERROR(INDEX($E$14:$E$1213,MATCH($H156&amp;"|"&amp;_xlfn.MAXIFS($F$14:$F$1213,$A$14:$A$1213,$H156,$F$14:$F$1213,"&lt;"&amp;_xlfn.MAXIFS($F$14:$F$1213,$A$14:$A$1213,$H156)),$AB$14:$AB$1213,0)),""))</f>
        <v/>
      </c>
      <c r="AN156" s="27">
        <f>IF(OR(NOT(ISNUMBER($AJ156)),NOT(ISNUMBER($AL156)),$AK156=0,$AM156=0),"",IF(OR((($AJ156+$AL156)/($AK156+$AM156))&lt;=0,(($AJ156+$AL156)/($AK156+$AM156))&gt;=1),"",($AJ156/$AK156-$AL156/$AM156)/SQRT((($AJ156+$AL156)/($AK156+$AM156))*(1-(($AJ156+$AL156)/($AK156+$AM156)))*(1/$AK156+1/$AM156))))</f>
        <v/>
      </c>
      <c r="AO156" s="27">
        <f>IF($A156="","",IF(AND(COUNTIFS($A$14:$A$1213,$A156,$F$14:$F$1213,"&gt;=0")=2,IFERROR(INDEX($M$14:$M$313,MATCH($A156,$H$14:$H$313,0)),"Yes")&lt;&gt;"Yes"),1,0))</f>
        <v/>
      </c>
    </row>
    <row r="157" ht="24" customHeight="1">
      <c r="A157" s="19">
        <f>IF('Enter messages'!A157="","",'Enter messages'!A157)</f>
        <v/>
      </c>
      <c r="B157" s="20">
        <f>IF('Enter messages'!B157="","",'Enter messages'!B157)</f>
        <v/>
      </c>
      <c r="C157" s="21">
        <f>IFERROR(AVERAGE(P157:T157),"")</f>
        <v/>
      </c>
      <c r="D157" s="29" t="n"/>
      <c r="E157" s="29" t="n"/>
      <c r="F157" s="30">
        <f>IF(AND(ISNUMBER($D157),ISNUMBER($E157),$E157&gt;0,$D157&lt;=$E157),$D157/$E157,"")</f>
        <v/>
      </c>
      <c r="H157" s="19">
        <f>IFERROR(INDEX($A$14:$A$1213,MATCH(144,$AI$14:$AI$1213,0)),"")</f>
        <v/>
      </c>
      <c r="I157" s="24">
        <f>IF($H157="","",IF(COUNTIFS($A$14:$A$1213,$H157,$C$14:$C$1213,"&gt;=0")=0,"—",IFERROR(INDEX($B$14:$B$1213,MATCH($H157&amp;"|1",$Z$14:$Z$1213,0)),"(tied)")))</f>
        <v/>
      </c>
      <c r="J157" s="25">
        <f>IF($H157="","",IF(OR(COUNTIFS($A$14:$A$1213,$H157,$C$14:$C$1213,"&gt;=0")=0,COUNTIFS($A$14:$A$1213,$H157,$F$14:$F$1213,"&gt;=0")=0),"—",IF(OR(ISERROR(MATCH($H157&amp;"|1",$Z$14:$Z$1213,0)),ISERROR(MATCH($H157&amp;"|1",$AA$14:$AA$1213,0))),"Tie",IF(MATCH($H157&amp;"|1",$Z$14:$Z$1213,0)=MATCH($H157&amp;"|1",$AA$14:$AA$1213,0),"Hit","Miss"))))</f>
        <v/>
      </c>
      <c r="K157" s="24">
        <f>IF($H157="","",IF(COUNTIFS($A$14:$A$1213,$H157,$F$14:$F$1213,"&gt;=0")=0,"—",IFERROR(INDEX($B$14:$B$1213,MATCH($H157&amp;"|1",$AA$14:$AA$1213,0)),"(tied)")))</f>
        <v/>
      </c>
      <c r="L157" s="25">
        <f>IF($H157="","",IF((--(COUNTIFS($A$14:$A$1213,$H157,$P$14:$P$1213,"&gt;=0")&gt;0)+--(COUNTIFS($A$14:$A$1213,$H157,$Q$14:$Q$1213,"&gt;=0")&gt;0)+--(COUNTIFS($A$14:$A$1213,$H157,$R$14:$R$1213,"&gt;=0")&gt;0)+--(COUNTIFS($A$14:$A$1213,$H157,$S$14:$S$1213,"&gt;=0")&gt;0)+--(COUNTIFS($A$14:$A$1213,$H157,$T$14:$T$1213,"&gt;=0")&gt;0))&lt;2,"—",IF(SUMIFS($AH$14:$AH$1213,$A$14:$A$1213,$H157)=0,"Yes","No")))</f>
        <v/>
      </c>
      <c r="M157" s="25">
        <f>IF($H157="","",IF(COUNTIFS($A$14:$A$1213,$H157,$F$14:$F$1213,"&gt;=0")&lt;2,"—",IF(COUNTIFS($A$14:$A$1213,$H157,$F$14:$F$1213,_xlfn.MAXIFS($F$14:$F$1213,$A$14:$A$1213,$H157))&gt;1,"No",IF(NOT(ISNUMBER($AN157)),"—",IF((2*(1-NORMSDIST(ABS($AN157))))&lt;0.05,"Yes","No")))))</f>
        <v/>
      </c>
      <c r="N157" s="21">
        <f>IF($H157="","",IF(NOT(ISNUMBER($AN157)),"—",IF((2*(1-NORMSDIST(ABS($AN157))))&lt;0.001,"&lt;0.001",TEXT((2*(1-NORMSDIST(ABS($AN157)))),"0.000"))))</f>
        <v/>
      </c>
      <c r="P157" s="26" t="n"/>
      <c r="Q157" s="26" t="n"/>
      <c r="R157" s="26" t="n"/>
      <c r="S157" s="26" t="n"/>
      <c r="T157" s="26" t="n"/>
      <c r="V157" s="27">
        <f>IF(ISNUMBER($C157),COUNTIFS($A$14:$A$1213,$A157,$C$14:$C$1213,"&gt;"&amp;$C157)+(COUNTIFS($A$14:$A$1213,$A157,$C$14:$C$1213,"="&amp;$C157)+1)/2,"")</f>
        <v/>
      </c>
      <c r="W157" s="27">
        <f>IF(ISNUMBER($F157),COUNTIFS($A$14:$A$1213,$A157,$F$14:$F$1213,"&gt;"&amp;$F157)+(COUNTIFS($A$14:$A$1213,$A157,$F$14:$F$1213,"="&amp;$F157)+1)/2,"")</f>
        <v/>
      </c>
      <c r="X157" s="27">
        <f>IF(OR(NOT(ISNUMBER($V157)),$AO157=1),"",$V157-(COUNTIFS($A$14:$A$1213,$A157,$C$14:$C$1213,"&gt;=0")+1)/2)</f>
        <v/>
      </c>
      <c r="Y157" s="27">
        <f>IF(OR(NOT(ISNUMBER($W157)),$AO157=1),"",$W157-(COUNTIFS($A$14:$A$1213,$A157,$F$14:$F$1213,"&gt;=0")+1)/2)</f>
        <v/>
      </c>
      <c r="Z157" s="27">
        <f>IF(ISNUMBER($V157),$A157&amp;"|"&amp;$V157,"")</f>
        <v/>
      </c>
      <c r="AA157" s="27">
        <f>IF(ISNUMBER($W157),$A157&amp;"|"&amp;$W157,"")</f>
        <v/>
      </c>
      <c r="AB157" s="27">
        <f>IF(ISNUMBER($F157),$A157&amp;"|"&amp;$F157,"")</f>
        <v/>
      </c>
      <c r="AC157" s="27">
        <f>IF(ISNUMBER($P157),COUNTIFS($A$14:$A$1213,$A157,$P$14:$P$1213,"&gt;"&amp;$P157)+(COUNTIFS($A$14:$A$1213,$A157,$P$14:$P$1213,"="&amp;$P157)+1)/2,"")</f>
        <v/>
      </c>
      <c r="AD157" s="27">
        <f>IF(ISNUMBER($Q157),COUNTIFS($A$14:$A$1213,$A157,$Q$14:$Q$1213,"&gt;"&amp;$Q157)+(COUNTIFS($A$14:$A$1213,$A157,$Q$14:$Q$1213,"="&amp;$Q157)+1)/2,"")</f>
        <v/>
      </c>
      <c r="AE157" s="27">
        <f>IF(ISNUMBER($R157),COUNTIFS($A$14:$A$1213,$A157,$R$14:$R$1213,"&gt;"&amp;$R157)+(COUNTIFS($A$14:$A$1213,$A157,$R$14:$R$1213,"="&amp;$R157)+1)/2,"")</f>
        <v/>
      </c>
      <c r="AF157" s="27">
        <f>IF(ISNUMBER($S157),COUNTIFS($A$14:$A$1213,$A157,$S$14:$S$1213,"&gt;"&amp;$S157)+(COUNTIFS($A$14:$A$1213,$A157,$S$14:$S$1213,"="&amp;$S157)+1)/2,"")</f>
        <v/>
      </c>
      <c r="AG157" s="27">
        <f>IF(ISNUMBER($T157),COUNTIFS($A$14:$A$1213,$A157,$T$14:$T$1213,"&gt;"&amp;$T157)+(COUNTIFS($A$14:$A$1213,$A157,$T$14:$T$1213,"="&amp;$T157)+1)/2,"")</f>
        <v/>
      </c>
      <c r="AH157" s="27">
        <f>IF(COUNT($AC157:$AG157)&lt;2,"",IF(MAX($AC157:$AG157)=MIN($AC157:$AG157),0,1))</f>
        <v/>
      </c>
      <c r="AI157" s="27">
        <f>IF($A157="","",IF(COUNTIF($A$14:$A157,$A157)=1,COUNTIF($AI$13:AI156,"&gt;0")+1,""))</f>
        <v/>
      </c>
      <c r="AJ157" s="27">
        <f>IF(OR($H157="",COUNTIFS($A$14:$A$1213,$H157,$F$14:$F$1213,"&gt;=0")&lt;2,COUNTIFS($A$14:$A$1213,$H157,$F$14:$F$1213,_xlfn.MAXIFS($F$14:$F$1213,$A$14:$A$1213,$H157))&gt;1),"",IFERROR(INDEX($D$14:$D$1213,MATCH($H157&amp;"|"&amp;_xlfn.MAXIFS($F$14:$F$1213,$A$14:$A$1213,$H157),$AB$14:$AB$1213,0)),""))</f>
        <v/>
      </c>
      <c r="AK157" s="27">
        <f>IF(OR($H157="",COUNTIFS($A$14:$A$1213,$H157,$F$14:$F$1213,"&gt;=0")&lt;2,COUNTIFS($A$14:$A$1213,$H157,$F$14:$F$1213,_xlfn.MAXIFS($F$14:$F$1213,$A$14:$A$1213,$H157))&gt;1),"",IFERROR(INDEX($E$14:$E$1213,MATCH($H157&amp;"|"&amp;_xlfn.MAXIFS($F$14:$F$1213,$A$14:$A$1213,$H157),$AB$14:$AB$1213,0)),""))</f>
        <v/>
      </c>
      <c r="AL157" s="27">
        <f>IF(OR($H157="",COUNTIFS($A$14:$A$1213,$H157,$F$14:$F$1213,"&gt;=0")&lt;2,COUNTIFS($A$14:$A$1213,$H157,$F$14:$F$1213,_xlfn.MAXIFS($F$14:$F$1213,$A$14:$A$1213,$H157))&gt;1),"",IFERROR(INDEX($D$14:$D$1213,MATCH($H157&amp;"|"&amp;_xlfn.MAXIFS($F$14:$F$1213,$A$14:$A$1213,$H157,$F$14:$F$1213,"&lt;"&amp;_xlfn.MAXIFS($F$14:$F$1213,$A$14:$A$1213,$H157)),$AB$14:$AB$1213,0)),""))</f>
        <v/>
      </c>
      <c r="AM157" s="27">
        <f>IF(OR($H157="",COUNTIFS($A$14:$A$1213,$H157,$F$14:$F$1213,"&gt;=0")&lt;2,COUNTIFS($A$14:$A$1213,$H157,$F$14:$F$1213,_xlfn.MAXIFS($F$14:$F$1213,$A$14:$A$1213,$H157))&gt;1),"",IFERROR(INDEX($E$14:$E$1213,MATCH($H157&amp;"|"&amp;_xlfn.MAXIFS($F$14:$F$1213,$A$14:$A$1213,$H157,$F$14:$F$1213,"&lt;"&amp;_xlfn.MAXIFS($F$14:$F$1213,$A$14:$A$1213,$H157)),$AB$14:$AB$1213,0)),""))</f>
        <v/>
      </c>
      <c r="AN157" s="27">
        <f>IF(OR(NOT(ISNUMBER($AJ157)),NOT(ISNUMBER($AL157)),$AK157=0,$AM157=0),"",IF(OR((($AJ157+$AL157)/($AK157+$AM157))&lt;=0,(($AJ157+$AL157)/($AK157+$AM157))&gt;=1),"",($AJ157/$AK157-$AL157/$AM157)/SQRT((($AJ157+$AL157)/($AK157+$AM157))*(1-(($AJ157+$AL157)/($AK157+$AM157)))*(1/$AK157+1/$AM157))))</f>
        <v/>
      </c>
      <c r="AO157" s="27">
        <f>IF($A157="","",IF(AND(COUNTIFS($A$14:$A$1213,$A157,$F$14:$F$1213,"&gt;=0")=2,IFERROR(INDEX($M$14:$M$313,MATCH($A157,$H$14:$H$313,0)),"Yes")&lt;&gt;"Yes"),1,0))</f>
        <v/>
      </c>
    </row>
    <row r="158" ht="24" customHeight="1">
      <c r="A158" s="19">
        <f>IF('Enter messages'!A158="","",'Enter messages'!A158)</f>
        <v/>
      </c>
      <c r="B158" s="20">
        <f>IF('Enter messages'!B158="","",'Enter messages'!B158)</f>
        <v/>
      </c>
      <c r="C158" s="21">
        <f>IFERROR(AVERAGE(P158:T158),"")</f>
        <v/>
      </c>
      <c r="D158" s="29" t="n"/>
      <c r="E158" s="29" t="n"/>
      <c r="F158" s="30">
        <f>IF(AND(ISNUMBER($D158),ISNUMBER($E158),$E158&gt;0,$D158&lt;=$E158),$D158/$E158,"")</f>
        <v/>
      </c>
      <c r="H158" s="19">
        <f>IFERROR(INDEX($A$14:$A$1213,MATCH(145,$AI$14:$AI$1213,0)),"")</f>
        <v/>
      </c>
      <c r="I158" s="24">
        <f>IF($H158="","",IF(COUNTIFS($A$14:$A$1213,$H158,$C$14:$C$1213,"&gt;=0")=0,"—",IFERROR(INDEX($B$14:$B$1213,MATCH($H158&amp;"|1",$Z$14:$Z$1213,0)),"(tied)")))</f>
        <v/>
      </c>
      <c r="J158" s="25">
        <f>IF($H158="","",IF(OR(COUNTIFS($A$14:$A$1213,$H158,$C$14:$C$1213,"&gt;=0")=0,COUNTIFS($A$14:$A$1213,$H158,$F$14:$F$1213,"&gt;=0")=0),"—",IF(OR(ISERROR(MATCH($H158&amp;"|1",$Z$14:$Z$1213,0)),ISERROR(MATCH($H158&amp;"|1",$AA$14:$AA$1213,0))),"Tie",IF(MATCH($H158&amp;"|1",$Z$14:$Z$1213,0)=MATCH($H158&amp;"|1",$AA$14:$AA$1213,0),"Hit","Miss"))))</f>
        <v/>
      </c>
      <c r="K158" s="24">
        <f>IF($H158="","",IF(COUNTIFS($A$14:$A$1213,$H158,$F$14:$F$1213,"&gt;=0")=0,"—",IFERROR(INDEX($B$14:$B$1213,MATCH($H158&amp;"|1",$AA$14:$AA$1213,0)),"(tied)")))</f>
        <v/>
      </c>
      <c r="L158" s="25">
        <f>IF($H158="","",IF((--(COUNTIFS($A$14:$A$1213,$H158,$P$14:$P$1213,"&gt;=0")&gt;0)+--(COUNTIFS($A$14:$A$1213,$H158,$Q$14:$Q$1213,"&gt;=0")&gt;0)+--(COUNTIFS($A$14:$A$1213,$H158,$R$14:$R$1213,"&gt;=0")&gt;0)+--(COUNTIFS($A$14:$A$1213,$H158,$S$14:$S$1213,"&gt;=0")&gt;0)+--(COUNTIFS($A$14:$A$1213,$H158,$T$14:$T$1213,"&gt;=0")&gt;0))&lt;2,"—",IF(SUMIFS($AH$14:$AH$1213,$A$14:$A$1213,$H158)=0,"Yes","No")))</f>
        <v/>
      </c>
      <c r="M158" s="25">
        <f>IF($H158="","",IF(COUNTIFS($A$14:$A$1213,$H158,$F$14:$F$1213,"&gt;=0")&lt;2,"—",IF(COUNTIFS($A$14:$A$1213,$H158,$F$14:$F$1213,_xlfn.MAXIFS($F$14:$F$1213,$A$14:$A$1213,$H158))&gt;1,"No",IF(NOT(ISNUMBER($AN158)),"—",IF((2*(1-NORMSDIST(ABS($AN158))))&lt;0.05,"Yes","No")))))</f>
        <v/>
      </c>
      <c r="N158" s="21">
        <f>IF($H158="","",IF(NOT(ISNUMBER($AN158)),"—",IF((2*(1-NORMSDIST(ABS($AN158))))&lt;0.001,"&lt;0.001",TEXT((2*(1-NORMSDIST(ABS($AN158)))),"0.000"))))</f>
        <v/>
      </c>
      <c r="P158" s="26" t="n"/>
      <c r="Q158" s="26" t="n"/>
      <c r="R158" s="26" t="n"/>
      <c r="S158" s="26" t="n"/>
      <c r="T158" s="26" t="n"/>
      <c r="V158" s="27">
        <f>IF(ISNUMBER($C158),COUNTIFS($A$14:$A$1213,$A158,$C$14:$C$1213,"&gt;"&amp;$C158)+(COUNTIFS($A$14:$A$1213,$A158,$C$14:$C$1213,"="&amp;$C158)+1)/2,"")</f>
        <v/>
      </c>
      <c r="W158" s="27">
        <f>IF(ISNUMBER($F158),COUNTIFS($A$14:$A$1213,$A158,$F$14:$F$1213,"&gt;"&amp;$F158)+(COUNTIFS($A$14:$A$1213,$A158,$F$14:$F$1213,"="&amp;$F158)+1)/2,"")</f>
        <v/>
      </c>
      <c r="X158" s="27">
        <f>IF(OR(NOT(ISNUMBER($V158)),$AO158=1),"",$V158-(COUNTIFS($A$14:$A$1213,$A158,$C$14:$C$1213,"&gt;=0")+1)/2)</f>
        <v/>
      </c>
      <c r="Y158" s="27">
        <f>IF(OR(NOT(ISNUMBER($W158)),$AO158=1),"",$W158-(COUNTIFS($A$14:$A$1213,$A158,$F$14:$F$1213,"&gt;=0")+1)/2)</f>
        <v/>
      </c>
      <c r="Z158" s="27">
        <f>IF(ISNUMBER($V158),$A158&amp;"|"&amp;$V158,"")</f>
        <v/>
      </c>
      <c r="AA158" s="27">
        <f>IF(ISNUMBER($W158),$A158&amp;"|"&amp;$W158,"")</f>
        <v/>
      </c>
      <c r="AB158" s="27">
        <f>IF(ISNUMBER($F158),$A158&amp;"|"&amp;$F158,"")</f>
        <v/>
      </c>
      <c r="AC158" s="27">
        <f>IF(ISNUMBER($P158),COUNTIFS($A$14:$A$1213,$A158,$P$14:$P$1213,"&gt;"&amp;$P158)+(COUNTIFS($A$14:$A$1213,$A158,$P$14:$P$1213,"="&amp;$P158)+1)/2,"")</f>
        <v/>
      </c>
      <c r="AD158" s="27">
        <f>IF(ISNUMBER($Q158),COUNTIFS($A$14:$A$1213,$A158,$Q$14:$Q$1213,"&gt;"&amp;$Q158)+(COUNTIFS($A$14:$A$1213,$A158,$Q$14:$Q$1213,"="&amp;$Q158)+1)/2,"")</f>
        <v/>
      </c>
      <c r="AE158" s="27">
        <f>IF(ISNUMBER($R158),COUNTIFS($A$14:$A$1213,$A158,$R$14:$R$1213,"&gt;"&amp;$R158)+(COUNTIFS($A$14:$A$1213,$A158,$R$14:$R$1213,"="&amp;$R158)+1)/2,"")</f>
        <v/>
      </c>
      <c r="AF158" s="27">
        <f>IF(ISNUMBER($S158),COUNTIFS($A$14:$A$1213,$A158,$S$14:$S$1213,"&gt;"&amp;$S158)+(COUNTIFS($A$14:$A$1213,$A158,$S$14:$S$1213,"="&amp;$S158)+1)/2,"")</f>
        <v/>
      </c>
      <c r="AG158" s="27">
        <f>IF(ISNUMBER($T158),COUNTIFS($A$14:$A$1213,$A158,$T$14:$T$1213,"&gt;"&amp;$T158)+(COUNTIFS($A$14:$A$1213,$A158,$T$14:$T$1213,"="&amp;$T158)+1)/2,"")</f>
        <v/>
      </c>
      <c r="AH158" s="27">
        <f>IF(COUNT($AC158:$AG158)&lt;2,"",IF(MAX($AC158:$AG158)=MIN($AC158:$AG158),0,1))</f>
        <v/>
      </c>
      <c r="AI158" s="27">
        <f>IF($A158="","",IF(COUNTIF($A$14:$A158,$A158)=1,COUNTIF($AI$13:AI157,"&gt;0")+1,""))</f>
        <v/>
      </c>
      <c r="AJ158" s="27">
        <f>IF(OR($H158="",COUNTIFS($A$14:$A$1213,$H158,$F$14:$F$1213,"&gt;=0")&lt;2,COUNTIFS($A$14:$A$1213,$H158,$F$14:$F$1213,_xlfn.MAXIFS($F$14:$F$1213,$A$14:$A$1213,$H158))&gt;1),"",IFERROR(INDEX($D$14:$D$1213,MATCH($H158&amp;"|"&amp;_xlfn.MAXIFS($F$14:$F$1213,$A$14:$A$1213,$H158),$AB$14:$AB$1213,0)),""))</f>
        <v/>
      </c>
      <c r="AK158" s="27">
        <f>IF(OR($H158="",COUNTIFS($A$14:$A$1213,$H158,$F$14:$F$1213,"&gt;=0")&lt;2,COUNTIFS($A$14:$A$1213,$H158,$F$14:$F$1213,_xlfn.MAXIFS($F$14:$F$1213,$A$14:$A$1213,$H158))&gt;1),"",IFERROR(INDEX($E$14:$E$1213,MATCH($H158&amp;"|"&amp;_xlfn.MAXIFS($F$14:$F$1213,$A$14:$A$1213,$H158),$AB$14:$AB$1213,0)),""))</f>
        <v/>
      </c>
      <c r="AL158" s="27">
        <f>IF(OR($H158="",COUNTIFS($A$14:$A$1213,$H158,$F$14:$F$1213,"&gt;=0")&lt;2,COUNTIFS($A$14:$A$1213,$H158,$F$14:$F$1213,_xlfn.MAXIFS($F$14:$F$1213,$A$14:$A$1213,$H158))&gt;1),"",IFERROR(INDEX($D$14:$D$1213,MATCH($H158&amp;"|"&amp;_xlfn.MAXIFS($F$14:$F$1213,$A$14:$A$1213,$H158,$F$14:$F$1213,"&lt;"&amp;_xlfn.MAXIFS($F$14:$F$1213,$A$14:$A$1213,$H158)),$AB$14:$AB$1213,0)),""))</f>
        <v/>
      </c>
      <c r="AM158" s="27">
        <f>IF(OR($H158="",COUNTIFS($A$14:$A$1213,$H158,$F$14:$F$1213,"&gt;=0")&lt;2,COUNTIFS($A$14:$A$1213,$H158,$F$14:$F$1213,_xlfn.MAXIFS($F$14:$F$1213,$A$14:$A$1213,$H158))&gt;1),"",IFERROR(INDEX($E$14:$E$1213,MATCH($H158&amp;"|"&amp;_xlfn.MAXIFS($F$14:$F$1213,$A$14:$A$1213,$H158,$F$14:$F$1213,"&lt;"&amp;_xlfn.MAXIFS($F$14:$F$1213,$A$14:$A$1213,$H158)),$AB$14:$AB$1213,0)),""))</f>
        <v/>
      </c>
      <c r="AN158" s="27">
        <f>IF(OR(NOT(ISNUMBER($AJ158)),NOT(ISNUMBER($AL158)),$AK158=0,$AM158=0),"",IF(OR((($AJ158+$AL158)/($AK158+$AM158))&lt;=0,(($AJ158+$AL158)/($AK158+$AM158))&gt;=1),"",($AJ158/$AK158-$AL158/$AM158)/SQRT((($AJ158+$AL158)/($AK158+$AM158))*(1-(($AJ158+$AL158)/($AK158+$AM158)))*(1/$AK158+1/$AM158))))</f>
        <v/>
      </c>
      <c r="AO158" s="27">
        <f>IF($A158="","",IF(AND(COUNTIFS($A$14:$A$1213,$A158,$F$14:$F$1213,"&gt;=0")=2,IFERROR(INDEX($M$14:$M$313,MATCH($A158,$H$14:$H$313,0)),"Yes")&lt;&gt;"Yes"),1,0))</f>
        <v/>
      </c>
    </row>
    <row r="159" ht="24" customHeight="1">
      <c r="A159" s="19">
        <f>IF('Enter messages'!A159="","",'Enter messages'!A159)</f>
        <v/>
      </c>
      <c r="B159" s="20">
        <f>IF('Enter messages'!B159="","",'Enter messages'!B159)</f>
        <v/>
      </c>
      <c r="C159" s="21">
        <f>IFERROR(AVERAGE(P159:T159),"")</f>
        <v/>
      </c>
      <c r="D159" s="29" t="n"/>
      <c r="E159" s="29" t="n"/>
      <c r="F159" s="30">
        <f>IF(AND(ISNUMBER($D159),ISNUMBER($E159),$E159&gt;0,$D159&lt;=$E159),$D159/$E159,"")</f>
        <v/>
      </c>
      <c r="H159" s="19">
        <f>IFERROR(INDEX($A$14:$A$1213,MATCH(146,$AI$14:$AI$1213,0)),"")</f>
        <v/>
      </c>
      <c r="I159" s="24">
        <f>IF($H159="","",IF(COUNTIFS($A$14:$A$1213,$H159,$C$14:$C$1213,"&gt;=0")=0,"—",IFERROR(INDEX($B$14:$B$1213,MATCH($H159&amp;"|1",$Z$14:$Z$1213,0)),"(tied)")))</f>
        <v/>
      </c>
      <c r="J159" s="25">
        <f>IF($H159="","",IF(OR(COUNTIFS($A$14:$A$1213,$H159,$C$14:$C$1213,"&gt;=0")=0,COUNTIFS($A$14:$A$1213,$H159,$F$14:$F$1213,"&gt;=0")=0),"—",IF(OR(ISERROR(MATCH($H159&amp;"|1",$Z$14:$Z$1213,0)),ISERROR(MATCH($H159&amp;"|1",$AA$14:$AA$1213,0))),"Tie",IF(MATCH($H159&amp;"|1",$Z$14:$Z$1213,0)=MATCH($H159&amp;"|1",$AA$14:$AA$1213,0),"Hit","Miss"))))</f>
        <v/>
      </c>
      <c r="K159" s="24">
        <f>IF($H159="","",IF(COUNTIFS($A$14:$A$1213,$H159,$F$14:$F$1213,"&gt;=0")=0,"—",IFERROR(INDEX($B$14:$B$1213,MATCH($H159&amp;"|1",$AA$14:$AA$1213,0)),"(tied)")))</f>
        <v/>
      </c>
      <c r="L159" s="25">
        <f>IF($H159="","",IF((--(COUNTIFS($A$14:$A$1213,$H159,$P$14:$P$1213,"&gt;=0")&gt;0)+--(COUNTIFS($A$14:$A$1213,$H159,$Q$14:$Q$1213,"&gt;=0")&gt;0)+--(COUNTIFS($A$14:$A$1213,$H159,$R$14:$R$1213,"&gt;=0")&gt;0)+--(COUNTIFS($A$14:$A$1213,$H159,$S$14:$S$1213,"&gt;=0")&gt;0)+--(COUNTIFS($A$14:$A$1213,$H159,$T$14:$T$1213,"&gt;=0")&gt;0))&lt;2,"—",IF(SUMIFS($AH$14:$AH$1213,$A$14:$A$1213,$H159)=0,"Yes","No")))</f>
        <v/>
      </c>
      <c r="M159" s="25">
        <f>IF($H159="","",IF(COUNTIFS($A$14:$A$1213,$H159,$F$14:$F$1213,"&gt;=0")&lt;2,"—",IF(COUNTIFS($A$14:$A$1213,$H159,$F$14:$F$1213,_xlfn.MAXIFS($F$14:$F$1213,$A$14:$A$1213,$H159))&gt;1,"No",IF(NOT(ISNUMBER($AN159)),"—",IF((2*(1-NORMSDIST(ABS($AN159))))&lt;0.05,"Yes","No")))))</f>
        <v/>
      </c>
      <c r="N159" s="21">
        <f>IF($H159="","",IF(NOT(ISNUMBER($AN159)),"—",IF((2*(1-NORMSDIST(ABS($AN159))))&lt;0.001,"&lt;0.001",TEXT((2*(1-NORMSDIST(ABS($AN159)))),"0.000"))))</f>
        <v/>
      </c>
      <c r="P159" s="26" t="n"/>
      <c r="Q159" s="26" t="n"/>
      <c r="R159" s="26" t="n"/>
      <c r="S159" s="26" t="n"/>
      <c r="T159" s="26" t="n"/>
      <c r="V159" s="27">
        <f>IF(ISNUMBER($C159),COUNTIFS($A$14:$A$1213,$A159,$C$14:$C$1213,"&gt;"&amp;$C159)+(COUNTIFS($A$14:$A$1213,$A159,$C$14:$C$1213,"="&amp;$C159)+1)/2,"")</f>
        <v/>
      </c>
      <c r="W159" s="27">
        <f>IF(ISNUMBER($F159),COUNTIFS($A$14:$A$1213,$A159,$F$14:$F$1213,"&gt;"&amp;$F159)+(COUNTIFS($A$14:$A$1213,$A159,$F$14:$F$1213,"="&amp;$F159)+1)/2,"")</f>
        <v/>
      </c>
      <c r="X159" s="27">
        <f>IF(OR(NOT(ISNUMBER($V159)),$AO159=1),"",$V159-(COUNTIFS($A$14:$A$1213,$A159,$C$14:$C$1213,"&gt;=0")+1)/2)</f>
        <v/>
      </c>
      <c r="Y159" s="27">
        <f>IF(OR(NOT(ISNUMBER($W159)),$AO159=1),"",$W159-(COUNTIFS($A$14:$A$1213,$A159,$F$14:$F$1213,"&gt;=0")+1)/2)</f>
        <v/>
      </c>
      <c r="Z159" s="27">
        <f>IF(ISNUMBER($V159),$A159&amp;"|"&amp;$V159,"")</f>
        <v/>
      </c>
      <c r="AA159" s="27">
        <f>IF(ISNUMBER($W159),$A159&amp;"|"&amp;$W159,"")</f>
        <v/>
      </c>
      <c r="AB159" s="27">
        <f>IF(ISNUMBER($F159),$A159&amp;"|"&amp;$F159,"")</f>
        <v/>
      </c>
      <c r="AC159" s="27">
        <f>IF(ISNUMBER($P159),COUNTIFS($A$14:$A$1213,$A159,$P$14:$P$1213,"&gt;"&amp;$P159)+(COUNTIFS($A$14:$A$1213,$A159,$P$14:$P$1213,"="&amp;$P159)+1)/2,"")</f>
        <v/>
      </c>
      <c r="AD159" s="27">
        <f>IF(ISNUMBER($Q159),COUNTIFS($A$14:$A$1213,$A159,$Q$14:$Q$1213,"&gt;"&amp;$Q159)+(COUNTIFS($A$14:$A$1213,$A159,$Q$14:$Q$1213,"="&amp;$Q159)+1)/2,"")</f>
        <v/>
      </c>
      <c r="AE159" s="27">
        <f>IF(ISNUMBER($R159),COUNTIFS($A$14:$A$1213,$A159,$R$14:$R$1213,"&gt;"&amp;$R159)+(COUNTIFS($A$14:$A$1213,$A159,$R$14:$R$1213,"="&amp;$R159)+1)/2,"")</f>
        <v/>
      </c>
      <c r="AF159" s="27">
        <f>IF(ISNUMBER($S159),COUNTIFS($A$14:$A$1213,$A159,$S$14:$S$1213,"&gt;"&amp;$S159)+(COUNTIFS($A$14:$A$1213,$A159,$S$14:$S$1213,"="&amp;$S159)+1)/2,"")</f>
        <v/>
      </c>
      <c r="AG159" s="27">
        <f>IF(ISNUMBER($T159),COUNTIFS($A$14:$A$1213,$A159,$T$14:$T$1213,"&gt;"&amp;$T159)+(COUNTIFS($A$14:$A$1213,$A159,$T$14:$T$1213,"="&amp;$T159)+1)/2,"")</f>
        <v/>
      </c>
      <c r="AH159" s="27">
        <f>IF(COUNT($AC159:$AG159)&lt;2,"",IF(MAX($AC159:$AG159)=MIN($AC159:$AG159),0,1))</f>
        <v/>
      </c>
      <c r="AI159" s="27">
        <f>IF($A159="","",IF(COUNTIF($A$14:$A159,$A159)=1,COUNTIF($AI$13:AI158,"&gt;0")+1,""))</f>
        <v/>
      </c>
      <c r="AJ159" s="27">
        <f>IF(OR($H159="",COUNTIFS($A$14:$A$1213,$H159,$F$14:$F$1213,"&gt;=0")&lt;2,COUNTIFS($A$14:$A$1213,$H159,$F$14:$F$1213,_xlfn.MAXIFS($F$14:$F$1213,$A$14:$A$1213,$H159))&gt;1),"",IFERROR(INDEX($D$14:$D$1213,MATCH($H159&amp;"|"&amp;_xlfn.MAXIFS($F$14:$F$1213,$A$14:$A$1213,$H159),$AB$14:$AB$1213,0)),""))</f>
        <v/>
      </c>
      <c r="AK159" s="27">
        <f>IF(OR($H159="",COUNTIFS($A$14:$A$1213,$H159,$F$14:$F$1213,"&gt;=0")&lt;2,COUNTIFS($A$14:$A$1213,$H159,$F$14:$F$1213,_xlfn.MAXIFS($F$14:$F$1213,$A$14:$A$1213,$H159))&gt;1),"",IFERROR(INDEX($E$14:$E$1213,MATCH($H159&amp;"|"&amp;_xlfn.MAXIFS($F$14:$F$1213,$A$14:$A$1213,$H159),$AB$14:$AB$1213,0)),""))</f>
        <v/>
      </c>
      <c r="AL159" s="27">
        <f>IF(OR($H159="",COUNTIFS($A$14:$A$1213,$H159,$F$14:$F$1213,"&gt;=0")&lt;2,COUNTIFS($A$14:$A$1213,$H159,$F$14:$F$1213,_xlfn.MAXIFS($F$14:$F$1213,$A$14:$A$1213,$H159))&gt;1),"",IFERROR(INDEX($D$14:$D$1213,MATCH($H159&amp;"|"&amp;_xlfn.MAXIFS($F$14:$F$1213,$A$14:$A$1213,$H159,$F$14:$F$1213,"&lt;"&amp;_xlfn.MAXIFS($F$14:$F$1213,$A$14:$A$1213,$H159)),$AB$14:$AB$1213,0)),""))</f>
        <v/>
      </c>
      <c r="AM159" s="27">
        <f>IF(OR($H159="",COUNTIFS($A$14:$A$1213,$H159,$F$14:$F$1213,"&gt;=0")&lt;2,COUNTIFS($A$14:$A$1213,$H159,$F$14:$F$1213,_xlfn.MAXIFS($F$14:$F$1213,$A$14:$A$1213,$H159))&gt;1),"",IFERROR(INDEX($E$14:$E$1213,MATCH($H159&amp;"|"&amp;_xlfn.MAXIFS($F$14:$F$1213,$A$14:$A$1213,$H159,$F$14:$F$1213,"&lt;"&amp;_xlfn.MAXIFS($F$14:$F$1213,$A$14:$A$1213,$H159)),$AB$14:$AB$1213,0)),""))</f>
        <v/>
      </c>
      <c r="AN159" s="27">
        <f>IF(OR(NOT(ISNUMBER($AJ159)),NOT(ISNUMBER($AL159)),$AK159=0,$AM159=0),"",IF(OR((($AJ159+$AL159)/($AK159+$AM159))&lt;=0,(($AJ159+$AL159)/($AK159+$AM159))&gt;=1),"",($AJ159/$AK159-$AL159/$AM159)/SQRT((($AJ159+$AL159)/($AK159+$AM159))*(1-(($AJ159+$AL159)/($AK159+$AM159)))*(1/$AK159+1/$AM159))))</f>
        <v/>
      </c>
      <c r="AO159" s="27">
        <f>IF($A159="","",IF(AND(COUNTIFS($A$14:$A$1213,$A159,$F$14:$F$1213,"&gt;=0")=2,IFERROR(INDEX($M$14:$M$313,MATCH($A159,$H$14:$H$313,0)),"Yes")&lt;&gt;"Yes"),1,0))</f>
        <v/>
      </c>
    </row>
    <row r="160" ht="24" customHeight="1">
      <c r="A160" s="19">
        <f>IF('Enter messages'!A160="","",'Enter messages'!A160)</f>
        <v/>
      </c>
      <c r="B160" s="20">
        <f>IF('Enter messages'!B160="","",'Enter messages'!B160)</f>
        <v/>
      </c>
      <c r="C160" s="21">
        <f>IFERROR(AVERAGE(P160:T160),"")</f>
        <v/>
      </c>
      <c r="D160" s="29" t="n"/>
      <c r="E160" s="29" t="n"/>
      <c r="F160" s="30">
        <f>IF(AND(ISNUMBER($D160),ISNUMBER($E160),$E160&gt;0,$D160&lt;=$E160),$D160/$E160,"")</f>
        <v/>
      </c>
      <c r="H160" s="19">
        <f>IFERROR(INDEX($A$14:$A$1213,MATCH(147,$AI$14:$AI$1213,0)),"")</f>
        <v/>
      </c>
      <c r="I160" s="24">
        <f>IF($H160="","",IF(COUNTIFS($A$14:$A$1213,$H160,$C$14:$C$1213,"&gt;=0")=0,"—",IFERROR(INDEX($B$14:$B$1213,MATCH($H160&amp;"|1",$Z$14:$Z$1213,0)),"(tied)")))</f>
        <v/>
      </c>
      <c r="J160" s="25">
        <f>IF($H160="","",IF(OR(COUNTIFS($A$14:$A$1213,$H160,$C$14:$C$1213,"&gt;=0")=0,COUNTIFS($A$14:$A$1213,$H160,$F$14:$F$1213,"&gt;=0")=0),"—",IF(OR(ISERROR(MATCH($H160&amp;"|1",$Z$14:$Z$1213,0)),ISERROR(MATCH($H160&amp;"|1",$AA$14:$AA$1213,0))),"Tie",IF(MATCH($H160&amp;"|1",$Z$14:$Z$1213,0)=MATCH($H160&amp;"|1",$AA$14:$AA$1213,0),"Hit","Miss"))))</f>
        <v/>
      </c>
      <c r="K160" s="24">
        <f>IF($H160="","",IF(COUNTIFS($A$14:$A$1213,$H160,$F$14:$F$1213,"&gt;=0")=0,"—",IFERROR(INDEX($B$14:$B$1213,MATCH($H160&amp;"|1",$AA$14:$AA$1213,0)),"(tied)")))</f>
        <v/>
      </c>
      <c r="L160" s="25">
        <f>IF($H160="","",IF((--(COUNTIFS($A$14:$A$1213,$H160,$P$14:$P$1213,"&gt;=0")&gt;0)+--(COUNTIFS($A$14:$A$1213,$H160,$Q$14:$Q$1213,"&gt;=0")&gt;0)+--(COUNTIFS($A$14:$A$1213,$H160,$R$14:$R$1213,"&gt;=0")&gt;0)+--(COUNTIFS($A$14:$A$1213,$H160,$S$14:$S$1213,"&gt;=0")&gt;0)+--(COUNTIFS($A$14:$A$1213,$H160,$T$14:$T$1213,"&gt;=0")&gt;0))&lt;2,"—",IF(SUMIFS($AH$14:$AH$1213,$A$14:$A$1213,$H160)=0,"Yes","No")))</f>
        <v/>
      </c>
      <c r="M160" s="25">
        <f>IF($H160="","",IF(COUNTIFS($A$14:$A$1213,$H160,$F$14:$F$1213,"&gt;=0")&lt;2,"—",IF(COUNTIFS($A$14:$A$1213,$H160,$F$14:$F$1213,_xlfn.MAXIFS($F$14:$F$1213,$A$14:$A$1213,$H160))&gt;1,"No",IF(NOT(ISNUMBER($AN160)),"—",IF((2*(1-NORMSDIST(ABS($AN160))))&lt;0.05,"Yes","No")))))</f>
        <v/>
      </c>
      <c r="N160" s="21">
        <f>IF($H160="","",IF(NOT(ISNUMBER($AN160)),"—",IF((2*(1-NORMSDIST(ABS($AN160))))&lt;0.001,"&lt;0.001",TEXT((2*(1-NORMSDIST(ABS($AN160)))),"0.000"))))</f>
        <v/>
      </c>
      <c r="P160" s="26" t="n"/>
      <c r="Q160" s="26" t="n"/>
      <c r="R160" s="26" t="n"/>
      <c r="S160" s="26" t="n"/>
      <c r="T160" s="26" t="n"/>
      <c r="V160" s="27">
        <f>IF(ISNUMBER($C160),COUNTIFS($A$14:$A$1213,$A160,$C$14:$C$1213,"&gt;"&amp;$C160)+(COUNTIFS($A$14:$A$1213,$A160,$C$14:$C$1213,"="&amp;$C160)+1)/2,"")</f>
        <v/>
      </c>
      <c r="W160" s="27">
        <f>IF(ISNUMBER($F160),COUNTIFS($A$14:$A$1213,$A160,$F$14:$F$1213,"&gt;"&amp;$F160)+(COUNTIFS($A$14:$A$1213,$A160,$F$14:$F$1213,"="&amp;$F160)+1)/2,"")</f>
        <v/>
      </c>
      <c r="X160" s="27">
        <f>IF(OR(NOT(ISNUMBER($V160)),$AO160=1),"",$V160-(COUNTIFS($A$14:$A$1213,$A160,$C$14:$C$1213,"&gt;=0")+1)/2)</f>
        <v/>
      </c>
      <c r="Y160" s="27">
        <f>IF(OR(NOT(ISNUMBER($W160)),$AO160=1),"",$W160-(COUNTIFS($A$14:$A$1213,$A160,$F$14:$F$1213,"&gt;=0")+1)/2)</f>
        <v/>
      </c>
      <c r="Z160" s="27">
        <f>IF(ISNUMBER($V160),$A160&amp;"|"&amp;$V160,"")</f>
        <v/>
      </c>
      <c r="AA160" s="27">
        <f>IF(ISNUMBER($W160),$A160&amp;"|"&amp;$W160,"")</f>
        <v/>
      </c>
      <c r="AB160" s="27">
        <f>IF(ISNUMBER($F160),$A160&amp;"|"&amp;$F160,"")</f>
        <v/>
      </c>
      <c r="AC160" s="27">
        <f>IF(ISNUMBER($P160),COUNTIFS($A$14:$A$1213,$A160,$P$14:$P$1213,"&gt;"&amp;$P160)+(COUNTIFS($A$14:$A$1213,$A160,$P$14:$P$1213,"="&amp;$P160)+1)/2,"")</f>
        <v/>
      </c>
      <c r="AD160" s="27">
        <f>IF(ISNUMBER($Q160),COUNTIFS($A$14:$A$1213,$A160,$Q$14:$Q$1213,"&gt;"&amp;$Q160)+(COUNTIFS($A$14:$A$1213,$A160,$Q$14:$Q$1213,"="&amp;$Q160)+1)/2,"")</f>
        <v/>
      </c>
      <c r="AE160" s="27">
        <f>IF(ISNUMBER($R160),COUNTIFS($A$14:$A$1213,$A160,$R$14:$R$1213,"&gt;"&amp;$R160)+(COUNTIFS($A$14:$A$1213,$A160,$R$14:$R$1213,"="&amp;$R160)+1)/2,"")</f>
        <v/>
      </c>
      <c r="AF160" s="27">
        <f>IF(ISNUMBER($S160),COUNTIFS($A$14:$A$1213,$A160,$S$14:$S$1213,"&gt;"&amp;$S160)+(COUNTIFS($A$14:$A$1213,$A160,$S$14:$S$1213,"="&amp;$S160)+1)/2,"")</f>
        <v/>
      </c>
      <c r="AG160" s="27">
        <f>IF(ISNUMBER($T160),COUNTIFS($A$14:$A$1213,$A160,$T$14:$T$1213,"&gt;"&amp;$T160)+(COUNTIFS($A$14:$A$1213,$A160,$T$14:$T$1213,"="&amp;$T160)+1)/2,"")</f>
        <v/>
      </c>
      <c r="AH160" s="27">
        <f>IF(COUNT($AC160:$AG160)&lt;2,"",IF(MAX($AC160:$AG160)=MIN($AC160:$AG160),0,1))</f>
        <v/>
      </c>
      <c r="AI160" s="27">
        <f>IF($A160="","",IF(COUNTIF($A$14:$A160,$A160)=1,COUNTIF($AI$13:AI159,"&gt;0")+1,""))</f>
        <v/>
      </c>
      <c r="AJ160" s="27">
        <f>IF(OR($H160="",COUNTIFS($A$14:$A$1213,$H160,$F$14:$F$1213,"&gt;=0")&lt;2,COUNTIFS($A$14:$A$1213,$H160,$F$14:$F$1213,_xlfn.MAXIFS($F$14:$F$1213,$A$14:$A$1213,$H160))&gt;1),"",IFERROR(INDEX($D$14:$D$1213,MATCH($H160&amp;"|"&amp;_xlfn.MAXIFS($F$14:$F$1213,$A$14:$A$1213,$H160),$AB$14:$AB$1213,0)),""))</f>
        <v/>
      </c>
      <c r="AK160" s="27">
        <f>IF(OR($H160="",COUNTIFS($A$14:$A$1213,$H160,$F$14:$F$1213,"&gt;=0")&lt;2,COUNTIFS($A$14:$A$1213,$H160,$F$14:$F$1213,_xlfn.MAXIFS($F$14:$F$1213,$A$14:$A$1213,$H160))&gt;1),"",IFERROR(INDEX($E$14:$E$1213,MATCH($H160&amp;"|"&amp;_xlfn.MAXIFS($F$14:$F$1213,$A$14:$A$1213,$H160),$AB$14:$AB$1213,0)),""))</f>
        <v/>
      </c>
      <c r="AL160" s="27">
        <f>IF(OR($H160="",COUNTIFS($A$14:$A$1213,$H160,$F$14:$F$1213,"&gt;=0")&lt;2,COUNTIFS($A$14:$A$1213,$H160,$F$14:$F$1213,_xlfn.MAXIFS($F$14:$F$1213,$A$14:$A$1213,$H160))&gt;1),"",IFERROR(INDEX($D$14:$D$1213,MATCH($H160&amp;"|"&amp;_xlfn.MAXIFS($F$14:$F$1213,$A$14:$A$1213,$H160,$F$14:$F$1213,"&lt;"&amp;_xlfn.MAXIFS($F$14:$F$1213,$A$14:$A$1213,$H160)),$AB$14:$AB$1213,0)),""))</f>
        <v/>
      </c>
      <c r="AM160" s="27">
        <f>IF(OR($H160="",COUNTIFS($A$14:$A$1213,$H160,$F$14:$F$1213,"&gt;=0")&lt;2,COUNTIFS($A$14:$A$1213,$H160,$F$14:$F$1213,_xlfn.MAXIFS($F$14:$F$1213,$A$14:$A$1213,$H160))&gt;1),"",IFERROR(INDEX($E$14:$E$1213,MATCH($H160&amp;"|"&amp;_xlfn.MAXIFS($F$14:$F$1213,$A$14:$A$1213,$H160,$F$14:$F$1213,"&lt;"&amp;_xlfn.MAXIFS($F$14:$F$1213,$A$14:$A$1213,$H160)),$AB$14:$AB$1213,0)),""))</f>
        <v/>
      </c>
      <c r="AN160" s="27">
        <f>IF(OR(NOT(ISNUMBER($AJ160)),NOT(ISNUMBER($AL160)),$AK160=0,$AM160=0),"",IF(OR((($AJ160+$AL160)/($AK160+$AM160))&lt;=0,(($AJ160+$AL160)/($AK160+$AM160))&gt;=1),"",($AJ160/$AK160-$AL160/$AM160)/SQRT((($AJ160+$AL160)/($AK160+$AM160))*(1-(($AJ160+$AL160)/($AK160+$AM160)))*(1/$AK160+1/$AM160))))</f>
        <v/>
      </c>
      <c r="AO160" s="27">
        <f>IF($A160="","",IF(AND(COUNTIFS($A$14:$A$1213,$A160,$F$14:$F$1213,"&gt;=0")=2,IFERROR(INDEX($M$14:$M$313,MATCH($A160,$H$14:$H$313,0)),"Yes")&lt;&gt;"Yes"),1,0))</f>
        <v/>
      </c>
    </row>
    <row r="161" ht="24" customHeight="1">
      <c r="A161" s="19">
        <f>IF('Enter messages'!A161="","",'Enter messages'!A161)</f>
        <v/>
      </c>
      <c r="B161" s="20">
        <f>IF('Enter messages'!B161="","",'Enter messages'!B161)</f>
        <v/>
      </c>
      <c r="C161" s="21">
        <f>IFERROR(AVERAGE(P161:T161),"")</f>
        <v/>
      </c>
      <c r="D161" s="29" t="n"/>
      <c r="E161" s="29" t="n"/>
      <c r="F161" s="30">
        <f>IF(AND(ISNUMBER($D161),ISNUMBER($E161),$E161&gt;0,$D161&lt;=$E161),$D161/$E161,"")</f>
        <v/>
      </c>
      <c r="H161" s="19">
        <f>IFERROR(INDEX($A$14:$A$1213,MATCH(148,$AI$14:$AI$1213,0)),"")</f>
        <v/>
      </c>
      <c r="I161" s="24">
        <f>IF($H161="","",IF(COUNTIFS($A$14:$A$1213,$H161,$C$14:$C$1213,"&gt;=0")=0,"—",IFERROR(INDEX($B$14:$B$1213,MATCH($H161&amp;"|1",$Z$14:$Z$1213,0)),"(tied)")))</f>
        <v/>
      </c>
      <c r="J161" s="25">
        <f>IF($H161="","",IF(OR(COUNTIFS($A$14:$A$1213,$H161,$C$14:$C$1213,"&gt;=0")=0,COUNTIFS($A$14:$A$1213,$H161,$F$14:$F$1213,"&gt;=0")=0),"—",IF(OR(ISERROR(MATCH($H161&amp;"|1",$Z$14:$Z$1213,0)),ISERROR(MATCH($H161&amp;"|1",$AA$14:$AA$1213,0))),"Tie",IF(MATCH($H161&amp;"|1",$Z$14:$Z$1213,0)=MATCH($H161&amp;"|1",$AA$14:$AA$1213,0),"Hit","Miss"))))</f>
        <v/>
      </c>
      <c r="K161" s="24">
        <f>IF($H161="","",IF(COUNTIFS($A$14:$A$1213,$H161,$F$14:$F$1213,"&gt;=0")=0,"—",IFERROR(INDEX($B$14:$B$1213,MATCH($H161&amp;"|1",$AA$14:$AA$1213,0)),"(tied)")))</f>
        <v/>
      </c>
      <c r="L161" s="25">
        <f>IF($H161="","",IF((--(COUNTIFS($A$14:$A$1213,$H161,$P$14:$P$1213,"&gt;=0")&gt;0)+--(COUNTIFS($A$14:$A$1213,$H161,$Q$14:$Q$1213,"&gt;=0")&gt;0)+--(COUNTIFS($A$14:$A$1213,$H161,$R$14:$R$1213,"&gt;=0")&gt;0)+--(COUNTIFS($A$14:$A$1213,$H161,$S$14:$S$1213,"&gt;=0")&gt;0)+--(COUNTIFS($A$14:$A$1213,$H161,$T$14:$T$1213,"&gt;=0")&gt;0))&lt;2,"—",IF(SUMIFS($AH$14:$AH$1213,$A$14:$A$1213,$H161)=0,"Yes","No")))</f>
        <v/>
      </c>
      <c r="M161" s="25">
        <f>IF($H161="","",IF(COUNTIFS($A$14:$A$1213,$H161,$F$14:$F$1213,"&gt;=0")&lt;2,"—",IF(COUNTIFS($A$14:$A$1213,$H161,$F$14:$F$1213,_xlfn.MAXIFS($F$14:$F$1213,$A$14:$A$1213,$H161))&gt;1,"No",IF(NOT(ISNUMBER($AN161)),"—",IF((2*(1-NORMSDIST(ABS($AN161))))&lt;0.05,"Yes","No")))))</f>
        <v/>
      </c>
      <c r="N161" s="21">
        <f>IF($H161="","",IF(NOT(ISNUMBER($AN161)),"—",IF((2*(1-NORMSDIST(ABS($AN161))))&lt;0.001,"&lt;0.001",TEXT((2*(1-NORMSDIST(ABS($AN161)))),"0.000"))))</f>
        <v/>
      </c>
      <c r="P161" s="26" t="n"/>
      <c r="Q161" s="26" t="n"/>
      <c r="R161" s="26" t="n"/>
      <c r="S161" s="26" t="n"/>
      <c r="T161" s="26" t="n"/>
      <c r="V161" s="27">
        <f>IF(ISNUMBER($C161),COUNTIFS($A$14:$A$1213,$A161,$C$14:$C$1213,"&gt;"&amp;$C161)+(COUNTIFS($A$14:$A$1213,$A161,$C$14:$C$1213,"="&amp;$C161)+1)/2,"")</f>
        <v/>
      </c>
      <c r="W161" s="27">
        <f>IF(ISNUMBER($F161),COUNTIFS($A$14:$A$1213,$A161,$F$14:$F$1213,"&gt;"&amp;$F161)+(COUNTIFS($A$14:$A$1213,$A161,$F$14:$F$1213,"="&amp;$F161)+1)/2,"")</f>
        <v/>
      </c>
      <c r="X161" s="27">
        <f>IF(OR(NOT(ISNUMBER($V161)),$AO161=1),"",$V161-(COUNTIFS($A$14:$A$1213,$A161,$C$14:$C$1213,"&gt;=0")+1)/2)</f>
        <v/>
      </c>
      <c r="Y161" s="27">
        <f>IF(OR(NOT(ISNUMBER($W161)),$AO161=1),"",$W161-(COUNTIFS($A$14:$A$1213,$A161,$F$14:$F$1213,"&gt;=0")+1)/2)</f>
        <v/>
      </c>
      <c r="Z161" s="27">
        <f>IF(ISNUMBER($V161),$A161&amp;"|"&amp;$V161,"")</f>
        <v/>
      </c>
      <c r="AA161" s="27">
        <f>IF(ISNUMBER($W161),$A161&amp;"|"&amp;$W161,"")</f>
        <v/>
      </c>
      <c r="AB161" s="27">
        <f>IF(ISNUMBER($F161),$A161&amp;"|"&amp;$F161,"")</f>
        <v/>
      </c>
      <c r="AC161" s="27">
        <f>IF(ISNUMBER($P161),COUNTIFS($A$14:$A$1213,$A161,$P$14:$P$1213,"&gt;"&amp;$P161)+(COUNTIFS($A$14:$A$1213,$A161,$P$14:$P$1213,"="&amp;$P161)+1)/2,"")</f>
        <v/>
      </c>
      <c r="AD161" s="27">
        <f>IF(ISNUMBER($Q161),COUNTIFS($A$14:$A$1213,$A161,$Q$14:$Q$1213,"&gt;"&amp;$Q161)+(COUNTIFS($A$14:$A$1213,$A161,$Q$14:$Q$1213,"="&amp;$Q161)+1)/2,"")</f>
        <v/>
      </c>
      <c r="AE161" s="27">
        <f>IF(ISNUMBER($R161),COUNTIFS($A$14:$A$1213,$A161,$R$14:$R$1213,"&gt;"&amp;$R161)+(COUNTIFS($A$14:$A$1213,$A161,$R$14:$R$1213,"="&amp;$R161)+1)/2,"")</f>
        <v/>
      </c>
      <c r="AF161" s="27">
        <f>IF(ISNUMBER($S161),COUNTIFS($A$14:$A$1213,$A161,$S$14:$S$1213,"&gt;"&amp;$S161)+(COUNTIFS($A$14:$A$1213,$A161,$S$14:$S$1213,"="&amp;$S161)+1)/2,"")</f>
        <v/>
      </c>
      <c r="AG161" s="27">
        <f>IF(ISNUMBER($T161),COUNTIFS($A$14:$A$1213,$A161,$T$14:$T$1213,"&gt;"&amp;$T161)+(COUNTIFS($A$14:$A$1213,$A161,$T$14:$T$1213,"="&amp;$T161)+1)/2,"")</f>
        <v/>
      </c>
      <c r="AH161" s="27">
        <f>IF(COUNT($AC161:$AG161)&lt;2,"",IF(MAX($AC161:$AG161)=MIN($AC161:$AG161),0,1))</f>
        <v/>
      </c>
      <c r="AI161" s="27">
        <f>IF($A161="","",IF(COUNTIF($A$14:$A161,$A161)=1,COUNTIF($AI$13:AI160,"&gt;0")+1,""))</f>
        <v/>
      </c>
      <c r="AJ161" s="27">
        <f>IF(OR($H161="",COUNTIFS($A$14:$A$1213,$H161,$F$14:$F$1213,"&gt;=0")&lt;2,COUNTIFS($A$14:$A$1213,$H161,$F$14:$F$1213,_xlfn.MAXIFS($F$14:$F$1213,$A$14:$A$1213,$H161))&gt;1),"",IFERROR(INDEX($D$14:$D$1213,MATCH($H161&amp;"|"&amp;_xlfn.MAXIFS($F$14:$F$1213,$A$14:$A$1213,$H161),$AB$14:$AB$1213,0)),""))</f>
        <v/>
      </c>
      <c r="AK161" s="27">
        <f>IF(OR($H161="",COUNTIFS($A$14:$A$1213,$H161,$F$14:$F$1213,"&gt;=0")&lt;2,COUNTIFS($A$14:$A$1213,$H161,$F$14:$F$1213,_xlfn.MAXIFS($F$14:$F$1213,$A$14:$A$1213,$H161))&gt;1),"",IFERROR(INDEX($E$14:$E$1213,MATCH($H161&amp;"|"&amp;_xlfn.MAXIFS($F$14:$F$1213,$A$14:$A$1213,$H161),$AB$14:$AB$1213,0)),""))</f>
        <v/>
      </c>
      <c r="AL161" s="27">
        <f>IF(OR($H161="",COUNTIFS($A$14:$A$1213,$H161,$F$14:$F$1213,"&gt;=0")&lt;2,COUNTIFS($A$14:$A$1213,$H161,$F$14:$F$1213,_xlfn.MAXIFS($F$14:$F$1213,$A$14:$A$1213,$H161))&gt;1),"",IFERROR(INDEX($D$14:$D$1213,MATCH($H161&amp;"|"&amp;_xlfn.MAXIFS($F$14:$F$1213,$A$14:$A$1213,$H161,$F$14:$F$1213,"&lt;"&amp;_xlfn.MAXIFS($F$14:$F$1213,$A$14:$A$1213,$H161)),$AB$14:$AB$1213,0)),""))</f>
        <v/>
      </c>
      <c r="AM161" s="27">
        <f>IF(OR($H161="",COUNTIFS($A$14:$A$1213,$H161,$F$14:$F$1213,"&gt;=0")&lt;2,COUNTIFS($A$14:$A$1213,$H161,$F$14:$F$1213,_xlfn.MAXIFS($F$14:$F$1213,$A$14:$A$1213,$H161))&gt;1),"",IFERROR(INDEX($E$14:$E$1213,MATCH($H161&amp;"|"&amp;_xlfn.MAXIFS($F$14:$F$1213,$A$14:$A$1213,$H161,$F$14:$F$1213,"&lt;"&amp;_xlfn.MAXIFS($F$14:$F$1213,$A$14:$A$1213,$H161)),$AB$14:$AB$1213,0)),""))</f>
        <v/>
      </c>
      <c r="AN161" s="27">
        <f>IF(OR(NOT(ISNUMBER($AJ161)),NOT(ISNUMBER($AL161)),$AK161=0,$AM161=0),"",IF(OR((($AJ161+$AL161)/($AK161+$AM161))&lt;=0,(($AJ161+$AL161)/($AK161+$AM161))&gt;=1),"",($AJ161/$AK161-$AL161/$AM161)/SQRT((($AJ161+$AL161)/($AK161+$AM161))*(1-(($AJ161+$AL161)/($AK161+$AM161)))*(1/$AK161+1/$AM161))))</f>
        <v/>
      </c>
      <c r="AO161" s="27">
        <f>IF($A161="","",IF(AND(COUNTIFS($A$14:$A$1213,$A161,$F$14:$F$1213,"&gt;=0")=2,IFERROR(INDEX($M$14:$M$313,MATCH($A161,$H$14:$H$313,0)),"Yes")&lt;&gt;"Yes"),1,0))</f>
        <v/>
      </c>
    </row>
    <row r="162" ht="24" customHeight="1">
      <c r="A162" s="19">
        <f>IF('Enter messages'!A162="","",'Enter messages'!A162)</f>
        <v/>
      </c>
      <c r="B162" s="20">
        <f>IF('Enter messages'!B162="","",'Enter messages'!B162)</f>
        <v/>
      </c>
      <c r="C162" s="21">
        <f>IFERROR(AVERAGE(P162:T162),"")</f>
        <v/>
      </c>
      <c r="D162" s="29" t="n"/>
      <c r="E162" s="29" t="n"/>
      <c r="F162" s="30">
        <f>IF(AND(ISNUMBER($D162),ISNUMBER($E162),$E162&gt;0,$D162&lt;=$E162),$D162/$E162,"")</f>
        <v/>
      </c>
      <c r="H162" s="19">
        <f>IFERROR(INDEX($A$14:$A$1213,MATCH(149,$AI$14:$AI$1213,0)),"")</f>
        <v/>
      </c>
      <c r="I162" s="24">
        <f>IF($H162="","",IF(COUNTIFS($A$14:$A$1213,$H162,$C$14:$C$1213,"&gt;=0")=0,"—",IFERROR(INDEX($B$14:$B$1213,MATCH($H162&amp;"|1",$Z$14:$Z$1213,0)),"(tied)")))</f>
        <v/>
      </c>
      <c r="J162" s="25">
        <f>IF($H162="","",IF(OR(COUNTIFS($A$14:$A$1213,$H162,$C$14:$C$1213,"&gt;=0")=0,COUNTIFS($A$14:$A$1213,$H162,$F$14:$F$1213,"&gt;=0")=0),"—",IF(OR(ISERROR(MATCH($H162&amp;"|1",$Z$14:$Z$1213,0)),ISERROR(MATCH($H162&amp;"|1",$AA$14:$AA$1213,0))),"Tie",IF(MATCH($H162&amp;"|1",$Z$14:$Z$1213,0)=MATCH($H162&amp;"|1",$AA$14:$AA$1213,0),"Hit","Miss"))))</f>
        <v/>
      </c>
      <c r="K162" s="24">
        <f>IF($H162="","",IF(COUNTIFS($A$14:$A$1213,$H162,$F$14:$F$1213,"&gt;=0")=0,"—",IFERROR(INDEX($B$14:$B$1213,MATCH($H162&amp;"|1",$AA$14:$AA$1213,0)),"(tied)")))</f>
        <v/>
      </c>
      <c r="L162" s="25">
        <f>IF($H162="","",IF((--(COUNTIFS($A$14:$A$1213,$H162,$P$14:$P$1213,"&gt;=0")&gt;0)+--(COUNTIFS($A$14:$A$1213,$H162,$Q$14:$Q$1213,"&gt;=0")&gt;0)+--(COUNTIFS($A$14:$A$1213,$H162,$R$14:$R$1213,"&gt;=0")&gt;0)+--(COUNTIFS($A$14:$A$1213,$H162,$S$14:$S$1213,"&gt;=0")&gt;0)+--(COUNTIFS($A$14:$A$1213,$H162,$T$14:$T$1213,"&gt;=0")&gt;0))&lt;2,"—",IF(SUMIFS($AH$14:$AH$1213,$A$14:$A$1213,$H162)=0,"Yes","No")))</f>
        <v/>
      </c>
      <c r="M162" s="25">
        <f>IF($H162="","",IF(COUNTIFS($A$14:$A$1213,$H162,$F$14:$F$1213,"&gt;=0")&lt;2,"—",IF(COUNTIFS($A$14:$A$1213,$H162,$F$14:$F$1213,_xlfn.MAXIFS($F$14:$F$1213,$A$14:$A$1213,$H162))&gt;1,"No",IF(NOT(ISNUMBER($AN162)),"—",IF((2*(1-NORMSDIST(ABS($AN162))))&lt;0.05,"Yes","No")))))</f>
        <v/>
      </c>
      <c r="N162" s="21">
        <f>IF($H162="","",IF(NOT(ISNUMBER($AN162)),"—",IF((2*(1-NORMSDIST(ABS($AN162))))&lt;0.001,"&lt;0.001",TEXT((2*(1-NORMSDIST(ABS($AN162)))),"0.000"))))</f>
        <v/>
      </c>
      <c r="P162" s="26" t="n"/>
      <c r="Q162" s="26" t="n"/>
      <c r="R162" s="26" t="n"/>
      <c r="S162" s="26" t="n"/>
      <c r="T162" s="26" t="n"/>
      <c r="V162" s="27">
        <f>IF(ISNUMBER($C162),COUNTIFS($A$14:$A$1213,$A162,$C$14:$C$1213,"&gt;"&amp;$C162)+(COUNTIFS($A$14:$A$1213,$A162,$C$14:$C$1213,"="&amp;$C162)+1)/2,"")</f>
        <v/>
      </c>
      <c r="W162" s="27">
        <f>IF(ISNUMBER($F162),COUNTIFS($A$14:$A$1213,$A162,$F$14:$F$1213,"&gt;"&amp;$F162)+(COUNTIFS($A$14:$A$1213,$A162,$F$14:$F$1213,"="&amp;$F162)+1)/2,"")</f>
        <v/>
      </c>
      <c r="X162" s="27">
        <f>IF(OR(NOT(ISNUMBER($V162)),$AO162=1),"",$V162-(COUNTIFS($A$14:$A$1213,$A162,$C$14:$C$1213,"&gt;=0")+1)/2)</f>
        <v/>
      </c>
      <c r="Y162" s="27">
        <f>IF(OR(NOT(ISNUMBER($W162)),$AO162=1),"",$W162-(COUNTIFS($A$14:$A$1213,$A162,$F$14:$F$1213,"&gt;=0")+1)/2)</f>
        <v/>
      </c>
      <c r="Z162" s="27">
        <f>IF(ISNUMBER($V162),$A162&amp;"|"&amp;$V162,"")</f>
        <v/>
      </c>
      <c r="AA162" s="27">
        <f>IF(ISNUMBER($W162),$A162&amp;"|"&amp;$W162,"")</f>
        <v/>
      </c>
      <c r="AB162" s="27">
        <f>IF(ISNUMBER($F162),$A162&amp;"|"&amp;$F162,"")</f>
        <v/>
      </c>
      <c r="AC162" s="27">
        <f>IF(ISNUMBER($P162),COUNTIFS($A$14:$A$1213,$A162,$P$14:$P$1213,"&gt;"&amp;$P162)+(COUNTIFS($A$14:$A$1213,$A162,$P$14:$P$1213,"="&amp;$P162)+1)/2,"")</f>
        <v/>
      </c>
      <c r="AD162" s="27">
        <f>IF(ISNUMBER($Q162),COUNTIFS($A$14:$A$1213,$A162,$Q$14:$Q$1213,"&gt;"&amp;$Q162)+(COUNTIFS($A$14:$A$1213,$A162,$Q$14:$Q$1213,"="&amp;$Q162)+1)/2,"")</f>
        <v/>
      </c>
      <c r="AE162" s="27">
        <f>IF(ISNUMBER($R162),COUNTIFS($A$14:$A$1213,$A162,$R$14:$R$1213,"&gt;"&amp;$R162)+(COUNTIFS($A$14:$A$1213,$A162,$R$14:$R$1213,"="&amp;$R162)+1)/2,"")</f>
        <v/>
      </c>
      <c r="AF162" s="27">
        <f>IF(ISNUMBER($S162),COUNTIFS($A$14:$A$1213,$A162,$S$14:$S$1213,"&gt;"&amp;$S162)+(COUNTIFS($A$14:$A$1213,$A162,$S$14:$S$1213,"="&amp;$S162)+1)/2,"")</f>
        <v/>
      </c>
      <c r="AG162" s="27">
        <f>IF(ISNUMBER($T162),COUNTIFS($A$14:$A$1213,$A162,$T$14:$T$1213,"&gt;"&amp;$T162)+(COUNTIFS($A$14:$A$1213,$A162,$T$14:$T$1213,"="&amp;$T162)+1)/2,"")</f>
        <v/>
      </c>
      <c r="AH162" s="27">
        <f>IF(COUNT($AC162:$AG162)&lt;2,"",IF(MAX($AC162:$AG162)=MIN($AC162:$AG162),0,1))</f>
        <v/>
      </c>
      <c r="AI162" s="27">
        <f>IF($A162="","",IF(COUNTIF($A$14:$A162,$A162)=1,COUNTIF($AI$13:AI161,"&gt;0")+1,""))</f>
        <v/>
      </c>
      <c r="AJ162" s="27">
        <f>IF(OR($H162="",COUNTIFS($A$14:$A$1213,$H162,$F$14:$F$1213,"&gt;=0")&lt;2,COUNTIFS($A$14:$A$1213,$H162,$F$14:$F$1213,_xlfn.MAXIFS($F$14:$F$1213,$A$14:$A$1213,$H162))&gt;1),"",IFERROR(INDEX($D$14:$D$1213,MATCH($H162&amp;"|"&amp;_xlfn.MAXIFS($F$14:$F$1213,$A$14:$A$1213,$H162),$AB$14:$AB$1213,0)),""))</f>
        <v/>
      </c>
      <c r="AK162" s="27">
        <f>IF(OR($H162="",COUNTIFS($A$14:$A$1213,$H162,$F$14:$F$1213,"&gt;=0")&lt;2,COUNTIFS($A$14:$A$1213,$H162,$F$14:$F$1213,_xlfn.MAXIFS($F$14:$F$1213,$A$14:$A$1213,$H162))&gt;1),"",IFERROR(INDEX($E$14:$E$1213,MATCH($H162&amp;"|"&amp;_xlfn.MAXIFS($F$14:$F$1213,$A$14:$A$1213,$H162),$AB$14:$AB$1213,0)),""))</f>
        <v/>
      </c>
      <c r="AL162" s="27">
        <f>IF(OR($H162="",COUNTIFS($A$14:$A$1213,$H162,$F$14:$F$1213,"&gt;=0")&lt;2,COUNTIFS($A$14:$A$1213,$H162,$F$14:$F$1213,_xlfn.MAXIFS($F$14:$F$1213,$A$14:$A$1213,$H162))&gt;1),"",IFERROR(INDEX($D$14:$D$1213,MATCH($H162&amp;"|"&amp;_xlfn.MAXIFS($F$14:$F$1213,$A$14:$A$1213,$H162,$F$14:$F$1213,"&lt;"&amp;_xlfn.MAXIFS($F$14:$F$1213,$A$14:$A$1213,$H162)),$AB$14:$AB$1213,0)),""))</f>
        <v/>
      </c>
      <c r="AM162" s="27">
        <f>IF(OR($H162="",COUNTIFS($A$14:$A$1213,$H162,$F$14:$F$1213,"&gt;=0")&lt;2,COUNTIFS($A$14:$A$1213,$H162,$F$14:$F$1213,_xlfn.MAXIFS($F$14:$F$1213,$A$14:$A$1213,$H162))&gt;1),"",IFERROR(INDEX($E$14:$E$1213,MATCH($H162&amp;"|"&amp;_xlfn.MAXIFS($F$14:$F$1213,$A$14:$A$1213,$H162,$F$14:$F$1213,"&lt;"&amp;_xlfn.MAXIFS($F$14:$F$1213,$A$14:$A$1213,$H162)),$AB$14:$AB$1213,0)),""))</f>
        <v/>
      </c>
      <c r="AN162" s="27">
        <f>IF(OR(NOT(ISNUMBER($AJ162)),NOT(ISNUMBER($AL162)),$AK162=0,$AM162=0),"",IF(OR((($AJ162+$AL162)/($AK162+$AM162))&lt;=0,(($AJ162+$AL162)/($AK162+$AM162))&gt;=1),"",($AJ162/$AK162-$AL162/$AM162)/SQRT((($AJ162+$AL162)/($AK162+$AM162))*(1-(($AJ162+$AL162)/($AK162+$AM162)))*(1/$AK162+1/$AM162))))</f>
        <v/>
      </c>
      <c r="AO162" s="27">
        <f>IF($A162="","",IF(AND(COUNTIFS($A$14:$A$1213,$A162,$F$14:$F$1213,"&gt;=0")=2,IFERROR(INDEX($M$14:$M$313,MATCH($A162,$H$14:$H$313,0)),"Yes")&lt;&gt;"Yes"),1,0))</f>
        <v/>
      </c>
    </row>
    <row r="163" ht="24" customHeight="1">
      <c r="A163" s="19">
        <f>IF('Enter messages'!A163="","",'Enter messages'!A163)</f>
        <v/>
      </c>
      <c r="B163" s="20">
        <f>IF('Enter messages'!B163="","",'Enter messages'!B163)</f>
        <v/>
      </c>
      <c r="C163" s="21">
        <f>IFERROR(AVERAGE(P163:T163),"")</f>
        <v/>
      </c>
      <c r="D163" s="29" t="n"/>
      <c r="E163" s="29" t="n"/>
      <c r="F163" s="30">
        <f>IF(AND(ISNUMBER($D163),ISNUMBER($E163),$E163&gt;0,$D163&lt;=$E163),$D163/$E163,"")</f>
        <v/>
      </c>
      <c r="H163" s="19">
        <f>IFERROR(INDEX($A$14:$A$1213,MATCH(150,$AI$14:$AI$1213,0)),"")</f>
        <v/>
      </c>
      <c r="I163" s="24">
        <f>IF($H163="","",IF(COUNTIFS($A$14:$A$1213,$H163,$C$14:$C$1213,"&gt;=0")=0,"—",IFERROR(INDEX($B$14:$B$1213,MATCH($H163&amp;"|1",$Z$14:$Z$1213,0)),"(tied)")))</f>
        <v/>
      </c>
      <c r="J163" s="25">
        <f>IF($H163="","",IF(OR(COUNTIFS($A$14:$A$1213,$H163,$C$14:$C$1213,"&gt;=0")=0,COUNTIFS($A$14:$A$1213,$H163,$F$14:$F$1213,"&gt;=0")=0),"—",IF(OR(ISERROR(MATCH($H163&amp;"|1",$Z$14:$Z$1213,0)),ISERROR(MATCH($H163&amp;"|1",$AA$14:$AA$1213,0))),"Tie",IF(MATCH($H163&amp;"|1",$Z$14:$Z$1213,0)=MATCH($H163&amp;"|1",$AA$14:$AA$1213,0),"Hit","Miss"))))</f>
        <v/>
      </c>
      <c r="K163" s="24">
        <f>IF($H163="","",IF(COUNTIFS($A$14:$A$1213,$H163,$F$14:$F$1213,"&gt;=0")=0,"—",IFERROR(INDEX($B$14:$B$1213,MATCH($H163&amp;"|1",$AA$14:$AA$1213,0)),"(tied)")))</f>
        <v/>
      </c>
      <c r="L163" s="25">
        <f>IF($H163="","",IF((--(COUNTIFS($A$14:$A$1213,$H163,$P$14:$P$1213,"&gt;=0")&gt;0)+--(COUNTIFS($A$14:$A$1213,$H163,$Q$14:$Q$1213,"&gt;=0")&gt;0)+--(COUNTIFS($A$14:$A$1213,$H163,$R$14:$R$1213,"&gt;=0")&gt;0)+--(COUNTIFS($A$14:$A$1213,$H163,$S$14:$S$1213,"&gt;=0")&gt;0)+--(COUNTIFS($A$14:$A$1213,$H163,$T$14:$T$1213,"&gt;=0")&gt;0))&lt;2,"—",IF(SUMIFS($AH$14:$AH$1213,$A$14:$A$1213,$H163)=0,"Yes","No")))</f>
        <v/>
      </c>
      <c r="M163" s="25">
        <f>IF($H163="","",IF(COUNTIFS($A$14:$A$1213,$H163,$F$14:$F$1213,"&gt;=0")&lt;2,"—",IF(COUNTIFS($A$14:$A$1213,$H163,$F$14:$F$1213,_xlfn.MAXIFS($F$14:$F$1213,$A$14:$A$1213,$H163))&gt;1,"No",IF(NOT(ISNUMBER($AN163)),"—",IF((2*(1-NORMSDIST(ABS($AN163))))&lt;0.05,"Yes","No")))))</f>
        <v/>
      </c>
      <c r="N163" s="21">
        <f>IF($H163="","",IF(NOT(ISNUMBER($AN163)),"—",IF((2*(1-NORMSDIST(ABS($AN163))))&lt;0.001,"&lt;0.001",TEXT((2*(1-NORMSDIST(ABS($AN163)))),"0.000"))))</f>
        <v/>
      </c>
      <c r="P163" s="26" t="n"/>
      <c r="Q163" s="26" t="n"/>
      <c r="R163" s="26" t="n"/>
      <c r="S163" s="26" t="n"/>
      <c r="T163" s="26" t="n"/>
      <c r="V163" s="27">
        <f>IF(ISNUMBER($C163),COUNTIFS($A$14:$A$1213,$A163,$C$14:$C$1213,"&gt;"&amp;$C163)+(COUNTIFS($A$14:$A$1213,$A163,$C$14:$C$1213,"="&amp;$C163)+1)/2,"")</f>
        <v/>
      </c>
      <c r="W163" s="27">
        <f>IF(ISNUMBER($F163),COUNTIFS($A$14:$A$1213,$A163,$F$14:$F$1213,"&gt;"&amp;$F163)+(COUNTIFS($A$14:$A$1213,$A163,$F$14:$F$1213,"="&amp;$F163)+1)/2,"")</f>
        <v/>
      </c>
      <c r="X163" s="27">
        <f>IF(OR(NOT(ISNUMBER($V163)),$AO163=1),"",$V163-(COUNTIFS($A$14:$A$1213,$A163,$C$14:$C$1213,"&gt;=0")+1)/2)</f>
        <v/>
      </c>
      <c r="Y163" s="27">
        <f>IF(OR(NOT(ISNUMBER($W163)),$AO163=1),"",$W163-(COUNTIFS($A$14:$A$1213,$A163,$F$14:$F$1213,"&gt;=0")+1)/2)</f>
        <v/>
      </c>
      <c r="Z163" s="27">
        <f>IF(ISNUMBER($V163),$A163&amp;"|"&amp;$V163,"")</f>
        <v/>
      </c>
      <c r="AA163" s="27">
        <f>IF(ISNUMBER($W163),$A163&amp;"|"&amp;$W163,"")</f>
        <v/>
      </c>
      <c r="AB163" s="27">
        <f>IF(ISNUMBER($F163),$A163&amp;"|"&amp;$F163,"")</f>
        <v/>
      </c>
      <c r="AC163" s="27">
        <f>IF(ISNUMBER($P163),COUNTIFS($A$14:$A$1213,$A163,$P$14:$P$1213,"&gt;"&amp;$P163)+(COUNTIFS($A$14:$A$1213,$A163,$P$14:$P$1213,"="&amp;$P163)+1)/2,"")</f>
        <v/>
      </c>
      <c r="AD163" s="27">
        <f>IF(ISNUMBER($Q163),COUNTIFS($A$14:$A$1213,$A163,$Q$14:$Q$1213,"&gt;"&amp;$Q163)+(COUNTIFS($A$14:$A$1213,$A163,$Q$14:$Q$1213,"="&amp;$Q163)+1)/2,"")</f>
        <v/>
      </c>
      <c r="AE163" s="27">
        <f>IF(ISNUMBER($R163),COUNTIFS($A$14:$A$1213,$A163,$R$14:$R$1213,"&gt;"&amp;$R163)+(COUNTIFS($A$14:$A$1213,$A163,$R$14:$R$1213,"="&amp;$R163)+1)/2,"")</f>
        <v/>
      </c>
      <c r="AF163" s="27">
        <f>IF(ISNUMBER($S163),COUNTIFS($A$14:$A$1213,$A163,$S$14:$S$1213,"&gt;"&amp;$S163)+(COUNTIFS($A$14:$A$1213,$A163,$S$14:$S$1213,"="&amp;$S163)+1)/2,"")</f>
        <v/>
      </c>
      <c r="AG163" s="27">
        <f>IF(ISNUMBER($T163),COUNTIFS($A$14:$A$1213,$A163,$T$14:$T$1213,"&gt;"&amp;$T163)+(COUNTIFS($A$14:$A$1213,$A163,$T$14:$T$1213,"="&amp;$T163)+1)/2,"")</f>
        <v/>
      </c>
      <c r="AH163" s="27">
        <f>IF(COUNT($AC163:$AG163)&lt;2,"",IF(MAX($AC163:$AG163)=MIN($AC163:$AG163),0,1))</f>
        <v/>
      </c>
      <c r="AI163" s="27">
        <f>IF($A163="","",IF(COUNTIF($A$14:$A163,$A163)=1,COUNTIF($AI$13:AI162,"&gt;0")+1,""))</f>
        <v/>
      </c>
      <c r="AJ163" s="27">
        <f>IF(OR($H163="",COUNTIFS($A$14:$A$1213,$H163,$F$14:$F$1213,"&gt;=0")&lt;2,COUNTIFS($A$14:$A$1213,$H163,$F$14:$F$1213,_xlfn.MAXIFS($F$14:$F$1213,$A$14:$A$1213,$H163))&gt;1),"",IFERROR(INDEX($D$14:$D$1213,MATCH($H163&amp;"|"&amp;_xlfn.MAXIFS($F$14:$F$1213,$A$14:$A$1213,$H163),$AB$14:$AB$1213,0)),""))</f>
        <v/>
      </c>
      <c r="AK163" s="27">
        <f>IF(OR($H163="",COUNTIFS($A$14:$A$1213,$H163,$F$14:$F$1213,"&gt;=0")&lt;2,COUNTIFS($A$14:$A$1213,$H163,$F$14:$F$1213,_xlfn.MAXIFS($F$14:$F$1213,$A$14:$A$1213,$H163))&gt;1),"",IFERROR(INDEX($E$14:$E$1213,MATCH($H163&amp;"|"&amp;_xlfn.MAXIFS($F$14:$F$1213,$A$14:$A$1213,$H163),$AB$14:$AB$1213,0)),""))</f>
        <v/>
      </c>
      <c r="AL163" s="27">
        <f>IF(OR($H163="",COUNTIFS($A$14:$A$1213,$H163,$F$14:$F$1213,"&gt;=0")&lt;2,COUNTIFS($A$14:$A$1213,$H163,$F$14:$F$1213,_xlfn.MAXIFS($F$14:$F$1213,$A$14:$A$1213,$H163))&gt;1),"",IFERROR(INDEX($D$14:$D$1213,MATCH($H163&amp;"|"&amp;_xlfn.MAXIFS($F$14:$F$1213,$A$14:$A$1213,$H163,$F$14:$F$1213,"&lt;"&amp;_xlfn.MAXIFS($F$14:$F$1213,$A$14:$A$1213,$H163)),$AB$14:$AB$1213,0)),""))</f>
        <v/>
      </c>
      <c r="AM163" s="27">
        <f>IF(OR($H163="",COUNTIFS($A$14:$A$1213,$H163,$F$14:$F$1213,"&gt;=0")&lt;2,COUNTIFS($A$14:$A$1213,$H163,$F$14:$F$1213,_xlfn.MAXIFS($F$14:$F$1213,$A$14:$A$1213,$H163))&gt;1),"",IFERROR(INDEX($E$14:$E$1213,MATCH($H163&amp;"|"&amp;_xlfn.MAXIFS($F$14:$F$1213,$A$14:$A$1213,$H163,$F$14:$F$1213,"&lt;"&amp;_xlfn.MAXIFS($F$14:$F$1213,$A$14:$A$1213,$H163)),$AB$14:$AB$1213,0)),""))</f>
        <v/>
      </c>
      <c r="AN163" s="27">
        <f>IF(OR(NOT(ISNUMBER($AJ163)),NOT(ISNUMBER($AL163)),$AK163=0,$AM163=0),"",IF(OR((($AJ163+$AL163)/($AK163+$AM163))&lt;=0,(($AJ163+$AL163)/($AK163+$AM163))&gt;=1),"",($AJ163/$AK163-$AL163/$AM163)/SQRT((($AJ163+$AL163)/($AK163+$AM163))*(1-(($AJ163+$AL163)/($AK163+$AM163)))*(1/$AK163+1/$AM163))))</f>
        <v/>
      </c>
      <c r="AO163" s="27">
        <f>IF($A163="","",IF(AND(COUNTIFS($A$14:$A$1213,$A163,$F$14:$F$1213,"&gt;=0")=2,IFERROR(INDEX($M$14:$M$313,MATCH($A163,$H$14:$H$313,0)),"Yes")&lt;&gt;"Yes"),1,0))</f>
        <v/>
      </c>
    </row>
    <row r="164" ht="24" customHeight="1">
      <c r="A164" s="19">
        <f>IF('Enter messages'!A164="","",'Enter messages'!A164)</f>
        <v/>
      </c>
      <c r="B164" s="20">
        <f>IF('Enter messages'!B164="","",'Enter messages'!B164)</f>
        <v/>
      </c>
      <c r="C164" s="21">
        <f>IFERROR(AVERAGE(P164:T164),"")</f>
        <v/>
      </c>
      <c r="D164" s="29" t="n"/>
      <c r="E164" s="29" t="n"/>
      <c r="F164" s="30">
        <f>IF(AND(ISNUMBER($D164),ISNUMBER($E164),$E164&gt;0,$D164&lt;=$E164),$D164/$E164,"")</f>
        <v/>
      </c>
      <c r="H164" s="19">
        <f>IFERROR(INDEX($A$14:$A$1213,MATCH(151,$AI$14:$AI$1213,0)),"")</f>
        <v/>
      </c>
      <c r="I164" s="24">
        <f>IF($H164="","",IF(COUNTIFS($A$14:$A$1213,$H164,$C$14:$C$1213,"&gt;=0")=0,"—",IFERROR(INDEX($B$14:$B$1213,MATCH($H164&amp;"|1",$Z$14:$Z$1213,0)),"(tied)")))</f>
        <v/>
      </c>
      <c r="J164" s="25">
        <f>IF($H164="","",IF(OR(COUNTIFS($A$14:$A$1213,$H164,$C$14:$C$1213,"&gt;=0")=0,COUNTIFS($A$14:$A$1213,$H164,$F$14:$F$1213,"&gt;=0")=0),"—",IF(OR(ISERROR(MATCH($H164&amp;"|1",$Z$14:$Z$1213,0)),ISERROR(MATCH($H164&amp;"|1",$AA$14:$AA$1213,0))),"Tie",IF(MATCH($H164&amp;"|1",$Z$14:$Z$1213,0)=MATCH($H164&amp;"|1",$AA$14:$AA$1213,0),"Hit","Miss"))))</f>
        <v/>
      </c>
      <c r="K164" s="24">
        <f>IF($H164="","",IF(COUNTIFS($A$14:$A$1213,$H164,$F$14:$F$1213,"&gt;=0")=0,"—",IFERROR(INDEX($B$14:$B$1213,MATCH($H164&amp;"|1",$AA$14:$AA$1213,0)),"(tied)")))</f>
        <v/>
      </c>
      <c r="L164" s="25">
        <f>IF($H164="","",IF((--(COUNTIFS($A$14:$A$1213,$H164,$P$14:$P$1213,"&gt;=0")&gt;0)+--(COUNTIFS($A$14:$A$1213,$H164,$Q$14:$Q$1213,"&gt;=0")&gt;0)+--(COUNTIFS($A$14:$A$1213,$H164,$R$14:$R$1213,"&gt;=0")&gt;0)+--(COUNTIFS($A$14:$A$1213,$H164,$S$14:$S$1213,"&gt;=0")&gt;0)+--(COUNTIFS($A$14:$A$1213,$H164,$T$14:$T$1213,"&gt;=0")&gt;0))&lt;2,"—",IF(SUMIFS($AH$14:$AH$1213,$A$14:$A$1213,$H164)=0,"Yes","No")))</f>
        <v/>
      </c>
      <c r="M164" s="25">
        <f>IF($H164="","",IF(COUNTIFS($A$14:$A$1213,$H164,$F$14:$F$1213,"&gt;=0")&lt;2,"—",IF(COUNTIFS($A$14:$A$1213,$H164,$F$14:$F$1213,_xlfn.MAXIFS($F$14:$F$1213,$A$14:$A$1213,$H164))&gt;1,"No",IF(NOT(ISNUMBER($AN164)),"—",IF((2*(1-NORMSDIST(ABS($AN164))))&lt;0.05,"Yes","No")))))</f>
        <v/>
      </c>
      <c r="N164" s="21">
        <f>IF($H164="","",IF(NOT(ISNUMBER($AN164)),"—",IF((2*(1-NORMSDIST(ABS($AN164))))&lt;0.001,"&lt;0.001",TEXT((2*(1-NORMSDIST(ABS($AN164)))),"0.000"))))</f>
        <v/>
      </c>
      <c r="P164" s="26" t="n"/>
      <c r="Q164" s="26" t="n"/>
      <c r="R164" s="26" t="n"/>
      <c r="S164" s="26" t="n"/>
      <c r="T164" s="26" t="n"/>
      <c r="V164" s="27">
        <f>IF(ISNUMBER($C164),COUNTIFS($A$14:$A$1213,$A164,$C$14:$C$1213,"&gt;"&amp;$C164)+(COUNTIFS($A$14:$A$1213,$A164,$C$14:$C$1213,"="&amp;$C164)+1)/2,"")</f>
        <v/>
      </c>
      <c r="W164" s="27">
        <f>IF(ISNUMBER($F164),COUNTIFS($A$14:$A$1213,$A164,$F$14:$F$1213,"&gt;"&amp;$F164)+(COUNTIFS($A$14:$A$1213,$A164,$F$14:$F$1213,"="&amp;$F164)+1)/2,"")</f>
        <v/>
      </c>
      <c r="X164" s="27">
        <f>IF(OR(NOT(ISNUMBER($V164)),$AO164=1),"",$V164-(COUNTIFS($A$14:$A$1213,$A164,$C$14:$C$1213,"&gt;=0")+1)/2)</f>
        <v/>
      </c>
      <c r="Y164" s="27">
        <f>IF(OR(NOT(ISNUMBER($W164)),$AO164=1),"",$W164-(COUNTIFS($A$14:$A$1213,$A164,$F$14:$F$1213,"&gt;=0")+1)/2)</f>
        <v/>
      </c>
      <c r="Z164" s="27">
        <f>IF(ISNUMBER($V164),$A164&amp;"|"&amp;$V164,"")</f>
        <v/>
      </c>
      <c r="AA164" s="27">
        <f>IF(ISNUMBER($W164),$A164&amp;"|"&amp;$W164,"")</f>
        <v/>
      </c>
      <c r="AB164" s="27">
        <f>IF(ISNUMBER($F164),$A164&amp;"|"&amp;$F164,"")</f>
        <v/>
      </c>
      <c r="AC164" s="27">
        <f>IF(ISNUMBER($P164),COUNTIFS($A$14:$A$1213,$A164,$P$14:$P$1213,"&gt;"&amp;$P164)+(COUNTIFS($A$14:$A$1213,$A164,$P$14:$P$1213,"="&amp;$P164)+1)/2,"")</f>
        <v/>
      </c>
      <c r="AD164" s="27">
        <f>IF(ISNUMBER($Q164),COUNTIFS($A$14:$A$1213,$A164,$Q$14:$Q$1213,"&gt;"&amp;$Q164)+(COUNTIFS($A$14:$A$1213,$A164,$Q$14:$Q$1213,"="&amp;$Q164)+1)/2,"")</f>
        <v/>
      </c>
      <c r="AE164" s="27">
        <f>IF(ISNUMBER($R164),COUNTIFS($A$14:$A$1213,$A164,$R$14:$R$1213,"&gt;"&amp;$R164)+(COUNTIFS($A$14:$A$1213,$A164,$R$14:$R$1213,"="&amp;$R164)+1)/2,"")</f>
        <v/>
      </c>
      <c r="AF164" s="27">
        <f>IF(ISNUMBER($S164),COUNTIFS($A$14:$A$1213,$A164,$S$14:$S$1213,"&gt;"&amp;$S164)+(COUNTIFS($A$14:$A$1213,$A164,$S$14:$S$1213,"="&amp;$S164)+1)/2,"")</f>
        <v/>
      </c>
      <c r="AG164" s="27">
        <f>IF(ISNUMBER($T164),COUNTIFS($A$14:$A$1213,$A164,$T$14:$T$1213,"&gt;"&amp;$T164)+(COUNTIFS($A$14:$A$1213,$A164,$T$14:$T$1213,"="&amp;$T164)+1)/2,"")</f>
        <v/>
      </c>
      <c r="AH164" s="27">
        <f>IF(COUNT($AC164:$AG164)&lt;2,"",IF(MAX($AC164:$AG164)=MIN($AC164:$AG164),0,1))</f>
        <v/>
      </c>
      <c r="AI164" s="27">
        <f>IF($A164="","",IF(COUNTIF($A$14:$A164,$A164)=1,COUNTIF($AI$13:AI163,"&gt;0")+1,""))</f>
        <v/>
      </c>
      <c r="AJ164" s="27">
        <f>IF(OR($H164="",COUNTIFS($A$14:$A$1213,$H164,$F$14:$F$1213,"&gt;=0")&lt;2,COUNTIFS($A$14:$A$1213,$H164,$F$14:$F$1213,_xlfn.MAXIFS($F$14:$F$1213,$A$14:$A$1213,$H164))&gt;1),"",IFERROR(INDEX($D$14:$D$1213,MATCH($H164&amp;"|"&amp;_xlfn.MAXIFS($F$14:$F$1213,$A$14:$A$1213,$H164),$AB$14:$AB$1213,0)),""))</f>
        <v/>
      </c>
      <c r="AK164" s="27">
        <f>IF(OR($H164="",COUNTIFS($A$14:$A$1213,$H164,$F$14:$F$1213,"&gt;=0")&lt;2,COUNTIFS($A$14:$A$1213,$H164,$F$14:$F$1213,_xlfn.MAXIFS($F$14:$F$1213,$A$14:$A$1213,$H164))&gt;1),"",IFERROR(INDEX($E$14:$E$1213,MATCH($H164&amp;"|"&amp;_xlfn.MAXIFS($F$14:$F$1213,$A$14:$A$1213,$H164),$AB$14:$AB$1213,0)),""))</f>
        <v/>
      </c>
      <c r="AL164" s="27">
        <f>IF(OR($H164="",COUNTIFS($A$14:$A$1213,$H164,$F$14:$F$1213,"&gt;=0")&lt;2,COUNTIFS($A$14:$A$1213,$H164,$F$14:$F$1213,_xlfn.MAXIFS($F$14:$F$1213,$A$14:$A$1213,$H164))&gt;1),"",IFERROR(INDEX($D$14:$D$1213,MATCH($H164&amp;"|"&amp;_xlfn.MAXIFS($F$14:$F$1213,$A$14:$A$1213,$H164,$F$14:$F$1213,"&lt;"&amp;_xlfn.MAXIFS($F$14:$F$1213,$A$14:$A$1213,$H164)),$AB$14:$AB$1213,0)),""))</f>
        <v/>
      </c>
      <c r="AM164" s="27">
        <f>IF(OR($H164="",COUNTIFS($A$14:$A$1213,$H164,$F$14:$F$1213,"&gt;=0")&lt;2,COUNTIFS($A$14:$A$1213,$H164,$F$14:$F$1213,_xlfn.MAXIFS($F$14:$F$1213,$A$14:$A$1213,$H164))&gt;1),"",IFERROR(INDEX($E$14:$E$1213,MATCH($H164&amp;"|"&amp;_xlfn.MAXIFS($F$14:$F$1213,$A$14:$A$1213,$H164,$F$14:$F$1213,"&lt;"&amp;_xlfn.MAXIFS($F$14:$F$1213,$A$14:$A$1213,$H164)),$AB$14:$AB$1213,0)),""))</f>
        <v/>
      </c>
      <c r="AN164" s="27">
        <f>IF(OR(NOT(ISNUMBER($AJ164)),NOT(ISNUMBER($AL164)),$AK164=0,$AM164=0),"",IF(OR((($AJ164+$AL164)/($AK164+$AM164))&lt;=0,(($AJ164+$AL164)/($AK164+$AM164))&gt;=1),"",($AJ164/$AK164-$AL164/$AM164)/SQRT((($AJ164+$AL164)/($AK164+$AM164))*(1-(($AJ164+$AL164)/($AK164+$AM164)))*(1/$AK164+1/$AM164))))</f>
        <v/>
      </c>
      <c r="AO164" s="27">
        <f>IF($A164="","",IF(AND(COUNTIFS($A$14:$A$1213,$A164,$F$14:$F$1213,"&gt;=0")=2,IFERROR(INDEX($M$14:$M$313,MATCH($A164,$H$14:$H$313,0)),"Yes")&lt;&gt;"Yes"),1,0))</f>
        <v/>
      </c>
    </row>
    <row r="165" ht="24" customHeight="1">
      <c r="A165" s="19">
        <f>IF('Enter messages'!A165="","",'Enter messages'!A165)</f>
        <v/>
      </c>
      <c r="B165" s="20">
        <f>IF('Enter messages'!B165="","",'Enter messages'!B165)</f>
        <v/>
      </c>
      <c r="C165" s="21">
        <f>IFERROR(AVERAGE(P165:T165),"")</f>
        <v/>
      </c>
      <c r="D165" s="29" t="n"/>
      <c r="E165" s="29" t="n"/>
      <c r="F165" s="30">
        <f>IF(AND(ISNUMBER($D165),ISNUMBER($E165),$E165&gt;0,$D165&lt;=$E165),$D165/$E165,"")</f>
        <v/>
      </c>
      <c r="H165" s="19">
        <f>IFERROR(INDEX($A$14:$A$1213,MATCH(152,$AI$14:$AI$1213,0)),"")</f>
        <v/>
      </c>
      <c r="I165" s="24">
        <f>IF($H165="","",IF(COUNTIFS($A$14:$A$1213,$H165,$C$14:$C$1213,"&gt;=0")=0,"—",IFERROR(INDEX($B$14:$B$1213,MATCH($H165&amp;"|1",$Z$14:$Z$1213,0)),"(tied)")))</f>
        <v/>
      </c>
      <c r="J165" s="25">
        <f>IF($H165="","",IF(OR(COUNTIFS($A$14:$A$1213,$H165,$C$14:$C$1213,"&gt;=0")=0,COUNTIFS($A$14:$A$1213,$H165,$F$14:$F$1213,"&gt;=0")=0),"—",IF(OR(ISERROR(MATCH($H165&amp;"|1",$Z$14:$Z$1213,0)),ISERROR(MATCH($H165&amp;"|1",$AA$14:$AA$1213,0))),"Tie",IF(MATCH($H165&amp;"|1",$Z$14:$Z$1213,0)=MATCH($H165&amp;"|1",$AA$14:$AA$1213,0),"Hit","Miss"))))</f>
        <v/>
      </c>
      <c r="K165" s="24">
        <f>IF($H165="","",IF(COUNTIFS($A$14:$A$1213,$H165,$F$14:$F$1213,"&gt;=0")=0,"—",IFERROR(INDEX($B$14:$B$1213,MATCH($H165&amp;"|1",$AA$14:$AA$1213,0)),"(tied)")))</f>
        <v/>
      </c>
      <c r="L165" s="25">
        <f>IF($H165="","",IF((--(COUNTIFS($A$14:$A$1213,$H165,$P$14:$P$1213,"&gt;=0")&gt;0)+--(COUNTIFS($A$14:$A$1213,$H165,$Q$14:$Q$1213,"&gt;=0")&gt;0)+--(COUNTIFS($A$14:$A$1213,$H165,$R$14:$R$1213,"&gt;=0")&gt;0)+--(COUNTIFS($A$14:$A$1213,$H165,$S$14:$S$1213,"&gt;=0")&gt;0)+--(COUNTIFS($A$14:$A$1213,$H165,$T$14:$T$1213,"&gt;=0")&gt;0))&lt;2,"—",IF(SUMIFS($AH$14:$AH$1213,$A$14:$A$1213,$H165)=0,"Yes","No")))</f>
        <v/>
      </c>
      <c r="M165" s="25">
        <f>IF($H165="","",IF(COUNTIFS($A$14:$A$1213,$H165,$F$14:$F$1213,"&gt;=0")&lt;2,"—",IF(COUNTIFS($A$14:$A$1213,$H165,$F$14:$F$1213,_xlfn.MAXIFS($F$14:$F$1213,$A$14:$A$1213,$H165))&gt;1,"No",IF(NOT(ISNUMBER($AN165)),"—",IF((2*(1-NORMSDIST(ABS($AN165))))&lt;0.05,"Yes","No")))))</f>
        <v/>
      </c>
      <c r="N165" s="21">
        <f>IF($H165="","",IF(NOT(ISNUMBER($AN165)),"—",IF((2*(1-NORMSDIST(ABS($AN165))))&lt;0.001,"&lt;0.001",TEXT((2*(1-NORMSDIST(ABS($AN165)))),"0.000"))))</f>
        <v/>
      </c>
      <c r="P165" s="26" t="n"/>
      <c r="Q165" s="26" t="n"/>
      <c r="R165" s="26" t="n"/>
      <c r="S165" s="26" t="n"/>
      <c r="T165" s="26" t="n"/>
      <c r="V165" s="27">
        <f>IF(ISNUMBER($C165),COUNTIFS($A$14:$A$1213,$A165,$C$14:$C$1213,"&gt;"&amp;$C165)+(COUNTIFS($A$14:$A$1213,$A165,$C$14:$C$1213,"="&amp;$C165)+1)/2,"")</f>
        <v/>
      </c>
      <c r="W165" s="27">
        <f>IF(ISNUMBER($F165),COUNTIFS($A$14:$A$1213,$A165,$F$14:$F$1213,"&gt;"&amp;$F165)+(COUNTIFS($A$14:$A$1213,$A165,$F$14:$F$1213,"="&amp;$F165)+1)/2,"")</f>
        <v/>
      </c>
      <c r="X165" s="27">
        <f>IF(OR(NOT(ISNUMBER($V165)),$AO165=1),"",$V165-(COUNTIFS($A$14:$A$1213,$A165,$C$14:$C$1213,"&gt;=0")+1)/2)</f>
        <v/>
      </c>
      <c r="Y165" s="27">
        <f>IF(OR(NOT(ISNUMBER($W165)),$AO165=1),"",$W165-(COUNTIFS($A$14:$A$1213,$A165,$F$14:$F$1213,"&gt;=0")+1)/2)</f>
        <v/>
      </c>
      <c r="Z165" s="27">
        <f>IF(ISNUMBER($V165),$A165&amp;"|"&amp;$V165,"")</f>
        <v/>
      </c>
      <c r="AA165" s="27">
        <f>IF(ISNUMBER($W165),$A165&amp;"|"&amp;$W165,"")</f>
        <v/>
      </c>
      <c r="AB165" s="27">
        <f>IF(ISNUMBER($F165),$A165&amp;"|"&amp;$F165,"")</f>
        <v/>
      </c>
      <c r="AC165" s="27">
        <f>IF(ISNUMBER($P165),COUNTIFS($A$14:$A$1213,$A165,$P$14:$P$1213,"&gt;"&amp;$P165)+(COUNTIFS($A$14:$A$1213,$A165,$P$14:$P$1213,"="&amp;$P165)+1)/2,"")</f>
        <v/>
      </c>
      <c r="AD165" s="27">
        <f>IF(ISNUMBER($Q165),COUNTIFS($A$14:$A$1213,$A165,$Q$14:$Q$1213,"&gt;"&amp;$Q165)+(COUNTIFS($A$14:$A$1213,$A165,$Q$14:$Q$1213,"="&amp;$Q165)+1)/2,"")</f>
        <v/>
      </c>
      <c r="AE165" s="27">
        <f>IF(ISNUMBER($R165),COUNTIFS($A$14:$A$1213,$A165,$R$14:$R$1213,"&gt;"&amp;$R165)+(COUNTIFS($A$14:$A$1213,$A165,$R$14:$R$1213,"="&amp;$R165)+1)/2,"")</f>
        <v/>
      </c>
      <c r="AF165" s="27">
        <f>IF(ISNUMBER($S165),COUNTIFS($A$14:$A$1213,$A165,$S$14:$S$1213,"&gt;"&amp;$S165)+(COUNTIFS($A$14:$A$1213,$A165,$S$14:$S$1213,"="&amp;$S165)+1)/2,"")</f>
        <v/>
      </c>
      <c r="AG165" s="27">
        <f>IF(ISNUMBER($T165),COUNTIFS($A$14:$A$1213,$A165,$T$14:$T$1213,"&gt;"&amp;$T165)+(COUNTIFS($A$14:$A$1213,$A165,$T$14:$T$1213,"="&amp;$T165)+1)/2,"")</f>
        <v/>
      </c>
      <c r="AH165" s="27">
        <f>IF(COUNT($AC165:$AG165)&lt;2,"",IF(MAX($AC165:$AG165)=MIN($AC165:$AG165),0,1))</f>
        <v/>
      </c>
      <c r="AI165" s="27">
        <f>IF($A165="","",IF(COUNTIF($A$14:$A165,$A165)=1,COUNTIF($AI$13:AI164,"&gt;0")+1,""))</f>
        <v/>
      </c>
      <c r="AJ165" s="27">
        <f>IF(OR($H165="",COUNTIFS($A$14:$A$1213,$H165,$F$14:$F$1213,"&gt;=0")&lt;2,COUNTIFS($A$14:$A$1213,$H165,$F$14:$F$1213,_xlfn.MAXIFS($F$14:$F$1213,$A$14:$A$1213,$H165))&gt;1),"",IFERROR(INDEX($D$14:$D$1213,MATCH($H165&amp;"|"&amp;_xlfn.MAXIFS($F$14:$F$1213,$A$14:$A$1213,$H165),$AB$14:$AB$1213,0)),""))</f>
        <v/>
      </c>
      <c r="AK165" s="27">
        <f>IF(OR($H165="",COUNTIFS($A$14:$A$1213,$H165,$F$14:$F$1213,"&gt;=0")&lt;2,COUNTIFS($A$14:$A$1213,$H165,$F$14:$F$1213,_xlfn.MAXIFS($F$14:$F$1213,$A$14:$A$1213,$H165))&gt;1),"",IFERROR(INDEX($E$14:$E$1213,MATCH($H165&amp;"|"&amp;_xlfn.MAXIFS($F$14:$F$1213,$A$14:$A$1213,$H165),$AB$14:$AB$1213,0)),""))</f>
        <v/>
      </c>
      <c r="AL165" s="27">
        <f>IF(OR($H165="",COUNTIFS($A$14:$A$1213,$H165,$F$14:$F$1213,"&gt;=0")&lt;2,COUNTIFS($A$14:$A$1213,$H165,$F$14:$F$1213,_xlfn.MAXIFS($F$14:$F$1213,$A$14:$A$1213,$H165))&gt;1),"",IFERROR(INDEX($D$14:$D$1213,MATCH($H165&amp;"|"&amp;_xlfn.MAXIFS($F$14:$F$1213,$A$14:$A$1213,$H165,$F$14:$F$1213,"&lt;"&amp;_xlfn.MAXIFS($F$14:$F$1213,$A$14:$A$1213,$H165)),$AB$14:$AB$1213,0)),""))</f>
        <v/>
      </c>
      <c r="AM165" s="27">
        <f>IF(OR($H165="",COUNTIFS($A$14:$A$1213,$H165,$F$14:$F$1213,"&gt;=0")&lt;2,COUNTIFS($A$14:$A$1213,$H165,$F$14:$F$1213,_xlfn.MAXIFS($F$14:$F$1213,$A$14:$A$1213,$H165))&gt;1),"",IFERROR(INDEX($E$14:$E$1213,MATCH($H165&amp;"|"&amp;_xlfn.MAXIFS($F$14:$F$1213,$A$14:$A$1213,$H165,$F$14:$F$1213,"&lt;"&amp;_xlfn.MAXIFS($F$14:$F$1213,$A$14:$A$1213,$H165)),$AB$14:$AB$1213,0)),""))</f>
        <v/>
      </c>
      <c r="AN165" s="27">
        <f>IF(OR(NOT(ISNUMBER($AJ165)),NOT(ISNUMBER($AL165)),$AK165=0,$AM165=0),"",IF(OR((($AJ165+$AL165)/($AK165+$AM165))&lt;=0,(($AJ165+$AL165)/($AK165+$AM165))&gt;=1),"",($AJ165/$AK165-$AL165/$AM165)/SQRT((($AJ165+$AL165)/($AK165+$AM165))*(1-(($AJ165+$AL165)/($AK165+$AM165)))*(1/$AK165+1/$AM165))))</f>
        <v/>
      </c>
      <c r="AO165" s="27">
        <f>IF($A165="","",IF(AND(COUNTIFS($A$14:$A$1213,$A165,$F$14:$F$1213,"&gt;=0")=2,IFERROR(INDEX($M$14:$M$313,MATCH($A165,$H$14:$H$313,0)),"Yes")&lt;&gt;"Yes"),1,0))</f>
        <v/>
      </c>
    </row>
    <row r="166" ht="24" customHeight="1">
      <c r="A166" s="19">
        <f>IF('Enter messages'!A166="","",'Enter messages'!A166)</f>
        <v/>
      </c>
      <c r="B166" s="20">
        <f>IF('Enter messages'!B166="","",'Enter messages'!B166)</f>
        <v/>
      </c>
      <c r="C166" s="21">
        <f>IFERROR(AVERAGE(P166:T166),"")</f>
        <v/>
      </c>
      <c r="D166" s="29" t="n"/>
      <c r="E166" s="29" t="n"/>
      <c r="F166" s="30">
        <f>IF(AND(ISNUMBER($D166),ISNUMBER($E166),$E166&gt;0,$D166&lt;=$E166),$D166/$E166,"")</f>
        <v/>
      </c>
      <c r="H166" s="19">
        <f>IFERROR(INDEX($A$14:$A$1213,MATCH(153,$AI$14:$AI$1213,0)),"")</f>
        <v/>
      </c>
      <c r="I166" s="24">
        <f>IF($H166="","",IF(COUNTIFS($A$14:$A$1213,$H166,$C$14:$C$1213,"&gt;=0")=0,"—",IFERROR(INDEX($B$14:$B$1213,MATCH($H166&amp;"|1",$Z$14:$Z$1213,0)),"(tied)")))</f>
        <v/>
      </c>
      <c r="J166" s="25">
        <f>IF($H166="","",IF(OR(COUNTIFS($A$14:$A$1213,$H166,$C$14:$C$1213,"&gt;=0")=0,COUNTIFS($A$14:$A$1213,$H166,$F$14:$F$1213,"&gt;=0")=0),"—",IF(OR(ISERROR(MATCH($H166&amp;"|1",$Z$14:$Z$1213,0)),ISERROR(MATCH($H166&amp;"|1",$AA$14:$AA$1213,0))),"Tie",IF(MATCH($H166&amp;"|1",$Z$14:$Z$1213,0)=MATCH($H166&amp;"|1",$AA$14:$AA$1213,0),"Hit","Miss"))))</f>
        <v/>
      </c>
      <c r="K166" s="24">
        <f>IF($H166="","",IF(COUNTIFS($A$14:$A$1213,$H166,$F$14:$F$1213,"&gt;=0")=0,"—",IFERROR(INDEX($B$14:$B$1213,MATCH($H166&amp;"|1",$AA$14:$AA$1213,0)),"(tied)")))</f>
        <v/>
      </c>
      <c r="L166" s="25">
        <f>IF($H166="","",IF((--(COUNTIFS($A$14:$A$1213,$H166,$P$14:$P$1213,"&gt;=0")&gt;0)+--(COUNTIFS($A$14:$A$1213,$H166,$Q$14:$Q$1213,"&gt;=0")&gt;0)+--(COUNTIFS($A$14:$A$1213,$H166,$R$14:$R$1213,"&gt;=0")&gt;0)+--(COUNTIFS($A$14:$A$1213,$H166,$S$14:$S$1213,"&gt;=0")&gt;0)+--(COUNTIFS($A$14:$A$1213,$H166,$T$14:$T$1213,"&gt;=0")&gt;0))&lt;2,"—",IF(SUMIFS($AH$14:$AH$1213,$A$14:$A$1213,$H166)=0,"Yes","No")))</f>
        <v/>
      </c>
      <c r="M166" s="25">
        <f>IF($H166="","",IF(COUNTIFS($A$14:$A$1213,$H166,$F$14:$F$1213,"&gt;=0")&lt;2,"—",IF(COUNTIFS($A$14:$A$1213,$H166,$F$14:$F$1213,_xlfn.MAXIFS($F$14:$F$1213,$A$14:$A$1213,$H166))&gt;1,"No",IF(NOT(ISNUMBER($AN166)),"—",IF((2*(1-NORMSDIST(ABS($AN166))))&lt;0.05,"Yes","No")))))</f>
        <v/>
      </c>
      <c r="N166" s="21">
        <f>IF($H166="","",IF(NOT(ISNUMBER($AN166)),"—",IF((2*(1-NORMSDIST(ABS($AN166))))&lt;0.001,"&lt;0.001",TEXT((2*(1-NORMSDIST(ABS($AN166)))),"0.000"))))</f>
        <v/>
      </c>
      <c r="P166" s="26" t="n"/>
      <c r="Q166" s="26" t="n"/>
      <c r="R166" s="26" t="n"/>
      <c r="S166" s="26" t="n"/>
      <c r="T166" s="26" t="n"/>
      <c r="V166" s="27">
        <f>IF(ISNUMBER($C166),COUNTIFS($A$14:$A$1213,$A166,$C$14:$C$1213,"&gt;"&amp;$C166)+(COUNTIFS($A$14:$A$1213,$A166,$C$14:$C$1213,"="&amp;$C166)+1)/2,"")</f>
        <v/>
      </c>
      <c r="W166" s="27">
        <f>IF(ISNUMBER($F166),COUNTIFS($A$14:$A$1213,$A166,$F$14:$F$1213,"&gt;"&amp;$F166)+(COUNTIFS($A$14:$A$1213,$A166,$F$14:$F$1213,"="&amp;$F166)+1)/2,"")</f>
        <v/>
      </c>
      <c r="X166" s="27">
        <f>IF(OR(NOT(ISNUMBER($V166)),$AO166=1),"",$V166-(COUNTIFS($A$14:$A$1213,$A166,$C$14:$C$1213,"&gt;=0")+1)/2)</f>
        <v/>
      </c>
      <c r="Y166" s="27">
        <f>IF(OR(NOT(ISNUMBER($W166)),$AO166=1),"",$W166-(COUNTIFS($A$14:$A$1213,$A166,$F$14:$F$1213,"&gt;=0")+1)/2)</f>
        <v/>
      </c>
      <c r="Z166" s="27">
        <f>IF(ISNUMBER($V166),$A166&amp;"|"&amp;$V166,"")</f>
        <v/>
      </c>
      <c r="AA166" s="27">
        <f>IF(ISNUMBER($W166),$A166&amp;"|"&amp;$W166,"")</f>
        <v/>
      </c>
      <c r="AB166" s="27">
        <f>IF(ISNUMBER($F166),$A166&amp;"|"&amp;$F166,"")</f>
        <v/>
      </c>
      <c r="AC166" s="27">
        <f>IF(ISNUMBER($P166),COUNTIFS($A$14:$A$1213,$A166,$P$14:$P$1213,"&gt;"&amp;$P166)+(COUNTIFS($A$14:$A$1213,$A166,$P$14:$P$1213,"="&amp;$P166)+1)/2,"")</f>
        <v/>
      </c>
      <c r="AD166" s="27">
        <f>IF(ISNUMBER($Q166),COUNTIFS($A$14:$A$1213,$A166,$Q$14:$Q$1213,"&gt;"&amp;$Q166)+(COUNTIFS($A$14:$A$1213,$A166,$Q$14:$Q$1213,"="&amp;$Q166)+1)/2,"")</f>
        <v/>
      </c>
      <c r="AE166" s="27">
        <f>IF(ISNUMBER($R166),COUNTIFS($A$14:$A$1213,$A166,$R$14:$R$1213,"&gt;"&amp;$R166)+(COUNTIFS($A$14:$A$1213,$A166,$R$14:$R$1213,"="&amp;$R166)+1)/2,"")</f>
        <v/>
      </c>
      <c r="AF166" s="27">
        <f>IF(ISNUMBER($S166),COUNTIFS($A$14:$A$1213,$A166,$S$14:$S$1213,"&gt;"&amp;$S166)+(COUNTIFS($A$14:$A$1213,$A166,$S$14:$S$1213,"="&amp;$S166)+1)/2,"")</f>
        <v/>
      </c>
      <c r="AG166" s="27">
        <f>IF(ISNUMBER($T166),COUNTIFS($A$14:$A$1213,$A166,$T$14:$T$1213,"&gt;"&amp;$T166)+(COUNTIFS($A$14:$A$1213,$A166,$T$14:$T$1213,"="&amp;$T166)+1)/2,"")</f>
        <v/>
      </c>
      <c r="AH166" s="27">
        <f>IF(COUNT($AC166:$AG166)&lt;2,"",IF(MAX($AC166:$AG166)=MIN($AC166:$AG166),0,1))</f>
        <v/>
      </c>
      <c r="AI166" s="27">
        <f>IF($A166="","",IF(COUNTIF($A$14:$A166,$A166)=1,COUNTIF($AI$13:AI165,"&gt;0")+1,""))</f>
        <v/>
      </c>
      <c r="AJ166" s="27">
        <f>IF(OR($H166="",COUNTIFS($A$14:$A$1213,$H166,$F$14:$F$1213,"&gt;=0")&lt;2,COUNTIFS($A$14:$A$1213,$H166,$F$14:$F$1213,_xlfn.MAXIFS($F$14:$F$1213,$A$14:$A$1213,$H166))&gt;1),"",IFERROR(INDEX($D$14:$D$1213,MATCH($H166&amp;"|"&amp;_xlfn.MAXIFS($F$14:$F$1213,$A$14:$A$1213,$H166),$AB$14:$AB$1213,0)),""))</f>
        <v/>
      </c>
      <c r="AK166" s="27">
        <f>IF(OR($H166="",COUNTIFS($A$14:$A$1213,$H166,$F$14:$F$1213,"&gt;=0")&lt;2,COUNTIFS($A$14:$A$1213,$H166,$F$14:$F$1213,_xlfn.MAXIFS($F$14:$F$1213,$A$14:$A$1213,$H166))&gt;1),"",IFERROR(INDEX($E$14:$E$1213,MATCH($H166&amp;"|"&amp;_xlfn.MAXIFS($F$14:$F$1213,$A$14:$A$1213,$H166),$AB$14:$AB$1213,0)),""))</f>
        <v/>
      </c>
      <c r="AL166" s="27">
        <f>IF(OR($H166="",COUNTIFS($A$14:$A$1213,$H166,$F$14:$F$1213,"&gt;=0")&lt;2,COUNTIFS($A$14:$A$1213,$H166,$F$14:$F$1213,_xlfn.MAXIFS($F$14:$F$1213,$A$14:$A$1213,$H166))&gt;1),"",IFERROR(INDEX($D$14:$D$1213,MATCH($H166&amp;"|"&amp;_xlfn.MAXIFS($F$14:$F$1213,$A$14:$A$1213,$H166,$F$14:$F$1213,"&lt;"&amp;_xlfn.MAXIFS($F$14:$F$1213,$A$14:$A$1213,$H166)),$AB$14:$AB$1213,0)),""))</f>
        <v/>
      </c>
      <c r="AM166" s="27">
        <f>IF(OR($H166="",COUNTIFS($A$14:$A$1213,$H166,$F$14:$F$1213,"&gt;=0")&lt;2,COUNTIFS($A$14:$A$1213,$H166,$F$14:$F$1213,_xlfn.MAXIFS($F$14:$F$1213,$A$14:$A$1213,$H166))&gt;1),"",IFERROR(INDEX($E$14:$E$1213,MATCH($H166&amp;"|"&amp;_xlfn.MAXIFS($F$14:$F$1213,$A$14:$A$1213,$H166,$F$14:$F$1213,"&lt;"&amp;_xlfn.MAXIFS($F$14:$F$1213,$A$14:$A$1213,$H166)),$AB$14:$AB$1213,0)),""))</f>
        <v/>
      </c>
      <c r="AN166" s="27">
        <f>IF(OR(NOT(ISNUMBER($AJ166)),NOT(ISNUMBER($AL166)),$AK166=0,$AM166=0),"",IF(OR((($AJ166+$AL166)/($AK166+$AM166))&lt;=0,(($AJ166+$AL166)/($AK166+$AM166))&gt;=1),"",($AJ166/$AK166-$AL166/$AM166)/SQRT((($AJ166+$AL166)/($AK166+$AM166))*(1-(($AJ166+$AL166)/($AK166+$AM166)))*(1/$AK166+1/$AM166))))</f>
        <v/>
      </c>
      <c r="AO166" s="27">
        <f>IF($A166="","",IF(AND(COUNTIFS($A$14:$A$1213,$A166,$F$14:$F$1213,"&gt;=0")=2,IFERROR(INDEX($M$14:$M$313,MATCH($A166,$H$14:$H$313,0)),"Yes")&lt;&gt;"Yes"),1,0))</f>
        <v/>
      </c>
    </row>
    <row r="167" ht="24" customHeight="1">
      <c r="A167" s="19">
        <f>IF('Enter messages'!A167="","",'Enter messages'!A167)</f>
        <v/>
      </c>
      <c r="B167" s="20">
        <f>IF('Enter messages'!B167="","",'Enter messages'!B167)</f>
        <v/>
      </c>
      <c r="C167" s="21">
        <f>IFERROR(AVERAGE(P167:T167),"")</f>
        <v/>
      </c>
      <c r="D167" s="29" t="n"/>
      <c r="E167" s="29" t="n"/>
      <c r="F167" s="30">
        <f>IF(AND(ISNUMBER($D167),ISNUMBER($E167),$E167&gt;0,$D167&lt;=$E167),$D167/$E167,"")</f>
        <v/>
      </c>
      <c r="H167" s="19">
        <f>IFERROR(INDEX($A$14:$A$1213,MATCH(154,$AI$14:$AI$1213,0)),"")</f>
        <v/>
      </c>
      <c r="I167" s="24">
        <f>IF($H167="","",IF(COUNTIFS($A$14:$A$1213,$H167,$C$14:$C$1213,"&gt;=0")=0,"—",IFERROR(INDEX($B$14:$B$1213,MATCH($H167&amp;"|1",$Z$14:$Z$1213,0)),"(tied)")))</f>
        <v/>
      </c>
      <c r="J167" s="25">
        <f>IF($H167="","",IF(OR(COUNTIFS($A$14:$A$1213,$H167,$C$14:$C$1213,"&gt;=0")=0,COUNTIFS($A$14:$A$1213,$H167,$F$14:$F$1213,"&gt;=0")=0),"—",IF(OR(ISERROR(MATCH($H167&amp;"|1",$Z$14:$Z$1213,0)),ISERROR(MATCH($H167&amp;"|1",$AA$14:$AA$1213,0))),"Tie",IF(MATCH($H167&amp;"|1",$Z$14:$Z$1213,0)=MATCH($H167&amp;"|1",$AA$14:$AA$1213,0),"Hit","Miss"))))</f>
        <v/>
      </c>
      <c r="K167" s="24">
        <f>IF($H167="","",IF(COUNTIFS($A$14:$A$1213,$H167,$F$14:$F$1213,"&gt;=0")=0,"—",IFERROR(INDEX($B$14:$B$1213,MATCH($H167&amp;"|1",$AA$14:$AA$1213,0)),"(tied)")))</f>
        <v/>
      </c>
      <c r="L167" s="25">
        <f>IF($H167="","",IF((--(COUNTIFS($A$14:$A$1213,$H167,$P$14:$P$1213,"&gt;=0")&gt;0)+--(COUNTIFS($A$14:$A$1213,$H167,$Q$14:$Q$1213,"&gt;=0")&gt;0)+--(COUNTIFS($A$14:$A$1213,$H167,$R$14:$R$1213,"&gt;=0")&gt;0)+--(COUNTIFS($A$14:$A$1213,$H167,$S$14:$S$1213,"&gt;=0")&gt;0)+--(COUNTIFS($A$14:$A$1213,$H167,$T$14:$T$1213,"&gt;=0")&gt;0))&lt;2,"—",IF(SUMIFS($AH$14:$AH$1213,$A$14:$A$1213,$H167)=0,"Yes","No")))</f>
        <v/>
      </c>
      <c r="M167" s="25">
        <f>IF($H167="","",IF(COUNTIFS($A$14:$A$1213,$H167,$F$14:$F$1213,"&gt;=0")&lt;2,"—",IF(COUNTIFS($A$14:$A$1213,$H167,$F$14:$F$1213,_xlfn.MAXIFS($F$14:$F$1213,$A$14:$A$1213,$H167))&gt;1,"No",IF(NOT(ISNUMBER($AN167)),"—",IF((2*(1-NORMSDIST(ABS($AN167))))&lt;0.05,"Yes","No")))))</f>
        <v/>
      </c>
      <c r="N167" s="21">
        <f>IF($H167="","",IF(NOT(ISNUMBER($AN167)),"—",IF((2*(1-NORMSDIST(ABS($AN167))))&lt;0.001,"&lt;0.001",TEXT((2*(1-NORMSDIST(ABS($AN167)))),"0.000"))))</f>
        <v/>
      </c>
      <c r="P167" s="26" t="n"/>
      <c r="Q167" s="26" t="n"/>
      <c r="R167" s="26" t="n"/>
      <c r="S167" s="26" t="n"/>
      <c r="T167" s="26" t="n"/>
      <c r="V167" s="27">
        <f>IF(ISNUMBER($C167),COUNTIFS($A$14:$A$1213,$A167,$C$14:$C$1213,"&gt;"&amp;$C167)+(COUNTIFS($A$14:$A$1213,$A167,$C$14:$C$1213,"="&amp;$C167)+1)/2,"")</f>
        <v/>
      </c>
      <c r="W167" s="27">
        <f>IF(ISNUMBER($F167),COUNTIFS($A$14:$A$1213,$A167,$F$14:$F$1213,"&gt;"&amp;$F167)+(COUNTIFS($A$14:$A$1213,$A167,$F$14:$F$1213,"="&amp;$F167)+1)/2,"")</f>
        <v/>
      </c>
      <c r="X167" s="27">
        <f>IF(OR(NOT(ISNUMBER($V167)),$AO167=1),"",$V167-(COUNTIFS($A$14:$A$1213,$A167,$C$14:$C$1213,"&gt;=0")+1)/2)</f>
        <v/>
      </c>
      <c r="Y167" s="27">
        <f>IF(OR(NOT(ISNUMBER($W167)),$AO167=1),"",$W167-(COUNTIFS($A$14:$A$1213,$A167,$F$14:$F$1213,"&gt;=0")+1)/2)</f>
        <v/>
      </c>
      <c r="Z167" s="27">
        <f>IF(ISNUMBER($V167),$A167&amp;"|"&amp;$V167,"")</f>
        <v/>
      </c>
      <c r="AA167" s="27">
        <f>IF(ISNUMBER($W167),$A167&amp;"|"&amp;$W167,"")</f>
        <v/>
      </c>
      <c r="AB167" s="27">
        <f>IF(ISNUMBER($F167),$A167&amp;"|"&amp;$F167,"")</f>
        <v/>
      </c>
      <c r="AC167" s="27">
        <f>IF(ISNUMBER($P167),COUNTIFS($A$14:$A$1213,$A167,$P$14:$P$1213,"&gt;"&amp;$P167)+(COUNTIFS($A$14:$A$1213,$A167,$P$14:$P$1213,"="&amp;$P167)+1)/2,"")</f>
        <v/>
      </c>
      <c r="AD167" s="27">
        <f>IF(ISNUMBER($Q167),COUNTIFS($A$14:$A$1213,$A167,$Q$14:$Q$1213,"&gt;"&amp;$Q167)+(COUNTIFS($A$14:$A$1213,$A167,$Q$14:$Q$1213,"="&amp;$Q167)+1)/2,"")</f>
        <v/>
      </c>
      <c r="AE167" s="27">
        <f>IF(ISNUMBER($R167),COUNTIFS($A$14:$A$1213,$A167,$R$14:$R$1213,"&gt;"&amp;$R167)+(COUNTIFS($A$14:$A$1213,$A167,$R$14:$R$1213,"="&amp;$R167)+1)/2,"")</f>
        <v/>
      </c>
      <c r="AF167" s="27">
        <f>IF(ISNUMBER($S167),COUNTIFS($A$14:$A$1213,$A167,$S$14:$S$1213,"&gt;"&amp;$S167)+(COUNTIFS($A$14:$A$1213,$A167,$S$14:$S$1213,"="&amp;$S167)+1)/2,"")</f>
        <v/>
      </c>
      <c r="AG167" s="27">
        <f>IF(ISNUMBER($T167),COUNTIFS($A$14:$A$1213,$A167,$T$14:$T$1213,"&gt;"&amp;$T167)+(COUNTIFS($A$14:$A$1213,$A167,$T$14:$T$1213,"="&amp;$T167)+1)/2,"")</f>
        <v/>
      </c>
      <c r="AH167" s="27">
        <f>IF(COUNT($AC167:$AG167)&lt;2,"",IF(MAX($AC167:$AG167)=MIN($AC167:$AG167),0,1))</f>
        <v/>
      </c>
      <c r="AI167" s="27">
        <f>IF($A167="","",IF(COUNTIF($A$14:$A167,$A167)=1,COUNTIF($AI$13:AI166,"&gt;0")+1,""))</f>
        <v/>
      </c>
      <c r="AJ167" s="27">
        <f>IF(OR($H167="",COUNTIFS($A$14:$A$1213,$H167,$F$14:$F$1213,"&gt;=0")&lt;2,COUNTIFS($A$14:$A$1213,$H167,$F$14:$F$1213,_xlfn.MAXIFS($F$14:$F$1213,$A$14:$A$1213,$H167))&gt;1),"",IFERROR(INDEX($D$14:$D$1213,MATCH($H167&amp;"|"&amp;_xlfn.MAXIFS($F$14:$F$1213,$A$14:$A$1213,$H167),$AB$14:$AB$1213,0)),""))</f>
        <v/>
      </c>
      <c r="AK167" s="27">
        <f>IF(OR($H167="",COUNTIFS($A$14:$A$1213,$H167,$F$14:$F$1213,"&gt;=0")&lt;2,COUNTIFS($A$14:$A$1213,$H167,$F$14:$F$1213,_xlfn.MAXIFS($F$14:$F$1213,$A$14:$A$1213,$H167))&gt;1),"",IFERROR(INDEX($E$14:$E$1213,MATCH($H167&amp;"|"&amp;_xlfn.MAXIFS($F$14:$F$1213,$A$14:$A$1213,$H167),$AB$14:$AB$1213,0)),""))</f>
        <v/>
      </c>
      <c r="AL167" s="27">
        <f>IF(OR($H167="",COUNTIFS($A$14:$A$1213,$H167,$F$14:$F$1213,"&gt;=0")&lt;2,COUNTIFS($A$14:$A$1213,$H167,$F$14:$F$1213,_xlfn.MAXIFS($F$14:$F$1213,$A$14:$A$1213,$H167))&gt;1),"",IFERROR(INDEX($D$14:$D$1213,MATCH($H167&amp;"|"&amp;_xlfn.MAXIFS($F$14:$F$1213,$A$14:$A$1213,$H167,$F$14:$F$1213,"&lt;"&amp;_xlfn.MAXIFS($F$14:$F$1213,$A$14:$A$1213,$H167)),$AB$14:$AB$1213,0)),""))</f>
        <v/>
      </c>
      <c r="AM167" s="27">
        <f>IF(OR($H167="",COUNTIFS($A$14:$A$1213,$H167,$F$14:$F$1213,"&gt;=0")&lt;2,COUNTIFS($A$14:$A$1213,$H167,$F$14:$F$1213,_xlfn.MAXIFS($F$14:$F$1213,$A$14:$A$1213,$H167))&gt;1),"",IFERROR(INDEX($E$14:$E$1213,MATCH($H167&amp;"|"&amp;_xlfn.MAXIFS($F$14:$F$1213,$A$14:$A$1213,$H167,$F$14:$F$1213,"&lt;"&amp;_xlfn.MAXIFS($F$14:$F$1213,$A$14:$A$1213,$H167)),$AB$14:$AB$1213,0)),""))</f>
        <v/>
      </c>
      <c r="AN167" s="27">
        <f>IF(OR(NOT(ISNUMBER($AJ167)),NOT(ISNUMBER($AL167)),$AK167=0,$AM167=0),"",IF(OR((($AJ167+$AL167)/($AK167+$AM167))&lt;=0,(($AJ167+$AL167)/($AK167+$AM167))&gt;=1),"",($AJ167/$AK167-$AL167/$AM167)/SQRT((($AJ167+$AL167)/($AK167+$AM167))*(1-(($AJ167+$AL167)/($AK167+$AM167)))*(1/$AK167+1/$AM167))))</f>
        <v/>
      </c>
      <c r="AO167" s="27">
        <f>IF($A167="","",IF(AND(COUNTIFS($A$14:$A$1213,$A167,$F$14:$F$1213,"&gt;=0")=2,IFERROR(INDEX($M$14:$M$313,MATCH($A167,$H$14:$H$313,0)),"Yes")&lt;&gt;"Yes"),1,0))</f>
        <v/>
      </c>
    </row>
    <row r="168" ht="24" customHeight="1">
      <c r="A168" s="19">
        <f>IF('Enter messages'!A168="","",'Enter messages'!A168)</f>
        <v/>
      </c>
      <c r="B168" s="20">
        <f>IF('Enter messages'!B168="","",'Enter messages'!B168)</f>
        <v/>
      </c>
      <c r="C168" s="21">
        <f>IFERROR(AVERAGE(P168:T168),"")</f>
        <v/>
      </c>
      <c r="D168" s="29" t="n"/>
      <c r="E168" s="29" t="n"/>
      <c r="F168" s="30">
        <f>IF(AND(ISNUMBER($D168),ISNUMBER($E168),$E168&gt;0,$D168&lt;=$E168),$D168/$E168,"")</f>
        <v/>
      </c>
      <c r="H168" s="19">
        <f>IFERROR(INDEX($A$14:$A$1213,MATCH(155,$AI$14:$AI$1213,0)),"")</f>
        <v/>
      </c>
      <c r="I168" s="24">
        <f>IF($H168="","",IF(COUNTIFS($A$14:$A$1213,$H168,$C$14:$C$1213,"&gt;=0")=0,"—",IFERROR(INDEX($B$14:$B$1213,MATCH($H168&amp;"|1",$Z$14:$Z$1213,0)),"(tied)")))</f>
        <v/>
      </c>
      <c r="J168" s="25">
        <f>IF($H168="","",IF(OR(COUNTIFS($A$14:$A$1213,$H168,$C$14:$C$1213,"&gt;=0")=0,COUNTIFS($A$14:$A$1213,$H168,$F$14:$F$1213,"&gt;=0")=0),"—",IF(OR(ISERROR(MATCH($H168&amp;"|1",$Z$14:$Z$1213,0)),ISERROR(MATCH($H168&amp;"|1",$AA$14:$AA$1213,0))),"Tie",IF(MATCH($H168&amp;"|1",$Z$14:$Z$1213,0)=MATCH($H168&amp;"|1",$AA$14:$AA$1213,0),"Hit","Miss"))))</f>
        <v/>
      </c>
      <c r="K168" s="24">
        <f>IF($H168="","",IF(COUNTIFS($A$14:$A$1213,$H168,$F$14:$F$1213,"&gt;=0")=0,"—",IFERROR(INDEX($B$14:$B$1213,MATCH($H168&amp;"|1",$AA$14:$AA$1213,0)),"(tied)")))</f>
        <v/>
      </c>
      <c r="L168" s="25">
        <f>IF($H168="","",IF((--(COUNTIFS($A$14:$A$1213,$H168,$P$14:$P$1213,"&gt;=0")&gt;0)+--(COUNTIFS($A$14:$A$1213,$H168,$Q$14:$Q$1213,"&gt;=0")&gt;0)+--(COUNTIFS($A$14:$A$1213,$H168,$R$14:$R$1213,"&gt;=0")&gt;0)+--(COUNTIFS($A$14:$A$1213,$H168,$S$14:$S$1213,"&gt;=0")&gt;0)+--(COUNTIFS($A$14:$A$1213,$H168,$T$14:$T$1213,"&gt;=0")&gt;0))&lt;2,"—",IF(SUMIFS($AH$14:$AH$1213,$A$14:$A$1213,$H168)=0,"Yes","No")))</f>
        <v/>
      </c>
      <c r="M168" s="25">
        <f>IF($H168="","",IF(COUNTIFS($A$14:$A$1213,$H168,$F$14:$F$1213,"&gt;=0")&lt;2,"—",IF(COUNTIFS($A$14:$A$1213,$H168,$F$14:$F$1213,_xlfn.MAXIFS($F$14:$F$1213,$A$14:$A$1213,$H168))&gt;1,"No",IF(NOT(ISNUMBER($AN168)),"—",IF((2*(1-NORMSDIST(ABS($AN168))))&lt;0.05,"Yes","No")))))</f>
        <v/>
      </c>
      <c r="N168" s="21">
        <f>IF($H168="","",IF(NOT(ISNUMBER($AN168)),"—",IF((2*(1-NORMSDIST(ABS($AN168))))&lt;0.001,"&lt;0.001",TEXT((2*(1-NORMSDIST(ABS($AN168)))),"0.000"))))</f>
        <v/>
      </c>
      <c r="P168" s="26" t="n"/>
      <c r="Q168" s="26" t="n"/>
      <c r="R168" s="26" t="n"/>
      <c r="S168" s="26" t="n"/>
      <c r="T168" s="26" t="n"/>
      <c r="V168" s="27">
        <f>IF(ISNUMBER($C168),COUNTIFS($A$14:$A$1213,$A168,$C$14:$C$1213,"&gt;"&amp;$C168)+(COUNTIFS($A$14:$A$1213,$A168,$C$14:$C$1213,"="&amp;$C168)+1)/2,"")</f>
        <v/>
      </c>
      <c r="W168" s="27">
        <f>IF(ISNUMBER($F168),COUNTIFS($A$14:$A$1213,$A168,$F$14:$F$1213,"&gt;"&amp;$F168)+(COUNTIFS($A$14:$A$1213,$A168,$F$14:$F$1213,"="&amp;$F168)+1)/2,"")</f>
        <v/>
      </c>
      <c r="X168" s="27">
        <f>IF(OR(NOT(ISNUMBER($V168)),$AO168=1),"",$V168-(COUNTIFS($A$14:$A$1213,$A168,$C$14:$C$1213,"&gt;=0")+1)/2)</f>
        <v/>
      </c>
      <c r="Y168" s="27">
        <f>IF(OR(NOT(ISNUMBER($W168)),$AO168=1),"",$W168-(COUNTIFS($A$14:$A$1213,$A168,$F$14:$F$1213,"&gt;=0")+1)/2)</f>
        <v/>
      </c>
      <c r="Z168" s="27">
        <f>IF(ISNUMBER($V168),$A168&amp;"|"&amp;$V168,"")</f>
        <v/>
      </c>
      <c r="AA168" s="27">
        <f>IF(ISNUMBER($W168),$A168&amp;"|"&amp;$W168,"")</f>
        <v/>
      </c>
      <c r="AB168" s="27">
        <f>IF(ISNUMBER($F168),$A168&amp;"|"&amp;$F168,"")</f>
        <v/>
      </c>
      <c r="AC168" s="27">
        <f>IF(ISNUMBER($P168),COUNTIFS($A$14:$A$1213,$A168,$P$14:$P$1213,"&gt;"&amp;$P168)+(COUNTIFS($A$14:$A$1213,$A168,$P$14:$P$1213,"="&amp;$P168)+1)/2,"")</f>
        <v/>
      </c>
      <c r="AD168" s="27">
        <f>IF(ISNUMBER($Q168),COUNTIFS($A$14:$A$1213,$A168,$Q$14:$Q$1213,"&gt;"&amp;$Q168)+(COUNTIFS($A$14:$A$1213,$A168,$Q$14:$Q$1213,"="&amp;$Q168)+1)/2,"")</f>
        <v/>
      </c>
      <c r="AE168" s="27">
        <f>IF(ISNUMBER($R168),COUNTIFS($A$14:$A$1213,$A168,$R$14:$R$1213,"&gt;"&amp;$R168)+(COUNTIFS($A$14:$A$1213,$A168,$R$14:$R$1213,"="&amp;$R168)+1)/2,"")</f>
        <v/>
      </c>
      <c r="AF168" s="27">
        <f>IF(ISNUMBER($S168),COUNTIFS($A$14:$A$1213,$A168,$S$14:$S$1213,"&gt;"&amp;$S168)+(COUNTIFS($A$14:$A$1213,$A168,$S$14:$S$1213,"="&amp;$S168)+1)/2,"")</f>
        <v/>
      </c>
      <c r="AG168" s="27">
        <f>IF(ISNUMBER($T168),COUNTIFS($A$14:$A$1213,$A168,$T$14:$T$1213,"&gt;"&amp;$T168)+(COUNTIFS($A$14:$A$1213,$A168,$T$14:$T$1213,"="&amp;$T168)+1)/2,"")</f>
        <v/>
      </c>
      <c r="AH168" s="27">
        <f>IF(COUNT($AC168:$AG168)&lt;2,"",IF(MAX($AC168:$AG168)=MIN($AC168:$AG168),0,1))</f>
        <v/>
      </c>
      <c r="AI168" s="27">
        <f>IF($A168="","",IF(COUNTIF($A$14:$A168,$A168)=1,COUNTIF($AI$13:AI167,"&gt;0")+1,""))</f>
        <v/>
      </c>
      <c r="AJ168" s="27">
        <f>IF(OR($H168="",COUNTIFS($A$14:$A$1213,$H168,$F$14:$F$1213,"&gt;=0")&lt;2,COUNTIFS($A$14:$A$1213,$H168,$F$14:$F$1213,_xlfn.MAXIFS($F$14:$F$1213,$A$14:$A$1213,$H168))&gt;1),"",IFERROR(INDEX($D$14:$D$1213,MATCH($H168&amp;"|"&amp;_xlfn.MAXIFS($F$14:$F$1213,$A$14:$A$1213,$H168),$AB$14:$AB$1213,0)),""))</f>
        <v/>
      </c>
      <c r="AK168" s="27">
        <f>IF(OR($H168="",COUNTIFS($A$14:$A$1213,$H168,$F$14:$F$1213,"&gt;=0")&lt;2,COUNTIFS($A$14:$A$1213,$H168,$F$14:$F$1213,_xlfn.MAXIFS($F$14:$F$1213,$A$14:$A$1213,$H168))&gt;1),"",IFERROR(INDEX($E$14:$E$1213,MATCH($H168&amp;"|"&amp;_xlfn.MAXIFS($F$14:$F$1213,$A$14:$A$1213,$H168),$AB$14:$AB$1213,0)),""))</f>
        <v/>
      </c>
      <c r="AL168" s="27">
        <f>IF(OR($H168="",COUNTIFS($A$14:$A$1213,$H168,$F$14:$F$1213,"&gt;=0")&lt;2,COUNTIFS($A$14:$A$1213,$H168,$F$14:$F$1213,_xlfn.MAXIFS($F$14:$F$1213,$A$14:$A$1213,$H168))&gt;1),"",IFERROR(INDEX($D$14:$D$1213,MATCH($H168&amp;"|"&amp;_xlfn.MAXIFS($F$14:$F$1213,$A$14:$A$1213,$H168,$F$14:$F$1213,"&lt;"&amp;_xlfn.MAXIFS($F$14:$F$1213,$A$14:$A$1213,$H168)),$AB$14:$AB$1213,0)),""))</f>
        <v/>
      </c>
      <c r="AM168" s="27">
        <f>IF(OR($H168="",COUNTIFS($A$14:$A$1213,$H168,$F$14:$F$1213,"&gt;=0")&lt;2,COUNTIFS($A$14:$A$1213,$H168,$F$14:$F$1213,_xlfn.MAXIFS($F$14:$F$1213,$A$14:$A$1213,$H168))&gt;1),"",IFERROR(INDEX($E$14:$E$1213,MATCH($H168&amp;"|"&amp;_xlfn.MAXIFS($F$14:$F$1213,$A$14:$A$1213,$H168,$F$14:$F$1213,"&lt;"&amp;_xlfn.MAXIFS($F$14:$F$1213,$A$14:$A$1213,$H168)),$AB$14:$AB$1213,0)),""))</f>
        <v/>
      </c>
      <c r="AN168" s="27">
        <f>IF(OR(NOT(ISNUMBER($AJ168)),NOT(ISNUMBER($AL168)),$AK168=0,$AM168=0),"",IF(OR((($AJ168+$AL168)/($AK168+$AM168))&lt;=0,(($AJ168+$AL168)/($AK168+$AM168))&gt;=1),"",($AJ168/$AK168-$AL168/$AM168)/SQRT((($AJ168+$AL168)/($AK168+$AM168))*(1-(($AJ168+$AL168)/($AK168+$AM168)))*(1/$AK168+1/$AM168))))</f>
        <v/>
      </c>
      <c r="AO168" s="27">
        <f>IF($A168="","",IF(AND(COUNTIFS($A$14:$A$1213,$A168,$F$14:$F$1213,"&gt;=0")=2,IFERROR(INDEX($M$14:$M$313,MATCH($A168,$H$14:$H$313,0)),"Yes")&lt;&gt;"Yes"),1,0))</f>
        <v/>
      </c>
    </row>
    <row r="169" ht="24" customHeight="1">
      <c r="A169" s="19">
        <f>IF('Enter messages'!A169="","",'Enter messages'!A169)</f>
        <v/>
      </c>
      <c r="B169" s="20">
        <f>IF('Enter messages'!B169="","",'Enter messages'!B169)</f>
        <v/>
      </c>
      <c r="C169" s="21">
        <f>IFERROR(AVERAGE(P169:T169),"")</f>
        <v/>
      </c>
      <c r="D169" s="29" t="n"/>
      <c r="E169" s="29" t="n"/>
      <c r="F169" s="30">
        <f>IF(AND(ISNUMBER($D169),ISNUMBER($E169),$E169&gt;0,$D169&lt;=$E169),$D169/$E169,"")</f>
        <v/>
      </c>
      <c r="H169" s="19">
        <f>IFERROR(INDEX($A$14:$A$1213,MATCH(156,$AI$14:$AI$1213,0)),"")</f>
        <v/>
      </c>
      <c r="I169" s="24">
        <f>IF($H169="","",IF(COUNTIFS($A$14:$A$1213,$H169,$C$14:$C$1213,"&gt;=0")=0,"—",IFERROR(INDEX($B$14:$B$1213,MATCH($H169&amp;"|1",$Z$14:$Z$1213,0)),"(tied)")))</f>
        <v/>
      </c>
      <c r="J169" s="25">
        <f>IF($H169="","",IF(OR(COUNTIFS($A$14:$A$1213,$H169,$C$14:$C$1213,"&gt;=0")=0,COUNTIFS($A$14:$A$1213,$H169,$F$14:$F$1213,"&gt;=0")=0),"—",IF(OR(ISERROR(MATCH($H169&amp;"|1",$Z$14:$Z$1213,0)),ISERROR(MATCH($H169&amp;"|1",$AA$14:$AA$1213,0))),"Tie",IF(MATCH($H169&amp;"|1",$Z$14:$Z$1213,0)=MATCH($H169&amp;"|1",$AA$14:$AA$1213,0),"Hit","Miss"))))</f>
        <v/>
      </c>
      <c r="K169" s="24">
        <f>IF($H169="","",IF(COUNTIFS($A$14:$A$1213,$H169,$F$14:$F$1213,"&gt;=0")=0,"—",IFERROR(INDEX($B$14:$B$1213,MATCH($H169&amp;"|1",$AA$14:$AA$1213,0)),"(tied)")))</f>
        <v/>
      </c>
      <c r="L169" s="25">
        <f>IF($H169="","",IF((--(COUNTIFS($A$14:$A$1213,$H169,$P$14:$P$1213,"&gt;=0")&gt;0)+--(COUNTIFS($A$14:$A$1213,$H169,$Q$14:$Q$1213,"&gt;=0")&gt;0)+--(COUNTIFS($A$14:$A$1213,$H169,$R$14:$R$1213,"&gt;=0")&gt;0)+--(COUNTIFS($A$14:$A$1213,$H169,$S$14:$S$1213,"&gt;=0")&gt;0)+--(COUNTIFS($A$14:$A$1213,$H169,$T$14:$T$1213,"&gt;=0")&gt;0))&lt;2,"—",IF(SUMIFS($AH$14:$AH$1213,$A$14:$A$1213,$H169)=0,"Yes","No")))</f>
        <v/>
      </c>
      <c r="M169" s="25">
        <f>IF($H169="","",IF(COUNTIFS($A$14:$A$1213,$H169,$F$14:$F$1213,"&gt;=0")&lt;2,"—",IF(COUNTIFS($A$14:$A$1213,$H169,$F$14:$F$1213,_xlfn.MAXIFS($F$14:$F$1213,$A$14:$A$1213,$H169))&gt;1,"No",IF(NOT(ISNUMBER($AN169)),"—",IF((2*(1-NORMSDIST(ABS($AN169))))&lt;0.05,"Yes","No")))))</f>
        <v/>
      </c>
      <c r="N169" s="21">
        <f>IF($H169="","",IF(NOT(ISNUMBER($AN169)),"—",IF((2*(1-NORMSDIST(ABS($AN169))))&lt;0.001,"&lt;0.001",TEXT((2*(1-NORMSDIST(ABS($AN169)))),"0.000"))))</f>
        <v/>
      </c>
      <c r="P169" s="26" t="n"/>
      <c r="Q169" s="26" t="n"/>
      <c r="R169" s="26" t="n"/>
      <c r="S169" s="26" t="n"/>
      <c r="T169" s="26" t="n"/>
      <c r="V169" s="27">
        <f>IF(ISNUMBER($C169),COUNTIFS($A$14:$A$1213,$A169,$C$14:$C$1213,"&gt;"&amp;$C169)+(COUNTIFS($A$14:$A$1213,$A169,$C$14:$C$1213,"="&amp;$C169)+1)/2,"")</f>
        <v/>
      </c>
      <c r="W169" s="27">
        <f>IF(ISNUMBER($F169),COUNTIFS($A$14:$A$1213,$A169,$F$14:$F$1213,"&gt;"&amp;$F169)+(COUNTIFS($A$14:$A$1213,$A169,$F$14:$F$1213,"="&amp;$F169)+1)/2,"")</f>
        <v/>
      </c>
      <c r="X169" s="27">
        <f>IF(OR(NOT(ISNUMBER($V169)),$AO169=1),"",$V169-(COUNTIFS($A$14:$A$1213,$A169,$C$14:$C$1213,"&gt;=0")+1)/2)</f>
        <v/>
      </c>
      <c r="Y169" s="27">
        <f>IF(OR(NOT(ISNUMBER($W169)),$AO169=1),"",$W169-(COUNTIFS($A$14:$A$1213,$A169,$F$14:$F$1213,"&gt;=0")+1)/2)</f>
        <v/>
      </c>
      <c r="Z169" s="27">
        <f>IF(ISNUMBER($V169),$A169&amp;"|"&amp;$V169,"")</f>
        <v/>
      </c>
      <c r="AA169" s="27">
        <f>IF(ISNUMBER($W169),$A169&amp;"|"&amp;$W169,"")</f>
        <v/>
      </c>
      <c r="AB169" s="27">
        <f>IF(ISNUMBER($F169),$A169&amp;"|"&amp;$F169,"")</f>
        <v/>
      </c>
      <c r="AC169" s="27">
        <f>IF(ISNUMBER($P169),COUNTIFS($A$14:$A$1213,$A169,$P$14:$P$1213,"&gt;"&amp;$P169)+(COUNTIFS($A$14:$A$1213,$A169,$P$14:$P$1213,"="&amp;$P169)+1)/2,"")</f>
        <v/>
      </c>
      <c r="AD169" s="27">
        <f>IF(ISNUMBER($Q169),COUNTIFS($A$14:$A$1213,$A169,$Q$14:$Q$1213,"&gt;"&amp;$Q169)+(COUNTIFS($A$14:$A$1213,$A169,$Q$14:$Q$1213,"="&amp;$Q169)+1)/2,"")</f>
        <v/>
      </c>
      <c r="AE169" s="27">
        <f>IF(ISNUMBER($R169),COUNTIFS($A$14:$A$1213,$A169,$R$14:$R$1213,"&gt;"&amp;$R169)+(COUNTIFS($A$14:$A$1213,$A169,$R$14:$R$1213,"="&amp;$R169)+1)/2,"")</f>
        <v/>
      </c>
      <c r="AF169" s="27">
        <f>IF(ISNUMBER($S169),COUNTIFS($A$14:$A$1213,$A169,$S$14:$S$1213,"&gt;"&amp;$S169)+(COUNTIFS($A$14:$A$1213,$A169,$S$14:$S$1213,"="&amp;$S169)+1)/2,"")</f>
        <v/>
      </c>
      <c r="AG169" s="27">
        <f>IF(ISNUMBER($T169),COUNTIFS($A$14:$A$1213,$A169,$T$14:$T$1213,"&gt;"&amp;$T169)+(COUNTIFS($A$14:$A$1213,$A169,$T$14:$T$1213,"="&amp;$T169)+1)/2,"")</f>
        <v/>
      </c>
      <c r="AH169" s="27">
        <f>IF(COUNT($AC169:$AG169)&lt;2,"",IF(MAX($AC169:$AG169)=MIN($AC169:$AG169),0,1))</f>
        <v/>
      </c>
      <c r="AI169" s="27">
        <f>IF($A169="","",IF(COUNTIF($A$14:$A169,$A169)=1,COUNTIF($AI$13:AI168,"&gt;0")+1,""))</f>
        <v/>
      </c>
      <c r="AJ169" s="27">
        <f>IF(OR($H169="",COUNTIFS($A$14:$A$1213,$H169,$F$14:$F$1213,"&gt;=0")&lt;2,COUNTIFS($A$14:$A$1213,$H169,$F$14:$F$1213,_xlfn.MAXIFS($F$14:$F$1213,$A$14:$A$1213,$H169))&gt;1),"",IFERROR(INDEX($D$14:$D$1213,MATCH($H169&amp;"|"&amp;_xlfn.MAXIFS($F$14:$F$1213,$A$14:$A$1213,$H169),$AB$14:$AB$1213,0)),""))</f>
        <v/>
      </c>
      <c r="AK169" s="27">
        <f>IF(OR($H169="",COUNTIFS($A$14:$A$1213,$H169,$F$14:$F$1213,"&gt;=0")&lt;2,COUNTIFS($A$14:$A$1213,$H169,$F$14:$F$1213,_xlfn.MAXIFS($F$14:$F$1213,$A$14:$A$1213,$H169))&gt;1),"",IFERROR(INDEX($E$14:$E$1213,MATCH($H169&amp;"|"&amp;_xlfn.MAXIFS($F$14:$F$1213,$A$14:$A$1213,$H169),$AB$14:$AB$1213,0)),""))</f>
        <v/>
      </c>
      <c r="AL169" s="27">
        <f>IF(OR($H169="",COUNTIFS($A$14:$A$1213,$H169,$F$14:$F$1213,"&gt;=0")&lt;2,COUNTIFS($A$14:$A$1213,$H169,$F$14:$F$1213,_xlfn.MAXIFS($F$14:$F$1213,$A$14:$A$1213,$H169))&gt;1),"",IFERROR(INDEX($D$14:$D$1213,MATCH($H169&amp;"|"&amp;_xlfn.MAXIFS($F$14:$F$1213,$A$14:$A$1213,$H169,$F$14:$F$1213,"&lt;"&amp;_xlfn.MAXIFS($F$14:$F$1213,$A$14:$A$1213,$H169)),$AB$14:$AB$1213,0)),""))</f>
        <v/>
      </c>
      <c r="AM169" s="27">
        <f>IF(OR($H169="",COUNTIFS($A$14:$A$1213,$H169,$F$14:$F$1213,"&gt;=0")&lt;2,COUNTIFS($A$14:$A$1213,$H169,$F$14:$F$1213,_xlfn.MAXIFS($F$14:$F$1213,$A$14:$A$1213,$H169))&gt;1),"",IFERROR(INDEX($E$14:$E$1213,MATCH($H169&amp;"|"&amp;_xlfn.MAXIFS($F$14:$F$1213,$A$14:$A$1213,$H169,$F$14:$F$1213,"&lt;"&amp;_xlfn.MAXIFS($F$14:$F$1213,$A$14:$A$1213,$H169)),$AB$14:$AB$1213,0)),""))</f>
        <v/>
      </c>
      <c r="AN169" s="27">
        <f>IF(OR(NOT(ISNUMBER($AJ169)),NOT(ISNUMBER($AL169)),$AK169=0,$AM169=0),"",IF(OR((($AJ169+$AL169)/($AK169+$AM169))&lt;=0,(($AJ169+$AL169)/($AK169+$AM169))&gt;=1),"",($AJ169/$AK169-$AL169/$AM169)/SQRT((($AJ169+$AL169)/($AK169+$AM169))*(1-(($AJ169+$AL169)/($AK169+$AM169)))*(1/$AK169+1/$AM169))))</f>
        <v/>
      </c>
      <c r="AO169" s="27">
        <f>IF($A169="","",IF(AND(COUNTIFS($A$14:$A$1213,$A169,$F$14:$F$1213,"&gt;=0")=2,IFERROR(INDEX($M$14:$M$313,MATCH($A169,$H$14:$H$313,0)),"Yes")&lt;&gt;"Yes"),1,0))</f>
        <v/>
      </c>
    </row>
    <row r="170" ht="24" customHeight="1">
      <c r="A170" s="19">
        <f>IF('Enter messages'!A170="","",'Enter messages'!A170)</f>
        <v/>
      </c>
      <c r="B170" s="20">
        <f>IF('Enter messages'!B170="","",'Enter messages'!B170)</f>
        <v/>
      </c>
      <c r="C170" s="21">
        <f>IFERROR(AVERAGE(P170:T170),"")</f>
        <v/>
      </c>
      <c r="D170" s="29" t="n"/>
      <c r="E170" s="29" t="n"/>
      <c r="F170" s="30">
        <f>IF(AND(ISNUMBER($D170),ISNUMBER($E170),$E170&gt;0,$D170&lt;=$E170),$D170/$E170,"")</f>
        <v/>
      </c>
      <c r="H170" s="19">
        <f>IFERROR(INDEX($A$14:$A$1213,MATCH(157,$AI$14:$AI$1213,0)),"")</f>
        <v/>
      </c>
      <c r="I170" s="24">
        <f>IF($H170="","",IF(COUNTIFS($A$14:$A$1213,$H170,$C$14:$C$1213,"&gt;=0")=0,"—",IFERROR(INDEX($B$14:$B$1213,MATCH($H170&amp;"|1",$Z$14:$Z$1213,0)),"(tied)")))</f>
        <v/>
      </c>
      <c r="J170" s="25">
        <f>IF($H170="","",IF(OR(COUNTIFS($A$14:$A$1213,$H170,$C$14:$C$1213,"&gt;=0")=0,COUNTIFS($A$14:$A$1213,$H170,$F$14:$F$1213,"&gt;=0")=0),"—",IF(OR(ISERROR(MATCH($H170&amp;"|1",$Z$14:$Z$1213,0)),ISERROR(MATCH($H170&amp;"|1",$AA$14:$AA$1213,0))),"Tie",IF(MATCH($H170&amp;"|1",$Z$14:$Z$1213,0)=MATCH($H170&amp;"|1",$AA$14:$AA$1213,0),"Hit","Miss"))))</f>
        <v/>
      </c>
      <c r="K170" s="24">
        <f>IF($H170="","",IF(COUNTIFS($A$14:$A$1213,$H170,$F$14:$F$1213,"&gt;=0")=0,"—",IFERROR(INDEX($B$14:$B$1213,MATCH($H170&amp;"|1",$AA$14:$AA$1213,0)),"(tied)")))</f>
        <v/>
      </c>
      <c r="L170" s="25">
        <f>IF($H170="","",IF((--(COUNTIFS($A$14:$A$1213,$H170,$P$14:$P$1213,"&gt;=0")&gt;0)+--(COUNTIFS($A$14:$A$1213,$H170,$Q$14:$Q$1213,"&gt;=0")&gt;0)+--(COUNTIFS($A$14:$A$1213,$H170,$R$14:$R$1213,"&gt;=0")&gt;0)+--(COUNTIFS($A$14:$A$1213,$H170,$S$14:$S$1213,"&gt;=0")&gt;0)+--(COUNTIFS($A$14:$A$1213,$H170,$T$14:$T$1213,"&gt;=0")&gt;0))&lt;2,"—",IF(SUMIFS($AH$14:$AH$1213,$A$14:$A$1213,$H170)=0,"Yes","No")))</f>
        <v/>
      </c>
      <c r="M170" s="25">
        <f>IF($H170="","",IF(COUNTIFS($A$14:$A$1213,$H170,$F$14:$F$1213,"&gt;=0")&lt;2,"—",IF(COUNTIFS($A$14:$A$1213,$H170,$F$14:$F$1213,_xlfn.MAXIFS($F$14:$F$1213,$A$14:$A$1213,$H170))&gt;1,"No",IF(NOT(ISNUMBER($AN170)),"—",IF((2*(1-NORMSDIST(ABS($AN170))))&lt;0.05,"Yes","No")))))</f>
        <v/>
      </c>
      <c r="N170" s="21">
        <f>IF($H170="","",IF(NOT(ISNUMBER($AN170)),"—",IF((2*(1-NORMSDIST(ABS($AN170))))&lt;0.001,"&lt;0.001",TEXT((2*(1-NORMSDIST(ABS($AN170)))),"0.000"))))</f>
        <v/>
      </c>
      <c r="P170" s="26" t="n"/>
      <c r="Q170" s="26" t="n"/>
      <c r="R170" s="26" t="n"/>
      <c r="S170" s="26" t="n"/>
      <c r="T170" s="26" t="n"/>
      <c r="V170" s="27">
        <f>IF(ISNUMBER($C170),COUNTIFS($A$14:$A$1213,$A170,$C$14:$C$1213,"&gt;"&amp;$C170)+(COUNTIFS($A$14:$A$1213,$A170,$C$14:$C$1213,"="&amp;$C170)+1)/2,"")</f>
        <v/>
      </c>
      <c r="W170" s="27">
        <f>IF(ISNUMBER($F170),COUNTIFS($A$14:$A$1213,$A170,$F$14:$F$1213,"&gt;"&amp;$F170)+(COUNTIFS($A$14:$A$1213,$A170,$F$14:$F$1213,"="&amp;$F170)+1)/2,"")</f>
        <v/>
      </c>
      <c r="X170" s="27">
        <f>IF(OR(NOT(ISNUMBER($V170)),$AO170=1),"",$V170-(COUNTIFS($A$14:$A$1213,$A170,$C$14:$C$1213,"&gt;=0")+1)/2)</f>
        <v/>
      </c>
      <c r="Y170" s="27">
        <f>IF(OR(NOT(ISNUMBER($W170)),$AO170=1),"",$W170-(COUNTIFS($A$14:$A$1213,$A170,$F$14:$F$1213,"&gt;=0")+1)/2)</f>
        <v/>
      </c>
      <c r="Z170" s="27">
        <f>IF(ISNUMBER($V170),$A170&amp;"|"&amp;$V170,"")</f>
        <v/>
      </c>
      <c r="AA170" s="27">
        <f>IF(ISNUMBER($W170),$A170&amp;"|"&amp;$W170,"")</f>
        <v/>
      </c>
      <c r="AB170" s="27">
        <f>IF(ISNUMBER($F170),$A170&amp;"|"&amp;$F170,"")</f>
        <v/>
      </c>
      <c r="AC170" s="27">
        <f>IF(ISNUMBER($P170),COUNTIFS($A$14:$A$1213,$A170,$P$14:$P$1213,"&gt;"&amp;$P170)+(COUNTIFS($A$14:$A$1213,$A170,$P$14:$P$1213,"="&amp;$P170)+1)/2,"")</f>
        <v/>
      </c>
      <c r="AD170" s="27">
        <f>IF(ISNUMBER($Q170),COUNTIFS($A$14:$A$1213,$A170,$Q$14:$Q$1213,"&gt;"&amp;$Q170)+(COUNTIFS($A$14:$A$1213,$A170,$Q$14:$Q$1213,"="&amp;$Q170)+1)/2,"")</f>
        <v/>
      </c>
      <c r="AE170" s="27">
        <f>IF(ISNUMBER($R170),COUNTIFS($A$14:$A$1213,$A170,$R$14:$R$1213,"&gt;"&amp;$R170)+(COUNTIFS($A$14:$A$1213,$A170,$R$14:$R$1213,"="&amp;$R170)+1)/2,"")</f>
        <v/>
      </c>
      <c r="AF170" s="27">
        <f>IF(ISNUMBER($S170),COUNTIFS($A$14:$A$1213,$A170,$S$14:$S$1213,"&gt;"&amp;$S170)+(COUNTIFS($A$14:$A$1213,$A170,$S$14:$S$1213,"="&amp;$S170)+1)/2,"")</f>
        <v/>
      </c>
      <c r="AG170" s="27">
        <f>IF(ISNUMBER($T170),COUNTIFS($A$14:$A$1213,$A170,$T$14:$T$1213,"&gt;"&amp;$T170)+(COUNTIFS($A$14:$A$1213,$A170,$T$14:$T$1213,"="&amp;$T170)+1)/2,"")</f>
        <v/>
      </c>
      <c r="AH170" s="27">
        <f>IF(COUNT($AC170:$AG170)&lt;2,"",IF(MAX($AC170:$AG170)=MIN($AC170:$AG170),0,1))</f>
        <v/>
      </c>
      <c r="AI170" s="27">
        <f>IF($A170="","",IF(COUNTIF($A$14:$A170,$A170)=1,COUNTIF($AI$13:AI169,"&gt;0")+1,""))</f>
        <v/>
      </c>
      <c r="AJ170" s="27">
        <f>IF(OR($H170="",COUNTIFS($A$14:$A$1213,$H170,$F$14:$F$1213,"&gt;=0")&lt;2,COUNTIFS($A$14:$A$1213,$H170,$F$14:$F$1213,_xlfn.MAXIFS($F$14:$F$1213,$A$14:$A$1213,$H170))&gt;1),"",IFERROR(INDEX($D$14:$D$1213,MATCH($H170&amp;"|"&amp;_xlfn.MAXIFS($F$14:$F$1213,$A$14:$A$1213,$H170),$AB$14:$AB$1213,0)),""))</f>
        <v/>
      </c>
      <c r="AK170" s="27">
        <f>IF(OR($H170="",COUNTIFS($A$14:$A$1213,$H170,$F$14:$F$1213,"&gt;=0")&lt;2,COUNTIFS($A$14:$A$1213,$H170,$F$14:$F$1213,_xlfn.MAXIFS($F$14:$F$1213,$A$14:$A$1213,$H170))&gt;1),"",IFERROR(INDEX($E$14:$E$1213,MATCH($H170&amp;"|"&amp;_xlfn.MAXIFS($F$14:$F$1213,$A$14:$A$1213,$H170),$AB$14:$AB$1213,0)),""))</f>
        <v/>
      </c>
      <c r="AL170" s="27">
        <f>IF(OR($H170="",COUNTIFS($A$14:$A$1213,$H170,$F$14:$F$1213,"&gt;=0")&lt;2,COUNTIFS($A$14:$A$1213,$H170,$F$14:$F$1213,_xlfn.MAXIFS($F$14:$F$1213,$A$14:$A$1213,$H170))&gt;1),"",IFERROR(INDEX($D$14:$D$1213,MATCH($H170&amp;"|"&amp;_xlfn.MAXIFS($F$14:$F$1213,$A$14:$A$1213,$H170,$F$14:$F$1213,"&lt;"&amp;_xlfn.MAXIFS($F$14:$F$1213,$A$14:$A$1213,$H170)),$AB$14:$AB$1213,0)),""))</f>
        <v/>
      </c>
      <c r="AM170" s="27">
        <f>IF(OR($H170="",COUNTIFS($A$14:$A$1213,$H170,$F$14:$F$1213,"&gt;=0")&lt;2,COUNTIFS($A$14:$A$1213,$H170,$F$14:$F$1213,_xlfn.MAXIFS($F$14:$F$1213,$A$14:$A$1213,$H170))&gt;1),"",IFERROR(INDEX($E$14:$E$1213,MATCH($H170&amp;"|"&amp;_xlfn.MAXIFS($F$14:$F$1213,$A$14:$A$1213,$H170,$F$14:$F$1213,"&lt;"&amp;_xlfn.MAXIFS($F$14:$F$1213,$A$14:$A$1213,$H170)),$AB$14:$AB$1213,0)),""))</f>
        <v/>
      </c>
      <c r="AN170" s="27">
        <f>IF(OR(NOT(ISNUMBER($AJ170)),NOT(ISNUMBER($AL170)),$AK170=0,$AM170=0),"",IF(OR((($AJ170+$AL170)/($AK170+$AM170))&lt;=0,(($AJ170+$AL170)/($AK170+$AM170))&gt;=1),"",($AJ170/$AK170-$AL170/$AM170)/SQRT((($AJ170+$AL170)/($AK170+$AM170))*(1-(($AJ170+$AL170)/($AK170+$AM170)))*(1/$AK170+1/$AM170))))</f>
        <v/>
      </c>
      <c r="AO170" s="27">
        <f>IF($A170="","",IF(AND(COUNTIFS($A$14:$A$1213,$A170,$F$14:$F$1213,"&gt;=0")=2,IFERROR(INDEX($M$14:$M$313,MATCH($A170,$H$14:$H$313,0)),"Yes")&lt;&gt;"Yes"),1,0))</f>
        <v/>
      </c>
    </row>
    <row r="171" ht="24" customHeight="1">
      <c r="A171" s="19">
        <f>IF('Enter messages'!A171="","",'Enter messages'!A171)</f>
        <v/>
      </c>
      <c r="B171" s="20">
        <f>IF('Enter messages'!B171="","",'Enter messages'!B171)</f>
        <v/>
      </c>
      <c r="C171" s="21">
        <f>IFERROR(AVERAGE(P171:T171),"")</f>
        <v/>
      </c>
      <c r="D171" s="29" t="n"/>
      <c r="E171" s="29" t="n"/>
      <c r="F171" s="30">
        <f>IF(AND(ISNUMBER($D171),ISNUMBER($E171),$E171&gt;0,$D171&lt;=$E171),$D171/$E171,"")</f>
        <v/>
      </c>
      <c r="H171" s="19">
        <f>IFERROR(INDEX($A$14:$A$1213,MATCH(158,$AI$14:$AI$1213,0)),"")</f>
        <v/>
      </c>
      <c r="I171" s="24">
        <f>IF($H171="","",IF(COUNTIFS($A$14:$A$1213,$H171,$C$14:$C$1213,"&gt;=0")=0,"—",IFERROR(INDEX($B$14:$B$1213,MATCH($H171&amp;"|1",$Z$14:$Z$1213,0)),"(tied)")))</f>
        <v/>
      </c>
      <c r="J171" s="25">
        <f>IF($H171="","",IF(OR(COUNTIFS($A$14:$A$1213,$H171,$C$14:$C$1213,"&gt;=0")=0,COUNTIFS($A$14:$A$1213,$H171,$F$14:$F$1213,"&gt;=0")=0),"—",IF(OR(ISERROR(MATCH($H171&amp;"|1",$Z$14:$Z$1213,0)),ISERROR(MATCH($H171&amp;"|1",$AA$14:$AA$1213,0))),"Tie",IF(MATCH($H171&amp;"|1",$Z$14:$Z$1213,0)=MATCH($H171&amp;"|1",$AA$14:$AA$1213,0),"Hit","Miss"))))</f>
        <v/>
      </c>
      <c r="K171" s="24">
        <f>IF($H171="","",IF(COUNTIFS($A$14:$A$1213,$H171,$F$14:$F$1213,"&gt;=0")=0,"—",IFERROR(INDEX($B$14:$B$1213,MATCH($H171&amp;"|1",$AA$14:$AA$1213,0)),"(tied)")))</f>
        <v/>
      </c>
      <c r="L171" s="25">
        <f>IF($H171="","",IF((--(COUNTIFS($A$14:$A$1213,$H171,$P$14:$P$1213,"&gt;=0")&gt;0)+--(COUNTIFS($A$14:$A$1213,$H171,$Q$14:$Q$1213,"&gt;=0")&gt;0)+--(COUNTIFS($A$14:$A$1213,$H171,$R$14:$R$1213,"&gt;=0")&gt;0)+--(COUNTIFS($A$14:$A$1213,$H171,$S$14:$S$1213,"&gt;=0")&gt;0)+--(COUNTIFS($A$14:$A$1213,$H171,$T$14:$T$1213,"&gt;=0")&gt;0))&lt;2,"—",IF(SUMIFS($AH$14:$AH$1213,$A$14:$A$1213,$H171)=0,"Yes","No")))</f>
        <v/>
      </c>
      <c r="M171" s="25">
        <f>IF($H171="","",IF(COUNTIFS($A$14:$A$1213,$H171,$F$14:$F$1213,"&gt;=0")&lt;2,"—",IF(COUNTIFS($A$14:$A$1213,$H171,$F$14:$F$1213,_xlfn.MAXIFS($F$14:$F$1213,$A$14:$A$1213,$H171))&gt;1,"No",IF(NOT(ISNUMBER($AN171)),"—",IF((2*(1-NORMSDIST(ABS($AN171))))&lt;0.05,"Yes","No")))))</f>
        <v/>
      </c>
      <c r="N171" s="21">
        <f>IF($H171="","",IF(NOT(ISNUMBER($AN171)),"—",IF((2*(1-NORMSDIST(ABS($AN171))))&lt;0.001,"&lt;0.001",TEXT((2*(1-NORMSDIST(ABS($AN171)))),"0.000"))))</f>
        <v/>
      </c>
      <c r="P171" s="26" t="n"/>
      <c r="Q171" s="26" t="n"/>
      <c r="R171" s="26" t="n"/>
      <c r="S171" s="26" t="n"/>
      <c r="T171" s="26" t="n"/>
      <c r="V171" s="27">
        <f>IF(ISNUMBER($C171),COUNTIFS($A$14:$A$1213,$A171,$C$14:$C$1213,"&gt;"&amp;$C171)+(COUNTIFS($A$14:$A$1213,$A171,$C$14:$C$1213,"="&amp;$C171)+1)/2,"")</f>
        <v/>
      </c>
      <c r="W171" s="27">
        <f>IF(ISNUMBER($F171),COUNTIFS($A$14:$A$1213,$A171,$F$14:$F$1213,"&gt;"&amp;$F171)+(COUNTIFS($A$14:$A$1213,$A171,$F$14:$F$1213,"="&amp;$F171)+1)/2,"")</f>
        <v/>
      </c>
      <c r="X171" s="27">
        <f>IF(OR(NOT(ISNUMBER($V171)),$AO171=1),"",$V171-(COUNTIFS($A$14:$A$1213,$A171,$C$14:$C$1213,"&gt;=0")+1)/2)</f>
        <v/>
      </c>
      <c r="Y171" s="27">
        <f>IF(OR(NOT(ISNUMBER($W171)),$AO171=1),"",$W171-(COUNTIFS($A$14:$A$1213,$A171,$F$14:$F$1213,"&gt;=0")+1)/2)</f>
        <v/>
      </c>
      <c r="Z171" s="27">
        <f>IF(ISNUMBER($V171),$A171&amp;"|"&amp;$V171,"")</f>
        <v/>
      </c>
      <c r="AA171" s="27">
        <f>IF(ISNUMBER($W171),$A171&amp;"|"&amp;$W171,"")</f>
        <v/>
      </c>
      <c r="AB171" s="27">
        <f>IF(ISNUMBER($F171),$A171&amp;"|"&amp;$F171,"")</f>
        <v/>
      </c>
      <c r="AC171" s="27">
        <f>IF(ISNUMBER($P171),COUNTIFS($A$14:$A$1213,$A171,$P$14:$P$1213,"&gt;"&amp;$P171)+(COUNTIFS($A$14:$A$1213,$A171,$P$14:$P$1213,"="&amp;$P171)+1)/2,"")</f>
        <v/>
      </c>
      <c r="AD171" s="27">
        <f>IF(ISNUMBER($Q171),COUNTIFS($A$14:$A$1213,$A171,$Q$14:$Q$1213,"&gt;"&amp;$Q171)+(COUNTIFS($A$14:$A$1213,$A171,$Q$14:$Q$1213,"="&amp;$Q171)+1)/2,"")</f>
        <v/>
      </c>
      <c r="AE171" s="27">
        <f>IF(ISNUMBER($R171),COUNTIFS($A$14:$A$1213,$A171,$R$14:$R$1213,"&gt;"&amp;$R171)+(COUNTIFS($A$14:$A$1213,$A171,$R$14:$R$1213,"="&amp;$R171)+1)/2,"")</f>
        <v/>
      </c>
      <c r="AF171" s="27">
        <f>IF(ISNUMBER($S171),COUNTIFS($A$14:$A$1213,$A171,$S$14:$S$1213,"&gt;"&amp;$S171)+(COUNTIFS($A$14:$A$1213,$A171,$S$14:$S$1213,"="&amp;$S171)+1)/2,"")</f>
        <v/>
      </c>
      <c r="AG171" s="27">
        <f>IF(ISNUMBER($T171),COUNTIFS($A$14:$A$1213,$A171,$T$14:$T$1213,"&gt;"&amp;$T171)+(COUNTIFS($A$14:$A$1213,$A171,$T$14:$T$1213,"="&amp;$T171)+1)/2,"")</f>
        <v/>
      </c>
      <c r="AH171" s="27">
        <f>IF(COUNT($AC171:$AG171)&lt;2,"",IF(MAX($AC171:$AG171)=MIN($AC171:$AG171),0,1))</f>
        <v/>
      </c>
      <c r="AI171" s="27">
        <f>IF($A171="","",IF(COUNTIF($A$14:$A171,$A171)=1,COUNTIF($AI$13:AI170,"&gt;0")+1,""))</f>
        <v/>
      </c>
      <c r="AJ171" s="27">
        <f>IF(OR($H171="",COUNTIFS($A$14:$A$1213,$H171,$F$14:$F$1213,"&gt;=0")&lt;2,COUNTIFS($A$14:$A$1213,$H171,$F$14:$F$1213,_xlfn.MAXIFS($F$14:$F$1213,$A$14:$A$1213,$H171))&gt;1),"",IFERROR(INDEX($D$14:$D$1213,MATCH($H171&amp;"|"&amp;_xlfn.MAXIFS($F$14:$F$1213,$A$14:$A$1213,$H171),$AB$14:$AB$1213,0)),""))</f>
        <v/>
      </c>
      <c r="AK171" s="27">
        <f>IF(OR($H171="",COUNTIFS($A$14:$A$1213,$H171,$F$14:$F$1213,"&gt;=0")&lt;2,COUNTIFS($A$14:$A$1213,$H171,$F$14:$F$1213,_xlfn.MAXIFS($F$14:$F$1213,$A$14:$A$1213,$H171))&gt;1),"",IFERROR(INDEX($E$14:$E$1213,MATCH($H171&amp;"|"&amp;_xlfn.MAXIFS($F$14:$F$1213,$A$14:$A$1213,$H171),$AB$14:$AB$1213,0)),""))</f>
        <v/>
      </c>
      <c r="AL171" s="27">
        <f>IF(OR($H171="",COUNTIFS($A$14:$A$1213,$H171,$F$14:$F$1213,"&gt;=0")&lt;2,COUNTIFS($A$14:$A$1213,$H171,$F$14:$F$1213,_xlfn.MAXIFS($F$14:$F$1213,$A$14:$A$1213,$H171))&gt;1),"",IFERROR(INDEX($D$14:$D$1213,MATCH($H171&amp;"|"&amp;_xlfn.MAXIFS($F$14:$F$1213,$A$14:$A$1213,$H171,$F$14:$F$1213,"&lt;"&amp;_xlfn.MAXIFS($F$14:$F$1213,$A$14:$A$1213,$H171)),$AB$14:$AB$1213,0)),""))</f>
        <v/>
      </c>
      <c r="AM171" s="27">
        <f>IF(OR($H171="",COUNTIFS($A$14:$A$1213,$H171,$F$14:$F$1213,"&gt;=0")&lt;2,COUNTIFS($A$14:$A$1213,$H171,$F$14:$F$1213,_xlfn.MAXIFS($F$14:$F$1213,$A$14:$A$1213,$H171))&gt;1),"",IFERROR(INDEX($E$14:$E$1213,MATCH($H171&amp;"|"&amp;_xlfn.MAXIFS($F$14:$F$1213,$A$14:$A$1213,$H171,$F$14:$F$1213,"&lt;"&amp;_xlfn.MAXIFS($F$14:$F$1213,$A$14:$A$1213,$H171)),$AB$14:$AB$1213,0)),""))</f>
        <v/>
      </c>
      <c r="AN171" s="27">
        <f>IF(OR(NOT(ISNUMBER($AJ171)),NOT(ISNUMBER($AL171)),$AK171=0,$AM171=0),"",IF(OR((($AJ171+$AL171)/($AK171+$AM171))&lt;=0,(($AJ171+$AL171)/($AK171+$AM171))&gt;=1),"",($AJ171/$AK171-$AL171/$AM171)/SQRT((($AJ171+$AL171)/($AK171+$AM171))*(1-(($AJ171+$AL171)/($AK171+$AM171)))*(1/$AK171+1/$AM171))))</f>
        <v/>
      </c>
      <c r="AO171" s="27">
        <f>IF($A171="","",IF(AND(COUNTIFS($A$14:$A$1213,$A171,$F$14:$F$1213,"&gt;=0")=2,IFERROR(INDEX($M$14:$M$313,MATCH($A171,$H$14:$H$313,0)),"Yes")&lt;&gt;"Yes"),1,0))</f>
        <v/>
      </c>
    </row>
    <row r="172" ht="24" customHeight="1">
      <c r="A172" s="19">
        <f>IF('Enter messages'!A172="","",'Enter messages'!A172)</f>
        <v/>
      </c>
      <c r="B172" s="20">
        <f>IF('Enter messages'!B172="","",'Enter messages'!B172)</f>
        <v/>
      </c>
      <c r="C172" s="21">
        <f>IFERROR(AVERAGE(P172:T172),"")</f>
        <v/>
      </c>
      <c r="D172" s="29" t="n"/>
      <c r="E172" s="29" t="n"/>
      <c r="F172" s="30">
        <f>IF(AND(ISNUMBER($D172),ISNUMBER($E172),$E172&gt;0,$D172&lt;=$E172),$D172/$E172,"")</f>
        <v/>
      </c>
      <c r="H172" s="19">
        <f>IFERROR(INDEX($A$14:$A$1213,MATCH(159,$AI$14:$AI$1213,0)),"")</f>
        <v/>
      </c>
      <c r="I172" s="24">
        <f>IF($H172="","",IF(COUNTIFS($A$14:$A$1213,$H172,$C$14:$C$1213,"&gt;=0")=0,"—",IFERROR(INDEX($B$14:$B$1213,MATCH($H172&amp;"|1",$Z$14:$Z$1213,0)),"(tied)")))</f>
        <v/>
      </c>
      <c r="J172" s="25">
        <f>IF($H172="","",IF(OR(COUNTIFS($A$14:$A$1213,$H172,$C$14:$C$1213,"&gt;=0")=0,COUNTIFS($A$14:$A$1213,$H172,$F$14:$F$1213,"&gt;=0")=0),"—",IF(OR(ISERROR(MATCH($H172&amp;"|1",$Z$14:$Z$1213,0)),ISERROR(MATCH($H172&amp;"|1",$AA$14:$AA$1213,0))),"Tie",IF(MATCH($H172&amp;"|1",$Z$14:$Z$1213,0)=MATCH($H172&amp;"|1",$AA$14:$AA$1213,0),"Hit","Miss"))))</f>
        <v/>
      </c>
      <c r="K172" s="24">
        <f>IF($H172="","",IF(COUNTIFS($A$14:$A$1213,$H172,$F$14:$F$1213,"&gt;=0")=0,"—",IFERROR(INDEX($B$14:$B$1213,MATCH($H172&amp;"|1",$AA$14:$AA$1213,0)),"(tied)")))</f>
        <v/>
      </c>
      <c r="L172" s="25">
        <f>IF($H172="","",IF((--(COUNTIFS($A$14:$A$1213,$H172,$P$14:$P$1213,"&gt;=0")&gt;0)+--(COUNTIFS($A$14:$A$1213,$H172,$Q$14:$Q$1213,"&gt;=0")&gt;0)+--(COUNTIFS($A$14:$A$1213,$H172,$R$14:$R$1213,"&gt;=0")&gt;0)+--(COUNTIFS($A$14:$A$1213,$H172,$S$14:$S$1213,"&gt;=0")&gt;0)+--(COUNTIFS($A$14:$A$1213,$H172,$T$14:$T$1213,"&gt;=0")&gt;0))&lt;2,"—",IF(SUMIFS($AH$14:$AH$1213,$A$14:$A$1213,$H172)=0,"Yes","No")))</f>
        <v/>
      </c>
      <c r="M172" s="25">
        <f>IF($H172="","",IF(COUNTIFS($A$14:$A$1213,$H172,$F$14:$F$1213,"&gt;=0")&lt;2,"—",IF(COUNTIFS($A$14:$A$1213,$H172,$F$14:$F$1213,_xlfn.MAXIFS($F$14:$F$1213,$A$14:$A$1213,$H172))&gt;1,"No",IF(NOT(ISNUMBER($AN172)),"—",IF((2*(1-NORMSDIST(ABS($AN172))))&lt;0.05,"Yes","No")))))</f>
        <v/>
      </c>
      <c r="N172" s="21">
        <f>IF($H172="","",IF(NOT(ISNUMBER($AN172)),"—",IF((2*(1-NORMSDIST(ABS($AN172))))&lt;0.001,"&lt;0.001",TEXT((2*(1-NORMSDIST(ABS($AN172)))),"0.000"))))</f>
        <v/>
      </c>
      <c r="P172" s="26" t="n"/>
      <c r="Q172" s="26" t="n"/>
      <c r="R172" s="26" t="n"/>
      <c r="S172" s="26" t="n"/>
      <c r="T172" s="26" t="n"/>
      <c r="V172" s="27">
        <f>IF(ISNUMBER($C172),COUNTIFS($A$14:$A$1213,$A172,$C$14:$C$1213,"&gt;"&amp;$C172)+(COUNTIFS($A$14:$A$1213,$A172,$C$14:$C$1213,"="&amp;$C172)+1)/2,"")</f>
        <v/>
      </c>
      <c r="W172" s="27">
        <f>IF(ISNUMBER($F172),COUNTIFS($A$14:$A$1213,$A172,$F$14:$F$1213,"&gt;"&amp;$F172)+(COUNTIFS($A$14:$A$1213,$A172,$F$14:$F$1213,"="&amp;$F172)+1)/2,"")</f>
        <v/>
      </c>
      <c r="X172" s="27">
        <f>IF(OR(NOT(ISNUMBER($V172)),$AO172=1),"",$V172-(COUNTIFS($A$14:$A$1213,$A172,$C$14:$C$1213,"&gt;=0")+1)/2)</f>
        <v/>
      </c>
      <c r="Y172" s="27">
        <f>IF(OR(NOT(ISNUMBER($W172)),$AO172=1),"",$W172-(COUNTIFS($A$14:$A$1213,$A172,$F$14:$F$1213,"&gt;=0")+1)/2)</f>
        <v/>
      </c>
      <c r="Z172" s="27">
        <f>IF(ISNUMBER($V172),$A172&amp;"|"&amp;$V172,"")</f>
        <v/>
      </c>
      <c r="AA172" s="27">
        <f>IF(ISNUMBER($W172),$A172&amp;"|"&amp;$W172,"")</f>
        <v/>
      </c>
      <c r="AB172" s="27">
        <f>IF(ISNUMBER($F172),$A172&amp;"|"&amp;$F172,"")</f>
        <v/>
      </c>
      <c r="AC172" s="27">
        <f>IF(ISNUMBER($P172),COUNTIFS($A$14:$A$1213,$A172,$P$14:$P$1213,"&gt;"&amp;$P172)+(COUNTIFS($A$14:$A$1213,$A172,$P$14:$P$1213,"="&amp;$P172)+1)/2,"")</f>
        <v/>
      </c>
      <c r="AD172" s="27">
        <f>IF(ISNUMBER($Q172),COUNTIFS($A$14:$A$1213,$A172,$Q$14:$Q$1213,"&gt;"&amp;$Q172)+(COUNTIFS($A$14:$A$1213,$A172,$Q$14:$Q$1213,"="&amp;$Q172)+1)/2,"")</f>
        <v/>
      </c>
      <c r="AE172" s="27">
        <f>IF(ISNUMBER($R172),COUNTIFS($A$14:$A$1213,$A172,$R$14:$R$1213,"&gt;"&amp;$R172)+(COUNTIFS($A$14:$A$1213,$A172,$R$14:$R$1213,"="&amp;$R172)+1)/2,"")</f>
        <v/>
      </c>
      <c r="AF172" s="27">
        <f>IF(ISNUMBER($S172),COUNTIFS($A$14:$A$1213,$A172,$S$14:$S$1213,"&gt;"&amp;$S172)+(COUNTIFS($A$14:$A$1213,$A172,$S$14:$S$1213,"="&amp;$S172)+1)/2,"")</f>
        <v/>
      </c>
      <c r="AG172" s="27">
        <f>IF(ISNUMBER($T172),COUNTIFS($A$14:$A$1213,$A172,$T$14:$T$1213,"&gt;"&amp;$T172)+(COUNTIFS($A$14:$A$1213,$A172,$T$14:$T$1213,"="&amp;$T172)+1)/2,"")</f>
        <v/>
      </c>
      <c r="AH172" s="27">
        <f>IF(COUNT($AC172:$AG172)&lt;2,"",IF(MAX($AC172:$AG172)=MIN($AC172:$AG172),0,1))</f>
        <v/>
      </c>
      <c r="AI172" s="27">
        <f>IF($A172="","",IF(COUNTIF($A$14:$A172,$A172)=1,COUNTIF($AI$13:AI171,"&gt;0")+1,""))</f>
        <v/>
      </c>
      <c r="AJ172" s="27">
        <f>IF(OR($H172="",COUNTIFS($A$14:$A$1213,$H172,$F$14:$F$1213,"&gt;=0")&lt;2,COUNTIFS($A$14:$A$1213,$H172,$F$14:$F$1213,_xlfn.MAXIFS($F$14:$F$1213,$A$14:$A$1213,$H172))&gt;1),"",IFERROR(INDEX($D$14:$D$1213,MATCH($H172&amp;"|"&amp;_xlfn.MAXIFS($F$14:$F$1213,$A$14:$A$1213,$H172),$AB$14:$AB$1213,0)),""))</f>
        <v/>
      </c>
      <c r="AK172" s="27">
        <f>IF(OR($H172="",COUNTIFS($A$14:$A$1213,$H172,$F$14:$F$1213,"&gt;=0")&lt;2,COUNTIFS($A$14:$A$1213,$H172,$F$14:$F$1213,_xlfn.MAXIFS($F$14:$F$1213,$A$14:$A$1213,$H172))&gt;1),"",IFERROR(INDEX($E$14:$E$1213,MATCH($H172&amp;"|"&amp;_xlfn.MAXIFS($F$14:$F$1213,$A$14:$A$1213,$H172),$AB$14:$AB$1213,0)),""))</f>
        <v/>
      </c>
      <c r="AL172" s="27">
        <f>IF(OR($H172="",COUNTIFS($A$14:$A$1213,$H172,$F$14:$F$1213,"&gt;=0")&lt;2,COUNTIFS($A$14:$A$1213,$H172,$F$14:$F$1213,_xlfn.MAXIFS($F$14:$F$1213,$A$14:$A$1213,$H172))&gt;1),"",IFERROR(INDEX($D$14:$D$1213,MATCH($H172&amp;"|"&amp;_xlfn.MAXIFS($F$14:$F$1213,$A$14:$A$1213,$H172,$F$14:$F$1213,"&lt;"&amp;_xlfn.MAXIFS($F$14:$F$1213,$A$14:$A$1213,$H172)),$AB$14:$AB$1213,0)),""))</f>
        <v/>
      </c>
      <c r="AM172" s="27">
        <f>IF(OR($H172="",COUNTIFS($A$14:$A$1213,$H172,$F$14:$F$1213,"&gt;=0")&lt;2,COUNTIFS($A$14:$A$1213,$H172,$F$14:$F$1213,_xlfn.MAXIFS($F$14:$F$1213,$A$14:$A$1213,$H172))&gt;1),"",IFERROR(INDEX($E$14:$E$1213,MATCH($H172&amp;"|"&amp;_xlfn.MAXIFS($F$14:$F$1213,$A$14:$A$1213,$H172,$F$14:$F$1213,"&lt;"&amp;_xlfn.MAXIFS($F$14:$F$1213,$A$14:$A$1213,$H172)),$AB$14:$AB$1213,0)),""))</f>
        <v/>
      </c>
      <c r="AN172" s="27">
        <f>IF(OR(NOT(ISNUMBER($AJ172)),NOT(ISNUMBER($AL172)),$AK172=0,$AM172=0),"",IF(OR((($AJ172+$AL172)/($AK172+$AM172))&lt;=0,(($AJ172+$AL172)/($AK172+$AM172))&gt;=1),"",($AJ172/$AK172-$AL172/$AM172)/SQRT((($AJ172+$AL172)/($AK172+$AM172))*(1-(($AJ172+$AL172)/($AK172+$AM172)))*(1/$AK172+1/$AM172))))</f>
        <v/>
      </c>
      <c r="AO172" s="27">
        <f>IF($A172="","",IF(AND(COUNTIFS($A$14:$A$1213,$A172,$F$14:$F$1213,"&gt;=0")=2,IFERROR(INDEX($M$14:$M$313,MATCH($A172,$H$14:$H$313,0)),"Yes")&lt;&gt;"Yes"),1,0))</f>
        <v/>
      </c>
    </row>
    <row r="173" ht="24" customHeight="1">
      <c r="A173" s="19">
        <f>IF('Enter messages'!A173="","",'Enter messages'!A173)</f>
        <v/>
      </c>
      <c r="B173" s="20">
        <f>IF('Enter messages'!B173="","",'Enter messages'!B173)</f>
        <v/>
      </c>
      <c r="C173" s="21">
        <f>IFERROR(AVERAGE(P173:T173),"")</f>
        <v/>
      </c>
      <c r="D173" s="29" t="n"/>
      <c r="E173" s="29" t="n"/>
      <c r="F173" s="30">
        <f>IF(AND(ISNUMBER($D173),ISNUMBER($E173),$E173&gt;0,$D173&lt;=$E173),$D173/$E173,"")</f>
        <v/>
      </c>
      <c r="H173" s="19">
        <f>IFERROR(INDEX($A$14:$A$1213,MATCH(160,$AI$14:$AI$1213,0)),"")</f>
        <v/>
      </c>
      <c r="I173" s="24">
        <f>IF($H173="","",IF(COUNTIFS($A$14:$A$1213,$H173,$C$14:$C$1213,"&gt;=0")=0,"—",IFERROR(INDEX($B$14:$B$1213,MATCH($H173&amp;"|1",$Z$14:$Z$1213,0)),"(tied)")))</f>
        <v/>
      </c>
      <c r="J173" s="25">
        <f>IF($H173="","",IF(OR(COUNTIFS($A$14:$A$1213,$H173,$C$14:$C$1213,"&gt;=0")=0,COUNTIFS($A$14:$A$1213,$H173,$F$14:$F$1213,"&gt;=0")=0),"—",IF(OR(ISERROR(MATCH($H173&amp;"|1",$Z$14:$Z$1213,0)),ISERROR(MATCH($H173&amp;"|1",$AA$14:$AA$1213,0))),"Tie",IF(MATCH($H173&amp;"|1",$Z$14:$Z$1213,0)=MATCH($H173&amp;"|1",$AA$14:$AA$1213,0),"Hit","Miss"))))</f>
        <v/>
      </c>
      <c r="K173" s="24">
        <f>IF($H173="","",IF(COUNTIFS($A$14:$A$1213,$H173,$F$14:$F$1213,"&gt;=0")=0,"—",IFERROR(INDEX($B$14:$B$1213,MATCH($H173&amp;"|1",$AA$14:$AA$1213,0)),"(tied)")))</f>
        <v/>
      </c>
      <c r="L173" s="25">
        <f>IF($H173="","",IF((--(COUNTIFS($A$14:$A$1213,$H173,$P$14:$P$1213,"&gt;=0")&gt;0)+--(COUNTIFS($A$14:$A$1213,$H173,$Q$14:$Q$1213,"&gt;=0")&gt;0)+--(COUNTIFS($A$14:$A$1213,$H173,$R$14:$R$1213,"&gt;=0")&gt;0)+--(COUNTIFS($A$14:$A$1213,$H173,$S$14:$S$1213,"&gt;=0")&gt;0)+--(COUNTIFS($A$14:$A$1213,$H173,$T$14:$T$1213,"&gt;=0")&gt;0))&lt;2,"—",IF(SUMIFS($AH$14:$AH$1213,$A$14:$A$1213,$H173)=0,"Yes","No")))</f>
        <v/>
      </c>
      <c r="M173" s="25">
        <f>IF($H173="","",IF(COUNTIFS($A$14:$A$1213,$H173,$F$14:$F$1213,"&gt;=0")&lt;2,"—",IF(COUNTIFS($A$14:$A$1213,$H173,$F$14:$F$1213,_xlfn.MAXIFS($F$14:$F$1213,$A$14:$A$1213,$H173))&gt;1,"No",IF(NOT(ISNUMBER($AN173)),"—",IF((2*(1-NORMSDIST(ABS($AN173))))&lt;0.05,"Yes","No")))))</f>
        <v/>
      </c>
      <c r="N173" s="21">
        <f>IF($H173="","",IF(NOT(ISNUMBER($AN173)),"—",IF((2*(1-NORMSDIST(ABS($AN173))))&lt;0.001,"&lt;0.001",TEXT((2*(1-NORMSDIST(ABS($AN173)))),"0.000"))))</f>
        <v/>
      </c>
      <c r="P173" s="26" t="n"/>
      <c r="Q173" s="26" t="n"/>
      <c r="R173" s="26" t="n"/>
      <c r="S173" s="26" t="n"/>
      <c r="T173" s="26" t="n"/>
      <c r="V173" s="27">
        <f>IF(ISNUMBER($C173),COUNTIFS($A$14:$A$1213,$A173,$C$14:$C$1213,"&gt;"&amp;$C173)+(COUNTIFS($A$14:$A$1213,$A173,$C$14:$C$1213,"="&amp;$C173)+1)/2,"")</f>
        <v/>
      </c>
      <c r="W173" s="27">
        <f>IF(ISNUMBER($F173),COUNTIFS($A$14:$A$1213,$A173,$F$14:$F$1213,"&gt;"&amp;$F173)+(COUNTIFS($A$14:$A$1213,$A173,$F$14:$F$1213,"="&amp;$F173)+1)/2,"")</f>
        <v/>
      </c>
      <c r="X173" s="27">
        <f>IF(OR(NOT(ISNUMBER($V173)),$AO173=1),"",$V173-(COUNTIFS($A$14:$A$1213,$A173,$C$14:$C$1213,"&gt;=0")+1)/2)</f>
        <v/>
      </c>
      <c r="Y173" s="27">
        <f>IF(OR(NOT(ISNUMBER($W173)),$AO173=1),"",$W173-(COUNTIFS($A$14:$A$1213,$A173,$F$14:$F$1213,"&gt;=0")+1)/2)</f>
        <v/>
      </c>
      <c r="Z173" s="27">
        <f>IF(ISNUMBER($V173),$A173&amp;"|"&amp;$V173,"")</f>
        <v/>
      </c>
      <c r="AA173" s="27">
        <f>IF(ISNUMBER($W173),$A173&amp;"|"&amp;$W173,"")</f>
        <v/>
      </c>
      <c r="AB173" s="27">
        <f>IF(ISNUMBER($F173),$A173&amp;"|"&amp;$F173,"")</f>
        <v/>
      </c>
      <c r="AC173" s="27">
        <f>IF(ISNUMBER($P173),COUNTIFS($A$14:$A$1213,$A173,$P$14:$P$1213,"&gt;"&amp;$P173)+(COUNTIFS($A$14:$A$1213,$A173,$P$14:$P$1213,"="&amp;$P173)+1)/2,"")</f>
        <v/>
      </c>
      <c r="AD173" s="27">
        <f>IF(ISNUMBER($Q173),COUNTIFS($A$14:$A$1213,$A173,$Q$14:$Q$1213,"&gt;"&amp;$Q173)+(COUNTIFS($A$14:$A$1213,$A173,$Q$14:$Q$1213,"="&amp;$Q173)+1)/2,"")</f>
        <v/>
      </c>
      <c r="AE173" s="27">
        <f>IF(ISNUMBER($R173),COUNTIFS($A$14:$A$1213,$A173,$R$14:$R$1213,"&gt;"&amp;$R173)+(COUNTIFS($A$14:$A$1213,$A173,$R$14:$R$1213,"="&amp;$R173)+1)/2,"")</f>
        <v/>
      </c>
      <c r="AF173" s="27">
        <f>IF(ISNUMBER($S173),COUNTIFS($A$14:$A$1213,$A173,$S$14:$S$1213,"&gt;"&amp;$S173)+(COUNTIFS($A$14:$A$1213,$A173,$S$14:$S$1213,"="&amp;$S173)+1)/2,"")</f>
        <v/>
      </c>
      <c r="AG173" s="27">
        <f>IF(ISNUMBER($T173),COUNTIFS($A$14:$A$1213,$A173,$T$14:$T$1213,"&gt;"&amp;$T173)+(COUNTIFS($A$14:$A$1213,$A173,$T$14:$T$1213,"="&amp;$T173)+1)/2,"")</f>
        <v/>
      </c>
      <c r="AH173" s="27">
        <f>IF(COUNT($AC173:$AG173)&lt;2,"",IF(MAX($AC173:$AG173)=MIN($AC173:$AG173),0,1))</f>
        <v/>
      </c>
      <c r="AI173" s="27">
        <f>IF($A173="","",IF(COUNTIF($A$14:$A173,$A173)=1,COUNTIF($AI$13:AI172,"&gt;0")+1,""))</f>
        <v/>
      </c>
      <c r="AJ173" s="27">
        <f>IF(OR($H173="",COUNTIFS($A$14:$A$1213,$H173,$F$14:$F$1213,"&gt;=0")&lt;2,COUNTIFS($A$14:$A$1213,$H173,$F$14:$F$1213,_xlfn.MAXIFS($F$14:$F$1213,$A$14:$A$1213,$H173))&gt;1),"",IFERROR(INDEX($D$14:$D$1213,MATCH($H173&amp;"|"&amp;_xlfn.MAXIFS($F$14:$F$1213,$A$14:$A$1213,$H173),$AB$14:$AB$1213,0)),""))</f>
        <v/>
      </c>
      <c r="AK173" s="27">
        <f>IF(OR($H173="",COUNTIFS($A$14:$A$1213,$H173,$F$14:$F$1213,"&gt;=0")&lt;2,COUNTIFS($A$14:$A$1213,$H173,$F$14:$F$1213,_xlfn.MAXIFS($F$14:$F$1213,$A$14:$A$1213,$H173))&gt;1),"",IFERROR(INDEX($E$14:$E$1213,MATCH($H173&amp;"|"&amp;_xlfn.MAXIFS($F$14:$F$1213,$A$14:$A$1213,$H173),$AB$14:$AB$1213,0)),""))</f>
        <v/>
      </c>
      <c r="AL173" s="27">
        <f>IF(OR($H173="",COUNTIFS($A$14:$A$1213,$H173,$F$14:$F$1213,"&gt;=0")&lt;2,COUNTIFS($A$14:$A$1213,$H173,$F$14:$F$1213,_xlfn.MAXIFS($F$14:$F$1213,$A$14:$A$1213,$H173))&gt;1),"",IFERROR(INDEX($D$14:$D$1213,MATCH($H173&amp;"|"&amp;_xlfn.MAXIFS($F$14:$F$1213,$A$14:$A$1213,$H173,$F$14:$F$1213,"&lt;"&amp;_xlfn.MAXIFS($F$14:$F$1213,$A$14:$A$1213,$H173)),$AB$14:$AB$1213,0)),""))</f>
        <v/>
      </c>
      <c r="AM173" s="27">
        <f>IF(OR($H173="",COUNTIFS($A$14:$A$1213,$H173,$F$14:$F$1213,"&gt;=0")&lt;2,COUNTIFS($A$14:$A$1213,$H173,$F$14:$F$1213,_xlfn.MAXIFS($F$14:$F$1213,$A$14:$A$1213,$H173))&gt;1),"",IFERROR(INDEX($E$14:$E$1213,MATCH($H173&amp;"|"&amp;_xlfn.MAXIFS($F$14:$F$1213,$A$14:$A$1213,$H173,$F$14:$F$1213,"&lt;"&amp;_xlfn.MAXIFS($F$14:$F$1213,$A$14:$A$1213,$H173)),$AB$14:$AB$1213,0)),""))</f>
        <v/>
      </c>
      <c r="AN173" s="27">
        <f>IF(OR(NOT(ISNUMBER($AJ173)),NOT(ISNUMBER($AL173)),$AK173=0,$AM173=0),"",IF(OR((($AJ173+$AL173)/($AK173+$AM173))&lt;=0,(($AJ173+$AL173)/($AK173+$AM173))&gt;=1),"",($AJ173/$AK173-$AL173/$AM173)/SQRT((($AJ173+$AL173)/($AK173+$AM173))*(1-(($AJ173+$AL173)/($AK173+$AM173)))*(1/$AK173+1/$AM173))))</f>
        <v/>
      </c>
      <c r="AO173" s="27">
        <f>IF($A173="","",IF(AND(COUNTIFS($A$14:$A$1213,$A173,$F$14:$F$1213,"&gt;=0")=2,IFERROR(INDEX($M$14:$M$313,MATCH($A173,$H$14:$H$313,0)),"Yes")&lt;&gt;"Yes"),1,0))</f>
        <v/>
      </c>
    </row>
    <row r="174" ht="24" customHeight="1">
      <c r="A174" s="19">
        <f>IF('Enter messages'!A174="","",'Enter messages'!A174)</f>
        <v/>
      </c>
      <c r="B174" s="20">
        <f>IF('Enter messages'!B174="","",'Enter messages'!B174)</f>
        <v/>
      </c>
      <c r="C174" s="21">
        <f>IFERROR(AVERAGE(P174:T174),"")</f>
        <v/>
      </c>
      <c r="D174" s="29" t="n"/>
      <c r="E174" s="29" t="n"/>
      <c r="F174" s="30">
        <f>IF(AND(ISNUMBER($D174),ISNUMBER($E174),$E174&gt;0,$D174&lt;=$E174),$D174/$E174,"")</f>
        <v/>
      </c>
      <c r="H174" s="19">
        <f>IFERROR(INDEX($A$14:$A$1213,MATCH(161,$AI$14:$AI$1213,0)),"")</f>
        <v/>
      </c>
      <c r="I174" s="24">
        <f>IF($H174="","",IF(COUNTIFS($A$14:$A$1213,$H174,$C$14:$C$1213,"&gt;=0")=0,"—",IFERROR(INDEX($B$14:$B$1213,MATCH($H174&amp;"|1",$Z$14:$Z$1213,0)),"(tied)")))</f>
        <v/>
      </c>
      <c r="J174" s="25">
        <f>IF($H174="","",IF(OR(COUNTIFS($A$14:$A$1213,$H174,$C$14:$C$1213,"&gt;=0")=0,COUNTIFS($A$14:$A$1213,$H174,$F$14:$F$1213,"&gt;=0")=0),"—",IF(OR(ISERROR(MATCH($H174&amp;"|1",$Z$14:$Z$1213,0)),ISERROR(MATCH($H174&amp;"|1",$AA$14:$AA$1213,0))),"Tie",IF(MATCH($H174&amp;"|1",$Z$14:$Z$1213,0)=MATCH($H174&amp;"|1",$AA$14:$AA$1213,0),"Hit","Miss"))))</f>
        <v/>
      </c>
      <c r="K174" s="24">
        <f>IF($H174="","",IF(COUNTIFS($A$14:$A$1213,$H174,$F$14:$F$1213,"&gt;=0")=0,"—",IFERROR(INDEX($B$14:$B$1213,MATCH($H174&amp;"|1",$AA$14:$AA$1213,0)),"(tied)")))</f>
        <v/>
      </c>
      <c r="L174" s="25">
        <f>IF($H174="","",IF((--(COUNTIFS($A$14:$A$1213,$H174,$P$14:$P$1213,"&gt;=0")&gt;0)+--(COUNTIFS($A$14:$A$1213,$H174,$Q$14:$Q$1213,"&gt;=0")&gt;0)+--(COUNTIFS($A$14:$A$1213,$H174,$R$14:$R$1213,"&gt;=0")&gt;0)+--(COUNTIFS($A$14:$A$1213,$H174,$S$14:$S$1213,"&gt;=0")&gt;0)+--(COUNTIFS($A$14:$A$1213,$H174,$T$14:$T$1213,"&gt;=0")&gt;0))&lt;2,"—",IF(SUMIFS($AH$14:$AH$1213,$A$14:$A$1213,$H174)=0,"Yes","No")))</f>
        <v/>
      </c>
      <c r="M174" s="25">
        <f>IF($H174="","",IF(COUNTIFS($A$14:$A$1213,$H174,$F$14:$F$1213,"&gt;=0")&lt;2,"—",IF(COUNTIFS($A$14:$A$1213,$H174,$F$14:$F$1213,_xlfn.MAXIFS($F$14:$F$1213,$A$14:$A$1213,$H174))&gt;1,"No",IF(NOT(ISNUMBER($AN174)),"—",IF((2*(1-NORMSDIST(ABS($AN174))))&lt;0.05,"Yes","No")))))</f>
        <v/>
      </c>
      <c r="N174" s="21">
        <f>IF($H174="","",IF(NOT(ISNUMBER($AN174)),"—",IF((2*(1-NORMSDIST(ABS($AN174))))&lt;0.001,"&lt;0.001",TEXT((2*(1-NORMSDIST(ABS($AN174)))),"0.000"))))</f>
        <v/>
      </c>
      <c r="P174" s="26" t="n"/>
      <c r="Q174" s="26" t="n"/>
      <c r="R174" s="26" t="n"/>
      <c r="S174" s="26" t="n"/>
      <c r="T174" s="26" t="n"/>
      <c r="V174" s="27">
        <f>IF(ISNUMBER($C174),COUNTIFS($A$14:$A$1213,$A174,$C$14:$C$1213,"&gt;"&amp;$C174)+(COUNTIFS($A$14:$A$1213,$A174,$C$14:$C$1213,"="&amp;$C174)+1)/2,"")</f>
        <v/>
      </c>
      <c r="W174" s="27">
        <f>IF(ISNUMBER($F174),COUNTIFS($A$14:$A$1213,$A174,$F$14:$F$1213,"&gt;"&amp;$F174)+(COUNTIFS($A$14:$A$1213,$A174,$F$14:$F$1213,"="&amp;$F174)+1)/2,"")</f>
        <v/>
      </c>
      <c r="X174" s="27">
        <f>IF(OR(NOT(ISNUMBER($V174)),$AO174=1),"",$V174-(COUNTIFS($A$14:$A$1213,$A174,$C$14:$C$1213,"&gt;=0")+1)/2)</f>
        <v/>
      </c>
      <c r="Y174" s="27">
        <f>IF(OR(NOT(ISNUMBER($W174)),$AO174=1),"",$W174-(COUNTIFS($A$14:$A$1213,$A174,$F$14:$F$1213,"&gt;=0")+1)/2)</f>
        <v/>
      </c>
      <c r="Z174" s="27">
        <f>IF(ISNUMBER($V174),$A174&amp;"|"&amp;$V174,"")</f>
        <v/>
      </c>
      <c r="AA174" s="27">
        <f>IF(ISNUMBER($W174),$A174&amp;"|"&amp;$W174,"")</f>
        <v/>
      </c>
      <c r="AB174" s="27">
        <f>IF(ISNUMBER($F174),$A174&amp;"|"&amp;$F174,"")</f>
        <v/>
      </c>
      <c r="AC174" s="27">
        <f>IF(ISNUMBER($P174),COUNTIFS($A$14:$A$1213,$A174,$P$14:$P$1213,"&gt;"&amp;$P174)+(COUNTIFS($A$14:$A$1213,$A174,$P$14:$P$1213,"="&amp;$P174)+1)/2,"")</f>
        <v/>
      </c>
      <c r="AD174" s="27">
        <f>IF(ISNUMBER($Q174),COUNTIFS($A$14:$A$1213,$A174,$Q$14:$Q$1213,"&gt;"&amp;$Q174)+(COUNTIFS($A$14:$A$1213,$A174,$Q$14:$Q$1213,"="&amp;$Q174)+1)/2,"")</f>
        <v/>
      </c>
      <c r="AE174" s="27">
        <f>IF(ISNUMBER($R174),COUNTIFS($A$14:$A$1213,$A174,$R$14:$R$1213,"&gt;"&amp;$R174)+(COUNTIFS($A$14:$A$1213,$A174,$R$14:$R$1213,"="&amp;$R174)+1)/2,"")</f>
        <v/>
      </c>
      <c r="AF174" s="27">
        <f>IF(ISNUMBER($S174),COUNTIFS($A$14:$A$1213,$A174,$S$14:$S$1213,"&gt;"&amp;$S174)+(COUNTIFS($A$14:$A$1213,$A174,$S$14:$S$1213,"="&amp;$S174)+1)/2,"")</f>
        <v/>
      </c>
      <c r="AG174" s="27">
        <f>IF(ISNUMBER($T174),COUNTIFS($A$14:$A$1213,$A174,$T$14:$T$1213,"&gt;"&amp;$T174)+(COUNTIFS($A$14:$A$1213,$A174,$T$14:$T$1213,"="&amp;$T174)+1)/2,"")</f>
        <v/>
      </c>
      <c r="AH174" s="27">
        <f>IF(COUNT($AC174:$AG174)&lt;2,"",IF(MAX($AC174:$AG174)=MIN($AC174:$AG174),0,1))</f>
        <v/>
      </c>
      <c r="AI174" s="27">
        <f>IF($A174="","",IF(COUNTIF($A$14:$A174,$A174)=1,COUNTIF($AI$13:AI173,"&gt;0")+1,""))</f>
        <v/>
      </c>
      <c r="AJ174" s="27">
        <f>IF(OR($H174="",COUNTIFS($A$14:$A$1213,$H174,$F$14:$F$1213,"&gt;=0")&lt;2,COUNTIFS($A$14:$A$1213,$H174,$F$14:$F$1213,_xlfn.MAXIFS($F$14:$F$1213,$A$14:$A$1213,$H174))&gt;1),"",IFERROR(INDEX($D$14:$D$1213,MATCH($H174&amp;"|"&amp;_xlfn.MAXIFS($F$14:$F$1213,$A$14:$A$1213,$H174),$AB$14:$AB$1213,0)),""))</f>
        <v/>
      </c>
      <c r="AK174" s="27">
        <f>IF(OR($H174="",COUNTIFS($A$14:$A$1213,$H174,$F$14:$F$1213,"&gt;=0")&lt;2,COUNTIFS($A$14:$A$1213,$H174,$F$14:$F$1213,_xlfn.MAXIFS($F$14:$F$1213,$A$14:$A$1213,$H174))&gt;1),"",IFERROR(INDEX($E$14:$E$1213,MATCH($H174&amp;"|"&amp;_xlfn.MAXIFS($F$14:$F$1213,$A$14:$A$1213,$H174),$AB$14:$AB$1213,0)),""))</f>
        <v/>
      </c>
      <c r="AL174" s="27">
        <f>IF(OR($H174="",COUNTIFS($A$14:$A$1213,$H174,$F$14:$F$1213,"&gt;=0")&lt;2,COUNTIFS($A$14:$A$1213,$H174,$F$14:$F$1213,_xlfn.MAXIFS($F$14:$F$1213,$A$14:$A$1213,$H174))&gt;1),"",IFERROR(INDEX($D$14:$D$1213,MATCH($H174&amp;"|"&amp;_xlfn.MAXIFS($F$14:$F$1213,$A$14:$A$1213,$H174,$F$14:$F$1213,"&lt;"&amp;_xlfn.MAXIFS($F$14:$F$1213,$A$14:$A$1213,$H174)),$AB$14:$AB$1213,0)),""))</f>
        <v/>
      </c>
      <c r="AM174" s="27">
        <f>IF(OR($H174="",COUNTIFS($A$14:$A$1213,$H174,$F$14:$F$1213,"&gt;=0")&lt;2,COUNTIFS($A$14:$A$1213,$H174,$F$14:$F$1213,_xlfn.MAXIFS($F$14:$F$1213,$A$14:$A$1213,$H174))&gt;1),"",IFERROR(INDEX($E$14:$E$1213,MATCH($H174&amp;"|"&amp;_xlfn.MAXIFS($F$14:$F$1213,$A$14:$A$1213,$H174,$F$14:$F$1213,"&lt;"&amp;_xlfn.MAXIFS($F$14:$F$1213,$A$14:$A$1213,$H174)),$AB$14:$AB$1213,0)),""))</f>
        <v/>
      </c>
      <c r="AN174" s="27">
        <f>IF(OR(NOT(ISNUMBER($AJ174)),NOT(ISNUMBER($AL174)),$AK174=0,$AM174=0),"",IF(OR((($AJ174+$AL174)/($AK174+$AM174))&lt;=0,(($AJ174+$AL174)/($AK174+$AM174))&gt;=1),"",($AJ174/$AK174-$AL174/$AM174)/SQRT((($AJ174+$AL174)/($AK174+$AM174))*(1-(($AJ174+$AL174)/($AK174+$AM174)))*(1/$AK174+1/$AM174))))</f>
        <v/>
      </c>
      <c r="AO174" s="27">
        <f>IF($A174="","",IF(AND(COUNTIFS($A$14:$A$1213,$A174,$F$14:$F$1213,"&gt;=0")=2,IFERROR(INDEX($M$14:$M$313,MATCH($A174,$H$14:$H$313,0)),"Yes")&lt;&gt;"Yes"),1,0))</f>
        <v/>
      </c>
    </row>
    <row r="175" ht="24" customHeight="1">
      <c r="A175" s="19">
        <f>IF('Enter messages'!A175="","",'Enter messages'!A175)</f>
        <v/>
      </c>
      <c r="B175" s="20">
        <f>IF('Enter messages'!B175="","",'Enter messages'!B175)</f>
        <v/>
      </c>
      <c r="C175" s="21">
        <f>IFERROR(AVERAGE(P175:T175),"")</f>
        <v/>
      </c>
      <c r="D175" s="29" t="n"/>
      <c r="E175" s="29" t="n"/>
      <c r="F175" s="30">
        <f>IF(AND(ISNUMBER($D175),ISNUMBER($E175),$E175&gt;0,$D175&lt;=$E175),$D175/$E175,"")</f>
        <v/>
      </c>
      <c r="H175" s="19">
        <f>IFERROR(INDEX($A$14:$A$1213,MATCH(162,$AI$14:$AI$1213,0)),"")</f>
        <v/>
      </c>
      <c r="I175" s="24">
        <f>IF($H175="","",IF(COUNTIFS($A$14:$A$1213,$H175,$C$14:$C$1213,"&gt;=0")=0,"—",IFERROR(INDEX($B$14:$B$1213,MATCH($H175&amp;"|1",$Z$14:$Z$1213,0)),"(tied)")))</f>
        <v/>
      </c>
      <c r="J175" s="25">
        <f>IF($H175="","",IF(OR(COUNTIFS($A$14:$A$1213,$H175,$C$14:$C$1213,"&gt;=0")=0,COUNTIFS($A$14:$A$1213,$H175,$F$14:$F$1213,"&gt;=0")=0),"—",IF(OR(ISERROR(MATCH($H175&amp;"|1",$Z$14:$Z$1213,0)),ISERROR(MATCH($H175&amp;"|1",$AA$14:$AA$1213,0))),"Tie",IF(MATCH($H175&amp;"|1",$Z$14:$Z$1213,0)=MATCH($H175&amp;"|1",$AA$14:$AA$1213,0),"Hit","Miss"))))</f>
        <v/>
      </c>
      <c r="K175" s="24">
        <f>IF($H175="","",IF(COUNTIFS($A$14:$A$1213,$H175,$F$14:$F$1213,"&gt;=0")=0,"—",IFERROR(INDEX($B$14:$B$1213,MATCH($H175&amp;"|1",$AA$14:$AA$1213,0)),"(tied)")))</f>
        <v/>
      </c>
      <c r="L175" s="25">
        <f>IF($H175="","",IF((--(COUNTIFS($A$14:$A$1213,$H175,$P$14:$P$1213,"&gt;=0")&gt;0)+--(COUNTIFS($A$14:$A$1213,$H175,$Q$14:$Q$1213,"&gt;=0")&gt;0)+--(COUNTIFS($A$14:$A$1213,$H175,$R$14:$R$1213,"&gt;=0")&gt;0)+--(COUNTIFS($A$14:$A$1213,$H175,$S$14:$S$1213,"&gt;=0")&gt;0)+--(COUNTIFS($A$14:$A$1213,$H175,$T$14:$T$1213,"&gt;=0")&gt;0))&lt;2,"—",IF(SUMIFS($AH$14:$AH$1213,$A$14:$A$1213,$H175)=0,"Yes","No")))</f>
        <v/>
      </c>
      <c r="M175" s="25">
        <f>IF($H175="","",IF(COUNTIFS($A$14:$A$1213,$H175,$F$14:$F$1213,"&gt;=0")&lt;2,"—",IF(COUNTIFS($A$14:$A$1213,$H175,$F$14:$F$1213,_xlfn.MAXIFS($F$14:$F$1213,$A$14:$A$1213,$H175))&gt;1,"No",IF(NOT(ISNUMBER($AN175)),"—",IF((2*(1-NORMSDIST(ABS($AN175))))&lt;0.05,"Yes","No")))))</f>
        <v/>
      </c>
      <c r="N175" s="21">
        <f>IF($H175="","",IF(NOT(ISNUMBER($AN175)),"—",IF((2*(1-NORMSDIST(ABS($AN175))))&lt;0.001,"&lt;0.001",TEXT((2*(1-NORMSDIST(ABS($AN175)))),"0.000"))))</f>
        <v/>
      </c>
      <c r="P175" s="26" t="n"/>
      <c r="Q175" s="26" t="n"/>
      <c r="R175" s="26" t="n"/>
      <c r="S175" s="26" t="n"/>
      <c r="T175" s="26" t="n"/>
      <c r="V175" s="27">
        <f>IF(ISNUMBER($C175),COUNTIFS($A$14:$A$1213,$A175,$C$14:$C$1213,"&gt;"&amp;$C175)+(COUNTIFS($A$14:$A$1213,$A175,$C$14:$C$1213,"="&amp;$C175)+1)/2,"")</f>
        <v/>
      </c>
      <c r="W175" s="27">
        <f>IF(ISNUMBER($F175),COUNTIFS($A$14:$A$1213,$A175,$F$14:$F$1213,"&gt;"&amp;$F175)+(COUNTIFS($A$14:$A$1213,$A175,$F$14:$F$1213,"="&amp;$F175)+1)/2,"")</f>
        <v/>
      </c>
      <c r="X175" s="27">
        <f>IF(OR(NOT(ISNUMBER($V175)),$AO175=1),"",$V175-(COUNTIFS($A$14:$A$1213,$A175,$C$14:$C$1213,"&gt;=0")+1)/2)</f>
        <v/>
      </c>
      <c r="Y175" s="27">
        <f>IF(OR(NOT(ISNUMBER($W175)),$AO175=1),"",$W175-(COUNTIFS($A$14:$A$1213,$A175,$F$14:$F$1213,"&gt;=0")+1)/2)</f>
        <v/>
      </c>
      <c r="Z175" s="27">
        <f>IF(ISNUMBER($V175),$A175&amp;"|"&amp;$V175,"")</f>
        <v/>
      </c>
      <c r="AA175" s="27">
        <f>IF(ISNUMBER($W175),$A175&amp;"|"&amp;$W175,"")</f>
        <v/>
      </c>
      <c r="AB175" s="27">
        <f>IF(ISNUMBER($F175),$A175&amp;"|"&amp;$F175,"")</f>
        <v/>
      </c>
      <c r="AC175" s="27">
        <f>IF(ISNUMBER($P175),COUNTIFS($A$14:$A$1213,$A175,$P$14:$P$1213,"&gt;"&amp;$P175)+(COUNTIFS($A$14:$A$1213,$A175,$P$14:$P$1213,"="&amp;$P175)+1)/2,"")</f>
        <v/>
      </c>
      <c r="AD175" s="27">
        <f>IF(ISNUMBER($Q175),COUNTIFS($A$14:$A$1213,$A175,$Q$14:$Q$1213,"&gt;"&amp;$Q175)+(COUNTIFS($A$14:$A$1213,$A175,$Q$14:$Q$1213,"="&amp;$Q175)+1)/2,"")</f>
        <v/>
      </c>
      <c r="AE175" s="27">
        <f>IF(ISNUMBER($R175),COUNTIFS($A$14:$A$1213,$A175,$R$14:$R$1213,"&gt;"&amp;$R175)+(COUNTIFS($A$14:$A$1213,$A175,$R$14:$R$1213,"="&amp;$R175)+1)/2,"")</f>
        <v/>
      </c>
      <c r="AF175" s="27">
        <f>IF(ISNUMBER($S175),COUNTIFS($A$14:$A$1213,$A175,$S$14:$S$1213,"&gt;"&amp;$S175)+(COUNTIFS($A$14:$A$1213,$A175,$S$14:$S$1213,"="&amp;$S175)+1)/2,"")</f>
        <v/>
      </c>
      <c r="AG175" s="27">
        <f>IF(ISNUMBER($T175),COUNTIFS($A$14:$A$1213,$A175,$T$14:$T$1213,"&gt;"&amp;$T175)+(COUNTIFS($A$14:$A$1213,$A175,$T$14:$T$1213,"="&amp;$T175)+1)/2,"")</f>
        <v/>
      </c>
      <c r="AH175" s="27">
        <f>IF(COUNT($AC175:$AG175)&lt;2,"",IF(MAX($AC175:$AG175)=MIN($AC175:$AG175),0,1))</f>
        <v/>
      </c>
      <c r="AI175" s="27">
        <f>IF($A175="","",IF(COUNTIF($A$14:$A175,$A175)=1,COUNTIF($AI$13:AI174,"&gt;0")+1,""))</f>
        <v/>
      </c>
      <c r="AJ175" s="27">
        <f>IF(OR($H175="",COUNTIFS($A$14:$A$1213,$H175,$F$14:$F$1213,"&gt;=0")&lt;2,COUNTIFS($A$14:$A$1213,$H175,$F$14:$F$1213,_xlfn.MAXIFS($F$14:$F$1213,$A$14:$A$1213,$H175))&gt;1),"",IFERROR(INDEX($D$14:$D$1213,MATCH($H175&amp;"|"&amp;_xlfn.MAXIFS($F$14:$F$1213,$A$14:$A$1213,$H175),$AB$14:$AB$1213,0)),""))</f>
        <v/>
      </c>
      <c r="AK175" s="27">
        <f>IF(OR($H175="",COUNTIFS($A$14:$A$1213,$H175,$F$14:$F$1213,"&gt;=0")&lt;2,COUNTIFS($A$14:$A$1213,$H175,$F$14:$F$1213,_xlfn.MAXIFS($F$14:$F$1213,$A$14:$A$1213,$H175))&gt;1),"",IFERROR(INDEX($E$14:$E$1213,MATCH($H175&amp;"|"&amp;_xlfn.MAXIFS($F$14:$F$1213,$A$14:$A$1213,$H175),$AB$14:$AB$1213,0)),""))</f>
        <v/>
      </c>
      <c r="AL175" s="27">
        <f>IF(OR($H175="",COUNTIFS($A$14:$A$1213,$H175,$F$14:$F$1213,"&gt;=0")&lt;2,COUNTIFS($A$14:$A$1213,$H175,$F$14:$F$1213,_xlfn.MAXIFS($F$14:$F$1213,$A$14:$A$1213,$H175))&gt;1),"",IFERROR(INDEX($D$14:$D$1213,MATCH($H175&amp;"|"&amp;_xlfn.MAXIFS($F$14:$F$1213,$A$14:$A$1213,$H175,$F$14:$F$1213,"&lt;"&amp;_xlfn.MAXIFS($F$14:$F$1213,$A$14:$A$1213,$H175)),$AB$14:$AB$1213,0)),""))</f>
        <v/>
      </c>
      <c r="AM175" s="27">
        <f>IF(OR($H175="",COUNTIFS($A$14:$A$1213,$H175,$F$14:$F$1213,"&gt;=0")&lt;2,COUNTIFS($A$14:$A$1213,$H175,$F$14:$F$1213,_xlfn.MAXIFS($F$14:$F$1213,$A$14:$A$1213,$H175))&gt;1),"",IFERROR(INDEX($E$14:$E$1213,MATCH($H175&amp;"|"&amp;_xlfn.MAXIFS($F$14:$F$1213,$A$14:$A$1213,$H175,$F$14:$F$1213,"&lt;"&amp;_xlfn.MAXIFS($F$14:$F$1213,$A$14:$A$1213,$H175)),$AB$14:$AB$1213,0)),""))</f>
        <v/>
      </c>
      <c r="AN175" s="27">
        <f>IF(OR(NOT(ISNUMBER($AJ175)),NOT(ISNUMBER($AL175)),$AK175=0,$AM175=0),"",IF(OR((($AJ175+$AL175)/($AK175+$AM175))&lt;=0,(($AJ175+$AL175)/($AK175+$AM175))&gt;=1),"",($AJ175/$AK175-$AL175/$AM175)/SQRT((($AJ175+$AL175)/($AK175+$AM175))*(1-(($AJ175+$AL175)/($AK175+$AM175)))*(1/$AK175+1/$AM175))))</f>
        <v/>
      </c>
      <c r="AO175" s="27">
        <f>IF($A175="","",IF(AND(COUNTIFS($A$14:$A$1213,$A175,$F$14:$F$1213,"&gt;=0")=2,IFERROR(INDEX($M$14:$M$313,MATCH($A175,$H$14:$H$313,0)),"Yes")&lt;&gt;"Yes"),1,0))</f>
        <v/>
      </c>
    </row>
    <row r="176" ht="24" customHeight="1">
      <c r="A176" s="19">
        <f>IF('Enter messages'!A176="","",'Enter messages'!A176)</f>
        <v/>
      </c>
      <c r="B176" s="20">
        <f>IF('Enter messages'!B176="","",'Enter messages'!B176)</f>
        <v/>
      </c>
      <c r="C176" s="21">
        <f>IFERROR(AVERAGE(P176:T176),"")</f>
        <v/>
      </c>
      <c r="D176" s="29" t="n"/>
      <c r="E176" s="29" t="n"/>
      <c r="F176" s="30">
        <f>IF(AND(ISNUMBER($D176),ISNUMBER($E176),$E176&gt;0,$D176&lt;=$E176),$D176/$E176,"")</f>
        <v/>
      </c>
      <c r="H176" s="19">
        <f>IFERROR(INDEX($A$14:$A$1213,MATCH(163,$AI$14:$AI$1213,0)),"")</f>
        <v/>
      </c>
      <c r="I176" s="24">
        <f>IF($H176="","",IF(COUNTIFS($A$14:$A$1213,$H176,$C$14:$C$1213,"&gt;=0")=0,"—",IFERROR(INDEX($B$14:$B$1213,MATCH($H176&amp;"|1",$Z$14:$Z$1213,0)),"(tied)")))</f>
        <v/>
      </c>
      <c r="J176" s="25">
        <f>IF($H176="","",IF(OR(COUNTIFS($A$14:$A$1213,$H176,$C$14:$C$1213,"&gt;=0")=0,COUNTIFS($A$14:$A$1213,$H176,$F$14:$F$1213,"&gt;=0")=0),"—",IF(OR(ISERROR(MATCH($H176&amp;"|1",$Z$14:$Z$1213,0)),ISERROR(MATCH($H176&amp;"|1",$AA$14:$AA$1213,0))),"Tie",IF(MATCH($H176&amp;"|1",$Z$14:$Z$1213,0)=MATCH($H176&amp;"|1",$AA$14:$AA$1213,0),"Hit","Miss"))))</f>
        <v/>
      </c>
      <c r="K176" s="24">
        <f>IF($H176="","",IF(COUNTIFS($A$14:$A$1213,$H176,$F$14:$F$1213,"&gt;=0")=0,"—",IFERROR(INDEX($B$14:$B$1213,MATCH($H176&amp;"|1",$AA$14:$AA$1213,0)),"(tied)")))</f>
        <v/>
      </c>
      <c r="L176" s="25">
        <f>IF($H176="","",IF((--(COUNTIFS($A$14:$A$1213,$H176,$P$14:$P$1213,"&gt;=0")&gt;0)+--(COUNTIFS($A$14:$A$1213,$H176,$Q$14:$Q$1213,"&gt;=0")&gt;0)+--(COUNTIFS($A$14:$A$1213,$H176,$R$14:$R$1213,"&gt;=0")&gt;0)+--(COUNTIFS($A$14:$A$1213,$H176,$S$14:$S$1213,"&gt;=0")&gt;0)+--(COUNTIFS($A$14:$A$1213,$H176,$T$14:$T$1213,"&gt;=0")&gt;0))&lt;2,"—",IF(SUMIFS($AH$14:$AH$1213,$A$14:$A$1213,$H176)=0,"Yes","No")))</f>
        <v/>
      </c>
      <c r="M176" s="25">
        <f>IF($H176="","",IF(COUNTIFS($A$14:$A$1213,$H176,$F$14:$F$1213,"&gt;=0")&lt;2,"—",IF(COUNTIFS($A$14:$A$1213,$H176,$F$14:$F$1213,_xlfn.MAXIFS($F$14:$F$1213,$A$14:$A$1213,$H176))&gt;1,"No",IF(NOT(ISNUMBER($AN176)),"—",IF((2*(1-NORMSDIST(ABS($AN176))))&lt;0.05,"Yes","No")))))</f>
        <v/>
      </c>
      <c r="N176" s="21">
        <f>IF($H176="","",IF(NOT(ISNUMBER($AN176)),"—",IF((2*(1-NORMSDIST(ABS($AN176))))&lt;0.001,"&lt;0.001",TEXT((2*(1-NORMSDIST(ABS($AN176)))),"0.000"))))</f>
        <v/>
      </c>
      <c r="P176" s="26" t="n"/>
      <c r="Q176" s="26" t="n"/>
      <c r="R176" s="26" t="n"/>
      <c r="S176" s="26" t="n"/>
      <c r="T176" s="26" t="n"/>
      <c r="V176" s="27">
        <f>IF(ISNUMBER($C176),COUNTIFS($A$14:$A$1213,$A176,$C$14:$C$1213,"&gt;"&amp;$C176)+(COUNTIFS($A$14:$A$1213,$A176,$C$14:$C$1213,"="&amp;$C176)+1)/2,"")</f>
        <v/>
      </c>
      <c r="W176" s="27">
        <f>IF(ISNUMBER($F176),COUNTIFS($A$14:$A$1213,$A176,$F$14:$F$1213,"&gt;"&amp;$F176)+(COUNTIFS($A$14:$A$1213,$A176,$F$14:$F$1213,"="&amp;$F176)+1)/2,"")</f>
        <v/>
      </c>
      <c r="X176" s="27">
        <f>IF(OR(NOT(ISNUMBER($V176)),$AO176=1),"",$V176-(COUNTIFS($A$14:$A$1213,$A176,$C$14:$C$1213,"&gt;=0")+1)/2)</f>
        <v/>
      </c>
      <c r="Y176" s="27">
        <f>IF(OR(NOT(ISNUMBER($W176)),$AO176=1),"",$W176-(COUNTIFS($A$14:$A$1213,$A176,$F$14:$F$1213,"&gt;=0")+1)/2)</f>
        <v/>
      </c>
      <c r="Z176" s="27">
        <f>IF(ISNUMBER($V176),$A176&amp;"|"&amp;$V176,"")</f>
        <v/>
      </c>
      <c r="AA176" s="27">
        <f>IF(ISNUMBER($W176),$A176&amp;"|"&amp;$W176,"")</f>
        <v/>
      </c>
      <c r="AB176" s="27">
        <f>IF(ISNUMBER($F176),$A176&amp;"|"&amp;$F176,"")</f>
        <v/>
      </c>
      <c r="AC176" s="27">
        <f>IF(ISNUMBER($P176),COUNTIFS($A$14:$A$1213,$A176,$P$14:$P$1213,"&gt;"&amp;$P176)+(COUNTIFS($A$14:$A$1213,$A176,$P$14:$P$1213,"="&amp;$P176)+1)/2,"")</f>
        <v/>
      </c>
      <c r="AD176" s="27">
        <f>IF(ISNUMBER($Q176),COUNTIFS($A$14:$A$1213,$A176,$Q$14:$Q$1213,"&gt;"&amp;$Q176)+(COUNTIFS($A$14:$A$1213,$A176,$Q$14:$Q$1213,"="&amp;$Q176)+1)/2,"")</f>
        <v/>
      </c>
      <c r="AE176" s="27">
        <f>IF(ISNUMBER($R176),COUNTIFS($A$14:$A$1213,$A176,$R$14:$R$1213,"&gt;"&amp;$R176)+(COUNTIFS($A$14:$A$1213,$A176,$R$14:$R$1213,"="&amp;$R176)+1)/2,"")</f>
        <v/>
      </c>
      <c r="AF176" s="27">
        <f>IF(ISNUMBER($S176),COUNTIFS($A$14:$A$1213,$A176,$S$14:$S$1213,"&gt;"&amp;$S176)+(COUNTIFS($A$14:$A$1213,$A176,$S$14:$S$1213,"="&amp;$S176)+1)/2,"")</f>
        <v/>
      </c>
      <c r="AG176" s="27">
        <f>IF(ISNUMBER($T176),COUNTIFS($A$14:$A$1213,$A176,$T$14:$T$1213,"&gt;"&amp;$T176)+(COUNTIFS($A$14:$A$1213,$A176,$T$14:$T$1213,"="&amp;$T176)+1)/2,"")</f>
        <v/>
      </c>
      <c r="AH176" s="27">
        <f>IF(COUNT($AC176:$AG176)&lt;2,"",IF(MAX($AC176:$AG176)=MIN($AC176:$AG176),0,1))</f>
        <v/>
      </c>
      <c r="AI176" s="27">
        <f>IF($A176="","",IF(COUNTIF($A$14:$A176,$A176)=1,COUNTIF($AI$13:AI175,"&gt;0")+1,""))</f>
        <v/>
      </c>
      <c r="AJ176" s="27">
        <f>IF(OR($H176="",COUNTIFS($A$14:$A$1213,$H176,$F$14:$F$1213,"&gt;=0")&lt;2,COUNTIFS($A$14:$A$1213,$H176,$F$14:$F$1213,_xlfn.MAXIFS($F$14:$F$1213,$A$14:$A$1213,$H176))&gt;1),"",IFERROR(INDEX($D$14:$D$1213,MATCH($H176&amp;"|"&amp;_xlfn.MAXIFS($F$14:$F$1213,$A$14:$A$1213,$H176),$AB$14:$AB$1213,0)),""))</f>
        <v/>
      </c>
      <c r="AK176" s="27">
        <f>IF(OR($H176="",COUNTIFS($A$14:$A$1213,$H176,$F$14:$F$1213,"&gt;=0")&lt;2,COUNTIFS($A$14:$A$1213,$H176,$F$14:$F$1213,_xlfn.MAXIFS($F$14:$F$1213,$A$14:$A$1213,$H176))&gt;1),"",IFERROR(INDEX($E$14:$E$1213,MATCH($H176&amp;"|"&amp;_xlfn.MAXIFS($F$14:$F$1213,$A$14:$A$1213,$H176),$AB$14:$AB$1213,0)),""))</f>
        <v/>
      </c>
      <c r="AL176" s="27">
        <f>IF(OR($H176="",COUNTIFS($A$14:$A$1213,$H176,$F$14:$F$1213,"&gt;=0")&lt;2,COUNTIFS($A$14:$A$1213,$H176,$F$14:$F$1213,_xlfn.MAXIFS($F$14:$F$1213,$A$14:$A$1213,$H176))&gt;1),"",IFERROR(INDEX($D$14:$D$1213,MATCH($H176&amp;"|"&amp;_xlfn.MAXIFS($F$14:$F$1213,$A$14:$A$1213,$H176,$F$14:$F$1213,"&lt;"&amp;_xlfn.MAXIFS($F$14:$F$1213,$A$14:$A$1213,$H176)),$AB$14:$AB$1213,0)),""))</f>
        <v/>
      </c>
      <c r="AM176" s="27">
        <f>IF(OR($H176="",COUNTIFS($A$14:$A$1213,$H176,$F$14:$F$1213,"&gt;=0")&lt;2,COUNTIFS($A$14:$A$1213,$H176,$F$14:$F$1213,_xlfn.MAXIFS($F$14:$F$1213,$A$14:$A$1213,$H176))&gt;1),"",IFERROR(INDEX($E$14:$E$1213,MATCH($H176&amp;"|"&amp;_xlfn.MAXIFS($F$14:$F$1213,$A$14:$A$1213,$H176,$F$14:$F$1213,"&lt;"&amp;_xlfn.MAXIFS($F$14:$F$1213,$A$14:$A$1213,$H176)),$AB$14:$AB$1213,0)),""))</f>
        <v/>
      </c>
      <c r="AN176" s="27">
        <f>IF(OR(NOT(ISNUMBER($AJ176)),NOT(ISNUMBER($AL176)),$AK176=0,$AM176=0),"",IF(OR((($AJ176+$AL176)/($AK176+$AM176))&lt;=0,(($AJ176+$AL176)/($AK176+$AM176))&gt;=1),"",($AJ176/$AK176-$AL176/$AM176)/SQRT((($AJ176+$AL176)/($AK176+$AM176))*(1-(($AJ176+$AL176)/($AK176+$AM176)))*(1/$AK176+1/$AM176))))</f>
        <v/>
      </c>
      <c r="AO176" s="27">
        <f>IF($A176="","",IF(AND(COUNTIFS($A$14:$A$1213,$A176,$F$14:$F$1213,"&gt;=0")=2,IFERROR(INDEX($M$14:$M$313,MATCH($A176,$H$14:$H$313,0)),"Yes")&lt;&gt;"Yes"),1,0))</f>
        <v/>
      </c>
    </row>
    <row r="177" ht="24" customHeight="1">
      <c r="A177" s="19">
        <f>IF('Enter messages'!A177="","",'Enter messages'!A177)</f>
        <v/>
      </c>
      <c r="B177" s="20">
        <f>IF('Enter messages'!B177="","",'Enter messages'!B177)</f>
        <v/>
      </c>
      <c r="C177" s="21">
        <f>IFERROR(AVERAGE(P177:T177),"")</f>
        <v/>
      </c>
      <c r="D177" s="29" t="n"/>
      <c r="E177" s="29" t="n"/>
      <c r="F177" s="30">
        <f>IF(AND(ISNUMBER($D177),ISNUMBER($E177),$E177&gt;0,$D177&lt;=$E177),$D177/$E177,"")</f>
        <v/>
      </c>
      <c r="H177" s="19">
        <f>IFERROR(INDEX($A$14:$A$1213,MATCH(164,$AI$14:$AI$1213,0)),"")</f>
        <v/>
      </c>
      <c r="I177" s="24">
        <f>IF($H177="","",IF(COUNTIFS($A$14:$A$1213,$H177,$C$14:$C$1213,"&gt;=0")=0,"—",IFERROR(INDEX($B$14:$B$1213,MATCH($H177&amp;"|1",$Z$14:$Z$1213,0)),"(tied)")))</f>
        <v/>
      </c>
      <c r="J177" s="25">
        <f>IF($H177="","",IF(OR(COUNTIFS($A$14:$A$1213,$H177,$C$14:$C$1213,"&gt;=0")=0,COUNTIFS($A$14:$A$1213,$H177,$F$14:$F$1213,"&gt;=0")=0),"—",IF(OR(ISERROR(MATCH($H177&amp;"|1",$Z$14:$Z$1213,0)),ISERROR(MATCH($H177&amp;"|1",$AA$14:$AA$1213,0))),"Tie",IF(MATCH($H177&amp;"|1",$Z$14:$Z$1213,0)=MATCH($H177&amp;"|1",$AA$14:$AA$1213,0),"Hit","Miss"))))</f>
        <v/>
      </c>
      <c r="K177" s="24">
        <f>IF($H177="","",IF(COUNTIFS($A$14:$A$1213,$H177,$F$14:$F$1213,"&gt;=0")=0,"—",IFERROR(INDEX($B$14:$B$1213,MATCH($H177&amp;"|1",$AA$14:$AA$1213,0)),"(tied)")))</f>
        <v/>
      </c>
      <c r="L177" s="25">
        <f>IF($H177="","",IF((--(COUNTIFS($A$14:$A$1213,$H177,$P$14:$P$1213,"&gt;=0")&gt;0)+--(COUNTIFS($A$14:$A$1213,$H177,$Q$14:$Q$1213,"&gt;=0")&gt;0)+--(COUNTIFS($A$14:$A$1213,$H177,$R$14:$R$1213,"&gt;=0")&gt;0)+--(COUNTIFS($A$14:$A$1213,$H177,$S$14:$S$1213,"&gt;=0")&gt;0)+--(COUNTIFS($A$14:$A$1213,$H177,$T$14:$T$1213,"&gt;=0")&gt;0))&lt;2,"—",IF(SUMIFS($AH$14:$AH$1213,$A$14:$A$1213,$H177)=0,"Yes","No")))</f>
        <v/>
      </c>
      <c r="M177" s="25">
        <f>IF($H177="","",IF(COUNTIFS($A$14:$A$1213,$H177,$F$14:$F$1213,"&gt;=0")&lt;2,"—",IF(COUNTIFS($A$14:$A$1213,$H177,$F$14:$F$1213,_xlfn.MAXIFS($F$14:$F$1213,$A$14:$A$1213,$H177))&gt;1,"No",IF(NOT(ISNUMBER($AN177)),"—",IF((2*(1-NORMSDIST(ABS($AN177))))&lt;0.05,"Yes","No")))))</f>
        <v/>
      </c>
      <c r="N177" s="21">
        <f>IF($H177="","",IF(NOT(ISNUMBER($AN177)),"—",IF((2*(1-NORMSDIST(ABS($AN177))))&lt;0.001,"&lt;0.001",TEXT((2*(1-NORMSDIST(ABS($AN177)))),"0.000"))))</f>
        <v/>
      </c>
      <c r="P177" s="26" t="n"/>
      <c r="Q177" s="26" t="n"/>
      <c r="R177" s="26" t="n"/>
      <c r="S177" s="26" t="n"/>
      <c r="T177" s="26" t="n"/>
      <c r="V177" s="27">
        <f>IF(ISNUMBER($C177),COUNTIFS($A$14:$A$1213,$A177,$C$14:$C$1213,"&gt;"&amp;$C177)+(COUNTIFS($A$14:$A$1213,$A177,$C$14:$C$1213,"="&amp;$C177)+1)/2,"")</f>
        <v/>
      </c>
      <c r="W177" s="27">
        <f>IF(ISNUMBER($F177),COUNTIFS($A$14:$A$1213,$A177,$F$14:$F$1213,"&gt;"&amp;$F177)+(COUNTIFS($A$14:$A$1213,$A177,$F$14:$F$1213,"="&amp;$F177)+1)/2,"")</f>
        <v/>
      </c>
      <c r="X177" s="27">
        <f>IF(OR(NOT(ISNUMBER($V177)),$AO177=1),"",$V177-(COUNTIFS($A$14:$A$1213,$A177,$C$14:$C$1213,"&gt;=0")+1)/2)</f>
        <v/>
      </c>
      <c r="Y177" s="27">
        <f>IF(OR(NOT(ISNUMBER($W177)),$AO177=1),"",$W177-(COUNTIFS($A$14:$A$1213,$A177,$F$14:$F$1213,"&gt;=0")+1)/2)</f>
        <v/>
      </c>
      <c r="Z177" s="27">
        <f>IF(ISNUMBER($V177),$A177&amp;"|"&amp;$V177,"")</f>
        <v/>
      </c>
      <c r="AA177" s="27">
        <f>IF(ISNUMBER($W177),$A177&amp;"|"&amp;$W177,"")</f>
        <v/>
      </c>
      <c r="AB177" s="27">
        <f>IF(ISNUMBER($F177),$A177&amp;"|"&amp;$F177,"")</f>
        <v/>
      </c>
      <c r="AC177" s="27">
        <f>IF(ISNUMBER($P177),COUNTIFS($A$14:$A$1213,$A177,$P$14:$P$1213,"&gt;"&amp;$P177)+(COUNTIFS($A$14:$A$1213,$A177,$P$14:$P$1213,"="&amp;$P177)+1)/2,"")</f>
        <v/>
      </c>
      <c r="AD177" s="27">
        <f>IF(ISNUMBER($Q177),COUNTIFS($A$14:$A$1213,$A177,$Q$14:$Q$1213,"&gt;"&amp;$Q177)+(COUNTIFS($A$14:$A$1213,$A177,$Q$14:$Q$1213,"="&amp;$Q177)+1)/2,"")</f>
        <v/>
      </c>
      <c r="AE177" s="27">
        <f>IF(ISNUMBER($R177),COUNTIFS($A$14:$A$1213,$A177,$R$14:$R$1213,"&gt;"&amp;$R177)+(COUNTIFS($A$14:$A$1213,$A177,$R$14:$R$1213,"="&amp;$R177)+1)/2,"")</f>
        <v/>
      </c>
      <c r="AF177" s="27">
        <f>IF(ISNUMBER($S177),COUNTIFS($A$14:$A$1213,$A177,$S$14:$S$1213,"&gt;"&amp;$S177)+(COUNTIFS($A$14:$A$1213,$A177,$S$14:$S$1213,"="&amp;$S177)+1)/2,"")</f>
        <v/>
      </c>
      <c r="AG177" s="27">
        <f>IF(ISNUMBER($T177),COUNTIFS($A$14:$A$1213,$A177,$T$14:$T$1213,"&gt;"&amp;$T177)+(COUNTIFS($A$14:$A$1213,$A177,$T$14:$T$1213,"="&amp;$T177)+1)/2,"")</f>
        <v/>
      </c>
      <c r="AH177" s="27">
        <f>IF(COUNT($AC177:$AG177)&lt;2,"",IF(MAX($AC177:$AG177)=MIN($AC177:$AG177),0,1))</f>
        <v/>
      </c>
      <c r="AI177" s="27">
        <f>IF($A177="","",IF(COUNTIF($A$14:$A177,$A177)=1,COUNTIF($AI$13:AI176,"&gt;0")+1,""))</f>
        <v/>
      </c>
      <c r="AJ177" s="27">
        <f>IF(OR($H177="",COUNTIFS($A$14:$A$1213,$H177,$F$14:$F$1213,"&gt;=0")&lt;2,COUNTIFS($A$14:$A$1213,$H177,$F$14:$F$1213,_xlfn.MAXIFS($F$14:$F$1213,$A$14:$A$1213,$H177))&gt;1),"",IFERROR(INDEX($D$14:$D$1213,MATCH($H177&amp;"|"&amp;_xlfn.MAXIFS($F$14:$F$1213,$A$14:$A$1213,$H177),$AB$14:$AB$1213,0)),""))</f>
        <v/>
      </c>
      <c r="AK177" s="27">
        <f>IF(OR($H177="",COUNTIFS($A$14:$A$1213,$H177,$F$14:$F$1213,"&gt;=0")&lt;2,COUNTIFS($A$14:$A$1213,$H177,$F$14:$F$1213,_xlfn.MAXIFS($F$14:$F$1213,$A$14:$A$1213,$H177))&gt;1),"",IFERROR(INDEX($E$14:$E$1213,MATCH($H177&amp;"|"&amp;_xlfn.MAXIFS($F$14:$F$1213,$A$14:$A$1213,$H177),$AB$14:$AB$1213,0)),""))</f>
        <v/>
      </c>
      <c r="AL177" s="27">
        <f>IF(OR($H177="",COUNTIFS($A$14:$A$1213,$H177,$F$14:$F$1213,"&gt;=0")&lt;2,COUNTIFS($A$14:$A$1213,$H177,$F$14:$F$1213,_xlfn.MAXIFS($F$14:$F$1213,$A$14:$A$1213,$H177))&gt;1),"",IFERROR(INDEX($D$14:$D$1213,MATCH($H177&amp;"|"&amp;_xlfn.MAXIFS($F$14:$F$1213,$A$14:$A$1213,$H177,$F$14:$F$1213,"&lt;"&amp;_xlfn.MAXIFS($F$14:$F$1213,$A$14:$A$1213,$H177)),$AB$14:$AB$1213,0)),""))</f>
        <v/>
      </c>
      <c r="AM177" s="27">
        <f>IF(OR($H177="",COUNTIFS($A$14:$A$1213,$H177,$F$14:$F$1213,"&gt;=0")&lt;2,COUNTIFS($A$14:$A$1213,$H177,$F$14:$F$1213,_xlfn.MAXIFS($F$14:$F$1213,$A$14:$A$1213,$H177))&gt;1),"",IFERROR(INDEX($E$14:$E$1213,MATCH($H177&amp;"|"&amp;_xlfn.MAXIFS($F$14:$F$1213,$A$14:$A$1213,$H177,$F$14:$F$1213,"&lt;"&amp;_xlfn.MAXIFS($F$14:$F$1213,$A$14:$A$1213,$H177)),$AB$14:$AB$1213,0)),""))</f>
        <v/>
      </c>
      <c r="AN177" s="27">
        <f>IF(OR(NOT(ISNUMBER($AJ177)),NOT(ISNUMBER($AL177)),$AK177=0,$AM177=0),"",IF(OR((($AJ177+$AL177)/($AK177+$AM177))&lt;=0,(($AJ177+$AL177)/($AK177+$AM177))&gt;=1),"",($AJ177/$AK177-$AL177/$AM177)/SQRT((($AJ177+$AL177)/($AK177+$AM177))*(1-(($AJ177+$AL177)/($AK177+$AM177)))*(1/$AK177+1/$AM177))))</f>
        <v/>
      </c>
      <c r="AO177" s="27">
        <f>IF($A177="","",IF(AND(COUNTIFS($A$14:$A$1213,$A177,$F$14:$F$1213,"&gt;=0")=2,IFERROR(INDEX($M$14:$M$313,MATCH($A177,$H$14:$H$313,0)),"Yes")&lt;&gt;"Yes"),1,0))</f>
        <v/>
      </c>
    </row>
    <row r="178" ht="24" customHeight="1">
      <c r="A178" s="19">
        <f>IF('Enter messages'!A178="","",'Enter messages'!A178)</f>
        <v/>
      </c>
      <c r="B178" s="20">
        <f>IF('Enter messages'!B178="","",'Enter messages'!B178)</f>
        <v/>
      </c>
      <c r="C178" s="21">
        <f>IFERROR(AVERAGE(P178:T178),"")</f>
        <v/>
      </c>
      <c r="D178" s="29" t="n"/>
      <c r="E178" s="29" t="n"/>
      <c r="F178" s="30">
        <f>IF(AND(ISNUMBER($D178),ISNUMBER($E178),$E178&gt;0,$D178&lt;=$E178),$D178/$E178,"")</f>
        <v/>
      </c>
      <c r="H178" s="19">
        <f>IFERROR(INDEX($A$14:$A$1213,MATCH(165,$AI$14:$AI$1213,0)),"")</f>
        <v/>
      </c>
      <c r="I178" s="24">
        <f>IF($H178="","",IF(COUNTIFS($A$14:$A$1213,$H178,$C$14:$C$1213,"&gt;=0")=0,"—",IFERROR(INDEX($B$14:$B$1213,MATCH($H178&amp;"|1",$Z$14:$Z$1213,0)),"(tied)")))</f>
        <v/>
      </c>
      <c r="J178" s="25">
        <f>IF($H178="","",IF(OR(COUNTIFS($A$14:$A$1213,$H178,$C$14:$C$1213,"&gt;=0")=0,COUNTIFS($A$14:$A$1213,$H178,$F$14:$F$1213,"&gt;=0")=0),"—",IF(OR(ISERROR(MATCH($H178&amp;"|1",$Z$14:$Z$1213,0)),ISERROR(MATCH($H178&amp;"|1",$AA$14:$AA$1213,0))),"Tie",IF(MATCH($H178&amp;"|1",$Z$14:$Z$1213,0)=MATCH($H178&amp;"|1",$AA$14:$AA$1213,0),"Hit","Miss"))))</f>
        <v/>
      </c>
      <c r="K178" s="24">
        <f>IF($H178="","",IF(COUNTIFS($A$14:$A$1213,$H178,$F$14:$F$1213,"&gt;=0")=0,"—",IFERROR(INDEX($B$14:$B$1213,MATCH($H178&amp;"|1",$AA$14:$AA$1213,0)),"(tied)")))</f>
        <v/>
      </c>
      <c r="L178" s="25">
        <f>IF($H178="","",IF((--(COUNTIFS($A$14:$A$1213,$H178,$P$14:$P$1213,"&gt;=0")&gt;0)+--(COUNTIFS($A$14:$A$1213,$H178,$Q$14:$Q$1213,"&gt;=0")&gt;0)+--(COUNTIFS($A$14:$A$1213,$H178,$R$14:$R$1213,"&gt;=0")&gt;0)+--(COUNTIFS($A$14:$A$1213,$H178,$S$14:$S$1213,"&gt;=0")&gt;0)+--(COUNTIFS($A$14:$A$1213,$H178,$T$14:$T$1213,"&gt;=0")&gt;0))&lt;2,"—",IF(SUMIFS($AH$14:$AH$1213,$A$14:$A$1213,$H178)=0,"Yes","No")))</f>
        <v/>
      </c>
      <c r="M178" s="25">
        <f>IF($H178="","",IF(COUNTIFS($A$14:$A$1213,$H178,$F$14:$F$1213,"&gt;=0")&lt;2,"—",IF(COUNTIFS($A$14:$A$1213,$H178,$F$14:$F$1213,_xlfn.MAXIFS($F$14:$F$1213,$A$14:$A$1213,$H178))&gt;1,"No",IF(NOT(ISNUMBER($AN178)),"—",IF((2*(1-NORMSDIST(ABS($AN178))))&lt;0.05,"Yes","No")))))</f>
        <v/>
      </c>
      <c r="N178" s="21">
        <f>IF($H178="","",IF(NOT(ISNUMBER($AN178)),"—",IF((2*(1-NORMSDIST(ABS($AN178))))&lt;0.001,"&lt;0.001",TEXT((2*(1-NORMSDIST(ABS($AN178)))),"0.000"))))</f>
        <v/>
      </c>
      <c r="P178" s="26" t="n"/>
      <c r="Q178" s="26" t="n"/>
      <c r="R178" s="26" t="n"/>
      <c r="S178" s="26" t="n"/>
      <c r="T178" s="26" t="n"/>
      <c r="V178" s="27">
        <f>IF(ISNUMBER($C178),COUNTIFS($A$14:$A$1213,$A178,$C$14:$C$1213,"&gt;"&amp;$C178)+(COUNTIFS($A$14:$A$1213,$A178,$C$14:$C$1213,"="&amp;$C178)+1)/2,"")</f>
        <v/>
      </c>
      <c r="W178" s="27">
        <f>IF(ISNUMBER($F178),COUNTIFS($A$14:$A$1213,$A178,$F$14:$F$1213,"&gt;"&amp;$F178)+(COUNTIFS($A$14:$A$1213,$A178,$F$14:$F$1213,"="&amp;$F178)+1)/2,"")</f>
        <v/>
      </c>
      <c r="X178" s="27">
        <f>IF(OR(NOT(ISNUMBER($V178)),$AO178=1),"",$V178-(COUNTIFS($A$14:$A$1213,$A178,$C$14:$C$1213,"&gt;=0")+1)/2)</f>
        <v/>
      </c>
      <c r="Y178" s="27">
        <f>IF(OR(NOT(ISNUMBER($W178)),$AO178=1),"",$W178-(COUNTIFS($A$14:$A$1213,$A178,$F$14:$F$1213,"&gt;=0")+1)/2)</f>
        <v/>
      </c>
      <c r="Z178" s="27">
        <f>IF(ISNUMBER($V178),$A178&amp;"|"&amp;$V178,"")</f>
        <v/>
      </c>
      <c r="AA178" s="27">
        <f>IF(ISNUMBER($W178),$A178&amp;"|"&amp;$W178,"")</f>
        <v/>
      </c>
      <c r="AB178" s="27">
        <f>IF(ISNUMBER($F178),$A178&amp;"|"&amp;$F178,"")</f>
        <v/>
      </c>
      <c r="AC178" s="27">
        <f>IF(ISNUMBER($P178),COUNTIFS($A$14:$A$1213,$A178,$P$14:$P$1213,"&gt;"&amp;$P178)+(COUNTIFS($A$14:$A$1213,$A178,$P$14:$P$1213,"="&amp;$P178)+1)/2,"")</f>
        <v/>
      </c>
      <c r="AD178" s="27">
        <f>IF(ISNUMBER($Q178),COUNTIFS($A$14:$A$1213,$A178,$Q$14:$Q$1213,"&gt;"&amp;$Q178)+(COUNTIFS($A$14:$A$1213,$A178,$Q$14:$Q$1213,"="&amp;$Q178)+1)/2,"")</f>
        <v/>
      </c>
      <c r="AE178" s="27">
        <f>IF(ISNUMBER($R178),COUNTIFS($A$14:$A$1213,$A178,$R$14:$R$1213,"&gt;"&amp;$R178)+(COUNTIFS($A$14:$A$1213,$A178,$R$14:$R$1213,"="&amp;$R178)+1)/2,"")</f>
        <v/>
      </c>
      <c r="AF178" s="27">
        <f>IF(ISNUMBER($S178),COUNTIFS($A$14:$A$1213,$A178,$S$14:$S$1213,"&gt;"&amp;$S178)+(COUNTIFS($A$14:$A$1213,$A178,$S$14:$S$1213,"="&amp;$S178)+1)/2,"")</f>
        <v/>
      </c>
      <c r="AG178" s="27">
        <f>IF(ISNUMBER($T178),COUNTIFS($A$14:$A$1213,$A178,$T$14:$T$1213,"&gt;"&amp;$T178)+(COUNTIFS($A$14:$A$1213,$A178,$T$14:$T$1213,"="&amp;$T178)+1)/2,"")</f>
        <v/>
      </c>
      <c r="AH178" s="27">
        <f>IF(COUNT($AC178:$AG178)&lt;2,"",IF(MAX($AC178:$AG178)=MIN($AC178:$AG178),0,1))</f>
        <v/>
      </c>
      <c r="AI178" s="27">
        <f>IF($A178="","",IF(COUNTIF($A$14:$A178,$A178)=1,COUNTIF($AI$13:AI177,"&gt;0")+1,""))</f>
        <v/>
      </c>
      <c r="AJ178" s="27">
        <f>IF(OR($H178="",COUNTIFS($A$14:$A$1213,$H178,$F$14:$F$1213,"&gt;=0")&lt;2,COUNTIFS($A$14:$A$1213,$H178,$F$14:$F$1213,_xlfn.MAXIFS($F$14:$F$1213,$A$14:$A$1213,$H178))&gt;1),"",IFERROR(INDEX($D$14:$D$1213,MATCH($H178&amp;"|"&amp;_xlfn.MAXIFS($F$14:$F$1213,$A$14:$A$1213,$H178),$AB$14:$AB$1213,0)),""))</f>
        <v/>
      </c>
      <c r="AK178" s="27">
        <f>IF(OR($H178="",COUNTIFS($A$14:$A$1213,$H178,$F$14:$F$1213,"&gt;=0")&lt;2,COUNTIFS($A$14:$A$1213,$H178,$F$14:$F$1213,_xlfn.MAXIFS($F$14:$F$1213,$A$14:$A$1213,$H178))&gt;1),"",IFERROR(INDEX($E$14:$E$1213,MATCH($H178&amp;"|"&amp;_xlfn.MAXIFS($F$14:$F$1213,$A$14:$A$1213,$H178),$AB$14:$AB$1213,0)),""))</f>
        <v/>
      </c>
      <c r="AL178" s="27">
        <f>IF(OR($H178="",COUNTIFS($A$14:$A$1213,$H178,$F$14:$F$1213,"&gt;=0")&lt;2,COUNTIFS($A$14:$A$1213,$H178,$F$14:$F$1213,_xlfn.MAXIFS($F$14:$F$1213,$A$14:$A$1213,$H178))&gt;1),"",IFERROR(INDEX($D$14:$D$1213,MATCH($H178&amp;"|"&amp;_xlfn.MAXIFS($F$14:$F$1213,$A$14:$A$1213,$H178,$F$14:$F$1213,"&lt;"&amp;_xlfn.MAXIFS($F$14:$F$1213,$A$14:$A$1213,$H178)),$AB$14:$AB$1213,0)),""))</f>
        <v/>
      </c>
      <c r="AM178" s="27">
        <f>IF(OR($H178="",COUNTIFS($A$14:$A$1213,$H178,$F$14:$F$1213,"&gt;=0")&lt;2,COUNTIFS($A$14:$A$1213,$H178,$F$14:$F$1213,_xlfn.MAXIFS($F$14:$F$1213,$A$14:$A$1213,$H178))&gt;1),"",IFERROR(INDEX($E$14:$E$1213,MATCH($H178&amp;"|"&amp;_xlfn.MAXIFS($F$14:$F$1213,$A$14:$A$1213,$H178,$F$14:$F$1213,"&lt;"&amp;_xlfn.MAXIFS($F$14:$F$1213,$A$14:$A$1213,$H178)),$AB$14:$AB$1213,0)),""))</f>
        <v/>
      </c>
      <c r="AN178" s="27">
        <f>IF(OR(NOT(ISNUMBER($AJ178)),NOT(ISNUMBER($AL178)),$AK178=0,$AM178=0),"",IF(OR((($AJ178+$AL178)/($AK178+$AM178))&lt;=0,(($AJ178+$AL178)/($AK178+$AM178))&gt;=1),"",($AJ178/$AK178-$AL178/$AM178)/SQRT((($AJ178+$AL178)/($AK178+$AM178))*(1-(($AJ178+$AL178)/($AK178+$AM178)))*(1/$AK178+1/$AM178))))</f>
        <v/>
      </c>
      <c r="AO178" s="27">
        <f>IF($A178="","",IF(AND(COUNTIFS($A$14:$A$1213,$A178,$F$14:$F$1213,"&gt;=0")=2,IFERROR(INDEX($M$14:$M$313,MATCH($A178,$H$14:$H$313,0)),"Yes")&lt;&gt;"Yes"),1,0))</f>
        <v/>
      </c>
    </row>
    <row r="179" ht="24" customHeight="1">
      <c r="A179" s="19">
        <f>IF('Enter messages'!A179="","",'Enter messages'!A179)</f>
        <v/>
      </c>
      <c r="B179" s="20">
        <f>IF('Enter messages'!B179="","",'Enter messages'!B179)</f>
        <v/>
      </c>
      <c r="C179" s="21">
        <f>IFERROR(AVERAGE(P179:T179),"")</f>
        <v/>
      </c>
      <c r="D179" s="29" t="n"/>
      <c r="E179" s="29" t="n"/>
      <c r="F179" s="30">
        <f>IF(AND(ISNUMBER($D179),ISNUMBER($E179),$E179&gt;0,$D179&lt;=$E179),$D179/$E179,"")</f>
        <v/>
      </c>
      <c r="H179" s="19">
        <f>IFERROR(INDEX($A$14:$A$1213,MATCH(166,$AI$14:$AI$1213,0)),"")</f>
        <v/>
      </c>
      <c r="I179" s="24">
        <f>IF($H179="","",IF(COUNTIFS($A$14:$A$1213,$H179,$C$14:$C$1213,"&gt;=0")=0,"—",IFERROR(INDEX($B$14:$B$1213,MATCH($H179&amp;"|1",$Z$14:$Z$1213,0)),"(tied)")))</f>
        <v/>
      </c>
      <c r="J179" s="25">
        <f>IF($H179="","",IF(OR(COUNTIFS($A$14:$A$1213,$H179,$C$14:$C$1213,"&gt;=0")=0,COUNTIFS($A$14:$A$1213,$H179,$F$14:$F$1213,"&gt;=0")=0),"—",IF(OR(ISERROR(MATCH($H179&amp;"|1",$Z$14:$Z$1213,0)),ISERROR(MATCH($H179&amp;"|1",$AA$14:$AA$1213,0))),"Tie",IF(MATCH($H179&amp;"|1",$Z$14:$Z$1213,0)=MATCH($H179&amp;"|1",$AA$14:$AA$1213,0),"Hit","Miss"))))</f>
        <v/>
      </c>
      <c r="K179" s="24">
        <f>IF($H179="","",IF(COUNTIFS($A$14:$A$1213,$H179,$F$14:$F$1213,"&gt;=0")=0,"—",IFERROR(INDEX($B$14:$B$1213,MATCH($H179&amp;"|1",$AA$14:$AA$1213,0)),"(tied)")))</f>
        <v/>
      </c>
      <c r="L179" s="25">
        <f>IF($H179="","",IF((--(COUNTIFS($A$14:$A$1213,$H179,$P$14:$P$1213,"&gt;=0")&gt;0)+--(COUNTIFS($A$14:$A$1213,$H179,$Q$14:$Q$1213,"&gt;=0")&gt;0)+--(COUNTIFS($A$14:$A$1213,$H179,$R$14:$R$1213,"&gt;=0")&gt;0)+--(COUNTIFS($A$14:$A$1213,$H179,$S$14:$S$1213,"&gt;=0")&gt;0)+--(COUNTIFS($A$14:$A$1213,$H179,$T$14:$T$1213,"&gt;=0")&gt;0))&lt;2,"—",IF(SUMIFS($AH$14:$AH$1213,$A$14:$A$1213,$H179)=0,"Yes","No")))</f>
        <v/>
      </c>
      <c r="M179" s="25">
        <f>IF($H179="","",IF(COUNTIFS($A$14:$A$1213,$H179,$F$14:$F$1213,"&gt;=0")&lt;2,"—",IF(COUNTIFS($A$14:$A$1213,$H179,$F$14:$F$1213,_xlfn.MAXIFS($F$14:$F$1213,$A$14:$A$1213,$H179))&gt;1,"No",IF(NOT(ISNUMBER($AN179)),"—",IF((2*(1-NORMSDIST(ABS($AN179))))&lt;0.05,"Yes","No")))))</f>
        <v/>
      </c>
      <c r="N179" s="21">
        <f>IF($H179="","",IF(NOT(ISNUMBER($AN179)),"—",IF((2*(1-NORMSDIST(ABS($AN179))))&lt;0.001,"&lt;0.001",TEXT((2*(1-NORMSDIST(ABS($AN179)))),"0.000"))))</f>
        <v/>
      </c>
      <c r="P179" s="26" t="n"/>
      <c r="Q179" s="26" t="n"/>
      <c r="R179" s="26" t="n"/>
      <c r="S179" s="26" t="n"/>
      <c r="T179" s="26" t="n"/>
      <c r="V179" s="27">
        <f>IF(ISNUMBER($C179),COUNTIFS($A$14:$A$1213,$A179,$C$14:$C$1213,"&gt;"&amp;$C179)+(COUNTIFS($A$14:$A$1213,$A179,$C$14:$C$1213,"="&amp;$C179)+1)/2,"")</f>
        <v/>
      </c>
      <c r="W179" s="27">
        <f>IF(ISNUMBER($F179),COUNTIFS($A$14:$A$1213,$A179,$F$14:$F$1213,"&gt;"&amp;$F179)+(COUNTIFS($A$14:$A$1213,$A179,$F$14:$F$1213,"="&amp;$F179)+1)/2,"")</f>
        <v/>
      </c>
      <c r="X179" s="27">
        <f>IF(OR(NOT(ISNUMBER($V179)),$AO179=1),"",$V179-(COUNTIFS($A$14:$A$1213,$A179,$C$14:$C$1213,"&gt;=0")+1)/2)</f>
        <v/>
      </c>
      <c r="Y179" s="27">
        <f>IF(OR(NOT(ISNUMBER($W179)),$AO179=1),"",$W179-(COUNTIFS($A$14:$A$1213,$A179,$F$14:$F$1213,"&gt;=0")+1)/2)</f>
        <v/>
      </c>
      <c r="Z179" s="27">
        <f>IF(ISNUMBER($V179),$A179&amp;"|"&amp;$V179,"")</f>
        <v/>
      </c>
      <c r="AA179" s="27">
        <f>IF(ISNUMBER($W179),$A179&amp;"|"&amp;$W179,"")</f>
        <v/>
      </c>
      <c r="AB179" s="27">
        <f>IF(ISNUMBER($F179),$A179&amp;"|"&amp;$F179,"")</f>
        <v/>
      </c>
      <c r="AC179" s="27">
        <f>IF(ISNUMBER($P179),COUNTIFS($A$14:$A$1213,$A179,$P$14:$P$1213,"&gt;"&amp;$P179)+(COUNTIFS($A$14:$A$1213,$A179,$P$14:$P$1213,"="&amp;$P179)+1)/2,"")</f>
        <v/>
      </c>
      <c r="AD179" s="27">
        <f>IF(ISNUMBER($Q179),COUNTIFS($A$14:$A$1213,$A179,$Q$14:$Q$1213,"&gt;"&amp;$Q179)+(COUNTIFS($A$14:$A$1213,$A179,$Q$14:$Q$1213,"="&amp;$Q179)+1)/2,"")</f>
        <v/>
      </c>
      <c r="AE179" s="27">
        <f>IF(ISNUMBER($R179),COUNTIFS($A$14:$A$1213,$A179,$R$14:$R$1213,"&gt;"&amp;$R179)+(COUNTIFS($A$14:$A$1213,$A179,$R$14:$R$1213,"="&amp;$R179)+1)/2,"")</f>
        <v/>
      </c>
      <c r="AF179" s="27">
        <f>IF(ISNUMBER($S179),COUNTIFS($A$14:$A$1213,$A179,$S$14:$S$1213,"&gt;"&amp;$S179)+(COUNTIFS($A$14:$A$1213,$A179,$S$14:$S$1213,"="&amp;$S179)+1)/2,"")</f>
        <v/>
      </c>
      <c r="AG179" s="27">
        <f>IF(ISNUMBER($T179),COUNTIFS($A$14:$A$1213,$A179,$T$14:$T$1213,"&gt;"&amp;$T179)+(COUNTIFS($A$14:$A$1213,$A179,$T$14:$T$1213,"="&amp;$T179)+1)/2,"")</f>
        <v/>
      </c>
      <c r="AH179" s="27">
        <f>IF(COUNT($AC179:$AG179)&lt;2,"",IF(MAX($AC179:$AG179)=MIN($AC179:$AG179),0,1))</f>
        <v/>
      </c>
      <c r="AI179" s="27">
        <f>IF($A179="","",IF(COUNTIF($A$14:$A179,$A179)=1,COUNTIF($AI$13:AI178,"&gt;0")+1,""))</f>
        <v/>
      </c>
      <c r="AJ179" s="27">
        <f>IF(OR($H179="",COUNTIFS($A$14:$A$1213,$H179,$F$14:$F$1213,"&gt;=0")&lt;2,COUNTIFS($A$14:$A$1213,$H179,$F$14:$F$1213,_xlfn.MAXIFS($F$14:$F$1213,$A$14:$A$1213,$H179))&gt;1),"",IFERROR(INDEX($D$14:$D$1213,MATCH($H179&amp;"|"&amp;_xlfn.MAXIFS($F$14:$F$1213,$A$14:$A$1213,$H179),$AB$14:$AB$1213,0)),""))</f>
        <v/>
      </c>
      <c r="AK179" s="27">
        <f>IF(OR($H179="",COUNTIFS($A$14:$A$1213,$H179,$F$14:$F$1213,"&gt;=0")&lt;2,COUNTIFS($A$14:$A$1213,$H179,$F$14:$F$1213,_xlfn.MAXIFS($F$14:$F$1213,$A$14:$A$1213,$H179))&gt;1),"",IFERROR(INDEX($E$14:$E$1213,MATCH($H179&amp;"|"&amp;_xlfn.MAXIFS($F$14:$F$1213,$A$14:$A$1213,$H179),$AB$14:$AB$1213,0)),""))</f>
        <v/>
      </c>
      <c r="AL179" s="27">
        <f>IF(OR($H179="",COUNTIFS($A$14:$A$1213,$H179,$F$14:$F$1213,"&gt;=0")&lt;2,COUNTIFS($A$14:$A$1213,$H179,$F$14:$F$1213,_xlfn.MAXIFS($F$14:$F$1213,$A$14:$A$1213,$H179))&gt;1),"",IFERROR(INDEX($D$14:$D$1213,MATCH($H179&amp;"|"&amp;_xlfn.MAXIFS($F$14:$F$1213,$A$14:$A$1213,$H179,$F$14:$F$1213,"&lt;"&amp;_xlfn.MAXIFS($F$14:$F$1213,$A$14:$A$1213,$H179)),$AB$14:$AB$1213,0)),""))</f>
        <v/>
      </c>
      <c r="AM179" s="27">
        <f>IF(OR($H179="",COUNTIFS($A$14:$A$1213,$H179,$F$14:$F$1213,"&gt;=0")&lt;2,COUNTIFS($A$14:$A$1213,$H179,$F$14:$F$1213,_xlfn.MAXIFS($F$14:$F$1213,$A$14:$A$1213,$H179))&gt;1),"",IFERROR(INDEX($E$14:$E$1213,MATCH($H179&amp;"|"&amp;_xlfn.MAXIFS($F$14:$F$1213,$A$14:$A$1213,$H179,$F$14:$F$1213,"&lt;"&amp;_xlfn.MAXIFS($F$14:$F$1213,$A$14:$A$1213,$H179)),$AB$14:$AB$1213,0)),""))</f>
        <v/>
      </c>
      <c r="AN179" s="27">
        <f>IF(OR(NOT(ISNUMBER($AJ179)),NOT(ISNUMBER($AL179)),$AK179=0,$AM179=0),"",IF(OR((($AJ179+$AL179)/($AK179+$AM179))&lt;=0,(($AJ179+$AL179)/($AK179+$AM179))&gt;=1),"",($AJ179/$AK179-$AL179/$AM179)/SQRT((($AJ179+$AL179)/($AK179+$AM179))*(1-(($AJ179+$AL179)/($AK179+$AM179)))*(1/$AK179+1/$AM179))))</f>
        <v/>
      </c>
      <c r="AO179" s="27">
        <f>IF($A179="","",IF(AND(COUNTIFS($A$14:$A$1213,$A179,$F$14:$F$1213,"&gt;=0")=2,IFERROR(INDEX($M$14:$M$313,MATCH($A179,$H$14:$H$313,0)),"Yes")&lt;&gt;"Yes"),1,0))</f>
        <v/>
      </c>
    </row>
    <row r="180" ht="24" customHeight="1">
      <c r="A180" s="19">
        <f>IF('Enter messages'!A180="","",'Enter messages'!A180)</f>
        <v/>
      </c>
      <c r="B180" s="20">
        <f>IF('Enter messages'!B180="","",'Enter messages'!B180)</f>
        <v/>
      </c>
      <c r="C180" s="21">
        <f>IFERROR(AVERAGE(P180:T180),"")</f>
        <v/>
      </c>
      <c r="D180" s="29" t="n"/>
      <c r="E180" s="29" t="n"/>
      <c r="F180" s="30">
        <f>IF(AND(ISNUMBER($D180),ISNUMBER($E180),$E180&gt;0,$D180&lt;=$E180),$D180/$E180,"")</f>
        <v/>
      </c>
      <c r="H180" s="19">
        <f>IFERROR(INDEX($A$14:$A$1213,MATCH(167,$AI$14:$AI$1213,0)),"")</f>
        <v/>
      </c>
      <c r="I180" s="24">
        <f>IF($H180="","",IF(COUNTIFS($A$14:$A$1213,$H180,$C$14:$C$1213,"&gt;=0")=0,"—",IFERROR(INDEX($B$14:$B$1213,MATCH($H180&amp;"|1",$Z$14:$Z$1213,0)),"(tied)")))</f>
        <v/>
      </c>
      <c r="J180" s="25">
        <f>IF($H180="","",IF(OR(COUNTIFS($A$14:$A$1213,$H180,$C$14:$C$1213,"&gt;=0")=0,COUNTIFS($A$14:$A$1213,$H180,$F$14:$F$1213,"&gt;=0")=0),"—",IF(OR(ISERROR(MATCH($H180&amp;"|1",$Z$14:$Z$1213,0)),ISERROR(MATCH($H180&amp;"|1",$AA$14:$AA$1213,0))),"Tie",IF(MATCH($H180&amp;"|1",$Z$14:$Z$1213,0)=MATCH($H180&amp;"|1",$AA$14:$AA$1213,0),"Hit","Miss"))))</f>
        <v/>
      </c>
      <c r="K180" s="24">
        <f>IF($H180="","",IF(COUNTIFS($A$14:$A$1213,$H180,$F$14:$F$1213,"&gt;=0")=0,"—",IFERROR(INDEX($B$14:$B$1213,MATCH($H180&amp;"|1",$AA$14:$AA$1213,0)),"(tied)")))</f>
        <v/>
      </c>
      <c r="L180" s="25">
        <f>IF($H180="","",IF((--(COUNTIFS($A$14:$A$1213,$H180,$P$14:$P$1213,"&gt;=0")&gt;0)+--(COUNTIFS($A$14:$A$1213,$H180,$Q$14:$Q$1213,"&gt;=0")&gt;0)+--(COUNTIFS($A$14:$A$1213,$H180,$R$14:$R$1213,"&gt;=0")&gt;0)+--(COUNTIFS($A$14:$A$1213,$H180,$S$14:$S$1213,"&gt;=0")&gt;0)+--(COUNTIFS($A$14:$A$1213,$H180,$T$14:$T$1213,"&gt;=0")&gt;0))&lt;2,"—",IF(SUMIFS($AH$14:$AH$1213,$A$14:$A$1213,$H180)=0,"Yes","No")))</f>
        <v/>
      </c>
      <c r="M180" s="25">
        <f>IF($H180="","",IF(COUNTIFS($A$14:$A$1213,$H180,$F$14:$F$1213,"&gt;=0")&lt;2,"—",IF(COUNTIFS($A$14:$A$1213,$H180,$F$14:$F$1213,_xlfn.MAXIFS($F$14:$F$1213,$A$14:$A$1213,$H180))&gt;1,"No",IF(NOT(ISNUMBER($AN180)),"—",IF((2*(1-NORMSDIST(ABS($AN180))))&lt;0.05,"Yes","No")))))</f>
        <v/>
      </c>
      <c r="N180" s="21">
        <f>IF($H180="","",IF(NOT(ISNUMBER($AN180)),"—",IF((2*(1-NORMSDIST(ABS($AN180))))&lt;0.001,"&lt;0.001",TEXT((2*(1-NORMSDIST(ABS($AN180)))),"0.000"))))</f>
        <v/>
      </c>
      <c r="P180" s="26" t="n"/>
      <c r="Q180" s="26" t="n"/>
      <c r="R180" s="26" t="n"/>
      <c r="S180" s="26" t="n"/>
      <c r="T180" s="26" t="n"/>
      <c r="V180" s="27">
        <f>IF(ISNUMBER($C180),COUNTIFS($A$14:$A$1213,$A180,$C$14:$C$1213,"&gt;"&amp;$C180)+(COUNTIFS($A$14:$A$1213,$A180,$C$14:$C$1213,"="&amp;$C180)+1)/2,"")</f>
        <v/>
      </c>
      <c r="W180" s="27">
        <f>IF(ISNUMBER($F180),COUNTIFS($A$14:$A$1213,$A180,$F$14:$F$1213,"&gt;"&amp;$F180)+(COUNTIFS($A$14:$A$1213,$A180,$F$14:$F$1213,"="&amp;$F180)+1)/2,"")</f>
        <v/>
      </c>
      <c r="X180" s="27">
        <f>IF(OR(NOT(ISNUMBER($V180)),$AO180=1),"",$V180-(COUNTIFS($A$14:$A$1213,$A180,$C$14:$C$1213,"&gt;=0")+1)/2)</f>
        <v/>
      </c>
      <c r="Y180" s="27">
        <f>IF(OR(NOT(ISNUMBER($W180)),$AO180=1),"",$W180-(COUNTIFS($A$14:$A$1213,$A180,$F$14:$F$1213,"&gt;=0")+1)/2)</f>
        <v/>
      </c>
      <c r="Z180" s="27">
        <f>IF(ISNUMBER($V180),$A180&amp;"|"&amp;$V180,"")</f>
        <v/>
      </c>
      <c r="AA180" s="27">
        <f>IF(ISNUMBER($W180),$A180&amp;"|"&amp;$W180,"")</f>
        <v/>
      </c>
      <c r="AB180" s="27">
        <f>IF(ISNUMBER($F180),$A180&amp;"|"&amp;$F180,"")</f>
        <v/>
      </c>
      <c r="AC180" s="27">
        <f>IF(ISNUMBER($P180),COUNTIFS($A$14:$A$1213,$A180,$P$14:$P$1213,"&gt;"&amp;$P180)+(COUNTIFS($A$14:$A$1213,$A180,$P$14:$P$1213,"="&amp;$P180)+1)/2,"")</f>
        <v/>
      </c>
      <c r="AD180" s="27">
        <f>IF(ISNUMBER($Q180),COUNTIFS($A$14:$A$1213,$A180,$Q$14:$Q$1213,"&gt;"&amp;$Q180)+(COUNTIFS($A$14:$A$1213,$A180,$Q$14:$Q$1213,"="&amp;$Q180)+1)/2,"")</f>
        <v/>
      </c>
      <c r="AE180" s="27">
        <f>IF(ISNUMBER($R180),COUNTIFS($A$14:$A$1213,$A180,$R$14:$R$1213,"&gt;"&amp;$R180)+(COUNTIFS($A$14:$A$1213,$A180,$R$14:$R$1213,"="&amp;$R180)+1)/2,"")</f>
        <v/>
      </c>
      <c r="AF180" s="27">
        <f>IF(ISNUMBER($S180),COUNTIFS($A$14:$A$1213,$A180,$S$14:$S$1213,"&gt;"&amp;$S180)+(COUNTIFS($A$14:$A$1213,$A180,$S$14:$S$1213,"="&amp;$S180)+1)/2,"")</f>
        <v/>
      </c>
      <c r="AG180" s="27">
        <f>IF(ISNUMBER($T180),COUNTIFS($A$14:$A$1213,$A180,$T$14:$T$1213,"&gt;"&amp;$T180)+(COUNTIFS($A$14:$A$1213,$A180,$T$14:$T$1213,"="&amp;$T180)+1)/2,"")</f>
        <v/>
      </c>
      <c r="AH180" s="27">
        <f>IF(COUNT($AC180:$AG180)&lt;2,"",IF(MAX($AC180:$AG180)=MIN($AC180:$AG180),0,1))</f>
        <v/>
      </c>
      <c r="AI180" s="27">
        <f>IF($A180="","",IF(COUNTIF($A$14:$A180,$A180)=1,COUNTIF($AI$13:AI179,"&gt;0")+1,""))</f>
        <v/>
      </c>
      <c r="AJ180" s="27">
        <f>IF(OR($H180="",COUNTIFS($A$14:$A$1213,$H180,$F$14:$F$1213,"&gt;=0")&lt;2,COUNTIFS($A$14:$A$1213,$H180,$F$14:$F$1213,_xlfn.MAXIFS($F$14:$F$1213,$A$14:$A$1213,$H180))&gt;1),"",IFERROR(INDEX($D$14:$D$1213,MATCH($H180&amp;"|"&amp;_xlfn.MAXIFS($F$14:$F$1213,$A$14:$A$1213,$H180),$AB$14:$AB$1213,0)),""))</f>
        <v/>
      </c>
      <c r="AK180" s="27">
        <f>IF(OR($H180="",COUNTIFS($A$14:$A$1213,$H180,$F$14:$F$1213,"&gt;=0")&lt;2,COUNTIFS($A$14:$A$1213,$H180,$F$14:$F$1213,_xlfn.MAXIFS($F$14:$F$1213,$A$14:$A$1213,$H180))&gt;1),"",IFERROR(INDEX($E$14:$E$1213,MATCH($H180&amp;"|"&amp;_xlfn.MAXIFS($F$14:$F$1213,$A$14:$A$1213,$H180),$AB$14:$AB$1213,0)),""))</f>
        <v/>
      </c>
      <c r="AL180" s="27">
        <f>IF(OR($H180="",COUNTIFS($A$14:$A$1213,$H180,$F$14:$F$1213,"&gt;=0")&lt;2,COUNTIFS($A$14:$A$1213,$H180,$F$14:$F$1213,_xlfn.MAXIFS($F$14:$F$1213,$A$14:$A$1213,$H180))&gt;1),"",IFERROR(INDEX($D$14:$D$1213,MATCH($H180&amp;"|"&amp;_xlfn.MAXIFS($F$14:$F$1213,$A$14:$A$1213,$H180,$F$14:$F$1213,"&lt;"&amp;_xlfn.MAXIFS($F$14:$F$1213,$A$14:$A$1213,$H180)),$AB$14:$AB$1213,0)),""))</f>
        <v/>
      </c>
      <c r="AM180" s="27">
        <f>IF(OR($H180="",COUNTIFS($A$14:$A$1213,$H180,$F$14:$F$1213,"&gt;=0")&lt;2,COUNTIFS($A$14:$A$1213,$H180,$F$14:$F$1213,_xlfn.MAXIFS($F$14:$F$1213,$A$14:$A$1213,$H180))&gt;1),"",IFERROR(INDEX($E$14:$E$1213,MATCH($H180&amp;"|"&amp;_xlfn.MAXIFS($F$14:$F$1213,$A$14:$A$1213,$H180,$F$14:$F$1213,"&lt;"&amp;_xlfn.MAXIFS($F$14:$F$1213,$A$14:$A$1213,$H180)),$AB$14:$AB$1213,0)),""))</f>
        <v/>
      </c>
      <c r="AN180" s="27">
        <f>IF(OR(NOT(ISNUMBER($AJ180)),NOT(ISNUMBER($AL180)),$AK180=0,$AM180=0),"",IF(OR((($AJ180+$AL180)/($AK180+$AM180))&lt;=0,(($AJ180+$AL180)/($AK180+$AM180))&gt;=1),"",($AJ180/$AK180-$AL180/$AM180)/SQRT((($AJ180+$AL180)/($AK180+$AM180))*(1-(($AJ180+$AL180)/($AK180+$AM180)))*(1/$AK180+1/$AM180))))</f>
        <v/>
      </c>
      <c r="AO180" s="27">
        <f>IF($A180="","",IF(AND(COUNTIFS($A$14:$A$1213,$A180,$F$14:$F$1213,"&gt;=0")=2,IFERROR(INDEX($M$14:$M$313,MATCH($A180,$H$14:$H$313,0)),"Yes")&lt;&gt;"Yes"),1,0))</f>
        <v/>
      </c>
    </row>
    <row r="181" ht="24" customHeight="1">
      <c r="A181" s="19">
        <f>IF('Enter messages'!A181="","",'Enter messages'!A181)</f>
        <v/>
      </c>
      <c r="B181" s="20">
        <f>IF('Enter messages'!B181="","",'Enter messages'!B181)</f>
        <v/>
      </c>
      <c r="C181" s="21">
        <f>IFERROR(AVERAGE(P181:T181),"")</f>
        <v/>
      </c>
      <c r="D181" s="29" t="n"/>
      <c r="E181" s="29" t="n"/>
      <c r="F181" s="30">
        <f>IF(AND(ISNUMBER($D181),ISNUMBER($E181),$E181&gt;0,$D181&lt;=$E181),$D181/$E181,"")</f>
        <v/>
      </c>
      <c r="H181" s="19">
        <f>IFERROR(INDEX($A$14:$A$1213,MATCH(168,$AI$14:$AI$1213,0)),"")</f>
        <v/>
      </c>
      <c r="I181" s="24">
        <f>IF($H181="","",IF(COUNTIFS($A$14:$A$1213,$H181,$C$14:$C$1213,"&gt;=0")=0,"—",IFERROR(INDEX($B$14:$B$1213,MATCH($H181&amp;"|1",$Z$14:$Z$1213,0)),"(tied)")))</f>
        <v/>
      </c>
      <c r="J181" s="25">
        <f>IF($H181="","",IF(OR(COUNTIFS($A$14:$A$1213,$H181,$C$14:$C$1213,"&gt;=0")=0,COUNTIFS($A$14:$A$1213,$H181,$F$14:$F$1213,"&gt;=0")=0),"—",IF(OR(ISERROR(MATCH($H181&amp;"|1",$Z$14:$Z$1213,0)),ISERROR(MATCH($H181&amp;"|1",$AA$14:$AA$1213,0))),"Tie",IF(MATCH($H181&amp;"|1",$Z$14:$Z$1213,0)=MATCH($H181&amp;"|1",$AA$14:$AA$1213,0),"Hit","Miss"))))</f>
        <v/>
      </c>
      <c r="K181" s="24">
        <f>IF($H181="","",IF(COUNTIFS($A$14:$A$1213,$H181,$F$14:$F$1213,"&gt;=0")=0,"—",IFERROR(INDEX($B$14:$B$1213,MATCH($H181&amp;"|1",$AA$14:$AA$1213,0)),"(tied)")))</f>
        <v/>
      </c>
      <c r="L181" s="25">
        <f>IF($H181="","",IF((--(COUNTIFS($A$14:$A$1213,$H181,$P$14:$P$1213,"&gt;=0")&gt;0)+--(COUNTIFS($A$14:$A$1213,$H181,$Q$14:$Q$1213,"&gt;=0")&gt;0)+--(COUNTIFS($A$14:$A$1213,$H181,$R$14:$R$1213,"&gt;=0")&gt;0)+--(COUNTIFS($A$14:$A$1213,$H181,$S$14:$S$1213,"&gt;=0")&gt;0)+--(COUNTIFS($A$14:$A$1213,$H181,$T$14:$T$1213,"&gt;=0")&gt;0))&lt;2,"—",IF(SUMIFS($AH$14:$AH$1213,$A$14:$A$1213,$H181)=0,"Yes","No")))</f>
        <v/>
      </c>
      <c r="M181" s="25">
        <f>IF($H181="","",IF(COUNTIFS($A$14:$A$1213,$H181,$F$14:$F$1213,"&gt;=0")&lt;2,"—",IF(COUNTIFS($A$14:$A$1213,$H181,$F$14:$F$1213,_xlfn.MAXIFS($F$14:$F$1213,$A$14:$A$1213,$H181))&gt;1,"No",IF(NOT(ISNUMBER($AN181)),"—",IF((2*(1-NORMSDIST(ABS($AN181))))&lt;0.05,"Yes","No")))))</f>
        <v/>
      </c>
      <c r="N181" s="21">
        <f>IF($H181="","",IF(NOT(ISNUMBER($AN181)),"—",IF((2*(1-NORMSDIST(ABS($AN181))))&lt;0.001,"&lt;0.001",TEXT((2*(1-NORMSDIST(ABS($AN181)))),"0.000"))))</f>
        <v/>
      </c>
      <c r="P181" s="26" t="n"/>
      <c r="Q181" s="26" t="n"/>
      <c r="R181" s="26" t="n"/>
      <c r="S181" s="26" t="n"/>
      <c r="T181" s="26" t="n"/>
      <c r="V181" s="27">
        <f>IF(ISNUMBER($C181),COUNTIFS($A$14:$A$1213,$A181,$C$14:$C$1213,"&gt;"&amp;$C181)+(COUNTIFS($A$14:$A$1213,$A181,$C$14:$C$1213,"="&amp;$C181)+1)/2,"")</f>
        <v/>
      </c>
      <c r="W181" s="27">
        <f>IF(ISNUMBER($F181),COUNTIFS($A$14:$A$1213,$A181,$F$14:$F$1213,"&gt;"&amp;$F181)+(COUNTIFS($A$14:$A$1213,$A181,$F$14:$F$1213,"="&amp;$F181)+1)/2,"")</f>
        <v/>
      </c>
      <c r="X181" s="27">
        <f>IF(OR(NOT(ISNUMBER($V181)),$AO181=1),"",$V181-(COUNTIFS($A$14:$A$1213,$A181,$C$14:$C$1213,"&gt;=0")+1)/2)</f>
        <v/>
      </c>
      <c r="Y181" s="27">
        <f>IF(OR(NOT(ISNUMBER($W181)),$AO181=1),"",$W181-(COUNTIFS($A$14:$A$1213,$A181,$F$14:$F$1213,"&gt;=0")+1)/2)</f>
        <v/>
      </c>
      <c r="Z181" s="27">
        <f>IF(ISNUMBER($V181),$A181&amp;"|"&amp;$V181,"")</f>
        <v/>
      </c>
      <c r="AA181" s="27">
        <f>IF(ISNUMBER($W181),$A181&amp;"|"&amp;$W181,"")</f>
        <v/>
      </c>
      <c r="AB181" s="27">
        <f>IF(ISNUMBER($F181),$A181&amp;"|"&amp;$F181,"")</f>
        <v/>
      </c>
      <c r="AC181" s="27">
        <f>IF(ISNUMBER($P181),COUNTIFS($A$14:$A$1213,$A181,$P$14:$P$1213,"&gt;"&amp;$P181)+(COUNTIFS($A$14:$A$1213,$A181,$P$14:$P$1213,"="&amp;$P181)+1)/2,"")</f>
        <v/>
      </c>
      <c r="AD181" s="27">
        <f>IF(ISNUMBER($Q181),COUNTIFS($A$14:$A$1213,$A181,$Q$14:$Q$1213,"&gt;"&amp;$Q181)+(COUNTIFS($A$14:$A$1213,$A181,$Q$14:$Q$1213,"="&amp;$Q181)+1)/2,"")</f>
        <v/>
      </c>
      <c r="AE181" s="27">
        <f>IF(ISNUMBER($R181),COUNTIFS($A$14:$A$1213,$A181,$R$14:$R$1213,"&gt;"&amp;$R181)+(COUNTIFS($A$14:$A$1213,$A181,$R$14:$R$1213,"="&amp;$R181)+1)/2,"")</f>
        <v/>
      </c>
      <c r="AF181" s="27">
        <f>IF(ISNUMBER($S181),COUNTIFS($A$14:$A$1213,$A181,$S$14:$S$1213,"&gt;"&amp;$S181)+(COUNTIFS($A$14:$A$1213,$A181,$S$14:$S$1213,"="&amp;$S181)+1)/2,"")</f>
        <v/>
      </c>
      <c r="AG181" s="27">
        <f>IF(ISNUMBER($T181),COUNTIFS($A$14:$A$1213,$A181,$T$14:$T$1213,"&gt;"&amp;$T181)+(COUNTIFS($A$14:$A$1213,$A181,$T$14:$T$1213,"="&amp;$T181)+1)/2,"")</f>
        <v/>
      </c>
      <c r="AH181" s="27">
        <f>IF(COUNT($AC181:$AG181)&lt;2,"",IF(MAX($AC181:$AG181)=MIN($AC181:$AG181),0,1))</f>
        <v/>
      </c>
      <c r="AI181" s="27">
        <f>IF($A181="","",IF(COUNTIF($A$14:$A181,$A181)=1,COUNTIF($AI$13:AI180,"&gt;0")+1,""))</f>
        <v/>
      </c>
      <c r="AJ181" s="27">
        <f>IF(OR($H181="",COUNTIFS($A$14:$A$1213,$H181,$F$14:$F$1213,"&gt;=0")&lt;2,COUNTIFS($A$14:$A$1213,$H181,$F$14:$F$1213,_xlfn.MAXIFS($F$14:$F$1213,$A$14:$A$1213,$H181))&gt;1),"",IFERROR(INDEX($D$14:$D$1213,MATCH($H181&amp;"|"&amp;_xlfn.MAXIFS($F$14:$F$1213,$A$14:$A$1213,$H181),$AB$14:$AB$1213,0)),""))</f>
        <v/>
      </c>
      <c r="AK181" s="27">
        <f>IF(OR($H181="",COUNTIFS($A$14:$A$1213,$H181,$F$14:$F$1213,"&gt;=0")&lt;2,COUNTIFS($A$14:$A$1213,$H181,$F$14:$F$1213,_xlfn.MAXIFS($F$14:$F$1213,$A$14:$A$1213,$H181))&gt;1),"",IFERROR(INDEX($E$14:$E$1213,MATCH($H181&amp;"|"&amp;_xlfn.MAXIFS($F$14:$F$1213,$A$14:$A$1213,$H181),$AB$14:$AB$1213,0)),""))</f>
        <v/>
      </c>
      <c r="AL181" s="27">
        <f>IF(OR($H181="",COUNTIFS($A$14:$A$1213,$H181,$F$14:$F$1213,"&gt;=0")&lt;2,COUNTIFS($A$14:$A$1213,$H181,$F$14:$F$1213,_xlfn.MAXIFS($F$14:$F$1213,$A$14:$A$1213,$H181))&gt;1),"",IFERROR(INDEX($D$14:$D$1213,MATCH($H181&amp;"|"&amp;_xlfn.MAXIFS($F$14:$F$1213,$A$14:$A$1213,$H181,$F$14:$F$1213,"&lt;"&amp;_xlfn.MAXIFS($F$14:$F$1213,$A$14:$A$1213,$H181)),$AB$14:$AB$1213,0)),""))</f>
        <v/>
      </c>
      <c r="AM181" s="27">
        <f>IF(OR($H181="",COUNTIFS($A$14:$A$1213,$H181,$F$14:$F$1213,"&gt;=0")&lt;2,COUNTIFS($A$14:$A$1213,$H181,$F$14:$F$1213,_xlfn.MAXIFS($F$14:$F$1213,$A$14:$A$1213,$H181))&gt;1),"",IFERROR(INDEX($E$14:$E$1213,MATCH($H181&amp;"|"&amp;_xlfn.MAXIFS($F$14:$F$1213,$A$14:$A$1213,$H181,$F$14:$F$1213,"&lt;"&amp;_xlfn.MAXIFS($F$14:$F$1213,$A$14:$A$1213,$H181)),$AB$14:$AB$1213,0)),""))</f>
        <v/>
      </c>
      <c r="AN181" s="27">
        <f>IF(OR(NOT(ISNUMBER($AJ181)),NOT(ISNUMBER($AL181)),$AK181=0,$AM181=0),"",IF(OR((($AJ181+$AL181)/($AK181+$AM181))&lt;=0,(($AJ181+$AL181)/($AK181+$AM181))&gt;=1),"",($AJ181/$AK181-$AL181/$AM181)/SQRT((($AJ181+$AL181)/($AK181+$AM181))*(1-(($AJ181+$AL181)/($AK181+$AM181)))*(1/$AK181+1/$AM181))))</f>
        <v/>
      </c>
      <c r="AO181" s="27">
        <f>IF($A181="","",IF(AND(COUNTIFS($A$14:$A$1213,$A181,$F$14:$F$1213,"&gt;=0")=2,IFERROR(INDEX($M$14:$M$313,MATCH($A181,$H$14:$H$313,0)),"Yes")&lt;&gt;"Yes"),1,0))</f>
        <v/>
      </c>
    </row>
    <row r="182" ht="24" customHeight="1">
      <c r="A182" s="19">
        <f>IF('Enter messages'!A182="","",'Enter messages'!A182)</f>
        <v/>
      </c>
      <c r="B182" s="20">
        <f>IF('Enter messages'!B182="","",'Enter messages'!B182)</f>
        <v/>
      </c>
      <c r="C182" s="21">
        <f>IFERROR(AVERAGE(P182:T182),"")</f>
        <v/>
      </c>
      <c r="D182" s="29" t="n"/>
      <c r="E182" s="29" t="n"/>
      <c r="F182" s="30">
        <f>IF(AND(ISNUMBER($D182),ISNUMBER($E182),$E182&gt;0,$D182&lt;=$E182),$D182/$E182,"")</f>
        <v/>
      </c>
      <c r="H182" s="19">
        <f>IFERROR(INDEX($A$14:$A$1213,MATCH(169,$AI$14:$AI$1213,0)),"")</f>
        <v/>
      </c>
      <c r="I182" s="24">
        <f>IF($H182="","",IF(COUNTIFS($A$14:$A$1213,$H182,$C$14:$C$1213,"&gt;=0")=0,"—",IFERROR(INDEX($B$14:$B$1213,MATCH($H182&amp;"|1",$Z$14:$Z$1213,0)),"(tied)")))</f>
        <v/>
      </c>
      <c r="J182" s="25">
        <f>IF($H182="","",IF(OR(COUNTIFS($A$14:$A$1213,$H182,$C$14:$C$1213,"&gt;=0")=0,COUNTIFS($A$14:$A$1213,$H182,$F$14:$F$1213,"&gt;=0")=0),"—",IF(OR(ISERROR(MATCH($H182&amp;"|1",$Z$14:$Z$1213,0)),ISERROR(MATCH($H182&amp;"|1",$AA$14:$AA$1213,0))),"Tie",IF(MATCH($H182&amp;"|1",$Z$14:$Z$1213,0)=MATCH($H182&amp;"|1",$AA$14:$AA$1213,0),"Hit","Miss"))))</f>
        <v/>
      </c>
      <c r="K182" s="24">
        <f>IF($H182="","",IF(COUNTIFS($A$14:$A$1213,$H182,$F$14:$F$1213,"&gt;=0")=0,"—",IFERROR(INDEX($B$14:$B$1213,MATCH($H182&amp;"|1",$AA$14:$AA$1213,0)),"(tied)")))</f>
        <v/>
      </c>
      <c r="L182" s="25">
        <f>IF($H182="","",IF((--(COUNTIFS($A$14:$A$1213,$H182,$P$14:$P$1213,"&gt;=0")&gt;0)+--(COUNTIFS($A$14:$A$1213,$H182,$Q$14:$Q$1213,"&gt;=0")&gt;0)+--(COUNTIFS($A$14:$A$1213,$H182,$R$14:$R$1213,"&gt;=0")&gt;0)+--(COUNTIFS($A$14:$A$1213,$H182,$S$14:$S$1213,"&gt;=0")&gt;0)+--(COUNTIFS($A$14:$A$1213,$H182,$T$14:$T$1213,"&gt;=0")&gt;0))&lt;2,"—",IF(SUMIFS($AH$14:$AH$1213,$A$14:$A$1213,$H182)=0,"Yes","No")))</f>
        <v/>
      </c>
      <c r="M182" s="25">
        <f>IF($H182="","",IF(COUNTIFS($A$14:$A$1213,$H182,$F$14:$F$1213,"&gt;=0")&lt;2,"—",IF(COUNTIFS($A$14:$A$1213,$H182,$F$14:$F$1213,_xlfn.MAXIFS($F$14:$F$1213,$A$14:$A$1213,$H182))&gt;1,"No",IF(NOT(ISNUMBER($AN182)),"—",IF((2*(1-NORMSDIST(ABS($AN182))))&lt;0.05,"Yes","No")))))</f>
        <v/>
      </c>
      <c r="N182" s="21">
        <f>IF($H182="","",IF(NOT(ISNUMBER($AN182)),"—",IF((2*(1-NORMSDIST(ABS($AN182))))&lt;0.001,"&lt;0.001",TEXT((2*(1-NORMSDIST(ABS($AN182)))),"0.000"))))</f>
        <v/>
      </c>
      <c r="P182" s="26" t="n"/>
      <c r="Q182" s="26" t="n"/>
      <c r="R182" s="26" t="n"/>
      <c r="S182" s="26" t="n"/>
      <c r="T182" s="26" t="n"/>
      <c r="V182" s="27">
        <f>IF(ISNUMBER($C182),COUNTIFS($A$14:$A$1213,$A182,$C$14:$C$1213,"&gt;"&amp;$C182)+(COUNTIFS($A$14:$A$1213,$A182,$C$14:$C$1213,"="&amp;$C182)+1)/2,"")</f>
        <v/>
      </c>
      <c r="W182" s="27">
        <f>IF(ISNUMBER($F182),COUNTIFS($A$14:$A$1213,$A182,$F$14:$F$1213,"&gt;"&amp;$F182)+(COUNTIFS($A$14:$A$1213,$A182,$F$14:$F$1213,"="&amp;$F182)+1)/2,"")</f>
        <v/>
      </c>
      <c r="X182" s="27">
        <f>IF(OR(NOT(ISNUMBER($V182)),$AO182=1),"",$V182-(COUNTIFS($A$14:$A$1213,$A182,$C$14:$C$1213,"&gt;=0")+1)/2)</f>
        <v/>
      </c>
      <c r="Y182" s="27">
        <f>IF(OR(NOT(ISNUMBER($W182)),$AO182=1),"",$W182-(COUNTIFS($A$14:$A$1213,$A182,$F$14:$F$1213,"&gt;=0")+1)/2)</f>
        <v/>
      </c>
      <c r="Z182" s="27">
        <f>IF(ISNUMBER($V182),$A182&amp;"|"&amp;$V182,"")</f>
        <v/>
      </c>
      <c r="AA182" s="27">
        <f>IF(ISNUMBER($W182),$A182&amp;"|"&amp;$W182,"")</f>
        <v/>
      </c>
      <c r="AB182" s="27">
        <f>IF(ISNUMBER($F182),$A182&amp;"|"&amp;$F182,"")</f>
        <v/>
      </c>
      <c r="AC182" s="27">
        <f>IF(ISNUMBER($P182),COUNTIFS($A$14:$A$1213,$A182,$P$14:$P$1213,"&gt;"&amp;$P182)+(COUNTIFS($A$14:$A$1213,$A182,$P$14:$P$1213,"="&amp;$P182)+1)/2,"")</f>
        <v/>
      </c>
      <c r="AD182" s="27">
        <f>IF(ISNUMBER($Q182),COUNTIFS($A$14:$A$1213,$A182,$Q$14:$Q$1213,"&gt;"&amp;$Q182)+(COUNTIFS($A$14:$A$1213,$A182,$Q$14:$Q$1213,"="&amp;$Q182)+1)/2,"")</f>
        <v/>
      </c>
      <c r="AE182" s="27">
        <f>IF(ISNUMBER($R182),COUNTIFS($A$14:$A$1213,$A182,$R$14:$R$1213,"&gt;"&amp;$R182)+(COUNTIFS($A$14:$A$1213,$A182,$R$14:$R$1213,"="&amp;$R182)+1)/2,"")</f>
        <v/>
      </c>
      <c r="AF182" s="27">
        <f>IF(ISNUMBER($S182),COUNTIFS($A$14:$A$1213,$A182,$S$14:$S$1213,"&gt;"&amp;$S182)+(COUNTIFS($A$14:$A$1213,$A182,$S$14:$S$1213,"="&amp;$S182)+1)/2,"")</f>
        <v/>
      </c>
      <c r="AG182" s="27">
        <f>IF(ISNUMBER($T182),COUNTIFS($A$14:$A$1213,$A182,$T$14:$T$1213,"&gt;"&amp;$T182)+(COUNTIFS($A$14:$A$1213,$A182,$T$14:$T$1213,"="&amp;$T182)+1)/2,"")</f>
        <v/>
      </c>
      <c r="AH182" s="27">
        <f>IF(COUNT($AC182:$AG182)&lt;2,"",IF(MAX($AC182:$AG182)=MIN($AC182:$AG182),0,1))</f>
        <v/>
      </c>
      <c r="AI182" s="27">
        <f>IF($A182="","",IF(COUNTIF($A$14:$A182,$A182)=1,COUNTIF($AI$13:AI181,"&gt;0")+1,""))</f>
        <v/>
      </c>
      <c r="AJ182" s="27">
        <f>IF(OR($H182="",COUNTIFS($A$14:$A$1213,$H182,$F$14:$F$1213,"&gt;=0")&lt;2,COUNTIFS($A$14:$A$1213,$H182,$F$14:$F$1213,_xlfn.MAXIFS($F$14:$F$1213,$A$14:$A$1213,$H182))&gt;1),"",IFERROR(INDEX($D$14:$D$1213,MATCH($H182&amp;"|"&amp;_xlfn.MAXIFS($F$14:$F$1213,$A$14:$A$1213,$H182),$AB$14:$AB$1213,0)),""))</f>
        <v/>
      </c>
      <c r="AK182" s="27">
        <f>IF(OR($H182="",COUNTIFS($A$14:$A$1213,$H182,$F$14:$F$1213,"&gt;=0")&lt;2,COUNTIFS($A$14:$A$1213,$H182,$F$14:$F$1213,_xlfn.MAXIFS($F$14:$F$1213,$A$14:$A$1213,$H182))&gt;1),"",IFERROR(INDEX($E$14:$E$1213,MATCH($H182&amp;"|"&amp;_xlfn.MAXIFS($F$14:$F$1213,$A$14:$A$1213,$H182),$AB$14:$AB$1213,0)),""))</f>
        <v/>
      </c>
      <c r="AL182" s="27">
        <f>IF(OR($H182="",COUNTIFS($A$14:$A$1213,$H182,$F$14:$F$1213,"&gt;=0")&lt;2,COUNTIFS($A$14:$A$1213,$H182,$F$14:$F$1213,_xlfn.MAXIFS($F$14:$F$1213,$A$14:$A$1213,$H182))&gt;1),"",IFERROR(INDEX($D$14:$D$1213,MATCH($H182&amp;"|"&amp;_xlfn.MAXIFS($F$14:$F$1213,$A$14:$A$1213,$H182,$F$14:$F$1213,"&lt;"&amp;_xlfn.MAXIFS($F$14:$F$1213,$A$14:$A$1213,$H182)),$AB$14:$AB$1213,0)),""))</f>
        <v/>
      </c>
      <c r="AM182" s="27">
        <f>IF(OR($H182="",COUNTIFS($A$14:$A$1213,$H182,$F$14:$F$1213,"&gt;=0")&lt;2,COUNTIFS($A$14:$A$1213,$H182,$F$14:$F$1213,_xlfn.MAXIFS($F$14:$F$1213,$A$14:$A$1213,$H182))&gt;1),"",IFERROR(INDEX($E$14:$E$1213,MATCH($H182&amp;"|"&amp;_xlfn.MAXIFS($F$14:$F$1213,$A$14:$A$1213,$H182,$F$14:$F$1213,"&lt;"&amp;_xlfn.MAXIFS($F$14:$F$1213,$A$14:$A$1213,$H182)),$AB$14:$AB$1213,0)),""))</f>
        <v/>
      </c>
      <c r="AN182" s="27">
        <f>IF(OR(NOT(ISNUMBER($AJ182)),NOT(ISNUMBER($AL182)),$AK182=0,$AM182=0),"",IF(OR((($AJ182+$AL182)/($AK182+$AM182))&lt;=0,(($AJ182+$AL182)/($AK182+$AM182))&gt;=1),"",($AJ182/$AK182-$AL182/$AM182)/SQRT((($AJ182+$AL182)/($AK182+$AM182))*(1-(($AJ182+$AL182)/($AK182+$AM182)))*(1/$AK182+1/$AM182))))</f>
        <v/>
      </c>
      <c r="AO182" s="27">
        <f>IF($A182="","",IF(AND(COUNTIFS($A$14:$A$1213,$A182,$F$14:$F$1213,"&gt;=0")=2,IFERROR(INDEX($M$14:$M$313,MATCH($A182,$H$14:$H$313,0)),"Yes")&lt;&gt;"Yes"),1,0))</f>
        <v/>
      </c>
    </row>
    <row r="183" ht="24" customHeight="1">
      <c r="A183" s="19">
        <f>IF('Enter messages'!A183="","",'Enter messages'!A183)</f>
        <v/>
      </c>
      <c r="B183" s="20">
        <f>IF('Enter messages'!B183="","",'Enter messages'!B183)</f>
        <v/>
      </c>
      <c r="C183" s="21">
        <f>IFERROR(AVERAGE(P183:T183),"")</f>
        <v/>
      </c>
      <c r="D183" s="29" t="n"/>
      <c r="E183" s="29" t="n"/>
      <c r="F183" s="30">
        <f>IF(AND(ISNUMBER($D183),ISNUMBER($E183),$E183&gt;0,$D183&lt;=$E183),$D183/$E183,"")</f>
        <v/>
      </c>
      <c r="H183" s="19">
        <f>IFERROR(INDEX($A$14:$A$1213,MATCH(170,$AI$14:$AI$1213,0)),"")</f>
        <v/>
      </c>
      <c r="I183" s="24">
        <f>IF($H183="","",IF(COUNTIFS($A$14:$A$1213,$H183,$C$14:$C$1213,"&gt;=0")=0,"—",IFERROR(INDEX($B$14:$B$1213,MATCH($H183&amp;"|1",$Z$14:$Z$1213,0)),"(tied)")))</f>
        <v/>
      </c>
      <c r="J183" s="25">
        <f>IF($H183="","",IF(OR(COUNTIFS($A$14:$A$1213,$H183,$C$14:$C$1213,"&gt;=0")=0,COUNTIFS($A$14:$A$1213,$H183,$F$14:$F$1213,"&gt;=0")=0),"—",IF(OR(ISERROR(MATCH($H183&amp;"|1",$Z$14:$Z$1213,0)),ISERROR(MATCH($H183&amp;"|1",$AA$14:$AA$1213,0))),"Tie",IF(MATCH($H183&amp;"|1",$Z$14:$Z$1213,0)=MATCH($H183&amp;"|1",$AA$14:$AA$1213,0),"Hit","Miss"))))</f>
        <v/>
      </c>
      <c r="K183" s="24">
        <f>IF($H183="","",IF(COUNTIFS($A$14:$A$1213,$H183,$F$14:$F$1213,"&gt;=0")=0,"—",IFERROR(INDEX($B$14:$B$1213,MATCH($H183&amp;"|1",$AA$14:$AA$1213,0)),"(tied)")))</f>
        <v/>
      </c>
      <c r="L183" s="25">
        <f>IF($H183="","",IF((--(COUNTIFS($A$14:$A$1213,$H183,$P$14:$P$1213,"&gt;=0")&gt;0)+--(COUNTIFS($A$14:$A$1213,$H183,$Q$14:$Q$1213,"&gt;=0")&gt;0)+--(COUNTIFS($A$14:$A$1213,$H183,$R$14:$R$1213,"&gt;=0")&gt;0)+--(COUNTIFS($A$14:$A$1213,$H183,$S$14:$S$1213,"&gt;=0")&gt;0)+--(COUNTIFS($A$14:$A$1213,$H183,$T$14:$T$1213,"&gt;=0")&gt;0))&lt;2,"—",IF(SUMIFS($AH$14:$AH$1213,$A$14:$A$1213,$H183)=0,"Yes","No")))</f>
        <v/>
      </c>
      <c r="M183" s="25">
        <f>IF($H183="","",IF(COUNTIFS($A$14:$A$1213,$H183,$F$14:$F$1213,"&gt;=0")&lt;2,"—",IF(COUNTIFS($A$14:$A$1213,$H183,$F$14:$F$1213,_xlfn.MAXIFS($F$14:$F$1213,$A$14:$A$1213,$H183))&gt;1,"No",IF(NOT(ISNUMBER($AN183)),"—",IF((2*(1-NORMSDIST(ABS($AN183))))&lt;0.05,"Yes","No")))))</f>
        <v/>
      </c>
      <c r="N183" s="21">
        <f>IF($H183="","",IF(NOT(ISNUMBER($AN183)),"—",IF((2*(1-NORMSDIST(ABS($AN183))))&lt;0.001,"&lt;0.001",TEXT((2*(1-NORMSDIST(ABS($AN183)))),"0.000"))))</f>
        <v/>
      </c>
      <c r="P183" s="26" t="n"/>
      <c r="Q183" s="26" t="n"/>
      <c r="R183" s="26" t="n"/>
      <c r="S183" s="26" t="n"/>
      <c r="T183" s="26" t="n"/>
      <c r="V183" s="27">
        <f>IF(ISNUMBER($C183),COUNTIFS($A$14:$A$1213,$A183,$C$14:$C$1213,"&gt;"&amp;$C183)+(COUNTIFS($A$14:$A$1213,$A183,$C$14:$C$1213,"="&amp;$C183)+1)/2,"")</f>
        <v/>
      </c>
      <c r="W183" s="27">
        <f>IF(ISNUMBER($F183),COUNTIFS($A$14:$A$1213,$A183,$F$14:$F$1213,"&gt;"&amp;$F183)+(COUNTIFS($A$14:$A$1213,$A183,$F$14:$F$1213,"="&amp;$F183)+1)/2,"")</f>
        <v/>
      </c>
      <c r="X183" s="27">
        <f>IF(OR(NOT(ISNUMBER($V183)),$AO183=1),"",$V183-(COUNTIFS($A$14:$A$1213,$A183,$C$14:$C$1213,"&gt;=0")+1)/2)</f>
        <v/>
      </c>
      <c r="Y183" s="27">
        <f>IF(OR(NOT(ISNUMBER($W183)),$AO183=1),"",$W183-(COUNTIFS($A$14:$A$1213,$A183,$F$14:$F$1213,"&gt;=0")+1)/2)</f>
        <v/>
      </c>
      <c r="Z183" s="27">
        <f>IF(ISNUMBER($V183),$A183&amp;"|"&amp;$V183,"")</f>
        <v/>
      </c>
      <c r="AA183" s="27">
        <f>IF(ISNUMBER($W183),$A183&amp;"|"&amp;$W183,"")</f>
        <v/>
      </c>
      <c r="AB183" s="27">
        <f>IF(ISNUMBER($F183),$A183&amp;"|"&amp;$F183,"")</f>
        <v/>
      </c>
      <c r="AC183" s="27">
        <f>IF(ISNUMBER($P183),COUNTIFS($A$14:$A$1213,$A183,$P$14:$P$1213,"&gt;"&amp;$P183)+(COUNTIFS($A$14:$A$1213,$A183,$P$14:$P$1213,"="&amp;$P183)+1)/2,"")</f>
        <v/>
      </c>
      <c r="AD183" s="27">
        <f>IF(ISNUMBER($Q183),COUNTIFS($A$14:$A$1213,$A183,$Q$14:$Q$1213,"&gt;"&amp;$Q183)+(COUNTIFS($A$14:$A$1213,$A183,$Q$14:$Q$1213,"="&amp;$Q183)+1)/2,"")</f>
        <v/>
      </c>
      <c r="AE183" s="27">
        <f>IF(ISNUMBER($R183),COUNTIFS($A$14:$A$1213,$A183,$R$14:$R$1213,"&gt;"&amp;$R183)+(COUNTIFS($A$14:$A$1213,$A183,$R$14:$R$1213,"="&amp;$R183)+1)/2,"")</f>
        <v/>
      </c>
      <c r="AF183" s="27">
        <f>IF(ISNUMBER($S183),COUNTIFS($A$14:$A$1213,$A183,$S$14:$S$1213,"&gt;"&amp;$S183)+(COUNTIFS($A$14:$A$1213,$A183,$S$14:$S$1213,"="&amp;$S183)+1)/2,"")</f>
        <v/>
      </c>
      <c r="AG183" s="27">
        <f>IF(ISNUMBER($T183),COUNTIFS($A$14:$A$1213,$A183,$T$14:$T$1213,"&gt;"&amp;$T183)+(COUNTIFS($A$14:$A$1213,$A183,$T$14:$T$1213,"="&amp;$T183)+1)/2,"")</f>
        <v/>
      </c>
      <c r="AH183" s="27">
        <f>IF(COUNT($AC183:$AG183)&lt;2,"",IF(MAX($AC183:$AG183)=MIN($AC183:$AG183),0,1))</f>
        <v/>
      </c>
      <c r="AI183" s="27">
        <f>IF($A183="","",IF(COUNTIF($A$14:$A183,$A183)=1,COUNTIF($AI$13:AI182,"&gt;0")+1,""))</f>
        <v/>
      </c>
      <c r="AJ183" s="27">
        <f>IF(OR($H183="",COUNTIFS($A$14:$A$1213,$H183,$F$14:$F$1213,"&gt;=0")&lt;2,COUNTIFS($A$14:$A$1213,$H183,$F$14:$F$1213,_xlfn.MAXIFS($F$14:$F$1213,$A$14:$A$1213,$H183))&gt;1),"",IFERROR(INDEX($D$14:$D$1213,MATCH($H183&amp;"|"&amp;_xlfn.MAXIFS($F$14:$F$1213,$A$14:$A$1213,$H183),$AB$14:$AB$1213,0)),""))</f>
        <v/>
      </c>
      <c r="AK183" s="27">
        <f>IF(OR($H183="",COUNTIFS($A$14:$A$1213,$H183,$F$14:$F$1213,"&gt;=0")&lt;2,COUNTIFS($A$14:$A$1213,$H183,$F$14:$F$1213,_xlfn.MAXIFS($F$14:$F$1213,$A$14:$A$1213,$H183))&gt;1),"",IFERROR(INDEX($E$14:$E$1213,MATCH($H183&amp;"|"&amp;_xlfn.MAXIFS($F$14:$F$1213,$A$14:$A$1213,$H183),$AB$14:$AB$1213,0)),""))</f>
        <v/>
      </c>
      <c r="AL183" s="27">
        <f>IF(OR($H183="",COUNTIFS($A$14:$A$1213,$H183,$F$14:$F$1213,"&gt;=0")&lt;2,COUNTIFS($A$14:$A$1213,$H183,$F$14:$F$1213,_xlfn.MAXIFS($F$14:$F$1213,$A$14:$A$1213,$H183))&gt;1),"",IFERROR(INDEX($D$14:$D$1213,MATCH($H183&amp;"|"&amp;_xlfn.MAXIFS($F$14:$F$1213,$A$14:$A$1213,$H183,$F$14:$F$1213,"&lt;"&amp;_xlfn.MAXIFS($F$14:$F$1213,$A$14:$A$1213,$H183)),$AB$14:$AB$1213,0)),""))</f>
        <v/>
      </c>
      <c r="AM183" s="27">
        <f>IF(OR($H183="",COUNTIFS($A$14:$A$1213,$H183,$F$14:$F$1213,"&gt;=0")&lt;2,COUNTIFS($A$14:$A$1213,$H183,$F$14:$F$1213,_xlfn.MAXIFS($F$14:$F$1213,$A$14:$A$1213,$H183))&gt;1),"",IFERROR(INDEX($E$14:$E$1213,MATCH($H183&amp;"|"&amp;_xlfn.MAXIFS($F$14:$F$1213,$A$14:$A$1213,$H183,$F$14:$F$1213,"&lt;"&amp;_xlfn.MAXIFS($F$14:$F$1213,$A$14:$A$1213,$H183)),$AB$14:$AB$1213,0)),""))</f>
        <v/>
      </c>
      <c r="AN183" s="27">
        <f>IF(OR(NOT(ISNUMBER($AJ183)),NOT(ISNUMBER($AL183)),$AK183=0,$AM183=0),"",IF(OR((($AJ183+$AL183)/($AK183+$AM183))&lt;=0,(($AJ183+$AL183)/($AK183+$AM183))&gt;=1),"",($AJ183/$AK183-$AL183/$AM183)/SQRT((($AJ183+$AL183)/($AK183+$AM183))*(1-(($AJ183+$AL183)/($AK183+$AM183)))*(1/$AK183+1/$AM183))))</f>
        <v/>
      </c>
      <c r="AO183" s="27">
        <f>IF($A183="","",IF(AND(COUNTIFS($A$14:$A$1213,$A183,$F$14:$F$1213,"&gt;=0")=2,IFERROR(INDEX($M$14:$M$313,MATCH($A183,$H$14:$H$313,0)),"Yes")&lt;&gt;"Yes"),1,0))</f>
        <v/>
      </c>
    </row>
    <row r="184" ht="24" customHeight="1">
      <c r="A184" s="19">
        <f>IF('Enter messages'!A184="","",'Enter messages'!A184)</f>
        <v/>
      </c>
      <c r="B184" s="20">
        <f>IF('Enter messages'!B184="","",'Enter messages'!B184)</f>
        <v/>
      </c>
      <c r="C184" s="21">
        <f>IFERROR(AVERAGE(P184:T184),"")</f>
        <v/>
      </c>
      <c r="D184" s="29" t="n"/>
      <c r="E184" s="29" t="n"/>
      <c r="F184" s="30">
        <f>IF(AND(ISNUMBER($D184),ISNUMBER($E184),$E184&gt;0,$D184&lt;=$E184),$D184/$E184,"")</f>
        <v/>
      </c>
      <c r="H184" s="19">
        <f>IFERROR(INDEX($A$14:$A$1213,MATCH(171,$AI$14:$AI$1213,0)),"")</f>
        <v/>
      </c>
      <c r="I184" s="24">
        <f>IF($H184="","",IF(COUNTIFS($A$14:$A$1213,$H184,$C$14:$C$1213,"&gt;=0")=0,"—",IFERROR(INDEX($B$14:$B$1213,MATCH($H184&amp;"|1",$Z$14:$Z$1213,0)),"(tied)")))</f>
        <v/>
      </c>
      <c r="J184" s="25">
        <f>IF($H184="","",IF(OR(COUNTIFS($A$14:$A$1213,$H184,$C$14:$C$1213,"&gt;=0")=0,COUNTIFS($A$14:$A$1213,$H184,$F$14:$F$1213,"&gt;=0")=0),"—",IF(OR(ISERROR(MATCH($H184&amp;"|1",$Z$14:$Z$1213,0)),ISERROR(MATCH($H184&amp;"|1",$AA$14:$AA$1213,0))),"Tie",IF(MATCH($H184&amp;"|1",$Z$14:$Z$1213,0)=MATCH($H184&amp;"|1",$AA$14:$AA$1213,0),"Hit","Miss"))))</f>
        <v/>
      </c>
      <c r="K184" s="24">
        <f>IF($H184="","",IF(COUNTIFS($A$14:$A$1213,$H184,$F$14:$F$1213,"&gt;=0")=0,"—",IFERROR(INDEX($B$14:$B$1213,MATCH($H184&amp;"|1",$AA$14:$AA$1213,0)),"(tied)")))</f>
        <v/>
      </c>
      <c r="L184" s="25">
        <f>IF($H184="","",IF((--(COUNTIFS($A$14:$A$1213,$H184,$P$14:$P$1213,"&gt;=0")&gt;0)+--(COUNTIFS($A$14:$A$1213,$H184,$Q$14:$Q$1213,"&gt;=0")&gt;0)+--(COUNTIFS($A$14:$A$1213,$H184,$R$14:$R$1213,"&gt;=0")&gt;0)+--(COUNTIFS($A$14:$A$1213,$H184,$S$14:$S$1213,"&gt;=0")&gt;0)+--(COUNTIFS($A$14:$A$1213,$H184,$T$14:$T$1213,"&gt;=0")&gt;0))&lt;2,"—",IF(SUMIFS($AH$14:$AH$1213,$A$14:$A$1213,$H184)=0,"Yes","No")))</f>
        <v/>
      </c>
      <c r="M184" s="25">
        <f>IF($H184="","",IF(COUNTIFS($A$14:$A$1213,$H184,$F$14:$F$1213,"&gt;=0")&lt;2,"—",IF(COUNTIFS($A$14:$A$1213,$H184,$F$14:$F$1213,_xlfn.MAXIFS($F$14:$F$1213,$A$14:$A$1213,$H184))&gt;1,"No",IF(NOT(ISNUMBER($AN184)),"—",IF((2*(1-NORMSDIST(ABS($AN184))))&lt;0.05,"Yes","No")))))</f>
        <v/>
      </c>
      <c r="N184" s="21">
        <f>IF($H184="","",IF(NOT(ISNUMBER($AN184)),"—",IF((2*(1-NORMSDIST(ABS($AN184))))&lt;0.001,"&lt;0.001",TEXT((2*(1-NORMSDIST(ABS($AN184)))),"0.000"))))</f>
        <v/>
      </c>
      <c r="P184" s="26" t="n"/>
      <c r="Q184" s="26" t="n"/>
      <c r="R184" s="26" t="n"/>
      <c r="S184" s="26" t="n"/>
      <c r="T184" s="26" t="n"/>
      <c r="V184" s="27">
        <f>IF(ISNUMBER($C184),COUNTIFS($A$14:$A$1213,$A184,$C$14:$C$1213,"&gt;"&amp;$C184)+(COUNTIFS($A$14:$A$1213,$A184,$C$14:$C$1213,"="&amp;$C184)+1)/2,"")</f>
        <v/>
      </c>
      <c r="W184" s="27">
        <f>IF(ISNUMBER($F184),COUNTIFS($A$14:$A$1213,$A184,$F$14:$F$1213,"&gt;"&amp;$F184)+(COUNTIFS($A$14:$A$1213,$A184,$F$14:$F$1213,"="&amp;$F184)+1)/2,"")</f>
        <v/>
      </c>
      <c r="X184" s="27">
        <f>IF(OR(NOT(ISNUMBER($V184)),$AO184=1),"",$V184-(COUNTIFS($A$14:$A$1213,$A184,$C$14:$C$1213,"&gt;=0")+1)/2)</f>
        <v/>
      </c>
      <c r="Y184" s="27">
        <f>IF(OR(NOT(ISNUMBER($W184)),$AO184=1),"",$W184-(COUNTIFS($A$14:$A$1213,$A184,$F$14:$F$1213,"&gt;=0")+1)/2)</f>
        <v/>
      </c>
      <c r="Z184" s="27">
        <f>IF(ISNUMBER($V184),$A184&amp;"|"&amp;$V184,"")</f>
        <v/>
      </c>
      <c r="AA184" s="27">
        <f>IF(ISNUMBER($W184),$A184&amp;"|"&amp;$W184,"")</f>
        <v/>
      </c>
      <c r="AB184" s="27">
        <f>IF(ISNUMBER($F184),$A184&amp;"|"&amp;$F184,"")</f>
        <v/>
      </c>
      <c r="AC184" s="27">
        <f>IF(ISNUMBER($P184),COUNTIFS($A$14:$A$1213,$A184,$P$14:$P$1213,"&gt;"&amp;$P184)+(COUNTIFS($A$14:$A$1213,$A184,$P$14:$P$1213,"="&amp;$P184)+1)/2,"")</f>
        <v/>
      </c>
      <c r="AD184" s="27">
        <f>IF(ISNUMBER($Q184),COUNTIFS($A$14:$A$1213,$A184,$Q$14:$Q$1213,"&gt;"&amp;$Q184)+(COUNTIFS($A$14:$A$1213,$A184,$Q$14:$Q$1213,"="&amp;$Q184)+1)/2,"")</f>
        <v/>
      </c>
      <c r="AE184" s="27">
        <f>IF(ISNUMBER($R184),COUNTIFS($A$14:$A$1213,$A184,$R$14:$R$1213,"&gt;"&amp;$R184)+(COUNTIFS($A$14:$A$1213,$A184,$R$14:$R$1213,"="&amp;$R184)+1)/2,"")</f>
        <v/>
      </c>
      <c r="AF184" s="27">
        <f>IF(ISNUMBER($S184),COUNTIFS($A$14:$A$1213,$A184,$S$14:$S$1213,"&gt;"&amp;$S184)+(COUNTIFS($A$14:$A$1213,$A184,$S$14:$S$1213,"="&amp;$S184)+1)/2,"")</f>
        <v/>
      </c>
      <c r="AG184" s="27">
        <f>IF(ISNUMBER($T184),COUNTIFS($A$14:$A$1213,$A184,$T$14:$T$1213,"&gt;"&amp;$T184)+(COUNTIFS($A$14:$A$1213,$A184,$T$14:$T$1213,"="&amp;$T184)+1)/2,"")</f>
        <v/>
      </c>
      <c r="AH184" s="27">
        <f>IF(COUNT($AC184:$AG184)&lt;2,"",IF(MAX($AC184:$AG184)=MIN($AC184:$AG184),0,1))</f>
        <v/>
      </c>
      <c r="AI184" s="27">
        <f>IF($A184="","",IF(COUNTIF($A$14:$A184,$A184)=1,COUNTIF($AI$13:AI183,"&gt;0")+1,""))</f>
        <v/>
      </c>
      <c r="AJ184" s="27">
        <f>IF(OR($H184="",COUNTIFS($A$14:$A$1213,$H184,$F$14:$F$1213,"&gt;=0")&lt;2,COUNTIFS($A$14:$A$1213,$H184,$F$14:$F$1213,_xlfn.MAXIFS($F$14:$F$1213,$A$14:$A$1213,$H184))&gt;1),"",IFERROR(INDEX($D$14:$D$1213,MATCH($H184&amp;"|"&amp;_xlfn.MAXIFS($F$14:$F$1213,$A$14:$A$1213,$H184),$AB$14:$AB$1213,0)),""))</f>
        <v/>
      </c>
      <c r="AK184" s="27">
        <f>IF(OR($H184="",COUNTIFS($A$14:$A$1213,$H184,$F$14:$F$1213,"&gt;=0")&lt;2,COUNTIFS($A$14:$A$1213,$H184,$F$14:$F$1213,_xlfn.MAXIFS($F$14:$F$1213,$A$14:$A$1213,$H184))&gt;1),"",IFERROR(INDEX($E$14:$E$1213,MATCH($H184&amp;"|"&amp;_xlfn.MAXIFS($F$14:$F$1213,$A$14:$A$1213,$H184),$AB$14:$AB$1213,0)),""))</f>
        <v/>
      </c>
      <c r="AL184" s="27">
        <f>IF(OR($H184="",COUNTIFS($A$14:$A$1213,$H184,$F$14:$F$1213,"&gt;=0")&lt;2,COUNTIFS($A$14:$A$1213,$H184,$F$14:$F$1213,_xlfn.MAXIFS($F$14:$F$1213,$A$14:$A$1213,$H184))&gt;1),"",IFERROR(INDEX($D$14:$D$1213,MATCH($H184&amp;"|"&amp;_xlfn.MAXIFS($F$14:$F$1213,$A$14:$A$1213,$H184,$F$14:$F$1213,"&lt;"&amp;_xlfn.MAXIFS($F$14:$F$1213,$A$14:$A$1213,$H184)),$AB$14:$AB$1213,0)),""))</f>
        <v/>
      </c>
      <c r="AM184" s="27">
        <f>IF(OR($H184="",COUNTIFS($A$14:$A$1213,$H184,$F$14:$F$1213,"&gt;=0")&lt;2,COUNTIFS($A$14:$A$1213,$H184,$F$14:$F$1213,_xlfn.MAXIFS($F$14:$F$1213,$A$14:$A$1213,$H184))&gt;1),"",IFERROR(INDEX($E$14:$E$1213,MATCH($H184&amp;"|"&amp;_xlfn.MAXIFS($F$14:$F$1213,$A$14:$A$1213,$H184,$F$14:$F$1213,"&lt;"&amp;_xlfn.MAXIFS($F$14:$F$1213,$A$14:$A$1213,$H184)),$AB$14:$AB$1213,0)),""))</f>
        <v/>
      </c>
      <c r="AN184" s="27">
        <f>IF(OR(NOT(ISNUMBER($AJ184)),NOT(ISNUMBER($AL184)),$AK184=0,$AM184=0),"",IF(OR((($AJ184+$AL184)/($AK184+$AM184))&lt;=0,(($AJ184+$AL184)/($AK184+$AM184))&gt;=1),"",($AJ184/$AK184-$AL184/$AM184)/SQRT((($AJ184+$AL184)/($AK184+$AM184))*(1-(($AJ184+$AL184)/($AK184+$AM184)))*(1/$AK184+1/$AM184))))</f>
        <v/>
      </c>
      <c r="AO184" s="27">
        <f>IF($A184="","",IF(AND(COUNTIFS($A$14:$A$1213,$A184,$F$14:$F$1213,"&gt;=0")=2,IFERROR(INDEX($M$14:$M$313,MATCH($A184,$H$14:$H$313,0)),"Yes")&lt;&gt;"Yes"),1,0))</f>
        <v/>
      </c>
    </row>
    <row r="185" ht="24" customHeight="1">
      <c r="A185" s="19">
        <f>IF('Enter messages'!A185="","",'Enter messages'!A185)</f>
        <v/>
      </c>
      <c r="B185" s="20">
        <f>IF('Enter messages'!B185="","",'Enter messages'!B185)</f>
        <v/>
      </c>
      <c r="C185" s="21">
        <f>IFERROR(AVERAGE(P185:T185),"")</f>
        <v/>
      </c>
      <c r="D185" s="29" t="n"/>
      <c r="E185" s="29" t="n"/>
      <c r="F185" s="30">
        <f>IF(AND(ISNUMBER($D185),ISNUMBER($E185),$E185&gt;0,$D185&lt;=$E185),$D185/$E185,"")</f>
        <v/>
      </c>
      <c r="H185" s="19">
        <f>IFERROR(INDEX($A$14:$A$1213,MATCH(172,$AI$14:$AI$1213,0)),"")</f>
        <v/>
      </c>
      <c r="I185" s="24">
        <f>IF($H185="","",IF(COUNTIFS($A$14:$A$1213,$H185,$C$14:$C$1213,"&gt;=0")=0,"—",IFERROR(INDEX($B$14:$B$1213,MATCH($H185&amp;"|1",$Z$14:$Z$1213,0)),"(tied)")))</f>
        <v/>
      </c>
      <c r="J185" s="25">
        <f>IF($H185="","",IF(OR(COUNTIFS($A$14:$A$1213,$H185,$C$14:$C$1213,"&gt;=0")=0,COUNTIFS($A$14:$A$1213,$H185,$F$14:$F$1213,"&gt;=0")=0),"—",IF(OR(ISERROR(MATCH($H185&amp;"|1",$Z$14:$Z$1213,0)),ISERROR(MATCH($H185&amp;"|1",$AA$14:$AA$1213,0))),"Tie",IF(MATCH($H185&amp;"|1",$Z$14:$Z$1213,0)=MATCH($H185&amp;"|1",$AA$14:$AA$1213,0),"Hit","Miss"))))</f>
        <v/>
      </c>
      <c r="K185" s="24">
        <f>IF($H185="","",IF(COUNTIFS($A$14:$A$1213,$H185,$F$14:$F$1213,"&gt;=0")=0,"—",IFERROR(INDEX($B$14:$B$1213,MATCH($H185&amp;"|1",$AA$14:$AA$1213,0)),"(tied)")))</f>
        <v/>
      </c>
      <c r="L185" s="25">
        <f>IF($H185="","",IF((--(COUNTIFS($A$14:$A$1213,$H185,$P$14:$P$1213,"&gt;=0")&gt;0)+--(COUNTIFS($A$14:$A$1213,$H185,$Q$14:$Q$1213,"&gt;=0")&gt;0)+--(COUNTIFS($A$14:$A$1213,$H185,$R$14:$R$1213,"&gt;=0")&gt;0)+--(COUNTIFS($A$14:$A$1213,$H185,$S$14:$S$1213,"&gt;=0")&gt;0)+--(COUNTIFS($A$14:$A$1213,$H185,$T$14:$T$1213,"&gt;=0")&gt;0))&lt;2,"—",IF(SUMIFS($AH$14:$AH$1213,$A$14:$A$1213,$H185)=0,"Yes","No")))</f>
        <v/>
      </c>
      <c r="M185" s="25">
        <f>IF($H185="","",IF(COUNTIFS($A$14:$A$1213,$H185,$F$14:$F$1213,"&gt;=0")&lt;2,"—",IF(COUNTIFS($A$14:$A$1213,$H185,$F$14:$F$1213,_xlfn.MAXIFS($F$14:$F$1213,$A$14:$A$1213,$H185))&gt;1,"No",IF(NOT(ISNUMBER($AN185)),"—",IF((2*(1-NORMSDIST(ABS($AN185))))&lt;0.05,"Yes","No")))))</f>
        <v/>
      </c>
      <c r="N185" s="21">
        <f>IF($H185="","",IF(NOT(ISNUMBER($AN185)),"—",IF((2*(1-NORMSDIST(ABS($AN185))))&lt;0.001,"&lt;0.001",TEXT((2*(1-NORMSDIST(ABS($AN185)))),"0.000"))))</f>
        <v/>
      </c>
      <c r="P185" s="26" t="n"/>
      <c r="Q185" s="26" t="n"/>
      <c r="R185" s="26" t="n"/>
      <c r="S185" s="26" t="n"/>
      <c r="T185" s="26" t="n"/>
      <c r="V185" s="27">
        <f>IF(ISNUMBER($C185),COUNTIFS($A$14:$A$1213,$A185,$C$14:$C$1213,"&gt;"&amp;$C185)+(COUNTIFS($A$14:$A$1213,$A185,$C$14:$C$1213,"="&amp;$C185)+1)/2,"")</f>
        <v/>
      </c>
      <c r="W185" s="27">
        <f>IF(ISNUMBER($F185),COUNTIFS($A$14:$A$1213,$A185,$F$14:$F$1213,"&gt;"&amp;$F185)+(COUNTIFS($A$14:$A$1213,$A185,$F$14:$F$1213,"="&amp;$F185)+1)/2,"")</f>
        <v/>
      </c>
      <c r="X185" s="27">
        <f>IF(OR(NOT(ISNUMBER($V185)),$AO185=1),"",$V185-(COUNTIFS($A$14:$A$1213,$A185,$C$14:$C$1213,"&gt;=0")+1)/2)</f>
        <v/>
      </c>
      <c r="Y185" s="27">
        <f>IF(OR(NOT(ISNUMBER($W185)),$AO185=1),"",$W185-(COUNTIFS($A$14:$A$1213,$A185,$F$14:$F$1213,"&gt;=0")+1)/2)</f>
        <v/>
      </c>
      <c r="Z185" s="27">
        <f>IF(ISNUMBER($V185),$A185&amp;"|"&amp;$V185,"")</f>
        <v/>
      </c>
      <c r="AA185" s="27">
        <f>IF(ISNUMBER($W185),$A185&amp;"|"&amp;$W185,"")</f>
        <v/>
      </c>
      <c r="AB185" s="27">
        <f>IF(ISNUMBER($F185),$A185&amp;"|"&amp;$F185,"")</f>
        <v/>
      </c>
      <c r="AC185" s="27">
        <f>IF(ISNUMBER($P185),COUNTIFS($A$14:$A$1213,$A185,$P$14:$P$1213,"&gt;"&amp;$P185)+(COUNTIFS($A$14:$A$1213,$A185,$P$14:$P$1213,"="&amp;$P185)+1)/2,"")</f>
        <v/>
      </c>
      <c r="AD185" s="27">
        <f>IF(ISNUMBER($Q185),COUNTIFS($A$14:$A$1213,$A185,$Q$14:$Q$1213,"&gt;"&amp;$Q185)+(COUNTIFS($A$14:$A$1213,$A185,$Q$14:$Q$1213,"="&amp;$Q185)+1)/2,"")</f>
        <v/>
      </c>
      <c r="AE185" s="27">
        <f>IF(ISNUMBER($R185),COUNTIFS($A$14:$A$1213,$A185,$R$14:$R$1213,"&gt;"&amp;$R185)+(COUNTIFS($A$14:$A$1213,$A185,$R$14:$R$1213,"="&amp;$R185)+1)/2,"")</f>
        <v/>
      </c>
      <c r="AF185" s="27">
        <f>IF(ISNUMBER($S185),COUNTIFS($A$14:$A$1213,$A185,$S$14:$S$1213,"&gt;"&amp;$S185)+(COUNTIFS($A$14:$A$1213,$A185,$S$14:$S$1213,"="&amp;$S185)+1)/2,"")</f>
        <v/>
      </c>
      <c r="AG185" s="27">
        <f>IF(ISNUMBER($T185),COUNTIFS($A$14:$A$1213,$A185,$T$14:$T$1213,"&gt;"&amp;$T185)+(COUNTIFS($A$14:$A$1213,$A185,$T$14:$T$1213,"="&amp;$T185)+1)/2,"")</f>
        <v/>
      </c>
      <c r="AH185" s="27">
        <f>IF(COUNT($AC185:$AG185)&lt;2,"",IF(MAX($AC185:$AG185)=MIN($AC185:$AG185),0,1))</f>
        <v/>
      </c>
      <c r="AI185" s="27">
        <f>IF($A185="","",IF(COUNTIF($A$14:$A185,$A185)=1,COUNTIF($AI$13:AI184,"&gt;0")+1,""))</f>
        <v/>
      </c>
      <c r="AJ185" s="27">
        <f>IF(OR($H185="",COUNTIFS($A$14:$A$1213,$H185,$F$14:$F$1213,"&gt;=0")&lt;2,COUNTIFS($A$14:$A$1213,$H185,$F$14:$F$1213,_xlfn.MAXIFS($F$14:$F$1213,$A$14:$A$1213,$H185))&gt;1),"",IFERROR(INDEX($D$14:$D$1213,MATCH($H185&amp;"|"&amp;_xlfn.MAXIFS($F$14:$F$1213,$A$14:$A$1213,$H185),$AB$14:$AB$1213,0)),""))</f>
        <v/>
      </c>
      <c r="AK185" s="27">
        <f>IF(OR($H185="",COUNTIFS($A$14:$A$1213,$H185,$F$14:$F$1213,"&gt;=0")&lt;2,COUNTIFS($A$14:$A$1213,$H185,$F$14:$F$1213,_xlfn.MAXIFS($F$14:$F$1213,$A$14:$A$1213,$H185))&gt;1),"",IFERROR(INDEX($E$14:$E$1213,MATCH($H185&amp;"|"&amp;_xlfn.MAXIFS($F$14:$F$1213,$A$14:$A$1213,$H185),$AB$14:$AB$1213,0)),""))</f>
        <v/>
      </c>
      <c r="AL185" s="27">
        <f>IF(OR($H185="",COUNTIFS($A$14:$A$1213,$H185,$F$14:$F$1213,"&gt;=0")&lt;2,COUNTIFS($A$14:$A$1213,$H185,$F$14:$F$1213,_xlfn.MAXIFS($F$14:$F$1213,$A$14:$A$1213,$H185))&gt;1),"",IFERROR(INDEX($D$14:$D$1213,MATCH($H185&amp;"|"&amp;_xlfn.MAXIFS($F$14:$F$1213,$A$14:$A$1213,$H185,$F$14:$F$1213,"&lt;"&amp;_xlfn.MAXIFS($F$14:$F$1213,$A$14:$A$1213,$H185)),$AB$14:$AB$1213,0)),""))</f>
        <v/>
      </c>
      <c r="AM185" s="27">
        <f>IF(OR($H185="",COUNTIFS($A$14:$A$1213,$H185,$F$14:$F$1213,"&gt;=0")&lt;2,COUNTIFS($A$14:$A$1213,$H185,$F$14:$F$1213,_xlfn.MAXIFS($F$14:$F$1213,$A$14:$A$1213,$H185))&gt;1),"",IFERROR(INDEX($E$14:$E$1213,MATCH($H185&amp;"|"&amp;_xlfn.MAXIFS($F$14:$F$1213,$A$14:$A$1213,$H185,$F$14:$F$1213,"&lt;"&amp;_xlfn.MAXIFS($F$14:$F$1213,$A$14:$A$1213,$H185)),$AB$14:$AB$1213,0)),""))</f>
        <v/>
      </c>
      <c r="AN185" s="27">
        <f>IF(OR(NOT(ISNUMBER($AJ185)),NOT(ISNUMBER($AL185)),$AK185=0,$AM185=0),"",IF(OR((($AJ185+$AL185)/($AK185+$AM185))&lt;=0,(($AJ185+$AL185)/($AK185+$AM185))&gt;=1),"",($AJ185/$AK185-$AL185/$AM185)/SQRT((($AJ185+$AL185)/($AK185+$AM185))*(1-(($AJ185+$AL185)/($AK185+$AM185)))*(1/$AK185+1/$AM185))))</f>
        <v/>
      </c>
      <c r="AO185" s="27">
        <f>IF($A185="","",IF(AND(COUNTIFS($A$14:$A$1213,$A185,$F$14:$F$1213,"&gt;=0")=2,IFERROR(INDEX($M$14:$M$313,MATCH($A185,$H$14:$H$313,0)),"Yes")&lt;&gt;"Yes"),1,0))</f>
        <v/>
      </c>
    </row>
    <row r="186" ht="24" customHeight="1">
      <c r="A186" s="19">
        <f>IF('Enter messages'!A186="","",'Enter messages'!A186)</f>
        <v/>
      </c>
      <c r="B186" s="20">
        <f>IF('Enter messages'!B186="","",'Enter messages'!B186)</f>
        <v/>
      </c>
      <c r="C186" s="21">
        <f>IFERROR(AVERAGE(P186:T186),"")</f>
        <v/>
      </c>
      <c r="D186" s="29" t="n"/>
      <c r="E186" s="29" t="n"/>
      <c r="F186" s="30">
        <f>IF(AND(ISNUMBER($D186),ISNUMBER($E186),$E186&gt;0,$D186&lt;=$E186),$D186/$E186,"")</f>
        <v/>
      </c>
      <c r="H186" s="19">
        <f>IFERROR(INDEX($A$14:$A$1213,MATCH(173,$AI$14:$AI$1213,0)),"")</f>
        <v/>
      </c>
      <c r="I186" s="24">
        <f>IF($H186="","",IF(COUNTIFS($A$14:$A$1213,$H186,$C$14:$C$1213,"&gt;=0")=0,"—",IFERROR(INDEX($B$14:$B$1213,MATCH($H186&amp;"|1",$Z$14:$Z$1213,0)),"(tied)")))</f>
        <v/>
      </c>
      <c r="J186" s="25">
        <f>IF($H186="","",IF(OR(COUNTIFS($A$14:$A$1213,$H186,$C$14:$C$1213,"&gt;=0")=0,COUNTIFS($A$14:$A$1213,$H186,$F$14:$F$1213,"&gt;=0")=0),"—",IF(OR(ISERROR(MATCH($H186&amp;"|1",$Z$14:$Z$1213,0)),ISERROR(MATCH($H186&amp;"|1",$AA$14:$AA$1213,0))),"Tie",IF(MATCH($H186&amp;"|1",$Z$14:$Z$1213,0)=MATCH($H186&amp;"|1",$AA$14:$AA$1213,0),"Hit","Miss"))))</f>
        <v/>
      </c>
      <c r="K186" s="24">
        <f>IF($H186="","",IF(COUNTIFS($A$14:$A$1213,$H186,$F$14:$F$1213,"&gt;=0")=0,"—",IFERROR(INDEX($B$14:$B$1213,MATCH($H186&amp;"|1",$AA$14:$AA$1213,0)),"(tied)")))</f>
        <v/>
      </c>
      <c r="L186" s="25">
        <f>IF($H186="","",IF((--(COUNTIFS($A$14:$A$1213,$H186,$P$14:$P$1213,"&gt;=0")&gt;0)+--(COUNTIFS($A$14:$A$1213,$H186,$Q$14:$Q$1213,"&gt;=0")&gt;0)+--(COUNTIFS($A$14:$A$1213,$H186,$R$14:$R$1213,"&gt;=0")&gt;0)+--(COUNTIFS($A$14:$A$1213,$H186,$S$14:$S$1213,"&gt;=0")&gt;0)+--(COUNTIFS($A$14:$A$1213,$H186,$T$14:$T$1213,"&gt;=0")&gt;0))&lt;2,"—",IF(SUMIFS($AH$14:$AH$1213,$A$14:$A$1213,$H186)=0,"Yes","No")))</f>
        <v/>
      </c>
      <c r="M186" s="25">
        <f>IF($H186="","",IF(COUNTIFS($A$14:$A$1213,$H186,$F$14:$F$1213,"&gt;=0")&lt;2,"—",IF(COUNTIFS($A$14:$A$1213,$H186,$F$14:$F$1213,_xlfn.MAXIFS($F$14:$F$1213,$A$14:$A$1213,$H186))&gt;1,"No",IF(NOT(ISNUMBER($AN186)),"—",IF((2*(1-NORMSDIST(ABS($AN186))))&lt;0.05,"Yes","No")))))</f>
        <v/>
      </c>
      <c r="N186" s="21">
        <f>IF($H186="","",IF(NOT(ISNUMBER($AN186)),"—",IF((2*(1-NORMSDIST(ABS($AN186))))&lt;0.001,"&lt;0.001",TEXT((2*(1-NORMSDIST(ABS($AN186)))),"0.000"))))</f>
        <v/>
      </c>
      <c r="P186" s="26" t="n"/>
      <c r="Q186" s="26" t="n"/>
      <c r="R186" s="26" t="n"/>
      <c r="S186" s="26" t="n"/>
      <c r="T186" s="26" t="n"/>
      <c r="V186" s="27">
        <f>IF(ISNUMBER($C186),COUNTIFS($A$14:$A$1213,$A186,$C$14:$C$1213,"&gt;"&amp;$C186)+(COUNTIFS($A$14:$A$1213,$A186,$C$14:$C$1213,"="&amp;$C186)+1)/2,"")</f>
        <v/>
      </c>
      <c r="W186" s="27">
        <f>IF(ISNUMBER($F186),COUNTIFS($A$14:$A$1213,$A186,$F$14:$F$1213,"&gt;"&amp;$F186)+(COUNTIFS($A$14:$A$1213,$A186,$F$14:$F$1213,"="&amp;$F186)+1)/2,"")</f>
        <v/>
      </c>
      <c r="X186" s="27">
        <f>IF(OR(NOT(ISNUMBER($V186)),$AO186=1),"",$V186-(COUNTIFS($A$14:$A$1213,$A186,$C$14:$C$1213,"&gt;=0")+1)/2)</f>
        <v/>
      </c>
      <c r="Y186" s="27">
        <f>IF(OR(NOT(ISNUMBER($W186)),$AO186=1),"",$W186-(COUNTIFS($A$14:$A$1213,$A186,$F$14:$F$1213,"&gt;=0")+1)/2)</f>
        <v/>
      </c>
      <c r="Z186" s="27">
        <f>IF(ISNUMBER($V186),$A186&amp;"|"&amp;$V186,"")</f>
        <v/>
      </c>
      <c r="AA186" s="27">
        <f>IF(ISNUMBER($W186),$A186&amp;"|"&amp;$W186,"")</f>
        <v/>
      </c>
      <c r="AB186" s="27">
        <f>IF(ISNUMBER($F186),$A186&amp;"|"&amp;$F186,"")</f>
        <v/>
      </c>
      <c r="AC186" s="27">
        <f>IF(ISNUMBER($P186),COUNTIFS($A$14:$A$1213,$A186,$P$14:$P$1213,"&gt;"&amp;$P186)+(COUNTIFS($A$14:$A$1213,$A186,$P$14:$P$1213,"="&amp;$P186)+1)/2,"")</f>
        <v/>
      </c>
      <c r="AD186" s="27">
        <f>IF(ISNUMBER($Q186),COUNTIFS($A$14:$A$1213,$A186,$Q$14:$Q$1213,"&gt;"&amp;$Q186)+(COUNTIFS($A$14:$A$1213,$A186,$Q$14:$Q$1213,"="&amp;$Q186)+1)/2,"")</f>
        <v/>
      </c>
      <c r="AE186" s="27">
        <f>IF(ISNUMBER($R186),COUNTIFS($A$14:$A$1213,$A186,$R$14:$R$1213,"&gt;"&amp;$R186)+(COUNTIFS($A$14:$A$1213,$A186,$R$14:$R$1213,"="&amp;$R186)+1)/2,"")</f>
        <v/>
      </c>
      <c r="AF186" s="27">
        <f>IF(ISNUMBER($S186),COUNTIFS($A$14:$A$1213,$A186,$S$14:$S$1213,"&gt;"&amp;$S186)+(COUNTIFS($A$14:$A$1213,$A186,$S$14:$S$1213,"="&amp;$S186)+1)/2,"")</f>
        <v/>
      </c>
      <c r="AG186" s="27">
        <f>IF(ISNUMBER($T186),COUNTIFS($A$14:$A$1213,$A186,$T$14:$T$1213,"&gt;"&amp;$T186)+(COUNTIFS($A$14:$A$1213,$A186,$T$14:$T$1213,"="&amp;$T186)+1)/2,"")</f>
        <v/>
      </c>
      <c r="AH186" s="27">
        <f>IF(COUNT($AC186:$AG186)&lt;2,"",IF(MAX($AC186:$AG186)=MIN($AC186:$AG186),0,1))</f>
        <v/>
      </c>
      <c r="AI186" s="27">
        <f>IF($A186="","",IF(COUNTIF($A$14:$A186,$A186)=1,COUNTIF($AI$13:AI185,"&gt;0")+1,""))</f>
        <v/>
      </c>
      <c r="AJ186" s="27">
        <f>IF(OR($H186="",COUNTIFS($A$14:$A$1213,$H186,$F$14:$F$1213,"&gt;=0")&lt;2,COUNTIFS($A$14:$A$1213,$H186,$F$14:$F$1213,_xlfn.MAXIFS($F$14:$F$1213,$A$14:$A$1213,$H186))&gt;1),"",IFERROR(INDEX($D$14:$D$1213,MATCH($H186&amp;"|"&amp;_xlfn.MAXIFS($F$14:$F$1213,$A$14:$A$1213,$H186),$AB$14:$AB$1213,0)),""))</f>
        <v/>
      </c>
      <c r="AK186" s="27">
        <f>IF(OR($H186="",COUNTIFS($A$14:$A$1213,$H186,$F$14:$F$1213,"&gt;=0")&lt;2,COUNTIFS($A$14:$A$1213,$H186,$F$14:$F$1213,_xlfn.MAXIFS($F$14:$F$1213,$A$14:$A$1213,$H186))&gt;1),"",IFERROR(INDEX($E$14:$E$1213,MATCH($H186&amp;"|"&amp;_xlfn.MAXIFS($F$14:$F$1213,$A$14:$A$1213,$H186),$AB$14:$AB$1213,0)),""))</f>
        <v/>
      </c>
      <c r="AL186" s="27">
        <f>IF(OR($H186="",COUNTIFS($A$14:$A$1213,$H186,$F$14:$F$1213,"&gt;=0")&lt;2,COUNTIFS($A$14:$A$1213,$H186,$F$14:$F$1213,_xlfn.MAXIFS($F$14:$F$1213,$A$14:$A$1213,$H186))&gt;1),"",IFERROR(INDEX($D$14:$D$1213,MATCH($H186&amp;"|"&amp;_xlfn.MAXIFS($F$14:$F$1213,$A$14:$A$1213,$H186,$F$14:$F$1213,"&lt;"&amp;_xlfn.MAXIFS($F$14:$F$1213,$A$14:$A$1213,$H186)),$AB$14:$AB$1213,0)),""))</f>
        <v/>
      </c>
      <c r="AM186" s="27">
        <f>IF(OR($H186="",COUNTIFS($A$14:$A$1213,$H186,$F$14:$F$1213,"&gt;=0")&lt;2,COUNTIFS($A$14:$A$1213,$H186,$F$14:$F$1213,_xlfn.MAXIFS($F$14:$F$1213,$A$14:$A$1213,$H186))&gt;1),"",IFERROR(INDEX($E$14:$E$1213,MATCH($H186&amp;"|"&amp;_xlfn.MAXIFS($F$14:$F$1213,$A$14:$A$1213,$H186,$F$14:$F$1213,"&lt;"&amp;_xlfn.MAXIFS($F$14:$F$1213,$A$14:$A$1213,$H186)),$AB$14:$AB$1213,0)),""))</f>
        <v/>
      </c>
      <c r="AN186" s="27">
        <f>IF(OR(NOT(ISNUMBER($AJ186)),NOT(ISNUMBER($AL186)),$AK186=0,$AM186=0),"",IF(OR((($AJ186+$AL186)/($AK186+$AM186))&lt;=0,(($AJ186+$AL186)/($AK186+$AM186))&gt;=1),"",($AJ186/$AK186-$AL186/$AM186)/SQRT((($AJ186+$AL186)/($AK186+$AM186))*(1-(($AJ186+$AL186)/($AK186+$AM186)))*(1/$AK186+1/$AM186))))</f>
        <v/>
      </c>
      <c r="AO186" s="27">
        <f>IF($A186="","",IF(AND(COUNTIFS($A$14:$A$1213,$A186,$F$14:$F$1213,"&gt;=0")=2,IFERROR(INDEX($M$14:$M$313,MATCH($A186,$H$14:$H$313,0)),"Yes")&lt;&gt;"Yes"),1,0))</f>
        <v/>
      </c>
    </row>
    <row r="187" ht="24" customHeight="1">
      <c r="A187" s="19">
        <f>IF('Enter messages'!A187="","",'Enter messages'!A187)</f>
        <v/>
      </c>
      <c r="B187" s="20">
        <f>IF('Enter messages'!B187="","",'Enter messages'!B187)</f>
        <v/>
      </c>
      <c r="C187" s="21">
        <f>IFERROR(AVERAGE(P187:T187),"")</f>
        <v/>
      </c>
      <c r="D187" s="29" t="n"/>
      <c r="E187" s="29" t="n"/>
      <c r="F187" s="30">
        <f>IF(AND(ISNUMBER($D187),ISNUMBER($E187),$E187&gt;0,$D187&lt;=$E187),$D187/$E187,"")</f>
        <v/>
      </c>
      <c r="H187" s="19">
        <f>IFERROR(INDEX($A$14:$A$1213,MATCH(174,$AI$14:$AI$1213,0)),"")</f>
        <v/>
      </c>
      <c r="I187" s="24">
        <f>IF($H187="","",IF(COUNTIFS($A$14:$A$1213,$H187,$C$14:$C$1213,"&gt;=0")=0,"—",IFERROR(INDEX($B$14:$B$1213,MATCH($H187&amp;"|1",$Z$14:$Z$1213,0)),"(tied)")))</f>
        <v/>
      </c>
      <c r="J187" s="25">
        <f>IF($H187="","",IF(OR(COUNTIFS($A$14:$A$1213,$H187,$C$14:$C$1213,"&gt;=0")=0,COUNTIFS($A$14:$A$1213,$H187,$F$14:$F$1213,"&gt;=0")=0),"—",IF(OR(ISERROR(MATCH($H187&amp;"|1",$Z$14:$Z$1213,0)),ISERROR(MATCH($H187&amp;"|1",$AA$14:$AA$1213,0))),"Tie",IF(MATCH($H187&amp;"|1",$Z$14:$Z$1213,0)=MATCH($H187&amp;"|1",$AA$14:$AA$1213,0),"Hit","Miss"))))</f>
        <v/>
      </c>
      <c r="K187" s="24">
        <f>IF($H187="","",IF(COUNTIFS($A$14:$A$1213,$H187,$F$14:$F$1213,"&gt;=0")=0,"—",IFERROR(INDEX($B$14:$B$1213,MATCH($H187&amp;"|1",$AA$14:$AA$1213,0)),"(tied)")))</f>
        <v/>
      </c>
      <c r="L187" s="25">
        <f>IF($H187="","",IF((--(COUNTIFS($A$14:$A$1213,$H187,$P$14:$P$1213,"&gt;=0")&gt;0)+--(COUNTIFS($A$14:$A$1213,$H187,$Q$14:$Q$1213,"&gt;=0")&gt;0)+--(COUNTIFS($A$14:$A$1213,$H187,$R$14:$R$1213,"&gt;=0")&gt;0)+--(COUNTIFS($A$14:$A$1213,$H187,$S$14:$S$1213,"&gt;=0")&gt;0)+--(COUNTIFS($A$14:$A$1213,$H187,$T$14:$T$1213,"&gt;=0")&gt;0))&lt;2,"—",IF(SUMIFS($AH$14:$AH$1213,$A$14:$A$1213,$H187)=0,"Yes","No")))</f>
        <v/>
      </c>
      <c r="M187" s="25">
        <f>IF($H187="","",IF(COUNTIFS($A$14:$A$1213,$H187,$F$14:$F$1213,"&gt;=0")&lt;2,"—",IF(COUNTIFS($A$14:$A$1213,$H187,$F$14:$F$1213,_xlfn.MAXIFS($F$14:$F$1213,$A$14:$A$1213,$H187))&gt;1,"No",IF(NOT(ISNUMBER($AN187)),"—",IF((2*(1-NORMSDIST(ABS($AN187))))&lt;0.05,"Yes","No")))))</f>
        <v/>
      </c>
      <c r="N187" s="21">
        <f>IF($H187="","",IF(NOT(ISNUMBER($AN187)),"—",IF((2*(1-NORMSDIST(ABS($AN187))))&lt;0.001,"&lt;0.001",TEXT((2*(1-NORMSDIST(ABS($AN187)))),"0.000"))))</f>
        <v/>
      </c>
      <c r="P187" s="26" t="n"/>
      <c r="Q187" s="26" t="n"/>
      <c r="R187" s="26" t="n"/>
      <c r="S187" s="26" t="n"/>
      <c r="T187" s="26" t="n"/>
      <c r="V187" s="27">
        <f>IF(ISNUMBER($C187),COUNTIFS($A$14:$A$1213,$A187,$C$14:$C$1213,"&gt;"&amp;$C187)+(COUNTIFS($A$14:$A$1213,$A187,$C$14:$C$1213,"="&amp;$C187)+1)/2,"")</f>
        <v/>
      </c>
      <c r="W187" s="27">
        <f>IF(ISNUMBER($F187),COUNTIFS($A$14:$A$1213,$A187,$F$14:$F$1213,"&gt;"&amp;$F187)+(COUNTIFS($A$14:$A$1213,$A187,$F$14:$F$1213,"="&amp;$F187)+1)/2,"")</f>
        <v/>
      </c>
      <c r="X187" s="27">
        <f>IF(OR(NOT(ISNUMBER($V187)),$AO187=1),"",$V187-(COUNTIFS($A$14:$A$1213,$A187,$C$14:$C$1213,"&gt;=0")+1)/2)</f>
        <v/>
      </c>
      <c r="Y187" s="27">
        <f>IF(OR(NOT(ISNUMBER($W187)),$AO187=1),"",$W187-(COUNTIFS($A$14:$A$1213,$A187,$F$14:$F$1213,"&gt;=0")+1)/2)</f>
        <v/>
      </c>
      <c r="Z187" s="27">
        <f>IF(ISNUMBER($V187),$A187&amp;"|"&amp;$V187,"")</f>
        <v/>
      </c>
      <c r="AA187" s="27">
        <f>IF(ISNUMBER($W187),$A187&amp;"|"&amp;$W187,"")</f>
        <v/>
      </c>
      <c r="AB187" s="27">
        <f>IF(ISNUMBER($F187),$A187&amp;"|"&amp;$F187,"")</f>
        <v/>
      </c>
      <c r="AC187" s="27">
        <f>IF(ISNUMBER($P187),COUNTIFS($A$14:$A$1213,$A187,$P$14:$P$1213,"&gt;"&amp;$P187)+(COUNTIFS($A$14:$A$1213,$A187,$P$14:$P$1213,"="&amp;$P187)+1)/2,"")</f>
        <v/>
      </c>
      <c r="AD187" s="27">
        <f>IF(ISNUMBER($Q187),COUNTIFS($A$14:$A$1213,$A187,$Q$14:$Q$1213,"&gt;"&amp;$Q187)+(COUNTIFS($A$14:$A$1213,$A187,$Q$14:$Q$1213,"="&amp;$Q187)+1)/2,"")</f>
        <v/>
      </c>
      <c r="AE187" s="27">
        <f>IF(ISNUMBER($R187),COUNTIFS($A$14:$A$1213,$A187,$R$14:$R$1213,"&gt;"&amp;$R187)+(COUNTIFS($A$14:$A$1213,$A187,$R$14:$R$1213,"="&amp;$R187)+1)/2,"")</f>
        <v/>
      </c>
      <c r="AF187" s="27">
        <f>IF(ISNUMBER($S187),COUNTIFS($A$14:$A$1213,$A187,$S$14:$S$1213,"&gt;"&amp;$S187)+(COUNTIFS($A$14:$A$1213,$A187,$S$14:$S$1213,"="&amp;$S187)+1)/2,"")</f>
        <v/>
      </c>
      <c r="AG187" s="27">
        <f>IF(ISNUMBER($T187),COUNTIFS($A$14:$A$1213,$A187,$T$14:$T$1213,"&gt;"&amp;$T187)+(COUNTIFS($A$14:$A$1213,$A187,$T$14:$T$1213,"="&amp;$T187)+1)/2,"")</f>
        <v/>
      </c>
      <c r="AH187" s="27">
        <f>IF(COUNT($AC187:$AG187)&lt;2,"",IF(MAX($AC187:$AG187)=MIN($AC187:$AG187),0,1))</f>
        <v/>
      </c>
      <c r="AI187" s="27">
        <f>IF($A187="","",IF(COUNTIF($A$14:$A187,$A187)=1,COUNTIF($AI$13:AI186,"&gt;0")+1,""))</f>
        <v/>
      </c>
      <c r="AJ187" s="27">
        <f>IF(OR($H187="",COUNTIFS($A$14:$A$1213,$H187,$F$14:$F$1213,"&gt;=0")&lt;2,COUNTIFS($A$14:$A$1213,$H187,$F$14:$F$1213,_xlfn.MAXIFS($F$14:$F$1213,$A$14:$A$1213,$H187))&gt;1),"",IFERROR(INDEX($D$14:$D$1213,MATCH($H187&amp;"|"&amp;_xlfn.MAXIFS($F$14:$F$1213,$A$14:$A$1213,$H187),$AB$14:$AB$1213,0)),""))</f>
        <v/>
      </c>
      <c r="AK187" s="27">
        <f>IF(OR($H187="",COUNTIFS($A$14:$A$1213,$H187,$F$14:$F$1213,"&gt;=0")&lt;2,COUNTIFS($A$14:$A$1213,$H187,$F$14:$F$1213,_xlfn.MAXIFS($F$14:$F$1213,$A$14:$A$1213,$H187))&gt;1),"",IFERROR(INDEX($E$14:$E$1213,MATCH($H187&amp;"|"&amp;_xlfn.MAXIFS($F$14:$F$1213,$A$14:$A$1213,$H187),$AB$14:$AB$1213,0)),""))</f>
        <v/>
      </c>
      <c r="AL187" s="27">
        <f>IF(OR($H187="",COUNTIFS($A$14:$A$1213,$H187,$F$14:$F$1213,"&gt;=0")&lt;2,COUNTIFS($A$14:$A$1213,$H187,$F$14:$F$1213,_xlfn.MAXIFS($F$14:$F$1213,$A$14:$A$1213,$H187))&gt;1),"",IFERROR(INDEX($D$14:$D$1213,MATCH($H187&amp;"|"&amp;_xlfn.MAXIFS($F$14:$F$1213,$A$14:$A$1213,$H187,$F$14:$F$1213,"&lt;"&amp;_xlfn.MAXIFS($F$14:$F$1213,$A$14:$A$1213,$H187)),$AB$14:$AB$1213,0)),""))</f>
        <v/>
      </c>
      <c r="AM187" s="27">
        <f>IF(OR($H187="",COUNTIFS($A$14:$A$1213,$H187,$F$14:$F$1213,"&gt;=0")&lt;2,COUNTIFS($A$14:$A$1213,$H187,$F$14:$F$1213,_xlfn.MAXIFS($F$14:$F$1213,$A$14:$A$1213,$H187))&gt;1),"",IFERROR(INDEX($E$14:$E$1213,MATCH($H187&amp;"|"&amp;_xlfn.MAXIFS($F$14:$F$1213,$A$14:$A$1213,$H187,$F$14:$F$1213,"&lt;"&amp;_xlfn.MAXIFS($F$14:$F$1213,$A$14:$A$1213,$H187)),$AB$14:$AB$1213,0)),""))</f>
        <v/>
      </c>
      <c r="AN187" s="27">
        <f>IF(OR(NOT(ISNUMBER($AJ187)),NOT(ISNUMBER($AL187)),$AK187=0,$AM187=0),"",IF(OR((($AJ187+$AL187)/($AK187+$AM187))&lt;=0,(($AJ187+$AL187)/($AK187+$AM187))&gt;=1),"",($AJ187/$AK187-$AL187/$AM187)/SQRT((($AJ187+$AL187)/($AK187+$AM187))*(1-(($AJ187+$AL187)/($AK187+$AM187)))*(1/$AK187+1/$AM187))))</f>
        <v/>
      </c>
      <c r="AO187" s="27">
        <f>IF($A187="","",IF(AND(COUNTIFS($A$14:$A$1213,$A187,$F$14:$F$1213,"&gt;=0")=2,IFERROR(INDEX($M$14:$M$313,MATCH($A187,$H$14:$H$313,0)),"Yes")&lt;&gt;"Yes"),1,0))</f>
        <v/>
      </c>
    </row>
    <row r="188" ht="24" customHeight="1">
      <c r="A188" s="19">
        <f>IF('Enter messages'!A188="","",'Enter messages'!A188)</f>
        <v/>
      </c>
      <c r="B188" s="20">
        <f>IF('Enter messages'!B188="","",'Enter messages'!B188)</f>
        <v/>
      </c>
      <c r="C188" s="21">
        <f>IFERROR(AVERAGE(P188:T188),"")</f>
        <v/>
      </c>
      <c r="D188" s="29" t="n"/>
      <c r="E188" s="29" t="n"/>
      <c r="F188" s="30">
        <f>IF(AND(ISNUMBER($D188),ISNUMBER($E188),$E188&gt;0,$D188&lt;=$E188),$D188/$E188,"")</f>
        <v/>
      </c>
      <c r="H188" s="19">
        <f>IFERROR(INDEX($A$14:$A$1213,MATCH(175,$AI$14:$AI$1213,0)),"")</f>
        <v/>
      </c>
      <c r="I188" s="24">
        <f>IF($H188="","",IF(COUNTIFS($A$14:$A$1213,$H188,$C$14:$C$1213,"&gt;=0")=0,"—",IFERROR(INDEX($B$14:$B$1213,MATCH($H188&amp;"|1",$Z$14:$Z$1213,0)),"(tied)")))</f>
        <v/>
      </c>
      <c r="J188" s="25">
        <f>IF($H188="","",IF(OR(COUNTIFS($A$14:$A$1213,$H188,$C$14:$C$1213,"&gt;=0")=0,COUNTIFS($A$14:$A$1213,$H188,$F$14:$F$1213,"&gt;=0")=0),"—",IF(OR(ISERROR(MATCH($H188&amp;"|1",$Z$14:$Z$1213,0)),ISERROR(MATCH($H188&amp;"|1",$AA$14:$AA$1213,0))),"Tie",IF(MATCH($H188&amp;"|1",$Z$14:$Z$1213,0)=MATCH($H188&amp;"|1",$AA$14:$AA$1213,0),"Hit","Miss"))))</f>
        <v/>
      </c>
      <c r="K188" s="24">
        <f>IF($H188="","",IF(COUNTIFS($A$14:$A$1213,$H188,$F$14:$F$1213,"&gt;=0")=0,"—",IFERROR(INDEX($B$14:$B$1213,MATCH($H188&amp;"|1",$AA$14:$AA$1213,0)),"(tied)")))</f>
        <v/>
      </c>
      <c r="L188" s="25">
        <f>IF($H188="","",IF((--(COUNTIFS($A$14:$A$1213,$H188,$P$14:$P$1213,"&gt;=0")&gt;0)+--(COUNTIFS($A$14:$A$1213,$H188,$Q$14:$Q$1213,"&gt;=0")&gt;0)+--(COUNTIFS($A$14:$A$1213,$H188,$R$14:$R$1213,"&gt;=0")&gt;0)+--(COUNTIFS($A$14:$A$1213,$H188,$S$14:$S$1213,"&gt;=0")&gt;0)+--(COUNTIFS($A$14:$A$1213,$H188,$T$14:$T$1213,"&gt;=0")&gt;0))&lt;2,"—",IF(SUMIFS($AH$14:$AH$1213,$A$14:$A$1213,$H188)=0,"Yes","No")))</f>
        <v/>
      </c>
      <c r="M188" s="25">
        <f>IF($H188="","",IF(COUNTIFS($A$14:$A$1213,$H188,$F$14:$F$1213,"&gt;=0")&lt;2,"—",IF(COUNTIFS($A$14:$A$1213,$H188,$F$14:$F$1213,_xlfn.MAXIFS($F$14:$F$1213,$A$14:$A$1213,$H188))&gt;1,"No",IF(NOT(ISNUMBER($AN188)),"—",IF((2*(1-NORMSDIST(ABS($AN188))))&lt;0.05,"Yes","No")))))</f>
        <v/>
      </c>
      <c r="N188" s="21">
        <f>IF($H188="","",IF(NOT(ISNUMBER($AN188)),"—",IF((2*(1-NORMSDIST(ABS($AN188))))&lt;0.001,"&lt;0.001",TEXT((2*(1-NORMSDIST(ABS($AN188)))),"0.000"))))</f>
        <v/>
      </c>
      <c r="P188" s="26" t="n"/>
      <c r="Q188" s="26" t="n"/>
      <c r="R188" s="26" t="n"/>
      <c r="S188" s="26" t="n"/>
      <c r="T188" s="26" t="n"/>
      <c r="V188" s="27">
        <f>IF(ISNUMBER($C188),COUNTIFS($A$14:$A$1213,$A188,$C$14:$C$1213,"&gt;"&amp;$C188)+(COUNTIFS($A$14:$A$1213,$A188,$C$14:$C$1213,"="&amp;$C188)+1)/2,"")</f>
        <v/>
      </c>
      <c r="W188" s="27">
        <f>IF(ISNUMBER($F188),COUNTIFS($A$14:$A$1213,$A188,$F$14:$F$1213,"&gt;"&amp;$F188)+(COUNTIFS($A$14:$A$1213,$A188,$F$14:$F$1213,"="&amp;$F188)+1)/2,"")</f>
        <v/>
      </c>
      <c r="X188" s="27">
        <f>IF(OR(NOT(ISNUMBER($V188)),$AO188=1),"",$V188-(COUNTIFS($A$14:$A$1213,$A188,$C$14:$C$1213,"&gt;=0")+1)/2)</f>
        <v/>
      </c>
      <c r="Y188" s="27">
        <f>IF(OR(NOT(ISNUMBER($W188)),$AO188=1),"",$W188-(COUNTIFS($A$14:$A$1213,$A188,$F$14:$F$1213,"&gt;=0")+1)/2)</f>
        <v/>
      </c>
      <c r="Z188" s="27">
        <f>IF(ISNUMBER($V188),$A188&amp;"|"&amp;$V188,"")</f>
        <v/>
      </c>
      <c r="AA188" s="27">
        <f>IF(ISNUMBER($W188),$A188&amp;"|"&amp;$W188,"")</f>
        <v/>
      </c>
      <c r="AB188" s="27">
        <f>IF(ISNUMBER($F188),$A188&amp;"|"&amp;$F188,"")</f>
        <v/>
      </c>
      <c r="AC188" s="27">
        <f>IF(ISNUMBER($P188),COUNTIFS($A$14:$A$1213,$A188,$P$14:$P$1213,"&gt;"&amp;$P188)+(COUNTIFS($A$14:$A$1213,$A188,$P$14:$P$1213,"="&amp;$P188)+1)/2,"")</f>
        <v/>
      </c>
      <c r="AD188" s="27">
        <f>IF(ISNUMBER($Q188),COUNTIFS($A$14:$A$1213,$A188,$Q$14:$Q$1213,"&gt;"&amp;$Q188)+(COUNTIFS($A$14:$A$1213,$A188,$Q$14:$Q$1213,"="&amp;$Q188)+1)/2,"")</f>
        <v/>
      </c>
      <c r="AE188" s="27">
        <f>IF(ISNUMBER($R188),COUNTIFS($A$14:$A$1213,$A188,$R$14:$R$1213,"&gt;"&amp;$R188)+(COUNTIFS($A$14:$A$1213,$A188,$R$14:$R$1213,"="&amp;$R188)+1)/2,"")</f>
        <v/>
      </c>
      <c r="AF188" s="27">
        <f>IF(ISNUMBER($S188),COUNTIFS($A$14:$A$1213,$A188,$S$14:$S$1213,"&gt;"&amp;$S188)+(COUNTIFS($A$14:$A$1213,$A188,$S$14:$S$1213,"="&amp;$S188)+1)/2,"")</f>
        <v/>
      </c>
      <c r="AG188" s="27">
        <f>IF(ISNUMBER($T188),COUNTIFS($A$14:$A$1213,$A188,$T$14:$T$1213,"&gt;"&amp;$T188)+(COUNTIFS($A$14:$A$1213,$A188,$T$14:$T$1213,"="&amp;$T188)+1)/2,"")</f>
        <v/>
      </c>
      <c r="AH188" s="27">
        <f>IF(COUNT($AC188:$AG188)&lt;2,"",IF(MAX($AC188:$AG188)=MIN($AC188:$AG188),0,1))</f>
        <v/>
      </c>
      <c r="AI188" s="27">
        <f>IF($A188="","",IF(COUNTIF($A$14:$A188,$A188)=1,COUNTIF($AI$13:AI187,"&gt;0")+1,""))</f>
        <v/>
      </c>
      <c r="AJ188" s="27">
        <f>IF(OR($H188="",COUNTIFS($A$14:$A$1213,$H188,$F$14:$F$1213,"&gt;=0")&lt;2,COUNTIFS($A$14:$A$1213,$H188,$F$14:$F$1213,_xlfn.MAXIFS($F$14:$F$1213,$A$14:$A$1213,$H188))&gt;1),"",IFERROR(INDEX($D$14:$D$1213,MATCH($H188&amp;"|"&amp;_xlfn.MAXIFS($F$14:$F$1213,$A$14:$A$1213,$H188),$AB$14:$AB$1213,0)),""))</f>
        <v/>
      </c>
      <c r="AK188" s="27">
        <f>IF(OR($H188="",COUNTIFS($A$14:$A$1213,$H188,$F$14:$F$1213,"&gt;=0")&lt;2,COUNTIFS($A$14:$A$1213,$H188,$F$14:$F$1213,_xlfn.MAXIFS($F$14:$F$1213,$A$14:$A$1213,$H188))&gt;1),"",IFERROR(INDEX($E$14:$E$1213,MATCH($H188&amp;"|"&amp;_xlfn.MAXIFS($F$14:$F$1213,$A$14:$A$1213,$H188),$AB$14:$AB$1213,0)),""))</f>
        <v/>
      </c>
      <c r="AL188" s="27">
        <f>IF(OR($H188="",COUNTIFS($A$14:$A$1213,$H188,$F$14:$F$1213,"&gt;=0")&lt;2,COUNTIFS($A$14:$A$1213,$H188,$F$14:$F$1213,_xlfn.MAXIFS($F$14:$F$1213,$A$14:$A$1213,$H188))&gt;1),"",IFERROR(INDEX($D$14:$D$1213,MATCH($H188&amp;"|"&amp;_xlfn.MAXIFS($F$14:$F$1213,$A$14:$A$1213,$H188,$F$14:$F$1213,"&lt;"&amp;_xlfn.MAXIFS($F$14:$F$1213,$A$14:$A$1213,$H188)),$AB$14:$AB$1213,0)),""))</f>
        <v/>
      </c>
      <c r="AM188" s="27">
        <f>IF(OR($H188="",COUNTIFS($A$14:$A$1213,$H188,$F$14:$F$1213,"&gt;=0")&lt;2,COUNTIFS($A$14:$A$1213,$H188,$F$14:$F$1213,_xlfn.MAXIFS($F$14:$F$1213,$A$14:$A$1213,$H188))&gt;1),"",IFERROR(INDEX($E$14:$E$1213,MATCH($H188&amp;"|"&amp;_xlfn.MAXIFS($F$14:$F$1213,$A$14:$A$1213,$H188,$F$14:$F$1213,"&lt;"&amp;_xlfn.MAXIFS($F$14:$F$1213,$A$14:$A$1213,$H188)),$AB$14:$AB$1213,0)),""))</f>
        <v/>
      </c>
      <c r="AN188" s="27">
        <f>IF(OR(NOT(ISNUMBER($AJ188)),NOT(ISNUMBER($AL188)),$AK188=0,$AM188=0),"",IF(OR((($AJ188+$AL188)/($AK188+$AM188))&lt;=0,(($AJ188+$AL188)/($AK188+$AM188))&gt;=1),"",($AJ188/$AK188-$AL188/$AM188)/SQRT((($AJ188+$AL188)/($AK188+$AM188))*(1-(($AJ188+$AL188)/($AK188+$AM188)))*(1/$AK188+1/$AM188))))</f>
        <v/>
      </c>
      <c r="AO188" s="27">
        <f>IF($A188="","",IF(AND(COUNTIFS($A$14:$A$1213,$A188,$F$14:$F$1213,"&gt;=0")=2,IFERROR(INDEX($M$14:$M$313,MATCH($A188,$H$14:$H$313,0)),"Yes")&lt;&gt;"Yes"),1,0))</f>
        <v/>
      </c>
    </row>
    <row r="189" ht="24" customHeight="1">
      <c r="A189" s="19">
        <f>IF('Enter messages'!A189="","",'Enter messages'!A189)</f>
        <v/>
      </c>
      <c r="B189" s="20">
        <f>IF('Enter messages'!B189="","",'Enter messages'!B189)</f>
        <v/>
      </c>
      <c r="C189" s="21">
        <f>IFERROR(AVERAGE(P189:T189),"")</f>
        <v/>
      </c>
      <c r="D189" s="29" t="n"/>
      <c r="E189" s="29" t="n"/>
      <c r="F189" s="30">
        <f>IF(AND(ISNUMBER($D189),ISNUMBER($E189),$E189&gt;0,$D189&lt;=$E189),$D189/$E189,"")</f>
        <v/>
      </c>
      <c r="H189" s="19">
        <f>IFERROR(INDEX($A$14:$A$1213,MATCH(176,$AI$14:$AI$1213,0)),"")</f>
        <v/>
      </c>
      <c r="I189" s="24">
        <f>IF($H189="","",IF(COUNTIFS($A$14:$A$1213,$H189,$C$14:$C$1213,"&gt;=0")=0,"—",IFERROR(INDEX($B$14:$B$1213,MATCH($H189&amp;"|1",$Z$14:$Z$1213,0)),"(tied)")))</f>
        <v/>
      </c>
      <c r="J189" s="25">
        <f>IF($H189="","",IF(OR(COUNTIFS($A$14:$A$1213,$H189,$C$14:$C$1213,"&gt;=0")=0,COUNTIFS($A$14:$A$1213,$H189,$F$14:$F$1213,"&gt;=0")=0),"—",IF(OR(ISERROR(MATCH($H189&amp;"|1",$Z$14:$Z$1213,0)),ISERROR(MATCH($H189&amp;"|1",$AA$14:$AA$1213,0))),"Tie",IF(MATCH($H189&amp;"|1",$Z$14:$Z$1213,0)=MATCH($H189&amp;"|1",$AA$14:$AA$1213,0),"Hit","Miss"))))</f>
        <v/>
      </c>
      <c r="K189" s="24">
        <f>IF($H189="","",IF(COUNTIFS($A$14:$A$1213,$H189,$F$14:$F$1213,"&gt;=0")=0,"—",IFERROR(INDEX($B$14:$B$1213,MATCH($H189&amp;"|1",$AA$14:$AA$1213,0)),"(tied)")))</f>
        <v/>
      </c>
      <c r="L189" s="25">
        <f>IF($H189="","",IF((--(COUNTIFS($A$14:$A$1213,$H189,$P$14:$P$1213,"&gt;=0")&gt;0)+--(COUNTIFS($A$14:$A$1213,$H189,$Q$14:$Q$1213,"&gt;=0")&gt;0)+--(COUNTIFS($A$14:$A$1213,$H189,$R$14:$R$1213,"&gt;=0")&gt;0)+--(COUNTIFS($A$14:$A$1213,$H189,$S$14:$S$1213,"&gt;=0")&gt;0)+--(COUNTIFS($A$14:$A$1213,$H189,$T$14:$T$1213,"&gt;=0")&gt;0))&lt;2,"—",IF(SUMIFS($AH$14:$AH$1213,$A$14:$A$1213,$H189)=0,"Yes","No")))</f>
        <v/>
      </c>
      <c r="M189" s="25">
        <f>IF($H189="","",IF(COUNTIFS($A$14:$A$1213,$H189,$F$14:$F$1213,"&gt;=0")&lt;2,"—",IF(COUNTIFS($A$14:$A$1213,$H189,$F$14:$F$1213,_xlfn.MAXIFS($F$14:$F$1213,$A$14:$A$1213,$H189))&gt;1,"No",IF(NOT(ISNUMBER($AN189)),"—",IF((2*(1-NORMSDIST(ABS($AN189))))&lt;0.05,"Yes","No")))))</f>
        <v/>
      </c>
      <c r="N189" s="21">
        <f>IF($H189="","",IF(NOT(ISNUMBER($AN189)),"—",IF((2*(1-NORMSDIST(ABS($AN189))))&lt;0.001,"&lt;0.001",TEXT((2*(1-NORMSDIST(ABS($AN189)))),"0.000"))))</f>
        <v/>
      </c>
      <c r="P189" s="26" t="n"/>
      <c r="Q189" s="26" t="n"/>
      <c r="R189" s="26" t="n"/>
      <c r="S189" s="26" t="n"/>
      <c r="T189" s="26" t="n"/>
      <c r="V189" s="27">
        <f>IF(ISNUMBER($C189),COUNTIFS($A$14:$A$1213,$A189,$C$14:$C$1213,"&gt;"&amp;$C189)+(COUNTIFS($A$14:$A$1213,$A189,$C$14:$C$1213,"="&amp;$C189)+1)/2,"")</f>
        <v/>
      </c>
      <c r="W189" s="27">
        <f>IF(ISNUMBER($F189),COUNTIFS($A$14:$A$1213,$A189,$F$14:$F$1213,"&gt;"&amp;$F189)+(COUNTIFS($A$14:$A$1213,$A189,$F$14:$F$1213,"="&amp;$F189)+1)/2,"")</f>
        <v/>
      </c>
      <c r="X189" s="27">
        <f>IF(OR(NOT(ISNUMBER($V189)),$AO189=1),"",$V189-(COUNTIFS($A$14:$A$1213,$A189,$C$14:$C$1213,"&gt;=0")+1)/2)</f>
        <v/>
      </c>
      <c r="Y189" s="27">
        <f>IF(OR(NOT(ISNUMBER($W189)),$AO189=1),"",$W189-(COUNTIFS($A$14:$A$1213,$A189,$F$14:$F$1213,"&gt;=0")+1)/2)</f>
        <v/>
      </c>
      <c r="Z189" s="27">
        <f>IF(ISNUMBER($V189),$A189&amp;"|"&amp;$V189,"")</f>
        <v/>
      </c>
      <c r="AA189" s="27">
        <f>IF(ISNUMBER($W189),$A189&amp;"|"&amp;$W189,"")</f>
        <v/>
      </c>
      <c r="AB189" s="27">
        <f>IF(ISNUMBER($F189),$A189&amp;"|"&amp;$F189,"")</f>
        <v/>
      </c>
      <c r="AC189" s="27">
        <f>IF(ISNUMBER($P189),COUNTIFS($A$14:$A$1213,$A189,$P$14:$P$1213,"&gt;"&amp;$P189)+(COUNTIFS($A$14:$A$1213,$A189,$P$14:$P$1213,"="&amp;$P189)+1)/2,"")</f>
        <v/>
      </c>
      <c r="AD189" s="27">
        <f>IF(ISNUMBER($Q189),COUNTIFS($A$14:$A$1213,$A189,$Q$14:$Q$1213,"&gt;"&amp;$Q189)+(COUNTIFS($A$14:$A$1213,$A189,$Q$14:$Q$1213,"="&amp;$Q189)+1)/2,"")</f>
        <v/>
      </c>
      <c r="AE189" s="27">
        <f>IF(ISNUMBER($R189),COUNTIFS($A$14:$A$1213,$A189,$R$14:$R$1213,"&gt;"&amp;$R189)+(COUNTIFS($A$14:$A$1213,$A189,$R$14:$R$1213,"="&amp;$R189)+1)/2,"")</f>
        <v/>
      </c>
      <c r="AF189" s="27">
        <f>IF(ISNUMBER($S189),COUNTIFS($A$14:$A$1213,$A189,$S$14:$S$1213,"&gt;"&amp;$S189)+(COUNTIFS($A$14:$A$1213,$A189,$S$14:$S$1213,"="&amp;$S189)+1)/2,"")</f>
        <v/>
      </c>
      <c r="AG189" s="27">
        <f>IF(ISNUMBER($T189),COUNTIFS($A$14:$A$1213,$A189,$T$14:$T$1213,"&gt;"&amp;$T189)+(COUNTIFS($A$14:$A$1213,$A189,$T$14:$T$1213,"="&amp;$T189)+1)/2,"")</f>
        <v/>
      </c>
      <c r="AH189" s="27">
        <f>IF(COUNT($AC189:$AG189)&lt;2,"",IF(MAX($AC189:$AG189)=MIN($AC189:$AG189),0,1))</f>
        <v/>
      </c>
      <c r="AI189" s="27">
        <f>IF($A189="","",IF(COUNTIF($A$14:$A189,$A189)=1,COUNTIF($AI$13:AI188,"&gt;0")+1,""))</f>
        <v/>
      </c>
      <c r="AJ189" s="27">
        <f>IF(OR($H189="",COUNTIFS($A$14:$A$1213,$H189,$F$14:$F$1213,"&gt;=0")&lt;2,COUNTIFS($A$14:$A$1213,$H189,$F$14:$F$1213,_xlfn.MAXIFS($F$14:$F$1213,$A$14:$A$1213,$H189))&gt;1),"",IFERROR(INDEX($D$14:$D$1213,MATCH($H189&amp;"|"&amp;_xlfn.MAXIFS($F$14:$F$1213,$A$14:$A$1213,$H189),$AB$14:$AB$1213,0)),""))</f>
        <v/>
      </c>
      <c r="AK189" s="27">
        <f>IF(OR($H189="",COUNTIFS($A$14:$A$1213,$H189,$F$14:$F$1213,"&gt;=0")&lt;2,COUNTIFS($A$14:$A$1213,$H189,$F$14:$F$1213,_xlfn.MAXIFS($F$14:$F$1213,$A$14:$A$1213,$H189))&gt;1),"",IFERROR(INDEX($E$14:$E$1213,MATCH($H189&amp;"|"&amp;_xlfn.MAXIFS($F$14:$F$1213,$A$14:$A$1213,$H189),$AB$14:$AB$1213,0)),""))</f>
        <v/>
      </c>
      <c r="AL189" s="27">
        <f>IF(OR($H189="",COUNTIFS($A$14:$A$1213,$H189,$F$14:$F$1213,"&gt;=0")&lt;2,COUNTIFS($A$14:$A$1213,$H189,$F$14:$F$1213,_xlfn.MAXIFS($F$14:$F$1213,$A$14:$A$1213,$H189))&gt;1),"",IFERROR(INDEX($D$14:$D$1213,MATCH($H189&amp;"|"&amp;_xlfn.MAXIFS($F$14:$F$1213,$A$14:$A$1213,$H189,$F$14:$F$1213,"&lt;"&amp;_xlfn.MAXIFS($F$14:$F$1213,$A$14:$A$1213,$H189)),$AB$14:$AB$1213,0)),""))</f>
        <v/>
      </c>
      <c r="AM189" s="27">
        <f>IF(OR($H189="",COUNTIFS($A$14:$A$1213,$H189,$F$14:$F$1213,"&gt;=0")&lt;2,COUNTIFS($A$14:$A$1213,$H189,$F$14:$F$1213,_xlfn.MAXIFS($F$14:$F$1213,$A$14:$A$1213,$H189))&gt;1),"",IFERROR(INDEX($E$14:$E$1213,MATCH($H189&amp;"|"&amp;_xlfn.MAXIFS($F$14:$F$1213,$A$14:$A$1213,$H189,$F$14:$F$1213,"&lt;"&amp;_xlfn.MAXIFS($F$14:$F$1213,$A$14:$A$1213,$H189)),$AB$14:$AB$1213,0)),""))</f>
        <v/>
      </c>
      <c r="AN189" s="27">
        <f>IF(OR(NOT(ISNUMBER($AJ189)),NOT(ISNUMBER($AL189)),$AK189=0,$AM189=0),"",IF(OR((($AJ189+$AL189)/($AK189+$AM189))&lt;=0,(($AJ189+$AL189)/($AK189+$AM189))&gt;=1),"",($AJ189/$AK189-$AL189/$AM189)/SQRT((($AJ189+$AL189)/($AK189+$AM189))*(1-(($AJ189+$AL189)/($AK189+$AM189)))*(1/$AK189+1/$AM189))))</f>
        <v/>
      </c>
      <c r="AO189" s="27">
        <f>IF($A189="","",IF(AND(COUNTIFS($A$14:$A$1213,$A189,$F$14:$F$1213,"&gt;=0")=2,IFERROR(INDEX($M$14:$M$313,MATCH($A189,$H$14:$H$313,0)),"Yes")&lt;&gt;"Yes"),1,0))</f>
        <v/>
      </c>
    </row>
    <row r="190" ht="24" customHeight="1">
      <c r="A190" s="19">
        <f>IF('Enter messages'!A190="","",'Enter messages'!A190)</f>
        <v/>
      </c>
      <c r="B190" s="20">
        <f>IF('Enter messages'!B190="","",'Enter messages'!B190)</f>
        <v/>
      </c>
      <c r="C190" s="21">
        <f>IFERROR(AVERAGE(P190:T190),"")</f>
        <v/>
      </c>
      <c r="D190" s="29" t="n"/>
      <c r="E190" s="29" t="n"/>
      <c r="F190" s="30">
        <f>IF(AND(ISNUMBER($D190),ISNUMBER($E190),$E190&gt;0,$D190&lt;=$E190),$D190/$E190,"")</f>
        <v/>
      </c>
      <c r="H190" s="19">
        <f>IFERROR(INDEX($A$14:$A$1213,MATCH(177,$AI$14:$AI$1213,0)),"")</f>
        <v/>
      </c>
      <c r="I190" s="24">
        <f>IF($H190="","",IF(COUNTIFS($A$14:$A$1213,$H190,$C$14:$C$1213,"&gt;=0")=0,"—",IFERROR(INDEX($B$14:$B$1213,MATCH($H190&amp;"|1",$Z$14:$Z$1213,0)),"(tied)")))</f>
        <v/>
      </c>
      <c r="J190" s="25">
        <f>IF($H190="","",IF(OR(COUNTIFS($A$14:$A$1213,$H190,$C$14:$C$1213,"&gt;=0")=0,COUNTIFS($A$14:$A$1213,$H190,$F$14:$F$1213,"&gt;=0")=0),"—",IF(OR(ISERROR(MATCH($H190&amp;"|1",$Z$14:$Z$1213,0)),ISERROR(MATCH($H190&amp;"|1",$AA$14:$AA$1213,0))),"Tie",IF(MATCH($H190&amp;"|1",$Z$14:$Z$1213,0)=MATCH($H190&amp;"|1",$AA$14:$AA$1213,0),"Hit","Miss"))))</f>
        <v/>
      </c>
      <c r="K190" s="24">
        <f>IF($H190="","",IF(COUNTIFS($A$14:$A$1213,$H190,$F$14:$F$1213,"&gt;=0")=0,"—",IFERROR(INDEX($B$14:$B$1213,MATCH($H190&amp;"|1",$AA$14:$AA$1213,0)),"(tied)")))</f>
        <v/>
      </c>
      <c r="L190" s="25">
        <f>IF($H190="","",IF((--(COUNTIFS($A$14:$A$1213,$H190,$P$14:$P$1213,"&gt;=0")&gt;0)+--(COUNTIFS($A$14:$A$1213,$H190,$Q$14:$Q$1213,"&gt;=0")&gt;0)+--(COUNTIFS($A$14:$A$1213,$H190,$R$14:$R$1213,"&gt;=0")&gt;0)+--(COUNTIFS($A$14:$A$1213,$H190,$S$14:$S$1213,"&gt;=0")&gt;0)+--(COUNTIFS($A$14:$A$1213,$H190,$T$14:$T$1213,"&gt;=0")&gt;0))&lt;2,"—",IF(SUMIFS($AH$14:$AH$1213,$A$14:$A$1213,$H190)=0,"Yes","No")))</f>
        <v/>
      </c>
      <c r="M190" s="25">
        <f>IF($H190="","",IF(COUNTIFS($A$14:$A$1213,$H190,$F$14:$F$1213,"&gt;=0")&lt;2,"—",IF(COUNTIFS($A$14:$A$1213,$H190,$F$14:$F$1213,_xlfn.MAXIFS($F$14:$F$1213,$A$14:$A$1213,$H190))&gt;1,"No",IF(NOT(ISNUMBER($AN190)),"—",IF((2*(1-NORMSDIST(ABS($AN190))))&lt;0.05,"Yes","No")))))</f>
        <v/>
      </c>
      <c r="N190" s="21">
        <f>IF($H190="","",IF(NOT(ISNUMBER($AN190)),"—",IF((2*(1-NORMSDIST(ABS($AN190))))&lt;0.001,"&lt;0.001",TEXT((2*(1-NORMSDIST(ABS($AN190)))),"0.000"))))</f>
        <v/>
      </c>
      <c r="P190" s="26" t="n"/>
      <c r="Q190" s="26" t="n"/>
      <c r="R190" s="26" t="n"/>
      <c r="S190" s="26" t="n"/>
      <c r="T190" s="26" t="n"/>
      <c r="V190" s="27">
        <f>IF(ISNUMBER($C190),COUNTIFS($A$14:$A$1213,$A190,$C$14:$C$1213,"&gt;"&amp;$C190)+(COUNTIFS($A$14:$A$1213,$A190,$C$14:$C$1213,"="&amp;$C190)+1)/2,"")</f>
        <v/>
      </c>
      <c r="W190" s="27">
        <f>IF(ISNUMBER($F190),COUNTIFS($A$14:$A$1213,$A190,$F$14:$F$1213,"&gt;"&amp;$F190)+(COUNTIFS($A$14:$A$1213,$A190,$F$14:$F$1213,"="&amp;$F190)+1)/2,"")</f>
        <v/>
      </c>
      <c r="X190" s="27">
        <f>IF(OR(NOT(ISNUMBER($V190)),$AO190=1),"",$V190-(COUNTIFS($A$14:$A$1213,$A190,$C$14:$C$1213,"&gt;=0")+1)/2)</f>
        <v/>
      </c>
      <c r="Y190" s="27">
        <f>IF(OR(NOT(ISNUMBER($W190)),$AO190=1),"",$W190-(COUNTIFS($A$14:$A$1213,$A190,$F$14:$F$1213,"&gt;=0")+1)/2)</f>
        <v/>
      </c>
      <c r="Z190" s="27">
        <f>IF(ISNUMBER($V190),$A190&amp;"|"&amp;$V190,"")</f>
        <v/>
      </c>
      <c r="AA190" s="27">
        <f>IF(ISNUMBER($W190),$A190&amp;"|"&amp;$W190,"")</f>
        <v/>
      </c>
      <c r="AB190" s="27">
        <f>IF(ISNUMBER($F190),$A190&amp;"|"&amp;$F190,"")</f>
        <v/>
      </c>
      <c r="AC190" s="27">
        <f>IF(ISNUMBER($P190),COUNTIFS($A$14:$A$1213,$A190,$P$14:$P$1213,"&gt;"&amp;$P190)+(COUNTIFS($A$14:$A$1213,$A190,$P$14:$P$1213,"="&amp;$P190)+1)/2,"")</f>
        <v/>
      </c>
      <c r="AD190" s="27">
        <f>IF(ISNUMBER($Q190),COUNTIFS($A$14:$A$1213,$A190,$Q$14:$Q$1213,"&gt;"&amp;$Q190)+(COUNTIFS($A$14:$A$1213,$A190,$Q$14:$Q$1213,"="&amp;$Q190)+1)/2,"")</f>
        <v/>
      </c>
      <c r="AE190" s="27">
        <f>IF(ISNUMBER($R190),COUNTIFS($A$14:$A$1213,$A190,$R$14:$R$1213,"&gt;"&amp;$R190)+(COUNTIFS($A$14:$A$1213,$A190,$R$14:$R$1213,"="&amp;$R190)+1)/2,"")</f>
        <v/>
      </c>
      <c r="AF190" s="27">
        <f>IF(ISNUMBER($S190),COUNTIFS($A$14:$A$1213,$A190,$S$14:$S$1213,"&gt;"&amp;$S190)+(COUNTIFS($A$14:$A$1213,$A190,$S$14:$S$1213,"="&amp;$S190)+1)/2,"")</f>
        <v/>
      </c>
      <c r="AG190" s="27">
        <f>IF(ISNUMBER($T190),COUNTIFS($A$14:$A$1213,$A190,$T$14:$T$1213,"&gt;"&amp;$T190)+(COUNTIFS($A$14:$A$1213,$A190,$T$14:$T$1213,"="&amp;$T190)+1)/2,"")</f>
        <v/>
      </c>
      <c r="AH190" s="27">
        <f>IF(COUNT($AC190:$AG190)&lt;2,"",IF(MAX($AC190:$AG190)=MIN($AC190:$AG190),0,1))</f>
        <v/>
      </c>
      <c r="AI190" s="27">
        <f>IF($A190="","",IF(COUNTIF($A$14:$A190,$A190)=1,COUNTIF($AI$13:AI189,"&gt;0")+1,""))</f>
        <v/>
      </c>
      <c r="AJ190" s="27">
        <f>IF(OR($H190="",COUNTIFS($A$14:$A$1213,$H190,$F$14:$F$1213,"&gt;=0")&lt;2,COUNTIFS($A$14:$A$1213,$H190,$F$14:$F$1213,_xlfn.MAXIFS($F$14:$F$1213,$A$14:$A$1213,$H190))&gt;1),"",IFERROR(INDEX($D$14:$D$1213,MATCH($H190&amp;"|"&amp;_xlfn.MAXIFS($F$14:$F$1213,$A$14:$A$1213,$H190),$AB$14:$AB$1213,0)),""))</f>
        <v/>
      </c>
      <c r="AK190" s="27">
        <f>IF(OR($H190="",COUNTIFS($A$14:$A$1213,$H190,$F$14:$F$1213,"&gt;=0")&lt;2,COUNTIFS($A$14:$A$1213,$H190,$F$14:$F$1213,_xlfn.MAXIFS($F$14:$F$1213,$A$14:$A$1213,$H190))&gt;1),"",IFERROR(INDEX($E$14:$E$1213,MATCH($H190&amp;"|"&amp;_xlfn.MAXIFS($F$14:$F$1213,$A$14:$A$1213,$H190),$AB$14:$AB$1213,0)),""))</f>
        <v/>
      </c>
      <c r="AL190" s="27">
        <f>IF(OR($H190="",COUNTIFS($A$14:$A$1213,$H190,$F$14:$F$1213,"&gt;=0")&lt;2,COUNTIFS($A$14:$A$1213,$H190,$F$14:$F$1213,_xlfn.MAXIFS($F$14:$F$1213,$A$14:$A$1213,$H190))&gt;1),"",IFERROR(INDEX($D$14:$D$1213,MATCH($H190&amp;"|"&amp;_xlfn.MAXIFS($F$14:$F$1213,$A$14:$A$1213,$H190,$F$14:$F$1213,"&lt;"&amp;_xlfn.MAXIFS($F$14:$F$1213,$A$14:$A$1213,$H190)),$AB$14:$AB$1213,0)),""))</f>
        <v/>
      </c>
      <c r="AM190" s="27">
        <f>IF(OR($H190="",COUNTIFS($A$14:$A$1213,$H190,$F$14:$F$1213,"&gt;=0")&lt;2,COUNTIFS($A$14:$A$1213,$H190,$F$14:$F$1213,_xlfn.MAXIFS($F$14:$F$1213,$A$14:$A$1213,$H190))&gt;1),"",IFERROR(INDEX($E$14:$E$1213,MATCH($H190&amp;"|"&amp;_xlfn.MAXIFS($F$14:$F$1213,$A$14:$A$1213,$H190,$F$14:$F$1213,"&lt;"&amp;_xlfn.MAXIFS($F$14:$F$1213,$A$14:$A$1213,$H190)),$AB$14:$AB$1213,0)),""))</f>
        <v/>
      </c>
      <c r="AN190" s="27">
        <f>IF(OR(NOT(ISNUMBER($AJ190)),NOT(ISNUMBER($AL190)),$AK190=0,$AM190=0),"",IF(OR((($AJ190+$AL190)/($AK190+$AM190))&lt;=0,(($AJ190+$AL190)/($AK190+$AM190))&gt;=1),"",($AJ190/$AK190-$AL190/$AM190)/SQRT((($AJ190+$AL190)/($AK190+$AM190))*(1-(($AJ190+$AL190)/($AK190+$AM190)))*(1/$AK190+1/$AM190))))</f>
        <v/>
      </c>
      <c r="AO190" s="27">
        <f>IF($A190="","",IF(AND(COUNTIFS($A$14:$A$1213,$A190,$F$14:$F$1213,"&gt;=0")=2,IFERROR(INDEX($M$14:$M$313,MATCH($A190,$H$14:$H$313,0)),"Yes")&lt;&gt;"Yes"),1,0))</f>
        <v/>
      </c>
    </row>
    <row r="191" ht="24" customHeight="1">
      <c r="A191" s="19">
        <f>IF('Enter messages'!A191="","",'Enter messages'!A191)</f>
        <v/>
      </c>
      <c r="B191" s="20">
        <f>IF('Enter messages'!B191="","",'Enter messages'!B191)</f>
        <v/>
      </c>
      <c r="C191" s="21">
        <f>IFERROR(AVERAGE(P191:T191),"")</f>
        <v/>
      </c>
      <c r="D191" s="29" t="n"/>
      <c r="E191" s="29" t="n"/>
      <c r="F191" s="30">
        <f>IF(AND(ISNUMBER($D191),ISNUMBER($E191),$E191&gt;0,$D191&lt;=$E191),$D191/$E191,"")</f>
        <v/>
      </c>
      <c r="H191" s="19">
        <f>IFERROR(INDEX($A$14:$A$1213,MATCH(178,$AI$14:$AI$1213,0)),"")</f>
        <v/>
      </c>
      <c r="I191" s="24">
        <f>IF($H191="","",IF(COUNTIFS($A$14:$A$1213,$H191,$C$14:$C$1213,"&gt;=0")=0,"—",IFERROR(INDEX($B$14:$B$1213,MATCH($H191&amp;"|1",$Z$14:$Z$1213,0)),"(tied)")))</f>
        <v/>
      </c>
      <c r="J191" s="25">
        <f>IF($H191="","",IF(OR(COUNTIFS($A$14:$A$1213,$H191,$C$14:$C$1213,"&gt;=0")=0,COUNTIFS($A$14:$A$1213,$H191,$F$14:$F$1213,"&gt;=0")=0),"—",IF(OR(ISERROR(MATCH($H191&amp;"|1",$Z$14:$Z$1213,0)),ISERROR(MATCH($H191&amp;"|1",$AA$14:$AA$1213,0))),"Tie",IF(MATCH($H191&amp;"|1",$Z$14:$Z$1213,0)=MATCH($H191&amp;"|1",$AA$14:$AA$1213,0),"Hit","Miss"))))</f>
        <v/>
      </c>
      <c r="K191" s="24">
        <f>IF($H191="","",IF(COUNTIFS($A$14:$A$1213,$H191,$F$14:$F$1213,"&gt;=0")=0,"—",IFERROR(INDEX($B$14:$B$1213,MATCH($H191&amp;"|1",$AA$14:$AA$1213,0)),"(tied)")))</f>
        <v/>
      </c>
      <c r="L191" s="25">
        <f>IF($H191="","",IF((--(COUNTIFS($A$14:$A$1213,$H191,$P$14:$P$1213,"&gt;=0")&gt;0)+--(COUNTIFS($A$14:$A$1213,$H191,$Q$14:$Q$1213,"&gt;=0")&gt;0)+--(COUNTIFS($A$14:$A$1213,$H191,$R$14:$R$1213,"&gt;=0")&gt;0)+--(COUNTIFS($A$14:$A$1213,$H191,$S$14:$S$1213,"&gt;=0")&gt;0)+--(COUNTIFS($A$14:$A$1213,$H191,$T$14:$T$1213,"&gt;=0")&gt;0))&lt;2,"—",IF(SUMIFS($AH$14:$AH$1213,$A$14:$A$1213,$H191)=0,"Yes","No")))</f>
        <v/>
      </c>
      <c r="M191" s="25">
        <f>IF($H191="","",IF(COUNTIFS($A$14:$A$1213,$H191,$F$14:$F$1213,"&gt;=0")&lt;2,"—",IF(COUNTIFS($A$14:$A$1213,$H191,$F$14:$F$1213,_xlfn.MAXIFS($F$14:$F$1213,$A$14:$A$1213,$H191))&gt;1,"No",IF(NOT(ISNUMBER($AN191)),"—",IF((2*(1-NORMSDIST(ABS($AN191))))&lt;0.05,"Yes","No")))))</f>
        <v/>
      </c>
      <c r="N191" s="21">
        <f>IF($H191="","",IF(NOT(ISNUMBER($AN191)),"—",IF((2*(1-NORMSDIST(ABS($AN191))))&lt;0.001,"&lt;0.001",TEXT((2*(1-NORMSDIST(ABS($AN191)))),"0.000"))))</f>
        <v/>
      </c>
      <c r="P191" s="26" t="n"/>
      <c r="Q191" s="26" t="n"/>
      <c r="R191" s="26" t="n"/>
      <c r="S191" s="26" t="n"/>
      <c r="T191" s="26" t="n"/>
      <c r="V191" s="27">
        <f>IF(ISNUMBER($C191),COUNTIFS($A$14:$A$1213,$A191,$C$14:$C$1213,"&gt;"&amp;$C191)+(COUNTIFS($A$14:$A$1213,$A191,$C$14:$C$1213,"="&amp;$C191)+1)/2,"")</f>
        <v/>
      </c>
      <c r="W191" s="27">
        <f>IF(ISNUMBER($F191),COUNTIFS($A$14:$A$1213,$A191,$F$14:$F$1213,"&gt;"&amp;$F191)+(COUNTIFS($A$14:$A$1213,$A191,$F$14:$F$1213,"="&amp;$F191)+1)/2,"")</f>
        <v/>
      </c>
      <c r="X191" s="27">
        <f>IF(OR(NOT(ISNUMBER($V191)),$AO191=1),"",$V191-(COUNTIFS($A$14:$A$1213,$A191,$C$14:$C$1213,"&gt;=0")+1)/2)</f>
        <v/>
      </c>
      <c r="Y191" s="27">
        <f>IF(OR(NOT(ISNUMBER($W191)),$AO191=1),"",$W191-(COUNTIFS($A$14:$A$1213,$A191,$F$14:$F$1213,"&gt;=0")+1)/2)</f>
        <v/>
      </c>
      <c r="Z191" s="27">
        <f>IF(ISNUMBER($V191),$A191&amp;"|"&amp;$V191,"")</f>
        <v/>
      </c>
      <c r="AA191" s="27">
        <f>IF(ISNUMBER($W191),$A191&amp;"|"&amp;$W191,"")</f>
        <v/>
      </c>
      <c r="AB191" s="27">
        <f>IF(ISNUMBER($F191),$A191&amp;"|"&amp;$F191,"")</f>
        <v/>
      </c>
      <c r="AC191" s="27">
        <f>IF(ISNUMBER($P191),COUNTIFS($A$14:$A$1213,$A191,$P$14:$P$1213,"&gt;"&amp;$P191)+(COUNTIFS($A$14:$A$1213,$A191,$P$14:$P$1213,"="&amp;$P191)+1)/2,"")</f>
        <v/>
      </c>
      <c r="AD191" s="27">
        <f>IF(ISNUMBER($Q191),COUNTIFS($A$14:$A$1213,$A191,$Q$14:$Q$1213,"&gt;"&amp;$Q191)+(COUNTIFS($A$14:$A$1213,$A191,$Q$14:$Q$1213,"="&amp;$Q191)+1)/2,"")</f>
        <v/>
      </c>
      <c r="AE191" s="27">
        <f>IF(ISNUMBER($R191),COUNTIFS($A$14:$A$1213,$A191,$R$14:$R$1213,"&gt;"&amp;$R191)+(COUNTIFS($A$14:$A$1213,$A191,$R$14:$R$1213,"="&amp;$R191)+1)/2,"")</f>
        <v/>
      </c>
      <c r="AF191" s="27">
        <f>IF(ISNUMBER($S191),COUNTIFS($A$14:$A$1213,$A191,$S$14:$S$1213,"&gt;"&amp;$S191)+(COUNTIFS($A$14:$A$1213,$A191,$S$14:$S$1213,"="&amp;$S191)+1)/2,"")</f>
        <v/>
      </c>
      <c r="AG191" s="27">
        <f>IF(ISNUMBER($T191),COUNTIFS($A$14:$A$1213,$A191,$T$14:$T$1213,"&gt;"&amp;$T191)+(COUNTIFS($A$14:$A$1213,$A191,$T$14:$T$1213,"="&amp;$T191)+1)/2,"")</f>
        <v/>
      </c>
      <c r="AH191" s="27">
        <f>IF(COUNT($AC191:$AG191)&lt;2,"",IF(MAX($AC191:$AG191)=MIN($AC191:$AG191),0,1))</f>
        <v/>
      </c>
      <c r="AI191" s="27">
        <f>IF($A191="","",IF(COUNTIF($A$14:$A191,$A191)=1,COUNTIF($AI$13:AI190,"&gt;0")+1,""))</f>
        <v/>
      </c>
      <c r="AJ191" s="27">
        <f>IF(OR($H191="",COUNTIFS($A$14:$A$1213,$H191,$F$14:$F$1213,"&gt;=0")&lt;2,COUNTIFS($A$14:$A$1213,$H191,$F$14:$F$1213,_xlfn.MAXIFS($F$14:$F$1213,$A$14:$A$1213,$H191))&gt;1),"",IFERROR(INDEX($D$14:$D$1213,MATCH($H191&amp;"|"&amp;_xlfn.MAXIFS($F$14:$F$1213,$A$14:$A$1213,$H191),$AB$14:$AB$1213,0)),""))</f>
        <v/>
      </c>
      <c r="AK191" s="27">
        <f>IF(OR($H191="",COUNTIFS($A$14:$A$1213,$H191,$F$14:$F$1213,"&gt;=0")&lt;2,COUNTIFS($A$14:$A$1213,$H191,$F$14:$F$1213,_xlfn.MAXIFS($F$14:$F$1213,$A$14:$A$1213,$H191))&gt;1),"",IFERROR(INDEX($E$14:$E$1213,MATCH($H191&amp;"|"&amp;_xlfn.MAXIFS($F$14:$F$1213,$A$14:$A$1213,$H191),$AB$14:$AB$1213,0)),""))</f>
        <v/>
      </c>
      <c r="AL191" s="27">
        <f>IF(OR($H191="",COUNTIFS($A$14:$A$1213,$H191,$F$14:$F$1213,"&gt;=0")&lt;2,COUNTIFS($A$14:$A$1213,$H191,$F$14:$F$1213,_xlfn.MAXIFS($F$14:$F$1213,$A$14:$A$1213,$H191))&gt;1),"",IFERROR(INDEX($D$14:$D$1213,MATCH($H191&amp;"|"&amp;_xlfn.MAXIFS($F$14:$F$1213,$A$14:$A$1213,$H191,$F$14:$F$1213,"&lt;"&amp;_xlfn.MAXIFS($F$14:$F$1213,$A$14:$A$1213,$H191)),$AB$14:$AB$1213,0)),""))</f>
        <v/>
      </c>
      <c r="AM191" s="27">
        <f>IF(OR($H191="",COUNTIFS($A$14:$A$1213,$H191,$F$14:$F$1213,"&gt;=0")&lt;2,COUNTIFS($A$14:$A$1213,$H191,$F$14:$F$1213,_xlfn.MAXIFS($F$14:$F$1213,$A$14:$A$1213,$H191))&gt;1),"",IFERROR(INDEX($E$14:$E$1213,MATCH($H191&amp;"|"&amp;_xlfn.MAXIFS($F$14:$F$1213,$A$14:$A$1213,$H191,$F$14:$F$1213,"&lt;"&amp;_xlfn.MAXIFS($F$14:$F$1213,$A$14:$A$1213,$H191)),$AB$14:$AB$1213,0)),""))</f>
        <v/>
      </c>
      <c r="AN191" s="27">
        <f>IF(OR(NOT(ISNUMBER($AJ191)),NOT(ISNUMBER($AL191)),$AK191=0,$AM191=0),"",IF(OR((($AJ191+$AL191)/($AK191+$AM191))&lt;=0,(($AJ191+$AL191)/($AK191+$AM191))&gt;=1),"",($AJ191/$AK191-$AL191/$AM191)/SQRT((($AJ191+$AL191)/($AK191+$AM191))*(1-(($AJ191+$AL191)/($AK191+$AM191)))*(1/$AK191+1/$AM191))))</f>
        <v/>
      </c>
      <c r="AO191" s="27">
        <f>IF($A191="","",IF(AND(COUNTIFS($A$14:$A$1213,$A191,$F$14:$F$1213,"&gt;=0")=2,IFERROR(INDEX($M$14:$M$313,MATCH($A191,$H$14:$H$313,0)),"Yes")&lt;&gt;"Yes"),1,0))</f>
        <v/>
      </c>
    </row>
    <row r="192" ht="24" customHeight="1">
      <c r="A192" s="19">
        <f>IF('Enter messages'!A192="","",'Enter messages'!A192)</f>
        <v/>
      </c>
      <c r="B192" s="20">
        <f>IF('Enter messages'!B192="","",'Enter messages'!B192)</f>
        <v/>
      </c>
      <c r="C192" s="21">
        <f>IFERROR(AVERAGE(P192:T192),"")</f>
        <v/>
      </c>
      <c r="D192" s="29" t="n"/>
      <c r="E192" s="29" t="n"/>
      <c r="F192" s="30">
        <f>IF(AND(ISNUMBER($D192),ISNUMBER($E192),$E192&gt;0,$D192&lt;=$E192),$D192/$E192,"")</f>
        <v/>
      </c>
      <c r="H192" s="19">
        <f>IFERROR(INDEX($A$14:$A$1213,MATCH(179,$AI$14:$AI$1213,0)),"")</f>
        <v/>
      </c>
      <c r="I192" s="24">
        <f>IF($H192="","",IF(COUNTIFS($A$14:$A$1213,$H192,$C$14:$C$1213,"&gt;=0")=0,"—",IFERROR(INDEX($B$14:$B$1213,MATCH($H192&amp;"|1",$Z$14:$Z$1213,0)),"(tied)")))</f>
        <v/>
      </c>
      <c r="J192" s="25">
        <f>IF($H192="","",IF(OR(COUNTIFS($A$14:$A$1213,$H192,$C$14:$C$1213,"&gt;=0")=0,COUNTIFS($A$14:$A$1213,$H192,$F$14:$F$1213,"&gt;=0")=0),"—",IF(OR(ISERROR(MATCH($H192&amp;"|1",$Z$14:$Z$1213,0)),ISERROR(MATCH($H192&amp;"|1",$AA$14:$AA$1213,0))),"Tie",IF(MATCH($H192&amp;"|1",$Z$14:$Z$1213,0)=MATCH($H192&amp;"|1",$AA$14:$AA$1213,0),"Hit","Miss"))))</f>
        <v/>
      </c>
      <c r="K192" s="24">
        <f>IF($H192="","",IF(COUNTIFS($A$14:$A$1213,$H192,$F$14:$F$1213,"&gt;=0")=0,"—",IFERROR(INDEX($B$14:$B$1213,MATCH($H192&amp;"|1",$AA$14:$AA$1213,0)),"(tied)")))</f>
        <v/>
      </c>
      <c r="L192" s="25">
        <f>IF($H192="","",IF((--(COUNTIFS($A$14:$A$1213,$H192,$P$14:$P$1213,"&gt;=0")&gt;0)+--(COUNTIFS($A$14:$A$1213,$H192,$Q$14:$Q$1213,"&gt;=0")&gt;0)+--(COUNTIFS($A$14:$A$1213,$H192,$R$14:$R$1213,"&gt;=0")&gt;0)+--(COUNTIFS($A$14:$A$1213,$H192,$S$14:$S$1213,"&gt;=0")&gt;0)+--(COUNTIFS($A$14:$A$1213,$H192,$T$14:$T$1213,"&gt;=0")&gt;0))&lt;2,"—",IF(SUMIFS($AH$14:$AH$1213,$A$14:$A$1213,$H192)=0,"Yes","No")))</f>
        <v/>
      </c>
      <c r="M192" s="25">
        <f>IF($H192="","",IF(COUNTIFS($A$14:$A$1213,$H192,$F$14:$F$1213,"&gt;=0")&lt;2,"—",IF(COUNTIFS($A$14:$A$1213,$H192,$F$14:$F$1213,_xlfn.MAXIFS($F$14:$F$1213,$A$14:$A$1213,$H192))&gt;1,"No",IF(NOT(ISNUMBER($AN192)),"—",IF((2*(1-NORMSDIST(ABS($AN192))))&lt;0.05,"Yes","No")))))</f>
        <v/>
      </c>
      <c r="N192" s="21">
        <f>IF($H192="","",IF(NOT(ISNUMBER($AN192)),"—",IF((2*(1-NORMSDIST(ABS($AN192))))&lt;0.001,"&lt;0.001",TEXT((2*(1-NORMSDIST(ABS($AN192)))),"0.000"))))</f>
        <v/>
      </c>
      <c r="P192" s="26" t="n"/>
      <c r="Q192" s="26" t="n"/>
      <c r="R192" s="26" t="n"/>
      <c r="S192" s="26" t="n"/>
      <c r="T192" s="26" t="n"/>
      <c r="V192" s="27">
        <f>IF(ISNUMBER($C192),COUNTIFS($A$14:$A$1213,$A192,$C$14:$C$1213,"&gt;"&amp;$C192)+(COUNTIFS($A$14:$A$1213,$A192,$C$14:$C$1213,"="&amp;$C192)+1)/2,"")</f>
        <v/>
      </c>
      <c r="W192" s="27">
        <f>IF(ISNUMBER($F192),COUNTIFS($A$14:$A$1213,$A192,$F$14:$F$1213,"&gt;"&amp;$F192)+(COUNTIFS($A$14:$A$1213,$A192,$F$14:$F$1213,"="&amp;$F192)+1)/2,"")</f>
        <v/>
      </c>
      <c r="X192" s="27">
        <f>IF(OR(NOT(ISNUMBER($V192)),$AO192=1),"",$V192-(COUNTIFS($A$14:$A$1213,$A192,$C$14:$C$1213,"&gt;=0")+1)/2)</f>
        <v/>
      </c>
      <c r="Y192" s="27">
        <f>IF(OR(NOT(ISNUMBER($W192)),$AO192=1),"",$W192-(COUNTIFS($A$14:$A$1213,$A192,$F$14:$F$1213,"&gt;=0")+1)/2)</f>
        <v/>
      </c>
      <c r="Z192" s="27">
        <f>IF(ISNUMBER($V192),$A192&amp;"|"&amp;$V192,"")</f>
        <v/>
      </c>
      <c r="AA192" s="27">
        <f>IF(ISNUMBER($W192),$A192&amp;"|"&amp;$W192,"")</f>
        <v/>
      </c>
      <c r="AB192" s="27">
        <f>IF(ISNUMBER($F192),$A192&amp;"|"&amp;$F192,"")</f>
        <v/>
      </c>
      <c r="AC192" s="27">
        <f>IF(ISNUMBER($P192),COUNTIFS($A$14:$A$1213,$A192,$P$14:$P$1213,"&gt;"&amp;$P192)+(COUNTIFS($A$14:$A$1213,$A192,$P$14:$P$1213,"="&amp;$P192)+1)/2,"")</f>
        <v/>
      </c>
      <c r="AD192" s="27">
        <f>IF(ISNUMBER($Q192),COUNTIFS($A$14:$A$1213,$A192,$Q$14:$Q$1213,"&gt;"&amp;$Q192)+(COUNTIFS($A$14:$A$1213,$A192,$Q$14:$Q$1213,"="&amp;$Q192)+1)/2,"")</f>
        <v/>
      </c>
      <c r="AE192" s="27">
        <f>IF(ISNUMBER($R192),COUNTIFS($A$14:$A$1213,$A192,$R$14:$R$1213,"&gt;"&amp;$R192)+(COUNTIFS($A$14:$A$1213,$A192,$R$14:$R$1213,"="&amp;$R192)+1)/2,"")</f>
        <v/>
      </c>
      <c r="AF192" s="27">
        <f>IF(ISNUMBER($S192),COUNTIFS($A$14:$A$1213,$A192,$S$14:$S$1213,"&gt;"&amp;$S192)+(COUNTIFS($A$14:$A$1213,$A192,$S$14:$S$1213,"="&amp;$S192)+1)/2,"")</f>
        <v/>
      </c>
      <c r="AG192" s="27">
        <f>IF(ISNUMBER($T192),COUNTIFS($A$14:$A$1213,$A192,$T$14:$T$1213,"&gt;"&amp;$T192)+(COUNTIFS($A$14:$A$1213,$A192,$T$14:$T$1213,"="&amp;$T192)+1)/2,"")</f>
        <v/>
      </c>
      <c r="AH192" s="27">
        <f>IF(COUNT($AC192:$AG192)&lt;2,"",IF(MAX($AC192:$AG192)=MIN($AC192:$AG192),0,1))</f>
        <v/>
      </c>
      <c r="AI192" s="27">
        <f>IF($A192="","",IF(COUNTIF($A$14:$A192,$A192)=1,COUNTIF($AI$13:AI191,"&gt;0")+1,""))</f>
        <v/>
      </c>
      <c r="AJ192" s="27">
        <f>IF(OR($H192="",COUNTIFS($A$14:$A$1213,$H192,$F$14:$F$1213,"&gt;=0")&lt;2,COUNTIFS($A$14:$A$1213,$H192,$F$14:$F$1213,_xlfn.MAXIFS($F$14:$F$1213,$A$14:$A$1213,$H192))&gt;1),"",IFERROR(INDEX($D$14:$D$1213,MATCH($H192&amp;"|"&amp;_xlfn.MAXIFS($F$14:$F$1213,$A$14:$A$1213,$H192),$AB$14:$AB$1213,0)),""))</f>
        <v/>
      </c>
      <c r="AK192" s="27">
        <f>IF(OR($H192="",COUNTIFS($A$14:$A$1213,$H192,$F$14:$F$1213,"&gt;=0")&lt;2,COUNTIFS($A$14:$A$1213,$H192,$F$14:$F$1213,_xlfn.MAXIFS($F$14:$F$1213,$A$14:$A$1213,$H192))&gt;1),"",IFERROR(INDEX($E$14:$E$1213,MATCH($H192&amp;"|"&amp;_xlfn.MAXIFS($F$14:$F$1213,$A$14:$A$1213,$H192),$AB$14:$AB$1213,0)),""))</f>
        <v/>
      </c>
      <c r="AL192" s="27">
        <f>IF(OR($H192="",COUNTIFS($A$14:$A$1213,$H192,$F$14:$F$1213,"&gt;=0")&lt;2,COUNTIFS($A$14:$A$1213,$H192,$F$14:$F$1213,_xlfn.MAXIFS($F$14:$F$1213,$A$14:$A$1213,$H192))&gt;1),"",IFERROR(INDEX($D$14:$D$1213,MATCH($H192&amp;"|"&amp;_xlfn.MAXIFS($F$14:$F$1213,$A$14:$A$1213,$H192,$F$14:$F$1213,"&lt;"&amp;_xlfn.MAXIFS($F$14:$F$1213,$A$14:$A$1213,$H192)),$AB$14:$AB$1213,0)),""))</f>
        <v/>
      </c>
      <c r="AM192" s="27">
        <f>IF(OR($H192="",COUNTIFS($A$14:$A$1213,$H192,$F$14:$F$1213,"&gt;=0")&lt;2,COUNTIFS($A$14:$A$1213,$H192,$F$14:$F$1213,_xlfn.MAXIFS($F$14:$F$1213,$A$14:$A$1213,$H192))&gt;1),"",IFERROR(INDEX($E$14:$E$1213,MATCH($H192&amp;"|"&amp;_xlfn.MAXIFS($F$14:$F$1213,$A$14:$A$1213,$H192,$F$14:$F$1213,"&lt;"&amp;_xlfn.MAXIFS($F$14:$F$1213,$A$14:$A$1213,$H192)),$AB$14:$AB$1213,0)),""))</f>
        <v/>
      </c>
      <c r="AN192" s="27">
        <f>IF(OR(NOT(ISNUMBER($AJ192)),NOT(ISNUMBER($AL192)),$AK192=0,$AM192=0),"",IF(OR((($AJ192+$AL192)/($AK192+$AM192))&lt;=0,(($AJ192+$AL192)/($AK192+$AM192))&gt;=1),"",($AJ192/$AK192-$AL192/$AM192)/SQRT((($AJ192+$AL192)/($AK192+$AM192))*(1-(($AJ192+$AL192)/($AK192+$AM192)))*(1/$AK192+1/$AM192))))</f>
        <v/>
      </c>
      <c r="AO192" s="27">
        <f>IF($A192="","",IF(AND(COUNTIFS($A$14:$A$1213,$A192,$F$14:$F$1213,"&gt;=0")=2,IFERROR(INDEX($M$14:$M$313,MATCH($A192,$H$14:$H$313,0)),"Yes")&lt;&gt;"Yes"),1,0))</f>
        <v/>
      </c>
    </row>
    <row r="193" ht="24" customHeight="1">
      <c r="A193" s="19">
        <f>IF('Enter messages'!A193="","",'Enter messages'!A193)</f>
        <v/>
      </c>
      <c r="B193" s="20">
        <f>IF('Enter messages'!B193="","",'Enter messages'!B193)</f>
        <v/>
      </c>
      <c r="C193" s="21">
        <f>IFERROR(AVERAGE(P193:T193),"")</f>
        <v/>
      </c>
      <c r="D193" s="29" t="n"/>
      <c r="E193" s="29" t="n"/>
      <c r="F193" s="30">
        <f>IF(AND(ISNUMBER($D193),ISNUMBER($E193),$E193&gt;0,$D193&lt;=$E193),$D193/$E193,"")</f>
        <v/>
      </c>
      <c r="H193" s="19">
        <f>IFERROR(INDEX($A$14:$A$1213,MATCH(180,$AI$14:$AI$1213,0)),"")</f>
        <v/>
      </c>
      <c r="I193" s="24">
        <f>IF($H193="","",IF(COUNTIFS($A$14:$A$1213,$H193,$C$14:$C$1213,"&gt;=0")=0,"—",IFERROR(INDEX($B$14:$B$1213,MATCH($H193&amp;"|1",$Z$14:$Z$1213,0)),"(tied)")))</f>
        <v/>
      </c>
      <c r="J193" s="25">
        <f>IF($H193="","",IF(OR(COUNTIFS($A$14:$A$1213,$H193,$C$14:$C$1213,"&gt;=0")=0,COUNTIFS($A$14:$A$1213,$H193,$F$14:$F$1213,"&gt;=0")=0),"—",IF(OR(ISERROR(MATCH($H193&amp;"|1",$Z$14:$Z$1213,0)),ISERROR(MATCH($H193&amp;"|1",$AA$14:$AA$1213,0))),"Tie",IF(MATCH($H193&amp;"|1",$Z$14:$Z$1213,0)=MATCH($H193&amp;"|1",$AA$14:$AA$1213,0),"Hit","Miss"))))</f>
        <v/>
      </c>
      <c r="K193" s="24">
        <f>IF($H193="","",IF(COUNTIFS($A$14:$A$1213,$H193,$F$14:$F$1213,"&gt;=0")=0,"—",IFERROR(INDEX($B$14:$B$1213,MATCH($H193&amp;"|1",$AA$14:$AA$1213,0)),"(tied)")))</f>
        <v/>
      </c>
      <c r="L193" s="25">
        <f>IF($H193="","",IF((--(COUNTIFS($A$14:$A$1213,$H193,$P$14:$P$1213,"&gt;=0")&gt;0)+--(COUNTIFS($A$14:$A$1213,$H193,$Q$14:$Q$1213,"&gt;=0")&gt;0)+--(COUNTIFS($A$14:$A$1213,$H193,$R$14:$R$1213,"&gt;=0")&gt;0)+--(COUNTIFS($A$14:$A$1213,$H193,$S$14:$S$1213,"&gt;=0")&gt;0)+--(COUNTIFS($A$14:$A$1213,$H193,$T$14:$T$1213,"&gt;=0")&gt;0))&lt;2,"—",IF(SUMIFS($AH$14:$AH$1213,$A$14:$A$1213,$H193)=0,"Yes","No")))</f>
        <v/>
      </c>
      <c r="M193" s="25">
        <f>IF($H193="","",IF(COUNTIFS($A$14:$A$1213,$H193,$F$14:$F$1213,"&gt;=0")&lt;2,"—",IF(COUNTIFS($A$14:$A$1213,$H193,$F$14:$F$1213,_xlfn.MAXIFS($F$14:$F$1213,$A$14:$A$1213,$H193))&gt;1,"No",IF(NOT(ISNUMBER($AN193)),"—",IF((2*(1-NORMSDIST(ABS($AN193))))&lt;0.05,"Yes","No")))))</f>
        <v/>
      </c>
      <c r="N193" s="21">
        <f>IF($H193="","",IF(NOT(ISNUMBER($AN193)),"—",IF((2*(1-NORMSDIST(ABS($AN193))))&lt;0.001,"&lt;0.001",TEXT((2*(1-NORMSDIST(ABS($AN193)))),"0.000"))))</f>
        <v/>
      </c>
      <c r="P193" s="26" t="n"/>
      <c r="Q193" s="26" t="n"/>
      <c r="R193" s="26" t="n"/>
      <c r="S193" s="26" t="n"/>
      <c r="T193" s="26" t="n"/>
      <c r="V193" s="27">
        <f>IF(ISNUMBER($C193),COUNTIFS($A$14:$A$1213,$A193,$C$14:$C$1213,"&gt;"&amp;$C193)+(COUNTIFS($A$14:$A$1213,$A193,$C$14:$C$1213,"="&amp;$C193)+1)/2,"")</f>
        <v/>
      </c>
      <c r="W193" s="27">
        <f>IF(ISNUMBER($F193),COUNTIFS($A$14:$A$1213,$A193,$F$14:$F$1213,"&gt;"&amp;$F193)+(COUNTIFS($A$14:$A$1213,$A193,$F$14:$F$1213,"="&amp;$F193)+1)/2,"")</f>
        <v/>
      </c>
      <c r="X193" s="27">
        <f>IF(OR(NOT(ISNUMBER($V193)),$AO193=1),"",$V193-(COUNTIFS($A$14:$A$1213,$A193,$C$14:$C$1213,"&gt;=0")+1)/2)</f>
        <v/>
      </c>
      <c r="Y193" s="27">
        <f>IF(OR(NOT(ISNUMBER($W193)),$AO193=1),"",$W193-(COUNTIFS($A$14:$A$1213,$A193,$F$14:$F$1213,"&gt;=0")+1)/2)</f>
        <v/>
      </c>
      <c r="Z193" s="27">
        <f>IF(ISNUMBER($V193),$A193&amp;"|"&amp;$V193,"")</f>
        <v/>
      </c>
      <c r="AA193" s="27">
        <f>IF(ISNUMBER($W193),$A193&amp;"|"&amp;$W193,"")</f>
        <v/>
      </c>
      <c r="AB193" s="27">
        <f>IF(ISNUMBER($F193),$A193&amp;"|"&amp;$F193,"")</f>
        <v/>
      </c>
      <c r="AC193" s="27">
        <f>IF(ISNUMBER($P193),COUNTIFS($A$14:$A$1213,$A193,$P$14:$P$1213,"&gt;"&amp;$P193)+(COUNTIFS($A$14:$A$1213,$A193,$P$14:$P$1213,"="&amp;$P193)+1)/2,"")</f>
        <v/>
      </c>
      <c r="AD193" s="27">
        <f>IF(ISNUMBER($Q193),COUNTIFS($A$14:$A$1213,$A193,$Q$14:$Q$1213,"&gt;"&amp;$Q193)+(COUNTIFS($A$14:$A$1213,$A193,$Q$14:$Q$1213,"="&amp;$Q193)+1)/2,"")</f>
        <v/>
      </c>
      <c r="AE193" s="27">
        <f>IF(ISNUMBER($R193),COUNTIFS($A$14:$A$1213,$A193,$R$14:$R$1213,"&gt;"&amp;$R193)+(COUNTIFS($A$14:$A$1213,$A193,$R$14:$R$1213,"="&amp;$R193)+1)/2,"")</f>
        <v/>
      </c>
      <c r="AF193" s="27">
        <f>IF(ISNUMBER($S193),COUNTIFS($A$14:$A$1213,$A193,$S$14:$S$1213,"&gt;"&amp;$S193)+(COUNTIFS($A$14:$A$1213,$A193,$S$14:$S$1213,"="&amp;$S193)+1)/2,"")</f>
        <v/>
      </c>
      <c r="AG193" s="27">
        <f>IF(ISNUMBER($T193),COUNTIFS($A$14:$A$1213,$A193,$T$14:$T$1213,"&gt;"&amp;$T193)+(COUNTIFS($A$14:$A$1213,$A193,$T$14:$T$1213,"="&amp;$T193)+1)/2,"")</f>
        <v/>
      </c>
      <c r="AH193" s="27">
        <f>IF(COUNT($AC193:$AG193)&lt;2,"",IF(MAX($AC193:$AG193)=MIN($AC193:$AG193),0,1))</f>
        <v/>
      </c>
      <c r="AI193" s="27">
        <f>IF($A193="","",IF(COUNTIF($A$14:$A193,$A193)=1,COUNTIF($AI$13:AI192,"&gt;0")+1,""))</f>
        <v/>
      </c>
      <c r="AJ193" s="27">
        <f>IF(OR($H193="",COUNTIFS($A$14:$A$1213,$H193,$F$14:$F$1213,"&gt;=0")&lt;2,COUNTIFS($A$14:$A$1213,$H193,$F$14:$F$1213,_xlfn.MAXIFS($F$14:$F$1213,$A$14:$A$1213,$H193))&gt;1),"",IFERROR(INDEX($D$14:$D$1213,MATCH($H193&amp;"|"&amp;_xlfn.MAXIFS($F$14:$F$1213,$A$14:$A$1213,$H193),$AB$14:$AB$1213,0)),""))</f>
        <v/>
      </c>
      <c r="AK193" s="27">
        <f>IF(OR($H193="",COUNTIFS($A$14:$A$1213,$H193,$F$14:$F$1213,"&gt;=0")&lt;2,COUNTIFS($A$14:$A$1213,$H193,$F$14:$F$1213,_xlfn.MAXIFS($F$14:$F$1213,$A$14:$A$1213,$H193))&gt;1),"",IFERROR(INDEX($E$14:$E$1213,MATCH($H193&amp;"|"&amp;_xlfn.MAXIFS($F$14:$F$1213,$A$14:$A$1213,$H193),$AB$14:$AB$1213,0)),""))</f>
        <v/>
      </c>
      <c r="AL193" s="27">
        <f>IF(OR($H193="",COUNTIFS($A$14:$A$1213,$H193,$F$14:$F$1213,"&gt;=0")&lt;2,COUNTIFS($A$14:$A$1213,$H193,$F$14:$F$1213,_xlfn.MAXIFS($F$14:$F$1213,$A$14:$A$1213,$H193))&gt;1),"",IFERROR(INDEX($D$14:$D$1213,MATCH($H193&amp;"|"&amp;_xlfn.MAXIFS($F$14:$F$1213,$A$14:$A$1213,$H193,$F$14:$F$1213,"&lt;"&amp;_xlfn.MAXIFS($F$14:$F$1213,$A$14:$A$1213,$H193)),$AB$14:$AB$1213,0)),""))</f>
        <v/>
      </c>
      <c r="AM193" s="27">
        <f>IF(OR($H193="",COUNTIFS($A$14:$A$1213,$H193,$F$14:$F$1213,"&gt;=0")&lt;2,COUNTIFS($A$14:$A$1213,$H193,$F$14:$F$1213,_xlfn.MAXIFS($F$14:$F$1213,$A$14:$A$1213,$H193))&gt;1),"",IFERROR(INDEX($E$14:$E$1213,MATCH($H193&amp;"|"&amp;_xlfn.MAXIFS($F$14:$F$1213,$A$14:$A$1213,$H193,$F$14:$F$1213,"&lt;"&amp;_xlfn.MAXIFS($F$14:$F$1213,$A$14:$A$1213,$H193)),$AB$14:$AB$1213,0)),""))</f>
        <v/>
      </c>
      <c r="AN193" s="27">
        <f>IF(OR(NOT(ISNUMBER($AJ193)),NOT(ISNUMBER($AL193)),$AK193=0,$AM193=0),"",IF(OR((($AJ193+$AL193)/($AK193+$AM193))&lt;=0,(($AJ193+$AL193)/($AK193+$AM193))&gt;=1),"",($AJ193/$AK193-$AL193/$AM193)/SQRT((($AJ193+$AL193)/($AK193+$AM193))*(1-(($AJ193+$AL193)/($AK193+$AM193)))*(1/$AK193+1/$AM193))))</f>
        <v/>
      </c>
      <c r="AO193" s="27">
        <f>IF($A193="","",IF(AND(COUNTIFS($A$14:$A$1213,$A193,$F$14:$F$1213,"&gt;=0")=2,IFERROR(INDEX($M$14:$M$313,MATCH($A193,$H$14:$H$313,0)),"Yes")&lt;&gt;"Yes"),1,0))</f>
        <v/>
      </c>
    </row>
    <row r="194" ht="24" customHeight="1">
      <c r="A194" s="19">
        <f>IF('Enter messages'!A194="","",'Enter messages'!A194)</f>
        <v/>
      </c>
      <c r="B194" s="20">
        <f>IF('Enter messages'!B194="","",'Enter messages'!B194)</f>
        <v/>
      </c>
      <c r="C194" s="21">
        <f>IFERROR(AVERAGE(P194:T194),"")</f>
        <v/>
      </c>
      <c r="D194" s="29" t="n"/>
      <c r="E194" s="29" t="n"/>
      <c r="F194" s="30">
        <f>IF(AND(ISNUMBER($D194),ISNUMBER($E194),$E194&gt;0,$D194&lt;=$E194),$D194/$E194,"")</f>
        <v/>
      </c>
      <c r="H194" s="19">
        <f>IFERROR(INDEX($A$14:$A$1213,MATCH(181,$AI$14:$AI$1213,0)),"")</f>
        <v/>
      </c>
      <c r="I194" s="24">
        <f>IF($H194="","",IF(COUNTIFS($A$14:$A$1213,$H194,$C$14:$C$1213,"&gt;=0")=0,"—",IFERROR(INDEX($B$14:$B$1213,MATCH($H194&amp;"|1",$Z$14:$Z$1213,0)),"(tied)")))</f>
        <v/>
      </c>
      <c r="J194" s="25">
        <f>IF($H194="","",IF(OR(COUNTIFS($A$14:$A$1213,$H194,$C$14:$C$1213,"&gt;=0")=0,COUNTIFS($A$14:$A$1213,$H194,$F$14:$F$1213,"&gt;=0")=0),"—",IF(OR(ISERROR(MATCH($H194&amp;"|1",$Z$14:$Z$1213,0)),ISERROR(MATCH($H194&amp;"|1",$AA$14:$AA$1213,0))),"Tie",IF(MATCH($H194&amp;"|1",$Z$14:$Z$1213,0)=MATCH($H194&amp;"|1",$AA$14:$AA$1213,0),"Hit","Miss"))))</f>
        <v/>
      </c>
      <c r="K194" s="24">
        <f>IF($H194="","",IF(COUNTIFS($A$14:$A$1213,$H194,$F$14:$F$1213,"&gt;=0")=0,"—",IFERROR(INDEX($B$14:$B$1213,MATCH($H194&amp;"|1",$AA$14:$AA$1213,0)),"(tied)")))</f>
        <v/>
      </c>
      <c r="L194" s="25">
        <f>IF($H194="","",IF((--(COUNTIFS($A$14:$A$1213,$H194,$P$14:$P$1213,"&gt;=0")&gt;0)+--(COUNTIFS($A$14:$A$1213,$H194,$Q$14:$Q$1213,"&gt;=0")&gt;0)+--(COUNTIFS($A$14:$A$1213,$H194,$R$14:$R$1213,"&gt;=0")&gt;0)+--(COUNTIFS($A$14:$A$1213,$H194,$S$14:$S$1213,"&gt;=0")&gt;0)+--(COUNTIFS($A$14:$A$1213,$H194,$T$14:$T$1213,"&gt;=0")&gt;0))&lt;2,"—",IF(SUMIFS($AH$14:$AH$1213,$A$14:$A$1213,$H194)=0,"Yes","No")))</f>
        <v/>
      </c>
      <c r="M194" s="25">
        <f>IF($H194="","",IF(COUNTIFS($A$14:$A$1213,$H194,$F$14:$F$1213,"&gt;=0")&lt;2,"—",IF(COUNTIFS($A$14:$A$1213,$H194,$F$14:$F$1213,_xlfn.MAXIFS($F$14:$F$1213,$A$14:$A$1213,$H194))&gt;1,"No",IF(NOT(ISNUMBER($AN194)),"—",IF((2*(1-NORMSDIST(ABS($AN194))))&lt;0.05,"Yes","No")))))</f>
        <v/>
      </c>
      <c r="N194" s="21">
        <f>IF($H194="","",IF(NOT(ISNUMBER($AN194)),"—",IF((2*(1-NORMSDIST(ABS($AN194))))&lt;0.001,"&lt;0.001",TEXT((2*(1-NORMSDIST(ABS($AN194)))),"0.000"))))</f>
        <v/>
      </c>
      <c r="P194" s="26" t="n"/>
      <c r="Q194" s="26" t="n"/>
      <c r="R194" s="26" t="n"/>
      <c r="S194" s="26" t="n"/>
      <c r="T194" s="26" t="n"/>
      <c r="V194" s="27">
        <f>IF(ISNUMBER($C194),COUNTIFS($A$14:$A$1213,$A194,$C$14:$C$1213,"&gt;"&amp;$C194)+(COUNTIFS($A$14:$A$1213,$A194,$C$14:$C$1213,"="&amp;$C194)+1)/2,"")</f>
        <v/>
      </c>
      <c r="W194" s="27">
        <f>IF(ISNUMBER($F194),COUNTIFS($A$14:$A$1213,$A194,$F$14:$F$1213,"&gt;"&amp;$F194)+(COUNTIFS($A$14:$A$1213,$A194,$F$14:$F$1213,"="&amp;$F194)+1)/2,"")</f>
        <v/>
      </c>
      <c r="X194" s="27">
        <f>IF(OR(NOT(ISNUMBER($V194)),$AO194=1),"",$V194-(COUNTIFS($A$14:$A$1213,$A194,$C$14:$C$1213,"&gt;=0")+1)/2)</f>
        <v/>
      </c>
      <c r="Y194" s="27">
        <f>IF(OR(NOT(ISNUMBER($W194)),$AO194=1),"",$W194-(COUNTIFS($A$14:$A$1213,$A194,$F$14:$F$1213,"&gt;=0")+1)/2)</f>
        <v/>
      </c>
      <c r="Z194" s="27">
        <f>IF(ISNUMBER($V194),$A194&amp;"|"&amp;$V194,"")</f>
        <v/>
      </c>
      <c r="AA194" s="27">
        <f>IF(ISNUMBER($W194),$A194&amp;"|"&amp;$W194,"")</f>
        <v/>
      </c>
      <c r="AB194" s="27">
        <f>IF(ISNUMBER($F194),$A194&amp;"|"&amp;$F194,"")</f>
        <v/>
      </c>
      <c r="AC194" s="27">
        <f>IF(ISNUMBER($P194),COUNTIFS($A$14:$A$1213,$A194,$P$14:$P$1213,"&gt;"&amp;$P194)+(COUNTIFS($A$14:$A$1213,$A194,$P$14:$P$1213,"="&amp;$P194)+1)/2,"")</f>
        <v/>
      </c>
      <c r="AD194" s="27">
        <f>IF(ISNUMBER($Q194),COUNTIFS($A$14:$A$1213,$A194,$Q$14:$Q$1213,"&gt;"&amp;$Q194)+(COUNTIFS($A$14:$A$1213,$A194,$Q$14:$Q$1213,"="&amp;$Q194)+1)/2,"")</f>
        <v/>
      </c>
      <c r="AE194" s="27">
        <f>IF(ISNUMBER($R194),COUNTIFS($A$14:$A$1213,$A194,$R$14:$R$1213,"&gt;"&amp;$R194)+(COUNTIFS($A$14:$A$1213,$A194,$R$14:$R$1213,"="&amp;$R194)+1)/2,"")</f>
        <v/>
      </c>
      <c r="AF194" s="27">
        <f>IF(ISNUMBER($S194),COUNTIFS($A$14:$A$1213,$A194,$S$14:$S$1213,"&gt;"&amp;$S194)+(COUNTIFS($A$14:$A$1213,$A194,$S$14:$S$1213,"="&amp;$S194)+1)/2,"")</f>
        <v/>
      </c>
      <c r="AG194" s="27">
        <f>IF(ISNUMBER($T194),COUNTIFS($A$14:$A$1213,$A194,$T$14:$T$1213,"&gt;"&amp;$T194)+(COUNTIFS($A$14:$A$1213,$A194,$T$14:$T$1213,"="&amp;$T194)+1)/2,"")</f>
        <v/>
      </c>
      <c r="AH194" s="27">
        <f>IF(COUNT($AC194:$AG194)&lt;2,"",IF(MAX($AC194:$AG194)=MIN($AC194:$AG194),0,1))</f>
        <v/>
      </c>
      <c r="AI194" s="27">
        <f>IF($A194="","",IF(COUNTIF($A$14:$A194,$A194)=1,COUNTIF($AI$13:AI193,"&gt;0")+1,""))</f>
        <v/>
      </c>
      <c r="AJ194" s="27">
        <f>IF(OR($H194="",COUNTIFS($A$14:$A$1213,$H194,$F$14:$F$1213,"&gt;=0")&lt;2,COUNTIFS($A$14:$A$1213,$H194,$F$14:$F$1213,_xlfn.MAXIFS($F$14:$F$1213,$A$14:$A$1213,$H194))&gt;1),"",IFERROR(INDEX($D$14:$D$1213,MATCH($H194&amp;"|"&amp;_xlfn.MAXIFS($F$14:$F$1213,$A$14:$A$1213,$H194),$AB$14:$AB$1213,0)),""))</f>
        <v/>
      </c>
      <c r="AK194" s="27">
        <f>IF(OR($H194="",COUNTIFS($A$14:$A$1213,$H194,$F$14:$F$1213,"&gt;=0")&lt;2,COUNTIFS($A$14:$A$1213,$H194,$F$14:$F$1213,_xlfn.MAXIFS($F$14:$F$1213,$A$14:$A$1213,$H194))&gt;1),"",IFERROR(INDEX($E$14:$E$1213,MATCH($H194&amp;"|"&amp;_xlfn.MAXIFS($F$14:$F$1213,$A$14:$A$1213,$H194),$AB$14:$AB$1213,0)),""))</f>
        <v/>
      </c>
      <c r="AL194" s="27">
        <f>IF(OR($H194="",COUNTIFS($A$14:$A$1213,$H194,$F$14:$F$1213,"&gt;=0")&lt;2,COUNTIFS($A$14:$A$1213,$H194,$F$14:$F$1213,_xlfn.MAXIFS($F$14:$F$1213,$A$14:$A$1213,$H194))&gt;1),"",IFERROR(INDEX($D$14:$D$1213,MATCH($H194&amp;"|"&amp;_xlfn.MAXIFS($F$14:$F$1213,$A$14:$A$1213,$H194,$F$14:$F$1213,"&lt;"&amp;_xlfn.MAXIFS($F$14:$F$1213,$A$14:$A$1213,$H194)),$AB$14:$AB$1213,0)),""))</f>
        <v/>
      </c>
      <c r="AM194" s="27">
        <f>IF(OR($H194="",COUNTIFS($A$14:$A$1213,$H194,$F$14:$F$1213,"&gt;=0")&lt;2,COUNTIFS($A$14:$A$1213,$H194,$F$14:$F$1213,_xlfn.MAXIFS($F$14:$F$1213,$A$14:$A$1213,$H194))&gt;1),"",IFERROR(INDEX($E$14:$E$1213,MATCH($H194&amp;"|"&amp;_xlfn.MAXIFS($F$14:$F$1213,$A$14:$A$1213,$H194,$F$14:$F$1213,"&lt;"&amp;_xlfn.MAXIFS($F$14:$F$1213,$A$14:$A$1213,$H194)),$AB$14:$AB$1213,0)),""))</f>
        <v/>
      </c>
      <c r="AN194" s="27">
        <f>IF(OR(NOT(ISNUMBER($AJ194)),NOT(ISNUMBER($AL194)),$AK194=0,$AM194=0),"",IF(OR((($AJ194+$AL194)/($AK194+$AM194))&lt;=0,(($AJ194+$AL194)/($AK194+$AM194))&gt;=1),"",($AJ194/$AK194-$AL194/$AM194)/SQRT((($AJ194+$AL194)/($AK194+$AM194))*(1-(($AJ194+$AL194)/($AK194+$AM194)))*(1/$AK194+1/$AM194))))</f>
        <v/>
      </c>
      <c r="AO194" s="27">
        <f>IF($A194="","",IF(AND(COUNTIFS($A$14:$A$1213,$A194,$F$14:$F$1213,"&gt;=0")=2,IFERROR(INDEX($M$14:$M$313,MATCH($A194,$H$14:$H$313,0)),"Yes")&lt;&gt;"Yes"),1,0))</f>
        <v/>
      </c>
    </row>
    <row r="195" ht="24" customHeight="1">
      <c r="A195" s="19">
        <f>IF('Enter messages'!A195="","",'Enter messages'!A195)</f>
        <v/>
      </c>
      <c r="B195" s="20">
        <f>IF('Enter messages'!B195="","",'Enter messages'!B195)</f>
        <v/>
      </c>
      <c r="C195" s="21">
        <f>IFERROR(AVERAGE(P195:T195),"")</f>
        <v/>
      </c>
      <c r="D195" s="29" t="n"/>
      <c r="E195" s="29" t="n"/>
      <c r="F195" s="30">
        <f>IF(AND(ISNUMBER($D195),ISNUMBER($E195),$E195&gt;0,$D195&lt;=$E195),$D195/$E195,"")</f>
        <v/>
      </c>
      <c r="H195" s="19">
        <f>IFERROR(INDEX($A$14:$A$1213,MATCH(182,$AI$14:$AI$1213,0)),"")</f>
        <v/>
      </c>
      <c r="I195" s="24">
        <f>IF($H195="","",IF(COUNTIFS($A$14:$A$1213,$H195,$C$14:$C$1213,"&gt;=0")=0,"—",IFERROR(INDEX($B$14:$B$1213,MATCH($H195&amp;"|1",$Z$14:$Z$1213,0)),"(tied)")))</f>
        <v/>
      </c>
      <c r="J195" s="25">
        <f>IF($H195="","",IF(OR(COUNTIFS($A$14:$A$1213,$H195,$C$14:$C$1213,"&gt;=0")=0,COUNTIFS($A$14:$A$1213,$H195,$F$14:$F$1213,"&gt;=0")=0),"—",IF(OR(ISERROR(MATCH($H195&amp;"|1",$Z$14:$Z$1213,0)),ISERROR(MATCH($H195&amp;"|1",$AA$14:$AA$1213,0))),"Tie",IF(MATCH($H195&amp;"|1",$Z$14:$Z$1213,0)=MATCH($H195&amp;"|1",$AA$14:$AA$1213,0),"Hit","Miss"))))</f>
        <v/>
      </c>
      <c r="K195" s="24">
        <f>IF($H195="","",IF(COUNTIFS($A$14:$A$1213,$H195,$F$14:$F$1213,"&gt;=0")=0,"—",IFERROR(INDEX($B$14:$B$1213,MATCH($H195&amp;"|1",$AA$14:$AA$1213,0)),"(tied)")))</f>
        <v/>
      </c>
      <c r="L195" s="25">
        <f>IF($H195="","",IF((--(COUNTIFS($A$14:$A$1213,$H195,$P$14:$P$1213,"&gt;=0")&gt;0)+--(COUNTIFS($A$14:$A$1213,$H195,$Q$14:$Q$1213,"&gt;=0")&gt;0)+--(COUNTIFS($A$14:$A$1213,$H195,$R$14:$R$1213,"&gt;=0")&gt;0)+--(COUNTIFS($A$14:$A$1213,$H195,$S$14:$S$1213,"&gt;=0")&gt;0)+--(COUNTIFS($A$14:$A$1213,$H195,$T$14:$T$1213,"&gt;=0")&gt;0))&lt;2,"—",IF(SUMIFS($AH$14:$AH$1213,$A$14:$A$1213,$H195)=0,"Yes","No")))</f>
        <v/>
      </c>
      <c r="M195" s="25">
        <f>IF($H195="","",IF(COUNTIFS($A$14:$A$1213,$H195,$F$14:$F$1213,"&gt;=0")&lt;2,"—",IF(COUNTIFS($A$14:$A$1213,$H195,$F$14:$F$1213,_xlfn.MAXIFS($F$14:$F$1213,$A$14:$A$1213,$H195))&gt;1,"No",IF(NOT(ISNUMBER($AN195)),"—",IF((2*(1-NORMSDIST(ABS($AN195))))&lt;0.05,"Yes","No")))))</f>
        <v/>
      </c>
      <c r="N195" s="21">
        <f>IF($H195="","",IF(NOT(ISNUMBER($AN195)),"—",IF((2*(1-NORMSDIST(ABS($AN195))))&lt;0.001,"&lt;0.001",TEXT((2*(1-NORMSDIST(ABS($AN195)))),"0.000"))))</f>
        <v/>
      </c>
      <c r="P195" s="26" t="n"/>
      <c r="Q195" s="26" t="n"/>
      <c r="R195" s="26" t="n"/>
      <c r="S195" s="26" t="n"/>
      <c r="T195" s="26" t="n"/>
      <c r="V195" s="27">
        <f>IF(ISNUMBER($C195),COUNTIFS($A$14:$A$1213,$A195,$C$14:$C$1213,"&gt;"&amp;$C195)+(COUNTIFS($A$14:$A$1213,$A195,$C$14:$C$1213,"="&amp;$C195)+1)/2,"")</f>
        <v/>
      </c>
      <c r="W195" s="27">
        <f>IF(ISNUMBER($F195),COUNTIFS($A$14:$A$1213,$A195,$F$14:$F$1213,"&gt;"&amp;$F195)+(COUNTIFS($A$14:$A$1213,$A195,$F$14:$F$1213,"="&amp;$F195)+1)/2,"")</f>
        <v/>
      </c>
      <c r="X195" s="27">
        <f>IF(OR(NOT(ISNUMBER($V195)),$AO195=1),"",$V195-(COUNTIFS($A$14:$A$1213,$A195,$C$14:$C$1213,"&gt;=0")+1)/2)</f>
        <v/>
      </c>
      <c r="Y195" s="27">
        <f>IF(OR(NOT(ISNUMBER($W195)),$AO195=1),"",$W195-(COUNTIFS($A$14:$A$1213,$A195,$F$14:$F$1213,"&gt;=0")+1)/2)</f>
        <v/>
      </c>
      <c r="Z195" s="27">
        <f>IF(ISNUMBER($V195),$A195&amp;"|"&amp;$V195,"")</f>
        <v/>
      </c>
      <c r="AA195" s="27">
        <f>IF(ISNUMBER($W195),$A195&amp;"|"&amp;$W195,"")</f>
        <v/>
      </c>
      <c r="AB195" s="27">
        <f>IF(ISNUMBER($F195),$A195&amp;"|"&amp;$F195,"")</f>
        <v/>
      </c>
      <c r="AC195" s="27">
        <f>IF(ISNUMBER($P195),COUNTIFS($A$14:$A$1213,$A195,$P$14:$P$1213,"&gt;"&amp;$P195)+(COUNTIFS($A$14:$A$1213,$A195,$P$14:$P$1213,"="&amp;$P195)+1)/2,"")</f>
        <v/>
      </c>
      <c r="AD195" s="27">
        <f>IF(ISNUMBER($Q195),COUNTIFS($A$14:$A$1213,$A195,$Q$14:$Q$1213,"&gt;"&amp;$Q195)+(COUNTIFS($A$14:$A$1213,$A195,$Q$14:$Q$1213,"="&amp;$Q195)+1)/2,"")</f>
        <v/>
      </c>
      <c r="AE195" s="27">
        <f>IF(ISNUMBER($R195),COUNTIFS($A$14:$A$1213,$A195,$R$14:$R$1213,"&gt;"&amp;$R195)+(COUNTIFS($A$14:$A$1213,$A195,$R$14:$R$1213,"="&amp;$R195)+1)/2,"")</f>
        <v/>
      </c>
      <c r="AF195" s="27">
        <f>IF(ISNUMBER($S195),COUNTIFS($A$14:$A$1213,$A195,$S$14:$S$1213,"&gt;"&amp;$S195)+(COUNTIFS($A$14:$A$1213,$A195,$S$14:$S$1213,"="&amp;$S195)+1)/2,"")</f>
        <v/>
      </c>
      <c r="AG195" s="27">
        <f>IF(ISNUMBER($T195),COUNTIFS($A$14:$A$1213,$A195,$T$14:$T$1213,"&gt;"&amp;$T195)+(COUNTIFS($A$14:$A$1213,$A195,$T$14:$T$1213,"="&amp;$T195)+1)/2,"")</f>
        <v/>
      </c>
      <c r="AH195" s="27">
        <f>IF(COUNT($AC195:$AG195)&lt;2,"",IF(MAX($AC195:$AG195)=MIN($AC195:$AG195),0,1))</f>
        <v/>
      </c>
      <c r="AI195" s="27">
        <f>IF($A195="","",IF(COUNTIF($A$14:$A195,$A195)=1,COUNTIF($AI$13:AI194,"&gt;0")+1,""))</f>
        <v/>
      </c>
      <c r="AJ195" s="27">
        <f>IF(OR($H195="",COUNTIFS($A$14:$A$1213,$H195,$F$14:$F$1213,"&gt;=0")&lt;2,COUNTIFS($A$14:$A$1213,$H195,$F$14:$F$1213,_xlfn.MAXIFS($F$14:$F$1213,$A$14:$A$1213,$H195))&gt;1),"",IFERROR(INDEX($D$14:$D$1213,MATCH($H195&amp;"|"&amp;_xlfn.MAXIFS($F$14:$F$1213,$A$14:$A$1213,$H195),$AB$14:$AB$1213,0)),""))</f>
        <v/>
      </c>
      <c r="AK195" s="27">
        <f>IF(OR($H195="",COUNTIFS($A$14:$A$1213,$H195,$F$14:$F$1213,"&gt;=0")&lt;2,COUNTIFS($A$14:$A$1213,$H195,$F$14:$F$1213,_xlfn.MAXIFS($F$14:$F$1213,$A$14:$A$1213,$H195))&gt;1),"",IFERROR(INDEX($E$14:$E$1213,MATCH($H195&amp;"|"&amp;_xlfn.MAXIFS($F$14:$F$1213,$A$14:$A$1213,$H195),$AB$14:$AB$1213,0)),""))</f>
        <v/>
      </c>
      <c r="AL195" s="27">
        <f>IF(OR($H195="",COUNTIFS($A$14:$A$1213,$H195,$F$14:$F$1213,"&gt;=0")&lt;2,COUNTIFS($A$14:$A$1213,$H195,$F$14:$F$1213,_xlfn.MAXIFS($F$14:$F$1213,$A$14:$A$1213,$H195))&gt;1),"",IFERROR(INDEX($D$14:$D$1213,MATCH($H195&amp;"|"&amp;_xlfn.MAXIFS($F$14:$F$1213,$A$14:$A$1213,$H195,$F$14:$F$1213,"&lt;"&amp;_xlfn.MAXIFS($F$14:$F$1213,$A$14:$A$1213,$H195)),$AB$14:$AB$1213,0)),""))</f>
        <v/>
      </c>
      <c r="AM195" s="27">
        <f>IF(OR($H195="",COUNTIFS($A$14:$A$1213,$H195,$F$14:$F$1213,"&gt;=0")&lt;2,COUNTIFS($A$14:$A$1213,$H195,$F$14:$F$1213,_xlfn.MAXIFS($F$14:$F$1213,$A$14:$A$1213,$H195))&gt;1),"",IFERROR(INDEX($E$14:$E$1213,MATCH($H195&amp;"|"&amp;_xlfn.MAXIFS($F$14:$F$1213,$A$14:$A$1213,$H195,$F$14:$F$1213,"&lt;"&amp;_xlfn.MAXIFS($F$14:$F$1213,$A$14:$A$1213,$H195)),$AB$14:$AB$1213,0)),""))</f>
        <v/>
      </c>
      <c r="AN195" s="27">
        <f>IF(OR(NOT(ISNUMBER($AJ195)),NOT(ISNUMBER($AL195)),$AK195=0,$AM195=0),"",IF(OR((($AJ195+$AL195)/($AK195+$AM195))&lt;=0,(($AJ195+$AL195)/($AK195+$AM195))&gt;=1),"",($AJ195/$AK195-$AL195/$AM195)/SQRT((($AJ195+$AL195)/($AK195+$AM195))*(1-(($AJ195+$AL195)/($AK195+$AM195)))*(1/$AK195+1/$AM195))))</f>
        <v/>
      </c>
      <c r="AO195" s="27">
        <f>IF($A195="","",IF(AND(COUNTIFS($A$14:$A$1213,$A195,$F$14:$F$1213,"&gt;=0")=2,IFERROR(INDEX($M$14:$M$313,MATCH($A195,$H$14:$H$313,0)),"Yes")&lt;&gt;"Yes"),1,0))</f>
        <v/>
      </c>
    </row>
    <row r="196" ht="24" customHeight="1">
      <c r="A196" s="19">
        <f>IF('Enter messages'!A196="","",'Enter messages'!A196)</f>
        <v/>
      </c>
      <c r="B196" s="20">
        <f>IF('Enter messages'!B196="","",'Enter messages'!B196)</f>
        <v/>
      </c>
      <c r="C196" s="21">
        <f>IFERROR(AVERAGE(P196:T196),"")</f>
        <v/>
      </c>
      <c r="D196" s="29" t="n"/>
      <c r="E196" s="29" t="n"/>
      <c r="F196" s="30">
        <f>IF(AND(ISNUMBER($D196),ISNUMBER($E196),$E196&gt;0,$D196&lt;=$E196),$D196/$E196,"")</f>
        <v/>
      </c>
      <c r="H196" s="19">
        <f>IFERROR(INDEX($A$14:$A$1213,MATCH(183,$AI$14:$AI$1213,0)),"")</f>
        <v/>
      </c>
      <c r="I196" s="24">
        <f>IF($H196="","",IF(COUNTIFS($A$14:$A$1213,$H196,$C$14:$C$1213,"&gt;=0")=0,"—",IFERROR(INDEX($B$14:$B$1213,MATCH($H196&amp;"|1",$Z$14:$Z$1213,0)),"(tied)")))</f>
        <v/>
      </c>
      <c r="J196" s="25">
        <f>IF($H196="","",IF(OR(COUNTIFS($A$14:$A$1213,$H196,$C$14:$C$1213,"&gt;=0")=0,COUNTIFS($A$14:$A$1213,$H196,$F$14:$F$1213,"&gt;=0")=0),"—",IF(OR(ISERROR(MATCH($H196&amp;"|1",$Z$14:$Z$1213,0)),ISERROR(MATCH($H196&amp;"|1",$AA$14:$AA$1213,0))),"Tie",IF(MATCH($H196&amp;"|1",$Z$14:$Z$1213,0)=MATCH($H196&amp;"|1",$AA$14:$AA$1213,0),"Hit","Miss"))))</f>
        <v/>
      </c>
      <c r="K196" s="24">
        <f>IF($H196="","",IF(COUNTIFS($A$14:$A$1213,$H196,$F$14:$F$1213,"&gt;=0")=0,"—",IFERROR(INDEX($B$14:$B$1213,MATCH($H196&amp;"|1",$AA$14:$AA$1213,0)),"(tied)")))</f>
        <v/>
      </c>
      <c r="L196" s="25">
        <f>IF($H196="","",IF((--(COUNTIFS($A$14:$A$1213,$H196,$P$14:$P$1213,"&gt;=0")&gt;0)+--(COUNTIFS($A$14:$A$1213,$H196,$Q$14:$Q$1213,"&gt;=0")&gt;0)+--(COUNTIFS($A$14:$A$1213,$H196,$R$14:$R$1213,"&gt;=0")&gt;0)+--(COUNTIFS($A$14:$A$1213,$H196,$S$14:$S$1213,"&gt;=0")&gt;0)+--(COUNTIFS($A$14:$A$1213,$H196,$T$14:$T$1213,"&gt;=0")&gt;0))&lt;2,"—",IF(SUMIFS($AH$14:$AH$1213,$A$14:$A$1213,$H196)=0,"Yes","No")))</f>
        <v/>
      </c>
      <c r="M196" s="25">
        <f>IF($H196="","",IF(COUNTIFS($A$14:$A$1213,$H196,$F$14:$F$1213,"&gt;=0")&lt;2,"—",IF(COUNTIFS($A$14:$A$1213,$H196,$F$14:$F$1213,_xlfn.MAXIFS($F$14:$F$1213,$A$14:$A$1213,$H196))&gt;1,"No",IF(NOT(ISNUMBER($AN196)),"—",IF((2*(1-NORMSDIST(ABS($AN196))))&lt;0.05,"Yes","No")))))</f>
        <v/>
      </c>
      <c r="N196" s="21">
        <f>IF($H196="","",IF(NOT(ISNUMBER($AN196)),"—",IF((2*(1-NORMSDIST(ABS($AN196))))&lt;0.001,"&lt;0.001",TEXT((2*(1-NORMSDIST(ABS($AN196)))),"0.000"))))</f>
        <v/>
      </c>
      <c r="P196" s="26" t="n"/>
      <c r="Q196" s="26" t="n"/>
      <c r="R196" s="26" t="n"/>
      <c r="S196" s="26" t="n"/>
      <c r="T196" s="26" t="n"/>
      <c r="V196" s="27">
        <f>IF(ISNUMBER($C196),COUNTIFS($A$14:$A$1213,$A196,$C$14:$C$1213,"&gt;"&amp;$C196)+(COUNTIFS($A$14:$A$1213,$A196,$C$14:$C$1213,"="&amp;$C196)+1)/2,"")</f>
        <v/>
      </c>
      <c r="W196" s="27">
        <f>IF(ISNUMBER($F196),COUNTIFS($A$14:$A$1213,$A196,$F$14:$F$1213,"&gt;"&amp;$F196)+(COUNTIFS($A$14:$A$1213,$A196,$F$14:$F$1213,"="&amp;$F196)+1)/2,"")</f>
        <v/>
      </c>
      <c r="X196" s="27">
        <f>IF(OR(NOT(ISNUMBER($V196)),$AO196=1),"",$V196-(COUNTIFS($A$14:$A$1213,$A196,$C$14:$C$1213,"&gt;=0")+1)/2)</f>
        <v/>
      </c>
      <c r="Y196" s="27">
        <f>IF(OR(NOT(ISNUMBER($W196)),$AO196=1),"",$W196-(COUNTIFS($A$14:$A$1213,$A196,$F$14:$F$1213,"&gt;=0")+1)/2)</f>
        <v/>
      </c>
      <c r="Z196" s="27">
        <f>IF(ISNUMBER($V196),$A196&amp;"|"&amp;$V196,"")</f>
        <v/>
      </c>
      <c r="AA196" s="27">
        <f>IF(ISNUMBER($W196),$A196&amp;"|"&amp;$W196,"")</f>
        <v/>
      </c>
      <c r="AB196" s="27">
        <f>IF(ISNUMBER($F196),$A196&amp;"|"&amp;$F196,"")</f>
        <v/>
      </c>
      <c r="AC196" s="27">
        <f>IF(ISNUMBER($P196),COUNTIFS($A$14:$A$1213,$A196,$P$14:$P$1213,"&gt;"&amp;$P196)+(COUNTIFS($A$14:$A$1213,$A196,$P$14:$P$1213,"="&amp;$P196)+1)/2,"")</f>
        <v/>
      </c>
      <c r="AD196" s="27">
        <f>IF(ISNUMBER($Q196),COUNTIFS($A$14:$A$1213,$A196,$Q$14:$Q$1213,"&gt;"&amp;$Q196)+(COUNTIFS($A$14:$A$1213,$A196,$Q$14:$Q$1213,"="&amp;$Q196)+1)/2,"")</f>
        <v/>
      </c>
      <c r="AE196" s="27">
        <f>IF(ISNUMBER($R196),COUNTIFS($A$14:$A$1213,$A196,$R$14:$R$1213,"&gt;"&amp;$R196)+(COUNTIFS($A$14:$A$1213,$A196,$R$14:$R$1213,"="&amp;$R196)+1)/2,"")</f>
        <v/>
      </c>
      <c r="AF196" s="27">
        <f>IF(ISNUMBER($S196),COUNTIFS($A$14:$A$1213,$A196,$S$14:$S$1213,"&gt;"&amp;$S196)+(COUNTIFS($A$14:$A$1213,$A196,$S$14:$S$1213,"="&amp;$S196)+1)/2,"")</f>
        <v/>
      </c>
      <c r="AG196" s="27">
        <f>IF(ISNUMBER($T196),COUNTIFS($A$14:$A$1213,$A196,$T$14:$T$1213,"&gt;"&amp;$T196)+(COUNTIFS($A$14:$A$1213,$A196,$T$14:$T$1213,"="&amp;$T196)+1)/2,"")</f>
        <v/>
      </c>
      <c r="AH196" s="27">
        <f>IF(COUNT($AC196:$AG196)&lt;2,"",IF(MAX($AC196:$AG196)=MIN($AC196:$AG196),0,1))</f>
        <v/>
      </c>
      <c r="AI196" s="27">
        <f>IF($A196="","",IF(COUNTIF($A$14:$A196,$A196)=1,COUNTIF($AI$13:AI195,"&gt;0")+1,""))</f>
        <v/>
      </c>
      <c r="AJ196" s="27">
        <f>IF(OR($H196="",COUNTIFS($A$14:$A$1213,$H196,$F$14:$F$1213,"&gt;=0")&lt;2,COUNTIFS($A$14:$A$1213,$H196,$F$14:$F$1213,_xlfn.MAXIFS($F$14:$F$1213,$A$14:$A$1213,$H196))&gt;1),"",IFERROR(INDEX($D$14:$D$1213,MATCH($H196&amp;"|"&amp;_xlfn.MAXIFS($F$14:$F$1213,$A$14:$A$1213,$H196),$AB$14:$AB$1213,0)),""))</f>
        <v/>
      </c>
      <c r="AK196" s="27">
        <f>IF(OR($H196="",COUNTIFS($A$14:$A$1213,$H196,$F$14:$F$1213,"&gt;=0")&lt;2,COUNTIFS($A$14:$A$1213,$H196,$F$14:$F$1213,_xlfn.MAXIFS($F$14:$F$1213,$A$14:$A$1213,$H196))&gt;1),"",IFERROR(INDEX($E$14:$E$1213,MATCH($H196&amp;"|"&amp;_xlfn.MAXIFS($F$14:$F$1213,$A$14:$A$1213,$H196),$AB$14:$AB$1213,0)),""))</f>
        <v/>
      </c>
      <c r="AL196" s="27">
        <f>IF(OR($H196="",COUNTIFS($A$14:$A$1213,$H196,$F$14:$F$1213,"&gt;=0")&lt;2,COUNTIFS($A$14:$A$1213,$H196,$F$14:$F$1213,_xlfn.MAXIFS($F$14:$F$1213,$A$14:$A$1213,$H196))&gt;1),"",IFERROR(INDEX($D$14:$D$1213,MATCH($H196&amp;"|"&amp;_xlfn.MAXIFS($F$14:$F$1213,$A$14:$A$1213,$H196,$F$14:$F$1213,"&lt;"&amp;_xlfn.MAXIFS($F$14:$F$1213,$A$14:$A$1213,$H196)),$AB$14:$AB$1213,0)),""))</f>
        <v/>
      </c>
      <c r="AM196" s="27">
        <f>IF(OR($H196="",COUNTIFS($A$14:$A$1213,$H196,$F$14:$F$1213,"&gt;=0")&lt;2,COUNTIFS($A$14:$A$1213,$H196,$F$14:$F$1213,_xlfn.MAXIFS($F$14:$F$1213,$A$14:$A$1213,$H196))&gt;1),"",IFERROR(INDEX($E$14:$E$1213,MATCH($H196&amp;"|"&amp;_xlfn.MAXIFS($F$14:$F$1213,$A$14:$A$1213,$H196,$F$14:$F$1213,"&lt;"&amp;_xlfn.MAXIFS($F$14:$F$1213,$A$14:$A$1213,$H196)),$AB$14:$AB$1213,0)),""))</f>
        <v/>
      </c>
      <c r="AN196" s="27">
        <f>IF(OR(NOT(ISNUMBER($AJ196)),NOT(ISNUMBER($AL196)),$AK196=0,$AM196=0),"",IF(OR((($AJ196+$AL196)/($AK196+$AM196))&lt;=0,(($AJ196+$AL196)/($AK196+$AM196))&gt;=1),"",($AJ196/$AK196-$AL196/$AM196)/SQRT((($AJ196+$AL196)/($AK196+$AM196))*(1-(($AJ196+$AL196)/($AK196+$AM196)))*(1/$AK196+1/$AM196))))</f>
        <v/>
      </c>
      <c r="AO196" s="27">
        <f>IF($A196="","",IF(AND(COUNTIFS($A$14:$A$1213,$A196,$F$14:$F$1213,"&gt;=0")=2,IFERROR(INDEX($M$14:$M$313,MATCH($A196,$H$14:$H$313,0)),"Yes")&lt;&gt;"Yes"),1,0))</f>
        <v/>
      </c>
    </row>
    <row r="197" ht="24" customHeight="1">
      <c r="A197" s="19">
        <f>IF('Enter messages'!A197="","",'Enter messages'!A197)</f>
        <v/>
      </c>
      <c r="B197" s="20">
        <f>IF('Enter messages'!B197="","",'Enter messages'!B197)</f>
        <v/>
      </c>
      <c r="C197" s="21">
        <f>IFERROR(AVERAGE(P197:T197),"")</f>
        <v/>
      </c>
      <c r="D197" s="29" t="n"/>
      <c r="E197" s="29" t="n"/>
      <c r="F197" s="30">
        <f>IF(AND(ISNUMBER($D197),ISNUMBER($E197),$E197&gt;0,$D197&lt;=$E197),$D197/$E197,"")</f>
        <v/>
      </c>
      <c r="H197" s="19">
        <f>IFERROR(INDEX($A$14:$A$1213,MATCH(184,$AI$14:$AI$1213,0)),"")</f>
        <v/>
      </c>
      <c r="I197" s="24">
        <f>IF($H197="","",IF(COUNTIFS($A$14:$A$1213,$H197,$C$14:$C$1213,"&gt;=0")=0,"—",IFERROR(INDEX($B$14:$B$1213,MATCH($H197&amp;"|1",$Z$14:$Z$1213,0)),"(tied)")))</f>
        <v/>
      </c>
      <c r="J197" s="25">
        <f>IF($H197="","",IF(OR(COUNTIFS($A$14:$A$1213,$H197,$C$14:$C$1213,"&gt;=0")=0,COUNTIFS($A$14:$A$1213,$H197,$F$14:$F$1213,"&gt;=0")=0),"—",IF(OR(ISERROR(MATCH($H197&amp;"|1",$Z$14:$Z$1213,0)),ISERROR(MATCH($H197&amp;"|1",$AA$14:$AA$1213,0))),"Tie",IF(MATCH($H197&amp;"|1",$Z$14:$Z$1213,0)=MATCH($H197&amp;"|1",$AA$14:$AA$1213,0),"Hit","Miss"))))</f>
        <v/>
      </c>
      <c r="K197" s="24">
        <f>IF($H197="","",IF(COUNTIFS($A$14:$A$1213,$H197,$F$14:$F$1213,"&gt;=0")=0,"—",IFERROR(INDEX($B$14:$B$1213,MATCH($H197&amp;"|1",$AA$14:$AA$1213,0)),"(tied)")))</f>
        <v/>
      </c>
      <c r="L197" s="25">
        <f>IF($H197="","",IF((--(COUNTIFS($A$14:$A$1213,$H197,$P$14:$P$1213,"&gt;=0")&gt;0)+--(COUNTIFS($A$14:$A$1213,$H197,$Q$14:$Q$1213,"&gt;=0")&gt;0)+--(COUNTIFS($A$14:$A$1213,$H197,$R$14:$R$1213,"&gt;=0")&gt;0)+--(COUNTIFS($A$14:$A$1213,$H197,$S$14:$S$1213,"&gt;=0")&gt;0)+--(COUNTIFS($A$14:$A$1213,$H197,$T$14:$T$1213,"&gt;=0")&gt;0))&lt;2,"—",IF(SUMIFS($AH$14:$AH$1213,$A$14:$A$1213,$H197)=0,"Yes","No")))</f>
        <v/>
      </c>
      <c r="M197" s="25">
        <f>IF($H197="","",IF(COUNTIFS($A$14:$A$1213,$H197,$F$14:$F$1213,"&gt;=0")&lt;2,"—",IF(COUNTIFS($A$14:$A$1213,$H197,$F$14:$F$1213,_xlfn.MAXIFS($F$14:$F$1213,$A$14:$A$1213,$H197))&gt;1,"No",IF(NOT(ISNUMBER($AN197)),"—",IF((2*(1-NORMSDIST(ABS($AN197))))&lt;0.05,"Yes","No")))))</f>
        <v/>
      </c>
      <c r="N197" s="21">
        <f>IF($H197="","",IF(NOT(ISNUMBER($AN197)),"—",IF((2*(1-NORMSDIST(ABS($AN197))))&lt;0.001,"&lt;0.001",TEXT((2*(1-NORMSDIST(ABS($AN197)))),"0.000"))))</f>
        <v/>
      </c>
      <c r="P197" s="26" t="n"/>
      <c r="Q197" s="26" t="n"/>
      <c r="R197" s="26" t="n"/>
      <c r="S197" s="26" t="n"/>
      <c r="T197" s="26" t="n"/>
      <c r="V197" s="27">
        <f>IF(ISNUMBER($C197),COUNTIFS($A$14:$A$1213,$A197,$C$14:$C$1213,"&gt;"&amp;$C197)+(COUNTIFS($A$14:$A$1213,$A197,$C$14:$C$1213,"="&amp;$C197)+1)/2,"")</f>
        <v/>
      </c>
      <c r="W197" s="27">
        <f>IF(ISNUMBER($F197),COUNTIFS($A$14:$A$1213,$A197,$F$14:$F$1213,"&gt;"&amp;$F197)+(COUNTIFS($A$14:$A$1213,$A197,$F$14:$F$1213,"="&amp;$F197)+1)/2,"")</f>
        <v/>
      </c>
      <c r="X197" s="27">
        <f>IF(OR(NOT(ISNUMBER($V197)),$AO197=1),"",$V197-(COUNTIFS($A$14:$A$1213,$A197,$C$14:$C$1213,"&gt;=0")+1)/2)</f>
        <v/>
      </c>
      <c r="Y197" s="27">
        <f>IF(OR(NOT(ISNUMBER($W197)),$AO197=1),"",$W197-(COUNTIFS($A$14:$A$1213,$A197,$F$14:$F$1213,"&gt;=0")+1)/2)</f>
        <v/>
      </c>
      <c r="Z197" s="27">
        <f>IF(ISNUMBER($V197),$A197&amp;"|"&amp;$V197,"")</f>
        <v/>
      </c>
      <c r="AA197" s="27">
        <f>IF(ISNUMBER($W197),$A197&amp;"|"&amp;$W197,"")</f>
        <v/>
      </c>
      <c r="AB197" s="27">
        <f>IF(ISNUMBER($F197),$A197&amp;"|"&amp;$F197,"")</f>
        <v/>
      </c>
      <c r="AC197" s="27">
        <f>IF(ISNUMBER($P197),COUNTIFS($A$14:$A$1213,$A197,$P$14:$P$1213,"&gt;"&amp;$P197)+(COUNTIFS($A$14:$A$1213,$A197,$P$14:$P$1213,"="&amp;$P197)+1)/2,"")</f>
        <v/>
      </c>
      <c r="AD197" s="27">
        <f>IF(ISNUMBER($Q197),COUNTIFS($A$14:$A$1213,$A197,$Q$14:$Q$1213,"&gt;"&amp;$Q197)+(COUNTIFS($A$14:$A$1213,$A197,$Q$14:$Q$1213,"="&amp;$Q197)+1)/2,"")</f>
        <v/>
      </c>
      <c r="AE197" s="27">
        <f>IF(ISNUMBER($R197),COUNTIFS($A$14:$A$1213,$A197,$R$14:$R$1213,"&gt;"&amp;$R197)+(COUNTIFS($A$14:$A$1213,$A197,$R$14:$R$1213,"="&amp;$R197)+1)/2,"")</f>
        <v/>
      </c>
      <c r="AF197" s="27">
        <f>IF(ISNUMBER($S197),COUNTIFS($A$14:$A$1213,$A197,$S$14:$S$1213,"&gt;"&amp;$S197)+(COUNTIFS($A$14:$A$1213,$A197,$S$14:$S$1213,"="&amp;$S197)+1)/2,"")</f>
        <v/>
      </c>
      <c r="AG197" s="27">
        <f>IF(ISNUMBER($T197),COUNTIFS($A$14:$A$1213,$A197,$T$14:$T$1213,"&gt;"&amp;$T197)+(COUNTIFS($A$14:$A$1213,$A197,$T$14:$T$1213,"="&amp;$T197)+1)/2,"")</f>
        <v/>
      </c>
      <c r="AH197" s="27">
        <f>IF(COUNT($AC197:$AG197)&lt;2,"",IF(MAX($AC197:$AG197)=MIN($AC197:$AG197),0,1))</f>
        <v/>
      </c>
      <c r="AI197" s="27">
        <f>IF($A197="","",IF(COUNTIF($A$14:$A197,$A197)=1,COUNTIF($AI$13:AI196,"&gt;0")+1,""))</f>
        <v/>
      </c>
      <c r="AJ197" s="27">
        <f>IF(OR($H197="",COUNTIFS($A$14:$A$1213,$H197,$F$14:$F$1213,"&gt;=0")&lt;2,COUNTIFS($A$14:$A$1213,$H197,$F$14:$F$1213,_xlfn.MAXIFS($F$14:$F$1213,$A$14:$A$1213,$H197))&gt;1),"",IFERROR(INDEX($D$14:$D$1213,MATCH($H197&amp;"|"&amp;_xlfn.MAXIFS($F$14:$F$1213,$A$14:$A$1213,$H197),$AB$14:$AB$1213,0)),""))</f>
        <v/>
      </c>
      <c r="AK197" s="27">
        <f>IF(OR($H197="",COUNTIFS($A$14:$A$1213,$H197,$F$14:$F$1213,"&gt;=0")&lt;2,COUNTIFS($A$14:$A$1213,$H197,$F$14:$F$1213,_xlfn.MAXIFS($F$14:$F$1213,$A$14:$A$1213,$H197))&gt;1),"",IFERROR(INDEX($E$14:$E$1213,MATCH($H197&amp;"|"&amp;_xlfn.MAXIFS($F$14:$F$1213,$A$14:$A$1213,$H197),$AB$14:$AB$1213,0)),""))</f>
        <v/>
      </c>
      <c r="AL197" s="27">
        <f>IF(OR($H197="",COUNTIFS($A$14:$A$1213,$H197,$F$14:$F$1213,"&gt;=0")&lt;2,COUNTIFS($A$14:$A$1213,$H197,$F$14:$F$1213,_xlfn.MAXIFS($F$14:$F$1213,$A$14:$A$1213,$H197))&gt;1),"",IFERROR(INDEX($D$14:$D$1213,MATCH($H197&amp;"|"&amp;_xlfn.MAXIFS($F$14:$F$1213,$A$14:$A$1213,$H197,$F$14:$F$1213,"&lt;"&amp;_xlfn.MAXIFS($F$14:$F$1213,$A$14:$A$1213,$H197)),$AB$14:$AB$1213,0)),""))</f>
        <v/>
      </c>
      <c r="AM197" s="27">
        <f>IF(OR($H197="",COUNTIFS($A$14:$A$1213,$H197,$F$14:$F$1213,"&gt;=0")&lt;2,COUNTIFS($A$14:$A$1213,$H197,$F$14:$F$1213,_xlfn.MAXIFS($F$14:$F$1213,$A$14:$A$1213,$H197))&gt;1),"",IFERROR(INDEX($E$14:$E$1213,MATCH($H197&amp;"|"&amp;_xlfn.MAXIFS($F$14:$F$1213,$A$14:$A$1213,$H197,$F$14:$F$1213,"&lt;"&amp;_xlfn.MAXIFS($F$14:$F$1213,$A$14:$A$1213,$H197)),$AB$14:$AB$1213,0)),""))</f>
        <v/>
      </c>
      <c r="AN197" s="27">
        <f>IF(OR(NOT(ISNUMBER($AJ197)),NOT(ISNUMBER($AL197)),$AK197=0,$AM197=0),"",IF(OR((($AJ197+$AL197)/($AK197+$AM197))&lt;=0,(($AJ197+$AL197)/($AK197+$AM197))&gt;=1),"",($AJ197/$AK197-$AL197/$AM197)/SQRT((($AJ197+$AL197)/($AK197+$AM197))*(1-(($AJ197+$AL197)/($AK197+$AM197)))*(1/$AK197+1/$AM197))))</f>
        <v/>
      </c>
      <c r="AO197" s="27">
        <f>IF($A197="","",IF(AND(COUNTIFS($A$14:$A$1213,$A197,$F$14:$F$1213,"&gt;=0")=2,IFERROR(INDEX($M$14:$M$313,MATCH($A197,$H$14:$H$313,0)),"Yes")&lt;&gt;"Yes"),1,0))</f>
        <v/>
      </c>
    </row>
    <row r="198" ht="24" customHeight="1">
      <c r="A198" s="19">
        <f>IF('Enter messages'!A198="","",'Enter messages'!A198)</f>
        <v/>
      </c>
      <c r="B198" s="20">
        <f>IF('Enter messages'!B198="","",'Enter messages'!B198)</f>
        <v/>
      </c>
      <c r="C198" s="21">
        <f>IFERROR(AVERAGE(P198:T198),"")</f>
        <v/>
      </c>
      <c r="D198" s="29" t="n"/>
      <c r="E198" s="29" t="n"/>
      <c r="F198" s="30">
        <f>IF(AND(ISNUMBER($D198),ISNUMBER($E198),$E198&gt;0,$D198&lt;=$E198),$D198/$E198,"")</f>
        <v/>
      </c>
      <c r="H198" s="19">
        <f>IFERROR(INDEX($A$14:$A$1213,MATCH(185,$AI$14:$AI$1213,0)),"")</f>
        <v/>
      </c>
      <c r="I198" s="24">
        <f>IF($H198="","",IF(COUNTIFS($A$14:$A$1213,$H198,$C$14:$C$1213,"&gt;=0")=0,"—",IFERROR(INDEX($B$14:$B$1213,MATCH($H198&amp;"|1",$Z$14:$Z$1213,0)),"(tied)")))</f>
        <v/>
      </c>
      <c r="J198" s="25">
        <f>IF($H198="","",IF(OR(COUNTIFS($A$14:$A$1213,$H198,$C$14:$C$1213,"&gt;=0")=0,COUNTIFS($A$14:$A$1213,$H198,$F$14:$F$1213,"&gt;=0")=0),"—",IF(OR(ISERROR(MATCH($H198&amp;"|1",$Z$14:$Z$1213,0)),ISERROR(MATCH($H198&amp;"|1",$AA$14:$AA$1213,0))),"Tie",IF(MATCH($H198&amp;"|1",$Z$14:$Z$1213,0)=MATCH($H198&amp;"|1",$AA$14:$AA$1213,0),"Hit","Miss"))))</f>
        <v/>
      </c>
      <c r="K198" s="24">
        <f>IF($H198="","",IF(COUNTIFS($A$14:$A$1213,$H198,$F$14:$F$1213,"&gt;=0")=0,"—",IFERROR(INDEX($B$14:$B$1213,MATCH($H198&amp;"|1",$AA$14:$AA$1213,0)),"(tied)")))</f>
        <v/>
      </c>
      <c r="L198" s="25">
        <f>IF($H198="","",IF((--(COUNTIFS($A$14:$A$1213,$H198,$P$14:$P$1213,"&gt;=0")&gt;0)+--(COUNTIFS($A$14:$A$1213,$H198,$Q$14:$Q$1213,"&gt;=0")&gt;0)+--(COUNTIFS($A$14:$A$1213,$H198,$R$14:$R$1213,"&gt;=0")&gt;0)+--(COUNTIFS($A$14:$A$1213,$H198,$S$14:$S$1213,"&gt;=0")&gt;0)+--(COUNTIFS($A$14:$A$1213,$H198,$T$14:$T$1213,"&gt;=0")&gt;0))&lt;2,"—",IF(SUMIFS($AH$14:$AH$1213,$A$14:$A$1213,$H198)=0,"Yes","No")))</f>
        <v/>
      </c>
      <c r="M198" s="25">
        <f>IF($H198="","",IF(COUNTIFS($A$14:$A$1213,$H198,$F$14:$F$1213,"&gt;=0")&lt;2,"—",IF(COUNTIFS($A$14:$A$1213,$H198,$F$14:$F$1213,_xlfn.MAXIFS($F$14:$F$1213,$A$14:$A$1213,$H198))&gt;1,"No",IF(NOT(ISNUMBER($AN198)),"—",IF((2*(1-NORMSDIST(ABS($AN198))))&lt;0.05,"Yes","No")))))</f>
        <v/>
      </c>
      <c r="N198" s="21">
        <f>IF($H198="","",IF(NOT(ISNUMBER($AN198)),"—",IF((2*(1-NORMSDIST(ABS($AN198))))&lt;0.001,"&lt;0.001",TEXT((2*(1-NORMSDIST(ABS($AN198)))),"0.000"))))</f>
        <v/>
      </c>
      <c r="P198" s="26" t="n"/>
      <c r="Q198" s="26" t="n"/>
      <c r="R198" s="26" t="n"/>
      <c r="S198" s="26" t="n"/>
      <c r="T198" s="26" t="n"/>
      <c r="V198" s="27">
        <f>IF(ISNUMBER($C198),COUNTIFS($A$14:$A$1213,$A198,$C$14:$C$1213,"&gt;"&amp;$C198)+(COUNTIFS($A$14:$A$1213,$A198,$C$14:$C$1213,"="&amp;$C198)+1)/2,"")</f>
        <v/>
      </c>
      <c r="W198" s="27">
        <f>IF(ISNUMBER($F198),COUNTIFS($A$14:$A$1213,$A198,$F$14:$F$1213,"&gt;"&amp;$F198)+(COUNTIFS($A$14:$A$1213,$A198,$F$14:$F$1213,"="&amp;$F198)+1)/2,"")</f>
        <v/>
      </c>
      <c r="X198" s="27">
        <f>IF(OR(NOT(ISNUMBER($V198)),$AO198=1),"",$V198-(COUNTIFS($A$14:$A$1213,$A198,$C$14:$C$1213,"&gt;=0")+1)/2)</f>
        <v/>
      </c>
      <c r="Y198" s="27">
        <f>IF(OR(NOT(ISNUMBER($W198)),$AO198=1),"",$W198-(COUNTIFS($A$14:$A$1213,$A198,$F$14:$F$1213,"&gt;=0")+1)/2)</f>
        <v/>
      </c>
      <c r="Z198" s="27">
        <f>IF(ISNUMBER($V198),$A198&amp;"|"&amp;$V198,"")</f>
        <v/>
      </c>
      <c r="AA198" s="27">
        <f>IF(ISNUMBER($W198),$A198&amp;"|"&amp;$W198,"")</f>
        <v/>
      </c>
      <c r="AB198" s="27">
        <f>IF(ISNUMBER($F198),$A198&amp;"|"&amp;$F198,"")</f>
        <v/>
      </c>
      <c r="AC198" s="27">
        <f>IF(ISNUMBER($P198),COUNTIFS($A$14:$A$1213,$A198,$P$14:$P$1213,"&gt;"&amp;$P198)+(COUNTIFS($A$14:$A$1213,$A198,$P$14:$P$1213,"="&amp;$P198)+1)/2,"")</f>
        <v/>
      </c>
      <c r="AD198" s="27">
        <f>IF(ISNUMBER($Q198),COUNTIFS($A$14:$A$1213,$A198,$Q$14:$Q$1213,"&gt;"&amp;$Q198)+(COUNTIFS($A$14:$A$1213,$A198,$Q$14:$Q$1213,"="&amp;$Q198)+1)/2,"")</f>
        <v/>
      </c>
      <c r="AE198" s="27">
        <f>IF(ISNUMBER($R198),COUNTIFS($A$14:$A$1213,$A198,$R$14:$R$1213,"&gt;"&amp;$R198)+(COUNTIFS($A$14:$A$1213,$A198,$R$14:$R$1213,"="&amp;$R198)+1)/2,"")</f>
        <v/>
      </c>
      <c r="AF198" s="27">
        <f>IF(ISNUMBER($S198),COUNTIFS($A$14:$A$1213,$A198,$S$14:$S$1213,"&gt;"&amp;$S198)+(COUNTIFS($A$14:$A$1213,$A198,$S$14:$S$1213,"="&amp;$S198)+1)/2,"")</f>
        <v/>
      </c>
      <c r="AG198" s="27">
        <f>IF(ISNUMBER($T198),COUNTIFS($A$14:$A$1213,$A198,$T$14:$T$1213,"&gt;"&amp;$T198)+(COUNTIFS($A$14:$A$1213,$A198,$T$14:$T$1213,"="&amp;$T198)+1)/2,"")</f>
        <v/>
      </c>
      <c r="AH198" s="27">
        <f>IF(COUNT($AC198:$AG198)&lt;2,"",IF(MAX($AC198:$AG198)=MIN($AC198:$AG198),0,1))</f>
        <v/>
      </c>
      <c r="AI198" s="27">
        <f>IF($A198="","",IF(COUNTIF($A$14:$A198,$A198)=1,COUNTIF($AI$13:AI197,"&gt;0")+1,""))</f>
        <v/>
      </c>
      <c r="AJ198" s="27">
        <f>IF(OR($H198="",COUNTIFS($A$14:$A$1213,$H198,$F$14:$F$1213,"&gt;=0")&lt;2,COUNTIFS($A$14:$A$1213,$H198,$F$14:$F$1213,_xlfn.MAXIFS($F$14:$F$1213,$A$14:$A$1213,$H198))&gt;1),"",IFERROR(INDEX($D$14:$D$1213,MATCH($H198&amp;"|"&amp;_xlfn.MAXIFS($F$14:$F$1213,$A$14:$A$1213,$H198),$AB$14:$AB$1213,0)),""))</f>
        <v/>
      </c>
      <c r="AK198" s="27">
        <f>IF(OR($H198="",COUNTIFS($A$14:$A$1213,$H198,$F$14:$F$1213,"&gt;=0")&lt;2,COUNTIFS($A$14:$A$1213,$H198,$F$14:$F$1213,_xlfn.MAXIFS($F$14:$F$1213,$A$14:$A$1213,$H198))&gt;1),"",IFERROR(INDEX($E$14:$E$1213,MATCH($H198&amp;"|"&amp;_xlfn.MAXIFS($F$14:$F$1213,$A$14:$A$1213,$H198),$AB$14:$AB$1213,0)),""))</f>
        <v/>
      </c>
      <c r="AL198" s="27">
        <f>IF(OR($H198="",COUNTIFS($A$14:$A$1213,$H198,$F$14:$F$1213,"&gt;=0")&lt;2,COUNTIFS($A$14:$A$1213,$H198,$F$14:$F$1213,_xlfn.MAXIFS($F$14:$F$1213,$A$14:$A$1213,$H198))&gt;1),"",IFERROR(INDEX($D$14:$D$1213,MATCH($H198&amp;"|"&amp;_xlfn.MAXIFS($F$14:$F$1213,$A$14:$A$1213,$H198,$F$14:$F$1213,"&lt;"&amp;_xlfn.MAXIFS($F$14:$F$1213,$A$14:$A$1213,$H198)),$AB$14:$AB$1213,0)),""))</f>
        <v/>
      </c>
      <c r="AM198" s="27">
        <f>IF(OR($H198="",COUNTIFS($A$14:$A$1213,$H198,$F$14:$F$1213,"&gt;=0")&lt;2,COUNTIFS($A$14:$A$1213,$H198,$F$14:$F$1213,_xlfn.MAXIFS($F$14:$F$1213,$A$14:$A$1213,$H198))&gt;1),"",IFERROR(INDEX($E$14:$E$1213,MATCH($H198&amp;"|"&amp;_xlfn.MAXIFS($F$14:$F$1213,$A$14:$A$1213,$H198,$F$14:$F$1213,"&lt;"&amp;_xlfn.MAXIFS($F$14:$F$1213,$A$14:$A$1213,$H198)),$AB$14:$AB$1213,0)),""))</f>
        <v/>
      </c>
      <c r="AN198" s="27">
        <f>IF(OR(NOT(ISNUMBER($AJ198)),NOT(ISNUMBER($AL198)),$AK198=0,$AM198=0),"",IF(OR((($AJ198+$AL198)/($AK198+$AM198))&lt;=0,(($AJ198+$AL198)/($AK198+$AM198))&gt;=1),"",($AJ198/$AK198-$AL198/$AM198)/SQRT((($AJ198+$AL198)/($AK198+$AM198))*(1-(($AJ198+$AL198)/($AK198+$AM198)))*(1/$AK198+1/$AM198))))</f>
        <v/>
      </c>
      <c r="AO198" s="27">
        <f>IF($A198="","",IF(AND(COUNTIFS($A$14:$A$1213,$A198,$F$14:$F$1213,"&gt;=0")=2,IFERROR(INDEX($M$14:$M$313,MATCH($A198,$H$14:$H$313,0)),"Yes")&lt;&gt;"Yes"),1,0))</f>
        <v/>
      </c>
    </row>
    <row r="199" ht="24" customHeight="1">
      <c r="A199" s="19">
        <f>IF('Enter messages'!A199="","",'Enter messages'!A199)</f>
        <v/>
      </c>
      <c r="B199" s="20">
        <f>IF('Enter messages'!B199="","",'Enter messages'!B199)</f>
        <v/>
      </c>
      <c r="C199" s="21">
        <f>IFERROR(AVERAGE(P199:T199),"")</f>
        <v/>
      </c>
      <c r="D199" s="29" t="n"/>
      <c r="E199" s="29" t="n"/>
      <c r="F199" s="30">
        <f>IF(AND(ISNUMBER($D199),ISNUMBER($E199),$E199&gt;0,$D199&lt;=$E199),$D199/$E199,"")</f>
        <v/>
      </c>
      <c r="H199" s="19">
        <f>IFERROR(INDEX($A$14:$A$1213,MATCH(186,$AI$14:$AI$1213,0)),"")</f>
        <v/>
      </c>
      <c r="I199" s="24">
        <f>IF($H199="","",IF(COUNTIFS($A$14:$A$1213,$H199,$C$14:$C$1213,"&gt;=0")=0,"—",IFERROR(INDEX($B$14:$B$1213,MATCH($H199&amp;"|1",$Z$14:$Z$1213,0)),"(tied)")))</f>
        <v/>
      </c>
      <c r="J199" s="25">
        <f>IF($H199="","",IF(OR(COUNTIFS($A$14:$A$1213,$H199,$C$14:$C$1213,"&gt;=0")=0,COUNTIFS($A$14:$A$1213,$H199,$F$14:$F$1213,"&gt;=0")=0),"—",IF(OR(ISERROR(MATCH($H199&amp;"|1",$Z$14:$Z$1213,0)),ISERROR(MATCH($H199&amp;"|1",$AA$14:$AA$1213,0))),"Tie",IF(MATCH($H199&amp;"|1",$Z$14:$Z$1213,0)=MATCH($H199&amp;"|1",$AA$14:$AA$1213,0),"Hit","Miss"))))</f>
        <v/>
      </c>
      <c r="K199" s="24">
        <f>IF($H199="","",IF(COUNTIFS($A$14:$A$1213,$H199,$F$14:$F$1213,"&gt;=0")=0,"—",IFERROR(INDEX($B$14:$B$1213,MATCH($H199&amp;"|1",$AA$14:$AA$1213,0)),"(tied)")))</f>
        <v/>
      </c>
      <c r="L199" s="25">
        <f>IF($H199="","",IF((--(COUNTIFS($A$14:$A$1213,$H199,$P$14:$P$1213,"&gt;=0")&gt;0)+--(COUNTIFS($A$14:$A$1213,$H199,$Q$14:$Q$1213,"&gt;=0")&gt;0)+--(COUNTIFS($A$14:$A$1213,$H199,$R$14:$R$1213,"&gt;=0")&gt;0)+--(COUNTIFS($A$14:$A$1213,$H199,$S$14:$S$1213,"&gt;=0")&gt;0)+--(COUNTIFS($A$14:$A$1213,$H199,$T$14:$T$1213,"&gt;=0")&gt;0))&lt;2,"—",IF(SUMIFS($AH$14:$AH$1213,$A$14:$A$1213,$H199)=0,"Yes","No")))</f>
        <v/>
      </c>
      <c r="M199" s="25">
        <f>IF($H199="","",IF(COUNTIFS($A$14:$A$1213,$H199,$F$14:$F$1213,"&gt;=0")&lt;2,"—",IF(COUNTIFS($A$14:$A$1213,$H199,$F$14:$F$1213,_xlfn.MAXIFS($F$14:$F$1213,$A$14:$A$1213,$H199))&gt;1,"No",IF(NOT(ISNUMBER($AN199)),"—",IF((2*(1-NORMSDIST(ABS($AN199))))&lt;0.05,"Yes","No")))))</f>
        <v/>
      </c>
      <c r="N199" s="21">
        <f>IF($H199="","",IF(NOT(ISNUMBER($AN199)),"—",IF((2*(1-NORMSDIST(ABS($AN199))))&lt;0.001,"&lt;0.001",TEXT((2*(1-NORMSDIST(ABS($AN199)))),"0.000"))))</f>
        <v/>
      </c>
      <c r="P199" s="26" t="n"/>
      <c r="Q199" s="26" t="n"/>
      <c r="R199" s="26" t="n"/>
      <c r="S199" s="26" t="n"/>
      <c r="T199" s="26" t="n"/>
      <c r="V199" s="27">
        <f>IF(ISNUMBER($C199),COUNTIFS($A$14:$A$1213,$A199,$C$14:$C$1213,"&gt;"&amp;$C199)+(COUNTIFS($A$14:$A$1213,$A199,$C$14:$C$1213,"="&amp;$C199)+1)/2,"")</f>
        <v/>
      </c>
      <c r="W199" s="27">
        <f>IF(ISNUMBER($F199),COUNTIFS($A$14:$A$1213,$A199,$F$14:$F$1213,"&gt;"&amp;$F199)+(COUNTIFS($A$14:$A$1213,$A199,$F$14:$F$1213,"="&amp;$F199)+1)/2,"")</f>
        <v/>
      </c>
      <c r="X199" s="27">
        <f>IF(OR(NOT(ISNUMBER($V199)),$AO199=1),"",$V199-(COUNTIFS($A$14:$A$1213,$A199,$C$14:$C$1213,"&gt;=0")+1)/2)</f>
        <v/>
      </c>
      <c r="Y199" s="27">
        <f>IF(OR(NOT(ISNUMBER($W199)),$AO199=1),"",$W199-(COUNTIFS($A$14:$A$1213,$A199,$F$14:$F$1213,"&gt;=0")+1)/2)</f>
        <v/>
      </c>
      <c r="Z199" s="27">
        <f>IF(ISNUMBER($V199),$A199&amp;"|"&amp;$V199,"")</f>
        <v/>
      </c>
      <c r="AA199" s="27">
        <f>IF(ISNUMBER($W199),$A199&amp;"|"&amp;$W199,"")</f>
        <v/>
      </c>
      <c r="AB199" s="27">
        <f>IF(ISNUMBER($F199),$A199&amp;"|"&amp;$F199,"")</f>
        <v/>
      </c>
      <c r="AC199" s="27">
        <f>IF(ISNUMBER($P199),COUNTIFS($A$14:$A$1213,$A199,$P$14:$P$1213,"&gt;"&amp;$P199)+(COUNTIFS($A$14:$A$1213,$A199,$P$14:$P$1213,"="&amp;$P199)+1)/2,"")</f>
        <v/>
      </c>
      <c r="AD199" s="27">
        <f>IF(ISNUMBER($Q199),COUNTIFS($A$14:$A$1213,$A199,$Q$14:$Q$1213,"&gt;"&amp;$Q199)+(COUNTIFS($A$14:$A$1213,$A199,$Q$14:$Q$1213,"="&amp;$Q199)+1)/2,"")</f>
        <v/>
      </c>
      <c r="AE199" s="27">
        <f>IF(ISNUMBER($R199),COUNTIFS($A$14:$A$1213,$A199,$R$14:$R$1213,"&gt;"&amp;$R199)+(COUNTIFS($A$14:$A$1213,$A199,$R$14:$R$1213,"="&amp;$R199)+1)/2,"")</f>
        <v/>
      </c>
      <c r="AF199" s="27">
        <f>IF(ISNUMBER($S199),COUNTIFS($A$14:$A$1213,$A199,$S$14:$S$1213,"&gt;"&amp;$S199)+(COUNTIFS($A$14:$A$1213,$A199,$S$14:$S$1213,"="&amp;$S199)+1)/2,"")</f>
        <v/>
      </c>
      <c r="AG199" s="27">
        <f>IF(ISNUMBER($T199),COUNTIFS($A$14:$A$1213,$A199,$T$14:$T$1213,"&gt;"&amp;$T199)+(COUNTIFS($A$14:$A$1213,$A199,$T$14:$T$1213,"="&amp;$T199)+1)/2,"")</f>
        <v/>
      </c>
      <c r="AH199" s="27">
        <f>IF(COUNT($AC199:$AG199)&lt;2,"",IF(MAX($AC199:$AG199)=MIN($AC199:$AG199),0,1))</f>
        <v/>
      </c>
      <c r="AI199" s="27">
        <f>IF($A199="","",IF(COUNTIF($A$14:$A199,$A199)=1,COUNTIF($AI$13:AI198,"&gt;0")+1,""))</f>
        <v/>
      </c>
      <c r="AJ199" s="27">
        <f>IF(OR($H199="",COUNTIFS($A$14:$A$1213,$H199,$F$14:$F$1213,"&gt;=0")&lt;2,COUNTIFS($A$14:$A$1213,$H199,$F$14:$F$1213,_xlfn.MAXIFS($F$14:$F$1213,$A$14:$A$1213,$H199))&gt;1),"",IFERROR(INDEX($D$14:$D$1213,MATCH($H199&amp;"|"&amp;_xlfn.MAXIFS($F$14:$F$1213,$A$14:$A$1213,$H199),$AB$14:$AB$1213,0)),""))</f>
        <v/>
      </c>
      <c r="AK199" s="27">
        <f>IF(OR($H199="",COUNTIFS($A$14:$A$1213,$H199,$F$14:$F$1213,"&gt;=0")&lt;2,COUNTIFS($A$14:$A$1213,$H199,$F$14:$F$1213,_xlfn.MAXIFS($F$14:$F$1213,$A$14:$A$1213,$H199))&gt;1),"",IFERROR(INDEX($E$14:$E$1213,MATCH($H199&amp;"|"&amp;_xlfn.MAXIFS($F$14:$F$1213,$A$14:$A$1213,$H199),$AB$14:$AB$1213,0)),""))</f>
        <v/>
      </c>
      <c r="AL199" s="27">
        <f>IF(OR($H199="",COUNTIFS($A$14:$A$1213,$H199,$F$14:$F$1213,"&gt;=0")&lt;2,COUNTIFS($A$14:$A$1213,$H199,$F$14:$F$1213,_xlfn.MAXIFS($F$14:$F$1213,$A$14:$A$1213,$H199))&gt;1),"",IFERROR(INDEX($D$14:$D$1213,MATCH($H199&amp;"|"&amp;_xlfn.MAXIFS($F$14:$F$1213,$A$14:$A$1213,$H199,$F$14:$F$1213,"&lt;"&amp;_xlfn.MAXIFS($F$14:$F$1213,$A$14:$A$1213,$H199)),$AB$14:$AB$1213,0)),""))</f>
        <v/>
      </c>
      <c r="AM199" s="27">
        <f>IF(OR($H199="",COUNTIFS($A$14:$A$1213,$H199,$F$14:$F$1213,"&gt;=0")&lt;2,COUNTIFS($A$14:$A$1213,$H199,$F$14:$F$1213,_xlfn.MAXIFS($F$14:$F$1213,$A$14:$A$1213,$H199))&gt;1),"",IFERROR(INDEX($E$14:$E$1213,MATCH($H199&amp;"|"&amp;_xlfn.MAXIFS($F$14:$F$1213,$A$14:$A$1213,$H199,$F$14:$F$1213,"&lt;"&amp;_xlfn.MAXIFS($F$14:$F$1213,$A$14:$A$1213,$H199)),$AB$14:$AB$1213,0)),""))</f>
        <v/>
      </c>
      <c r="AN199" s="27">
        <f>IF(OR(NOT(ISNUMBER($AJ199)),NOT(ISNUMBER($AL199)),$AK199=0,$AM199=0),"",IF(OR((($AJ199+$AL199)/($AK199+$AM199))&lt;=0,(($AJ199+$AL199)/($AK199+$AM199))&gt;=1),"",($AJ199/$AK199-$AL199/$AM199)/SQRT((($AJ199+$AL199)/($AK199+$AM199))*(1-(($AJ199+$AL199)/($AK199+$AM199)))*(1/$AK199+1/$AM199))))</f>
        <v/>
      </c>
      <c r="AO199" s="27">
        <f>IF($A199="","",IF(AND(COUNTIFS($A$14:$A$1213,$A199,$F$14:$F$1213,"&gt;=0")=2,IFERROR(INDEX($M$14:$M$313,MATCH($A199,$H$14:$H$313,0)),"Yes")&lt;&gt;"Yes"),1,0))</f>
        <v/>
      </c>
    </row>
    <row r="200" ht="24" customHeight="1">
      <c r="A200" s="19">
        <f>IF('Enter messages'!A200="","",'Enter messages'!A200)</f>
        <v/>
      </c>
      <c r="B200" s="20">
        <f>IF('Enter messages'!B200="","",'Enter messages'!B200)</f>
        <v/>
      </c>
      <c r="C200" s="21">
        <f>IFERROR(AVERAGE(P200:T200),"")</f>
        <v/>
      </c>
      <c r="D200" s="29" t="n"/>
      <c r="E200" s="29" t="n"/>
      <c r="F200" s="30">
        <f>IF(AND(ISNUMBER($D200),ISNUMBER($E200),$E200&gt;0,$D200&lt;=$E200),$D200/$E200,"")</f>
        <v/>
      </c>
      <c r="H200" s="19">
        <f>IFERROR(INDEX($A$14:$A$1213,MATCH(187,$AI$14:$AI$1213,0)),"")</f>
        <v/>
      </c>
      <c r="I200" s="24">
        <f>IF($H200="","",IF(COUNTIFS($A$14:$A$1213,$H200,$C$14:$C$1213,"&gt;=0")=0,"—",IFERROR(INDEX($B$14:$B$1213,MATCH($H200&amp;"|1",$Z$14:$Z$1213,0)),"(tied)")))</f>
        <v/>
      </c>
      <c r="J200" s="25">
        <f>IF($H200="","",IF(OR(COUNTIFS($A$14:$A$1213,$H200,$C$14:$C$1213,"&gt;=0")=0,COUNTIFS($A$14:$A$1213,$H200,$F$14:$F$1213,"&gt;=0")=0),"—",IF(OR(ISERROR(MATCH($H200&amp;"|1",$Z$14:$Z$1213,0)),ISERROR(MATCH($H200&amp;"|1",$AA$14:$AA$1213,0))),"Tie",IF(MATCH($H200&amp;"|1",$Z$14:$Z$1213,0)=MATCH($H200&amp;"|1",$AA$14:$AA$1213,0),"Hit","Miss"))))</f>
        <v/>
      </c>
      <c r="K200" s="24">
        <f>IF($H200="","",IF(COUNTIFS($A$14:$A$1213,$H200,$F$14:$F$1213,"&gt;=0")=0,"—",IFERROR(INDEX($B$14:$B$1213,MATCH($H200&amp;"|1",$AA$14:$AA$1213,0)),"(tied)")))</f>
        <v/>
      </c>
      <c r="L200" s="25">
        <f>IF($H200="","",IF((--(COUNTIFS($A$14:$A$1213,$H200,$P$14:$P$1213,"&gt;=0")&gt;0)+--(COUNTIFS($A$14:$A$1213,$H200,$Q$14:$Q$1213,"&gt;=0")&gt;0)+--(COUNTIFS($A$14:$A$1213,$H200,$R$14:$R$1213,"&gt;=0")&gt;0)+--(COUNTIFS($A$14:$A$1213,$H200,$S$14:$S$1213,"&gt;=0")&gt;0)+--(COUNTIFS($A$14:$A$1213,$H200,$T$14:$T$1213,"&gt;=0")&gt;0))&lt;2,"—",IF(SUMIFS($AH$14:$AH$1213,$A$14:$A$1213,$H200)=0,"Yes","No")))</f>
        <v/>
      </c>
      <c r="M200" s="25">
        <f>IF($H200="","",IF(COUNTIFS($A$14:$A$1213,$H200,$F$14:$F$1213,"&gt;=0")&lt;2,"—",IF(COUNTIFS($A$14:$A$1213,$H200,$F$14:$F$1213,_xlfn.MAXIFS($F$14:$F$1213,$A$14:$A$1213,$H200))&gt;1,"No",IF(NOT(ISNUMBER($AN200)),"—",IF((2*(1-NORMSDIST(ABS($AN200))))&lt;0.05,"Yes","No")))))</f>
        <v/>
      </c>
      <c r="N200" s="21">
        <f>IF($H200="","",IF(NOT(ISNUMBER($AN200)),"—",IF((2*(1-NORMSDIST(ABS($AN200))))&lt;0.001,"&lt;0.001",TEXT((2*(1-NORMSDIST(ABS($AN200)))),"0.000"))))</f>
        <v/>
      </c>
      <c r="P200" s="26" t="n"/>
      <c r="Q200" s="26" t="n"/>
      <c r="R200" s="26" t="n"/>
      <c r="S200" s="26" t="n"/>
      <c r="T200" s="26" t="n"/>
      <c r="V200" s="27">
        <f>IF(ISNUMBER($C200),COUNTIFS($A$14:$A$1213,$A200,$C$14:$C$1213,"&gt;"&amp;$C200)+(COUNTIFS($A$14:$A$1213,$A200,$C$14:$C$1213,"="&amp;$C200)+1)/2,"")</f>
        <v/>
      </c>
      <c r="W200" s="27">
        <f>IF(ISNUMBER($F200),COUNTIFS($A$14:$A$1213,$A200,$F$14:$F$1213,"&gt;"&amp;$F200)+(COUNTIFS($A$14:$A$1213,$A200,$F$14:$F$1213,"="&amp;$F200)+1)/2,"")</f>
        <v/>
      </c>
      <c r="X200" s="27">
        <f>IF(OR(NOT(ISNUMBER($V200)),$AO200=1),"",$V200-(COUNTIFS($A$14:$A$1213,$A200,$C$14:$C$1213,"&gt;=0")+1)/2)</f>
        <v/>
      </c>
      <c r="Y200" s="27">
        <f>IF(OR(NOT(ISNUMBER($W200)),$AO200=1),"",$W200-(COUNTIFS($A$14:$A$1213,$A200,$F$14:$F$1213,"&gt;=0")+1)/2)</f>
        <v/>
      </c>
      <c r="Z200" s="27">
        <f>IF(ISNUMBER($V200),$A200&amp;"|"&amp;$V200,"")</f>
        <v/>
      </c>
      <c r="AA200" s="27">
        <f>IF(ISNUMBER($W200),$A200&amp;"|"&amp;$W200,"")</f>
        <v/>
      </c>
      <c r="AB200" s="27">
        <f>IF(ISNUMBER($F200),$A200&amp;"|"&amp;$F200,"")</f>
        <v/>
      </c>
      <c r="AC200" s="27">
        <f>IF(ISNUMBER($P200),COUNTIFS($A$14:$A$1213,$A200,$P$14:$P$1213,"&gt;"&amp;$P200)+(COUNTIFS($A$14:$A$1213,$A200,$P$14:$P$1213,"="&amp;$P200)+1)/2,"")</f>
        <v/>
      </c>
      <c r="AD200" s="27">
        <f>IF(ISNUMBER($Q200),COUNTIFS($A$14:$A$1213,$A200,$Q$14:$Q$1213,"&gt;"&amp;$Q200)+(COUNTIFS($A$14:$A$1213,$A200,$Q$14:$Q$1213,"="&amp;$Q200)+1)/2,"")</f>
        <v/>
      </c>
      <c r="AE200" s="27">
        <f>IF(ISNUMBER($R200),COUNTIFS($A$14:$A$1213,$A200,$R$14:$R$1213,"&gt;"&amp;$R200)+(COUNTIFS($A$14:$A$1213,$A200,$R$14:$R$1213,"="&amp;$R200)+1)/2,"")</f>
        <v/>
      </c>
      <c r="AF200" s="27">
        <f>IF(ISNUMBER($S200),COUNTIFS($A$14:$A$1213,$A200,$S$14:$S$1213,"&gt;"&amp;$S200)+(COUNTIFS($A$14:$A$1213,$A200,$S$14:$S$1213,"="&amp;$S200)+1)/2,"")</f>
        <v/>
      </c>
      <c r="AG200" s="27">
        <f>IF(ISNUMBER($T200),COUNTIFS($A$14:$A$1213,$A200,$T$14:$T$1213,"&gt;"&amp;$T200)+(COUNTIFS($A$14:$A$1213,$A200,$T$14:$T$1213,"="&amp;$T200)+1)/2,"")</f>
        <v/>
      </c>
      <c r="AH200" s="27">
        <f>IF(COUNT($AC200:$AG200)&lt;2,"",IF(MAX($AC200:$AG200)=MIN($AC200:$AG200),0,1))</f>
        <v/>
      </c>
      <c r="AI200" s="27">
        <f>IF($A200="","",IF(COUNTIF($A$14:$A200,$A200)=1,COUNTIF($AI$13:AI199,"&gt;0")+1,""))</f>
        <v/>
      </c>
      <c r="AJ200" s="27">
        <f>IF(OR($H200="",COUNTIFS($A$14:$A$1213,$H200,$F$14:$F$1213,"&gt;=0")&lt;2,COUNTIFS($A$14:$A$1213,$H200,$F$14:$F$1213,_xlfn.MAXIFS($F$14:$F$1213,$A$14:$A$1213,$H200))&gt;1),"",IFERROR(INDEX($D$14:$D$1213,MATCH($H200&amp;"|"&amp;_xlfn.MAXIFS($F$14:$F$1213,$A$14:$A$1213,$H200),$AB$14:$AB$1213,0)),""))</f>
        <v/>
      </c>
      <c r="AK200" s="27">
        <f>IF(OR($H200="",COUNTIFS($A$14:$A$1213,$H200,$F$14:$F$1213,"&gt;=0")&lt;2,COUNTIFS($A$14:$A$1213,$H200,$F$14:$F$1213,_xlfn.MAXIFS($F$14:$F$1213,$A$14:$A$1213,$H200))&gt;1),"",IFERROR(INDEX($E$14:$E$1213,MATCH($H200&amp;"|"&amp;_xlfn.MAXIFS($F$14:$F$1213,$A$14:$A$1213,$H200),$AB$14:$AB$1213,0)),""))</f>
        <v/>
      </c>
      <c r="AL200" s="27">
        <f>IF(OR($H200="",COUNTIFS($A$14:$A$1213,$H200,$F$14:$F$1213,"&gt;=0")&lt;2,COUNTIFS($A$14:$A$1213,$H200,$F$14:$F$1213,_xlfn.MAXIFS($F$14:$F$1213,$A$14:$A$1213,$H200))&gt;1),"",IFERROR(INDEX($D$14:$D$1213,MATCH($H200&amp;"|"&amp;_xlfn.MAXIFS($F$14:$F$1213,$A$14:$A$1213,$H200,$F$14:$F$1213,"&lt;"&amp;_xlfn.MAXIFS($F$14:$F$1213,$A$14:$A$1213,$H200)),$AB$14:$AB$1213,0)),""))</f>
        <v/>
      </c>
      <c r="AM200" s="27">
        <f>IF(OR($H200="",COUNTIFS($A$14:$A$1213,$H200,$F$14:$F$1213,"&gt;=0")&lt;2,COUNTIFS($A$14:$A$1213,$H200,$F$14:$F$1213,_xlfn.MAXIFS($F$14:$F$1213,$A$14:$A$1213,$H200))&gt;1),"",IFERROR(INDEX($E$14:$E$1213,MATCH($H200&amp;"|"&amp;_xlfn.MAXIFS($F$14:$F$1213,$A$14:$A$1213,$H200,$F$14:$F$1213,"&lt;"&amp;_xlfn.MAXIFS($F$14:$F$1213,$A$14:$A$1213,$H200)),$AB$14:$AB$1213,0)),""))</f>
        <v/>
      </c>
      <c r="AN200" s="27">
        <f>IF(OR(NOT(ISNUMBER($AJ200)),NOT(ISNUMBER($AL200)),$AK200=0,$AM200=0),"",IF(OR((($AJ200+$AL200)/($AK200+$AM200))&lt;=0,(($AJ200+$AL200)/($AK200+$AM200))&gt;=1),"",($AJ200/$AK200-$AL200/$AM200)/SQRT((($AJ200+$AL200)/($AK200+$AM200))*(1-(($AJ200+$AL200)/($AK200+$AM200)))*(1/$AK200+1/$AM200))))</f>
        <v/>
      </c>
      <c r="AO200" s="27">
        <f>IF($A200="","",IF(AND(COUNTIFS($A$14:$A$1213,$A200,$F$14:$F$1213,"&gt;=0")=2,IFERROR(INDEX($M$14:$M$313,MATCH($A200,$H$14:$H$313,0)),"Yes")&lt;&gt;"Yes"),1,0))</f>
        <v/>
      </c>
    </row>
    <row r="201" ht="24" customHeight="1">
      <c r="A201" s="19">
        <f>IF('Enter messages'!A201="","",'Enter messages'!A201)</f>
        <v/>
      </c>
      <c r="B201" s="20">
        <f>IF('Enter messages'!B201="","",'Enter messages'!B201)</f>
        <v/>
      </c>
      <c r="C201" s="21">
        <f>IFERROR(AVERAGE(P201:T201),"")</f>
        <v/>
      </c>
      <c r="D201" s="29" t="n"/>
      <c r="E201" s="29" t="n"/>
      <c r="F201" s="30">
        <f>IF(AND(ISNUMBER($D201),ISNUMBER($E201),$E201&gt;0,$D201&lt;=$E201),$D201/$E201,"")</f>
        <v/>
      </c>
      <c r="H201" s="19">
        <f>IFERROR(INDEX($A$14:$A$1213,MATCH(188,$AI$14:$AI$1213,0)),"")</f>
        <v/>
      </c>
      <c r="I201" s="24">
        <f>IF($H201="","",IF(COUNTIFS($A$14:$A$1213,$H201,$C$14:$C$1213,"&gt;=0")=0,"—",IFERROR(INDEX($B$14:$B$1213,MATCH($H201&amp;"|1",$Z$14:$Z$1213,0)),"(tied)")))</f>
        <v/>
      </c>
      <c r="J201" s="25">
        <f>IF($H201="","",IF(OR(COUNTIFS($A$14:$A$1213,$H201,$C$14:$C$1213,"&gt;=0")=0,COUNTIFS($A$14:$A$1213,$H201,$F$14:$F$1213,"&gt;=0")=0),"—",IF(OR(ISERROR(MATCH($H201&amp;"|1",$Z$14:$Z$1213,0)),ISERROR(MATCH($H201&amp;"|1",$AA$14:$AA$1213,0))),"Tie",IF(MATCH($H201&amp;"|1",$Z$14:$Z$1213,0)=MATCH($H201&amp;"|1",$AA$14:$AA$1213,0),"Hit","Miss"))))</f>
        <v/>
      </c>
      <c r="K201" s="24">
        <f>IF($H201="","",IF(COUNTIFS($A$14:$A$1213,$H201,$F$14:$F$1213,"&gt;=0")=0,"—",IFERROR(INDEX($B$14:$B$1213,MATCH($H201&amp;"|1",$AA$14:$AA$1213,0)),"(tied)")))</f>
        <v/>
      </c>
      <c r="L201" s="25">
        <f>IF($H201="","",IF((--(COUNTIFS($A$14:$A$1213,$H201,$P$14:$P$1213,"&gt;=0")&gt;0)+--(COUNTIFS($A$14:$A$1213,$H201,$Q$14:$Q$1213,"&gt;=0")&gt;0)+--(COUNTIFS($A$14:$A$1213,$H201,$R$14:$R$1213,"&gt;=0")&gt;0)+--(COUNTIFS($A$14:$A$1213,$H201,$S$14:$S$1213,"&gt;=0")&gt;0)+--(COUNTIFS($A$14:$A$1213,$H201,$T$14:$T$1213,"&gt;=0")&gt;0))&lt;2,"—",IF(SUMIFS($AH$14:$AH$1213,$A$14:$A$1213,$H201)=0,"Yes","No")))</f>
        <v/>
      </c>
      <c r="M201" s="25">
        <f>IF($H201="","",IF(COUNTIFS($A$14:$A$1213,$H201,$F$14:$F$1213,"&gt;=0")&lt;2,"—",IF(COUNTIFS($A$14:$A$1213,$H201,$F$14:$F$1213,_xlfn.MAXIFS($F$14:$F$1213,$A$14:$A$1213,$H201))&gt;1,"No",IF(NOT(ISNUMBER($AN201)),"—",IF((2*(1-NORMSDIST(ABS($AN201))))&lt;0.05,"Yes","No")))))</f>
        <v/>
      </c>
      <c r="N201" s="21">
        <f>IF($H201="","",IF(NOT(ISNUMBER($AN201)),"—",IF((2*(1-NORMSDIST(ABS($AN201))))&lt;0.001,"&lt;0.001",TEXT((2*(1-NORMSDIST(ABS($AN201)))),"0.000"))))</f>
        <v/>
      </c>
      <c r="P201" s="26" t="n"/>
      <c r="Q201" s="26" t="n"/>
      <c r="R201" s="26" t="n"/>
      <c r="S201" s="26" t="n"/>
      <c r="T201" s="26" t="n"/>
      <c r="V201" s="27">
        <f>IF(ISNUMBER($C201),COUNTIFS($A$14:$A$1213,$A201,$C$14:$C$1213,"&gt;"&amp;$C201)+(COUNTIFS($A$14:$A$1213,$A201,$C$14:$C$1213,"="&amp;$C201)+1)/2,"")</f>
        <v/>
      </c>
      <c r="W201" s="27">
        <f>IF(ISNUMBER($F201),COUNTIFS($A$14:$A$1213,$A201,$F$14:$F$1213,"&gt;"&amp;$F201)+(COUNTIFS($A$14:$A$1213,$A201,$F$14:$F$1213,"="&amp;$F201)+1)/2,"")</f>
        <v/>
      </c>
      <c r="X201" s="27">
        <f>IF(OR(NOT(ISNUMBER($V201)),$AO201=1),"",$V201-(COUNTIFS($A$14:$A$1213,$A201,$C$14:$C$1213,"&gt;=0")+1)/2)</f>
        <v/>
      </c>
      <c r="Y201" s="27">
        <f>IF(OR(NOT(ISNUMBER($W201)),$AO201=1),"",$W201-(COUNTIFS($A$14:$A$1213,$A201,$F$14:$F$1213,"&gt;=0")+1)/2)</f>
        <v/>
      </c>
      <c r="Z201" s="27">
        <f>IF(ISNUMBER($V201),$A201&amp;"|"&amp;$V201,"")</f>
        <v/>
      </c>
      <c r="AA201" s="27">
        <f>IF(ISNUMBER($W201),$A201&amp;"|"&amp;$W201,"")</f>
        <v/>
      </c>
      <c r="AB201" s="27">
        <f>IF(ISNUMBER($F201),$A201&amp;"|"&amp;$F201,"")</f>
        <v/>
      </c>
      <c r="AC201" s="27">
        <f>IF(ISNUMBER($P201),COUNTIFS($A$14:$A$1213,$A201,$P$14:$P$1213,"&gt;"&amp;$P201)+(COUNTIFS($A$14:$A$1213,$A201,$P$14:$P$1213,"="&amp;$P201)+1)/2,"")</f>
        <v/>
      </c>
      <c r="AD201" s="27">
        <f>IF(ISNUMBER($Q201),COUNTIFS($A$14:$A$1213,$A201,$Q$14:$Q$1213,"&gt;"&amp;$Q201)+(COUNTIFS($A$14:$A$1213,$A201,$Q$14:$Q$1213,"="&amp;$Q201)+1)/2,"")</f>
        <v/>
      </c>
      <c r="AE201" s="27">
        <f>IF(ISNUMBER($R201),COUNTIFS($A$14:$A$1213,$A201,$R$14:$R$1213,"&gt;"&amp;$R201)+(COUNTIFS($A$14:$A$1213,$A201,$R$14:$R$1213,"="&amp;$R201)+1)/2,"")</f>
        <v/>
      </c>
      <c r="AF201" s="27">
        <f>IF(ISNUMBER($S201),COUNTIFS($A$14:$A$1213,$A201,$S$14:$S$1213,"&gt;"&amp;$S201)+(COUNTIFS($A$14:$A$1213,$A201,$S$14:$S$1213,"="&amp;$S201)+1)/2,"")</f>
        <v/>
      </c>
      <c r="AG201" s="27">
        <f>IF(ISNUMBER($T201),COUNTIFS($A$14:$A$1213,$A201,$T$14:$T$1213,"&gt;"&amp;$T201)+(COUNTIFS($A$14:$A$1213,$A201,$T$14:$T$1213,"="&amp;$T201)+1)/2,"")</f>
        <v/>
      </c>
      <c r="AH201" s="27">
        <f>IF(COUNT($AC201:$AG201)&lt;2,"",IF(MAX($AC201:$AG201)=MIN($AC201:$AG201),0,1))</f>
        <v/>
      </c>
      <c r="AI201" s="27">
        <f>IF($A201="","",IF(COUNTIF($A$14:$A201,$A201)=1,COUNTIF($AI$13:AI200,"&gt;0")+1,""))</f>
        <v/>
      </c>
      <c r="AJ201" s="27">
        <f>IF(OR($H201="",COUNTIFS($A$14:$A$1213,$H201,$F$14:$F$1213,"&gt;=0")&lt;2,COUNTIFS($A$14:$A$1213,$H201,$F$14:$F$1213,_xlfn.MAXIFS($F$14:$F$1213,$A$14:$A$1213,$H201))&gt;1),"",IFERROR(INDEX($D$14:$D$1213,MATCH($H201&amp;"|"&amp;_xlfn.MAXIFS($F$14:$F$1213,$A$14:$A$1213,$H201),$AB$14:$AB$1213,0)),""))</f>
        <v/>
      </c>
      <c r="AK201" s="27">
        <f>IF(OR($H201="",COUNTIFS($A$14:$A$1213,$H201,$F$14:$F$1213,"&gt;=0")&lt;2,COUNTIFS($A$14:$A$1213,$H201,$F$14:$F$1213,_xlfn.MAXIFS($F$14:$F$1213,$A$14:$A$1213,$H201))&gt;1),"",IFERROR(INDEX($E$14:$E$1213,MATCH($H201&amp;"|"&amp;_xlfn.MAXIFS($F$14:$F$1213,$A$14:$A$1213,$H201),$AB$14:$AB$1213,0)),""))</f>
        <v/>
      </c>
      <c r="AL201" s="27">
        <f>IF(OR($H201="",COUNTIFS($A$14:$A$1213,$H201,$F$14:$F$1213,"&gt;=0")&lt;2,COUNTIFS($A$14:$A$1213,$H201,$F$14:$F$1213,_xlfn.MAXIFS($F$14:$F$1213,$A$14:$A$1213,$H201))&gt;1),"",IFERROR(INDEX($D$14:$D$1213,MATCH($H201&amp;"|"&amp;_xlfn.MAXIFS($F$14:$F$1213,$A$14:$A$1213,$H201,$F$14:$F$1213,"&lt;"&amp;_xlfn.MAXIFS($F$14:$F$1213,$A$14:$A$1213,$H201)),$AB$14:$AB$1213,0)),""))</f>
        <v/>
      </c>
      <c r="AM201" s="27">
        <f>IF(OR($H201="",COUNTIFS($A$14:$A$1213,$H201,$F$14:$F$1213,"&gt;=0")&lt;2,COUNTIFS($A$14:$A$1213,$H201,$F$14:$F$1213,_xlfn.MAXIFS($F$14:$F$1213,$A$14:$A$1213,$H201))&gt;1),"",IFERROR(INDEX($E$14:$E$1213,MATCH($H201&amp;"|"&amp;_xlfn.MAXIFS($F$14:$F$1213,$A$14:$A$1213,$H201,$F$14:$F$1213,"&lt;"&amp;_xlfn.MAXIFS($F$14:$F$1213,$A$14:$A$1213,$H201)),$AB$14:$AB$1213,0)),""))</f>
        <v/>
      </c>
      <c r="AN201" s="27">
        <f>IF(OR(NOT(ISNUMBER($AJ201)),NOT(ISNUMBER($AL201)),$AK201=0,$AM201=0),"",IF(OR((($AJ201+$AL201)/($AK201+$AM201))&lt;=0,(($AJ201+$AL201)/($AK201+$AM201))&gt;=1),"",($AJ201/$AK201-$AL201/$AM201)/SQRT((($AJ201+$AL201)/($AK201+$AM201))*(1-(($AJ201+$AL201)/($AK201+$AM201)))*(1/$AK201+1/$AM201))))</f>
        <v/>
      </c>
      <c r="AO201" s="27">
        <f>IF($A201="","",IF(AND(COUNTIFS($A$14:$A$1213,$A201,$F$14:$F$1213,"&gt;=0")=2,IFERROR(INDEX($M$14:$M$313,MATCH($A201,$H$14:$H$313,0)),"Yes")&lt;&gt;"Yes"),1,0))</f>
        <v/>
      </c>
    </row>
    <row r="202" ht="24" customHeight="1">
      <c r="A202" s="19">
        <f>IF('Enter messages'!A202="","",'Enter messages'!A202)</f>
        <v/>
      </c>
      <c r="B202" s="20">
        <f>IF('Enter messages'!B202="","",'Enter messages'!B202)</f>
        <v/>
      </c>
      <c r="C202" s="21">
        <f>IFERROR(AVERAGE(P202:T202),"")</f>
        <v/>
      </c>
      <c r="D202" s="29" t="n"/>
      <c r="E202" s="29" t="n"/>
      <c r="F202" s="30">
        <f>IF(AND(ISNUMBER($D202),ISNUMBER($E202),$E202&gt;0,$D202&lt;=$E202),$D202/$E202,"")</f>
        <v/>
      </c>
      <c r="H202" s="19">
        <f>IFERROR(INDEX($A$14:$A$1213,MATCH(189,$AI$14:$AI$1213,0)),"")</f>
        <v/>
      </c>
      <c r="I202" s="24">
        <f>IF($H202="","",IF(COUNTIFS($A$14:$A$1213,$H202,$C$14:$C$1213,"&gt;=0")=0,"—",IFERROR(INDEX($B$14:$B$1213,MATCH($H202&amp;"|1",$Z$14:$Z$1213,0)),"(tied)")))</f>
        <v/>
      </c>
      <c r="J202" s="25">
        <f>IF($H202="","",IF(OR(COUNTIFS($A$14:$A$1213,$H202,$C$14:$C$1213,"&gt;=0")=0,COUNTIFS($A$14:$A$1213,$H202,$F$14:$F$1213,"&gt;=0")=0),"—",IF(OR(ISERROR(MATCH($H202&amp;"|1",$Z$14:$Z$1213,0)),ISERROR(MATCH($H202&amp;"|1",$AA$14:$AA$1213,0))),"Tie",IF(MATCH($H202&amp;"|1",$Z$14:$Z$1213,0)=MATCH($H202&amp;"|1",$AA$14:$AA$1213,0),"Hit","Miss"))))</f>
        <v/>
      </c>
      <c r="K202" s="24">
        <f>IF($H202="","",IF(COUNTIFS($A$14:$A$1213,$H202,$F$14:$F$1213,"&gt;=0")=0,"—",IFERROR(INDEX($B$14:$B$1213,MATCH($H202&amp;"|1",$AA$14:$AA$1213,0)),"(tied)")))</f>
        <v/>
      </c>
      <c r="L202" s="25">
        <f>IF($H202="","",IF((--(COUNTIFS($A$14:$A$1213,$H202,$P$14:$P$1213,"&gt;=0")&gt;0)+--(COUNTIFS($A$14:$A$1213,$H202,$Q$14:$Q$1213,"&gt;=0")&gt;0)+--(COUNTIFS($A$14:$A$1213,$H202,$R$14:$R$1213,"&gt;=0")&gt;0)+--(COUNTIFS($A$14:$A$1213,$H202,$S$14:$S$1213,"&gt;=0")&gt;0)+--(COUNTIFS($A$14:$A$1213,$H202,$T$14:$T$1213,"&gt;=0")&gt;0))&lt;2,"—",IF(SUMIFS($AH$14:$AH$1213,$A$14:$A$1213,$H202)=0,"Yes","No")))</f>
        <v/>
      </c>
      <c r="M202" s="25">
        <f>IF($H202="","",IF(COUNTIFS($A$14:$A$1213,$H202,$F$14:$F$1213,"&gt;=0")&lt;2,"—",IF(COUNTIFS($A$14:$A$1213,$H202,$F$14:$F$1213,_xlfn.MAXIFS($F$14:$F$1213,$A$14:$A$1213,$H202))&gt;1,"No",IF(NOT(ISNUMBER($AN202)),"—",IF((2*(1-NORMSDIST(ABS($AN202))))&lt;0.05,"Yes","No")))))</f>
        <v/>
      </c>
      <c r="N202" s="21">
        <f>IF($H202="","",IF(NOT(ISNUMBER($AN202)),"—",IF((2*(1-NORMSDIST(ABS($AN202))))&lt;0.001,"&lt;0.001",TEXT((2*(1-NORMSDIST(ABS($AN202)))),"0.000"))))</f>
        <v/>
      </c>
      <c r="P202" s="26" t="n"/>
      <c r="Q202" s="26" t="n"/>
      <c r="R202" s="26" t="n"/>
      <c r="S202" s="26" t="n"/>
      <c r="T202" s="26" t="n"/>
      <c r="V202" s="27">
        <f>IF(ISNUMBER($C202),COUNTIFS($A$14:$A$1213,$A202,$C$14:$C$1213,"&gt;"&amp;$C202)+(COUNTIFS($A$14:$A$1213,$A202,$C$14:$C$1213,"="&amp;$C202)+1)/2,"")</f>
        <v/>
      </c>
      <c r="W202" s="27">
        <f>IF(ISNUMBER($F202),COUNTIFS($A$14:$A$1213,$A202,$F$14:$F$1213,"&gt;"&amp;$F202)+(COUNTIFS($A$14:$A$1213,$A202,$F$14:$F$1213,"="&amp;$F202)+1)/2,"")</f>
        <v/>
      </c>
      <c r="X202" s="27">
        <f>IF(OR(NOT(ISNUMBER($V202)),$AO202=1),"",$V202-(COUNTIFS($A$14:$A$1213,$A202,$C$14:$C$1213,"&gt;=0")+1)/2)</f>
        <v/>
      </c>
      <c r="Y202" s="27">
        <f>IF(OR(NOT(ISNUMBER($W202)),$AO202=1),"",$W202-(COUNTIFS($A$14:$A$1213,$A202,$F$14:$F$1213,"&gt;=0")+1)/2)</f>
        <v/>
      </c>
      <c r="Z202" s="27">
        <f>IF(ISNUMBER($V202),$A202&amp;"|"&amp;$V202,"")</f>
        <v/>
      </c>
      <c r="AA202" s="27">
        <f>IF(ISNUMBER($W202),$A202&amp;"|"&amp;$W202,"")</f>
        <v/>
      </c>
      <c r="AB202" s="27">
        <f>IF(ISNUMBER($F202),$A202&amp;"|"&amp;$F202,"")</f>
        <v/>
      </c>
      <c r="AC202" s="27">
        <f>IF(ISNUMBER($P202),COUNTIFS($A$14:$A$1213,$A202,$P$14:$P$1213,"&gt;"&amp;$P202)+(COUNTIFS($A$14:$A$1213,$A202,$P$14:$P$1213,"="&amp;$P202)+1)/2,"")</f>
        <v/>
      </c>
      <c r="AD202" s="27">
        <f>IF(ISNUMBER($Q202),COUNTIFS($A$14:$A$1213,$A202,$Q$14:$Q$1213,"&gt;"&amp;$Q202)+(COUNTIFS($A$14:$A$1213,$A202,$Q$14:$Q$1213,"="&amp;$Q202)+1)/2,"")</f>
        <v/>
      </c>
      <c r="AE202" s="27">
        <f>IF(ISNUMBER($R202),COUNTIFS($A$14:$A$1213,$A202,$R$14:$R$1213,"&gt;"&amp;$R202)+(COUNTIFS($A$14:$A$1213,$A202,$R$14:$R$1213,"="&amp;$R202)+1)/2,"")</f>
        <v/>
      </c>
      <c r="AF202" s="27">
        <f>IF(ISNUMBER($S202),COUNTIFS($A$14:$A$1213,$A202,$S$14:$S$1213,"&gt;"&amp;$S202)+(COUNTIFS($A$14:$A$1213,$A202,$S$14:$S$1213,"="&amp;$S202)+1)/2,"")</f>
        <v/>
      </c>
      <c r="AG202" s="27">
        <f>IF(ISNUMBER($T202),COUNTIFS($A$14:$A$1213,$A202,$T$14:$T$1213,"&gt;"&amp;$T202)+(COUNTIFS($A$14:$A$1213,$A202,$T$14:$T$1213,"="&amp;$T202)+1)/2,"")</f>
        <v/>
      </c>
      <c r="AH202" s="27">
        <f>IF(COUNT($AC202:$AG202)&lt;2,"",IF(MAX($AC202:$AG202)=MIN($AC202:$AG202),0,1))</f>
        <v/>
      </c>
      <c r="AI202" s="27">
        <f>IF($A202="","",IF(COUNTIF($A$14:$A202,$A202)=1,COUNTIF($AI$13:AI201,"&gt;0")+1,""))</f>
        <v/>
      </c>
      <c r="AJ202" s="27">
        <f>IF(OR($H202="",COUNTIFS($A$14:$A$1213,$H202,$F$14:$F$1213,"&gt;=0")&lt;2,COUNTIFS($A$14:$A$1213,$H202,$F$14:$F$1213,_xlfn.MAXIFS($F$14:$F$1213,$A$14:$A$1213,$H202))&gt;1),"",IFERROR(INDEX($D$14:$D$1213,MATCH($H202&amp;"|"&amp;_xlfn.MAXIFS($F$14:$F$1213,$A$14:$A$1213,$H202),$AB$14:$AB$1213,0)),""))</f>
        <v/>
      </c>
      <c r="AK202" s="27">
        <f>IF(OR($H202="",COUNTIFS($A$14:$A$1213,$H202,$F$14:$F$1213,"&gt;=0")&lt;2,COUNTIFS($A$14:$A$1213,$H202,$F$14:$F$1213,_xlfn.MAXIFS($F$14:$F$1213,$A$14:$A$1213,$H202))&gt;1),"",IFERROR(INDEX($E$14:$E$1213,MATCH($H202&amp;"|"&amp;_xlfn.MAXIFS($F$14:$F$1213,$A$14:$A$1213,$H202),$AB$14:$AB$1213,0)),""))</f>
        <v/>
      </c>
      <c r="AL202" s="27">
        <f>IF(OR($H202="",COUNTIFS($A$14:$A$1213,$H202,$F$14:$F$1213,"&gt;=0")&lt;2,COUNTIFS($A$14:$A$1213,$H202,$F$14:$F$1213,_xlfn.MAXIFS($F$14:$F$1213,$A$14:$A$1213,$H202))&gt;1),"",IFERROR(INDEX($D$14:$D$1213,MATCH($H202&amp;"|"&amp;_xlfn.MAXIFS($F$14:$F$1213,$A$14:$A$1213,$H202,$F$14:$F$1213,"&lt;"&amp;_xlfn.MAXIFS($F$14:$F$1213,$A$14:$A$1213,$H202)),$AB$14:$AB$1213,0)),""))</f>
        <v/>
      </c>
      <c r="AM202" s="27">
        <f>IF(OR($H202="",COUNTIFS($A$14:$A$1213,$H202,$F$14:$F$1213,"&gt;=0")&lt;2,COUNTIFS($A$14:$A$1213,$H202,$F$14:$F$1213,_xlfn.MAXIFS($F$14:$F$1213,$A$14:$A$1213,$H202))&gt;1),"",IFERROR(INDEX($E$14:$E$1213,MATCH($H202&amp;"|"&amp;_xlfn.MAXIFS($F$14:$F$1213,$A$14:$A$1213,$H202,$F$14:$F$1213,"&lt;"&amp;_xlfn.MAXIFS($F$14:$F$1213,$A$14:$A$1213,$H202)),$AB$14:$AB$1213,0)),""))</f>
        <v/>
      </c>
      <c r="AN202" s="27">
        <f>IF(OR(NOT(ISNUMBER($AJ202)),NOT(ISNUMBER($AL202)),$AK202=0,$AM202=0),"",IF(OR((($AJ202+$AL202)/($AK202+$AM202))&lt;=0,(($AJ202+$AL202)/($AK202+$AM202))&gt;=1),"",($AJ202/$AK202-$AL202/$AM202)/SQRT((($AJ202+$AL202)/($AK202+$AM202))*(1-(($AJ202+$AL202)/($AK202+$AM202)))*(1/$AK202+1/$AM202))))</f>
        <v/>
      </c>
      <c r="AO202" s="27">
        <f>IF($A202="","",IF(AND(COUNTIFS($A$14:$A$1213,$A202,$F$14:$F$1213,"&gt;=0")=2,IFERROR(INDEX($M$14:$M$313,MATCH($A202,$H$14:$H$313,0)),"Yes")&lt;&gt;"Yes"),1,0))</f>
        <v/>
      </c>
    </row>
    <row r="203" ht="24" customHeight="1">
      <c r="A203" s="19">
        <f>IF('Enter messages'!A203="","",'Enter messages'!A203)</f>
        <v/>
      </c>
      <c r="B203" s="20">
        <f>IF('Enter messages'!B203="","",'Enter messages'!B203)</f>
        <v/>
      </c>
      <c r="C203" s="21">
        <f>IFERROR(AVERAGE(P203:T203),"")</f>
        <v/>
      </c>
      <c r="D203" s="29" t="n"/>
      <c r="E203" s="29" t="n"/>
      <c r="F203" s="30">
        <f>IF(AND(ISNUMBER($D203),ISNUMBER($E203),$E203&gt;0,$D203&lt;=$E203),$D203/$E203,"")</f>
        <v/>
      </c>
      <c r="H203" s="19">
        <f>IFERROR(INDEX($A$14:$A$1213,MATCH(190,$AI$14:$AI$1213,0)),"")</f>
        <v/>
      </c>
      <c r="I203" s="24">
        <f>IF($H203="","",IF(COUNTIFS($A$14:$A$1213,$H203,$C$14:$C$1213,"&gt;=0")=0,"—",IFERROR(INDEX($B$14:$B$1213,MATCH($H203&amp;"|1",$Z$14:$Z$1213,0)),"(tied)")))</f>
        <v/>
      </c>
      <c r="J203" s="25">
        <f>IF($H203="","",IF(OR(COUNTIFS($A$14:$A$1213,$H203,$C$14:$C$1213,"&gt;=0")=0,COUNTIFS($A$14:$A$1213,$H203,$F$14:$F$1213,"&gt;=0")=0),"—",IF(OR(ISERROR(MATCH($H203&amp;"|1",$Z$14:$Z$1213,0)),ISERROR(MATCH($H203&amp;"|1",$AA$14:$AA$1213,0))),"Tie",IF(MATCH($H203&amp;"|1",$Z$14:$Z$1213,0)=MATCH($H203&amp;"|1",$AA$14:$AA$1213,0),"Hit","Miss"))))</f>
        <v/>
      </c>
      <c r="K203" s="24">
        <f>IF($H203="","",IF(COUNTIFS($A$14:$A$1213,$H203,$F$14:$F$1213,"&gt;=0")=0,"—",IFERROR(INDEX($B$14:$B$1213,MATCH($H203&amp;"|1",$AA$14:$AA$1213,0)),"(tied)")))</f>
        <v/>
      </c>
      <c r="L203" s="25">
        <f>IF($H203="","",IF((--(COUNTIFS($A$14:$A$1213,$H203,$P$14:$P$1213,"&gt;=0")&gt;0)+--(COUNTIFS($A$14:$A$1213,$H203,$Q$14:$Q$1213,"&gt;=0")&gt;0)+--(COUNTIFS($A$14:$A$1213,$H203,$R$14:$R$1213,"&gt;=0")&gt;0)+--(COUNTIFS($A$14:$A$1213,$H203,$S$14:$S$1213,"&gt;=0")&gt;0)+--(COUNTIFS($A$14:$A$1213,$H203,$T$14:$T$1213,"&gt;=0")&gt;0))&lt;2,"—",IF(SUMIFS($AH$14:$AH$1213,$A$14:$A$1213,$H203)=0,"Yes","No")))</f>
        <v/>
      </c>
      <c r="M203" s="25">
        <f>IF($H203="","",IF(COUNTIFS($A$14:$A$1213,$H203,$F$14:$F$1213,"&gt;=0")&lt;2,"—",IF(COUNTIFS($A$14:$A$1213,$H203,$F$14:$F$1213,_xlfn.MAXIFS($F$14:$F$1213,$A$14:$A$1213,$H203))&gt;1,"No",IF(NOT(ISNUMBER($AN203)),"—",IF((2*(1-NORMSDIST(ABS($AN203))))&lt;0.05,"Yes","No")))))</f>
        <v/>
      </c>
      <c r="N203" s="21">
        <f>IF($H203="","",IF(NOT(ISNUMBER($AN203)),"—",IF((2*(1-NORMSDIST(ABS($AN203))))&lt;0.001,"&lt;0.001",TEXT((2*(1-NORMSDIST(ABS($AN203)))),"0.000"))))</f>
        <v/>
      </c>
      <c r="P203" s="26" t="n"/>
      <c r="Q203" s="26" t="n"/>
      <c r="R203" s="26" t="n"/>
      <c r="S203" s="26" t="n"/>
      <c r="T203" s="26" t="n"/>
      <c r="V203" s="27">
        <f>IF(ISNUMBER($C203),COUNTIFS($A$14:$A$1213,$A203,$C$14:$C$1213,"&gt;"&amp;$C203)+(COUNTIFS($A$14:$A$1213,$A203,$C$14:$C$1213,"="&amp;$C203)+1)/2,"")</f>
        <v/>
      </c>
      <c r="W203" s="27">
        <f>IF(ISNUMBER($F203),COUNTIFS($A$14:$A$1213,$A203,$F$14:$F$1213,"&gt;"&amp;$F203)+(COUNTIFS($A$14:$A$1213,$A203,$F$14:$F$1213,"="&amp;$F203)+1)/2,"")</f>
        <v/>
      </c>
      <c r="X203" s="27">
        <f>IF(OR(NOT(ISNUMBER($V203)),$AO203=1),"",$V203-(COUNTIFS($A$14:$A$1213,$A203,$C$14:$C$1213,"&gt;=0")+1)/2)</f>
        <v/>
      </c>
      <c r="Y203" s="27">
        <f>IF(OR(NOT(ISNUMBER($W203)),$AO203=1),"",$W203-(COUNTIFS($A$14:$A$1213,$A203,$F$14:$F$1213,"&gt;=0")+1)/2)</f>
        <v/>
      </c>
      <c r="Z203" s="27">
        <f>IF(ISNUMBER($V203),$A203&amp;"|"&amp;$V203,"")</f>
        <v/>
      </c>
      <c r="AA203" s="27">
        <f>IF(ISNUMBER($W203),$A203&amp;"|"&amp;$W203,"")</f>
        <v/>
      </c>
      <c r="AB203" s="27">
        <f>IF(ISNUMBER($F203),$A203&amp;"|"&amp;$F203,"")</f>
        <v/>
      </c>
      <c r="AC203" s="27">
        <f>IF(ISNUMBER($P203),COUNTIFS($A$14:$A$1213,$A203,$P$14:$P$1213,"&gt;"&amp;$P203)+(COUNTIFS($A$14:$A$1213,$A203,$P$14:$P$1213,"="&amp;$P203)+1)/2,"")</f>
        <v/>
      </c>
      <c r="AD203" s="27">
        <f>IF(ISNUMBER($Q203),COUNTIFS($A$14:$A$1213,$A203,$Q$14:$Q$1213,"&gt;"&amp;$Q203)+(COUNTIFS($A$14:$A$1213,$A203,$Q$14:$Q$1213,"="&amp;$Q203)+1)/2,"")</f>
        <v/>
      </c>
      <c r="AE203" s="27">
        <f>IF(ISNUMBER($R203),COUNTIFS($A$14:$A$1213,$A203,$R$14:$R$1213,"&gt;"&amp;$R203)+(COUNTIFS($A$14:$A$1213,$A203,$R$14:$R$1213,"="&amp;$R203)+1)/2,"")</f>
        <v/>
      </c>
      <c r="AF203" s="27">
        <f>IF(ISNUMBER($S203),COUNTIFS($A$14:$A$1213,$A203,$S$14:$S$1213,"&gt;"&amp;$S203)+(COUNTIFS($A$14:$A$1213,$A203,$S$14:$S$1213,"="&amp;$S203)+1)/2,"")</f>
        <v/>
      </c>
      <c r="AG203" s="27">
        <f>IF(ISNUMBER($T203),COUNTIFS($A$14:$A$1213,$A203,$T$14:$T$1213,"&gt;"&amp;$T203)+(COUNTIFS($A$14:$A$1213,$A203,$T$14:$T$1213,"="&amp;$T203)+1)/2,"")</f>
        <v/>
      </c>
      <c r="AH203" s="27">
        <f>IF(COUNT($AC203:$AG203)&lt;2,"",IF(MAX($AC203:$AG203)=MIN($AC203:$AG203),0,1))</f>
        <v/>
      </c>
      <c r="AI203" s="27">
        <f>IF($A203="","",IF(COUNTIF($A$14:$A203,$A203)=1,COUNTIF($AI$13:AI202,"&gt;0")+1,""))</f>
        <v/>
      </c>
      <c r="AJ203" s="27">
        <f>IF(OR($H203="",COUNTIFS($A$14:$A$1213,$H203,$F$14:$F$1213,"&gt;=0")&lt;2,COUNTIFS($A$14:$A$1213,$H203,$F$14:$F$1213,_xlfn.MAXIFS($F$14:$F$1213,$A$14:$A$1213,$H203))&gt;1),"",IFERROR(INDEX($D$14:$D$1213,MATCH($H203&amp;"|"&amp;_xlfn.MAXIFS($F$14:$F$1213,$A$14:$A$1213,$H203),$AB$14:$AB$1213,0)),""))</f>
        <v/>
      </c>
      <c r="AK203" s="27">
        <f>IF(OR($H203="",COUNTIFS($A$14:$A$1213,$H203,$F$14:$F$1213,"&gt;=0")&lt;2,COUNTIFS($A$14:$A$1213,$H203,$F$14:$F$1213,_xlfn.MAXIFS($F$14:$F$1213,$A$14:$A$1213,$H203))&gt;1),"",IFERROR(INDEX($E$14:$E$1213,MATCH($H203&amp;"|"&amp;_xlfn.MAXIFS($F$14:$F$1213,$A$14:$A$1213,$H203),$AB$14:$AB$1213,0)),""))</f>
        <v/>
      </c>
      <c r="AL203" s="27">
        <f>IF(OR($H203="",COUNTIFS($A$14:$A$1213,$H203,$F$14:$F$1213,"&gt;=0")&lt;2,COUNTIFS($A$14:$A$1213,$H203,$F$14:$F$1213,_xlfn.MAXIFS($F$14:$F$1213,$A$14:$A$1213,$H203))&gt;1),"",IFERROR(INDEX($D$14:$D$1213,MATCH($H203&amp;"|"&amp;_xlfn.MAXIFS($F$14:$F$1213,$A$14:$A$1213,$H203,$F$14:$F$1213,"&lt;"&amp;_xlfn.MAXIFS($F$14:$F$1213,$A$14:$A$1213,$H203)),$AB$14:$AB$1213,0)),""))</f>
        <v/>
      </c>
      <c r="AM203" s="27">
        <f>IF(OR($H203="",COUNTIFS($A$14:$A$1213,$H203,$F$14:$F$1213,"&gt;=0")&lt;2,COUNTIFS($A$14:$A$1213,$H203,$F$14:$F$1213,_xlfn.MAXIFS($F$14:$F$1213,$A$14:$A$1213,$H203))&gt;1),"",IFERROR(INDEX($E$14:$E$1213,MATCH($H203&amp;"|"&amp;_xlfn.MAXIFS($F$14:$F$1213,$A$14:$A$1213,$H203,$F$14:$F$1213,"&lt;"&amp;_xlfn.MAXIFS($F$14:$F$1213,$A$14:$A$1213,$H203)),$AB$14:$AB$1213,0)),""))</f>
        <v/>
      </c>
      <c r="AN203" s="27">
        <f>IF(OR(NOT(ISNUMBER($AJ203)),NOT(ISNUMBER($AL203)),$AK203=0,$AM203=0),"",IF(OR((($AJ203+$AL203)/($AK203+$AM203))&lt;=0,(($AJ203+$AL203)/($AK203+$AM203))&gt;=1),"",($AJ203/$AK203-$AL203/$AM203)/SQRT((($AJ203+$AL203)/($AK203+$AM203))*(1-(($AJ203+$AL203)/($AK203+$AM203)))*(1/$AK203+1/$AM203))))</f>
        <v/>
      </c>
      <c r="AO203" s="27">
        <f>IF($A203="","",IF(AND(COUNTIFS($A$14:$A$1213,$A203,$F$14:$F$1213,"&gt;=0")=2,IFERROR(INDEX($M$14:$M$313,MATCH($A203,$H$14:$H$313,0)),"Yes")&lt;&gt;"Yes"),1,0))</f>
        <v/>
      </c>
    </row>
    <row r="204" ht="24" customHeight="1">
      <c r="A204" s="19">
        <f>IF('Enter messages'!A204="","",'Enter messages'!A204)</f>
        <v/>
      </c>
      <c r="B204" s="20">
        <f>IF('Enter messages'!B204="","",'Enter messages'!B204)</f>
        <v/>
      </c>
      <c r="C204" s="21">
        <f>IFERROR(AVERAGE(P204:T204),"")</f>
        <v/>
      </c>
      <c r="D204" s="29" t="n"/>
      <c r="E204" s="29" t="n"/>
      <c r="F204" s="30">
        <f>IF(AND(ISNUMBER($D204),ISNUMBER($E204),$E204&gt;0,$D204&lt;=$E204),$D204/$E204,"")</f>
        <v/>
      </c>
      <c r="H204" s="19">
        <f>IFERROR(INDEX($A$14:$A$1213,MATCH(191,$AI$14:$AI$1213,0)),"")</f>
        <v/>
      </c>
      <c r="I204" s="24">
        <f>IF($H204="","",IF(COUNTIFS($A$14:$A$1213,$H204,$C$14:$C$1213,"&gt;=0")=0,"—",IFERROR(INDEX($B$14:$B$1213,MATCH($H204&amp;"|1",$Z$14:$Z$1213,0)),"(tied)")))</f>
        <v/>
      </c>
      <c r="J204" s="25">
        <f>IF($H204="","",IF(OR(COUNTIFS($A$14:$A$1213,$H204,$C$14:$C$1213,"&gt;=0")=0,COUNTIFS($A$14:$A$1213,$H204,$F$14:$F$1213,"&gt;=0")=0),"—",IF(OR(ISERROR(MATCH($H204&amp;"|1",$Z$14:$Z$1213,0)),ISERROR(MATCH($H204&amp;"|1",$AA$14:$AA$1213,0))),"Tie",IF(MATCH($H204&amp;"|1",$Z$14:$Z$1213,0)=MATCH($H204&amp;"|1",$AA$14:$AA$1213,0),"Hit","Miss"))))</f>
        <v/>
      </c>
      <c r="K204" s="24">
        <f>IF($H204="","",IF(COUNTIFS($A$14:$A$1213,$H204,$F$14:$F$1213,"&gt;=0")=0,"—",IFERROR(INDEX($B$14:$B$1213,MATCH($H204&amp;"|1",$AA$14:$AA$1213,0)),"(tied)")))</f>
        <v/>
      </c>
      <c r="L204" s="25">
        <f>IF($H204="","",IF((--(COUNTIFS($A$14:$A$1213,$H204,$P$14:$P$1213,"&gt;=0")&gt;0)+--(COUNTIFS($A$14:$A$1213,$H204,$Q$14:$Q$1213,"&gt;=0")&gt;0)+--(COUNTIFS($A$14:$A$1213,$H204,$R$14:$R$1213,"&gt;=0")&gt;0)+--(COUNTIFS($A$14:$A$1213,$H204,$S$14:$S$1213,"&gt;=0")&gt;0)+--(COUNTIFS($A$14:$A$1213,$H204,$T$14:$T$1213,"&gt;=0")&gt;0))&lt;2,"—",IF(SUMIFS($AH$14:$AH$1213,$A$14:$A$1213,$H204)=0,"Yes","No")))</f>
        <v/>
      </c>
      <c r="M204" s="25">
        <f>IF($H204="","",IF(COUNTIFS($A$14:$A$1213,$H204,$F$14:$F$1213,"&gt;=0")&lt;2,"—",IF(COUNTIFS($A$14:$A$1213,$H204,$F$14:$F$1213,_xlfn.MAXIFS($F$14:$F$1213,$A$14:$A$1213,$H204))&gt;1,"No",IF(NOT(ISNUMBER($AN204)),"—",IF((2*(1-NORMSDIST(ABS($AN204))))&lt;0.05,"Yes","No")))))</f>
        <v/>
      </c>
      <c r="N204" s="21">
        <f>IF($H204="","",IF(NOT(ISNUMBER($AN204)),"—",IF((2*(1-NORMSDIST(ABS($AN204))))&lt;0.001,"&lt;0.001",TEXT((2*(1-NORMSDIST(ABS($AN204)))),"0.000"))))</f>
        <v/>
      </c>
      <c r="P204" s="26" t="n"/>
      <c r="Q204" s="26" t="n"/>
      <c r="R204" s="26" t="n"/>
      <c r="S204" s="26" t="n"/>
      <c r="T204" s="26" t="n"/>
      <c r="V204" s="27">
        <f>IF(ISNUMBER($C204),COUNTIFS($A$14:$A$1213,$A204,$C$14:$C$1213,"&gt;"&amp;$C204)+(COUNTIFS($A$14:$A$1213,$A204,$C$14:$C$1213,"="&amp;$C204)+1)/2,"")</f>
        <v/>
      </c>
      <c r="W204" s="27">
        <f>IF(ISNUMBER($F204),COUNTIFS($A$14:$A$1213,$A204,$F$14:$F$1213,"&gt;"&amp;$F204)+(COUNTIFS($A$14:$A$1213,$A204,$F$14:$F$1213,"="&amp;$F204)+1)/2,"")</f>
        <v/>
      </c>
      <c r="X204" s="27">
        <f>IF(OR(NOT(ISNUMBER($V204)),$AO204=1),"",$V204-(COUNTIFS($A$14:$A$1213,$A204,$C$14:$C$1213,"&gt;=0")+1)/2)</f>
        <v/>
      </c>
      <c r="Y204" s="27">
        <f>IF(OR(NOT(ISNUMBER($W204)),$AO204=1),"",$W204-(COUNTIFS($A$14:$A$1213,$A204,$F$14:$F$1213,"&gt;=0")+1)/2)</f>
        <v/>
      </c>
      <c r="Z204" s="27">
        <f>IF(ISNUMBER($V204),$A204&amp;"|"&amp;$V204,"")</f>
        <v/>
      </c>
      <c r="AA204" s="27">
        <f>IF(ISNUMBER($W204),$A204&amp;"|"&amp;$W204,"")</f>
        <v/>
      </c>
      <c r="AB204" s="27">
        <f>IF(ISNUMBER($F204),$A204&amp;"|"&amp;$F204,"")</f>
        <v/>
      </c>
      <c r="AC204" s="27">
        <f>IF(ISNUMBER($P204),COUNTIFS($A$14:$A$1213,$A204,$P$14:$P$1213,"&gt;"&amp;$P204)+(COUNTIFS($A$14:$A$1213,$A204,$P$14:$P$1213,"="&amp;$P204)+1)/2,"")</f>
        <v/>
      </c>
      <c r="AD204" s="27">
        <f>IF(ISNUMBER($Q204),COUNTIFS($A$14:$A$1213,$A204,$Q$14:$Q$1213,"&gt;"&amp;$Q204)+(COUNTIFS($A$14:$A$1213,$A204,$Q$14:$Q$1213,"="&amp;$Q204)+1)/2,"")</f>
        <v/>
      </c>
      <c r="AE204" s="27">
        <f>IF(ISNUMBER($R204),COUNTIFS($A$14:$A$1213,$A204,$R$14:$R$1213,"&gt;"&amp;$R204)+(COUNTIFS($A$14:$A$1213,$A204,$R$14:$R$1213,"="&amp;$R204)+1)/2,"")</f>
        <v/>
      </c>
      <c r="AF204" s="27">
        <f>IF(ISNUMBER($S204),COUNTIFS($A$14:$A$1213,$A204,$S$14:$S$1213,"&gt;"&amp;$S204)+(COUNTIFS($A$14:$A$1213,$A204,$S$14:$S$1213,"="&amp;$S204)+1)/2,"")</f>
        <v/>
      </c>
      <c r="AG204" s="27">
        <f>IF(ISNUMBER($T204),COUNTIFS($A$14:$A$1213,$A204,$T$14:$T$1213,"&gt;"&amp;$T204)+(COUNTIFS($A$14:$A$1213,$A204,$T$14:$T$1213,"="&amp;$T204)+1)/2,"")</f>
        <v/>
      </c>
      <c r="AH204" s="27">
        <f>IF(COUNT($AC204:$AG204)&lt;2,"",IF(MAX($AC204:$AG204)=MIN($AC204:$AG204),0,1))</f>
        <v/>
      </c>
      <c r="AI204" s="27">
        <f>IF($A204="","",IF(COUNTIF($A$14:$A204,$A204)=1,COUNTIF($AI$13:AI203,"&gt;0")+1,""))</f>
        <v/>
      </c>
      <c r="AJ204" s="27">
        <f>IF(OR($H204="",COUNTIFS($A$14:$A$1213,$H204,$F$14:$F$1213,"&gt;=0")&lt;2,COUNTIFS($A$14:$A$1213,$H204,$F$14:$F$1213,_xlfn.MAXIFS($F$14:$F$1213,$A$14:$A$1213,$H204))&gt;1),"",IFERROR(INDEX($D$14:$D$1213,MATCH($H204&amp;"|"&amp;_xlfn.MAXIFS($F$14:$F$1213,$A$14:$A$1213,$H204),$AB$14:$AB$1213,0)),""))</f>
        <v/>
      </c>
      <c r="AK204" s="27">
        <f>IF(OR($H204="",COUNTIFS($A$14:$A$1213,$H204,$F$14:$F$1213,"&gt;=0")&lt;2,COUNTIFS($A$14:$A$1213,$H204,$F$14:$F$1213,_xlfn.MAXIFS($F$14:$F$1213,$A$14:$A$1213,$H204))&gt;1),"",IFERROR(INDEX($E$14:$E$1213,MATCH($H204&amp;"|"&amp;_xlfn.MAXIFS($F$14:$F$1213,$A$14:$A$1213,$H204),$AB$14:$AB$1213,0)),""))</f>
        <v/>
      </c>
      <c r="AL204" s="27">
        <f>IF(OR($H204="",COUNTIFS($A$14:$A$1213,$H204,$F$14:$F$1213,"&gt;=0")&lt;2,COUNTIFS($A$14:$A$1213,$H204,$F$14:$F$1213,_xlfn.MAXIFS($F$14:$F$1213,$A$14:$A$1213,$H204))&gt;1),"",IFERROR(INDEX($D$14:$D$1213,MATCH($H204&amp;"|"&amp;_xlfn.MAXIFS($F$14:$F$1213,$A$14:$A$1213,$H204,$F$14:$F$1213,"&lt;"&amp;_xlfn.MAXIFS($F$14:$F$1213,$A$14:$A$1213,$H204)),$AB$14:$AB$1213,0)),""))</f>
        <v/>
      </c>
      <c r="AM204" s="27">
        <f>IF(OR($H204="",COUNTIFS($A$14:$A$1213,$H204,$F$14:$F$1213,"&gt;=0")&lt;2,COUNTIFS($A$14:$A$1213,$H204,$F$14:$F$1213,_xlfn.MAXIFS($F$14:$F$1213,$A$14:$A$1213,$H204))&gt;1),"",IFERROR(INDEX($E$14:$E$1213,MATCH($H204&amp;"|"&amp;_xlfn.MAXIFS($F$14:$F$1213,$A$14:$A$1213,$H204,$F$14:$F$1213,"&lt;"&amp;_xlfn.MAXIFS($F$14:$F$1213,$A$14:$A$1213,$H204)),$AB$14:$AB$1213,0)),""))</f>
        <v/>
      </c>
      <c r="AN204" s="27">
        <f>IF(OR(NOT(ISNUMBER($AJ204)),NOT(ISNUMBER($AL204)),$AK204=0,$AM204=0),"",IF(OR((($AJ204+$AL204)/($AK204+$AM204))&lt;=0,(($AJ204+$AL204)/($AK204+$AM204))&gt;=1),"",($AJ204/$AK204-$AL204/$AM204)/SQRT((($AJ204+$AL204)/($AK204+$AM204))*(1-(($AJ204+$AL204)/($AK204+$AM204)))*(1/$AK204+1/$AM204))))</f>
        <v/>
      </c>
      <c r="AO204" s="27">
        <f>IF($A204="","",IF(AND(COUNTIFS($A$14:$A$1213,$A204,$F$14:$F$1213,"&gt;=0")=2,IFERROR(INDEX($M$14:$M$313,MATCH($A204,$H$14:$H$313,0)),"Yes")&lt;&gt;"Yes"),1,0))</f>
        <v/>
      </c>
    </row>
    <row r="205" ht="24" customHeight="1">
      <c r="A205" s="19">
        <f>IF('Enter messages'!A205="","",'Enter messages'!A205)</f>
        <v/>
      </c>
      <c r="B205" s="20">
        <f>IF('Enter messages'!B205="","",'Enter messages'!B205)</f>
        <v/>
      </c>
      <c r="C205" s="21">
        <f>IFERROR(AVERAGE(P205:T205),"")</f>
        <v/>
      </c>
      <c r="D205" s="29" t="n"/>
      <c r="E205" s="29" t="n"/>
      <c r="F205" s="30">
        <f>IF(AND(ISNUMBER($D205),ISNUMBER($E205),$E205&gt;0,$D205&lt;=$E205),$D205/$E205,"")</f>
        <v/>
      </c>
      <c r="H205" s="19">
        <f>IFERROR(INDEX($A$14:$A$1213,MATCH(192,$AI$14:$AI$1213,0)),"")</f>
        <v/>
      </c>
      <c r="I205" s="24">
        <f>IF($H205="","",IF(COUNTIFS($A$14:$A$1213,$H205,$C$14:$C$1213,"&gt;=0")=0,"—",IFERROR(INDEX($B$14:$B$1213,MATCH($H205&amp;"|1",$Z$14:$Z$1213,0)),"(tied)")))</f>
        <v/>
      </c>
      <c r="J205" s="25">
        <f>IF($H205="","",IF(OR(COUNTIFS($A$14:$A$1213,$H205,$C$14:$C$1213,"&gt;=0")=0,COUNTIFS($A$14:$A$1213,$H205,$F$14:$F$1213,"&gt;=0")=0),"—",IF(OR(ISERROR(MATCH($H205&amp;"|1",$Z$14:$Z$1213,0)),ISERROR(MATCH($H205&amp;"|1",$AA$14:$AA$1213,0))),"Tie",IF(MATCH($H205&amp;"|1",$Z$14:$Z$1213,0)=MATCH($H205&amp;"|1",$AA$14:$AA$1213,0),"Hit","Miss"))))</f>
        <v/>
      </c>
      <c r="K205" s="24">
        <f>IF($H205="","",IF(COUNTIFS($A$14:$A$1213,$H205,$F$14:$F$1213,"&gt;=0")=0,"—",IFERROR(INDEX($B$14:$B$1213,MATCH($H205&amp;"|1",$AA$14:$AA$1213,0)),"(tied)")))</f>
        <v/>
      </c>
      <c r="L205" s="25">
        <f>IF($H205="","",IF((--(COUNTIFS($A$14:$A$1213,$H205,$P$14:$P$1213,"&gt;=0")&gt;0)+--(COUNTIFS($A$14:$A$1213,$H205,$Q$14:$Q$1213,"&gt;=0")&gt;0)+--(COUNTIFS($A$14:$A$1213,$H205,$R$14:$R$1213,"&gt;=0")&gt;0)+--(COUNTIFS($A$14:$A$1213,$H205,$S$14:$S$1213,"&gt;=0")&gt;0)+--(COUNTIFS($A$14:$A$1213,$H205,$T$14:$T$1213,"&gt;=0")&gt;0))&lt;2,"—",IF(SUMIFS($AH$14:$AH$1213,$A$14:$A$1213,$H205)=0,"Yes","No")))</f>
        <v/>
      </c>
      <c r="M205" s="25">
        <f>IF($H205="","",IF(COUNTIFS($A$14:$A$1213,$H205,$F$14:$F$1213,"&gt;=0")&lt;2,"—",IF(COUNTIFS($A$14:$A$1213,$H205,$F$14:$F$1213,_xlfn.MAXIFS($F$14:$F$1213,$A$14:$A$1213,$H205))&gt;1,"No",IF(NOT(ISNUMBER($AN205)),"—",IF((2*(1-NORMSDIST(ABS($AN205))))&lt;0.05,"Yes","No")))))</f>
        <v/>
      </c>
      <c r="N205" s="21">
        <f>IF($H205="","",IF(NOT(ISNUMBER($AN205)),"—",IF((2*(1-NORMSDIST(ABS($AN205))))&lt;0.001,"&lt;0.001",TEXT((2*(1-NORMSDIST(ABS($AN205)))),"0.000"))))</f>
        <v/>
      </c>
      <c r="P205" s="26" t="n"/>
      <c r="Q205" s="26" t="n"/>
      <c r="R205" s="26" t="n"/>
      <c r="S205" s="26" t="n"/>
      <c r="T205" s="26" t="n"/>
      <c r="V205" s="27">
        <f>IF(ISNUMBER($C205),COUNTIFS($A$14:$A$1213,$A205,$C$14:$C$1213,"&gt;"&amp;$C205)+(COUNTIFS($A$14:$A$1213,$A205,$C$14:$C$1213,"="&amp;$C205)+1)/2,"")</f>
        <v/>
      </c>
      <c r="W205" s="27">
        <f>IF(ISNUMBER($F205),COUNTIFS($A$14:$A$1213,$A205,$F$14:$F$1213,"&gt;"&amp;$F205)+(COUNTIFS($A$14:$A$1213,$A205,$F$14:$F$1213,"="&amp;$F205)+1)/2,"")</f>
        <v/>
      </c>
      <c r="X205" s="27">
        <f>IF(OR(NOT(ISNUMBER($V205)),$AO205=1),"",$V205-(COUNTIFS($A$14:$A$1213,$A205,$C$14:$C$1213,"&gt;=0")+1)/2)</f>
        <v/>
      </c>
      <c r="Y205" s="27">
        <f>IF(OR(NOT(ISNUMBER($W205)),$AO205=1),"",$W205-(COUNTIFS($A$14:$A$1213,$A205,$F$14:$F$1213,"&gt;=0")+1)/2)</f>
        <v/>
      </c>
      <c r="Z205" s="27">
        <f>IF(ISNUMBER($V205),$A205&amp;"|"&amp;$V205,"")</f>
        <v/>
      </c>
      <c r="AA205" s="27">
        <f>IF(ISNUMBER($W205),$A205&amp;"|"&amp;$W205,"")</f>
        <v/>
      </c>
      <c r="AB205" s="27">
        <f>IF(ISNUMBER($F205),$A205&amp;"|"&amp;$F205,"")</f>
        <v/>
      </c>
      <c r="AC205" s="27">
        <f>IF(ISNUMBER($P205),COUNTIFS($A$14:$A$1213,$A205,$P$14:$P$1213,"&gt;"&amp;$P205)+(COUNTIFS($A$14:$A$1213,$A205,$P$14:$P$1213,"="&amp;$P205)+1)/2,"")</f>
        <v/>
      </c>
      <c r="AD205" s="27">
        <f>IF(ISNUMBER($Q205),COUNTIFS($A$14:$A$1213,$A205,$Q$14:$Q$1213,"&gt;"&amp;$Q205)+(COUNTIFS($A$14:$A$1213,$A205,$Q$14:$Q$1213,"="&amp;$Q205)+1)/2,"")</f>
        <v/>
      </c>
      <c r="AE205" s="27">
        <f>IF(ISNUMBER($R205),COUNTIFS($A$14:$A$1213,$A205,$R$14:$R$1213,"&gt;"&amp;$R205)+(COUNTIFS($A$14:$A$1213,$A205,$R$14:$R$1213,"="&amp;$R205)+1)/2,"")</f>
        <v/>
      </c>
      <c r="AF205" s="27">
        <f>IF(ISNUMBER($S205),COUNTIFS($A$14:$A$1213,$A205,$S$14:$S$1213,"&gt;"&amp;$S205)+(COUNTIFS($A$14:$A$1213,$A205,$S$14:$S$1213,"="&amp;$S205)+1)/2,"")</f>
        <v/>
      </c>
      <c r="AG205" s="27">
        <f>IF(ISNUMBER($T205),COUNTIFS($A$14:$A$1213,$A205,$T$14:$T$1213,"&gt;"&amp;$T205)+(COUNTIFS($A$14:$A$1213,$A205,$T$14:$T$1213,"="&amp;$T205)+1)/2,"")</f>
        <v/>
      </c>
      <c r="AH205" s="27">
        <f>IF(COUNT($AC205:$AG205)&lt;2,"",IF(MAX($AC205:$AG205)=MIN($AC205:$AG205),0,1))</f>
        <v/>
      </c>
      <c r="AI205" s="27">
        <f>IF($A205="","",IF(COUNTIF($A$14:$A205,$A205)=1,COUNTIF($AI$13:AI204,"&gt;0")+1,""))</f>
        <v/>
      </c>
      <c r="AJ205" s="27">
        <f>IF(OR($H205="",COUNTIFS($A$14:$A$1213,$H205,$F$14:$F$1213,"&gt;=0")&lt;2,COUNTIFS($A$14:$A$1213,$H205,$F$14:$F$1213,_xlfn.MAXIFS($F$14:$F$1213,$A$14:$A$1213,$H205))&gt;1),"",IFERROR(INDEX($D$14:$D$1213,MATCH($H205&amp;"|"&amp;_xlfn.MAXIFS($F$14:$F$1213,$A$14:$A$1213,$H205),$AB$14:$AB$1213,0)),""))</f>
        <v/>
      </c>
      <c r="AK205" s="27">
        <f>IF(OR($H205="",COUNTIFS($A$14:$A$1213,$H205,$F$14:$F$1213,"&gt;=0")&lt;2,COUNTIFS($A$14:$A$1213,$H205,$F$14:$F$1213,_xlfn.MAXIFS($F$14:$F$1213,$A$14:$A$1213,$H205))&gt;1),"",IFERROR(INDEX($E$14:$E$1213,MATCH($H205&amp;"|"&amp;_xlfn.MAXIFS($F$14:$F$1213,$A$14:$A$1213,$H205),$AB$14:$AB$1213,0)),""))</f>
        <v/>
      </c>
      <c r="AL205" s="27">
        <f>IF(OR($H205="",COUNTIFS($A$14:$A$1213,$H205,$F$14:$F$1213,"&gt;=0")&lt;2,COUNTIFS($A$14:$A$1213,$H205,$F$14:$F$1213,_xlfn.MAXIFS($F$14:$F$1213,$A$14:$A$1213,$H205))&gt;1),"",IFERROR(INDEX($D$14:$D$1213,MATCH($H205&amp;"|"&amp;_xlfn.MAXIFS($F$14:$F$1213,$A$14:$A$1213,$H205,$F$14:$F$1213,"&lt;"&amp;_xlfn.MAXIFS($F$14:$F$1213,$A$14:$A$1213,$H205)),$AB$14:$AB$1213,0)),""))</f>
        <v/>
      </c>
      <c r="AM205" s="27">
        <f>IF(OR($H205="",COUNTIFS($A$14:$A$1213,$H205,$F$14:$F$1213,"&gt;=0")&lt;2,COUNTIFS($A$14:$A$1213,$H205,$F$14:$F$1213,_xlfn.MAXIFS($F$14:$F$1213,$A$14:$A$1213,$H205))&gt;1),"",IFERROR(INDEX($E$14:$E$1213,MATCH($H205&amp;"|"&amp;_xlfn.MAXIFS($F$14:$F$1213,$A$14:$A$1213,$H205,$F$14:$F$1213,"&lt;"&amp;_xlfn.MAXIFS($F$14:$F$1213,$A$14:$A$1213,$H205)),$AB$14:$AB$1213,0)),""))</f>
        <v/>
      </c>
      <c r="AN205" s="27">
        <f>IF(OR(NOT(ISNUMBER($AJ205)),NOT(ISNUMBER($AL205)),$AK205=0,$AM205=0),"",IF(OR((($AJ205+$AL205)/($AK205+$AM205))&lt;=0,(($AJ205+$AL205)/($AK205+$AM205))&gt;=1),"",($AJ205/$AK205-$AL205/$AM205)/SQRT((($AJ205+$AL205)/($AK205+$AM205))*(1-(($AJ205+$AL205)/($AK205+$AM205)))*(1/$AK205+1/$AM205))))</f>
        <v/>
      </c>
      <c r="AO205" s="27">
        <f>IF($A205="","",IF(AND(COUNTIFS($A$14:$A$1213,$A205,$F$14:$F$1213,"&gt;=0")=2,IFERROR(INDEX($M$14:$M$313,MATCH($A205,$H$14:$H$313,0)),"Yes")&lt;&gt;"Yes"),1,0))</f>
        <v/>
      </c>
    </row>
    <row r="206" ht="24" customHeight="1">
      <c r="A206" s="19">
        <f>IF('Enter messages'!A206="","",'Enter messages'!A206)</f>
        <v/>
      </c>
      <c r="B206" s="20">
        <f>IF('Enter messages'!B206="","",'Enter messages'!B206)</f>
        <v/>
      </c>
      <c r="C206" s="21">
        <f>IFERROR(AVERAGE(P206:T206),"")</f>
        <v/>
      </c>
      <c r="D206" s="29" t="n"/>
      <c r="E206" s="29" t="n"/>
      <c r="F206" s="30">
        <f>IF(AND(ISNUMBER($D206),ISNUMBER($E206),$E206&gt;0,$D206&lt;=$E206),$D206/$E206,"")</f>
        <v/>
      </c>
      <c r="H206" s="19">
        <f>IFERROR(INDEX($A$14:$A$1213,MATCH(193,$AI$14:$AI$1213,0)),"")</f>
        <v/>
      </c>
      <c r="I206" s="24">
        <f>IF($H206="","",IF(COUNTIFS($A$14:$A$1213,$H206,$C$14:$C$1213,"&gt;=0")=0,"—",IFERROR(INDEX($B$14:$B$1213,MATCH($H206&amp;"|1",$Z$14:$Z$1213,0)),"(tied)")))</f>
        <v/>
      </c>
      <c r="J206" s="25">
        <f>IF($H206="","",IF(OR(COUNTIFS($A$14:$A$1213,$H206,$C$14:$C$1213,"&gt;=0")=0,COUNTIFS($A$14:$A$1213,$H206,$F$14:$F$1213,"&gt;=0")=0),"—",IF(OR(ISERROR(MATCH($H206&amp;"|1",$Z$14:$Z$1213,0)),ISERROR(MATCH($H206&amp;"|1",$AA$14:$AA$1213,0))),"Tie",IF(MATCH($H206&amp;"|1",$Z$14:$Z$1213,0)=MATCH($H206&amp;"|1",$AA$14:$AA$1213,0),"Hit","Miss"))))</f>
        <v/>
      </c>
      <c r="K206" s="24">
        <f>IF($H206="","",IF(COUNTIFS($A$14:$A$1213,$H206,$F$14:$F$1213,"&gt;=0")=0,"—",IFERROR(INDEX($B$14:$B$1213,MATCH($H206&amp;"|1",$AA$14:$AA$1213,0)),"(tied)")))</f>
        <v/>
      </c>
      <c r="L206" s="25">
        <f>IF($H206="","",IF((--(COUNTIFS($A$14:$A$1213,$H206,$P$14:$P$1213,"&gt;=0")&gt;0)+--(COUNTIFS($A$14:$A$1213,$H206,$Q$14:$Q$1213,"&gt;=0")&gt;0)+--(COUNTIFS($A$14:$A$1213,$H206,$R$14:$R$1213,"&gt;=0")&gt;0)+--(COUNTIFS($A$14:$A$1213,$H206,$S$14:$S$1213,"&gt;=0")&gt;0)+--(COUNTIFS($A$14:$A$1213,$H206,$T$14:$T$1213,"&gt;=0")&gt;0))&lt;2,"—",IF(SUMIFS($AH$14:$AH$1213,$A$14:$A$1213,$H206)=0,"Yes","No")))</f>
        <v/>
      </c>
      <c r="M206" s="25">
        <f>IF($H206="","",IF(COUNTIFS($A$14:$A$1213,$H206,$F$14:$F$1213,"&gt;=0")&lt;2,"—",IF(COUNTIFS($A$14:$A$1213,$H206,$F$14:$F$1213,_xlfn.MAXIFS($F$14:$F$1213,$A$14:$A$1213,$H206))&gt;1,"No",IF(NOT(ISNUMBER($AN206)),"—",IF((2*(1-NORMSDIST(ABS($AN206))))&lt;0.05,"Yes","No")))))</f>
        <v/>
      </c>
      <c r="N206" s="21">
        <f>IF($H206="","",IF(NOT(ISNUMBER($AN206)),"—",IF((2*(1-NORMSDIST(ABS($AN206))))&lt;0.001,"&lt;0.001",TEXT((2*(1-NORMSDIST(ABS($AN206)))),"0.000"))))</f>
        <v/>
      </c>
      <c r="P206" s="26" t="n"/>
      <c r="Q206" s="26" t="n"/>
      <c r="R206" s="26" t="n"/>
      <c r="S206" s="26" t="n"/>
      <c r="T206" s="26" t="n"/>
      <c r="V206" s="27">
        <f>IF(ISNUMBER($C206),COUNTIFS($A$14:$A$1213,$A206,$C$14:$C$1213,"&gt;"&amp;$C206)+(COUNTIFS($A$14:$A$1213,$A206,$C$14:$C$1213,"="&amp;$C206)+1)/2,"")</f>
        <v/>
      </c>
      <c r="W206" s="27">
        <f>IF(ISNUMBER($F206),COUNTIFS($A$14:$A$1213,$A206,$F$14:$F$1213,"&gt;"&amp;$F206)+(COUNTIFS($A$14:$A$1213,$A206,$F$14:$F$1213,"="&amp;$F206)+1)/2,"")</f>
        <v/>
      </c>
      <c r="X206" s="27">
        <f>IF(OR(NOT(ISNUMBER($V206)),$AO206=1),"",$V206-(COUNTIFS($A$14:$A$1213,$A206,$C$14:$C$1213,"&gt;=0")+1)/2)</f>
        <v/>
      </c>
      <c r="Y206" s="27">
        <f>IF(OR(NOT(ISNUMBER($W206)),$AO206=1),"",$W206-(COUNTIFS($A$14:$A$1213,$A206,$F$14:$F$1213,"&gt;=0")+1)/2)</f>
        <v/>
      </c>
      <c r="Z206" s="27">
        <f>IF(ISNUMBER($V206),$A206&amp;"|"&amp;$V206,"")</f>
        <v/>
      </c>
      <c r="AA206" s="27">
        <f>IF(ISNUMBER($W206),$A206&amp;"|"&amp;$W206,"")</f>
        <v/>
      </c>
      <c r="AB206" s="27">
        <f>IF(ISNUMBER($F206),$A206&amp;"|"&amp;$F206,"")</f>
        <v/>
      </c>
      <c r="AC206" s="27">
        <f>IF(ISNUMBER($P206),COUNTIFS($A$14:$A$1213,$A206,$P$14:$P$1213,"&gt;"&amp;$P206)+(COUNTIFS($A$14:$A$1213,$A206,$P$14:$P$1213,"="&amp;$P206)+1)/2,"")</f>
        <v/>
      </c>
      <c r="AD206" s="27">
        <f>IF(ISNUMBER($Q206),COUNTIFS($A$14:$A$1213,$A206,$Q$14:$Q$1213,"&gt;"&amp;$Q206)+(COUNTIFS($A$14:$A$1213,$A206,$Q$14:$Q$1213,"="&amp;$Q206)+1)/2,"")</f>
        <v/>
      </c>
      <c r="AE206" s="27">
        <f>IF(ISNUMBER($R206),COUNTIFS($A$14:$A$1213,$A206,$R$14:$R$1213,"&gt;"&amp;$R206)+(COUNTIFS($A$14:$A$1213,$A206,$R$14:$R$1213,"="&amp;$R206)+1)/2,"")</f>
        <v/>
      </c>
      <c r="AF206" s="27">
        <f>IF(ISNUMBER($S206),COUNTIFS($A$14:$A$1213,$A206,$S$14:$S$1213,"&gt;"&amp;$S206)+(COUNTIFS($A$14:$A$1213,$A206,$S$14:$S$1213,"="&amp;$S206)+1)/2,"")</f>
        <v/>
      </c>
      <c r="AG206" s="27">
        <f>IF(ISNUMBER($T206),COUNTIFS($A$14:$A$1213,$A206,$T$14:$T$1213,"&gt;"&amp;$T206)+(COUNTIFS($A$14:$A$1213,$A206,$T$14:$T$1213,"="&amp;$T206)+1)/2,"")</f>
        <v/>
      </c>
      <c r="AH206" s="27">
        <f>IF(COUNT($AC206:$AG206)&lt;2,"",IF(MAX($AC206:$AG206)=MIN($AC206:$AG206),0,1))</f>
        <v/>
      </c>
      <c r="AI206" s="27">
        <f>IF($A206="","",IF(COUNTIF($A$14:$A206,$A206)=1,COUNTIF($AI$13:AI205,"&gt;0")+1,""))</f>
        <v/>
      </c>
      <c r="AJ206" s="27">
        <f>IF(OR($H206="",COUNTIFS($A$14:$A$1213,$H206,$F$14:$F$1213,"&gt;=0")&lt;2,COUNTIFS($A$14:$A$1213,$H206,$F$14:$F$1213,_xlfn.MAXIFS($F$14:$F$1213,$A$14:$A$1213,$H206))&gt;1),"",IFERROR(INDEX($D$14:$D$1213,MATCH($H206&amp;"|"&amp;_xlfn.MAXIFS($F$14:$F$1213,$A$14:$A$1213,$H206),$AB$14:$AB$1213,0)),""))</f>
        <v/>
      </c>
      <c r="AK206" s="27">
        <f>IF(OR($H206="",COUNTIFS($A$14:$A$1213,$H206,$F$14:$F$1213,"&gt;=0")&lt;2,COUNTIFS($A$14:$A$1213,$H206,$F$14:$F$1213,_xlfn.MAXIFS($F$14:$F$1213,$A$14:$A$1213,$H206))&gt;1),"",IFERROR(INDEX($E$14:$E$1213,MATCH($H206&amp;"|"&amp;_xlfn.MAXIFS($F$14:$F$1213,$A$14:$A$1213,$H206),$AB$14:$AB$1213,0)),""))</f>
        <v/>
      </c>
      <c r="AL206" s="27">
        <f>IF(OR($H206="",COUNTIFS($A$14:$A$1213,$H206,$F$14:$F$1213,"&gt;=0")&lt;2,COUNTIFS($A$14:$A$1213,$H206,$F$14:$F$1213,_xlfn.MAXIFS($F$14:$F$1213,$A$14:$A$1213,$H206))&gt;1),"",IFERROR(INDEX($D$14:$D$1213,MATCH($H206&amp;"|"&amp;_xlfn.MAXIFS($F$14:$F$1213,$A$14:$A$1213,$H206,$F$14:$F$1213,"&lt;"&amp;_xlfn.MAXIFS($F$14:$F$1213,$A$14:$A$1213,$H206)),$AB$14:$AB$1213,0)),""))</f>
        <v/>
      </c>
      <c r="AM206" s="27">
        <f>IF(OR($H206="",COUNTIFS($A$14:$A$1213,$H206,$F$14:$F$1213,"&gt;=0")&lt;2,COUNTIFS($A$14:$A$1213,$H206,$F$14:$F$1213,_xlfn.MAXIFS($F$14:$F$1213,$A$14:$A$1213,$H206))&gt;1),"",IFERROR(INDEX($E$14:$E$1213,MATCH($H206&amp;"|"&amp;_xlfn.MAXIFS($F$14:$F$1213,$A$14:$A$1213,$H206,$F$14:$F$1213,"&lt;"&amp;_xlfn.MAXIFS($F$14:$F$1213,$A$14:$A$1213,$H206)),$AB$14:$AB$1213,0)),""))</f>
        <v/>
      </c>
      <c r="AN206" s="27">
        <f>IF(OR(NOT(ISNUMBER($AJ206)),NOT(ISNUMBER($AL206)),$AK206=0,$AM206=0),"",IF(OR((($AJ206+$AL206)/($AK206+$AM206))&lt;=0,(($AJ206+$AL206)/($AK206+$AM206))&gt;=1),"",($AJ206/$AK206-$AL206/$AM206)/SQRT((($AJ206+$AL206)/($AK206+$AM206))*(1-(($AJ206+$AL206)/($AK206+$AM206)))*(1/$AK206+1/$AM206))))</f>
        <v/>
      </c>
      <c r="AO206" s="27">
        <f>IF($A206="","",IF(AND(COUNTIFS($A$14:$A$1213,$A206,$F$14:$F$1213,"&gt;=0")=2,IFERROR(INDEX($M$14:$M$313,MATCH($A206,$H$14:$H$313,0)),"Yes")&lt;&gt;"Yes"),1,0))</f>
        <v/>
      </c>
    </row>
    <row r="207" ht="24" customHeight="1">
      <c r="A207" s="19">
        <f>IF('Enter messages'!A207="","",'Enter messages'!A207)</f>
        <v/>
      </c>
      <c r="B207" s="20">
        <f>IF('Enter messages'!B207="","",'Enter messages'!B207)</f>
        <v/>
      </c>
      <c r="C207" s="21">
        <f>IFERROR(AVERAGE(P207:T207),"")</f>
        <v/>
      </c>
      <c r="D207" s="29" t="n"/>
      <c r="E207" s="29" t="n"/>
      <c r="F207" s="30">
        <f>IF(AND(ISNUMBER($D207),ISNUMBER($E207),$E207&gt;0,$D207&lt;=$E207),$D207/$E207,"")</f>
        <v/>
      </c>
      <c r="H207" s="19">
        <f>IFERROR(INDEX($A$14:$A$1213,MATCH(194,$AI$14:$AI$1213,0)),"")</f>
        <v/>
      </c>
      <c r="I207" s="24">
        <f>IF($H207="","",IF(COUNTIFS($A$14:$A$1213,$H207,$C$14:$C$1213,"&gt;=0")=0,"—",IFERROR(INDEX($B$14:$B$1213,MATCH($H207&amp;"|1",$Z$14:$Z$1213,0)),"(tied)")))</f>
        <v/>
      </c>
      <c r="J207" s="25">
        <f>IF($H207="","",IF(OR(COUNTIFS($A$14:$A$1213,$H207,$C$14:$C$1213,"&gt;=0")=0,COUNTIFS($A$14:$A$1213,$H207,$F$14:$F$1213,"&gt;=0")=0),"—",IF(OR(ISERROR(MATCH($H207&amp;"|1",$Z$14:$Z$1213,0)),ISERROR(MATCH($H207&amp;"|1",$AA$14:$AA$1213,0))),"Tie",IF(MATCH($H207&amp;"|1",$Z$14:$Z$1213,0)=MATCH($H207&amp;"|1",$AA$14:$AA$1213,0),"Hit","Miss"))))</f>
        <v/>
      </c>
      <c r="K207" s="24">
        <f>IF($H207="","",IF(COUNTIFS($A$14:$A$1213,$H207,$F$14:$F$1213,"&gt;=0")=0,"—",IFERROR(INDEX($B$14:$B$1213,MATCH($H207&amp;"|1",$AA$14:$AA$1213,0)),"(tied)")))</f>
        <v/>
      </c>
      <c r="L207" s="25">
        <f>IF($H207="","",IF((--(COUNTIFS($A$14:$A$1213,$H207,$P$14:$P$1213,"&gt;=0")&gt;0)+--(COUNTIFS($A$14:$A$1213,$H207,$Q$14:$Q$1213,"&gt;=0")&gt;0)+--(COUNTIFS($A$14:$A$1213,$H207,$R$14:$R$1213,"&gt;=0")&gt;0)+--(COUNTIFS($A$14:$A$1213,$H207,$S$14:$S$1213,"&gt;=0")&gt;0)+--(COUNTIFS($A$14:$A$1213,$H207,$T$14:$T$1213,"&gt;=0")&gt;0))&lt;2,"—",IF(SUMIFS($AH$14:$AH$1213,$A$14:$A$1213,$H207)=0,"Yes","No")))</f>
        <v/>
      </c>
      <c r="M207" s="25">
        <f>IF($H207="","",IF(COUNTIFS($A$14:$A$1213,$H207,$F$14:$F$1213,"&gt;=0")&lt;2,"—",IF(COUNTIFS($A$14:$A$1213,$H207,$F$14:$F$1213,_xlfn.MAXIFS($F$14:$F$1213,$A$14:$A$1213,$H207))&gt;1,"No",IF(NOT(ISNUMBER($AN207)),"—",IF((2*(1-NORMSDIST(ABS($AN207))))&lt;0.05,"Yes","No")))))</f>
        <v/>
      </c>
      <c r="N207" s="21">
        <f>IF($H207="","",IF(NOT(ISNUMBER($AN207)),"—",IF((2*(1-NORMSDIST(ABS($AN207))))&lt;0.001,"&lt;0.001",TEXT((2*(1-NORMSDIST(ABS($AN207)))),"0.000"))))</f>
        <v/>
      </c>
      <c r="P207" s="26" t="n"/>
      <c r="Q207" s="26" t="n"/>
      <c r="R207" s="26" t="n"/>
      <c r="S207" s="26" t="n"/>
      <c r="T207" s="26" t="n"/>
      <c r="V207" s="27">
        <f>IF(ISNUMBER($C207),COUNTIFS($A$14:$A$1213,$A207,$C$14:$C$1213,"&gt;"&amp;$C207)+(COUNTIFS($A$14:$A$1213,$A207,$C$14:$C$1213,"="&amp;$C207)+1)/2,"")</f>
        <v/>
      </c>
      <c r="W207" s="27">
        <f>IF(ISNUMBER($F207),COUNTIFS($A$14:$A$1213,$A207,$F$14:$F$1213,"&gt;"&amp;$F207)+(COUNTIFS($A$14:$A$1213,$A207,$F$14:$F$1213,"="&amp;$F207)+1)/2,"")</f>
        <v/>
      </c>
      <c r="X207" s="27">
        <f>IF(OR(NOT(ISNUMBER($V207)),$AO207=1),"",$V207-(COUNTIFS($A$14:$A$1213,$A207,$C$14:$C$1213,"&gt;=0")+1)/2)</f>
        <v/>
      </c>
      <c r="Y207" s="27">
        <f>IF(OR(NOT(ISNUMBER($W207)),$AO207=1),"",$W207-(COUNTIFS($A$14:$A$1213,$A207,$F$14:$F$1213,"&gt;=0")+1)/2)</f>
        <v/>
      </c>
      <c r="Z207" s="27">
        <f>IF(ISNUMBER($V207),$A207&amp;"|"&amp;$V207,"")</f>
        <v/>
      </c>
      <c r="AA207" s="27">
        <f>IF(ISNUMBER($W207),$A207&amp;"|"&amp;$W207,"")</f>
        <v/>
      </c>
      <c r="AB207" s="27">
        <f>IF(ISNUMBER($F207),$A207&amp;"|"&amp;$F207,"")</f>
        <v/>
      </c>
      <c r="AC207" s="27">
        <f>IF(ISNUMBER($P207),COUNTIFS($A$14:$A$1213,$A207,$P$14:$P$1213,"&gt;"&amp;$P207)+(COUNTIFS($A$14:$A$1213,$A207,$P$14:$P$1213,"="&amp;$P207)+1)/2,"")</f>
        <v/>
      </c>
      <c r="AD207" s="27">
        <f>IF(ISNUMBER($Q207),COUNTIFS($A$14:$A$1213,$A207,$Q$14:$Q$1213,"&gt;"&amp;$Q207)+(COUNTIFS($A$14:$A$1213,$A207,$Q$14:$Q$1213,"="&amp;$Q207)+1)/2,"")</f>
        <v/>
      </c>
      <c r="AE207" s="27">
        <f>IF(ISNUMBER($R207),COUNTIFS($A$14:$A$1213,$A207,$R$14:$R$1213,"&gt;"&amp;$R207)+(COUNTIFS($A$14:$A$1213,$A207,$R$14:$R$1213,"="&amp;$R207)+1)/2,"")</f>
        <v/>
      </c>
      <c r="AF207" s="27">
        <f>IF(ISNUMBER($S207),COUNTIFS($A$14:$A$1213,$A207,$S$14:$S$1213,"&gt;"&amp;$S207)+(COUNTIFS($A$14:$A$1213,$A207,$S$14:$S$1213,"="&amp;$S207)+1)/2,"")</f>
        <v/>
      </c>
      <c r="AG207" s="27">
        <f>IF(ISNUMBER($T207),COUNTIFS($A$14:$A$1213,$A207,$T$14:$T$1213,"&gt;"&amp;$T207)+(COUNTIFS($A$14:$A$1213,$A207,$T$14:$T$1213,"="&amp;$T207)+1)/2,"")</f>
        <v/>
      </c>
      <c r="AH207" s="27">
        <f>IF(COUNT($AC207:$AG207)&lt;2,"",IF(MAX($AC207:$AG207)=MIN($AC207:$AG207),0,1))</f>
        <v/>
      </c>
      <c r="AI207" s="27">
        <f>IF($A207="","",IF(COUNTIF($A$14:$A207,$A207)=1,COUNTIF($AI$13:AI206,"&gt;0")+1,""))</f>
        <v/>
      </c>
      <c r="AJ207" s="27">
        <f>IF(OR($H207="",COUNTIFS($A$14:$A$1213,$H207,$F$14:$F$1213,"&gt;=0")&lt;2,COUNTIFS($A$14:$A$1213,$H207,$F$14:$F$1213,_xlfn.MAXIFS($F$14:$F$1213,$A$14:$A$1213,$H207))&gt;1),"",IFERROR(INDEX($D$14:$D$1213,MATCH($H207&amp;"|"&amp;_xlfn.MAXIFS($F$14:$F$1213,$A$14:$A$1213,$H207),$AB$14:$AB$1213,0)),""))</f>
        <v/>
      </c>
      <c r="AK207" s="27">
        <f>IF(OR($H207="",COUNTIFS($A$14:$A$1213,$H207,$F$14:$F$1213,"&gt;=0")&lt;2,COUNTIFS($A$14:$A$1213,$H207,$F$14:$F$1213,_xlfn.MAXIFS($F$14:$F$1213,$A$14:$A$1213,$H207))&gt;1),"",IFERROR(INDEX($E$14:$E$1213,MATCH($H207&amp;"|"&amp;_xlfn.MAXIFS($F$14:$F$1213,$A$14:$A$1213,$H207),$AB$14:$AB$1213,0)),""))</f>
        <v/>
      </c>
      <c r="AL207" s="27">
        <f>IF(OR($H207="",COUNTIFS($A$14:$A$1213,$H207,$F$14:$F$1213,"&gt;=0")&lt;2,COUNTIFS($A$14:$A$1213,$H207,$F$14:$F$1213,_xlfn.MAXIFS($F$14:$F$1213,$A$14:$A$1213,$H207))&gt;1),"",IFERROR(INDEX($D$14:$D$1213,MATCH($H207&amp;"|"&amp;_xlfn.MAXIFS($F$14:$F$1213,$A$14:$A$1213,$H207,$F$14:$F$1213,"&lt;"&amp;_xlfn.MAXIFS($F$14:$F$1213,$A$14:$A$1213,$H207)),$AB$14:$AB$1213,0)),""))</f>
        <v/>
      </c>
      <c r="AM207" s="27">
        <f>IF(OR($H207="",COUNTIFS($A$14:$A$1213,$H207,$F$14:$F$1213,"&gt;=0")&lt;2,COUNTIFS($A$14:$A$1213,$H207,$F$14:$F$1213,_xlfn.MAXIFS($F$14:$F$1213,$A$14:$A$1213,$H207))&gt;1),"",IFERROR(INDEX($E$14:$E$1213,MATCH($H207&amp;"|"&amp;_xlfn.MAXIFS($F$14:$F$1213,$A$14:$A$1213,$H207,$F$14:$F$1213,"&lt;"&amp;_xlfn.MAXIFS($F$14:$F$1213,$A$14:$A$1213,$H207)),$AB$14:$AB$1213,0)),""))</f>
        <v/>
      </c>
      <c r="AN207" s="27">
        <f>IF(OR(NOT(ISNUMBER($AJ207)),NOT(ISNUMBER($AL207)),$AK207=0,$AM207=0),"",IF(OR((($AJ207+$AL207)/($AK207+$AM207))&lt;=0,(($AJ207+$AL207)/($AK207+$AM207))&gt;=1),"",($AJ207/$AK207-$AL207/$AM207)/SQRT((($AJ207+$AL207)/($AK207+$AM207))*(1-(($AJ207+$AL207)/($AK207+$AM207)))*(1/$AK207+1/$AM207))))</f>
        <v/>
      </c>
      <c r="AO207" s="27">
        <f>IF($A207="","",IF(AND(COUNTIFS($A$14:$A$1213,$A207,$F$14:$F$1213,"&gt;=0")=2,IFERROR(INDEX($M$14:$M$313,MATCH($A207,$H$14:$H$313,0)),"Yes")&lt;&gt;"Yes"),1,0))</f>
        <v/>
      </c>
    </row>
    <row r="208" ht="24" customHeight="1">
      <c r="A208" s="19">
        <f>IF('Enter messages'!A208="","",'Enter messages'!A208)</f>
        <v/>
      </c>
      <c r="B208" s="20">
        <f>IF('Enter messages'!B208="","",'Enter messages'!B208)</f>
        <v/>
      </c>
      <c r="C208" s="21">
        <f>IFERROR(AVERAGE(P208:T208),"")</f>
        <v/>
      </c>
      <c r="D208" s="29" t="n"/>
      <c r="E208" s="29" t="n"/>
      <c r="F208" s="30">
        <f>IF(AND(ISNUMBER($D208),ISNUMBER($E208),$E208&gt;0,$D208&lt;=$E208),$D208/$E208,"")</f>
        <v/>
      </c>
      <c r="H208" s="19">
        <f>IFERROR(INDEX($A$14:$A$1213,MATCH(195,$AI$14:$AI$1213,0)),"")</f>
        <v/>
      </c>
      <c r="I208" s="24">
        <f>IF($H208="","",IF(COUNTIFS($A$14:$A$1213,$H208,$C$14:$C$1213,"&gt;=0")=0,"—",IFERROR(INDEX($B$14:$B$1213,MATCH($H208&amp;"|1",$Z$14:$Z$1213,0)),"(tied)")))</f>
        <v/>
      </c>
      <c r="J208" s="25">
        <f>IF($H208="","",IF(OR(COUNTIFS($A$14:$A$1213,$H208,$C$14:$C$1213,"&gt;=0")=0,COUNTIFS($A$14:$A$1213,$H208,$F$14:$F$1213,"&gt;=0")=0),"—",IF(OR(ISERROR(MATCH($H208&amp;"|1",$Z$14:$Z$1213,0)),ISERROR(MATCH($H208&amp;"|1",$AA$14:$AA$1213,0))),"Tie",IF(MATCH($H208&amp;"|1",$Z$14:$Z$1213,0)=MATCH($H208&amp;"|1",$AA$14:$AA$1213,0),"Hit","Miss"))))</f>
        <v/>
      </c>
      <c r="K208" s="24">
        <f>IF($H208="","",IF(COUNTIFS($A$14:$A$1213,$H208,$F$14:$F$1213,"&gt;=0")=0,"—",IFERROR(INDEX($B$14:$B$1213,MATCH($H208&amp;"|1",$AA$14:$AA$1213,0)),"(tied)")))</f>
        <v/>
      </c>
      <c r="L208" s="25">
        <f>IF($H208="","",IF((--(COUNTIFS($A$14:$A$1213,$H208,$P$14:$P$1213,"&gt;=0")&gt;0)+--(COUNTIFS($A$14:$A$1213,$H208,$Q$14:$Q$1213,"&gt;=0")&gt;0)+--(COUNTIFS($A$14:$A$1213,$H208,$R$14:$R$1213,"&gt;=0")&gt;0)+--(COUNTIFS($A$14:$A$1213,$H208,$S$14:$S$1213,"&gt;=0")&gt;0)+--(COUNTIFS($A$14:$A$1213,$H208,$T$14:$T$1213,"&gt;=0")&gt;0))&lt;2,"—",IF(SUMIFS($AH$14:$AH$1213,$A$14:$A$1213,$H208)=0,"Yes","No")))</f>
        <v/>
      </c>
      <c r="M208" s="25">
        <f>IF($H208="","",IF(COUNTIFS($A$14:$A$1213,$H208,$F$14:$F$1213,"&gt;=0")&lt;2,"—",IF(COUNTIFS($A$14:$A$1213,$H208,$F$14:$F$1213,_xlfn.MAXIFS($F$14:$F$1213,$A$14:$A$1213,$H208))&gt;1,"No",IF(NOT(ISNUMBER($AN208)),"—",IF((2*(1-NORMSDIST(ABS($AN208))))&lt;0.05,"Yes","No")))))</f>
        <v/>
      </c>
      <c r="N208" s="21">
        <f>IF($H208="","",IF(NOT(ISNUMBER($AN208)),"—",IF((2*(1-NORMSDIST(ABS($AN208))))&lt;0.001,"&lt;0.001",TEXT((2*(1-NORMSDIST(ABS($AN208)))),"0.000"))))</f>
        <v/>
      </c>
      <c r="P208" s="26" t="n"/>
      <c r="Q208" s="26" t="n"/>
      <c r="R208" s="26" t="n"/>
      <c r="S208" s="26" t="n"/>
      <c r="T208" s="26" t="n"/>
      <c r="V208" s="27">
        <f>IF(ISNUMBER($C208),COUNTIFS($A$14:$A$1213,$A208,$C$14:$C$1213,"&gt;"&amp;$C208)+(COUNTIFS($A$14:$A$1213,$A208,$C$14:$C$1213,"="&amp;$C208)+1)/2,"")</f>
        <v/>
      </c>
      <c r="W208" s="27">
        <f>IF(ISNUMBER($F208),COUNTIFS($A$14:$A$1213,$A208,$F$14:$F$1213,"&gt;"&amp;$F208)+(COUNTIFS($A$14:$A$1213,$A208,$F$14:$F$1213,"="&amp;$F208)+1)/2,"")</f>
        <v/>
      </c>
      <c r="X208" s="27">
        <f>IF(OR(NOT(ISNUMBER($V208)),$AO208=1),"",$V208-(COUNTIFS($A$14:$A$1213,$A208,$C$14:$C$1213,"&gt;=0")+1)/2)</f>
        <v/>
      </c>
      <c r="Y208" s="27">
        <f>IF(OR(NOT(ISNUMBER($W208)),$AO208=1),"",$W208-(COUNTIFS($A$14:$A$1213,$A208,$F$14:$F$1213,"&gt;=0")+1)/2)</f>
        <v/>
      </c>
      <c r="Z208" s="27">
        <f>IF(ISNUMBER($V208),$A208&amp;"|"&amp;$V208,"")</f>
        <v/>
      </c>
      <c r="AA208" s="27">
        <f>IF(ISNUMBER($W208),$A208&amp;"|"&amp;$W208,"")</f>
        <v/>
      </c>
      <c r="AB208" s="27">
        <f>IF(ISNUMBER($F208),$A208&amp;"|"&amp;$F208,"")</f>
        <v/>
      </c>
      <c r="AC208" s="27">
        <f>IF(ISNUMBER($P208),COUNTIFS($A$14:$A$1213,$A208,$P$14:$P$1213,"&gt;"&amp;$P208)+(COUNTIFS($A$14:$A$1213,$A208,$P$14:$P$1213,"="&amp;$P208)+1)/2,"")</f>
        <v/>
      </c>
      <c r="AD208" s="27">
        <f>IF(ISNUMBER($Q208),COUNTIFS($A$14:$A$1213,$A208,$Q$14:$Q$1213,"&gt;"&amp;$Q208)+(COUNTIFS($A$14:$A$1213,$A208,$Q$14:$Q$1213,"="&amp;$Q208)+1)/2,"")</f>
        <v/>
      </c>
      <c r="AE208" s="27">
        <f>IF(ISNUMBER($R208),COUNTIFS($A$14:$A$1213,$A208,$R$14:$R$1213,"&gt;"&amp;$R208)+(COUNTIFS($A$14:$A$1213,$A208,$R$14:$R$1213,"="&amp;$R208)+1)/2,"")</f>
        <v/>
      </c>
      <c r="AF208" s="27">
        <f>IF(ISNUMBER($S208),COUNTIFS($A$14:$A$1213,$A208,$S$14:$S$1213,"&gt;"&amp;$S208)+(COUNTIFS($A$14:$A$1213,$A208,$S$14:$S$1213,"="&amp;$S208)+1)/2,"")</f>
        <v/>
      </c>
      <c r="AG208" s="27">
        <f>IF(ISNUMBER($T208),COUNTIFS($A$14:$A$1213,$A208,$T$14:$T$1213,"&gt;"&amp;$T208)+(COUNTIFS($A$14:$A$1213,$A208,$T$14:$T$1213,"="&amp;$T208)+1)/2,"")</f>
        <v/>
      </c>
      <c r="AH208" s="27">
        <f>IF(COUNT($AC208:$AG208)&lt;2,"",IF(MAX($AC208:$AG208)=MIN($AC208:$AG208),0,1))</f>
        <v/>
      </c>
      <c r="AI208" s="27">
        <f>IF($A208="","",IF(COUNTIF($A$14:$A208,$A208)=1,COUNTIF($AI$13:AI207,"&gt;0")+1,""))</f>
        <v/>
      </c>
      <c r="AJ208" s="27">
        <f>IF(OR($H208="",COUNTIFS($A$14:$A$1213,$H208,$F$14:$F$1213,"&gt;=0")&lt;2,COUNTIFS($A$14:$A$1213,$H208,$F$14:$F$1213,_xlfn.MAXIFS($F$14:$F$1213,$A$14:$A$1213,$H208))&gt;1),"",IFERROR(INDEX($D$14:$D$1213,MATCH($H208&amp;"|"&amp;_xlfn.MAXIFS($F$14:$F$1213,$A$14:$A$1213,$H208),$AB$14:$AB$1213,0)),""))</f>
        <v/>
      </c>
      <c r="AK208" s="27">
        <f>IF(OR($H208="",COUNTIFS($A$14:$A$1213,$H208,$F$14:$F$1213,"&gt;=0")&lt;2,COUNTIFS($A$14:$A$1213,$H208,$F$14:$F$1213,_xlfn.MAXIFS($F$14:$F$1213,$A$14:$A$1213,$H208))&gt;1),"",IFERROR(INDEX($E$14:$E$1213,MATCH($H208&amp;"|"&amp;_xlfn.MAXIFS($F$14:$F$1213,$A$14:$A$1213,$H208),$AB$14:$AB$1213,0)),""))</f>
        <v/>
      </c>
      <c r="AL208" s="27">
        <f>IF(OR($H208="",COUNTIFS($A$14:$A$1213,$H208,$F$14:$F$1213,"&gt;=0")&lt;2,COUNTIFS($A$14:$A$1213,$H208,$F$14:$F$1213,_xlfn.MAXIFS($F$14:$F$1213,$A$14:$A$1213,$H208))&gt;1),"",IFERROR(INDEX($D$14:$D$1213,MATCH($H208&amp;"|"&amp;_xlfn.MAXIFS($F$14:$F$1213,$A$14:$A$1213,$H208,$F$14:$F$1213,"&lt;"&amp;_xlfn.MAXIFS($F$14:$F$1213,$A$14:$A$1213,$H208)),$AB$14:$AB$1213,0)),""))</f>
        <v/>
      </c>
      <c r="AM208" s="27">
        <f>IF(OR($H208="",COUNTIFS($A$14:$A$1213,$H208,$F$14:$F$1213,"&gt;=0")&lt;2,COUNTIFS($A$14:$A$1213,$H208,$F$14:$F$1213,_xlfn.MAXIFS($F$14:$F$1213,$A$14:$A$1213,$H208))&gt;1),"",IFERROR(INDEX($E$14:$E$1213,MATCH($H208&amp;"|"&amp;_xlfn.MAXIFS($F$14:$F$1213,$A$14:$A$1213,$H208,$F$14:$F$1213,"&lt;"&amp;_xlfn.MAXIFS($F$14:$F$1213,$A$14:$A$1213,$H208)),$AB$14:$AB$1213,0)),""))</f>
        <v/>
      </c>
      <c r="AN208" s="27">
        <f>IF(OR(NOT(ISNUMBER($AJ208)),NOT(ISNUMBER($AL208)),$AK208=0,$AM208=0),"",IF(OR((($AJ208+$AL208)/($AK208+$AM208))&lt;=0,(($AJ208+$AL208)/($AK208+$AM208))&gt;=1),"",($AJ208/$AK208-$AL208/$AM208)/SQRT((($AJ208+$AL208)/($AK208+$AM208))*(1-(($AJ208+$AL208)/($AK208+$AM208)))*(1/$AK208+1/$AM208))))</f>
        <v/>
      </c>
      <c r="AO208" s="27">
        <f>IF($A208="","",IF(AND(COUNTIFS($A$14:$A$1213,$A208,$F$14:$F$1213,"&gt;=0")=2,IFERROR(INDEX($M$14:$M$313,MATCH($A208,$H$14:$H$313,0)),"Yes")&lt;&gt;"Yes"),1,0))</f>
        <v/>
      </c>
    </row>
    <row r="209" ht="24" customHeight="1">
      <c r="A209" s="19">
        <f>IF('Enter messages'!A209="","",'Enter messages'!A209)</f>
        <v/>
      </c>
      <c r="B209" s="20">
        <f>IF('Enter messages'!B209="","",'Enter messages'!B209)</f>
        <v/>
      </c>
      <c r="C209" s="21">
        <f>IFERROR(AVERAGE(P209:T209),"")</f>
        <v/>
      </c>
      <c r="D209" s="29" t="n"/>
      <c r="E209" s="29" t="n"/>
      <c r="F209" s="30">
        <f>IF(AND(ISNUMBER($D209),ISNUMBER($E209),$E209&gt;0,$D209&lt;=$E209),$D209/$E209,"")</f>
        <v/>
      </c>
      <c r="H209" s="19">
        <f>IFERROR(INDEX($A$14:$A$1213,MATCH(196,$AI$14:$AI$1213,0)),"")</f>
        <v/>
      </c>
      <c r="I209" s="24">
        <f>IF($H209="","",IF(COUNTIFS($A$14:$A$1213,$H209,$C$14:$C$1213,"&gt;=0")=0,"—",IFERROR(INDEX($B$14:$B$1213,MATCH($H209&amp;"|1",$Z$14:$Z$1213,0)),"(tied)")))</f>
        <v/>
      </c>
      <c r="J209" s="25">
        <f>IF($H209="","",IF(OR(COUNTIFS($A$14:$A$1213,$H209,$C$14:$C$1213,"&gt;=0")=0,COUNTIFS($A$14:$A$1213,$H209,$F$14:$F$1213,"&gt;=0")=0),"—",IF(OR(ISERROR(MATCH($H209&amp;"|1",$Z$14:$Z$1213,0)),ISERROR(MATCH($H209&amp;"|1",$AA$14:$AA$1213,0))),"Tie",IF(MATCH($H209&amp;"|1",$Z$14:$Z$1213,0)=MATCH($H209&amp;"|1",$AA$14:$AA$1213,0),"Hit","Miss"))))</f>
        <v/>
      </c>
      <c r="K209" s="24">
        <f>IF($H209="","",IF(COUNTIFS($A$14:$A$1213,$H209,$F$14:$F$1213,"&gt;=0")=0,"—",IFERROR(INDEX($B$14:$B$1213,MATCH($H209&amp;"|1",$AA$14:$AA$1213,0)),"(tied)")))</f>
        <v/>
      </c>
      <c r="L209" s="25">
        <f>IF($H209="","",IF((--(COUNTIFS($A$14:$A$1213,$H209,$P$14:$P$1213,"&gt;=0")&gt;0)+--(COUNTIFS($A$14:$A$1213,$H209,$Q$14:$Q$1213,"&gt;=0")&gt;0)+--(COUNTIFS($A$14:$A$1213,$H209,$R$14:$R$1213,"&gt;=0")&gt;0)+--(COUNTIFS($A$14:$A$1213,$H209,$S$14:$S$1213,"&gt;=0")&gt;0)+--(COUNTIFS($A$14:$A$1213,$H209,$T$14:$T$1213,"&gt;=0")&gt;0))&lt;2,"—",IF(SUMIFS($AH$14:$AH$1213,$A$14:$A$1213,$H209)=0,"Yes","No")))</f>
        <v/>
      </c>
      <c r="M209" s="25">
        <f>IF($H209="","",IF(COUNTIFS($A$14:$A$1213,$H209,$F$14:$F$1213,"&gt;=0")&lt;2,"—",IF(COUNTIFS($A$14:$A$1213,$H209,$F$14:$F$1213,_xlfn.MAXIFS($F$14:$F$1213,$A$14:$A$1213,$H209))&gt;1,"No",IF(NOT(ISNUMBER($AN209)),"—",IF((2*(1-NORMSDIST(ABS($AN209))))&lt;0.05,"Yes","No")))))</f>
        <v/>
      </c>
      <c r="N209" s="21">
        <f>IF($H209="","",IF(NOT(ISNUMBER($AN209)),"—",IF((2*(1-NORMSDIST(ABS($AN209))))&lt;0.001,"&lt;0.001",TEXT((2*(1-NORMSDIST(ABS($AN209)))),"0.000"))))</f>
        <v/>
      </c>
      <c r="P209" s="26" t="n"/>
      <c r="Q209" s="26" t="n"/>
      <c r="R209" s="26" t="n"/>
      <c r="S209" s="26" t="n"/>
      <c r="T209" s="26" t="n"/>
      <c r="V209" s="27">
        <f>IF(ISNUMBER($C209),COUNTIFS($A$14:$A$1213,$A209,$C$14:$C$1213,"&gt;"&amp;$C209)+(COUNTIFS($A$14:$A$1213,$A209,$C$14:$C$1213,"="&amp;$C209)+1)/2,"")</f>
        <v/>
      </c>
      <c r="W209" s="27">
        <f>IF(ISNUMBER($F209),COUNTIFS($A$14:$A$1213,$A209,$F$14:$F$1213,"&gt;"&amp;$F209)+(COUNTIFS($A$14:$A$1213,$A209,$F$14:$F$1213,"="&amp;$F209)+1)/2,"")</f>
        <v/>
      </c>
      <c r="X209" s="27">
        <f>IF(OR(NOT(ISNUMBER($V209)),$AO209=1),"",$V209-(COUNTIFS($A$14:$A$1213,$A209,$C$14:$C$1213,"&gt;=0")+1)/2)</f>
        <v/>
      </c>
      <c r="Y209" s="27">
        <f>IF(OR(NOT(ISNUMBER($W209)),$AO209=1),"",$W209-(COUNTIFS($A$14:$A$1213,$A209,$F$14:$F$1213,"&gt;=0")+1)/2)</f>
        <v/>
      </c>
      <c r="Z209" s="27">
        <f>IF(ISNUMBER($V209),$A209&amp;"|"&amp;$V209,"")</f>
        <v/>
      </c>
      <c r="AA209" s="27">
        <f>IF(ISNUMBER($W209),$A209&amp;"|"&amp;$W209,"")</f>
        <v/>
      </c>
      <c r="AB209" s="27">
        <f>IF(ISNUMBER($F209),$A209&amp;"|"&amp;$F209,"")</f>
        <v/>
      </c>
      <c r="AC209" s="27">
        <f>IF(ISNUMBER($P209),COUNTIFS($A$14:$A$1213,$A209,$P$14:$P$1213,"&gt;"&amp;$P209)+(COUNTIFS($A$14:$A$1213,$A209,$P$14:$P$1213,"="&amp;$P209)+1)/2,"")</f>
        <v/>
      </c>
      <c r="AD209" s="27">
        <f>IF(ISNUMBER($Q209),COUNTIFS($A$14:$A$1213,$A209,$Q$14:$Q$1213,"&gt;"&amp;$Q209)+(COUNTIFS($A$14:$A$1213,$A209,$Q$14:$Q$1213,"="&amp;$Q209)+1)/2,"")</f>
        <v/>
      </c>
      <c r="AE209" s="27">
        <f>IF(ISNUMBER($R209),COUNTIFS($A$14:$A$1213,$A209,$R$14:$R$1213,"&gt;"&amp;$R209)+(COUNTIFS($A$14:$A$1213,$A209,$R$14:$R$1213,"="&amp;$R209)+1)/2,"")</f>
        <v/>
      </c>
      <c r="AF209" s="27">
        <f>IF(ISNUMBER($S209),COUNTIFS($A$14:$A$1213,$A209,$S$14:$S$1213,"&gt;"&amp;$S209)+(COUNTIFS($A$14:$A$1213,$A209,$S$14:$S$1213,"="&amp;$S209)+1)/2,"")</f>
        <v/>
      </c>
      <c r="AG209" s="27">
        <f>IF(ISNUMBER($T209),COUNTIFS($A$14:$A$1213,$A209,$T$14:$T$1213,"&gt;"&amp;$T209)+(COUNTIFS($A$14:$A$1213,$A209,$T$14:$T$1213,"="&amp;$T209)+1)/2,"")</f>
        <v/>
      </c>
      <c r="AH209" s="27">
        <f>IF(COUNT($AC209:$AG209)&lt;2,"",IF(MAX($AC209:$AG209)=MIN($AC209:$AG209),0,1))</f>
        <v/>
      </c>
      <c r="AI209" s="27">
        <f>IF($A209="","",IF(COUNTIF($A$14:$A209,$A209)=1,COUNTIF($AI$13:AI208,"&gt;0")+1,""))</f>
        <v/>
      </c>
      <c r="AJ209" s="27">
        <f>IF(OR($H209="",COUNTIFS($A$14:$A$1213,$H209,$F$14:$F$1213,"&gt;=0")&lt;2,COUNTIFS($A$14:$A$1213,$H209,$F$14:$F$1213,_xlfn.MAXIFS($F$14:$F$1213,$A$14:$A$1213,$H209))&gt;1),"",IFERROR(INDEX($D$14:$D$1213,MATCH($H209&amp;"|"&amp;_xlfn.MAXIFS($F$14:$F$1213,$A$14:$A$1213,$H209),$AB$14:$AB$1213,0)),""))</f>
        <v/>
      </c>
      <c r="AK209" s="27">
        <f>IF(OR($H209="",COUNTIFS($A$14:$A$1213,$H209,$F$14:$F$1213,"&gt;=0")&lt;2,COUNTIFS($A$14:$A$1213,$H209,$F$14:$F$1213,_xlfn.MAXIFS($F$14:$F$1213,$A$14:$A$1213,$H209))&gt;1),"",IFERROR(INDEX($E$14:$E$1213,MATCH($H209&amp;"|"&amp;_xlfn.MAXIFS($F$14:$F$1213,$A$14:$A$1213,$H209),$AB$14:$AB$1213,0)),""))</f>
        <v/>
      </c>
      <c r="AL209" s="27">
        <f>IF(OR($H209="",COUNTIFS($A$14:$A$1213,$H209,$F$14:$F$1213,"&gt;=0")&lt;2,COUNTIFS($A$14:$A$1213,$H209,$F$14:$F$1213,_xlfn.MAXIFS($F$14:$F$1213,$A$14:$A$1213,$H209))&gt;1),"",IFERROR(INDEX($D$14:$D$1213,MATCH($H209&amp;"|"&amp;_xlfn.MAXIFS($F$14:$F$1213,$A$14:$A$1213,$H209,$F$14:$F$1213,"&lt;"&amp;_xlfn.MAXIFS($F$14:$F$1213,$A$14:$A$1213,$H209)),$AB$14:$AB$1213,0)),""))</f>
        <v/>
      </c>
      <c r="AM209" s="27">
        <f>IF(OR($H209="",COUNTIFS($A$14:$A$1213,$H209,$F$14:$F$1213,"&gt;=0")&lt;2,COUNTIFS($A$14:$A$1213,$H209,$F$14:$F$1213,_xlfn.MAXIFS($F$14:$F$1213,$A$14:$A$1213,$H209))&gt;1),"",IFERROR(INDEX($E$14:$E$1213,MATCH($H209&amp;"|"&amp;_xlfn.MAXIFS($F$14:$F$1213,$A$14:$A$1213,$H209,$F$14:$F$1213,"&lt;"&amp;_xlfn.MAXIFS($F$14:$F$1213,$A$14:$A$1213,$H209)),$AB$14:$AB$1213,0)),""))</f>
        <v/>
      </c>
      <c r="AN209" s="27">
        <f>IF(OR(NOT(ISNUMBER($AJ209)),NOT(ISNUMBER($AL209)),$AK209=0,$AM209=0),"",IF(OR((($AJ209+$AL209)/($AK209+$AM209))&lt;=0,(($AJ209+$AL209)/($AK209+$AM209))&gt;=1),"",($AJ209/$AK209-$AL209/$AM209)/SQRT((($AJ209+$AL209)/($AK209+$AM209))*(1-(($AJ209+$AL209)/($AK209+$AM209)))*(1/$AK209+1/$AM209))))</f>
        <v/>
      </c>
      <c r="AO209" s="27">
        <f>IF($A209="","",IF(AND(COUNTIFS($A$14:$A$1213,$A209,$F$14:$F$1213,"&gt;=0")=2,IFERROR(INDEX($M$14:$M$313,MATCH($A209,$H$14:$H$313,0)),"Yes")&lt;&gt;"Yes"),1,0))</f>
        <v/>
      </c>
    </row>
    <row r="210" ht="24" customHeight="1">
      <c r="A210" s="19">
        <f>IF('Enter messages'!A210="","",'Enter messages'!A210)</f>
        <v/>
      </c>
      <c r="B210" s="20">
        <f>IF('Enter messages'!B210="","",'Enter messages'!B210)</f>
        <v/>
      </c>
      <c r="C210" s="21">
        <f>IFERROR(AVERAGE(P210:T210),"")</f>
        <v/>
      </c>
      <c r="D210" s="29" t="n"/>
      <c r="E210" s="29" t="n"/>
      <c r="F210" s="30">
        <f>IF(AND(ISNUMBER($D210),ISNUMBER($E210),$E210&gt;0,$D210&lt;=$E210),$D210/$E210,"")</f>
        <v/>
      </c>
      <c r="H210" s="19">
        <f>IFERROR(INDEX($A$14:$A$1213,MATCH(197,$AI$14:$AI$1213,0)),"")</f>
        <v/>
      </c>
      <c r="I210" s="24">
        <f>IF($H210="","",IF(COUNTIFS($A$14:$A$1213,$H210,$C$14:$C$1213,"&gt;=0")=0,"—",IFERROR(INDEX($B$14:$B$1213,MATCH($H210&amp;"|1",$Z$14:$Z$1213,0)),"(tied)")))</f>
        <v/>
      </c>
      <c r="J210" s="25">
        <f>IF($H210="","",IF(OR(COUNTIFS($A$14:$A$1213,$H210,$C$14:$C$1213,"&gt;=0")=0,COUNTIFS($A$14:$A$1213,$H210,$F$14:$F$1213,"&gt;=0")=0),"—",IF(OR(ISERROR(MATCH($H210&amp;"|1",$Z$14:$Z$1213,0)),ISERROR(MATCH($H210&amp;"|1",$AA$14:$AA$1213,0))),"Tie",IF(MATCH($H210&amp;"|1",$Z$14:$Z$1213,0)=MATCH($H210&amp;"|1",$AA$14:$AA$1213,0),"Hit","Miss"))))</f>
        <v/>
      </c>
      <c r="K210" s="24">
        <f>IF($H210="","",IF(COUNTIFS($A$14:$A$1213,$H210,$F$14:$F$1213,"&gt;=0")=0,"—",IFERROR(INDEX($B$14:$B$1213,MATCH($H210&amp;"|1",$AA$14:$AA$1213,0)),"(tied)")))</f>
        <v/>
      </c>
      <c r="L210" s="25">
        <f>IF($H210="","",IF((--(COUNTIFS($A$14:$A$1213,$H210,$P$14:$P$1213,"&gt;=0")&gt;0)+--(COUNTIFS($A$14:$A$1213,$H210,$Q$14:$Q$1213,"&gt;=0")&gt;0)+--(COUNTIFS($A$14:$A$1213,$H210,$R$14:$R$1213,"&gt;=0")&gt;0)+--(COUNTIFS($A$14:$A$1213,$H210,$S$14:$S$1213,"&gt;=0")&gt;0)+--(COUNTIFS($A$14:$A$1213,$H210,$T$14:$T$1213,"&gt;=0")&gt;0))&lt;2,"—",IF(SUMIFS($AH$14:$AH$1213,$A$14:$A$1213,$H210)=0,"Yes","No")))</f>
        <v/>
      </c>
      <c r="M210" s="25">
        <f>IF($H210="","",IF(COUNTIFS($A$14:$A$1213,$H210,$F$14:$F$1213,"&gt;=0")&lt;2,"—",IF(COUNTIFS($A$14:$A$1213,$H210,$F$14:$F$1213,_xlfn.MAXIFS($F$14:$F$1213,$A$14:$A$1213,$H210))&gt;1,"No",IF(NOT(ISNUMBER($AN210)),"—",IF((2*(1-NORMSDIST(ABS($AN210))))&lt;0.05,"Yes","No")))))</f>
        <v/>
      </c>
      <c r="N210" s="21">
        <f>IF($H210="","",IF(NOT(ISNUMBER($AN210)),"—",IF((2*(1-NORMSDIST(ABS($AN210))))&lt;0.001,"&lt;0.001",TEXT((2*(1-NORMSDIST(ABS($AN210)))),"0.000"))))</f>
        <v/>
      </c>
      <c r="P210" s="26" t="n"/>
      <c r="Q210" s="26" t="n"/>
      <c r="R210" s="26" t="n"/>
      <c r="S210" s="26" t="n"/>
      <c r="T210" s="26" t="n"/>
      <c r="V210" s="27">
        <f>IF(ISNUMBER($C210),COUNTIFS($A$14:$A$1213,$A210,$C$14:$C$1213,"&gt;"&amp;$C210)+(COUNTIFS($A$14:$A$1213,$A210,$C$14:$C$1213,"="&amp;$C210)+1)/2,"")</f>
        <v/>
      </c>
      <c r="W210" s="27">
        <f>IF(ISNUMBER($F210),COUNTIFS($A$14:$A$1213,$A210,$F$14:$F$1213,"&gt;"&amp;$F210)+(COUNTIFS($A$14:$A$1213,$A210,$F$14:$F$1213,"="&amp;$F210)+1)/2,"")</f>
        <v/>
      </c>
      <c r="X210" s="27">
        <f>IF(OR(NOT(ISNUMBER($V210)),$AO210=1),"",$V210-(COUNTIFS($A$14:$A$1213,$A210,$C$14:$C$1213,"&gt;=0")+1)/2)</f>
        <v/>
      </c>
      <c r="Y210" s="27">
        <f>IF(OR(NOT(ISNUMBER($W210)),$AO210=1),"",$W210-(COUNTIFS($A$14:$A$1213,$A210,$F$14:$F$1213,"&gt;=0")+1)/2)</f>
        <v/>
      </c>
      <c r="Z210" s="27">
        <f>IF(ISNUMBER($V210),$A210&amp;"|"&amp;$V210,"")</f>
        <v/>
      </c>
      <c r="AA210" s="27">
        <f>IF(ISNUMBER($W210),$A210&amp;"|"&amp;$W210,"")</f>
        <v/>
      </c>
      <c r="AB210" s="27">
        <f>IF(ISNUMBER($F210),$A210&amp;"|"&amp;$F210,"")</f>
        <v/>
      </c>
      <c r="AC210" s="27">
        <f>IF(ISNUMBER($P210),COUNTIFS($A$14:$A$1213,$A210,$P$14:$P$1213,"&gt;"&amp;$P210)+(COUNTIFS($A$14:$A$1213,$A210,$P$14:$P$1213,"="&amp;$P210)+1)/2,"")</f>
        <v/>
      </c>
      <c r="AD210" s="27">
        <f>IF(ISNUMBER($Q210),COUNTIFS($A$14:$A$1213,$A210,$Q$14:$Q$1213,"&gt;"&amp;$Q210)+(COUNTIFS($A$14:$A$1213,$A210,$Q$14:$Q$1213,"="&amp;$Q210)+1)/2,"")</f>
        <v/>
      </c>
      <c r="AE210" s="27">
        <f>IF(ISNUMBER($R210),COUNTIFS($A$14:$A$1213,$A210,$R$14:$R$1213,"&gt;"&amp;$R210)+(COUNTIFS($A$14:$A$1213,$A210,$R$14:$R$1213,"="&amp;$R210)+1)/2,"")</f>
        <v/>
      </c>
      <c r="AF210" s="27">
        <f>IF(ISNUMBER($S210),COUNTIFS($A$14:$A$1213,$A210,$S$14:$S$1213,"&gt;"&amp;$S210)+(COUNTIFS($A$14:$A$1213,$A210,$S$14:$S$1213,"="&amp;$S210)+1)/2,"")</f>
        <v/>
      </c>
      <c r="AG210" s="27">
        <f>IF(ISNUMBER($T210),COUNTIFS($A$14:$A$1213,$A210,$T$14:$T$1213,"&gt;"&amp;$T210)+(COUNTIFS($A$14:$A$1213,$A210,$T$14:$T$1213,"="&amp;$T210)+1)/2,"")</f>
        <v/>
      </c>
      <c r="AH210" s="27">
        <f>IF(COUNT($AC210:$AG210)&lt;2,"",IF(MAX($AC210:$AG210)=MIN($AC210:$AG210),0,1))</f>
        <v/>
      </c>
      <c r="AI210" s="27">
        <f>IF($A210="","",IF(COUNTIF($A$14:$A210,$A210)=1,COUNTIF($AI$13:AI209,"&gt;0")+1,""))</f>
        <v/>
      </c>
      <c r="AJ210" s="27">
        <f>IF(OR($H210="",COUNTIFS($A$14:$A$1213,$H210,$F$14:$F$1213,"&gt;=0")&lt;2,COUNTIFS($A$14:$A$1213,$H210,$F$14:$F$1213,_xlfn.MAXIFS($F$14:$F$1213,$A$14:$A$1213,$H210))&gt;1),"",IFERROR(INDEX($D$14:$D$1213,MATCH($H210&amp;"|"&amp;_xlfn.MAXIFS($F$14:$F$1213,$A$14:$A$1213,$H210),$AB$14:$AB$1213,0)),""))</f>
        <v/>
      </c>
      <c r="AK210" s="27">
        <f>IF(OR($H210="",COUNTIFS($A$14:$A$1213,$H210,$F$14:$F$1213,"&gt;=0")&lt;2,COUNTIFS($A$14:$A$1213,$H210,$F$14:$F$1213,_xlfn.MAXIFS($F$14:$F$1213,$A$14:$A$1213,$H210))&gt;1),"",IFERROR(INDEX($E$14:$E$1213,MATCH($H210&amp;"|"&amp;_xlfn.MAXIFS($F$14:$F$1213,$A$14:$A$1213,$H210),$AB$14:$AB$1213,0)),""))</f>
        <v/>
      </c>
      <c r="AL210" s="27">
        <f>IF(OR($H210="",COUNTIFS($A$14:$A$1213,$H210,$F$14:$F$1213,"&gt;=0")&lt;2,COUNTIFS($A$14:$A$1213,$H210,$F$14:$F$1213,_xlfn.MAXIFS($F$14:$F$1213,$A$14:$A$1213,$H210))&gt;1),"",IFERROR(INDEX($D$14:$D$1213,MATCH($H210&amp;"|"&amp;_xlfn.MAXIFS($F$14:$F$1213,$A$14:$A$1213,$H210,$F$14:$F$1213,"&lt;"&amp;_xlfn.MAXIFS($F$14:$F$1213,$A$14:$A$1213,$H210)),$AB$14:$AB$1213,0)),""))</f>
        <v/>
      </c>
      <c r="AM210" s="27">
        <f>IF(OR($H210="",COUNTIFS($A$14:$A$1213,$H210,$F$14:$F$1213,"&gt;=0")&lt;2,COUNTIFS($A$14:$A$1213,$H210,$F$14:$F$1213,_xlfn.MAXIFS($F$14:$F$1213,$A$14:$A$1213,$H210))&gt;1),"",IFERROR(INDEX($E$14:$E$1213,MATCH($H210&amp;"|"&amp;_xlfn.MAXIFS($F$14:$F$1213,$A$14:$A$1213,$H210,$F$14:$F$1213,"&lt;"&amp;_xlfn.MAXIFS($F$14:$F$1213,$A$14:$A$1213,$H210)),$AB$14:$AB$1213,0)),""))</f>
        <v/>
      </c>
      <c r="AN210" s="27">
        <f>IF(OR(NOT(ISNUMBER($AJ210)),NOT(ISNUMBER($AL210)),$AK210=0,$AM210=0),"",IF(OR((($AJ210+$AL210)/($AK210+$AM210))&lt;=0,(($AJ210+$AL210)/($AK210+$AM210))&gt;=1),"",($AJ210/$AK210-$AL210/$AM210)/SQRT((($AJ210+$AL210)/($AK210+$AM210))*(1-(($AJ210+$AL210)/($AK210+$AM210)))*(1/$AK210+1/$AM210))))</f>
        <v/>
      </c>
      <c r="AO210" s="27">
        <f>IF($A210="","",IF(AND(COUNTIFS($A$14:$A$1213,$A210,$F$14:$F$1213,"&gt;=0")=2,IFERROR(INDEX($M$14:$M$313,MATCH($A210,$H$14:$H$313,0)),"Yes")&lt;&gt;"Yes"),1,0))</f>
        <v/>
      </c>
    </row>
    <row r="211" ht="24" customHeight="1">
      <c r="A211" s="19">
        <f>IF('Enter messages'!A211="","",'Enter messages'!A211)</f>
        <v/>
      </c>
      <c r="B211" s="20">
        <f>IF('Enter messages'!B211="","",'Enter messages'!B211)</f>
        <v/>
      </c>
      <c r="C211" s="21">
        <f>IFERROR(AVERAGE(P211:T211),"")</f>
        <v/>
      </c>
      <c r="D211" s="29" t="n"/>
      <c r="E211" s="29" t="n"/>
      <c r="F211" s="30">
        <f>IF(AND(ISNUMBER($D211),ISNUMBER($E211),$E211&gt;0,$D211&lt;=$E211),$D211/$E211,"")</f>
        <v/>
      </c>
      <c r="H211" s="19">
        <f>IFERROR(INDEX($A$14:$A$1213,MATCH(198,$AI$14:$AI$1213,0)),"")</f>
        <v/>
      </c>
      <c r="I211" s="24">
        <f>IF($H211="","",IF(COUNTIFS($A$14:$A$1213,$H211,$C$14:$C$1213,"&gt;=0")=0,"—",IFERROR(INDEX($B$14:$B$1213,MATCH($H211&amp;"|1",$Z$14:$Z$1213,0)),"(tied)")))</f>
        <v/>
      </c>
      <c r="J211" s="25">
        <f>IF($H211="","",IF(OR(COUNTIFS($A$14:$A$1213,$H211,$C$14:$C$1213,"&gt;=0")=0,COUNTIFS($A$14:$A$1213,$H211,$F$14:$F$1213,"&gt;=0")=0),"—",IF(OR(ISERROR(MATCH($H211&amp;"|1",$Z$14:$Z$1213,0)),ISERROR(MATCH($H211&amp;"|1",$AA$14:$AA$1213,0))),"Tie",IF(MATCH($H211&amp;"|1",$Z$14:$Z$1213,0)=MATCH($H211&amp;"|1",$AA$14:$AA$1213,0),"Hit","Miss"))))</f>
        <v/>
      </c>
      <c r="K211" s="24">
        <f>IF($H211="","",IF(COUNTIFS($A$14:$A$1213,$H211,$F$14:$F$1213,"&gt;=0")=0,"—",IFERROR(INDEX($B$14:$B$1213,MATCH($H211&amp;"|1",$AA$14:$AA$1213,0)),"(tied)")))</f>
        <v/>
      </c>
      <c r="L211" s="25">
        <f>IF($H211="","",IF((--(COUNTIFS($A$14:$A$1213,$H211,$P$14:$P$1213,"&gt;=0")&gt;0)+--(COUNTIFS($A$14:$A$1213,$H211,$Q$14:$Q$1213,"&gt;=0")&gt;0)+--(COUNTIFS($A$14:$A$1213,$H211,$R$14:$R$1213,"&gt;=0")&gt;0)+--(COUNTIFS($A$14:$A$1213,$H211,$S$14:$S$1213,"&gt;=0")&gt;0)+--(COUNTIFS($A$14:$A$1213,$H211,$T$14:$T$1213,"&gt;=0")&gt;0))&lt;2,"—",IF(SUMIFS($AH$14:$AH$1213,$A$14:$A$1213,$H211)=0,"Yes","No")))</f>
        <v/>
      </c>
      <c r="M211" s="25">
        <f>IF($H211="","",IF(COUNTIFS($A$14:$A$1213,$H211,$F$14:$F$1213,"&gt;=0")&lt;2,"—",IF(COUNTIFS($A$14:$A$1213,$H211,$F$14:$F$1213,_xlfn.MAXIFS($F$14:$F$1213,$A$14:$A$1213,$H211))&gt;1,"No",IF(NOT(ISNUMBER($AN211)),"—",IF((2*(1-NORMSDIST(ABS($AN211))))&lt;0.05,"Yes","No")))))</f>
        <v/>
      </c>
      <c r="N211" s="21">
        <f>IF($H211="","",IF(NOT(ISNUMBER($AN211)),"—",IF((2*(1-NORMSDIST(ABS($AN211))))&lt;0.001,"&lt;0.001",TEXT((2*(1-NORMSDIST(ABS($AN211)))),"0.000"))))</f>
        <v/>
      </c>
      <c r="P211" s="26" t="n"/>
      <c r="Q211" s="26" t="n"/>
      <c r="R211" s="26" t="n"/>
      <c r="S211" s="26" t="n"/>
      <c r="T211" s="26" t="n"/>
      <c r="V211" s="27">
        <f>IF(ISNUMBER($C211),COUNTIFS($A$14:$A$1213,$A211,$C$14:$C$1213,"&gt;"&amp;$C211)+(COUNTIFS($A$14:$A$1213,$A211,$C$14:$C$1213,"="&amp;$C211)+1)/2,"")</f>
        <v/>
      </c>
      <c r="W211" s="27">
        <f>IF(ISNUMBER($F211),COUNTIFS($A$14:$A$1213,$A211,$F$14:$F$1213,"&gt;"&amp;$F211)+(COUNTIFS($A$14:$A$1213,$A211,$F$14:$F$1213,"="&amp;$F211)+1)/2,"")</f>
        <v/>
      </c>
      <c r="X211" s="27">
        <f>IF(OR(NOT(ISNUMBER($V211)),$AO211=1),"",$V211-(COUNTIFS($A$14:$A$1213,$A211,$C$14:$C$1213,"&gt;=0")+1)/2)</f>
        <v/>
      </c>
      <c r="Y211" s="27">
        <f>IF(OR(NOT(ISNUMBER($W211)),$AO211=1),"",$W211-(COUNTIFS($A$14:$A$1213,$A211,$F$14:$F$1213,"&gt;=0")+1)/2)</f>
        <v/>
      </c>
      <c r="Z211" s="27">
        <f>IF(ISNUMBER($V211),$A211&amp;"|"&amp;$V211,"")</f>
        <v/>
      </c>
      <c r="AA211" s="27">
        <f>IF(ISNUMBER($W211),$A211&amp;"|"&amp;$W211,"")</f>
        <v/>
      </c>
      <c r="AB211" s="27">
        <f>IF(ISNUMBER($F211),$A211&amp;"|"&amp;$F211,"")</f>
        <v/>
      </c>
      <c r="AC211" s="27">
        <f>IF(ISNUMBER($P211),COUNTIFS($A$14:$A$1213,$A211,$P$14:$P$1213,"&gt;"&amp;$P211)+(COUNTIFS($A$14:$A$1213,$A211,$P$14:$P$1213,"="&amp;$P211)+1)/2,"")</f>
        <v/>
      </c>
      <c r="AD211" s="27">
        <f>IF(ISNUMBER($Q211),COUNTIFS($A$14:$A$1213,$A211,$Q$14:$Q$1213,"&gt;"&amp;$Q211)+(COUNTIFS($A$14:$A$1213,$A211,$Q$14:$Q$1213,"="&amp;$Q211)+1)/2,"")</f>
        <v/>
      </c>
      <c r="AE211" s="27">
        <f>IF(ISNUMBER($R211),COUNTIFS($A$14:$A$1213,$A211,$R$14:$R$1213,"&gt;"&amp;$R211)+(COUNTIFS($A$14:$A$1213,$A211,$R$14:$R$1213,"="&amp;$R211)+1)/2,"")</f>
        <v/>
      </c>
      <c r="AF211" s="27">
        <f>IF(ISNUMBER($S211),COUNTIFS($A$14:$A$1213,$A211,$S$14:$S$1213,"&gt;"&amp;$S211)+(COUNTIFS($A$14:$A$1213,$A211,$S$14:$S$1213,"="&amp;$S211)+1)/2,"")</f>
        <v/>
      </c>
      <c r="AG211" s="27">
        <f>IF(ISNUMBER($T211),COUNTIFS($A$14:$A$1213,$A211,$T$14:$T$1213,"&gt;"&amp;$T211)+(COUNTIFS($A$14:$A$1213,$A211,$T$14:$T$1213,"="&amp;$T211)+1)/2,"")</f>
        <v/>
      </c>
      <c r="AH211" s="27">
        <f>IF(COUNT($AC211:$AG211)&lt;2,"",IF(MAX($AC211:$AG211)=MIN($AC211:$AG211),0,1))</f>
        <v/>
      </c>
      <c r="AI211" s="27">
        <f>IF($A211="","",IF(COUNTIF($A$14:$A211,$A211)=1,COUNTIF($AI$13:AI210,"&gt;0")+1,""))</f>
        <v/>
      </c>
      <c r="AJ211" s="27">
        <f>IF(OR($H211="",COUNTIFS($A$14:$A$1213,$H211,$F$14:$F$1213,"&gt;=0")&lt;2,COUNTIFS($A$14:$A$1213,$H211,$F$14:$F$1213,_xlfn.MAXIFS($F$14:$F$1213,$A$14:$A$1213,$H211))&gt;1),"",IFERROR(INDEX($D$14:$D$1213,MATCH($H211&amp;"|"&amp;_xlfn.MAXIFS($F$14:$F$1213,$A$14:$A$1213,$H211),$AB$14:$AB$1213,0)),""))</f>
        <v/>
      </c>
      <c r="AK211" s="27">
        <f>IF(OR($H211="",COUNTIFS($A$14:$A$1213,$H211,$F$14:$F$1213,"&gt;=0")&lt;2,COUNTIFS($A$14:$A$1213,$H211,$F$14:$F$1213,_xlfn.MAXIFS($F$14:$F$1213,$A$14:$A$1213,$H211))&gt;1),"",IFERROR(INDEX($E$14:$E$1213,MATCH($H211&amp;"|"&amp;_xlfn.MAXIFS($F$14:$F$1213,$A$14:$A$1213,$H211),$AB$14:$AB$1213,0)),""))</f>
        <v/>
      </c>
      <c r="AL211" s="27">
        <f>IF(OR($H211="",COUNTIFS($A$14:$A$1213,$H211,$F$14:$F$1213,"&gt;=0")&lt;2,COUNTIFS($A$14:$A$1213,$H211,$F$14:$F$1213,_xlfn.MAXIFS($F$14:$F$1213,$A$14:$A$1213,$H211))&gt;1),"",IFERROR(INDEX($D$14:$D$1213,MATCH($H211&amp;"|"&amp;_xlfn.MAXIFS($F$14:$F$1213,$A$14:$A$1213,$H211,$F$14:$F$1213,"&lt;"&amp;_xlfn.MAXIFS($F$14:$F$1213,$A$14:$A$1213,$H211)),$AB$14:$AB$1213,0)),""))</f>
        <v/>
      </c>
      <c r="AM211" s="27">
        <f>IF(OR($H211="",COUNTIFS($A$14:$A$1213,$H211,$F$14:$F$1213,"&gt;=0")&lt;2,COUNTIFS($A$14:$A$1213,$H211,$F$14:$F$1213,_xlfn.MAXIFS($F$14:$F$1213,$A$14:$A$1213,$H211))&gt;1),"",IFERROR(INDEX($E$14:$E$1213,MATCH($H211&amp;"|"&amp;_xlfn.MAXIFS($F$14:$F$1213,$A$14:$A$1213,$H211,$F$14:$F$1213,"&lt;"&amp;_xlfn.MAXIFS($F$14:$F$1213,$A$14:$A$1213,$H211)),$AB$14:$AB$1213,0)),""))</f>
        <v/>
      </c>
      <c r="AN211" s="27">
        <f>IF(OR(NOT(ISNUMBER($AJ211)),NOT(ISNUMBER($AL211)),$AK211=0,$AM211=0),"",IF(OR((($AJ211+$AL211)/($AK211+$AM211))&lt;=0,(($AJ211+$AL211)/($AK211+$AM211))&gt;=1),"",($AJ211/$AK211-$AL211/$AM211)/SQRT((($AJ211+$AL211)/($AK211+$AM211))*(1-(($AJ211+$AL211)/($AK211+$AM211)))*(1/$AK211+1/$AM211))))</f>
        <v/>
      </c>
      <c r="AO211" s="27">
        <f>IF($A211="","",IF(AND(COUNTIFS($A$14:$A$1213,$A211,$F$14:$F$1213,"&gt;=0")=2,IFERROR(INDEX($M$14:$M$313,MATCH($A211,$H$14:$H$313,0)),"Yes")&lt;&gt;"Yes"),1,0))</f>
        <v/>
      </c>
    </row>
    <row r="212" ht="24" customHeight="1">
      <c r="A212" s="19">
        <f>IF('Enter messages'!A212="","",'Enter messages'!A212)</f>
        <v/>
      </c>
      <c r="B212" s="20">
        <f>IF('Enter messages'!B212="","",'Enter messages'!B212)</f>
        <v/>
      </c>
      <c r="C212" s="21">
        <f>IFERROR(AVERAGE(P212:T212),"")</f>
        <v/>
      </c>
      <c r="D212" s="29" t="n"/>
      <c r="E212" s="29" t="n"/>
      <c r="F212" s="30">
        <f>IF(AND(ISNUMBER($D212),ISNUMBER($E212),$E212&gt;0,$D212&lt;=$E212),$D212/$E212,"")</f>
        <v/>
      </c>
      <c r="H212" s="19">
        <f>IFERROR(INDEX($A$14:$A$1213,MATCH(199,$AI$14:$AI$1213,0)),"")</f>
        <v/>
      </c>
      <c r="I212" s="24">
        <f>IF($H212="","",IF(COUNTIFS($A$14:$A$1213,$H212,$C$14:$C$1213,"&gt;=0")=0,"—",IFERROR(INDEX($B$14:$B$1213,MATCH($H212&amp;"|1",$Z$14:$Z$1213,0)),"(tied)")))</f>
        <v/>
      </c>
      <c r="J212" s="25">
        <f>IF($H212="","",IF(OR(COUNTIFS($A$14:$A$1213,$H212,$C$14:$C$1213,"&gt;=0")=0,COUNTIFS($A$14:$A$1213,$H212,$F$14:$F$1213,"&gt;=0")=0),"—",IF(OR(ISERROR(MATCH($H212&amp;"|1",$Z$14:$Z$1213,0)),ISERROR(MATCH($H212&amp;"|1",$AA$14:$AA$1213,0))),"Tie",IF(MATCH($H212&amp;"|1",$Z$14:$Z$1213,0)=MATCH($H212&amp;"|1",$AA$14:$AA$1213,0),"Hit","Miss"))))</f>
        <v/>
      </c>
      <c r="K212" s="24">
        <f>IF($H212="","",IF(COUNTIFS($A$14:$A$1213,$H212,$F$14:$F$1213,"&gt;=0")=0,"—",IFERROR(INDEX($B$14:$B$1213,MATCH($H212&amp;"|1",$AA$14:$AA$1213,0)),"(tied)")))</f>
        <v/>
      </c>
      <c r="L212" s="25">
        <f>IF($H212="","",IF((--(COUNTIFS($A$14:$A$1213,$H212,$P$14:$P$1213,"&gt;=0")&gt;0)+--(COUNTIFS($A$14:$A$1213,$H212,$Q$14:$Q$1213,"&gt;=0")&gt;0)+--(COUNTIFS($A$14:$A$1213,$H212,$R$14:$R$1213,"&gt;=0")&gt;0)+--(COUNTIFS($A$14:$A$1213,$H212,$S$14:$S$1213,"&gt;=0")&gt;0)+--(COUNTIFS($A$14:$A$1213,$H212,$T$14:$T$1213,"&gt;=0")&gt;0))&lt;2,"—",IF(SUMIFS($AH$14:$AH$1213,$A$14:$A$1213,$H212)=0,"Yes","No")))</f>
        <v/>
      </c>
      <c r="M212" s="25">
        <f>IF($H212="","",IF(COUNTIFS($A$14:$A$1213,$H212,$F$14:$F$1213,"&gt;=0")&lt;2,"—",IF(COUNTIFS($A$14:$A$1213,$H212,$F$14:$F$1213,_xlfn.MAXIFS($F$14:$F$1213,$A$14:$A$1213,$H212))&gt;1,"No",IF(NOT(ISNUMBER($AN212)),"—",IF((2*(1-NORMSDIST(ABS($AN212))))&lt;0.05,"Yes","No")))))</f>
        <v/>
      </c>
      <c r="N212" s="21">
        <f>IF($H212="","",IF(NOT(ISNUMBER($AN212)),"—",IF((2*(1-NORMSDIST(ABS($AN212))))&lt;0.001,"&lt;0.001",TEXT((2*(1-NORMSDIST(ABS($AN212)))),"0.000"))))</f>
        <v/>
      </c>
      <c r="P212" s="26" t="n"/>
      <c r="Q212" s="26" t="n"/>
      <c r="R212" s="26" t="n"/>
      <c r="S212" s="26" t="n"/>
      <c r="T212" s="26" t="n"/>
      <c r="V212" s="27">
        <f>IF(ISNUMBER($C212),COUNTIFS($A$14:$A$1213,$A212,$C$14:$C$1213,"&gt;"&amp;$C212)+(COUNTIFS($A$14:$A$1213,$A212,$C$14:$C$1213,"="&amp;$C212)+1)/2,"")</f>
        <v/>
      </c>
      <c r="W212" s="27">
        <f>IF(ISNUMBER($F212),COUNTIFS($A$14:$A$1213,$A212,$F$14:$F$1213,"&gt;"&amp;$F212)+(COUNTIFS($A$14:$A$1213,$A212,$F$14:$F$1213,"="&amp;$F212)+1)/2,"")</f>
        <v/>
      </c>
      <c r="X212" s="27">
        <f>IF(OR(NOT(ISNUMBER($V212)),$AO212=1),"",$V212-(COUNTIFS($A$14:$A$1213,$A212,$C$14:$C$1213,"&gt;=0")+1)/2)</f>
        <v/>
      </c>
      <c r="Y212" s="27">
        <f>IF(OR(NOT(ISNUMBER($W212)),$AO212=1),"",$W212-(COUNTIFS($A$14:$A$1213,$A212,$F$14:$F$1213,"&gt;=0")+1)/2)</f>
        <v/>
      </c>
      <c r="Z212" s="27">
        <f>IF(ISNUMBER($V212),$A212&amp;"|"&amp;$V212,"")</f>
        <v/>
      </c>
      <c r="AA212" s="27">
        <f>IF(ISNUMBER($W212),$A212&amp;"|"&amp;$W212,"")</f>
        <v/>
      </c>
      <c r="AB212" s="27">
        <f>IF(ISNUMBER($F212),$A212&amp;"|"&amp;$F212,"")</f>
        <v/>
      </c>
      <c r="AC212" s="27">
        <f>IF(ISNUMBER($P212),COUNTIFS($A$14:$A$1213,$A212,$P$14:$P$1213,"&gt;"&amp;$P212)+(COUNTIFS($A$14:$A$1213,$A212,$P$14:$P$1213,"="&amp;$P212)+1)/2,"")</f>
        <v/>
      </c>
      <c r="AD212" s="27">
        <f>IF(ISNUMBER($Q212),COUNTIFS($A$14:$A$1213,$A212,$Q$14:$Q$1213,"&gt;"&amp;$Q212)+(COUNTIFS($A$14:$A$1213,$A212,$Q$14:$Q$1213,"="&amp;$Q212)+1)/2,"")</f>
        <v/>
      </c>
      <c r="AE212" s="27">
        <f>IF(ISNUMBER($R212),COUNTIFS($A$14:$A$1213,$A212,$R$14:$R$1213,"&gt;"&amp;$R212)+(COUNTIFS($A$14:$A$1213,$A212,$R$14:$R$1213,"="&amp;$R212)+1)/2,"")</f>
        <v/>
      </c>
      <c r="AF212" s="27">
        <f>IF(ISNUMBER($S212),COUNTIFS($A$14:$A$1213,$A212,$S$14:$S$1213,"&gt;"&amp;$S212)+(COUNTIFS($A$14:$A$1213,$A212,$S$14:$S$1213,"="&amp;$S212)+1)/2,"")</f>
        <v/>
      </c>
      <c r="AG212" s="27">
        <f>IF(ISNUMBER($T212),COUNTIFS($A$14:$A$1213,$A212,$T$14:$T$1213,"&gt;"&amp;$T212)+(COUNTIFS($A$14:$A$1213,$A212,$T$14:$T$1213,"="&amp;$T212)+1)/2,"")</f>
        <v/>
      </c>
      <c r="AH212" s="27">
        <f>IF(COUNT($AC212:$AG212)&lt;2,"",IF(MAX($AC212:$AG212)=MIN($AC212:$AG212),0,1))</f>
        <v/>
      </c>
      <c r="AI212" s="27">
        <f>IF($A212="","",IF(COUNTIF($A$14:$A212,$A212)=1,COUNTIF($AI$13:AI211,"&gt;0")+1,""))</f>
        <v/>
      </c>
      <c r="AJ212" s="27">
        <f>IF(OR($H212="",COUNTIFS($A$14:$A$1213,$H212,$F$14:$F$1213,"&gt;=0")&lt;2,COUNTIFS($A$14:$A$1213,$H212,$F$14:$F$1213,_xlfn.MAXIFS($F$14:$F$1213,$A$14:$A$1213,$H212))&gt;1),"",IFERROR(INDEX($D$14:$D$1213,MATCH($H212&amp;"|"&amp;_xlfn.MAXIFS($F$14:$F$1213,$A$14:$A$1213,$H212),$AB$14:$AB$1213,0)),""))</f>
        <v/>
      </c>
      <c r="AK212" s="27">
        <f>IF(OR($H212="",COUNTIFS($A$14:$A$1213,$H212,$F$14:$F$1213,"&gt;=0")&lt;2,COUNTIFS($A$14:$A$1213,$H212,$F$14:$F$1213,_xlfn.MAXIFS($F$14:$F$1213,$A$14:$A$1213,$H212))&gt;1),"",IFERROR(INDEX($E$14:$E$1213,MATCH($H212&amp;"|"&amp;_xlfn.MAXIFS($F$14:$F$1213,$A$14:$A$1213,$H212),$AB$14:$AB$1213,0)),""))</f>
        <v/>
      </c>
      <c r="AL212" s="27">
        <f>IF(OR($H212="",COUNTIFS($A$14:$A$1213,$H212,$F$14:$F$1213,"&gt;=0")&lt;2,COUNTIFS($A$14:$A$1213,$H212,$F$14:$F$1213,_xlfn.MAXIFS($F$14:$F$1213,$A$14:$A$1213,$H212))&gt;1),"",IFERROR(INDEX($D$14:$D$1213,MATCH($H212&amp;"|"&amp;_xlfn.MAXIFS($F$14:$F$1213,$A$14:$A$1213,$H212,$F$14:$F$1213,"&lt;"&amp;_xlfn.MAXIFS($F$14:$F$1213,$A$14:$A$1213,$H212)),$AB$14:$AB$1213,0)),""))</f>
        <v/>
      </c>
      <c r="AM212" s="27">
        <f>IF(OR($H212="",COUNTIFS($A$14:$A$1213,$H212,$F$14:$F$1213,"&gt;=0")&lt;2,COUNTIFS($A$14:$A$1213,$H212,$F$14:$F$1213,_xlfn.MAXIFS($F$14:$F$1213,$A$14:$A$1213,$H212))&gt;1),"",IFERROR(INDEX($E$14:$E$1213,MATCH($H212&amp;"|"&amp;_xlfn.MAXIFS($F$14:$F$1213,$A$14:$A$1213,$H212,$F$14:$F$1213,"&lt;"&amp;_xlfn.MAXIFS($F$14:$F$1213,$A$14:$A$1213,$H212)),$AB$14:$AB$1213,0)),""))</f>
        <v/>
      </c>
      <c r="AN212" s="27">
        <f>IF(OR(NOT(ISNUMBER($AJ212)),NOT(ISNUMBER($AL212)),$AK212=0,$AM212=0),"",IF(OR((($AJ212+$AL212)/($AK212+$AM212))&lt;=0,(($AJ212+$AL212)/($AK212+$AM212))&gt;=1),"",($AJ212/$AK212-$AL212/$AM212)/SQRT((($AJ212+$AL212)/($AK212+$AM212))*(1-(($AJ212+$AL212)/($AK212+$AM212)))*(1/$AK212+1/$AM212))))</f>
        <v/>
      </c>
      <c r="AO212" s="27">
        <f>IF($A212="","",IF(AND(COUNTIFS($A$14:$A$1213,$A212,$F$14:$F$1213,"&gt;=0")=2,IFERROR(INDEX($M$14:$M$313,MATCH($A212,$H$14:$H$313,0)),"Yes")&lt;&gt;"Yes"),1,0))</f>
        <v/>
      </c>
    </row>
    <row r="213" ht="24" customHeight="1">
      <c r="A213" s="19">
        <f>IF('Enter messages'!A213="","",'Enter messages'!A213)</f>
        <v/>
      </c>
      <c r="B213" s="20">
        <f>IF('Enter messages'!B213="","",'Enter messages'!B213)</f>
        <v/>
      </c>
      <c r="C213" s="21">
        <f>IFERROR(AVERAGE(P213:T213),"")</f>
        <v/>
      </c>
      <c r="D213" s="29" t="n"/>
      <c r="E213" s="29" t="n"/>
      <c r="F213" s="30">
        <f>IF(AND(ISNUMBER($D213),ISNUMBER($E213),$E213&gt;0,$D213&lt;=$E213),$D213/$E213,"")</f>
        <v/>
      </c>
      <c r="H213" s="19">
        <f>IFERROR(INDEX($A$14:$A$1213,MATCH(200,$AI$14:$AI$1213,0)),"")</f>
        <v/>
      </c>
      <c r="I213" s="24">
        <f>IF($H213="","",IF(COUNTIFS($A$14:$A$1213,$H213,$C$14:$C$1213,"&gt;=0")=0,"—",IFERROR(INDEX($B$14:$B$1213,MATCH($H213&amp;"|1",$Z$14:$Z$1213,0)),"(tied)")))</f>
        <v/>
      </c>
      <c r="J213" s="25">
        <f>IF($H213="","",IF(OR(COUNTIFS($A$14:$A$1213,$H213,$C$14:$C$1213,"&gt;=0")=0,COUNTIFS($A$14:$A$1213,$H213,$F$14:$F$1213,"&gt;=0")=0),"—",IF(OR(ISERROR(MATCH($H213&amp;"|1",$Z$14:$Z$1213,0)),ISERROR(MATCH($H213&amp;"|1",$AA$14:$AA$1213,0))),"Tie",IF(MATCH($H213&amp;"|1",$Z$14:$Z$1213,0)=MATCH($H213&amp;"|1",$AA$14:$AA$1213,0),"Hit","Miss"))))</f>
        <v/>
      </c>
      <c r="K213" s="24">
        <f>IF($H213="","",IF(COUNTIFS($A$14:$A$1213,$H213,$F$14:$F$1213,"&gt;=0")=0,"—",IFERROR(INDEX($B$14:$B$1213,MATCH($H213&amp;"|1",$AA$14:$AA$1213,0)),"(tied)")))</f>
        <v/>
      </c>
      <c r="L213" s="25">
        <f>IF($H213="","",IF((--(COUNTIFS($A$14:$A$1213,$H213,$P$14:$P$1213,"&gt;=0")&gt;0)+--(COUNTIFS($A$14:$A$1213,$H213,$Q$14:$Q$1213,"&gt;=0")&gt;0)+--(COUNTIFS($A$14:$A$1213,$H213,$R$14:$R$1213,"&gt;=0")&gt;0)+--(COUNTIFS($A$14:$A$1213,$H213,$S$14:$S$1213,"&gt;=0")&gt;0)+--(COUNTIFS($A$14:$A$1213,$H213,$T$14:$T$1213,"&gt;=0")&gt;0))&lt;2,"—",IF(SUMIFS($AH$14:$AH$1213,$A$14:$A$1213,$H213)=0,"Yes","No")))</f>
        <v/>
      </c>
      <c r="M213" s="25">
        <f>IF($H213="","",IF(COUNTIFS($A$14:$A$1213,$H213,$F$14:$F$1213,"&gt;=0")&lt;2,"—",IF(COUNTIFS($A$14:$A$1213,$H213,$F$14:$F$1213,_xlfn.MAXIFS($F$14:$F$1213,$A$14:$A$1213,$H213))&gt;1,"No",IF(NOT(ISNUMBER($AN213)),"—",IF((2*(1-NORMSDIST(ABS($AN213))))&lt;0.05,"Yes","No")))))</f>
        <v/>
      </c>
      <c r="N213" s="21">
        <f>IF($H213="","",IF(NOT(ISNUMBER($AN213)),"—",IF((2*(1-NORMSDIST(ABS($AN213))))&lt;0.001,"&lt;0.001",TEXT((2*(1-NORMSDIST(ABS($AN213)))),"0.000"))))</f>
        <v/>
      </c>
      <c r="P213" s="26" t="n"/>
      <c r="Q213" s="26" t="n"/>
      <c r="R213" s="26" t="n"/>
      <c r="S213" s="26" t="n"/>
      <c r="T213" s="26" t="n"/>
      <c r="V213" s="27">
        <f>IF(ISNUMBER($C213),COUNTIFS($A$14:$A$1213,$A213,$C$14:$C$1213,"&gt;"&amp;$C213)+(COUNTIFS($A$14:$A$1213,$A213,$C$14:$C$1213,"="&amp;$C213)+1)/2,"")</f>
        <v/>
      </c>
      <c r="W213" s="27">
        <f>IF(ISNUMBER($F213),COUNTIFS($A$14:$A$1213,$A213,$F$14:$F$1213,"&gt;"&amp;$F213)+(COUNTIFS($A$14:$A$1213,$A213,$F$14:$F$1213,"="&amp;$F213)+1)/2,"")</f>
        <v/>
      </c>
      <c r="X213" s="27">
        <f>IF(OR(NOT(ISNUMBER($V213)),$AO213=1),"",$V213-(COUNTIFS($A$14:$A$1213,$A213,$C$14:$C$1213,"&gt;=0")+1)/2)</f>
        <v/>
      </c>
      <c r="Y213" s="27">
        <f>IF(OR(NOT(ISNUMBER($W213)),$AO213=1),"",$W213-(COUNTIFS($A$14:$A$1213,$A213,$F$14:$F$1213,"&gt;=0")+1)/2)</f>
        <v/>
      </c>
      <c r="Z213" s="27">
        <f>IF(ISNUMBER($V213),$A213&amp;"|"&amp;$V213,"")</f>
        <v/>
      </c>
      <c r="AA213" s="27">
        <f>IF(ISNUMBER($W213),$A213&amp;"|"&amp;$W213,"")</f>
        <v/>
      </c>
      <c r="AB213" s="27">
        <f>IF(ISNUMBER($F213),$A213&amp;"|"&amp;$F213,"")</f>
        <v/>
      </c>
      <c r="AC213" s="27">
        <f>IF(ISNUMBER($P213),COUNTIFS($A$14:$A$1213,$A213,$P$14:$P$1213,"&gt;"&amp;$P213)+(COUNTIFS($A$14:$A$1213,$A213,$P$14:$P$1213,"="&amp;$P213)+1)/2,"")</f>
        <v/>
      </c>
      <c r="AD213" s="27">
        <f>IF(ISNUMBER($Q213),COUNTIFS($A$14:$A$1213,$A213,$Q$14:$Q$1213,"&gt;"&amp;$Q213)+(COUNTIFS($A$14:$A$1213,$A213,$Q$14:$Q$1213,"="&amp;$Q213)+1)/2,"")</f>
        <v/>
      </c>
      <c r="AE213" s="27">
        <f>IF(ISNUMBER($R213),COUNTIFS($A$14:$A$1213,$A213,$R$14:$R$1213,"&gt;"&amp;$R213)+(COUNTIFS($A$14:$A$1213,$A213,$R$14:$R$1213,"="&amp;$R213)+1)/2,"")</f>
        <v/>
      </c>
      <c r="AF213" s="27">
        <f>IF(ISNUMBER($S213),COUNTIFS($A$14:$A$1213,$A213,$S$14:$S$1213,"&gt;"&amp;$S213)+(COUNTIFS($A$14:$A$1213,$A213,$S$14:$S$1213,"="&amp;$S213)+1)/2,"")</f>
        <v/>
      </c>
      <c r="AG213" s="27">
        <f>IF(ISNUMBER($T213),COUNTIFS($A$14:$A$1213,$A213,$T$14:$T$1213,"&gt;"&amp;$T213)+(COUNTIFS($A$14:$A$1213,$A213,$T$14:$T$1213,"="&amp;$T213)+1)/2,"")</f>
        <v/>
      </c>
      <c r="AH213" s="27">
        <f>IF(COUNT($AC213:$AG213)&lt;2,"",IF(MAX($AC213:$AG213)=MIN($AC213:$AG213),0,1))</f>
        <v/>
      </c>
      <c r="AI213" s="27">
        <f>IF($A213="","",IF(COUNTIF($A$14:$A213,$A213)=1,COUNTIF($AI$13:AI212,"&gt;0")+1,""))</f>
        <v/>
      </c>
      <c r="AJ213" s="27">
        <f>IF(OR($H213="",COUNTIFS($A$14:$A$1213,$H213,$F$14:$F$1213,"&gt;=0")&lt;2,COUNTIFS($A$14:$A$1213,$H213,$F$14:$F$1213,_xlfn.MAXIFS($F$14:$F$1213,$A$14:$A$1213,$H213))&gt;1),"",IFERROR(INDEX($D$14:$D$1213,MATCH($H213&amp;"|"&amp;_xlfn.MAXIFS($F$14:$F$1213,$A$14:$A$1213,$H213),$AB$14:$AB$1213,0)),""))</f>
        <v/>
      </c>
      <c r="AK213" s="27">
        <f>IF(OR($H213="",COUNTIFS($A$14:$A$1213,$H213,$F$14:$F$1213,"&gt;=0")&lt;2,COUNTIFS($A$14:$A$1213,$H213,$F$14:$F$1213,_xlfn.MAXIFS($F$14:$F$1213,$A$14:$A$1213,$H213))&gt;1),"",IFERROR(INDEX($E$14:$E$1213,MATCH($H213&amp;"|"&amp;_xlfn.MAXIFS($F$14:$F$1213,$A$14:$A$1213,$H213),$AB$14:$AB$1213,0)),""))</f>
        <v/>
      </c>
      <c r="AL213" s="27">
        <f>IF(OR($H213="",COUNTIFS($A$14:$A$1213,$H213,$F$14:$F$1213,"&gt;=0")&lt;2,COUNTIFS($A$14:$A$1213,$H213,$F$14:$F$1213,_xlfn.MAXIFS($F$14:$F$1213,$A$14:$A$1213,$H213))&gt;1),"",IFERROR(INDEX($D$14:$D$1213,MATCH($H213&amp;"|"&amp;_xlfn.MAXIFS($F$14:$F$1213,$A$14:$A$1213,$H213,$F$14:$F$1213,"&lt;"&amp;_xlfn.MAXIFS($F$14:$F$1213,$A$14:$A$1213,$H213)),$AB$14:$AB$1213,0)),""))</f>
        <v/>
      </c>
      <c r="AM213" s="27">
        <f>IF(OR($H213="",COUNTIFS($A$14:$A$1213,$H213,$F$14:$F$1213,"&gt;=0")&lt;2,COUNTIFS($A$14:$A$1213,$H213,$F$14:$F$1213,_xlfn.MAXIFS($F$14:$F$1213,$A$14:$A$1213,$H213))&gt;1),"",IFERROR(INDEX($E$14:$E$1213,MATCH($H213&amp;"|"&amp;_xlfn.MAXIFS($F$14:$F$1213,$A$14:$A$1213,$H213,$F$14:$F$1213,"&lt;"&amp;_xlfn.MAXIFS($F$14:$F$1213,$A$14:$A$1213,$H213)),$AB$14:$AB$1213,0)),""))</f>
        <v/>
      </c>
      <c r="AN213" s="27">
        <f>IF(OR(NOT(ISNUMBER($AJ213)),NOT(ISNUMBER($AL213)),$AK213=0,$AM213=0),"",IF(OR((($AJ213+$AL213)/($AK213+$AM213))&lt;=0,(($AJ213+$AL213)/($AK213+$AM213))&gt;=1),"",($AJ213/$AK213-$AL213/$AM213)/SQRT((($AJ213+$AL213)/($AK213+$AM213))*(1-(($AJ213+$AL213)/($AK213+$AM213)))*(1/$AK213+1/$AM213))))</f>
        <v/>
      </c>
      <c r="AO213" s="27">
        <f>IF($A213="","",IF(AND(COUNTIFS($A$14:$A$1213,$A213,$F$14:$F$1213,"&gt;=0")=2,IFERROR(INDEX($M$14:$M$313,MATCH($A213,$H$14:$H$313,0)),"Yes")&lt;&gt;"Yes"),1,0))</f>
        <v/>
      </c>
    </row>
    <row r="214" ht="24" customHeight="1">
      <c r="A214" s="19">
        <f>IF('Enter messages'!A214="","",'Enter messages'!A214)</f>
        <v/>
      </c>
      <c r="B214" s="20">
        <f>IF('Enter messages'!B214="","",'Enter messages'!B214)</f>
        <v/>
      </c>
      <c r="C214" s="21">
        <f>IFERROR(AVERAGE(P214:T214),"")</f>
        <v/>
      </c>
      <c r="D214" s="29" t="n"/>
      <c r="E214" s="29" t="n"/>
      <c r="F214" s="30">
        <f>IF(AND(ISNUMBER($D214),ISNUMBER($E214),$E214&gt;0,$D214&lt;=$E214),$D214/$E214,"")</f>
        <v/>
      </c>
      <c r="H214" s="19">
        <f>IFERROR(INDEX($A$14:$A$1213,MATCH(201,$AI$14:$AI$1213,0)),"")</f>
        <v/>
      </c>
      <c r="I214" s="24">
        <f>IF($H214="","",IF(COUNTIFS($A$14:$A$1213,$H214,$C$14:$C$1213,"&gt;=0")=0,"—",IFERROR(INDEX($B$14:$B$1213,MATCH($H214&amp;"|1",$Z$14:$Z$1213,0)),"(tied)")))</f>
        <v/>
      </c>
      <c r="J214" s="25">
        <f>IF($H214="","",IF(OR(COUNTIFS($A$14:$A$1213,$H214,$C$14:$C$1213,"&gt;=0")=0,COUNTIFS($A$14:$A$1213,$H214,$F$14:$F$1213,"&gt;=0")=0),"—",IF(OR(ISERROR(MATCH($H214&amp;"|1",$Z$14:$Z$1213,0)),ISERROR(MATCH($H214&amp;"|1",$AA$14:$AA$1213,0))),"Tie",IF(MATCH($H214&amp;"|1",$Z$14:$Z$1213,0)=MATCH($H214&amp;"|1",$AA$14:$AA$1213,0),"Hit","Miss"))))</f>
        <v/>
      </c>
      <c r="K214" s="24">
        <f>IF($H214="","",IF(COUNTIFS($A$14:$A$1213,$H214,$F$14:$F$1213,"&gt;=0")=0,"—",IFERROR(INDEX($B$14:$B$1213,MATCH($H214&amp;"|1",$AA$14:$AA$1213,0)),"(tied)")))</f>
        <v/>
      </c>
      <c r="L214" s="25">
        <f>IF($H214="","",IF((--(COUNTIFS($A$14:$A$1213,$H214,$P$14:$P$1213,"&gt;=0")&gt;0)+--(COUNTIFS($A$14:$A$1213,$H214,$Q$14:$Q$1213,"&gt;=0")&gt;0)+--(COUNTIFS($A$14:$A$1213,$H214,$R$14:$R$1213,"&gt;=0")&gt;0)+--(COUNTIFS($A$14:$A$1213,$H214,$S$14:$S$1213,"&gt;=0")&gt;0)+--(COUNTIFS($A$14:$A$1213,$H214,$T$14:$T$1213,"&gt;=0")&gt;0))&lt;2,"—",IF(SUMIFS($AH$14:$AH$1213,$A$14:$A$1213,$H214)=0,"Yes","No")))</f>
        <v/>
      </c>
      <c r="M214" s="25">
        <f>IF($H214="","",IF(COUNTIFS($A$14:$A$1213,$H214,$F$14:$F$1213,"&gt;=0")&lt;2,"—",IF(COUNTIFS($A$14:$A$1213,$H214,$F$14:$F$1213,_xlfn.MAXIFS($F$14:$F$1213,$A$14:$A$1213,$H214))&gt;1,"No",IF(NOT(ISNUMBER($AN214)),"—",IF((2*(1-NORMSDIST(ABS($AN214))))&lt;0.05,"Yes","No")))))</f>
        <v/>
      </c>
      <c r="N214" s="21">
        <f>IF($H214="","",IF(NOT(ISNUMBER($AN214)),"—",IF((2*(1-NORMSDIST(ABS($AN214))))&lt;0.001,"&lt;0.001",TEXT((2*(1-NORMSDIST(ABS($AN214)))),"0.000"))))</f>
        <v/>
      </c>
      <c r="P214" s="26" t="n"/>
      <c r="Q214" s="26" t="n"/>
      <c r="R214" s="26" t="n"/>
      <c r="S214" s="26" t="n"/>
      <c r="T214" s="26" t="n"/>
      <c r="V214" s="27">
        <f>IF(ISNUMBER($C214),COUNTIFS($A$14:$A$1213,$A214,$C$14:$C$1213,"&gt;"&amp;$C214)+(COUNTIFS($A$14:$A$1213,$A214,$C$14:$C$1213,"="&amp;$C214)+1)/2,"")</f>
        <v/>
      </c>
      <c r="W214" s="27">
        <f>IF(ISNUMBER($F214),COUNTIFS($A$14:$A$1213,$A214,$F$14:$F$1213,"&gt;"&amp;$F214)+(COUNTIFS($A$14:$A$1213,$A214,$F$14:$F$1213,"="&amp;$F214)+1)/2,"")</f>
        <v/>
      </c>
      <c r="X214" s="27">
        <f>IF(OR(NOT(ISNUMBER($V214)),$AO214=1),"",$V214-(COUNTIFS($A$14:$A$1213,$A214,$C$14:$C$1213,"&gt;=0")+1)/2)</f>
        <v/>
      </c>
      <c r="Y214" s="27">
        <f>IF(OR(NOT(ISNUMBER($W214)),$AO214=1),"",$W214-(COUNTIFS($A$14:$A$1213,$A214,$F$14:$F$1213,"&gt;=0")+1)/2)</f>
        <v/>
      </c>
      <c r="Z214" s="27">
        <f>IF(ISNUMBER($V214),$A214&amp;"|"&amp;$V214,"")</f>
        <v/>
      </c>
      <c r="AA214" s="27">
        <f>IF(ISNUMBER($W214),$A214&amp;"|"&amp;$W214,"")</f>
        <v/>
      </c>
      <c r="AB214" s="27">
        <f>IF(ISNUMBER($F214),$A214&amp;"|"&amp;$F214,"")</f>
        <v/>
      </c>
      <c r="AC214" s="27">
        <f>IF(ISNUMBER($P214),COUNTIFS($A$14:$A$1213,$A214,$P$14:$P$1213,"&gt;"&amp;$P214)+(COUNTIFS($A$14:$A$1213,$A214,$P$14:$P$1213,"="&amp;$P214)+1)/2,"")</f>
        <v/>
      </c>
      <c r="AD214" s="27">
        <f>IF(ISNUMBER($Q214),COUNTIFS($A$14:$A$1213,$A214,$Q$14:$Q$1213,"&gt;"&amp;$Q214)+(COUNTIFS($A$14:$A$1213,$A214,$Q$14:$Q$1213,"="&amp;$Q214)+1)/2,"")</f>
        <v/>
      </c>
      <c r="AE214" s="27">
        <f>IF(ISNUMBER($R214),COUNTIFS($A$14:$A$1213,$A214,$R$14:$R$1213,"&gt;"&amp;$R214)+(COUNTIFS($A$14:$A$1213,$A214,$R$14:$R$1213,"="&amp;$R214)+1)/2,"")</f>
        <v/>
      </c>
      <c r="AF214" s="27">
        <f>IF(ISNUMBER($S214),COUNTIFS($A$14:$A$1213,$A214,$S$14:$S$1213,"&gt;"&amp;$S214)+(COUNTIFS($A$14:$A$1213,$A214,$S$14:$S$1213,"="&amp;$S214)+1)/2,"")</f>
        <v/>
      </c>
      <c r="AG214" s="27">
        <f>IF(ISNUMBER($T214),COUNTIFS($A$14:$A$1213,$A214,$T$14:$T$1213,"&gt;"&amp;$T214)+(COUNTIFS($A$14:$A$1213,$A214,$T$14:$T$1213,"="&amp;$T214)+1)/2,"")</f>
        <v/>
      </c>
      <c r="AH214" s="27">
        <f>IF(COUNT($AC214:$AG214)&lt;2,"",IF(MAX($AC214:$AG214)=MIN($AC214:$AG214),0,1))</f>
        <v/>
      </c>
      <c r="AI214" s="27">
        <f>IF($A214="","",IF(COUNTIF($A$14:$A214,$A214)=1,COUNTIF($AI$13:AI213,"&gt;0")+1,""))</f>
        <v/>
      </c>
      <c r="AJ214" s="27">
        <f>IF(OR($H214="",COUNTIFS($A$14:$A$1213,$H214,$F$14:$F$1213,"&gt;=0")&lt;2,COUNTIFS($A$14:$A$1213,$H214,$F$14:$F$1213,_xlfn.MAXIFS($F$14:$F$1213,$A$14:$A$1213,$H214))&gt;1),"",IFERROR(INDEX($D$14:$D$1213,MATCH($H214&amp;"|"&amp;_xlfn.MAXIFS($F$14:$F$1213,$A$14:$A$1213,$H214),$AB$14:$AB$1213,0)),""))</f>
        <v/>
      </c>
      <c r="AK214" s="27">
        <f>IF(OR($H214="",COUNTIFS($A$14:$A$1213,$H214,$F$14:$F$1213,"&gt;=0")&lt;2,COUNTIFS($A$14:$A$1213,$H214,$F$14:$F$1213,_xlfn.MAXIFS($F$14:$F$1213,$A$14:$A$1213,$H214))&gt;1),"",IFERROR(INDEX($E$14:$E$1213,MATCH($H214&amp;"|"&amp;_xlfn.MAXIFS($F$14:$F$1213,$A$14:$A$1213,$H214),$AB$14:$AB$1213,0)),""))</f>
        <v/>
      </c>
      <c r="AL214" s="27">
        <f>IF(OR($H214="",COUNTIFS($A$14:$A$1213,$H214,$F$14:$F$1213,"&gt;=0")&lt;2,COUNTIFS($A$14:$A$1213,$H214,$F$14:$F$1213,_xlfn.MAXIFS($F$14:$F$1213,$A$14:$A$1213,$H214))&gt;1),"",IFERROR(INDEX($D$14:$D$1213,MATCH($H214&amp;"|"&amp;_xlfn.MAXIFS($F$14:$F$1213,$A$14:$A$1213,$H214,$F$14:$F$1213,"&lt;"&amp;_xlfn.MAXIFS($F$14:$F$1213,$A$14:$A$1213,$H214)),$AB$14:$AB$1213,0)),""))</f>
        <v/>
      </c>
      <c r="AM214" s="27">
        <f>IF(OR($H214="",COUNTIFS($A$14:$A$1213,$H214,$F$14:$F$1213,"&gt;=0")&lt;2,COUNTIFS($A$14:$A$1213,$H214,$F$14:$F$1213,_xlfn.MAXIFS($F$14:$F$1213,$A$14:$A$1213,$H214))&gt;1),"",IFERROR(INDEX($E$14:$E$1213,MATCH($H214&amp;"|"&amp;_xlfn.MAXIFS($F$14:$F$1213,$A$14:$A$1213,$H214,$F$14:$F$1213,"&lt;"&amp;_xlfn.MAXIFS($F$14:$F$1213,$A$14:$A$1213,$H214)),$AB$14:$AB$1213,0)),""))</f>
        <v/>
      </c>
      <c r="AN214" s="27">
        <f>IF(OR(NOT(ISNUMBER($AJ214)),NOT(ISNUMBER($AL214)),$AK214=0,$AM214=0),"",IF(OR((($AJ214+$AL214)/($AK214+$AM214))&lt;=0,(($AJ214+$AL214)/($AK214+$AM214))&gt;=1),"",($AJ214/$AK214-$AL214/$AM214)/SQRT((($AJ214+$AL214)/($AK214+$AM214))*(1-(($AJ214+$AL214)/($AK214+$AM214)))*(1/$AK214+1/$AM214))))</f>
        <v/>
      </c>
      <c r="AO214" s="27">
        <f>IF($A214="","",IF(AND(COUNTIFS($A$14:$A$1213,$A214,$F$14:$F$1213,"&gt;=0")=2,IFERROR(INDEX($M$14:$M$313,MATCH($A214,$H$14:$H$313,0)),"Yes")&lt;&gt;"Yes"),1,0))</f>
        <v/>
      </c>
    </row>
    <row r="215" ht="24" customHeight="1">
      <c r="A215" s="19">
        <f>IF('Enter messages'!A215="","",'Enter messages'!A215)</f>
        <v/>
      </c>
      <c r="B215" s="20">
        <f>IF('Enter messages'!B215="","",'Enter messages'!B215)</f>
        <v/>
      </c>
      <c r="C215" s="21">
        <f>IFERROR(AVERAGE(P215:T215),"")</f>
        <v/>
      </c>
      <c r="D215" s="29" t="n"/>
      <c r="E215" s="29" t="n"/>
      <c r="F215" s="30">
        <f>IF(AND(ISNUMBER($D215),ISNUMBER($E215),$E215&gt;0,$D215&lt;=$E215),$D215/$E215,"")</f>
        <v/>
      </c>
      <c r="H215" s="19">
        <f>IFERROR(INDEX($A$14:$A$1213,MATCH(202,$AI$14:$AI$1213,0)),"")</f>
        <v/>
      </c>
      <c r="I215" s="24">
        <f>IF($H215="","",IF(COUNTIFS($A$14:$A$1213,$H215,$C$14:$C$1213,"&gt;=0")=0,"—",IFERROR(INDEX($B$14:$B$1213,MATCH($H215&amp;"|1",$Z$14:$Z$1213,0)),"(tied)")))</f>
        <v/>
      </c>
      <c r="J215" s="25">
        <f>IF($H215="","",IF(OR(COUNTIFS($A$14:$A$1213,$H215,$C$14:$C$1213,"&gt;=0")=0,COUNTIFS($A$14:$A$1213,$H215,$F$14:$F$1213,"&gt;=0")=0),"—",IF(OR(ISERROR(MATCH($H215&amp;"|1",$Z$14:$Z$1213,0)),ISERROR(MATCH($H215&amp;"|1",$AA$14:$AA$1213,0))),"Tie",IF(MATCH($H215&amp;"|1",$Z$14:$Z$1213,0)=MATCH($H215&amp;"|1",$AA$14:$AA$1213,0),"Hit","Miss"))))</f>
        <v/>
      </c>
      <c r="K215" s="24">
        <f>IF($H215="","",IF(COUNTIFS($A$14:$A$1213,$H215,$F$14:$F$1213,"&gt;=0")=0,"—",IFERROR(INDEX($B$14:$B$1213,MATCH($H215&amp;"|1",$AA$14:$AA$1213,0)),"(tied)")))</f>
        <v/>
      </c>
      <c r="L215" s="25">
        <f>IF($H215="","",IF((--(COUNTIFS($A$14:$A$1213,$H215,$P$14:$P$1213,"&gt;=0")&gt;0)+--(COUNTIFS($A$14:$A$1213,$H215,$Q$14:$Q$1213,"&gt;=0")&gt;0)+--(COUNTIFS($A$14:$A$1213,$H215,$R$14:$R$1213,"&gt;=0")&gt;0)+--(COUNTIFS($A$14:$A$1213,$H215,$S$14:$S$1213,"&gt;=0")&gt;0)+--(COUNTIFS($A$14:$A$1213,$H215,$T$14:$T$1213,"&gt;=0")&gt;0))&lt;2,"—",IF(SUMIFS($AH$14:$AH$1213,$A$14:$A$1213,$H215)=0,"Yes","No")))</f>
        <v/>
      </c>
      <c r="M215" s="25">
        <f>IF($H215="","",IF(COUNTIFS($A$14:$A$1213,$H215,$F$14:$F$1213,"&gt;=0")&lt;2,"—",IF(COUNTIFS($A$14:$A$1213,$H215,$F$14:$F$1213,_xlfn.MAXIFS($F$14:$F$1213,$A$14:$A$1213,$H215))&gt;1,"No",IF(NOT(ISNUMBER($AN215)),"—",IF((2*(1-NORMSDIST(ABS($AN215))))&lt;0.05,"Yes","No")))))</f>
        <v/>
      </c>
      <c r="N215" s="21">
        <f>IF($H215="","",IF(NOT(ISNUMBER($AN215)),"—",IF((2*(1-NORMSDIST(ABS($AN215))))&lt;0.001,"&lt;0.001",TEXT((2*(1-NORMSDIST(ABS($AN215)))),"0.000"))))</f>
        <v/>
      </c>
      <c r="P215" s="26" t="n"/>
      <c r="Q215" s="26" t="n"/>
      <c r="R215" s="26" t="n"/>
      <c r="S215" s="26" t="n"/>
      <c r="T215" s="26" t="n"/>
      <c r="V215" s="27">
        <f>IF(ISNUMBER($C215),COUNTIFS($A$14:$A$1213,$A215,$C$14:$C$1213,"&gt;"&amp;$C215)+(COUNTIFS($A$14:$A$1213,$A215,$C$14:$C$1213,"="&amp;$C215)+1)/2,"")</f>
        <v/>
      </c>
      <c r="W215" s="27">
        <f>IF(ISNUMBER($F215),COUNTIFS($A$14:$A$1213,$A215,$F$14:$F$1213,"&gt;"&amp;$F215)+(COUNTIFS($A$14:$A$1213,$A215,$F$14:$F$1213,"="&amp;$F215)+1)/2,"")</f>
        <v/>
      </c>
      <c r="X215" s="27">
        <f>IF(OR(NOT(ISNUMBER($V215)),$AO215=1),"",$V215-(COUNTIFS($A$14:$A$1213,$A215,$C$14:$C$1213,"&gt;=0")+1)/2)</f>
        <v/>
      </c>
      <c r="Y215" s="27">
        <f>IF(OR(NOT(ISNUMBER($W215)),$AO215=1),"",$W215-(COUNTIFS($A$14:$A$1213,$A215,$F$14:$F$1213,"&gt;=0")+1)/2)</f>
        <v/>
      </c>
      <c r="Z215" s="27">
        <f>IF(ISNUMBER($V215),$A215&amp;"|"&amp;$V215,"")</f>
        <v/>
      </c>
      <c r="AA215" s="27">
        <f>IF(ISNUMBER($W215),$A215&amp;"|"&amp;$W215,"")</f>
        <v/>
      </c>
      <c r="AB215" s="27">
        <f>IF(ISNUMBER($F215),$A215&amp;"|"&amp;$F215,"")</f>
        <v/>
      </c>
      <c r="AC215" s="27">
        <f>IF(ISNUMBER($P215),COUNTIFS($A$14:$A$1213,$A215,$P$14:$P$1213,"&gt;"&amp;$P215)+(COUNTIFS($A$14:$A$1213,$A215,$P$14:$P$1213,"="&amp;$P215)+1)/2,"")</f>
        <v/>
      </c>
      <c r="AD215" s="27">
        <f>IF(ISNUMBER($Q215),COUNTIFS($A$14:$A$1213,$A215,$Q$14:$Q$1213,"&gt;"&amp;$Q215)+(COUNTIFS($A$14:$A$1213,$A215,$Q$14:$Q$1213,"="&amp;$Q215)+1)/2,"")</f>
        <v/>
      </c>
      <c r="AE215" s="27">
        <f>IF(ISNUMBER($R215),COUNTIFS($A$14:$A$1213,$A215,$R$14:$R$1213,"&gt;"&amp;$R215)+(COUNTIFS($A$14:$A$1213,$A215,$R$14:$R$1213,"="&amp;$R215)+1)/2,"")</f>
        <v/>
      </c>
      <c r="AF215" s="27">
        <f>IF(ISNUMBER($S215),COUNTIFS($A$14:$A$1213,$A215,$S$14:$S$1213,"&gt;"&amp;$S215)+(COUNTIFS($A$14:$A$1213,$A215,$S$14:$S$1213,"="&amp;$S215)+1)/2,"")</f>
        <v/>
      </c>
      <c r="AG215" s="27">
        <f>IF(ISNUMBER($T215),COUNTIFS($A$14:$A$1213,$A215,$T$14:$T$1213,"&gt;"&amp;$T215)+(COUNTIFS($A$14:$A$1213,$A215,$T$14:$T$1213,"="&amp;$T215)+1)/2,"")</f>
        <v/>
      </c>
      <c r="AH215" s="27">
        <f>IF(COUNT($AC215:$AG215)&lt;2,"",IF(MAX($AC215:$AG215)=MIN($AC215:$AG215),0,1))</f>
        <v/>
      </c>
      <c r="AI215" s="27">
        <f>IF($A215="","",IF(COUNTIF($A$14:$A215,$A215)=1,COUNTIF($AI$13:AI214,"&gt;0")+1,""))</f>
        <v/>
      </c>
      <c r="AJ215" s="27">
        <f>IF(OR($H215="",COUNTIFS($A$14:$A$1213,$H215,$F$14:$F$1213,"&gt;=0")&lt;2,COUNTIFS($A$14:$A$1213,$H215,$F$14:$F$1213,_xlfn.MAXIFS($F$14:$F$1213,$A$14:$A$1213,$H215))&gt;1),"",IFERROR(INDEX($D$14:$D$1213,MATCH($H215&amp;"|"&amp;_xlfn.MAXIFS($F$14:$F$1213,$A$14:$A$1213,$H215),$AB$14:$AB$1213,0)),""))</f>
        <v/>
      </c>
      <c r="AK215" s="27">
        <f>IF(OR($H215="",COUNTIFS($A$14:$A$1213,$H215,$F$14:$F$1213,"&gt;=0")&lt;2,COUNTIFS($A$14:$A$1213,$H215,$F$14:$F$1213,_xlfn.MAXIFS($F$14:$F$1213,$A$14:$A$1213,$H215))&gt;1),"",IFERROR(INDEX($E$14:$E$1213,MATCH($H215&amp;"|"&amp;_xlfn.MAXIFS($F$14:$F$1213,$A$14:$A$1213,$H215),$AB$14:$AB$1213,0)),""))</f>
        <v/>
      </c>
      <c r="AL215" s="27">
        <f>IF(OR($H215="",COUNTIFS($A$14:$A$1213,$H215,$F$14:$F$1213,"&gt;=0")&lt;2,COUNTIFS($A$14:$A$1213,$H215,$F$14:$F$1213,_xlfn.MAXIFS($F$14:$F$1213,$A$14:$A$1213,$H215))&gt;1),"",IFERROR(INDEX($D$14:$D$1213,MATCH($H215&amp;"|"&amp;_xlfn.MAXIFS($F$14:$F$1213,$A$14:$A$1213,$H215,$F$14:$F$1213,"&lt;"&amp;_xlfn.MAXIFS($F$14:$F$1213,$A$14:$A$1213,$H215)),$AB$14:$AB$1213,0)),""))</f>
        <v/>
      </c>
      <c r="AM215" s="27">
        <f>IF(OR($H215="",COUNTIFS($A$14:$A$1213,$H215,$F$14:$F$1213,"&gt;=0")&lt;2,COUNTIFS($A$14:$A$1213,$H215,$F$14:$F$1213,_xlfn.MAXIFS($F$14:$F$1213,$A$14:$A$1213,$H215))&gt;1),"",IFERROR(INDEX($E$14:$E$1213,MATCH($H215&amp;"|"&amp;_xlfn.MAXIFS($F$14:$F$1213,$A$14:$A$1213,$H215,$F$14:$F$1213,"&lt;"&amp;_xlfn.MAXIFS($F$14:$F$1213,$A$14:$A$1213,$H215)),$AB$14:$AB$1213,0)),""))</f>
        <v/>
      </c>
      <c r="AN215" s="27">
        <f>IF(OR(NOT(ISNUMBER($AJ215)),NOT(ISNUMBER($AL215)),$AK215=0,$AM215=0),"",IF(OR((($AJ215+$AL215)/($AK215+$AM215))&lt;=0,(($AJ215+$AL215)/($AK215+$AM215))&gt;=1),"",($AJ215/$AK215-$AL215/$AM215)/SQRT((($AJ215+$AL215)/($AK215+$AM215))*(1-(($AJ215+$AL215)/($AK215+$AM215)))*(1/$AK215+1/$AM215))))</f>
        <v/>
      </c>
      <c r="AO215" s="27">
        <f>IF($A215="","",IF(AND(COUNTIFS($A$14:$A$1213,$A215,$F$14:$F$1213,"&gt;=0")=2,IFERROR(INDEX($M$14:$M$313,MATCH($A215,$H$14:$H$313,0)),"Yes")&lt;&gt;"Yes"),1,0))</f>
        <v/>
      </c>
    </row>
    <row r="216" ht="24" customHeight="1">
      <c r="A216" s="19">
        <f>IF('Enter messages'!A216="","",'Enter messages'!A216)</f>
        <v/>
      </c>
      <c r="B216" s="20">
        <f>IF('Enter messages'!B216="","",'Enter messages'!B216)</f>
        <v/>
      </c>
      <c r="C216" s="21">
        <f>IFERROR(AVERAGE(P216:T216),"")</f>
        <v/>
      </c>
      <c r="D216" s="29" t="n"/>
      <c r="E216" s="29" t="n"/>
      <c r="F216" s="30">
        <f>IF(AND(ISNUMBER($D216),ISNUMBER($E216),$E216&gt;0,$D216&lt;=$E216),$D216/$E216,"")</f>
        <v/>
      </c>
      <c r="H216" s="19">
        <f>IFERROR(INDEX($A$14:$A$1213,MATCH(203,$AI$14:$AI$1213,0)),"")</f>
        <v/>
      </c>
      <c r="I216" s="24">
        <f>IF($H216="","",IF(COUNTIFS($A$14:$A$1213,$H216,$C$14:$C$1213,"&gt;=0")=0,"—",IFERROR(INDEX($B$14:$B$1213,MATCH($H216&amp;"|1",$Z$14:$Z$1213,0)),"(tied)")))</f>
        <v/>
      </c>
      <c r="J216" s="25">
        <f>IF($H216="","",IF(OR(COUNTIFS($A$14:$A$1213,$H216,$C$14:$C$1213,"&gt;=0")=0,COUNTIFS($A$14:$A$1213,$H216,$F$14:$F$1213,"&gt;=0")=0),"—",IF(OR(ISERROR(MATCH($H216&amp;"|1",$Z$14:$Z$1213,0)),ISERROR(MATCH($H216&amp;"|1",$AA$14:$AA$1213,0))),"Tie",IF(MATCH($H216&amp;"|1",$Z$14:$Z$1213,0)=MATCH($H216&amp;"|1",$AA$14:$AA$1213,0),"Hit","Miss"))))</f>
        <v/>
      </c>
      <c r="K216" s="24">
        <f>IF($H216="","",IF(COUNTIFS($A$14:$A$1213,$H216,$F$14:$F$1213,"&gt;=0")=0,"—",IFERROR(INDEX($B$14:$B$1213,MATCH($H216&amp;"|1",$AA$14:$AA$1213,0)),"(tied)")))</f>
        <v/>
      </c>
      <c r="L216" s="25">
        <f>IF($H216="","",IF((--(COUNTIFS($A$14:$A$1213,$H216,$P$14:$P$1213,"&gt;=0")&gt;0)+--(COUNTIFS($A$14:$A$1213,$H216,$Q$14:$Q$1213,"&gt;=0")&gt;0)+--(COUNTIFS($A$14:$A$1213,$H216,$R$14:$R$1213,"&gt;=0")&gt;0)+--(COUNTIFS($A$14:$A$1213,$H216,$S$14:$S$1213,"&gt;=0")&gt;0)+--(COUNTIFS($A$14:$A$1213,$H216,$T$14:$T$1213,"&gt;=0")&gt;0))&lt;2,"—",IF(SUMIFS($AH$14:$AH$1213,$A$14:$A$1213,$H216)=0,"Yes","No")))</f>
        <v/>
      </c>
      <c r="M216" s="25">
        <f>IF($H216="","",IF(COUNTIFS($A$14:$A$1213,$H216,$F$14:$F$1213,"&gt;=0")&lt;2,"—",IF(COUNTIFS($A$14:$A$1213,$H216,$F$14:$F$1213,_xlfn.MAXIFS($F$14:$F$1213,$A$14:$A$1213,$H216))&gt;1,"No",IF(NOT(ISNUMBER($AN216)),"—",IF((2*(1-NORMSDIST(ABS($AN216))))&lt;0.05,"Yes","No")))))</f>
        <v/>
      </c>
      <c r="N216" s="21">
        <f>IF($H216="","",IF(NOT(ISNUMBER($AN216)),"—",IF((2*(1-NORMSDIST(ABS($AN216))))&lt;0.001,"&lt;0.001",TEXT((2*(1-NORMSDIST(ABS($AN216)))),"0.000"))))</f>
        <v/>
      </c>
      <c r="P216" s="26" t="n"/>
      <c r="Q216" s="26" t="n"/>
      <c r="R216" s="26" t="n"/>
      <c r="S216" s="26" t="n"/>
      <c r="T216" s="26" t="n"/>
      <c r="V216" s="27">
        <f>IF(ISNUMBER($C216),COUNTIFS($A$14:$A$1213,$A216,$C$14:$C$1213,"&gt;"&amp;$C216)+(COUNTIFS($A$14:$A$1213,$A216,$C$14:$C$1213,"="&amp;$C216)+1)/2,"")</f>
        <v/>
      </c>
      <c r="W216" s="27">
        <f>IF(ISNUMBER($F216),COUNTIFS($A$14:$A$1213,$A216,$F$14:$F$1213,"&gt;"&amp;$F216)+(COUNTIFS($A$14:$A$1213,$A216,$F$14:$F$1213,"="&amp;$F216)+1)/2,"")</f>
        <v/>
      </c>
      <c r="X216" s="27">
        <f>IF(OR(NOT(ISNUMBER($V216)),$AO216=1),"",$V216-(COUNTIFS($A$14:$A$1213,$A216,$C$14:$C$1213,"&gt;=0")+1)/2)</f>
        <v/>
      </c>
      <c r="Y216" s="27">
        <f>IF(OR(NOT(ISNUMBER($W216)),$AO216=1),"",$W216-(COUNTIFS($A$14:$A$1213,$A216,$F$14:$F$1213,"&gt;=0")+1)/2)</f>
        <v/>
      </c>
      <c r="Z216" s="27">
        <f>IF(ISNUMBER($V216),$A216&amp;"|"&amp;$V216,"")</f>
        <v/>
      </c>
      <c r="AA216" s="27">
        <f>IF(ISNUMBER($W216),$A216&amp;"|"&amp;$W216,"")</f>
        <v/>
      </c>
      <c r="AB216" s="27">
        <f>IF(ISNUMBER($F216),$A216&amp;"|"&amp;$F216,"")</f>
        <v/>
      </c>
      <c r="AC216" s="27">
        <f>IF(ISNUMBER($P216),COUNTIFS($A$14:$A$1213,$A216,$P$14:$P$1213,"&gt;"&amp;$P216)+(COUNTIFS($A$14:$A$1213,$A216,$P$14:$P$1213,"="&amp;$P216)+1)/2,"")</f>
        <v/>
      </c>
      <c r="AD216" s="27">
        <f>IF(ISNUMBER($Q216),COUNTIFS($A$14:$A$1213,$A216,$Q$14:$Q$1213,"&gt;"&amp;$Q216)+(COUNTIFS($A$14:$A$1213,$A216,$Q$14:$Q$1213,"="&amp;$Q216)+1)/2,"")</f>
        <v/>
      </c>
      <c r="AE216" s="27">
        <f>IF(ISNUMBER($R216),COUNTIFS($A$14:$A$1213,$A216,$R$14:$R$1213,"&gt;"&amp;$R216)+(COUNTIFS($A$14:$A$1213,$A216,$R$14:$R$1213,"="&amp;$R216)+1)/2,"")</f>
        <v/>
      </c>
      <c r="AF216" s="27">
        <f>IF(ISNUMBER($S216),COUNTIFS($A$14:$A$1213,$A216,$S$14:$S$1213,"&gt;"&amp;$S216)+(COUNTIFS($A$14:$A$1213,$A216,$S$14:$S$1213,"="&amp;$S216)+1)/2,"")</f>
        <v/>
      </c>
      <c r="AG216" s="27">
        <f>IF(ISNUMBER($T216),COUNTIFS($A$14:$A$1213,$A216,$T$14:$T$1213,"&gt;"&amp;$T216)+(COUNTIFS($A$14:$A$1213,$A216,$T$14:$T$1213,"="&amp;$T216)+1)/2,"")</f>
        <v/>
      </c>
      <c r="AH216" s="27">
        <f>IF(COUNT($AC216:$AG216)&lt;2,"",IF(MAX($AC216:$AG216)=MIN($AC216:$AG216),0,1))</f>
        <v/>
      </c>
      <c r="AI216" s="27">
        <f>IF($A216="","",IF(COUNTIF($A$14:$A216,$A216)=1,COUNTIF($AI$13:AI215,"&gt;0")+1,""))</f>
        <v/>
      </c>
      <c r="AJ216" s="27">
        <f>IF(OR($H216="",COUNTIFS($A$14:$A$1213,$H216,$F$14:$F$1213,"&gt;=0")&lt;2,COUNTIFS($A$14:$A$1213,$H216,$F$14:$F$1213,_xlfn.MAXIFS($F$14:$F$1213,$A$14:$A$1213,$H216))&gt;1),"",IFERROR(INDEX($D$14:$D$1213,MATCH($H216&amp;"|"&amp;_xlfn.MAXIFS($F$14:$F$1213,$A$14:$A$1213,$H216),$AB$14:$AB$1213,0)),""))</f>
        <v/>
      </c>
      <c r="AK216" s="27">
        <f>IF(OR($H216="",COUNTIFS($A$14:$A$1213,$H216,$F$14:$F$1213,"&gt;=0")&lt;2,COUNTIFS($A$14:$A$1213,$H216,$F$14:$F$1213,_xlfn.MAXIFS($F$14:$F$1213,$A$14:$A$1213,$H216))&gt;1),"",IFERROR(INDEX($E$14:$E$1213,MATCH($H216&amp;"|"&amp;_xlfn.MAXIFS($F$14:$F$1213,$A$14:$A$1213,$H216),$AB$14:$AB$1213,0)),""))</f>
        <v/>
      </c>
      <c r="AL216" s="27">
        <f>IF(OR($H216="",COUNTIFS($A$14:$A$1213,$H216,$F$14:$F$1213,"&gt;=0")&lt;2,COUNTIFS($A$14:$A$1213,$H216,$F$14:$F$1213,_xlfn.MAXIFS($F$14:$F$1213,$A$14:$A$1213,$H216))&gt;1),"",IFERROR(INDEX($D$14:$D$1213,MATCH($H216&amp;"|"&amp;_xlfn.MAXIFS($F$14:$F$1213,$A$14:$A$1213,$H216,$F$14:$F$1213,"&lt;"&amp;_xlfn.MAXIFS($F$14:$F$1213,$A$14:$A$1213,$H216)),$AB$14:$AB$1213,0)),""))</f>
        <v/>
      </c>
      <c r="AM216" s="27">
        <f>IF(OR($H216="",COUNTIFS($A$14:$A$1213,$H216,$F$14:$F$1213,"&gt;=0")&lt;2,COUNTIFS($A$14:$A$1213,$H216,$F$14:$F$1213,_xlfn.MAXIFS($F$14:$F$1213,$A$14:$A$1213,$H216))&gt;1),"",IFERROR(INDEX($E$14:$E$1213,MATCH($H216&amp;"|"&amp;_xlfn.MAXIFS($F$14:$F$1213,$A$14:$A$1213,$H216,$F$14:$F$1213,"&lt;"&amp;_xlfn.MAXIFS($F$14:$F$1213,$A$14:$A$1213,$H216)),$AB$14:$AB$1213,0)),""))</f>
        <v/>
      </c>
      <c r="AN216" s="27">
        <f>IF(OR(NOT(ISNUMBER($AJ216)),NOT(ISNUMBER($AL216)),$AK216=0,$AM216=0),"",IF(OR((($AJ216+$AL216)/($AK216+$AM216))&lt;=0,(($AJ216+$AL216)/($AK216+$AM216))&gt;=1),"",($AJ216/$AK216-$AL216/$AM216)/SQRT((($AJ216+$AL216)/($AK216+$AM216))*(1-(($AJ216+$AL216)/($AK216+$AM216)))*(1/$AK216+1/$AM216))))</f>
        <v/>
      </c>
      <c r="AO216" s="27">
        <f>IF($A216="","",IF(AND(COUNTIFS($A$14:$A$1213,$A216,$F$14:$F$1213,"&gt;=0")=2,IFERROR(INDEX($M$14:$M$313,MATCH($A216,$H$14:$H$313,0)),"Yes")&lt;&gt;"Yes"),1,0))</f>
        <v/>
      </c>
    </row>
    <row r="217" ht="24" customHeight="1">
      <c r="A217" s="19">
        <f>IF('Enter messages'!A217="","",'Enter messages'!A217)</f>
        <v/>
      </c>
      <c r="B217" s="20">
        <f>IF('Enter messages'!B217="","",'Enter messages'!B217)</f>
        <v/>
      </c>
      <c r="C217" s="21">
        <f>IFERROR(AVERAGE(P217:T217),"")</f>
        <v/>
      </c>
      <c r="D217" s="29" t="n"/>
      <c r="E217" s="29" t="n"/>
      <c r="F217" s="30">
        <f>IF(AND(ISNUMBER($D217),ISNUMBER($E217),$E217&gt;0,$D217&lt;=$E217),$D217/$E217,"")</f>
        <v/>
      </c>
      <c r="H217" s="19">
        <f>IFERROR(INDEX($A$14:$A$1213,MATCH(204,$AI$14:$AI$1213,0)),"")</f>
        <v/>
      </c>
      <c r="I217" s="24">
        <f>IF($H217="","",IF(COUNTIFS($A$14:$A$1213,$H217,$C$14:$C$1213,"&gt;=0")=0,"—",IFERROR(INDEX($B$14:$B$1213,MATCH($H217&amp;"|1",$Z$14:$Z$1213,0)),"(tied)")))</f>
        <v/>
      </c>
      <c r="J217" s="25">
        <f>IF($H217="","",IF(OR(COUNTIFS($A$14:$A$1213,$H217,$C$14:$C$1213,"&gt;=0")=0,COUNTIFS($A$14:$A$1213,$H217,$F$14:$F$1213,"&gt;=0")=0),"—",IF(OR(ISERROR(MATCH($H217&amp;"|1",$Z$14:$Z$1213,0)),ISERROR(MATCH($H217&amp;"|1",$AA$14:$AA$1213,0))),"Tie",IF(MATCH($H217&amp;"|1",$Z$14:$Z$1213,0)=MATCH($H217&amp;"|1",$AA$14:$AA$1213,0),"Hit","Miss"))))</f>
        <v/>
      </c>
      <c r="K217" s="24">
        <f>IF($H217="","",IF(COUNTIFS($A$14:$A$1213,$H217,$F$14:$F$1213,"&gt;=0")=0,"—",IFERROR(INDEX($B$14:$B$1213,MATCH($H217&amp;"|1",$AA$14:$AA$1213,0)),"(tied)")))</f>
        <v/>
      </c>
      <c r="L217" s="25">
        <f>IF($H217="","",IF((--(COUNTIFS($A$14:$A$1213,$H217,$P$14:$P$1213,"&gt;=0")&gt;0)+--(COUNTIFS($A$14:$A$1213,$H217,$Q$14:$Q$1213,"&gt;=0")&gt;0)+--(COUNTIFS($A$14:$A$1213,$H217,$R$14:$R$1213,"&gt;=0")&gt;0)+--(COUNTIFS($A$14:$A$1213,$H217,$S$14:$S$1213,"&gt;=0")&gt;0)+--(COUNTIFS($A$14:$A$1213,$H217,$T$14:$T$1213,"&gt;=0")&gt;0))&lt;2,"—",IF(SUMIFS($AH$14:$AH$1213,$A$14:$A$1213,$H217)=0,"Yes","No")))</f>
        <v/>
      </c>
      <c r="M217" s="25">
        <f>IF($H217="","",IF(COUNTIFS($A$14:$A$1213,$H217,$F$14:$F$1213,"&gt;=0")&lt;2,"—",IF(COUNTIFS($A$14:$A$1213,$H217,$F$14:$F$1213,_xlfn.MAXIFS($F$14:$F$1213,$A$14:$A$1213,$H217))&gt;1,"No",IF(NOT(ISNUMBER($AN217)),"—",IF((2*(1-NORMSDIST(ABS($AN217))))&lt;0.05,"Yes","No")))))</f>
        <v/>
      </c>
      <c r="N217" s="21">
        <f>IF($H217="","",IF(NOT(ISNUMBER($AN217)),"—",IF((2*(1-NORMSDIST(ABS($AN217))))&lt;0.001,"&lt;0.001",TEXT((2*(1-NORMSDIST(ABS($AN217)))),"0.000"))))</f>
        <v/>
      </c>
      <c r="P217" s="26" t="n"/>
      <c r="Q217" s="26" t="n"/>
      <c r="R217" s="26" t="n"/>
      <c r="S217" s="26" t="n"/>
      <c r="T217" s="26" t="n"/>
      <c r="V217" s="27">
        <f>IF(ISNUMBER($C217),COUNTIFS($A$14:$A$1213,$A217,$C$14:$C$1213,"&gt;"&amp;$C217)+(COUNTIFS($A$14:$A$1213,$A217,$C$14:$C$1213,"="&amp;$C217)+1)/2,"")</f>
        <v/>
      </c>
      <c r="W217" s="27">
        <f>IF(ISNUMBER($F217),COUNTIFS($A$14:$A$1213,$A217,$F$14:$F$1213,"&gt;"&amp;$F217)+(COUNTIFS($A$14:$A$1213,$A217,$F$14:$F$1213,"="&amp;$F217)+1)/2,"")</f>
        <v/>
      </c>
      <c r="X217" s="27">
        <f>IF(OR(NOT(ISNUMBER($V217)),$AO217=1),"",$V217-(COUNTIFS($A$14:$A$1213,$A217,$C$14:$C$1213,"&gt;=0")+1)/2)</f>
        <v/>
      </c>
      <c r="Y217" s="27">
        <f>IF(OR(NOT(ISNUMBER($W217)),$AO217=1),"",$W217-(COUNTIFS($A$14:$A$1213,$A217,$F$14:$F$1213,"&gt;=0")+1)/2)</f>
        <v/>
      </c>
      <c r="Z217" s="27">
        <f>IF(ISNUMBER($V217),$A217&amp;"|"&amp;$V217,"")</f>
        <v/>
      </c>
      <c r="AA217" s="27">
        <f>IF(ISNUMBER($W217),$A217&amp;"|"&amp;$W217,"")</f>
        <v/>
      </c>
      <c r="AB217" s="27">
        <f>IF(ISNUMBER($F217),$A217&amp;"|"&amp;$F217,"")</f>
        <v/>
      </c>
      <c r="AC217" s="27">
        <f>IF(ISNUMBER($P217),COUNTIFS($A$14:$A$1213,$A217,$P$14:$P$1213,"&gt;"&amp;$P217)+(COUNTIFS($A$14:$A$1213,$A217,$P$14:$P$1213,"="&amp;$P217)+1)/2,"")</f>
        <v/>
      </c>
      <c r="AD217" s="27">
        <f>IF(ISNUMBER($Q217),COUNTIFS($A$14:$A$1213,$A217,$Q$14:$Q$1213,"&gt;"&amp;$Q217)+(COUNTIFS($A$14:$A$1213,$A217,$Q$14:$Q$1213,"="&amp;$Q217)+1)/2,"")</f>
        <v/>
      </c>
      <c r="AE217" s="27">
        <f>IF(ISNUMBER($R217),COUNTIFS($A$14:$A$1213,$A217,$R$14:$R$1213,"&gt;"&amp;$R217)+(COUNTIFS($A$14:$A$1213,$A217,$R$14:$R$1213,"="&amp;$R217)+1)/2,"")</f>
        <v/>
      </c>
      <c r="AF217" s="27">
        <f>IF(ISNUMBER($S217),COUNTIFS($A$14:$A$1213,$A217,$S$14:$S$1213,"&gt;"&amp;$S217)+(COUNTIFS($A$14:$A$1213,$A217,$S$14:$S$1213,"="&amp;$S217)+1)/2,"")</f>
        <v/>
      </c>
      <c r="AG217" s="27">
        <f>IF(ISNUMBER($T217),COUNTIFS($A$14:$A$1213,$A217,$T$14:$T$1213,"&gt;"&amp;$T217)+(COUNTIFS($A$14:$A$1213,$A217,$T$14:$T$1213,"="&amp;$T217)+1)/2,"")</f>
        <v/>
      </c>
      <c r="AH217" s="27">
        <f>IF(COUNT($AC217:$AG217)&lt;2,"",IF(MAX($AC217:$AG217)=MIN($AC217:$AG217),0,1))</f>
        <v/>
      </c>
      <c r="AI217" s="27">
        <f>IF($A217="","",IF(COUNTIF($A$14:$A217,$A217)=1,COUNTIF($AI$13:AI216,"&gt;0")+1,""))</f>
        <v/>
      </c>
      <c r="AJ217" s="27">
        <f>IF(OR($H217="",COUNTIFS($A$14:$A$1213,$H217,$F$14:$F$1213,"&gt;=0")&lt;2,COUNTIFS($A$14:$A$1213,$H217,$F$14:$F$1213,_xlfn.MAXIFS($F$14:$F$1213,$A$14:$A$1213,$H217))&gt;1),"",IFERROR(INDEX($D$14:$D$1213,MATCH($H217&amp;"|"&amp;_xlfn.MAXIFS($F$14:$F$1213,$A$14:$A$1213,$H217),$AB$14:$AB$1213,0)),""))</f>
        <v/>
      </c>
      <c r="AK217" s="27">
        <f>IF(OR($H217="",COUNTIFS($A$14:$A$1213,$H217,$F$14:$F$1213,"&gt;=0")&lt;2,COUNTIFS($A$14:$A$1213,$H217,$F$14:$F$1213,_xlfn.MAXIFS($F$14:$F$1213,$A$14:$A$1213,$H217))&gt;1),"",IFERROR(INDEX($E$14:$E$1213,MATCH($H217&amp;"|"&amp;_xlfn.MAXIFS($F$14:$F$1213,$A$14:$A$1213,$H217),$AB$14:$AB$1213,0)),""))</f>
        <v/>
      </c>
      <c r="AL217" s="27">
        <f>IF(OR($H217="",COUNTIFS($A$14:$A$1213,$H217,$F$14:$F$1213,"&gt;=0")&lt;2,COUNTIFS($A$14:$A$1213,$H217,$F$14:$F$1213,_xlfn.MAXIFS($F$14:$F$1213,$A$14:$A$1213,$H217))&gt;1),"",IFERROR(INDEX($D$14:$D$1213,MATCH($H217&amp;"|"&amp;_xlfn.MAXIFS($F$14:$F$1213,$A$14:$A$1213,$H217,$F$14:$F$1213,"&lt;"&amp;_xlfn.MAXIFS($F$14:$F$1213,$A$14:$A$1213,$H217)),$AB$14:$AB$1213,0)),""))</f>
        <v/>
      </c>
      <c r="AM217" s="27">
        <f>IF(OR($H217="",COUNTIFS($A$14:$A$1213,$H217,$F$14:$F$1213,"&gt;=0")&lt;2,COUNTIFS($A$14:$A$1213,$H217,$F$14:$F$1213,_xlfn.MAXIFS($F$14:$F$1213,$A$14:$A$1213,$H217))&gt;1),"",IFERROR(INDEX($E$14:$E$1213,MATCH($H217&amp;"|"&amp;_xlfn.MAXIFS($F$14:$F$1213,$A$14:$A$1213,$H217,$F$14:$F$1213,"&lt;"&amp;_xlfn.MAXIFS($F$14:$F$1213,$A$14:$A$1213,$H217)),$AB$14:$AB$1213,0)),""))</f>
        <v/>
      </c>
      <c r="AN217" s="27">
        <f>IF(OR(NOT(ISNUMBER($AJ217)),NOT(ISNUMBER($AL217)),$AK217=0,$AM217=0),"",IF(OR((($AJ217+$AL217)/($AK217+$AM217))&lt;=0,(($AJ217+$AL217)/($AK217+$AM217))&gt;=1),"",($AJ217/$AK217-$AL217/$AM217)/SQRT((($AJ217+$AL217)/($AK217+$AM217))*(1-(($AJ217+$AL217)/($AK217+$AM217)))*(1/$AK217+1/$AM217))))</f>
        <v/>
      </c>
      <c r="AO217" s="27">
        <f>IF($A217="","",IF(AND(COUNTIFS($A$14:$A$1213,$A217,$F$14:$F$1213,"&gt;=0")=2,IFERROR(INDEX($M$14:$M$313,MATCH($A217,$H$14:$H$313,0)),"Yes")&lt;&gt;"Yes"),1,0))</f>
        <v/>
      </c>
    </row>
    <row r="218" ht="24" customHeight="1">
      <c r="A218" s="19">
        <f>IF('Enter messages'!A218="","",'Enter messages'!A218)</f>
        <v/>
      </c>
      <c r="B218" s="20">
        <f>IF('Enter messages'!B218="","",'Enter messages'!B218)</f>
        <v/>
      </c>
      <c r="C218" s="21">
        <f>IFERROR(AVERAGE(P218:T218),"")</f>
        <v/>
      </c>
      <c r="D218" s="29" t="n"/>
      <c r="E218" s="29" t="n"/>
      <c r="F218" s="30">
        <f>IF(AND(ISNUMBER($D218),ISNUMBER($E218),$E218&gt;0,$D218&lt;=$E218),$D218/$E218,"")</f>
        <v/>
      </c>
      <c r="H218" s="19">
        <f>IFERROR(INDEX($A$14:$A$1213,MATCH(205,$AI$14:$AI$1213,0)),"")</f>
        <v/>
      </c>
      <c r="I218" s="24">
        <f>IF($H218="","",IF(COUNTIFS($A$14:$A$1213,$H218,$C$14:$C$1213,"&gt;=0")=0,"—",IFERROR(INDEX($B$14:$B$1213,MATCH($H218&amp;"|1",$Z$14:$Z$1213,0)),"(tied)")))</f>
        <v/>
      </c>
      <c r="J218" s="25">
        <f>IF($H218="","",IF(OR(COUNTIFS($A$14:$A$1213,$H218,$C$14:$C$1213,"&gt;=0")=0,COUNTIFS($A$14:$A$1213,$H218,$F$14:$F$1213,"&gt;=0")=0),"—",IF(OR(ISERROR(MATCH($H218&amp;"|1",$Z$14:$Z$1213,0)),ISERROR(MATCH($H218&amp;"|1",$AA$14:$AA$1213,0))),"Tie",IF(MATCH($H218&amp;"|1",$Z$14:$Z$1213,0)=MATCH($H218&amp;"|1",$AA$14:$AA$1213,0),"Hit","Miss"))))</f>
        <v/>
      </c>
      <c r="K218" s="24">
        <f>IF($H218="","",IF(COUNTIFS($A$14:$A$1213,$H218,$F$14:$F$1213,"&gt;=0")=0,"—",IFERROR(INDEX($B$14:$B$1213,MATCH($H218&amp;"|1",$AA$14:$AA$1213,0)),"(tied)")))</f>
        <v/>
      </c>
      <c r="L218" s="25">
        <f>IF($H218="","",IF((--(COUNTIFS($A$14:$A$1213,$H218,$P$14:$P$1213,"&gt;=0")&gt;0)+--(COUNTIFS($A$14:$A$1213,$H218,$Q$14:$Q$1213,"&gt;=0")&gt;0)+--(COUNTIFS($A$14:$A$1213,$H218,$R$14:$R$1213,"&gt;=0")&gt;0)+--(COUNTIFS($A$14:$A$1213,$H218,$S$14:$S$1213,"&gt;=0")&gt;0)+--(COUNTIFS($A$14:$A$1213,$H218,$T$14:$T$1213,"&gt;=0")&gt;0))&lt;2,"—",IF(SUMIFS($AH$14:$AH$1213,$A$14:$A$1213,$H218)=0,"Yes","No")))</f>
        <v/>
      </c>
      <c r="M218" s="25">
        <f>IF($H218="","",IF(COUNTIFS($A$14:$A$1213,$H218,$F$14:$F$1213,"&gt;=0")&lt;2,"—",IF(COUNTIFS($A$14:$A$1213,$H218,$F$14:$F$1213,_xlfn.MAXIFS($F$14:$F$1213,$A$14:$A$1213,$H218))&gt;1,"No",IF(NOT(ISNUMBER($AN218)),"—",IF((2*(1-NORMSDIST(ABS($AN218))))&lt;0.05,"Yes","No")))))</f>
        <v/>
      </c>
      <c r="N218" s="21">
        <f>IF($H218="","",IF(NOT(ISNUMBER($AN218)),"—",IF((2*(1-NORMSDIST(ABS($AN218))))&lt;0.001,"&lt;0.001",TEXT((2*(1-NORMSDIST(ABS($AN218)))),"0.000"))))</f>
        <v/>
      </c>
      <c r="P218" s="26" t="n"/>
      <c r="Q218" s="26" t="n"/>
      <c r="R218" s="26" t="n"/>
      <c r="S218" s="26" t="n"/>
      <c r="T218" s="26" t="n"/>
      <c r="V218" s="27">
        <f>IF(ISNUMBER($C218),COUNTIFS($A$14:$A$1213,$A218,$C$14:$C$1213,"&gt;"&amp;$C218)+(COUNTIFS($A$14:$A$1213,$A218,$C$14:$C$1213,"="&amp;$C218)+1)/2,"")</f>
        <v/>
      </c>
      <c r="W218" s="27">
        <f>IF(ISNUMBER($F218),COUNTIFS($A$14:$A$1213,$A218,$F$14:$F$1213,"&gt;"&amp;$F218)+(COUNTIFS($A$14:$A$1213,$A218,$F$14:$F$1213,"="&amp;$F218)+1)/2,"")</f>
        <v/>
      </c>
      <c r="X218" s="27">
        <f>IF(OR(NOT(ISNUMBER($V218)),$AO218=1),"",$V218-(COUNTIFS($A$14:$A$1213,$A218,$C$14:$C$1213,"&gt;=0")+1)/2)</f>
        <v/>
      </c>
      <c r="Y218" s="27">
        <f>IF(OR(NOT(ISNUMBER($W218)),$AO218=1),"",$W218-(COUNTIFS($A$14:$A$1213,$A218,$F$14:$F$1213,"&gt;=0")+1)/2)</f>
        <v/>
      </c>
      <c r="Z218" s="27">
        <f>IF(ISNUMBER($V218),$A218&amp;"|"&amp;$V218,"")</f>
        <v/>
      </c>
      <c r="AA218" s="27">
        <f>IF(ISNUMBER($W218),$A218&amp;"|"&amp;$W218,"")</f>
        <v/>
      </c>
      <c r="AB218" s="27">
        <f>IF(ISNUMBER($F218),$A218&amp;"|"&amp;$F218,"")</f>
        <v/>
      </c>
      <c r="AC218" s="27">
        <f>IF(ISNUMBER($P218),COUNTIFS($A$14:$A$1213,$A218,$P$14:$P$1213,"&gt;"&amp;$P218)+(COUNTIFS($A$14:$A$1213,$A218,$P$14:$P$1213,"="&amp;$P218)+1)/2,"")</f>
        <v/>
      </c>
      <c r="AD218" s="27">
        <f>IF(ISNUMBER($Q218),COUNTIFS($A$14:$A$1213,$A218,$Q$14:$Q$1213,"&gt;"&amp;$Q218)+(COUNTIFS($A$14:$A$1213,$A218,$Q$14:$Q$1213,"="&amp;$Q218)+1)/2,"")</f>
        <v/>
      </c>
      <c r="AE218" s="27">
        <f>IF(ISNUMBER($R218),COUNTIFS($A$14:$A$1213,$A218,$R$14:$R$1213,"&gt;"&amp;$R218)+(COUNTIFS($A$14:$A$1213,$A218,$R$14:$R$1213,"="&amp;$R218)+1)/2,"")</f>
        <v/>
      </c>
      <c r="AF218" s="27">
        <f>IF(ISNUMBER($S218),COUNTIFS($A$14:$A$1213,$A218,$S$14:$S$1213,"&gt;"&amp;$S218)+(COUNTIFS($A$14:$A$1213,$A218,$S$14:$S$1213,"="&amp;$S218)+1)/2,"")</f>
        <v/>
      </c>
      <c r="AG218" s="27">
        <f>IF(ISNUMBER($T218),COUNTIFS($A$14:$A$1213,$A218,$T$14:$T$1213,"&gt;"&amp;$T218)+(COUNTIFS($A$14:$A$1213,$A218,$T$14:$T$1213,"="&amp;$T218)+1)/2,"")</f>
        <v/>
      </c>
      <c r="AH218" s="27">
        <f>IF(COUNT($AC218:$AG218)&lt;2,"",IF(MAX($AC218:$AG218)=MIN($AC218:$AG218),0,1))</f>
        <v/>
      </c>
      <c r="AI218" s="27">
        <f>IF($A218="","",IF(COUNTIF($A$14:$A218,$A218)=1,COUNTIF($AI$13:AI217,"&gt;0")+1,""))</f>
        <v/>
      </c>
      <c r="AJ218" s="27">
        <f>IF(OR($H218="",COUNTIFS($A$14:$A$1213,$H218,$F$14:$F$1213,"&gt;=0")&lt;2,COUNTIFS($A$14:$A$1213,$H218,$F$14:$F$1213,_xlfn.MAXIFS($F$14:$F$1213,$A$14:$A$1213,$H218))&gt;1),"",IFERROR(INDEX($D$14:$D$1213,MATCH($H218&amp;"|"&amp;_xlfn.MAXIFS($F$14:$F$1213,$A$14:$A$1213,$H218),$AB$14:$AB$1213,0)),""))</f>
        <v/>
      </c>
      <c r="AK218" s="27">
        <f>IF(OR($H218="",COUNTIFS($A$14:$A$1213,$H218,$F$14:$F$1213,"&gt;=0")&lt;2,COUNTIFS($A$14:$A$1213,$H218,$F$14:$F$1213,_xlfn.MAXIFS($F$14:$F$1213,$A$14:$A$1213,$H218))&gt;1),"",IFERROR(INDEX($E$14:$E$1213,MATCH($H218&amp;"|"&amp;_xlfn.MAXIFS($F$14:$F$1213,$A$14:$A$1213,$H218),$AB$14:$AB$1213,0)),""))</f>
        <v/>
      </c>
      <c r="AL218" s="27">
        <f>IF(OR($H218="",COUNTIFS($A$14:$A$1213,$H218,$F$14:$F$1213,"&gt;=0")&lt;2,COUNTIFS($A$14:$A$1213,$H218,$F$14:$F$1213,_xlfn.MAXIFS($F$14:$F$1213,$A$14:$A$1213,$H218))&gt;1),"",IFERROR(INDEX($D$14:$D$1213,MATCH($H218&amp;"|"&amp;_xlfn.MAXIFS($F$14:$F$1213,$A$14:$A$1213,$H218,$F$14:$F$1213,"&lt;"&amp;_xlfn.MAXIFS($F$14:$F$1213,$A$14:$A$1213,$H218)),$AB$14:$AB$1213,0)),""))</f>
        <v/>
      </c>
      <c r="AM218" s="27">
        <f>IF(OR($H218="",COUNTIFS($A$14:$A$1213,$H218,$F$14:$F$1213,"&gt;=0")&lt;2,COUNTIFS($A$14:$A$1213,$H218,$F$14:$F$1213,_xlfn.MAXIFS($F$14:$F$1213,$A$14:$A$1213,$H218))&gt;1),"",IFERROR(INDEX($E$14:$E$1213,MATCH($H218&amp;"|"&amp;_xlfn.MAXIFS($F$14:$F$1213,$A$14:$A$1213,$H218,$F$14:$F$1213,"&lt;"&amp;_xlfn.MAXIFS($F$14:$F$1213,$A$14:$A$1213,$H218)),$AB$14:$AB$1213,0)),""))</f>
        <v/>
      </c>
      <c r="AN218" s="27">
        <f>IF(OR(NOT(ISNUMBER($AJ218)),NOT(ISNUMBER($AL218)),$AK218=0,$AM218=0),"",IF(OR((($AJ218+$AL218)/($AK218+$AM218))&lt;=0,(($AJ218+$AL218)/($AK218+$AM218))&gt;=1),"",($AJ218/$AK218-$AL218/$AM218)/SQRT((($AJ218+$AL218)/($AK218+$AM218))*(1-(($AJ218+$AL218)/($AK218+$AM218)))*(1/$AK218+1/$AM218))))</f>
        <v/>
      </c>
      <c r="AO218" s="27">
        <f>IF($A218="","",IF(AND(COUNTIFS($A$14:$A$1213,$A218,$F$14:$F$1213,"&gt;=0")=2,IFERROR(INDEX($M$14:$M$313,MATCH($A218,$H$14:$H$313,0)),"Yes")&lt;&gt;"Yes"),1,0))</f>
        <v/>
      </c>
    </row>
    <row r="219" ht="24" customHeight="1">
      <c r="A219" s="19">
        <f>IF('Enter messages'!A219="","",'Enter messages'!A219)</f>
        <v/>
      </c>
      <c r="B219" s="20">
        <f>IF('Enter messages'!B219="","",'Enter messages'!B219)</f>
        <v/>
      </c>
      <c r="C219" s="21">
        <f>IFERROR(AVERAGE(P219:T219),"")</f>
        <v/>
      </c>
      <c r="D219" s="29" t="n"/>
      <c r="E219" s="29" t="n"/>
      <c r="F219" s="30">
        <f>IF(AND(ISNUMBER($D219),ISNUMBER($E219),$E219&gt;0,$D219&lt;=$E219),$D219/$E219,"")</f>
        <v/>
      </c>
      <c r="H219" s="19">
        <f>IFERROR(INDEX($A$14:$A$1213,MATCH(206,$AI$14:$AI$1213,0)),"")</f>
        <v/>
      </c>
      <c r="I219" s="24">
        <f>IF($H219="","",IF(COUNTIFS($A$14:$A$1213,$H219,$C$14:$C$1213,"&gt;=0")=0,"—",IFERROR(INDEX($B$14:$B$1213,MATCH($H219&amp;"|1",$Z$14:$Z$1213,0)),"(tied)")))</f>
        <v/>
      </c>
      <c r="J219" s="25">
        <f>IF($H219="","",IF(OR(COUNTIFS($A$14:$A$1213,$H219,$C$14:$C$1213,"&gt;=0")=0,COUNTIFS($A$14:$A$1213,$H219,$F$14:$F$1213,"&gt;=0")=0),"—",IF(OR(ISERROR(MATCH($H219&amp;"|1",$Z$14:$Z$1213,0)),ISERROR(MATCH($H219&amp;"|1",$AA$14:$AA$1213,0))),"Tie",IF(MATCH($H219&amp;"|1",$Z$14:$Z$1213,0)=MATCH($H219&amp;"|1",$AA$14:$AA$1213,0),"Hit","Miss"))))</f>
        <v/>
      </c>
      <c r="K219" s="24">
        <f>IF($H219="","",IF(COUNTIFS($A$14:$A$1213,$H219,$F$14:$F$1213,"&gt;=0")=0,"—",IFERROR(INDEX($B$14:$B$1213,MATCH($H219&amp;"|1",$AA$14:$AA$1213,0)),"(tied)")))</f>
        <v/>
      </c>
      <c r="L219" s="25">
        <f>IF($H219="","",IF((--(COUNTIFS($A$14:$A$1213,$H219,$P$14:$P$1213,"&gt;=0")&gt;0)+--(COUNTIFS($A$14:$A$1213,$H219,$Q$14:$Q$1213,"&gt;=0")&gt;0)+--(COUNTIFS($A$14:$A$1213,$H219,$R$14:$R$1213,"&gt;=0")&gt;0)+--(COUNTIFS($A$14:$A$1213,$H219,$S$14:$S$1213,"&gt;=0")&gt;0)+--(COUNTIFS($A$14:$A$1213,$H219,$T$14:$T$1213,"&gt;=0")&gt;0))&lt;2,"—",IF(SUMIFS($AH$14:$AH$1213,$A$14:$A$1213,$H219)=0,"Yes","No")))</f>
        <v/>
      </c>
      <c r="M219" s="25">
        <f>IF($H219="","",IF(COUNTIFS($A$14:$A$1213,$H219,$F$14:$F$1213,"&gt;=0")&lt;2,"—",IF(COUNTIFS($A$14:$A$1213,$H219,$F$14:$F$1213,_xlfn.MAXIFS($F$14:$F$1213,$A$14:$A$1213,$H219))&gt;1,"No",IF(NOT(ISNUMBER($AN219)),"—",IF((2*(1-NORMSDIST(ABS($AN219))))&lt;0.05,"Yes","No")))))</f>
        <v/>
      </c>
      <c r="N219" s="21">
        <f>IF($H219="","",IF(NOT(ISNUMBER($AN219)),"—",IF((2*(1-NORMSDIST(ABS($AN219))))&lt;0.001,"&lt;0.001",TEXT((2*(1-NORMSDIST(ABS($AN219)))),"0.000"))))</f>
        <v/>
      </c>
      <c r="P219" s="26" t="n"/>
      <c r="Q219" s="26" t="n"/>
      <c r="R219" s="26" t="n"/>
      <c r="S219" s="26" t="n"/>
      <c r="T219" s="26" t="n"/>
      <c r="V219" s="27">
        <f>IF(ISNUMBER($C219),COUNTIFS($A$14:$A$1213,$A219,$C$14:$C$1213,"&gt;"&amp;$C219)+(COUNTIFS($A$14:$A$1213,$A219,$C$14:$C$1213,"="&amp;$C219)+1)/2,"")</f>
        <v/>
      </c>
      <c r="W219" s="27">
        <f>IF(ISNUMBER($F219),COUNTIFS($A$14:$A$1213,$A219,$F$14:$F$1213,"&gt;"&amp;$F219)+(COUNTIFS($A$14:$A$1213,$A219,$F$14:$F$1213,"="&amp;$F219)+1)/2,"")</f>
        <v/>
      </c>
      <c r="X219" s="27">
        <f>IF(OR(NOT(ISNUMBER($V219)),$AO219=1),"",$V219-(COUNTIFS($A$14:$A$1213,$A219,$C$14:$C$1213,"&gt;=0")+1)/2)</f>
        <v/>
      </c>
      <c r="Y219" s="27">
        <f>IF(OR(NOT(ISNUMBER($W219)),$AO219=1),"",$W219-(COUNTIFS($A$14:$A$1213,$A219,$F$14:$F$1213,"&gt;=0")+1)/2)</f>
        <v/>
      </c>
      <c r="Z219" s="27">
        <f>IF(ISNUMBER($V219),$A219&amp;"|"&amp;$V219,"")</f>
        <v/>
      </c>
      <c r="AA219" s="27">
        <f>IF(ISNUMBER($W219),$A219&amp;"|"&amp;$W219,"")</f>
        <v/>
      </c>
      <c r="AB219" s="27">
        <f>IF(ISNUMBER($F219),$A219&amp;"|"&amp;$F219,"")</f>
        <v/>
      </c>
      <c r="AC219" s="27">
        <f>IF(ISNUMBER($P219),COUNTIFS($A$14:$A$1213,$A219,$P$14:$P$1213,"&gt;"&amp;$P219)+(COUNTIFS($A$14:$A$1213,$A219,$P$14:$P$1213,"="&amp;$P219)+1)/2,"")</f>
        <v/>
      </c>
      <c r="AD219" s="27">
        <f>IF(ISNUMBER($Q219),COUNTIFS($A$14:$A$1213,$A219,$Q$14:$Q$1213,"&gt;"&amp;$Q219)+(COUNTIFS($A$14:$A$1213,$A219,$Q$14:$Q$1213,"="&amp;$Q219)+1)/2,"")</f>
        <v/>
      </c>
      <c r="AE219" s="27">
        <f>IF(ISNUMBER($R219),COUNTIFS($A$14:$A$1213,$A219,$R$14:$R$1213,"&gt;"&amp;$R219)+(COUNTIFS($A$14:$A$1213,$A219,$R$14:$R$1213,"="&amp;$R219)+1)/2,"")</f>
        <v/>
      </c>
      <c r="AF219" s="27">
        <f>IF(ISNUMBER($S219),COUNTIFS($A$14:$A$1213,$A219,$S$14:$S$1213,"&gt;"&amp;$S219)+(COUNTIFS($A$14:$A$1213,$A219,$S$14:$S$1213,"="&amp;$S219)+1)/2,"")</f>
        <v/>
      </c>
      <c r="AG219" s="27">
        <f>IF(ISNUMBER($T219),COUNTIFS($A$14:$A$1213,$A219,$T$14:$T$1213,"&gt;"&amp;$T219)+(COUNTIFS($A$14:$A$1213,$A219,$T$14:$T$1213,"="&amp;$T219)+1)/2,"")</f>
        <v/>
      </c>
      <c r="AH219" s="27">
        <f>IF(COUNT($AC219:$AG219)&lt;2,"",IF(MAX($AC219:$AG219)=MIN($AC219:$AG219),0,1))</f>
        <v/>
      </c>
      <c r="AI219" s="27">
        <f>IF($A219="","",IF(COUNTIF($A$14:$A219,$A219)=1,COUNTIF($AI$13:AI218,"&gt;0")+1,""))</f>
        <v/>
      </c>
      <c r="AJ219" s="27">
        <f>IF(OR($H219="",COUNTIFS($A$14:$A$1213,$H219,$F$14:$F$1213,"&gt;=0")&lt;2,COUNTIFS($A$14:$A$1213,$H219,$F$14:$F$1213,_xlfn.MAXIFS($F$14:$F$1213,$A$14:$A$1213,$H219))&gt;1),"",IFERROR(INDEX($D$14:$D$1213,MATCH($H219&amp;"|"&amp;_xlfn.MAXIFS($F$14:$F$1213,$A$14:$A$1213,$H219),$AB$14:$AB$1213,0)),""))</f>
        <v/>
      </c>
      <c r="AK219" s="27">
        <f>IF(OR($H219="",COUNTIFS($A$14:$A$1213,$H219,$F$14:$F$1213,"&gt;=0")&lt;2,COUNTIFS($A$14:$A$1213,$H219,$F$14:$F$1213,_xlfn.MAXIFS($F$14:$F$1213,$A$14:$A$1213,$H219))&gt;1),"",IFERROR(INDEX($E$14:$E$1213,MATCH($H219&amp;"|"&amp;_xlfn.MAXIFS($F$14:$F$1213,$A$14:$A$1213,$H219),$AB$14:$AB$1213,0)),""))</f>
        <v/>
      </c>
      <c r="AL219" s="27">
        <f>IF(OR($H219="",COUNTIFS($A$14:$A$1213,$H219,$F$14:$F$1213,"&gt;=0")&lt;2,COUNTIFS($A$14:$A$1213,$H219,$F$14:$F$1213,_xlfn.MAXIFS($F$14:$F$1213,$A$14:$A$1213,$H219))&gt;1),"",IFERROR(INDEX($D$14:$D$1213,MATCH($H219&amp;"|"&amp;_xlfn.MAXIFS($F$14:$F$1213,$A$14:$A$1213,$H219,$F$14:$F$1213,"&lt;"&amp;_xlfn.MAXIFS($F$14:$F$1213,$A$14:$A$1213,$H219)),$AB$14:$AB$1213,0)),""))</f>
        <v/>
      </c>
      <c r="AM219" s="27">
        <f>IF(OR($H219="",COUNTIFS($A$14:$A$1213,$H219,$F$14:$F$1213,"&gt;=0")&lt;2,COUNTIFS($A$14:$A$1213,$H219,$F$14:$F$1213,_xlfn.MAXIFS($F$14:$F$1213,$A$14:$A$1213,$H219))&gt;1),"",IFERROR(INDEX($E$14:$E$1213,MATCH($H219&amp;"|"&amp;_xlfn.MAXIFS($F$14:$F$1213,$A$14:$A$1213,$H219,$F$14:$F$1213,"&lt;"&amp;_xlfn.MAXIFS($F$14:$F$1213,$A$14:$A$1213,$H219)),$AB$14:$AB$1213,0)),""))</f>
        <v/>
      </c>
      <c r="AN219" s="27">
        <f>IF(OR(NOT(ISNUMBER($AJ219)),NOT(ISNUMBER($AL219)),$AK219=0,$AM219=0),"",IF(OR((($AJ219+$AL219)/($AK219+$AM219))&lt;=0,(($AJ219+$AL219)/($AK219+$AM219))&gt;=1),"",($AJ219/$AK219-$AL219/$AM219)/SQRT((($AJ219+$AL219)/($AK219+$AM219))*(1-(($AJ219+$AL219)/($AK219+$AM219)))*(1/$AK219+1/$AM219))))</f>
        <v/>
      </c>
      <c r="AO219" s="27">
        <f>IF($A219="","",IF(AND(COUNTIFS($A$14:$A$1213,$A219,$F$14:$F$1213,"&gt;=0")=2,IFERROR(INDEX($M$14:$M$313,MATCH($A219,$H$14:$H$313,0)),"Yes")&lt;&gt;"Yes"),1,0))</f>
        <v/>
      </c>
    </row>
    <row r="220" ht="24" customHeight="1">
      <c r="A220" s="19">
        <f>IF('Enter messages'!A220="","",'Enter messages'!A220)</f>
        <v/>
      </c>
      <c r="B220" s="20">
        <f>IF('Enter messages'!B220="","",'Enter messages'!B220)</f>
        <v/>
      </c>
      <c r="C220" s="21">
        <f>IFERROR(AVERAGE(P220:T220),"")</f>
        <v/>
      </c>
      <c r="D220" s="29" t="n"/>
      <c r="E220" s="29" t="n"/>
      <c r="F220" s="30">
        <f>IF(AND(ISNUMBER($D220),ISNUMBER($E220),$E220&gt;0,$D220&lt;=$E220),$D220/$E220,"")</f>
        <v/>
      </c>
      <c r="H220" s="19">
        <f>IFERROR(INDEX($A$14:$A$1213,MATCH(207,$AI$14:$AI$1213,0)),"")</f>
        <v/>
      </c>
      <c r="I220" s="24">
        <f>IF($H220="","",IF(COUNTIFS($A$14:$A$1213,$H220,$C$14:$C$1213,"&gt;=0")=0,"—",IFERROR(INDEX($B$14:$B$1213,MATCH($H220&amp;"|1",$Z$14:$Z$1213,0)),"(tied)")))</f>
        <v/>
      </c>
      <c r="J220" s="25">
        <f>IF($H220="","",IF(OR(COUNTIFS($A$14:$A$1213,$H220,$C$14:$C$1213,"&gt;=0")=0,COUNTIFS($A$14:$A$1213,$H220,$F$14:$F$1213,"&gt;=0")=0),"—",IF(OR(ISERROR(MATCH($H220&amp;"|1",$Z$14:$Z$1213,0)),ISERROR(MATCH($H220&amp;"|1",$AA$14:$AA$1213,0))),"Tie",IF(MATCH($H220&amp;"|1",$Z$14:$Z$1213,0)=MATCH($H220&amp;"|1",$AA$14:$AA$1213,0),"Hit","Miss"))))</f>
        <v/>
      </c>
      <c r="K220" s="24">
        <f>IF($H220="","",IF(COUNTIFS($A$14:$A$1213,$H220,$F$14:$F$1213,"&gt;=0")=0,"—",IFERROR(INDEX($B$14:$B$1213,MATCH($H220&amp;"|1",$AA$14:$AA$1213,0)),"(tied)")))</f>
        <v/>
      </c>
      <c r="L220" s="25">
        <f>IF($H220="","",IF((--(COUNTIFS($A$14:$A$1213,$H220,$P$14:$P$1213,"&gt;=0")&gt;0)+--(COUNTIFS($A$14:$A$1213,$H220,$Q$14:$Q$1213,"&gt;=0")&gt;0)+--(COUNTIFS($A$14:$A$1213,$H220,$R$14:$R$1213,"&gt;=0")&gt;0)+--(COUNTIFS($A$14:$A$1213,$H220,$S$14:$S$1213,"&gt;=0")&gt;0)+--(COUNTIFS($A$14:$A$1213,$H220,$T$14:$T$1213,"&gt;=0")&gt;0))&lt;2,"—",IF(SUMIFS($AH$14:$AH$1213,$A$14:$A$1213,$H220)=0,"Yes","No")))</f>
        <v/>
      </c>
      <c r="M220" s="25">
        <f>IF($H220="","",IF(COUNTIFS($A$14:$A$1213,$H220,$F$14:$F$1213,"&gt;=0")&lt;2,"—",IF(COUNTIFS($A$14:$A$1213,$H220,$F$14:$F$1213,_xlfn.MAXIFS($F$14:$F$1213,$A$14:$A$1213,$H220))&gt;1,"No",IF(NOT(ISNUMBER($AN220)),"—",IF((2*(1-NORMSDIST(ABS($AN220))))&lt;0.05,"Yes","No")))))</f>
        <v/>
      </c>
      <c r="N220" s="21">
        <f>IF($H220="","",IF(NOT(ISNUMBER($AN220)),"—",IF((2*(1-NORMSDIST(ABS($AN220))))&lt;0.001,"&lt;0.001",TEXT((2*(1-NORMSDIST(ABS($AN220)))),"0.000"))))</f>
        <v/>
      </c>
      <c r="P220" s="26" t="n"/>
      <c r="Q220" s="26" t="n"/>
      <c r="R220" s="26" t="n"/>
      <c r="S220" s="26" t="n"/>
      <c r="T220" s="26" t="n"/>
      <c r="V220" s="27">
        <f>IF(ISNUMBER($C220),COUNTIFS($A$14:$A$1213,$A220,$C$14:$C$1213,"&gt;"&amp;$C220)+(COUNTIFS($A$14:$A$1213,$A220,$C$14:$C$1213,"="&amp;$C220)+1)/2,"")</f>
        <v/>
      </c>
      <c r="W220" s="27">
        <f>IF(ISNUMBER($F220),COUNTIFS($A$14:$A$1213,$A220,$F$14:$F$1213,"&gt;"&amp;$F220)+(COUNTIFS($A$14:$A$1213,$A220,$F$14:$F$1213,"="&amp;$F220)+1)/2,"")</f>
        <v/>
      </c>
      <c r="X220" s="27">
        <f>IF(OR(NOT(ISNUMBER($V220)),$AO220=1),"",$V220-(COUNTIFS($A$14:$A$1213,$A220,$C$14:$C$1213,"&gt;=0")+1)/2)</f>
        <v/>
      </c>
      <c r="Y220" s="27">
        <f>IF(OR(NOT(ISNUMBER($W220)),$AO220=1),"",$W220-(COUNTIFS($A$14:$A$1213,$A220,$F$14:$F$1213,"&gt;=0")+1)/2)</f>
        <v/>
      </c>
      <c r="Z220" s="27">
        <f>IF(ISNUMBER($V220),$A220&amp;"|"&amp;$V220,"")</f>
        <v/>
      </c>
      <c r="AA220" s="27">
        <f>IF(ISNUMBER($W220),$A220&amp;"|"&amp;$W220,"")</f>
        <v/>
      </c>
      <c r="AB220" s="27">
        <f>IF(ISNUMBER($F220),$A220&amp;"|"&amp;$F220,"")</f>
        <v/>
      </c>
      <c r="AC220" s="27">
        <f>IF(ISNUMBER($P220),COUNTIFS($A$14:$A$1213,$A220,$P$14:$P$1213,"&gt;"&amp;$P220)+(COUNTIFS($A$14:$A$1213,$A220,$P$14:$P$1213,"="&amp;$P220)+1)/2,"")</f>
        <v/>
      </c>
      <c r="AD220" s="27">
        <f>IF(ISNUMBER($Q220),COUNTIFS($A$14:$A$1213,$A220,$Q$14:$Q$1213,"&gt;"&amp;$Q220)+(COUNTIFS($A$14:$A$1213,$A220,$Q$14:$Q$1213,"="&amp;$Q220)+1)/2,"")</f>
        <v/>
      </c>
      <c r="AE220" s="27">
        <f>IF(ISNUMBER($R220),COUNTIFS($A$14:$A$1213,$A220,$R$14:$R$1213,"&gt;"&amp;$R220)+(COUNTIFS($A$14:$A$1213,$A220,$R$14:$R$1213,"="&amp;$R220)+1)/2,"")</f>
        <v/>
      </c>
      <c r="AF220" s="27">
        <f>IF(ISNUMBER($S220),COUNTIFS($A$14:$A$1213,$A220,$S$14:$S$1213,"&gt;"&amp;$S220)+(COUNTIFS($A$14:$A$1213,$A220,$S$14:$S$1213,"="&amp;$S220)+1)/2,"")</f>
        <v/>
      </c>
      <c r="AG220" s="27">
        <f>IF(ISNUMBER($T220),COUNTIFS($A$14:$A$1213,$A220,$T$14:$T$1213,"&gt;"&amp;$T220)+(COUNTIFS($A$14:$A$1213,$A220,$T$14:$T$1213,"="&amp;$T220)+1)/2,"")</f>
        <v/>
      </c>
      <c r="AH220" s="27">
        <f>IF(COUNT($AC220:$AG220)&lt;2,"",IF(MAX($AC220:$AG220)=MIN($AC220:$AG220),0,1))</f>
        <v/>
      </c>
      <c r="AI220" s="27">
        <f>IF($A220="","",IF(COUNTIF($A$14:$A220,$A220)=1,COUNTIF($AI$13:AI219,"&gt;0")+1,""))</f>
        <v/>
      </c>
      <c r="AJ220" s="27">
        <f>IF(OR($H220="",COUNTIFS($A$14:$A$1213,$H220,$F$14:$F$1213,"&gt;=0")&lt;2,COUNTIFS($A$14:$A$1213,$H220,$F$14:$F$1213,_xlfn.MAXIFS($F$14:$F$1213,$A$14:$A$1213,$H220))&gt;1),"",IFERROR(INDEX($D$14:$D$1213,MATCH($H220&amp;"|"&amp;_xlfn.MAXIFS($F$14:$F$1213,$A$14:$A$1213,$H220),$AB$14:$AB$1213,0)),""))</f>
        <v/>
      </c>
      <c r="AK220" s="27">
        <f>IF(OR($H220="",COUNTIFS($A$14:$A$1213,$H220,$F$14:$F$1213,"&gt;=0")&lt;2,COUNTIFS($A$14:$A$1213,$H220,$F$14:$F$1213,_xlfn.MAXIFS($F$14:$F$1213,$A$14:$A$1213,$H220))&gt;1),"",IFERROR(INDEX($E$14:$E$1213,MATCH($H220&amp;"|"&amp;_xlfn.MAXIFS($F$14:$F$1213,$A$14:$A$1213,$H220),$AB$14:$AB$1213,0)),""))</f>
        <v/>
      </c>
      <c r="AL220" s="27">
        <f>IF(OR($H220="",COUNTIFS($A$14:$A$1213,$H220,$F$14:$F$1213,"&gt;=0")&lt;2,COUNTIFS($A$14:$A$1213,$H220,$F$14:$F$1213,_xlfn.MAXIFS($F$14:$F$1213,$A$14:$A$1213,$H220))&gt;1),"",IFERROR(INDEX($D$14:$D$1213,MATCH($H220&amp;"|"&amp;_xlfn.MAXIFS($F$14:$F$1213,$A$14:$A$1213,$H220,$F$14:$F$1213,"&lt;"&amp;_xlfn.MAXIFS($F$14:$F$1213,$A$14:$A$1213,$H220)),$AB$14:$AB$1213,0)),""))</f>
        <v/>
      </c>
      <c r="AM220" s="27">
        <f>IF(OR($H220="",COUNTIFS($A$14:$A$1213,$H220,$F$14:$F$1213,"&gt;=0")&lt;2,COUNTIFS($A$14:$A$1213,$H220,$F$14:$F$1213,_xlfn.MAXIFS($F$14:$F$1213,$A$14:$A$1213,$H220))&gt;1),"",IFERROR(INDEX($E$14:$E$1213,MATCH($H220&amp;"|"&amp;_xlfn.MAXIFS($F$14:$F$1213,$A$14:$A$1213,$H220,$F$14:$F$1213,"&lt;"&amp;_xlfn.MAXIFS($F$14:$F$1213,$A$14:$A$1213,$H220)),$AB$14:$AB$1213,0)),""))</f>
        <v/>
      </c>
      <c r="AN220" s="27">
        <f>IF(OR(NOT(ISNUMBER($AJ220)),NOT(ISNUMBER($AL220)),$AK220=0,$AM220=0),"",IF(OR((($AJ220+$AL220)/($AK220+$AM220))&lt;=0,(($AJ220+$AL220)/($AK220+$AM220))&gt;=1),"",($AJ220/$AK220-$AL220/$AM220)/SQRT((($AJ220+$AL220)/($AK220+$AM220))*(1-(($AJ220+$AL220)/($AK220+$AM220)))*(1/$AK220+1/$AM220))))</f>
        <v/>
      </c>
      <c r="AO220" s="27">
        <f>IF($A220="","",IF(AND(COUNTIFS($A$14:$A$1213,$A220,$F$14:$F$1213,"&gt;=0")=2,IFERROR(INDEX($M$14:$M$313,MATCH($A220,$H$14:$H$313,0)),"Yes")&lt;&gt;"Yes"),1,0))</f>
        <v/>
      </c>
    </row>
    <row r="221" ht="24" customHeight="1">
      <c r="A221" s="19">
        <f>IF('Enter messages'!A221="","",'Enter messages'!A221)</f>
        <v/>
      </c>
      <c r="B221" s="20">
        <f>IF('Enter messages'!B221="","",'Enter messages'!B221)</f>
        <v/>
      </c>
      <c r="C221" s="21">
        <f>IFERROR(AVERAGE(P221:T221),"")</f>
        <v/>
      </c>
      <c r="D221" s="29" t="n"/>
      <c r="E221" s="29" t="n"/>
      <c r="F221" s="30">
        <f>IF(AND(ISNUMBER($D221),ISNUMBER($E221),$E221&gt;0,$D221&lt;=$E221),$D221/$E221,"")</f>
        <v/>
      </c>
      <c r="H221" s="19">
        <f>IFERROR(INDEX($A$14:$A$1213,MATCH(208,$AI$14:$AI$1213,0)),"")</f>
        <v/>
      </c>
      <c r="I221" s="24">
        <f>IF($H221="","",IF(COUNTIFS($A$14:$A$1213,$H221,$C$14:$C$1213,"&gt;=0")=0,"—",IFERROR(INDEX($B$14:$B$1213,MATCH($H221&amp;"|1",$Z$14:$Z$1213,0)),"(tied)")))</f>
        <v/>
      </c>
      <c r="J221" s="25">
        <f>IF($H221="","",IF(OR(COUNTIFS($A$14:$A$1213,$H221,$C$14:$C$1213,"&gt;=0")=0,COUNTIFS($A$14:$A$1213,$H221,$F$14:$F$1213,"&gt;=0")=0),"—",IF(OR(ISERROR(MATCH($H221&amp;"|1",$Z$14:$Z$1213,0)),ISERROR(MATCH($H221&amp;"|1",$AA$14:$AA$1213,0))),"Tie",IF(MATCH($H221&amp;"|1",$Z$14:$Z$1213,0)=MATCH($H221&amp;"|1",$AA$14:$AA$1213,0),"Hit","Miss"))))</f>
        <v/>
      </c>
      <c r="K221" s="24">
        <f>IF($H221="","",IF(COUNTIFS($A$14:$A$1213,$H221,$F$14:$F$1213,"&gt;=0")=0,"—",IFERROR(INDEX($B$14:$B$1213,MATCH($H221&amp;"|1",$AA$14:$AA$1213,0)),"(tied)")))</f>
        <v/>
      </c>
      <c r="L221" s="25">
        <f>IF($H221="","",IF((--(COUNTIFS($A$14:$A$1213,$H221,$P$14:$P$1213,"&gt;=0")&gt;0)+--(COUNTIFS($A$14:$A$1213,$H221,$Q$14:$Q$1213,"&gt;=0")&gt;0)+--(COUNTIFS($A$14:$A$1213,$H221,$R$14:$R$1213,"&gt;=0")&gt;0)+--(COUNTIFS($A$14:$A$1213,$H221,$S$14:$S$1213,"&gt;=0")&gt;0)+--(COUNTIFS($A$14:$A$1213,$H221,$T$14:$T$1213,"&gt;=0")&gt;0))&lt;2,"—",IF(SUMIFS($AH$14:$AH$1213,$A$14:$A$1213,$H221)=0,"Yes","No")))</f>
        <v/>
      </c>
      <c r="M221" s="25">
        <f>IF($H221="","",IF(COUNTIFS($A$14:$A$1213,$H221,$F$14:$F$1213,"&gt;=0")&lt;2,"—",IF(COUNTIFS($A$14:$A$1213,$H221,$F$14:$F$1213,_xlfn.MAXIFS($F$14:$F$1213,$A$14:$A$1213,$H221))&gt;1,"No",IF(NOT(ISNUMBER($AN221)),"—",IF((2*(1-NORMSDIST(ABS($AN221))))&lt;0.05,"Yes","No")))))</f>
        <v/>
      </c>
      <c r="N221" s="21">
        <f>IF($H221="","",IF(NOT(ISNUMBER($AN221)),"—",IF((2*(1-NORMSDIST(ABS($AN221))))&lt;0.001,"&lt;0.001",TEXT((2*(1-NORMSDIST(ABS($AN221)))),"0.000"))))</f>
        <v/>
      </c>
      <c r="P221" s="26" t="n"/>
      <c r="Q221" s="26" t="n"/>
      <c r="R221" s="26" t="n"/>
      <c r="S221" s="26" t="n"/>
      <c r="T221" s="26" t="n"/>
      <c r="V221" s="27">
        <f>IF(ISNUMBER($C221),COUNTIFS($A$14:$A$1213,$A221,$C$14:$C$1213,"&gt;"&amp;$C221)+(COUNTIFS($A$14:$A$1213,$A221,$C$14:$C$1213,"="&amp;$C221)+1)/2,"")</f>
        <v/>
      </c>
      <c r="W221" s="27">
        <f>IF(ISNUMBER($F221),COUNTIFS($A$14:$A$1213,$A221,$F$14:$F$1213,"&gt;"&amp;$F221)+(COUNTIFS($A$14:$A$1213,$A221,$F$14:$F$1213,"="&amp;$F221)+1)/2,"")</f>
        <v/>
      </c>
      <c r="X221" s="27">
        <f>IF(OR(NOT(ISNUMBER($V221)),$AO221=1),"",$V221-(COUNTIFS($A$14:$A$1213,$A221,$C$14:$C$1213,"&gt;=0")+1)/2)</f>
        <v/>
      </c>
      <c r="Y221" s="27">
        <f>IF(OR(NOT(ISNUMBER($W221)),$AO221=1),"",$W221-(COUNTIFS($A$14:$A$1213,$A221,$F$14:$F$1213,"&gt;=0")+1)/2)</f>
        <v/>
      </c>
      <c r="Z221" s="27">
        <f>IF(ISNUMBER($V221),$A221&amp;"|"&amp;$V221,"")</f>
        <v/>
      </c>
      <c r="AA221" s="27">
        <f>IF(ISNUMBER($W221),$A221&amp;"|"&amp;$W221,"")</f>
        <v/>
      </c>
      <c r="AB221" s="27">
        <f>IF(ISNUMBER($F221),$A221&amp;"|"&amp;$F221,"")</f>
        <v/>
      </c>
      <c r="AC221" s="27">
        <f>IF(ISNUMBER($P221),COUNTIFS($A$14:$A$1213,$A221,$P$14:$P$1213,"&gt;"&amp;$P221)+(COUNTIFS($A$14:$A$1213,$A221,$P$14:$P$1213,"="&amp;$P221)+1)/2,"")</f>
        <v/>
      </c>
      <c r="AD221" s="27">
        <f>IF(ISNUMBER($Q221),COUNTIFS($A$14:$A$1213,$A221,$Q$14:$Q$1213,"&gt;"&amp;$Q221)+(COUNTIFS($A$14:$A$1213,$A221,$Q$14:$Q$1213,"="&amp;$Q221)+1)/2,"")</f>
        <v/>
      </c>
      <c r="AE221" s="27">
        <f>IF(ISNUMBER($R221),COUNTIFS($A$14:$A$1213,$A221,$R$14:$R$1213,"&gt;"&amp;$R221)+(COUNTIFS($A$14:$A$1213,$A221,$R$14:$R$1213,"="&amp;$R221)+1)/2,"")</f>
        <v/>
      </c>
      <c r="AF221" s="27">
        <f>IF(ISNUMBER($S221),COUNTIFS($A$14:$A$1213,$A221,$S$14:$S$1213,"&gt;"&amp;$S221)+(COUNTIFS($A$14:$A$1213,$A221,$S$14:$S$1213,"="&amp;$S221)+1)/2,"")</f>
        <v/>
      </c>
      <c r="AG221" s="27">
        <f>IF(ISNUMBER($T221),COUNTIFS($A$14:$A$1213,$A221,$T$14:$T$1213,"&gt;"&amp;$T221)+(COUNTIFS($A$14:$A$1213,$A221,$T$14:$T$1213,"="&amp;$T221)+1)/2,"")</f>
        <v/>
      </c>
      <c r="AH221" s="27">
        <f>IF(COUNT($AC221:$AG221)&lt;2,"",IF(MAX($AC221:$AG221)=MIN($AC221:$AG221),0,1))</f>
        <v/>
      </c>
      <c r="AI221" s="27">
        <f>IF($A221="","",IF(COUNTIF($A$14:$A221,$A221)=1,COUNTIF($AI$13:AI220,"&gt;0")+1,""))</f>
        <v/>
      </c>
      <c r="AJ221" s="27">
        <f>IF(OR($H221="",COUNTIFS($A$14:$A$1213,$H221,$F$14:$F$1213,"&gt;=0")&lt;2,COUNTIFS($A$14:$A$1213,$H221,$F$14:$F$1213,_xlfn.MAXIFS($F$14:$F$1213,$A$14:$A$1213,$H221))&gt;1),"",IFERROR(INDEX($D$14:$D$1213,MATCH($H221&amp;"|"&amp;_xlfn.MAXIFS($F$14:$F$1213,$A$14:$A$1213,$H221),$AB$14:$AB$1213,0)),""))</f>
        <v/>
      </c>
      <c r="AK221" s="27">
        <f>IF(OR($H221="",COUNTIFS($A$14:$A$1213,$H221,$F$14:$F$1213,"&gt;=0")&lt;2,COUNTIFS($A$14:$A$1213,$H221,$F$14:$F$1213,_xlfn.MAXIFS($F$14:$F$1213,$A$14:$A$1213,$H221))&gt;1),"",IFERROR(INDEX($E$14:$E$1213,MATCH($H221&amp;"|"&amp;_xlfn.MAXIFS($F$14:$F$1213,$A$14:$A$1213,$H221),$AB$14:$AB$1213,0)),""))</f>
        <v/>
      </c>
      <c r="AL221" s="27">
        <f>IF(OR($H221="",COUNTIFS($A$14:$A$1213,$H221,$F$14:$F$1213,"&gt;=0")&lt;2,COUNTIFS($A$14:$A$1213,$H221,$F$14:$F$1213,_xlfn.MAXIFS($F$14:$F$1213,$A$14:$A$1213,$H221))&gt;1),"",IFERROR(INDEX($D$14:$D$1213,MATCH($H221&amp;"|"&amp;_xlfn.MAXIFS($F$14:$F$1213,$A$14:$A$1213,$H221,$F$14:$F$1213,"&lt;"&amp;_xlfn.MAXIFS($F$14:$F$1213,$A$14:$A$1213,$H221)),$AB$14:$AB$1213,0)),""))</f>
        <v/>
      </c>
      <c r="AM221" s="27">
        <f>IF(OR($H221="",COUNTIFS($A$14:$A$1213,$H221,$F$14:$F$1213,"&gt;=0")&lt;2,COUNTIFS($A$14:$A$1213,$H221,$F$14:$F$1213,_xlfn.MAXIFS($F$14:$F$1213,$A$14:$A$1213,$H221))&gt;1),"",IFERROR(INDEX($E$14:$E$1213,MATCH($H221&amp;"|"&amp;_xlfn.MAXIFS($F$14:$F$1213,$A$14:$A$1213,$H221,$F$14:$F$1213,"&lt;"&amp;_xlfn.MAXIFS($F$14:$F$1213,$A$14:$A$1213,$H221)),$AB$14:$AB$1213,0)),""))</f>
        <v/>
      </c>
      <c r="AN221" s="27">
        <f>IF(OR(NOT(ISNUMBER($AJ221)),NOT(ISNUMBER($AL221)),$AK221=0,$AM221=0),"",IF(OR((($AJ221+$AL221)/($AK221+$AM221))&lt;=0,(($AJ221+$AL221)/($AK221+$AM221))&gt;=1),"",($AJ221/$AK221-$AL221/$AM221)/SQRT((($AJ221+$AL221)/($AK221+$AM221))*(1-(($AJ221+$AL221)/($AK221+$AM221)))*(1/$AK221+1/$AM221))))</f>
        <v/>
      </c>
      <c r="AO221" s="27">
        <f>IF($A221="","",IF(AND(COUNTIFS($A$14:$A$1213,$A221,$F$14:$F$1213,"&gt;=0")=2,IFERROR(INDEX($M$14:$M$313,MATCH($A221,$H$14:$H$313,0)),"Yes")&lt;&gt;"Yes"),1,0))</f>
        <v/>
      </c>
    </row>
    <row r="222" ht="24" customHeight="1">
      <c r="A222" s="19">
        <f>IF('Enter messages'!A222="","",'Enter messages'!A222)</f>
        <v/>
      </c>
      <c r="B222" s="20">
        <f>IF('Enter messages'!B222="","",'Enter messages'!B222)</f>
        <v/>
      </c>
      <c r="C222" s="21">
        <f>IFERROR(AVERAGE(P222:T222),"")</f>
        <v/>
      </c>
      <c r="D222" s="29" t="n"/>
      <c r="E222" s="29" t="n"/>
      <c r="F222" s="30">
        <f>IF(AND(ISNUMBER($D222),ISNUMBER($E222),$E222&gt;0,$D222&lt;=$E222),$D222/$E222,"")</f>
        <v/>
      </c>
      <c r="H222" s="19">
        <f>IFERROR(INDEX($A$14:$A$1213,MATCH(209,$AI$14:$AI$1213,0)),"")</f>
        <v/>
      </c>
      <c r="I222" s="24">
        <f>IF($H222="","",IF(COUNTIFS($A$14:$A$1213,$H222,$C$14:$C$1213,"&gt;=0")=0,"—",IFERROR(INDEX($B$14:$B$1213,MATCH($H222&amp;"|1",$Z$14:$Z$1213,0)),"(tied)")))</f>
        <v/>
      </c>
      <c r="J222" s="25">
        <f>IF($H222="","",IF(OR(COUNTIFS($A$14:$A$1213,$H222,$C$14:$C$1213,"&gt;=0")=0,COUNTIFS($A$14:$A$1213,$H222,$F$14:$F$1213,"&gt;=0")=0),"—",IF(OR(ISERROR(MATCH($H222&amp;"|1",$Z$14:$Z$1213,0)),ISERROR(MATCH($H222&amp;"|1",$AA$14:$AA$1213,0))),"Tie",IF(MATCH($H222&amp;"|1",$Z$14:$Z$1213,0)=MATCH($H222&amp;"|1",$AA$14:$AA$1213,0),"Hit","Miss"))))</f>
        <v/>
      </c>
      <c r="K222" s="24">
        <f>IF($H222="","",IF(COUNTIFS($A$14:$A$1213,$H222,$F$14:$F$1213,"&gt;=0")=0,"—",IFERROR(INDEX($B$14:$B$1213,MATCH($H222&amp;"|1",$AA$14:$AA$1213,0)),"(tied)")))</f>
        <v/>
      </c>
      <c r="L222" s="25">
        <f>IF($H222="","",IF((--(COUNTIFS($A$14:$A$1213,$H222,$P$14:$P$1213,"&gt;=0")&gt;0)+--(COUNTIFS($A$14:$A$1213,$H222,$Q$14:$Q$1213,"&gt;=0")&gt;0)+--(COUNTIFS($A$14:$A$1213,$H222,$R$14:$R$1213,"&gt;=0")&gt;0)+--(COUNTIFS($A$14:$A$1213,$H222,$S$14:$S$1213,"&gt;=0")&gt;0)+--(COUNTIFS($A$14:$A$1213,$H222,$T$14:$T$1213,"&gt;=0")&gt;0))&lt;2,"—",IF(SUMIFS($AH$14:$AH$1213,$A$14:$A$1213,$H222)=0,"Yes","No")))</f>
        <v/>
      </c>
      <c r="M222" s="25">
        <f>IF($H222="","",IF(COUNTIFS($A$14:$A$1213,$H222,$F$14:$F$1213,"&gt;=0")&lt;2,"—",IF(COUNTIFS($A$14:$A$1213,$H222,$F$14:$F$1213,_xlfn.MAXIFS($F$14:$F$1213,$A$14:$A$1213,$H222))&gt;1,"No",IF(NOT(ISNUMBER($AN222)),"—",IF((2*(1-NORMSDIST(ABS($AN222))))&lt;0.05,"Yes","No")))))</f>
        <v/>
      </c>
      <c r="N222" s="21">
        <f>IF($H222="","",IF(NOT(ISNUMBER($AN222)),"—",IF((2*(1-NORMSDIST(ABS($AN222))))&lt;0.001,"&lt;0.001",TEXT((2*(1-NORMSDIST(ABS($AN222)))),"0.000"))))</f>
        <v/>
      </c>
      <c r="P222" s="26" t="n"/>
      <c r="Q222" s="26" t="n"/>
      <c r="R222" s="26" t="n"/>
      <c r="S222" s="26" t="n"/>
      <c r="T222" s="26" t="n"/>
      <c r="V222" s="27">
        <f>IF(ISNUMBER($C222),COUNTIFS($A$14:$A$1213,$A222,$C$14:$C$1213,"&gt;"&amp;$C222)+(COUNTIFS($A$14:$A$1213,$A222,$C$14:$C$1213,"="&amp;$C222)+1)/2,"")</f>
        <v/>
      </c>
      <c r="W222" s="27">
        <f>IF(ISNUMBER($F222),COUNTIFS($A$14:$A$1213,$A222,$F$14:$F$1213,"&gt;"&amp;$F222)+(COUNTIFS($A$14:$A$1213,$A222,$F$14:$F$1213,"="&amp;$F222)+1)/2,"")</f>
        <v/>
      </c>
      <c r="X222" s="27">
        <f>IF(OR(NOT(ISNUMBER($V222)),$AO222=1),"",$V222-(COUNTIFS($A$14:$A$1213,$A222,$C$14:$C$1213,"&gt;=0")+1)/2)</f>
        <v/>
      </c>
      <c r="Y222" s="27">
        <f>IF(OR(NOT(ISNUMBER($W222)),$AO222=1),"",$W222-(COUNTIFS($A$14:$A$1213,$A222,$F$14:$F$1213,"&gt;=0")+1)/2)</f>
        <v/>
      </c>
      <c r="Z222" s="27">
        <f>IF(ISNUMBER($V222),$A222&amp;"|"&amp;$V222,"")</f>
        <v/>
      </c>
      <c r="AA222" s="27">
        <f>IF(ISNUMBER($W222),$A222&amp;"|"&amp;$W222,"")</f>
        <v/>
      </c>
      <c r="AB222" s="27">
        <f>IF(ISNUMBER($F222),$A222&amp;"|"&amp;$F222,"")</f>
        <v/>
      </c>
      <c r="AC222" s="27">
        <f>IF(ISNUMBER($P222),COUNTIFS($A$14:$A$1213,$A222,$P$14:$P$1213,"&gt;"&amp;$P222)+(COUNTIFS($A$14:$A$1213,$A222,$P$14:$P$1213,"="&amp;$P222)+1)/2,"")</f>
        <v/>
      </c>
      <c r="AD222" s="27">
        <f>IF(ISNUMBER($Q222),COUNTIFS($A$14:$A$1213,$A222,$Q$14:$Q$1213,"&gt;"&amp;$Q222)+(COUNTIFS($A$14:$A$1213,$A222,$Q$14:$Q$1213,"="&amp;$Q222)+1)/2,"")</f>
        <v/>
      </c>
      <c r="AE222" s="27">
        <f>IF(ISNUMBER($R222),COUNTIFS($A$14:$A$1213,$A222,$R$14:$R$1213,"&gt;"&amp;$R222)+(COUNTIFS($A$14:$A$1213,$A222,$R$14:$R$1213,"="&amp;$R222)+1)/2,"")</f>
        <v/>
      </c>
      <c r="AF222" s="27">
        <f>IF(ISNUMBER($S222),COUNTIFS($A$14:$A$1213,$A222,$S$14:$S$1213,"&gt;"&amp;$S222)+(COUNTIFS($A$14:$A$1213,$A222,$S$14:$S$1213,"="&amp;$S222)+1)/2,"")</f>
        <v/>
      </c>
      <c r="AG222" s="27">
        <f>IF(ISNUMBER($T222),COUNTIFS($A$14:$A$1213,$A222,$T$14:$T$1213,"&gt;"&amp;$T222)+(COUNTIFS($A$14:$A$1213,$A222,$T$14:$T$1213,"="&amp;$T222)+1)/2,"")</f>
        <v/>
      </c>
      <c r="AH222" s="27">
        <f>IF(COUNT($AC222:$AG222)&lt;2,"",IF(MAX($AC222:$AG222)=MIN($AC222:$AG222),0,1))</f>
        <v/>
      </c>
      <c r="AI222" s="27">
        <f>IF($A222="","",IF(COUNTIF($A$14:$A222,$A222)=1,COUNTIF($AI$13:AI221,"&gt;0")+1,""))</f>
        <v/>
      </c>
      <c r="AJ222" s="27">
        <f>IF(OR($H222="",COUNTIFS($A$14:$A$1213,$H222,$F$14:$F$1213,"&gt;=0")&lt;2,COUNTIFS($A$14:$A$1213,$H222,$F$14:$F$1213,_xlfn.MAXIFS($F$14:$F$1213,$A$14:$A$1213,$H222))&gt;1),"",IFERROR(INDEX($D$14:$D$1213,MATCH($H222&amp;"|"&amp;_xlfn.MAXIFS($F$14:$F$1213,$A$14:$A$1213,$H222),$AB$14:$AB$1213,0)),""))</f>
        <v/>
      </c>
      <c r="AK222" s="27">
        <f>IF(OR($H222="",COUNTIFS($A$14:$A$1213,$H222,$F$14:$F$1213,"&gt;=0")&lt;2,COUNTIFS($A$14:$A$1213,$H222,$F$14:$F$1213,_xlfn.MAXIFS($F$14:$F$1213,$A$14:$A$1213,$H222))&gt;1),"",IFERROR(INDEX($E$14:$E$1213,MATCH($H222&amp;"|"&amp;_xlfn.MAXIFS($F$14:$F$1213,$A$14:$A$1213,$H222),$AB$14:$AB$1213,0)),""))</f>
        <v/>
      </c>
      <c r="AL222" s="27">
        <f>IF(OR($H222="",COUNTIFS($A$14:$A$1213,$H222,$F$14:$F$1213,"&gt;=0")&lt;2,COUNTIFS($A$14:$A$1213,$H222,$F$14:$F$1213,_xlfn.MAXIFS($F$14:$F$1213,$A$14:$A$1213,$H222))&gt;1),"",IFERROR(INDEX($D$14:$D$1213,MATCH($H222&amp;"|"&amp;_xlfn.MAXIFS($F$14:$F$1213,$A$14:$A$1213,$H222,$F$14:$F$1213,"&lt;"&amp;_xlfn.MAXIFS($F$14:$F$1213,$A$14:$A$1213,$H222)),$AB$14:$AB$1213,0)),""))</f>
        <v/>
      </c>
      <c r="AM222" s="27">
        <f>IF(OR($H222="",COUNTIFS($A$14:$A$1213,$H222,$F$14:$F$1213,"&gt;=0")&lt;2,COUNTIFS($A$14:$A$1213,$H222,$F$14:$F$1213,_xlfn.MAXIFS($F$14:$F$1213,$A$14:$A$1213,$H222))&gt;1),"",IFERROR(INDEX($E$14:$E$1213,MATCH($H222&amp;"|"&amp;_xlfn.MAXIFS($F$14:$F$1213,$A$14:$A$1213,$H222,$F$14:$F$1213,"&lt;"&amp;_xlfn.MAXIFS($F$14:$F$1213,$A$14:$A$1213,$H222)),$AB$14:$AB$1213,0)),""))</f>
        <v/>
      </c>
      <c r="AN222" s="27">
        <f>IF(OR(NOT(ISNUMBER($AJ222)),NOT(ISNUMBER($AL222)),$AK222=0,$AM222=0),"",IF(OR((($AJ222+$AL222)/($AK222+$AM222))&lt;=0,(($AJ222+$AL222)/($AK222+$AM222))&gt;=1),"",($AJ222/$AK222-$AL222/$AM222)/SQRT((($AJ222+$AL222)/($AK222+$AM222))*(1-(($AJ222+$AL222)/($AK222+$AM222)))*(1/$AK222+1/$AM222))))</f>
        <v/>
      </c>
      <c r="AO222" s="27">
        <f>IF($A222="","",IF(AND(COUNTIFS($A$14:$A$1213,$A222,$F$14:$F$1213,"&gt;=0")=2,IFERROR(INDEX($M$14:$M$313,MATCH($A222,$H$14:$H$313,0)),"Yes")&lt;&gt;"Yes"),1,0))</f>
        <v/>
      </c>
    </row>
    <row r="223" ht="24" customHeight="1">
      <c r="A223" s="19">
        <f>IF('Enter messages'!A223="","",'Enter messages'!A223)</f>
        <v/>
      </c>
      <c r="B223" s="20">
        <f>IF('Enter messages'!B223="","",'Enter messages'!B223)</f>
        <v/>
      </c>
      <c r="C223" s="21">
        <f>IFERROR(AVERAGE(P223:T223),"")</f>
        <v/>
      </c>
      <c r="D223" s="29" t="n"/>
      <c r="E223" s="29" t="n"/>
      <c r="F223" s="30">
        <f>IF(AND(ISNUMBER($D223),ISNUMBER($E223),$E223&gt;0,$D223&lt;=$E223),$D223/$E223,"")</f>
        <v/>
      </c>
      <c r="H223" s="19">
        <f>IFERROR(INDEX($A$14:$A$1213,MATCH(210,$AI$14:$AI$1213,0)),"")</f>
        <v/>
      </c>
      <c r="I223" s="24">
        <f>IF($H223="","",IF(COUNTIFS($A$14:$A$1213,$H223,$C$14:$C$1213,"&gt;=0")=0,"—",IFERROR(INDEX($B$14:$B$1213,MATCH($H223&amp;"|1",$Z$14:$Z$1213,0)),"(tied)")))</f>
        <v/>
      </c>
      <c r="J223" s="25">
        <f>IF($H223="","",IF(OR(COUNTIFS($A$14:$A$1213,$H223,$C$14:$C$1213,"&gt;=0")=0,COUNTIFS($A$14:$A$1213,$H223,$F$14:$F$1213,"&gt;=0")=0),"—",IF(OR(ISERROR(MATCH($H223&amp;"|1",$Z$14:$Z$1213,0)),ISERROR(MATCH($H223&amp;"|1",$AA$14:$AA$1213,0))),"Tie",IF(MATCH($H223&amp;"|1",$Z$14:$Z$1213,0)=MATCH($H223&amp;"|1",$AA$14:$AA$1213,0),"Hit","Miss"))))</f>
        <v/>
      </c>
      <c r="K223" s="24">
        <f>IF($H223="","",IF(COUNTIFS($A$14:$A$1213,$H223,$F$14:$F$1213,"&gt;=0")=0,"—",IFERROR(INDEX($B$14:$B$1213,MATCH($H223&amp;"|1",$AA$14:$AA$1213,0)),"(tied)")))</f>
        <v/>
      </c>
      <c r="L223" s="25">
        <f>IF($H223="","",IF((--(COUNTIFS($A$14:$A$1213,$H223,$P$14:$P$1213,"&gt;=0")&gt;0)+--(COUNTIFS($A$14:$A$1213,$H223,$Q$14:$Q$1213,"&gt;=0")&gt;0)+--(COUNTIFS($A$14:$A$1213,$H223,$R$14:$R$1213,"&gt;=0")&gt;0)+--(COUNTIFS($A$14:$A$1213,$H223,$S$14:$S$1213,"&gt;=0")&gt;0)+--(COUNTIFS($A$14:$A$1213,$H223,$T$14:$T$1213,"&gt;=0")&gt;0))&lt;2,"—",IF(SUMIFS($AH$14:$AH$1213,$A$14:$A$1213,$H223)=0,"Yes","No")))</f>
        <v/>
      </c>
      <c r="M223" s="25">
        <f>IF($H223="","",IF(COUNTIFS($A$14:$A$1213,$H223,$F$14:$F$1213,"&gt;=0")&lt;2,"—",IF(COUNTIFS($A$14:$A$1213,$H223,$F$14:$F$1213,_xlfn.MAXIFS($F$14:$F$1213,$A$14:$A$1213,$H223))&gt;1,"No",IF(NOT(ISNUMBER($AN223)),"—",IF((2*(1-NORMSDIST(ABS($AN223))))&lt;0.05,"Yes","No")))))</f>
        <v/>
      </c>
      <c r="N223" s="21">
        <f>IF($H223="","",IF(NOT(ISNUMBER($AN223)),"—",IF((2*(1-NORMSDIST(ABS($AN223))))&lt;0.001,"&lt;0.001",TEXT((2*(1-NORMSDIST(ABS($AN223)))),"0.000"))))</f>
        <v/>
      </c>
      <c r="P223" s="26" t="n"/>
      <c r="Q223" s="26" t="n"/>
      <c r="R223" s="26" t="n"/>
      <c r="S223" s="26" t="n"/>
      <c r="T223" s="26" t="n"/>
      <c r="V223" s="27">
        <f>IF(ISNUMBER($C223),COUNTIFS($A$14:$A$1213,$A223,$C$14:$C$1213,"&gt;"&amp;$C223)+(COUNTIFS($A$14:$A$1213,$A223,$C$14:$C$1213,"="&amp;$C223)+1)/2,"")</f>
        <v/>
      </c>
      <c r="W223" s="27">
        <f>IF(ISNUMBER($F223),COUNTIFS($A$14:$A$1213,$A223,$F$14:$F$1213,"&gt;"&amp;$F223)+(COUNTIFS($A$14:$A$1213,$A223,$F$14:$F$1213,"="&amp;$F223)+1)/2,"")</f>
        <v/>
      </c>
      <c r="X223" s="27">
        <f>IF(OR(NOT(ISNUMBER($V223)),$AO223=1),"",$V223-(COUNTIFS($A$14:$A$1213,$A223,$C$14:$C$1213,"&gt;=0")+1)/2)</f>
        <v/>
      </c>
      <c r="Y223" s="27">
        <f>IF(OR(NOT(ISNUMBER($W223)),$AO223=1),"",$W223-(COUNTIFS($A$14:$A$1213,$A223,$F$14:$F$1213,"&gt;=0")+1)/2)</f>
        <v/>
      </c>
      <c r="Z223" s="27">
        <f>IF(ISNUMBER($V223),$A223&amp;"|"&amp;$V223,"")</f>
        <v/>
      </c>
      <c r="AA223" s="27">
        <f>IF(ISNUMBER($W223),$A223&amp;"|"&amp;$W223,"")</f>
        <v/>
      </c>
      <c r="AB223" s="27">
        <f>IF(ISNUMBER($F223),$A223&amp;"|"&amp;$F223,"")</f>
        <v/>
      </c>
      <c r="AC223" s="27">
        <f>IF(ISNUMBER($P223),COUNTIFS($A$14:$A$1213,$A223,$P$14:$P$1213,"&gt;"&amp;$P223)+(COUNTIFS($A$14:$A$1213,$A223,$P$14:$P$1213,"="&amp;$P223)+1)/2,"")</f>
        <v/>
      </c>
      <c r="AD223" s="27">
        <f>IF(ISNUMBER($Q223),COUNTIFS($A$14:$A$1213,$A223,$Q$14:$Q$1213,"&gt;"&amp;$Q223)+(COUNTIFS($A$14:$A$1213,$A223,$Q$14:$Q$1213,"="&amp;$Q223)+1)/2,"")</f>
        <v/>
      </c>
      <c r="AE223" s="27">
        <f>IF(ISNUMBER($R223),COUNTIFS($A$14:$A$1213,$A223,$R$14:$R$1213,"&gt;"&amp;$R223)+(COUNTIFS($A$14:$A$1213,$A223,$R$14:$R$1213,"="&amp;$R223)+1)/2,"")</f>
        <v/>
      </c>
      <c r="AF223" s="27">
        <f>IF(ISNUMBER($S223),COUNTIFS($A$14:$A$1213,$A223,$S$14:$S$1213,"&gt;"&amp;$S223)+(COUNTIFS($A$14:$A$1213,$A223,$S$14:$S$1213,"="&amp;$S223)+1)/2,"")</f>
        <v/>
      </c>
      <c r="AG223" s="27">
        <f>IF(ISNUMBER($T223),COUNTIFS($A$14:$A$1213,$A223,$T$14:$T$1213,"&gt;"&amp;$T223)+(COUNTIFS($A$14:$A$1213,$A223,$T$14:$T$1213,"="&amp;$T223)+1)/2,"")</f>
        <v/>
      </c>
      <c r="AH223" s="27">
        <f>IF(COUNT($AC223:$AG223)&lt;2,"",IF(MAX($AC223:$AG223)=MIN($AC223:$AG223),0,1))</f>
        <v/>
      </c>
      <c r="AI223" s="27">
        <f>IF($A223="","",IF(COUNTIF($A$14:$A223,$A223)=1,COUNTIF($AI$13:AI222,"&gt;0")+1,""))</f>
        <v/>
      </c>
      <c r="AJ223" s="27">
        <f>IF(OR($H223="",COUNTIFS($A$14:$A$1213,$H223,$F$14:$F$1213,"&gt;=0")&lt;2,COUNTIFS($A$14:$A$1213,$H223,$F$14:$F$1213,_xlfn.MAXIFS($F$14:$F$1213,$A$14:$A$1213,$H223))&gt;1),"",IFERROR(INDEX($D$14:$D$1213,MATCH($H223&amp;"|"&amp;_xlfn.MAXIFS($F$14:$F$1213,$A$14:$A$1213,$H223),$AB$14:$AB$1213,0)),""))</f>
        <v/>
      </c>
      <c r="AK223" s="27">
        <f>IF(OR($H223="",COUNTIFS($A$14:$A$1213,$H223,$F$14:$F$1213,"&gt;=0")&lt;2,COUNTIFS($A$14:$A$1213,$H223,$F$14:$F$1213,_xlfn.MAXIFS($F$14:$F$1213,$A$14:$A$1213,$H223))&gt;1),"",IFERROR(INDEX($E$14:$E$1213,MATCH($H223&amp;"|"&amp;_xlfn.MAXIFS($F$14:$F$1213,$A$14:$A$1213,$H223),$AB$14:$AB$1213,0)),""))</f>
        <v/>
      </c>
      <c r="AL223" s="27">
        <f>IF(OR($H223="",COUNTIFS($A$14:$A$1213,$H223,$F$14:$F$1213,"&gt;=0")&lt;2,COUNTIFS($A$14:$A$1213,$H223,$F$14:$F$1213,_xlfn.MAXIFS($F$14:$F$1213,$A$14:$A$1213,$H223))&gt;1),"",IFERROR(INDEX($D$14:$D$1213,MATCH($H223&amp;"|"&amp;_xlfn.MAXIFS($F$14:$F$1213,$A$14:$A$1213,$H223,$F$14:$F$1213,"&lt;"&amp;_xlfn.MAXIFS($F$14:$F$1213,$A$14:$A$1213,$H223)),$AB$14:$AB$1213,0)),""))</f>
        <v/>
      </c>
      <c r="AM223" s="27">
        <f>IF(OR($H223="",COUNTIFS($A$14:$A$1213,$H223,$F$14:$F$1213,"&gt;=0")&lt;2,COUNTIFS($A$14:$A$1213,$H223,$F$14:$F$1213,_xlfn.MAXIFS($F$14:$F$1213,$A$14:$A$1213,$H223))&gt;1),"",IFERROR(INDEX($E$14:$E$1213,MATCH($H223&amp;"|"&amp;_xlfn.MAXIFS($F$14:$F$1213,$A$14:$A$1213,$H223,$F$14:$F$1213,"&lt;"&amp;_xlfn.MAXIFS($F$14:$F$1213,$A$14:$A$1213,$H223)),$AB$14:$AB$1213,0)),""))</f>
        <v/>
      </c>
      <c r="AN223" s="27">
        <f>IF(OR(NOT(ISNUMBER($AJ223)),NOT(ISNUMBER($AL223)),$AK223=0,$AM223=0),"",IF(OR((($AJ223+$AL223)/($AK223+$AM223))&lt;=0,(($AJ223+$AL223)/($AK223+$AM223))&gt;=1),"",($AJ223/$AK223-$AL223/$AM223)/SQRT((($AJ223+$AL223)/($AK223+$AM223))*(1-(($AJ223+$AL223)/($AK223+$AM223)))*(1/$AK223+1/$AM223))))</f>
        <v/>
      </c>
      <c r="AO223" s="27">
        <f>IF($A223="","",IF(AND(COUNTIFS($A$14:$A$1213,$A223,$F$14:$F$1213,"&gt;=0")=2,IFERROR(INDEX($M$14:$M$313,MATCH($A223,$H$14:$H$313,0)),"Yes")&lt;&gt;"Yes"),1,0))</f>
        <v/>
      </c>
    </row>
    <row r="224" ht="24" customHeight="1">
      <c r="A224" s="19">
        <f>IF('Enter messages'!A224="","",'Enter messages'!A224)</f>
        <v/>
      </c>
      <c r="B224" s="20">
        <f>IF('Enter messages'!B224="","",'Enter messages'!B224)</f>
        <v/>
      </c>
      <c r="C224" s="21">
        <f>IFERROR(AVERAGE(P224:T224),"")</f>
        <v/>
      </c>
      <c r="D224" s="29" t="n"/>
      <c r="E224" s="29" t="n"/>
      <c r="F224" s="30">
        <f>IF(AND(ISNUMBER($D224),ISNUMBER($E224),$E224&gt;0,$D224&lt;=$E224),$D224/$E224,"")</f>
        <v/>
      </c>
      <c r="H224" s="19">
        <f>IFERROR(INDEX($A$14:$A$1213,MATCH(211,$AI$14:$AI$1213,0)),"")</f>
        <v/>
      </c>
      <c r="I224" s="24">
        <f>IF($H224="","",IF(COUNTIFS($A$14:$A$1213,$H224,$C$14:$C$1213,"&gt;=0")=0,"—",IFERROR(INDEX($B$14:$B$1213,MATCH($H224&amp;"|1",$Z$14:$Z$1213,0)),"(tied)")))</f>
        <v/>
      </c>
      <c r="J224" s="25">
        <f>IF($H224="","",IF(OR(COUNTIFS($A$14:$A$1213,$H224,$C$14:$C$1213,"&gt;=0")=0,COUNTIFS($A$14:$A$1213,$H224,$F$14:$F$1213,"&gt;=0")=0),"—",IF(OR(ISERROR(MATCH($H224&amp;"|1",$Z$14:$Z$1213,0)),ISERROR(MATCH($H224&amp;"|1",$AA$14:$AA$1213,0))),"Tie",IF(MATCH($H224&amp;"|1",$Z$14:$Z$1213,0)=MATCH($H224&amp;"|1",$AA$14:$AA$1213,0),"Hit","Miss"))))</f>
        <v/>
      </c>
      <c r="K224" s="24">
        <f>IF($H224="","",IF(COUNTIFS($A$14:$A$1213,$H224,$F$14:$F$1213,"&gt;=0")=0,"—",IFERROR(INDEX($B$14:$B$1213,MATCH($H224&amp;"|1",$AA$14:$AA$1213,0)),"(tied)")))</f>
        <v/>
      </c>
      <c r="L224" s="25">
        <f>IF($H224="","",IF((--(COUNTIFS($A$14:$A$1213,$H224,$P$14:$P$1213,"&gt;=0")&gt;0)+--(COUNTIFS($A$14:$A$1213,$H224,$Q$14:$Q$1213,"&gt;=0")&gt;0)+--(COUNTIFS($A$14:$A$1213,$H224,$R$14:$R$1213,"&gt;=0")&gt;0)+--(COUNTIFS($A$14:$A$1213,$H224,$S$14:$S$1213,"&gt;=0")&gt;0)+--(COUNTIFS($A$14:$A$1213,$H224,$T$14:$T$1213,"&gt;=0")&gt;0))&lt;2,"—",IF(SUMIFS($AH$14:$AH$1213,$A$14:$A$1213,$H224)=0,"Yes","No")))</f>
        <v/>
      </c>
      <c r="M224" s="25">
        <f>IF($H224="","",IF(COUNTIFS($A$14:$A$1213,$H224,$F$14:$F$1213,"&gt;=0")&lt;2,"—",IF(COUNTIFS($A$14:$A$1213,$H224,$F$14:$F$1213,_xlfn.MAXIFS($F$14:$F$1213,$A$14:$A$1213,$H224))&gt;1,"No",IF(NOT(ISNUMBER($AN224)),"—",IF((2*(1-NORMSDIST(ABS($AN224))))&lt;0.05,"Yes","No")))))</f>
        <v/>
      </c>
      <c r="N224" s="21">
        <f>IF($H224="","",IF(NOT(ISNUMBER($AN224)),"—",IF((2*(1-NORMSDIST(ABS($AN224))))&lt;0.001,"&lt;0.001",TEXT((2*(1-NORMSDIST(ABS($AN224)))),"0.000"))))</f>
        <v/>
      </c>
      <c r="P224" s="26" t="n"/>
      <c r="Q224" s="26" t="n"/>
      <c r="R224" s="26" t="n"/>
      <c r="S224" s="26" t="n"/>
      <c r="T224" s="26" t="n"/>
      <c r="V224" s="27">
        <f>IF(ISNUMBER($C224),COUNTIFS($A$14:$A$1213,$A224,$C$14:$C$1213,"&gt;"&amp;$C224)+(COUNTIFS($A$14:$A$1213,$A224,$C$14:$C$1213,"="&amp;$C224)+1)/2,"")</f>
        <v/>
      </c>
      <c r="W224" s="27">
        <f>IF(ISNUMBER($F224),COUNTIFS($A$14:$A$1213,$A224,$F$14:$F$1213,"&gt;"&amp;$F224)+(COUNTIFS($A$14:$A$1213,$A224,$F$14:$F$1213,"="&amp;$F224)+1)/2,"")</f>
        <v/>
      </c>
      <c r="X224" s="27">
        <f>IF(OR(NOT(ISNUMBER($V224)),$AO224=1),"",$V224-(COUNTIFS($A$14:$A$1213,$A224,$C$14:$C$1213,"&gt;=0")+1)/2)</f>
        <v/>
      </c>
      <c r="Y224" s="27">
        <f>IF(OR(NOT(ISNUMBER($W224)),$AO224=1),"",$W224-(COUNTIFS($A$14:$A$1213,$A224,$F$14:$F$1213,"&gt;=0")+1)/2)</f>
        <v/>
      </c>
      <c r="Z224" s="27">
        <f>IF(ISNUMBER($V224),$A224&amp;"|"&amp;$V224,"")</f>
        <v/>
      </c>
      <c r="AA224" s="27">
        <f>IF(ISNUMBER($W224),$A224&amp;"|"&amp;$W224,"")</f>
        <v/>
      </c>
      <c r="AB224" s="27">
        <f>IF(ISNUMBER($F224),$A224&amp;"|"&amp;$F224,"")</f>
        <v/>
      </c>
      <c r="AC224" s="27">
        <f>IF(ISNUMBER($P224),COUNTIFS($A$14:$A$1213,$A224,$P$14:$P$1213,"&gt;"&amp;$P224)+(COUNTIFS($A$14:$A$1213,$A224,$P$14:$P$1213,"="&amp;$P224)+1)/2,"")</f>
        <v/>
      </c>
      <c r="AD224" s="27">
        <f>IF(ISNUMBER($Q224),COUNTIFS($A$14:$A$1213,$A224,$Q$14:$Q$1213,"&gt;"&amp;$Q224)+(COUNTIFS($A$14:$A$1213,$A224,$Q$14:$Q$1213,"="&amp;$Q224)+1)/2,"")</f>
        <v/>
      </c>
      <c r="AE224" s="27">
        <f>IF(ISNUMBER($R224),COUNTIFS($A$14:$A$1213,$A224,$R$14:$R$1213,"&gt;"&amp;$R224)+(COUNTIFS($A$14:$A$1213,$A224,$R$14:$R$1213,"="&amp;$R224)+1)/2,"")</f>
        <v/>
      </c>
      <c r="AF224" s="27">
        <f>IF(ISNUMBER($S224),COUNTIFS($A$14:$A$1213,$A224,$S$14:$S$1213,"&gt;"&amp;$S224)+(COUNTIFS($A$14:$A$1213,$A224,$S$14:$S$1213,"="&amp;$S224)+1)/2,"")</f>
        <v/>
      </c>
      <c r="AG224" s="27">
        <f>IF(ISNUMBER($T224),COUNTIFS($A$14:$A$1213,$A224,$T$14:$T$1213,"&gt;"&amp;$T224)+(COUNTIFS($A$14:$A$1213,$A224,$T$14:$T$1213,"="&amp;$T224)+1)/2,"")</f>
        <v/>
      </c>
      <c r="AH224" s="27">
        <f>IF(COUNT($AC224:$AG224)&lt;2,"",IF(MAX($AC224:$AG224)=MIN($AC224:$AG224),0,1))</f>
        <v/>
      </c>
      <c r="AI224" s="27">
        <f>IF($A224="","",IF(COUNTIF($A$14:$A224,$A224)=1,COUNTIF($AI$13:AI223,"&gt;0")+1,""))</f>
        <v/>
      </c>
      <c r="AJ224" s="27">
        <f>IF(OR($H224="",COUNTIFS($A$14:$A$1213,$H224,$F$14:$F$1213,"&gt;=0")&lt;2,COUNTIFS($A$14:$A$1213,$H224,$F$14:$F$1213,_xlfn.MAXIFS($F$14:$F$1213,$A$14:$A$1213,$H224))&gt;1),"",IFERROR(INDEX($D$14:$D$1213,MATCH($H224&amp;"|"&amp;_xlfn.MAXIFS($F$14:$F$1213,$A$14:$A$1213,$H224),$AB$14:$AB$1213,0)),""))</f>
        <v/>
      </c>
      <c r="AK224" s="27">
        <f>IF(OR($H224="",COUNTIFS($A$14:$A$1213,$H224,$F$14:$F$1213,"&gt;=0")&lt;2,COUNTIFS($A$14:$A$1213,$H224,$F$14:$F$1213,_xlfn.MAXIFS($F$14:$F$1213,$A$14:$A$1213,$H224))&gt;1),"",IFERROR(INDEX($E$14:$E$1213,MATCH($H224&amp;"|"&amp;_xlfn.MAXIFS($F$14:$F$1213,$A$14:$A$1213,$H224),$AB$14:$AB$1213,0)),""))</f>
        <v/>
      </c>
      <c r="AL224" s="27">
        <f>IF(OR($H224="",COUNTIFS($A$14:$A$1213,$H224,$F$14:$F$1213,"&gt;=0")&lt;2,COUNTIFS($A$14:$A$1213,$H224,$F$14:$F$1213,_xlfn.MAXIFS($F$14:$F$1213,$A$14:$A$1213,$H224))&gt;1),"",IFERROR(INDEX($D$14:$D$1213,MATCH($H224&amp;"|"&amp;_xlfn.MAXIFS($F$14:$F$1213,$A$14:$A$1213,$H224,$F$14:$F$1213,"&lt;"&amp;_xlfn.MAXIFS($F$14:$F$1213,$A$14:$A$1213,$H224)),$AB$14:$AB$1213,0)),""))</f>
        <v/>
      </c>
      <c r="AM224" s="27">
        <f>IF(OR($H224="",COUNTIFS($A$14:$A$1213,$H224,$F$14:$F$1213,"&gt;=0")&lt;2,COUNTIFS($A$14:$A$1213,$H224,$F$14:$F$1213,_xlfn.MAXIFS($F$14:$F$1213,$A$14:$A$1213,$H224))&gt;1),"",IFERROR(INDEX($E$14:$E$1213,MATCH($H224&amp;"|"&amp;_xlfn.MAXIFS($F$14:$F$1213,$A$14:$A$1213,$H224,$F$14:$F$1213,"&lt;"&amp;_xlfn.MAXIFS($F$14:$F$1213,$A$14:$A$1213,$H224)),$AB$14:$AB$1213,0)),""))</f>
        <v/>
      </c>
      <c r="AN224" s="27">
        <f>IF(OR(NOT(ISNUMBER($AJ224)),NOT(ISNUMBER($AL224)),$AK224=0,$AM224=0),"",IF(OR((($AJ224+$AL224)/($AK224+$AM224))&lt;=0,(($AJ224+$AL224)/($AK224+$AM224))&gt;=1),"",($AJ224/$AK224-$AL224/$AM224)/SQRT((($AJ224+$AL224)/($AK224+$AM224))*(1-(($AJ224+$AL224)/($AK224+$AM224)))*(1/$AK224+1/$AM224))))</f>
        <v/>
      </c>
      <c r="AO224" s="27">
        <f>IF($A224="","",IF(AND(COUNTIFS($A$14:$A$1213,$A224,$F$14:$F$1213,"&gt;=0")=2,IFERROR(INDEX($M$14:$M$313,MATCH($A224,$H$14:$H$313,0)),"Yes")&lt;&gt;"Yes"),1,0))</f>
        <v/>
      </c>
    </row>
    <row r="225" ht="24" customHeight="1">
      <c r="A225" s="19">
        <f>IF('Enter messages'!A225="","",'Enter messages'!A225)</f>
        <v/>
      </c>
      <c r="B225" s="20">
        <f>IF('Enter messages'!B225="","",'Enter messages'!B225)</f>
        <v/>
      </c>
      <c r="C225" s="21">
        <f>IFERROR(AVERAGE(P225:T225),"")</f>
        <v/>
      </c>
      <c r="D225" s="29" t="n"/>
      <c r="E225" s="29" t="n"/>
      <c r="F225" s="30">
        <f>IF(AND(ISNUMBER($D225),ISNUMBER($E225),$E225&gt;0,$D225&lt;=$E225),$D225/$E225,"")</f>
        <v/>
      </c>
      <c r="H225" s="19">
        <f>IFERROR(INDEX($A$14:$A$1213,MATCH(212,$AI$14:$AI$1213,0)),"")</f>
        <v/>
      </c>
      <c r="I225" s="24">
        <f>IF($H225="","",IF(COUNTIFS($A$14:$A$1213,$H225,$C$14:$C$1213,"&gt;=0")=0,"—",IFERROR(INDEX($B$14:$B$1213,MATCH($H225&amp;"|1",$Z$14:$Z$1213,0)),"(tied)")))</f>
        <v/>
      </c>
      <c r="J225" s="25">
        <f>IF($H225="","",IF(OR(COUNTIFS($A$14:$A$1213,$H225,$C$14:$C$1213,"&gt;=0")=0,COUNTIFS($A$14:$A$1213,$H225,$F$14:$F$1213,"&gt;=0")=0),"—",IF(OR(ISERROR(MATCH($H225&amp;"|1",$Z$14:$Z$1213,0)),ISERROR(MATCH($H225&amp;"|1",$AA$14:$AA$1213,0))),"Tie",IF(MATCH($H225&amp;"|1",$Z$14:$Z$1213,0)=MATCH($H225&amp;"|1",$AA$14:$AA$1213,0),"Hit","Miss"))))</f>
        <v/>
      </c>
      <c r="K225" s="24">
        <f>IF($H225="","",IF(COUNTIFS($A$14:$A$1213,$H225,$F$14:$F$1213,"&gt;=0")=0,"—",IFERROR(INDEX($B$14:$B$1213,MATCH($H225&amp;"|1",$AA$14:$AA$1213,0)),"(tied)")))</f>
        <v/>
      </c>
      <c r="L225" s="25">
        <f>IF($H225="","",IF((--(COUNTIFS($A$14:$A$1213,$H225,$P$14:$P$1213,"&gt;=0")&gt;0)+--(COUNTIFS($A$14:$A$1213,$H225,$Q$14:$Q$1213,"&gt;=0")&gt;0)+--(COUNTIFS($A$14:$A$1213,$H225,$R$14:$R$1213,"&gt;=0")&gt;0)+--(COUNTIFS($A$14:$A$1213,$H225,$S$14:$S$1213,"&gt;=0")&gt;0)+--(COUNTIFS($A$14:$A$1213,$H225,$T$14:$T$1213,"&gt;=0")&gt;0))&lt;2,"—",IF(SUMIFS($AH$14:$AH$1213,$A$14:$A$1213,$H225)=0,"Yes","No")))</f>
        <v/>
      </c>
      <c r="M225" s="25">
        <f>IF($H225="","",IF(COUNTIFS($A$14:$A$1213,$H225,$F$14:$F$1213,"&gt;=0")&lt;2,"—",IF(COUNTIFS($A$14:$A$1213,$H225,$F$14:$F$1213,_xlfn.MAXIFS($F$14:$F$1213,$A$14:$A$1213,$H225))&gt;1,"No",IF(NOT(ISNUMBER($AN225)),"—",IF((2*(1-NORMSDIST(ABS($AN225))))&lt;0.05,"Yes","No")))))</f>
        <v/>
      </c>
      <c r="N225" s="21">
        <f>IF($H225="","",IF(NOT(ISNUMBER($AN225)),"—",IF((2*(1-NORMSDIST(ABS($AN225))))&lt;0.001,"&lt;0.001",TEXT((2*(1-NORMSDIST(ABS($AN225)))),"0.000"))))</f>
        <v/>
      </c>
      <c r="P225" s="26" t="n"/>
      <c r="Q225" s="26" t="n"/>
      <c r="R225" s="26" t="n"/>
      <c r="S225" s="26" t="n"/>
      <c r="T225" s="26" t="n"/>
      <c r="V225" s="27">
        <f>IF(ISNUMBER($C225),COUNTIFS($A$14:$A$1213,$A225,$C$14:$C$1213,"&gt;"&amp;$C225)+(COUNTIFS($A$14:$A$1213,$A225,$C$14:$C$1213,"="&amp;$C225)+1)/2,"")</f>
        <v/>
      </c>
      <c r="W225" s="27">
        <f>IF(ISNUMBER($F225),COUNTIFS($A$14:$A$1213,$A225,$F$14:$F$1213,"&gt;"&amp;$F225)+(COUNTIFS($A$14:$A$1213,$A225,$F$14:$F$1213,"="&amp;$F225)+1)/2,"")</f>
        <v/>
      </c>
      <c r="X225" s="27">
        <f>IF(OR(NOT(ISNUMBER($V225)),$AO225=1),"",$V225-(COUNTIFS($A$14:$A$1213,$A225,$C$14:$C$1213,"&gt;=0")+1)/2)</f>
        <v/>
      </c>
      <c r="Y225" s="27">
        <f>IF(OR(NOT(ISNUMBER($W225)),$AO225=1),"",$W225-(COUNTIFS($A$14:$A$1213,$A225,$F$14:$F$1213,"&gt;=0")+1)/2)</f>
        <v/>
      </c>
      <c r="Z225" s="27">
        <f>IF(ISNUMBER($V225),$A225&amp;"|"&amp;$V225,"")</f>
        <v/>
      </c>
      <c r="AA225" s="27">
        <f>IF(ISNUMBER($W225),$A225&amp;"|"&amp;$W225,"")</f>
        <v/>
      </c>
      <c r="AB225" s="27">
        <f>IF(ISNUMBER($F225),$A225&amp;"|"&amp;$F225,"")</f>
        <v/>
      </c>
      <c r="AC225" s="27">
        <f>IF(ISNUMBER($P225),COUNTIFS($A$14:$A$1213,$A225,$P$14:$P$1213,"&gt;"&amp;$P225)+(COUNTIFS($A$14:$A$1213,$A225,$P$14:$P$1213,"="&amp;$P225)+1)/2,"")</f>
        <v/>
      </c>
      <c r="AD225" s="27">
        <f>IF(ISNUMBER($Q225),COUNTIFS($A$14:$A$1213,$A225,$Q$14:$Q$1213,"&gt;"&amp;$Q225)+(COUNTIFS($A$14:$A$1213,$A225,$Q$14:$Q$1213,"="&amp;$Q225)+1)/2,"")</f>
        <v/>
      </c>
      <c r="AE225" s="27">
        <f>IF(ISNUMBER($R225),COUNTIFS($A$14:$A$1213,$A225,$R$14:$R$1213,"&gt;"&amp;$R225)+(COUNTIFS($A$14:$A$1213,$A225,$R$14:$R$1213,"="&amp;$R225)+1)/2,"")</f>
        <v/>
      </c>
      <c r="AF225" s="27">
        <f>IF(ISNUMBER($S225),COUNTIFS($A$14:$A$1213,$A225,$S$14:$S$1213,"&gt;"&amp;$S225)+(COUNTIFS($A$14:$A$1213,$A225,$S$14:$S$1213,"="&amp;$S225)+1)/2,"")</f>
        <v/>
      </c>
      <c r="AG225" s="27">
        <f>IF(ISNUMBER($T225),COUNTIFS($A$14:$A$1213,$A225,$T$14:$T$1213,"&gt;"&amp;$T225)+(COUNTIFS($A$14:$A$1213,$A225,$T$14:$T$1213,"="&amp;$T225)+1)/2,"")</f>
        <v/>
      </c>
      <c r="AH225" s="27">
        <f>IF(COUNT($AC225:$AG225)&lt;2,"",IF(MAX($AC225:$AG225)=MIN($AC225:$AG225),0,1))</f>
        <v/>
      </c>
      <c r="AI225" s="27">
        <f>IF($A225="","",IF(COUNTIF($A$14:$A225,$A225)=1,COUNTIF($AI$13:AI224,"&gt;0")+1,""))</f>
        <v/>
      </c>
      <c r="AJ225" s="27">
        <f>IF(OR($H225="",COUNTIFS($A$14:$A$1213,$H225,$F$14:$F$1213,"&gt;=0")&lt;2,COUNTIFS($A$14:$A$1213,$H225,$F$14:$F$1213,_xlfn.MAXIFS($F$14:$F$1213,$A$14:$A$1213,$H225))&gt;1),"",IFERROR(INDEX($D$14:$D$1213,MATCH($H225&amp;"|"&amp;_xlfn.MAXIFS($F$14:$F$1213,$A$14:$A$1213,$H225),$AB$14:$AB$1213,0)),""))</f>
        <v/>
      </c>
      <c r="AK225" s="27">
        <f>IF(OR($H225="",COUNTIFS($A$14:$A$1213,$H225,$F$14:$F$1213,"&gt;=0")&lt;2,COUNTIFS($A$14:$A$1213,$H225,$F$14:$F$1213,_xlfn.MAXIFS($F$14:$F$1213,$A$14:$A$1213,$H225))&gt;1),"",IFERROR(INDEX($E$14:$E$1213,MATCH($H225&amp;"|"&amp;_xlfn.MAXIFS($F$14:$F$1213,$A$14:$A$1213,$H225),$AB$14:$AB$1213,0)),""))</f>
        <v/>
      </c>
      <c r="AL225" s="27">
        <f>IF(OR($H225="",COUNTIFS($A$14:$A$1213,$H225,$F$14:$F$1213,"&gt;=0")&lt;2,COUNTIFS($A$14:$A$1213,$H225,$F$14:$F$1213,_xlfn.MAXIFS($F$14:$F$1213,$A$14:$A$1213,$H225))&gt;1),"",IFERROR(INDEX($D$14:$D$1213,MATCH($H225&amp;"|"&amp;_xlfn.MAXIFS($F$14:$F$1213,$A$14:$A$1213,$H225,$F$14:$F$1213,"&lt;"&amp;_xlfn.MAXIFS($F$14:$F$1213,$A$14:$A$1213,$H225)),$AB$14:$AB$1213,0)),""))</f>
        <v/>
      </c>
      <c r="AM225" s="27">
        <f>IF(OR($H225="",COUNTIFS($A$14:$A$1213,$H225,$F$14:$F$1213,"&gt;=0")&lt;2,COUNTIFS($A$14:$A$1213,$H225,$F$14:$F$1213,_xlfn.MAXIFS($F$14:$F$1213,$A$14:$A$1213,$H225))&gt;1),"",IFERROR(INDEX($E$14:$E$1213,MATCH($H225&amp;"|"&amp;_xlfn.MAXIFS($F$14:$F$1213,$A$14:$A$1213,$H225,$F$14:$F$1213,"&lt;"&amp;_xlfn.MAXIFS($F$14:$F$1213,$A$14:$A$1213,$H225)),$AB$14:$AB$1213,0)),""))</f>
        <v/>
      </c>
      <c r="AN225" s="27">
        <f>IF(OR(NOT(ISNUMBER($AJ225)),NOT(ISNUMBER($AL225)),$AK225=0,$AM225=0),"",IF(OR((($AJ225+$AL225)/($AK225+$AM225))&lt;=0,(($AJ225+$AL225)/($AK225+$AM225))&gt;=1),"",($AJ225/$AK225-$AL225/$AM225)/SQRT((($AJ225+$AL225)/($AK225+$AM225))*(1-(($AJ225+$AL225)/($AK225+$AM225)))*(1/$AK225+1/$AM225))))</f>
        <v/>
      </c>
      <c r="AO225" s="27">
        <f>IF($A225="","",IF(AND(COUNTIFS($A$14:$A$1213,$A225,$F$14:$F$1213,"&gt;=0")=2,IFERROR(INDEX($M$14:$M$313,MATCH($A225,$H$14:$H$313,0)),"Yes")&lt;&gt;"Yes"),1,0))</f>
        <v/>
      </c>
    </row>
    <row r="226" ht="24" customHeight="1">
      <c r="A226" s="19">
        <f>IF('Enter messages'!A226="","",'Enter messages'!A226)</f>
        <v/>
      </c>
      <c r="B226" s="20">
        <f>IF('Enter messages'!B226="","",'Enter messages'!B226)</f>
        <v/>
      </c>
      <c r="C226" s="21">
        <f>IFERROR(AVERAGE(P226:T226),"")</f>
        <v/>
      </c>
      <c r="D226" s="29" t="n"/>
      <c r="E226" s="29" t="n"/>
      <c r="F226" s="30">
        <f>IF(AND(ISNUMBER($D226),ISNUMBER($E226),$E226&gt;0,$D226&lt;=$E226),$D226/$E226,"")</f>
        <v/>
      </c>
      <c r="H226" s="19">
        <f>IFERROR(INDEX($A$14:$A$1213,MATCH(213,$AI$14:$AI$1213,0)),"")</f>
        <v/>
      </c>
      <c r="I226" s="24">
        <f>IF($H226="","",IF(COUNTIFS($A$14:$A$1213,$H226,$C$14:$C$1213,"&gt;=0")=0,"—",IFERROR(INDEX($B$14:$B$1213,MATCH($H226&amp;"|1",$Z$14:$Z$1213,0)),"(tied)")))</f>
        <v/>
      </c>
      <c r="J226" s="25">
        <f>IF($H226="","",IF(OR(COUNTIFS($A$14:$A$1213,$H226,$C$14:$C$1213,"&gt;=0")=0,COUNTIFS($A$14:$A$1213,$H226,$F$14:$F$1213,"&gt;=0")=0),"—",IF(OR(ISERROR(MATCH($H226&amp;"|1",$Z$14:$Z$1213,0)),ISERROR(MATCH($H226&amp;"|1",$AA$14:$AA$1213,0))),"Tie",IF(MATCH($H226&amp;"|1",$Z$14:$Z$1213,0)=MATCH($H226&amp;"|1",$AA$14:$AA$1213,0),"Hit","Miss"))))</f>
        <v/>
      </c>
      <c r="K226" s="24">
        <f>IF($H226="","",IF(COUNTIFS($A$14:$A$1213,$H226,$F$14:$F$1213,"&gt;=0")=0,"—",IFERROR(INDEX($B$14:$B$1213,MATCH($H226&amp;"|1",$AA$14:$AA$1213,0)),"(tied)")))</f>
        <v/>
      </c>
      <c r="L226" s="25">
        <f>IF($H226="","",IF((--(COUNTIFS($A$14:$A$1213,$H226,$P$14:$P$1213,"&gt;=0")&gt;0)+--(COUNTIFS($A$14:$A$1213,$H226,$Q$14:$Q$1213,"&gt;=0")&gt;0)+--(COUNTIFS($A$14:$A$1213,$H226,$R$14:$R$1213,"&gt;=0")&gt;0)+--(COUNTIFS($A$14:$A$1213,$H226,$S$14:$S$1213,"&gt;=0")&gt;0)+--(COUNTIFS($A$14:$A$1213,$H226,$T$14:$T$1213,"&gt;=0")&gt;0))&lt;2,"—",IF(SUMIFS($AH$14:$AH$1213,$A$14:$A$1213,$H226)=0,"Yes","No")))</f>
        <v/>
      </c>
      <c r="M226" s="25">
        <f>IF($H226="","",IF(COUNTIFS($A$14:$A$1213,$H226,$F$14:$F$1213,"&gt;=0")&lt;2,"—",IF(COUNTIFS($A$14:$A$1213,$H226,$F$14:$F$1213,_xlfn.MAXIFS($F$14:$F$1213,$A$14:$A$1213,$H226))&gt;1,"No",IF(NOT(ISNUMBER($AN226)),"—",IF((2*(1-NORMSDIST(ABS($AN226))))&lt;0.05,"Yes","No")))))</f>
        <v/>
      </c>
      <c r="N226" s="21">
        <f>IF($H226="","",IF(NOT(ISNUMBER($AN226)),"—",IF((2*(1-NORMSDIST(ABS($AN226))))&lt;0.001,"&lt;0.001",TEXT((2*(1-NORMSDIST(ABS($AN226)))),"0.000"))))</f>
        <v/>
      </c>
      <c r="P226" s="26" t="n"/>
      <c r="Q226" s="26" t="n"/>
      <c r="R226" s="26" t="n"/>
      <c r="S226" s="26" t="n"/>
      <c r="T226" s="26" t="n"/>
      <c r="V226" s="27">
        <f>IF(ISNUMBER($C226),COUNTIFS($A$14:$A$1213,$A226,$C$14:$C$1213,"&gt;"&amp;$C226)+(COUNTIFS($A$14:$A$1213,$A226,$C$14:$C$1213,"="&amp;$C226)+1)/2,"")</f>
        <v/>
      </c>
      <c r="W226" s="27">
        <f>IF(ISNUMBER($F226),COUNTIFS($A$14:$A$1213,$A226,$F$14:$F$1213,"&gt;"&amp;$F226)+(COUNTIFS($A$14:$A$1213,$A226,$F$14:$F$1213,"="&amp;$F226)+1)/2,"")</f>
        <v/>
      </c>
      <c r="X226" s="27">
        <f>IF(OR(NOT(ISNUMBER($V226)),$AO226=1),"",$V226-(COUNTIFS($A$14:$A$1213,$A226,$C$14:$C$1213,"&gt;=0")+1)/2)</f>
        <v/>
      </c>
      <c r="Y226" s="27">
        <f>IF(OR(NOT(ISNUMBER($W226)),$AO226=1),"",$W226-(COUNTIFS($A$14:$A$1213,$A226,$F$14:$F$1213,"&gt;=0")+1)/2)</f>
        <v/>
      </c>
      <c r="Z226" s="27">
        <f>IF(ISNUMBER($V226),$A226&amp;"|"&amp;$V226,"")</f>
        <v/>
      </c>
      <c r="AA226" s="27">
        <f>IF(ISNUMBER($W226),$A226&amp;"|"&amp;$W226,"")</f>
        <v/>
      </c>
      <c r="AB226" s="27">
        <f>IF(ISNUMBER($F226),$A226&amp;"|"&amp;$F226,"")</f>
        <v/>
      </c>
      <c r="AC226" s="27">
        <f>IF(ISNUMBER($P226),COUNTIFS($A$14:$A$1213,$A226,$P$14:$P$1213,"&gt;"&amp;$P226)+(COUNTIFS($A$14:$A$1213,$A226,$P$14:$P$1213,"="&amp;$P226)+1)/2,"")</f>
        <v/>
      </c>
      <c r="AD226" s="27">
        <f>IF(ISNUMBER($Q226),COUNTIFS($A$14:$A$1213,$A226,$Q$14:$Q$1213,"&gt;"&amp;$Q226)+(COUNTIFS($A$14:$A$1213,$A226,$Q$14:$Q$1213,"="&amp;$Q226)+1)/2,"")</f>
        <v/>
      </c>
      <c r="AE226" s="27">
        <f>IF(ISNUMBER($R226),COUNTIFS($A$14:$A$1213,$A226,$R$14:$R$1213,"&gt;"&amp;$R226)+(COUNTIFS($A$14:$A$1213,$A226,$R$14:$R$1213,"="&amp;$R226)+1)/2,"")</f>
        <v/>
      </c>
      <c r="AF226" s="27">
        <f>IF(ISNUMBER($S226),COUNTIFS($A$14:$A$1213,$A226,$S$14:$S$1213,"&gt;"&amp;$S226)+(COUNTIFS($A$14:$A$1213,$A226,$S$14:$S$1213,"="&amp;$S226)+1)/2,"")</f>
        <v/>
      </c>
      <c r="AG226" s="27">
        <f>IF(ISNUMBER($T226),COUNTIFS($A$14:$A$1213,$A226,$T$14:$T$1213,"&gt;"&amp;$T226)+(COUNTIFS($A$14:$A$1213,$A226,$T$14:$T$1213,"="&amp;$T226)+1)/2,"")</f>
        <v/>
      </c>
      <c r="AH226" s="27">
        <f>IF(COUNT($AC226:$AG226)&lt;2,"",IF(MAX($AC226:$AG226)=MIN($AC226:$AG226),0,1))</f>
        <v/>
      </c>
      <c r="AI226" s="27">
        <f>IF($A226="","",IF(COUNTIF($A$14:$A226,$A226)=1,COUNTIF($AI$13:AI225,"&gt;0")+1,""))</f>
        <v/>
      </c>
      <c r="AJ226" s="27">
        <f>IF(OR($H226="",COUNTIFS($A$14:$A$1213,$H226,$F$14:$F$1213,"&gt;=0")&lt;2,COUNTIFS($A$14:$A$1213,$H226,$F$14:$F$1213,_xlfn.MAXIFS($F$14:$F$1213,$A$14:$A$1213,$H226))&gt;1),"",IFERROR(INDEX($D$14:$D$1213,MATCH($H226&amp;"|"&amp;_xlfn.MAXIFS($F$14:$F$1213,$A$14:$A$1213,$H226),$AB$14:$AB$1213,0)),""))</f>
        <v/>
      </c>
      <c r="AK226" s="27">
        <f>IF(OR($H226="",COUNTIFS($A$14:$A$1213,$H226,$F$14:$F$1213,"&gt;=0")&lt;2,COUNTIFS($A$14:$A$1213,$H226,$F$14:$F$1213,_xlfn.MAXIFS($F$14:$F$1213,$A$14:$A$1213,$H226))&gt;1),"",IFERROR(INDEX($E$14:$E$1213,MATCH($H226&amp;"|"&amp;_xlfn.MAXIFS($F$14:$F$1213,$A$14:$A$1213,$H226),$AB$14:$AB$1213,0)),""))</f>
        <v/>
      </c>
      <c r="AL226" s="27">
        <f>IF(OR($H226="",COUNTIFS($A$14:$A$1213,$H226,$F$14:$F$1213,"&gt;=0")&lt;2,COUNTIFS($A$14:$A$1213,$H226,$F$14:$F$1213,_xlfn.MAXIFS($F$14:$F$1213,$A$14:$A$1213,$H226))&gt;1),"",IFERROR(INDEX($D$14:$D$1213,MATCH($H226&amp;"|"&amp;_xlfn.MAXIFS($F$14:$F$1213,$A$14:$A$1213,$H226,$F$14:$F$1213,"&lt;"&amp;_xlfn.MAXIFS($F$14:$F$1213,$A$14:$A$1213,$H226)),$AB$14:$AB$1213,0)),""))</f>
        <v/>
      </c>
      <c r="AM226" s="27">
        <f>IF(OR($H226="",COUNTIFS($A$14:$A$1213,$H226,$F$14:$F$1213,"&gt;=0")&lt;2,COUNTIFS($A$14:$A$1213,$H226,$F$14:$F$1213,_xlfn.MAXIFS($F$14:$F$1213,$A$14:$A$1213,$H226))&gt;1),"",IFERROR(INDEX($E$14:$E$1213,MATCH($H226&amp;"|"&amp;_xlfn.MAXIFS($F$14:$F$1213,$A$14:$A$1213,$H226,$F$14:$F$1213,"&lt;"&amp;_xlfn.MAXIFS($F$14:$F$1213,$A$14:$A$1213,$H226)),$AB$14:$AB$1213,0)),""))</f>
        <v/>
      </c>
      <c r="AN226" s="27">
        <f>IF(OR(NOT(ISNUMBER($AJ226)),NOT(ISNUMBER($AL226)),$AK226=0,$AM226=0),"",IF(OR((($AJ226+$AL226)/($AK226+$AM226))&lt;=0,(($AJ226+$AL226)/($AK226+$AM226))&gt;=1),"",($AJ226/$AK226-$AL226/$AM226)/SQRT((($AJ226+$AL226)/($AK226+$AM226))*(1-(($AJ226+$AL226)/($AK226+$AM226)))*(1/$AK226+1/$AM226))))</f>
        <v/>
      </c>
      <c r="AO226" s="27">
        <f>IF($A226="","",IF(AND(COUNTIFS($A$14:$A$1213,$A226,$F$14:$F$1213,"&gt;=0")=2,IFERROR(INDEX($M$14:$M$313,MATCH($A226,$H$14:$H$313,0)),"Yes")&lt;&gt;"Yes"),1,0))</f>
        <v/>
      </c>
    </row>
    <row r="227" ht="24" customHeight="1">
      <c r="A227" s="19">
        <f>IF('Enter messages'!A227="","",'Enter messages'!A227)</f>
        <v/>
      </c>
      <c r="B227" s="20">
        <f>IF('Enter messages'!B227="","",'Enter messages'!B227)</f>
        <v/>
      </c>
      <c r="C227" s="21">
        <f>IFERROR(AVERAGE(P227:T227),"")</f>
        <v/>
      </c>
      <c r="D227" s="29" t="n"/>
      <c r="E227" s="29" t="n"/>
      <c r="F227" s="30">
        <f>IF(AND(ISNUMBER($D227),ISNUMBER($E227),$E227&gt;0,$D227&lt;=$E227),$D227/$E227,"")</f>
        <v/>
      </c>
      <c r="H227" s="19">
        <f>IFERROR(INDEX($A$14:$A$1213,MATCH(214,$AI$14:$AI$1213,0)),"")</f>
        <v/>
      </c>
      <c r="I227" s="24">
        <f>IF($H227="","",IF(COUNTIFS($A$14:$A$1213,$H227,$C$14:$C$1213,"&gt;=0")=0,"—",IFERROR(INDEX($B$14:$B$1213,MATCH($H227&amp;"|1",$Z$14:$Z$1213,0)),"(tied)")))</f>
        <v/>
      </c>
      <c r="J227" s="25">
        <f>IF($H227="","",IF(OR(COUNTIFS($A$14:$A$1213,$H227,$C$14:$C$1213,"&gt;=0")=0,COUNTIFS($A$14:$A$1213,$H227,$F$14:$F$1213,"&gt;=0")=0),"—",IF(OR(ISERROR(MATCH($H227&amp;"|1",$Z$14:$Z$1213,0)),ISERROR(MATCH($H227&amp;"|1",$AA$14:$AA$1213,0))),"Tie",IF(MATCH($H227&amp;"|1",$Z$14:$Z$1213,0)=MATCH($H227&amp;"|1",$AA$14:$AA$1213,0),"Hit","Miss"))))</f>
        <v/>
      </c>
      <c r="K227" s="24">
        <f>IF($H227="","",IF(COUNTIFS($A$14:$A$1213,$H227,$F$14:$F$1213,"&gt;=0")=0,"—",IFERROR(INDEX($B$14:$B$1213,MATCH($H227&amp;"|1",$AA$14:$AA$1213,0)),"(tied)")))</f>
        <v/>
      </c>
      <c r="L227" s="25">
        <f>IF($H227="","",IF((--(COUNTIFS($A$14:$A$1213,$H227,$P$14:$P$1213,"&gt;=0")&gt;0)+--(COUNTIFS($A$14:$A$1213,$H227,$Q$14:$Q$1213,"&gt;=0")&gt;0)+--(COUNTIFS($A$14:$A$1213,$H227,$R$14:$R$1213,"&gt;=0")&gt;0)+--(COUNTIFS($A$14:$A$1213,$H227,$S$14:$S$1213,"&gt;=0")&gt;0)+--(COUNTIFS($A$14:$A$1213,$H227,$T$14:$T$1213,"&gt;=0")&gt;0))&lt;2,"—",IF(SUMIFS($AH$14:$AH$1213,$A$14:$A$1213,$H227)=0,"Yes","No")))</f>
        <v/>
      </c>
      <c r="M227" s="25">
        <f>IF($H227="","",IF(COUNTIFS($A$14:$A$1213,$H227,$F$14:$F$1213,"&gt;=0")&lt;2,"—",IF(COUNTIFS($A$14:$A$1213,$H227,$F$14:$F$1213,_xlfn.MAXIFS($F$14:$F$1213,$A$14:$A$1213,$H227))&gt;1,"No",IF(NOT(ISNUMBER($AN227)),"—",IF((2*(1-NORMSDIST(ABS($AN227))))&lt;0.05,"Yes","No")))))</f>
        <v/>
      </c>
      <c r="N227" s="21">
        <f>IF($H227="","",IF(NOT(ISNUMBER($AN227)),"—",IF((2*(1-NORMSDIST(ABS($AN227))))&lt;0.001,"&lt;0.001",TEXT((2*(1-NORMSDIST(ABS($AN227)))),"0.000"))))</f>
        <v/>
      </c>
      <c r="P227" s="26" t="n"/>
      <c r="Q227" s="26" t="n"/>
      <c r="R227" s="26" t="n"/>
      <c r="S227" s="26" t="n"/>
      <c r="T227" s="26" t="n"/>
      <c r="V227" s="27">
        <f>IF(ISNUMBER($C227),COUNTIFS($A$14:$A$1213,$A227,$C$14:$C$1213,"&gt;"&amp;$C227)+(COUNTIFS($A$14:$A$1213,$A227,$C$14:$C$1213,"="&amp;$C227)+1)/2,"")</f>
        <v/>
      </c>
      <c r="W227" s="27">
        <f>IF(ISNUMBER($F227),COUNTIFS($A$14:$A$1213,$A227,$F$14:$F$1213,"&gt;"&amp;$F227)+(COUNTIFS($A$14:$A$1213,$A227,$F$14:$F$1213,"="&amp;$F227)+1)/2,"")</f>
        <v/>
      </c>
      <c r="X227" s="27">
        <f>IF(OR(NOT(ISNUMBER($V227)),$AO227=1),"",$V227-(COUNTIFS($A$14:$A$1213,$A227,$C$14:$C$1213,"&gt;=0")+1)/2)</f>
        <v/>
      </c>
      <c r="Y227" s="27">
        <f>IF(OR(NOT(ISNUMBER($W227)),$AO227=1),"",$W227-(COUNTIFS($A$14:$A$1213,$A227,$F$14:$F$1213,"&gt;=0")+1)/2)</f>
        <v/>
      </c>
      <c r="Z227" s="27">
        <f>IF(ISNUMBER($V227),$A227&amp;"|"&amp;$V227,"")</f>
        <v/>
      </c>
      <c r="AA227" s="27">
        <f>IF(ISNUMBER($W227),$A227&amp;"|"&amp;$W227,"")</f>
        <v/>
      </c>
      <c r="AB227" s="27">
        <f>IF(ISNUMBER($F227),$A227&amp;"|"&amp;$F227,"")</f>
        <v/>
      </c>
      <c r="AC227" s="27">
        <f>IF(ISNUMBER($P227),COUNTIFS($A$14:$A$1213,$A227,$P$14:$P$1213,"&gt;"&amp;$P227)+(COUNTIFS($A$14:$A$1213,$A227,$P$14:$P$1213,"="&amp;$P227)+1)/2,"")</f>
        <v/>
      </c>
      <c r="AD227" s="27">
        <f>IF(ISNUMBER($Q227),COUNTIFS($A$14:$A$1213,$A227,$Q$14:$Q$1213,"&gt;"&amp;$Q227)+(COUNTIFS($A$14:$A$1213,$A227,$Q$14:$Q$1213,"="&amp;$Q227)+1)/2,"")</f>
        <v/>
      </c>
      <c r="AE227" s="27">
        <f>IF(ISNUMBER($R227),COUNTIFS($A$14:$A$1213,$A227,$R$14:$R$1213,"&gt;"&amp;$R227)+(COUNTIFS($A$14:$A$1213,$A227,$R$14:$R$1213,"="&amp;$R227)+1)/2,"")</f>
        <v/>
      </c>
      <c r="AF227" s="27">
        <f>IF(ISNUMBER($S227),COUNTIFS($A$14:$A$1213,$A227,$S$14:$S$1213,"&gt;"&amp;$S227)+(COUNTIFS($A$14:$A$1213,$A227,$S$14:$S$1213,"="&amp;$S227)+1)/2,"")</f>
        <v/>
      </c>
      <c r="AG227" s="27">
        <f>IF(ISNUMBER($T227),COUNTIFS($A$14:$A$1213,$A227,$T$14:$T$1213,"&gt;"&amp;$T227)+(COUNTIFS($A$14:$A$1213,$A227,$T$14:$T$1213,"="&amp;$T227)+1)/2,"")</f>
        <v/>
      </c>
      <c r="AH227" s="27">
        <f>IF(COUNT($AC227:$AG227)&lt;2,"",IF(MAX($AC227:$AG227)=MIN($AC227:$AG227),0,1))</f>
        <v/>
      </c>
      <c r="AI227" s="27">
        <f>IF($A227="","",IF(COUNTIF($A$14:$A227,$A227)=1,COUNTIF($AI$13:AI226,"&gt;0")+1,""))</f>
        <v/>
      </c>
      <c r="AJ227" s="27">
        <f>IF(OR($H227="",COUNTIFS($A$14:$A$1213,$H227,$F$14:$F$1213,"&gt;=0")&lt;2,COUNTIFS($A$14:$A$1213,$H227,$F$14:$F$1213,_xlfn.MAXIFS($F$14:$F$1213,$A$14:$A$1213,$H227))&gt;1),"",IFERROR(INDEX($D$14:$D$1213,MATCH($H227&amp;"|"&amp;_xlfn.MAXIFS($F$14:$F$1213,$A$14:$A$1213,$H227),$AB$14:$AB$1213,0)),""))</f>
        <v/>
      </c>
      <c r="AK227" s="27">
        <f>IF(OR($H227="",COUNTIFS($A$14:$A$1213,$H227,$F$14:$F$1213,"&gt;=0")&lt;2,COUNTIFS($A$14:$A$1213,$H227,$F$14:$F$1213,_xlfn.MAXIFS($F$14:$F$1213,$A$14:$A$1213,$H227))&gt;1),"",IFERROR(INDEX($E$14:$E$1213,MATCH($H227&amp;"|"&amp;_xlfn.MAXIFS($F$14:$F$1213,$A$14:$A$1213,$H227),$AB$14:$AB$1213,0)),""))</f>
        <v/>
      </c>
      <c r="AL227" s="27">
        <f>IF(OR($H227="",COUNTIFS($A$14:$A$1213,$H227,$F$14:$F$1213,"&gt;=0")&lt;2,COUNTIFS($A$14:$A$1213,$H227,$F$14:$F$1213,_xlfn.MAXIFS($F$14:$F$1213,$A$14:$A$1213,$H227))&gt;1),"",IFERROR(INDEX($D$14:$D$1213,MATCH($H227&amp;"|"&amp;_xlfn.MAXIFS($F$14:$F$1213,$A$14:$A$1213,$H227,$F$14:$F$1213,"&lt;"&amp;_xlfn.MAXIFS($F$14:$F$1213,$A$14:$A$1213,$H227)),$AB$14:$AB$1213,0)),""))</f>
        <v/>
      </c>
      <c r="AM227" s="27">
        <f>IF(OR($H227="",COUNTIFS($A$14:$A$1213,$H227,$F$14:$F$1213,"&gt;=0")&lt;2,COUNTIFS($A$14:$A$1213,$H227,$F$14:$F$1213,_xlfn.MAXIFS($F$14:$F$1213,$A$14:$A$1213,$H227))&gt;1),"",IFERROR(INDEX($E$14:$E$1213,MATCH($H227&amp;"|"&amp;_xlfn.MAXIFS($F$14:$F$1213,$A$14:$A$1213,$H227,$F$14:$F$1213,"&lt;"&amp;_xlfn.MAXIFS($F$14:$F$1213,$A$14:$A$1213,$H227)),$AB$14:$AB$1213,0)),""))</f>
        <v/>
      </c>
      <c r="AN227" s="27">
        <f>IF(OR(NOT(ISNUMBER($AJ227)),NOT(ISNUMBER($AL227)),$AK227=0,$AM227=0),"",IF(OR((($AJ227+$AL227)/($AK227+$AM227))&lt;=0,(($AJ227+$AL227)/($AK227+$AM227))&gt;=1),"",($AJ227/$AK227-$AL227/$AM227)/SQRT((($AJ227+$AL227)/($AK227+$AM227))*(1-(($AJ227+$AL227)/($AK227+$AM227)))*(1/$AK227+1/$AM227))))</f>
        <v/>
      </c>
      <c r="AO227" s="27">
        <f>IF($A227="","",IF(AND(COUNTIFS($A$14:$A$1213,$A227,$F$14:$F$1213,"&gt;=0")=2,IFERROR(INDEX($M$14:$M$313,MATCH($A227,$H$14:$H$313,0)),"Yes")&lt;&gt;"Yes"),1,0))</f>
        <v/>
      </c>
    </row>
    <row r="228" ht="24" customHeight="1">
      <c r="A228" s="19">
        <f>IF('Enter messages'!A228="","",'Enter messages'!A228)</f>
        <v/>
      </c>
      <c r="B228" s="20">
        <f>IF('Enter messages'!B228="","",'Enter messages'!B228)</f>
        <v/>
      </c>
      <c r="C228" s="21">
        <f>IFERROR(AVERAGE(P228:T228),"")</f>
        <v/>
      </c>
      <c r="D228" s="29" t="n"/>
      <c r="E228" s="29" t="n"/>
      <c r="F228" s="30">
        <f>IF(AND(ISNUMBER($D228),ISNUMBER($E228),$E228&gt;0,$D228&lt;=$E228),$D228/$E228,"")</f>
        <v/>
      </c>
      <c r="H228" s="19">
        <f>IFERROR(INDEX($A$14:$A$1213,MATCH(215,$AI$14:$AI$1213,0)),"")</f>
        <v/>
      </c>
      <c r="I228" s="24">
        <f>IF($H228="","",IF(COUNTIFS($A$14:$A$1213,$H228,$C$14:$C$1213,"&gt;=0")=0,"—",IFERROR(INDEX($B$14:$B$1213,MATCH($H228&amp;"|1",$Z$14:$Z$1213,0)),"(tied)")))</f>
        <v/>
      </c>
      <c r="J228" s="25">
        <f>IF($H228="","",IF(OR(COUNTIFS($A$14:$A$1213,$H228,$C$14:$C$1213,"&gt;=0")=0,COUNTIFS($A$14:$A$1213,$H228,$F$14:$F$1213,"&gt;=0")=0),"—",IF(OR(ISERROR(MATCH($H228&amp;"|1",$Z$14:$Z$1213,0)),ISERROR(MATCH($H228&amp;"|1",$AA$14:$AA$1213,0))),"Tie",IF(MATCH($H228&amp;"|1",$Z$14:$Z$1213,0)=MATCH($H228&amp;"|1",$AA$14:$AA$1213,0),"Hit","Miss"))))</f>
        <v/>
      </c>
      <c r="K228" s="24">
        <f>IF($H228="","",IF(COUNTIFS($A$14:$A$1213,$H228,$F$14:$F$1213,"&gt;=0")=0,"—",IFERROR(INDEX($B$14:$B$1213,MATCH($H228&amp;"|1",$AA$14:$AA$1213,0)),"(tied)")))</f>
        <v/>
      </c>
      <c r="L228" s="25">
        <f>IF($H228="","",IF((--(COUNTIFS($A$14:$A$1213,$H228,$P$14:$P$1213,"&gt;=0")&gt;0)+--(COUNTIFS($A$14:$A$1213,$H228,$Q$14:$Q$1213,"&gt;=0")&gt;0)+--(COUNTIFS($A$14:$A$1213,$H228,$R$14:$R$1213,"&gt;=0")&gt;0)+--(COUNTIFS($A$14:$A$1213,$H228,$S$14:$S$1213,"&gt;=0")&gt;0)+--(COUNTIFS($A$14:$A$1213,$H228,$T$14:$T$1213,"&gt;=0")&gt;0))&lt;2,"—",IF(SUMIFS($AH$14:$AH$1213,$A$14:$A$1213,$H228)=0,"Yes","No")))</f>
        <v/>
      </c>
      <c r="M228" s="25">
        <f>IF($H228="","",IF(COUNTIFS($A$14:$A$1213,$H228,$F$14:$F$1213,"&gt;=0")&lt;2,"—",IF(COUNTIFS($A$14:$A$1213,$H228,$F$14:$F$1213,_xlfn.MAXIFS($F$14:$F$1213,$A$14:$A$1213,$H228))&gt;1,"No",IF(NOT(ISNUMBER($AN228)),"—",IF((2*(1-NORMSDIST(ABS($AN228))))&lt;0.05,"Yes","No")))))</f>
        <v/>
      </c>
      <c r="N228" s="21">
        <f>IF($H228="","",IF(NOT(ISNUMBER($AN228)),"—",IF((2*(1-NORMSDIST(ABS($AN228))))&lt;0.001,"&lt;0.001",TEXT((2*(1-NORMSDIST(ABS($AN228)))),"0.000"))))</f>
        <v/>
      </c>
      <c r="P228" s="26" t="n"/>
      <c r="Q228" s="26" t="n"/>
      <c r="R228" s="26" t="n"/>
      <c r="S228" s="26" t="n"/>
      <c r="T228" s="26" t="n"/>
      <c r="V228" s="27">
        <f>IF(ISNUMBER($C228),COUNTIFS($A$14:$A$1213,$A228,$C$14:$C$1213,"&gt;"&amp;$C228)+(COUNTIFS($A$14:$A$1213,$A228,$C$14:$C$1213,"="&amp;$C228)+1)/2,"")</f>
        <v/>
      </c>
      <c r="W228" s="27">
        <f>IF(ISNUMBER($F228),COUNTIFS($A$14:$A$1213,$A228,$F$14:$F$1213,"&gt;"&amp;$F228)+(COUNTIFS($A$14:$A$1213,$A228,$F$14:$F$1213,"="&amp;$F228)+1)/2,"")</f>
        <v/>
      </c>
      <c r="X228" s="27">
        <f>IF(OR(NOT(ISNUMBER($V228)),$AO228=1),"",$V228-(COUNTIFS($A$14:$A$1213,$A228,$C$14:$C$1213,"&gt;=0")+1)/2)</f>
        <v/>
      </c>
      <c r="Y228" s="27">
        <f>IF(OR(NOT(ISNUMBER($W228)),$AO228=1),"",$W228-(COUNTIFS($A$14:$A$1213,$A228,$F$14:$F$1213,"&gt;=0")+1)/2)</f>
        <v/>
      </c>
      <c r="Z228" s="27">
        <f>IF(ISNUMBER($V228),$A228&amp;"|"&amp;$V228,"")</f>
        <v/>
      </c>
      <c r="AA228" s="27">
        <f>IF(ISNUMBER($W228),$A228&amp;"|"&amp;$W228,"")</f>
        <v/>
      </c>
      <c r="AB228" s="27">
        <f>IF(ISNUMBER($F228),$A228&amp;"|"&amp;$F228,"")</f>
        <v/>
      </c>
      <c r="AC228" s="27">
        <f>IF(ISNUMBER($P228),COUNTIFS($A$14:$A$1213,$A228,$P$14:$P$1213,"&gt;"&amp;$P228)+(COUNTIFS($A$14:$A$1213,$A228,$P$14:$P$1213,"="&amp;$P228)+1)/2,"")</f>
        <v/>
      </c>
      <c r="AD228" s="27">
        <f>IF(ISNUMBER($Q228),COUNTIFS($A$14:$A$1213,$A228,$Q$14:$Q$1213,"&gt;"&amp;$Q228)+(COUNTIFS($A$14:$A$1213,$A228,$Q$14:$Q$1213,"="&amp;$Q228)+1)/2,"")</f>
        <v/>
      </c>
      <c r="AE228" s="27">
        <f>IF(ISNUMBER($R228),COUNTIFS($A$14:$A$1213,$A228,$R$14:$R$1213,"&gt;"&amp;$R228)+(COUNTIFS($A$14:$A$1213,$A228,$R$14:$R$1213,"="&amp;$R228)+1)/2,"")</f>
        <v/>
      </c>
      <c r="AF228" s="27">
        <f>IF(ISNUMBER($S228),COUNTIFS($A$14:$A$1213,$A228,$S$14:$S$1213,"&gt;"&amp;$S228)+(COUNTIFS($A$14:$A$1213,$A228,$S$14:$S$1213,"="&amp;$S228)+1)/2,"")</f>
        <v/>
      </c>
      <c r="AG228" s="27">
        <f>IF(ISNUMBER($T228),COUNTIFS($A$14:$A$1213,$A228,$T$14:$T$1213,"&gt;"&amp;$T228)+(COUNTIFS($A$14:$A$1213,$A228,$T$14:$T$1213,"="&amp;$T228)+1)/2,"")</f>
        <v/>
      </c>
      <c r="AH228" s="27">
        <f>IF(COUNT($AC228:$AG228)&lt;2,"",IF(MAX($AC228:$AG228)=MIN($AC228:$AG228),0,1))</f>
        <v/>
      </c>
      <c r="AI228" s="27">
        <f>IF($A228="","",IF(COUNTIF($A$14:$A228,$A228)=1,COUNTIF($AI$13:AI227,"&gt;0")+1,""))</f>
        <v/>
      </c>
      <c r="AJ228" s="27">
        <f>IF(OR($H228="",COUNTIFS($A$14:$A$1213,$H228,$F$14:$F$1213,"&gt;=0")&lt;2,COUNTIFS($A$14:$A$1213,$H228,$F$14:$F$1213,_xlfn.MAXIFS($F$14:$F$1213,$A$14:$A$1213,$H228))&gt;1),"",IFERROR(INDEX($D$14:$D$1213,MATCH($H228&amp;"|"&amp;_xlfn.MAXIFS($F$14:$F$1213,$A$14:$A$1213,$H228),$AB$14:$AB$1213,0)),""))</f>
        <v/>
      </c>
      <c r="AK228" s="27">
        <f>IF(OR($H228="",COUNTIFS($A$14:$A$1213,$H228,$F$14:$F$1213,"&gt;=0")&lt;2,COUNTIFS($A$14:$A$1213,$H228,$F$14:$F$1213,_xlfn.MAXIFS($F$14:$F$1213,$A$14:$A$1213,$H228))&gt;1),"",IFERROR(INDEX($E$14:$E$1213,MATCH($H228&amp;"|"&amp;_xlfn.MAXIFS($F$14:$F$1213,$A$14:$A$1213,$H228),$AB$14:$AB$1213,0)),""))</f>
        <v/>
      </c>
      <c r="AL228" s="27">
        <f>IF(OR($H228="",COUNTIFS($A$14:$A$1213,$H228,$F$14:$F$1213,"&gt;=0")&lt;2,COUNTIFS($A$14:$A$1213,$H228,$F$14:$F$1213,_xlfn.MAXIFS($F$14:$F$1213,$A$14:$A$1213,$H228))&gt;1),"",IFERROR(INDEX($D$14:$D$1213,MATCH($H228&amp;"|"&amp;_xlfn.MAXIFS($F$14:$F$1213,$A$14:$A$1213,$H228,$F$14:$F$1213,"&lt;"&amp;_xlfn.MAXIFS($F$14:$F$1213,$A$14:$A$1213,$H228)),$AB$14:$AB$1213,0)),""))</f>
        <v/>
      </c>
      <c r="AM228" s="27">
        <f>IF(OR($H228="",COUNTIFS($A$14:$A$1213,$H228,$F$14:$F$1213,"&gt;=0")&lt;2,COUNTIFS($A$14:$A$1213,$H228,$F$14:$F$1213,_xlfn.MAXIFS($F$14:$F$1213,$A$14:$A$1213,$H228))&gt;1),"",IFERROR(INDEX($E$14:$E$1213,MATCH($H228&amp;"|"&amp;_xlfn.MAXIFS($F$14:$F$1213,$A$14:$A$1213,$H228,$F$14:$F$1213,"&lt;"&amp;_xlfn.MAXIFS($F$14:$F$1213,$A$14:$A$1213,$H228)),$AB$14:$AB$1213,0)),""))</f>
        <v/>
      </c>
      <c r="AN228" s="27">
        <f>IF(OR(NOT(ISNUMBER($AJ228)),NOT(ISNUMBER($AL228)),$AK228=0,$AM228=0),"",IF(OR((($AJ228+$AL228)/($AK228+$AM228))&lt;=0,(($AJ228+$AL228)/($AK228+$AM228))&gt;=1),"",($AJ228/$AK228-$AL228/$AM228)/SQRT((($AJ228+$AL228)/($AK228+$AM228))*(1-(($AJ228+$AL228)/($AK228+$AM228)))*(1/$AK228+1/$AM228))))</f>
        <v/>
      </c>
      <c r="AO228" s="27">
        <f>IF($A228="","",IF(AND(COUNTIFS($A$14:$A$1213,$A228,$F$14:$F$1213,"&gt;=0")=2,IFERROR(INDEX($M$14:$M$313,MATCH($A228,$H$14:$H$313,0)),"Yes")&lt;&gt;"Yes"),1,0))</f>
        <v/>
      </c>
    </row>
    <row r="229" ht="24" customHeight="1">
      <c r="A229" s="19">
        <f>IF('Enter messages'!A229="","",'Enter messages'!A229)</f>
        <v/>
      </c>
      <c r="B229" s="20">
        <f>IF('Enter messages'!B229="","",'Enter messages'!B229)</f>
        <v/>
      </c>
      <c r="C229" s="21">
        <f>IFERROR(AVERAGE(P229:T229),"")</f>
        <v/>
      </c>
      <c r="D229" s="29" t="n"/>
      <c r="E229" s="29" t="n"/>
      <c r="F229" s="30">
        <f>IF(AND(ISNUMBER($D229),ISNUMBER($E229),$E229&gt;0,$D229&lt;=$E229),$D229/$E229,"")</f>
        <v/>
      </c>
      <c r="H229" s="19">
        <f>IFERROR(INDEX($A$14:$A$1213,MATCH(216,$AI$14:$AI$1213,0)),"")</f>
        <v/>
      </c>
      <c r="I229" s="24">
        <f>IF($H229="","",IF(COUNTIFS($A$14:$A$1213,$H229,$C$14:$C$1213,"&gt;=0")=0,"—",IFERROR(INDEX($B$14:$B$1213,MATCH($H229&amp;"|1",$Z$14:$Z$1213,0)),"(tied)")))</f>
        <v/>
      </c>
      <c r="J229" s="25">
        <f>IF($H229="","",IF(OR(COUNTIFS($A$14:$A$1213,$H229,$C$14:$C$1213,"&gt;=0")=0,COUNTIFS($A$14:$A$1213,$H229,$F$14:$F$1213,"&gt;=0")=0),"—",IF(OR(ISERROR(MATCH($H229&amp;"|1",$Z$14:$Z$1213,0)),ISERROR(MATCH($H229&amp;"|1",$AA$14:$AA$1213,0))),"Tie",IF(MATCH($H229&amp;"|1",$Z$14:$Z$1213,0)=MATCH($H229&amp;"|1",$AA$14:$AA$1213,0),"Hit","Miss"))))</f>
        <v/>
      </c>
      <c r="K229" s="24">
        <f>IF($H229="","",IF(COUNTIFS($A$14:$A$1213,$H229,$F$14:$F$1213,"&gt;=0")=0,"—",IFERROR(INDEX($B$14:$B$1213,MATCH($H229&amp;"|1",$AA$14:$AA$1213,0)),"(tied)")))</f>
        <v/>
      </c>
      <c r="L229" s="25">
        <f>IF($H229="","",IF((--(COUNTIFS($A$14:$A$1213,$H229,$P$14:$P$1213,"&gt;=0")&gt;0)+--(COUNTIFS($A$14:$A$1213,$H229,$Q$14:$Q$1213,"&gt;=0")&gt;0)+--(COUNTIFS($A$14:$A$1213,$H229,$R$14:$R$1213,"&gt;=0")&gt;0)+--(COUNTIFS($A$14:$A$1213,$H229,$S$14:$S$1213,"&gt;=0")&gt;0)+--(COUNTIFS($A$14:$A$1213,$H229,$T$14:$T$1213,"&gt;=0")&gt;0))&lt;2,"—",IF(SUMIFS($AH$14:$AH$1213,$A$14:$A$1213,$H229)=0,"Yes","No")))</f>
        <v/>
      </c>
      <c r="M229" s="25">
        <f>IF($H229="","",IF(COUNTIFS($A$14:$A$1213,$H229,$F$14:$F$1213,"&gt;=0")&lt;2,"—",IF(COUNTIFS($A$14:$A$1213,$H229,$F$14:$F$1213,_xlfn.MAXIFS($F$14:$F$1213,$A$14:$A$1213,$H229))&gt;1,"No",IF(NOT(ISNUMBER($AN229)),"—",IF((2*(1-NORMSDIST(ABS($AN229))))&lt;0.05,"Yes","No")))))</f>
        <v/>
      </c>
      <c r="N229" s="21">
        <f>IF($H229="","",IF(NOT(ISNUMBER($AN229)),"—",IF((2*(1-NORMSDIST(ABS($AN229))))&lt;0.001,"&lt;0.001",TEXT((2*(1-NORMSDIST(ABS($AN229)))),"0.000"))))</f>
        <v/>
      </c>
      <c r="P229" s="26" t="n"/>
      <c r="Q229" s="26" t="n"/>
      <c r="R229" s="26" t="n"/>
      <c r="S229" s="26" t="n"/>
      <c r="T229" s="26" t="n"/>
      <c r="V229" s="27">
        <f>IF(ISNUMBER($C229),COUNTIFS($A$14:$A$1213,$A229,$C$14:$C$1213,"&gt;"&amp;$C229)+(COUNTIFS($A$14:$A$1213,$A229,$C$14:$C$1213,"="&amp;$C229)+1)/2,"")</f>
        <v/>
      </c>
      <c r="W229" s="27">
        <f>IF(ISNUMBER($F229),COUNTIFS($A$14:$A$1213,$A229,$F$14:$F$1213,"&gt;"&amp;$F229)+(COUNTIFS($A$14:$A$1213,$A229,$F$14:$F$1213,"="&amp;$F229)+1)/2,"")</f>
        <v/>
      </c>
      <c r="X229" s="27">
        <f>IF(OR(NOT(ISNUMBER($V229)),$AO229=1),"",$V229-(COUNTIFS($A$14:$A$1213,$A229,$C$14:$C$1213,"&gt;=0")+1)/2)</f>
        <v/>
      </c>
      <c r="Y229" s="27">
        <f>IF(OR(NOT(ISNUMBER($W229)),$AO229=1),"",$W229-(COUNTIFS($A$14:$A$1213,$A229,$F$14:$F$1213,"&gt;=0")+1)/2)</f>
        <v/>
      </c>
      <c r="Z229" s="27">
        <f>IF(ISNUMBER($V229),$A229&amp;"|"&amp;$V229,"")</f>
        <v/>
      </c>
      <c r="AA229" s="27">
        <f>IF(ISNUMBER($W229),$A229&amp;"|"&amp;$W229,"")</f>
        <v/>
      </c>
      <c r="AB229" s="27">
        <f>IF(ISNUMBER($F229),$A229&amp;"|"&amp;$F229,"")</f>
        <v/>
      </c>
      <c r="AC229" s="27">
        <f>IF(ISNUMBER($P229),COUNTIFS($A$14:$A$1213,$A229,$P$14:$P$1213,"&gt;"&amp;$P229)+(COUNTIFS($A$14:$A$1213,$A229,$P$14:$P$1213,"="&amp;$P229)+1)/2,"")</f>
        <v/>
      </c>
      <c r="AD229" s="27">
        <f>IF(ISNUMBER($Q229),COUNTIFS($A$14:$A$1213,$A229,$Q$14:$Q$1213,"&gt;"&amp;$Q229)+(COUNTIFS($A$14:$A$1213,$A229,$Q$14:$Q$1213,"="&amp;$Q229)+1)/2,"")</f>
        <v/>
      </c>
      <c r="AE229" s="27">
        <f>IF(ISNUMBER($R229),COUNTIFS($A$14:$A$1213,$A229,$R$14:$R$1213,"&gt;"&amp;$R229)+(COUNTIFS($A$14:$A$1213,$A229,$R$14:$R$1213,"="&amp;$R229)+1)/2,"")</f>
        <v/>
      </c>
      <c r="AF229" s="27">
        <f>IF(ISNUMBER($S229),COUNTIFS($A$14:$A$1213,$A229,$S$14:$S$1213,"&gt;"&amp;$S229)+(COUNTIFS($A$14:$A$1213,$A229,$S$14:$S$1213,"="&amp;$S229)+1)/2,"")</f>
        <v/>
      </c>
      <c r="AG229" s="27">
        <f>IF(ISNUMBER($T229),COUNTIFS($A$14:$A$1213,$A229,$T$14:$T$1213,"&gt;"&amp;$T229)+(COUNTIFS($A$14:$A$1213,$A229,$T$14:$T$1213,"="&amp;$T229)+1)/2,"")</f>
        <v/>
      </c>
      <c r="AH229" s="27">
        <f>IF(COUNT($AC229:$AG229)&lt;2,"",IF(MAX($AC229:$AG229)=MIN($AC229:$AG229),0,1))</f>
        <v/>
      </c>
      <c r="AI229" s="27">
        <f>IF($A229="","",IF(COUNTIF($A$14:$A229,$A229)=1,COUNTIF($AI$13:AI228,"&gt;0")+1,""))</f>
        <v/>
      </c>
      <c r="AJ229" s="27">
        <f>IF(OR($H229="",COUNTIFS($A$14:$A$1213,$H229,$F$14:$F$1213,"&gt;=0")&lt;2,COUNTIFS($A$14:$A$1213,$H229,$F$14:$F$1213,_xlfn.MAXIFS($F$14:$F$1213,$A$14:$A$1213,$H229))&gt;1),"",IFERROR(INDEX($D$14:$D$1213,MATCH($H229&amp;"|"&amp;_xlfn.MAXIFS($F$14:$F$1213,$A$14:$A$1213,$H229),$AB$14:$AB$1213,0)),""))</f>
        <v/>
      </c>
      <c r="AK229" s="27">
        <f>IF(OR($H229="",COUNTIFS($A$14:$A$1213,$H229,$F$14:$F$1213,"&gt;=0")&lt;2,COUNTIFS($A$14:$A$1213,$H229,$F$14:$F$1213,_xlfn.MAXIFS($F$14:$F$1213,$A$14:$A$1213,$H229))&gt;1),"",IFERROR(INDEX($E$14:$E$1213,MATCH($H229&amp;"|"&amp;_xlfn.MAXIFS($F$14:$F$1213,$A$14:$A$1213,$H229),$AB$14:$AB$1213,0)),""))</f>
        <v/>
      </c>
      <c r="AL229" s="27">
        <f>IF(OR($H229="",COUNTIFS($A$14:$A$1213,$H229,$F$14:$F$1213,"&gt;=0")&lt;2,COUNTIFS($A$14:$A$1213,$H229,$F$14:$F$1213,_xlfn.MAXIFS($F$14:$F$1213,$A$14:$A$1213,$H229))&gt;1),"",IFERROR(INDEX($D$14:$D$1213,MATCH($H229&amp;"|"&amp;_xlfn.MAXIFS($F$14:$F$1213,$A$14:$A$1213,$H229,$F$14:$F$1213,"&lt;"&amp;_xlfn.MAXIFS($F$14:$F$1213,$A$14:$A$1213,$H229)),$AB$14:$AB$1213,0)),""))</f>
        <v/>
      </c>
      <c r="AM229" s="27">
        <f>IF(OR($H229="",COUNTIFS($A$14:$A$1213,$H229,$F$14:$F$1213,"&gt;=0")&lt;2,COUNTIFS($A$14:$A$1213,$H229,$F$14:$F$1213,_xlfn.MAXIFS($F$14:$F$1213,$A$14:$A$1213,$H229))&gt;1),"",IFERROR(INDEX($E$14:$E$1213,MATCH($H229&amp;"|"&amp;_xlfn.MAXIFS($F$14:$F$1213,$A$14:$A$1213,$H229,$F$14:$F$1213,"&lt;"&amp;_xlfn.MAXIFS($F$14:$F$1213,$A$14:$A$1213,$H229)),$AB$14:$AB$1213,0)),""))</f>
        <v/>
      </c>
      <c r="AN229" s="27">
        <f>IF(OR(NOT(ISNUMBER($AJ229)),NOT(ISNUMBER($AL229)),$AK229=0,$AM229=0),"",IF(OR((($AJ229+$AL229)/($AK229+$AM229))&lt;=0,(($AJ229+$AL229)/($AK229+$AM229))&gt;=1),"",($AJ229/$AK229-$AL229/$AM229)/SQRT((($AJ229+$AL229)/($AK229+$AM229))*(1-(($AJ229+$AL229)/($AK229+$AM229)))*(1/$AK229+1/$AM229))))</f>
        <v/>
      </c>
      <c r="AO229" s="27">
        <f>IF($A229="","",IF(AND(COUNTIFS($A$14:$A$1213,$A229,$F$14:$F$1213,"&gt;=0")=2,IFERROR(INDEX($M$14:$M$313,MATCH($A229,$H$14:$H$313,0)),"Yes")&lt;&gt;"Yes"),1,0))</f>
        <v/>
      </c>
    </row>
    <row r="230" ht="24" customHeight="1">
      <c r="A230" s="19">
        <f>IF('Enter messages'!A230="","",'Enter messages'!A230)</f>
        <v/>
      </c>
      <c r="B230" s="20">
        <f>IF('Enter messages'!B230="","",'Enter messages'!B230)</f>
        <v/>
      </c>
      <c r="C230" s="21">
        <f>IFERROR(AVERAGE(P230:T230),"")</f>
        <v/>
      </c>
      <c r="D230" s="29" t="n"/>
      <c r="E230" s="29" t="n"/>
      <c r="F230" s="30">
        <f>IF(AND(ISNUMBER($D230),ISNUMBER($E230),$E230&gt;0,$D230&lt;=$E230),$D230/$E230,"")</f>
        <v/>
      </c>
      <c r="H230" s="19">
        <f>IFERROR(INDEX($A$14:$A$1213,MATCH(217,$AI$14:$AI$1213,0)),"")</f>
        <v/>
      </c>
      <c r="I230" s="24">
        <f>IF($H230="","",IF(COUNTIFS($A$14:$A$1213,$H230,$C$14:$C$1213,"&gt;=0")=0,"—",IFERROR(INDEX($B$14:$B$1213,MATCH($H230&amp;"|1",$Z$14:$Z$1213,0)),"(tied)")))</f>
        <v/>
      </c>
      <c r="J230" s="25">
        <f>IF($H230="","",IF(OR(COUNTIFS($A$14:$A$1213,$H230,$C$14:$C$1213,"&gt;=0")=0,COUNTIFS($A$14:$A$1213,$H230,$F$14:$F$1213,"&gt;=0")=0),"—",IF(OR(ISERROR(MATCH($H230&amp;"|1",$Z$14:$Z$1213,0)),ISERROR(MATCH($H230&amp;"|1",$AA$14:$AA$1213,0))),"Tie",IF(MATCH($H230&amp;"|1",$Z$14:$Z$1213,0)=MATCH($H230&amp;"|1",$AA$14:$AA$1213,0),"Hit","Miss"))))</f>
        <v/>
      </c>
      <c r="K230" s="24">
        <f>IF($H230="","",IF(COUNTIFS($A$14:$A$1213,$H230,$F$14:$F$1213,"&gt;=0")=0,"—",IFERROR(INDEX($B$14:$B$1213,MATCH($H230&amp;"|1",$AA$14:$AA$1213,0)),"(tied)")))</f>
        <v/>
      </c>
      <c r="L230" s="25">
        <f>IF($H230="","",IF((--(COUNTIFS($A$14:$A$1213,$H230,$P$14:$P$1213,"&gt;=0")&gt;0)+--(COUNTIFS($A$14:$A$1213,$H230,$Q$14:$Q$1213,"&gt;=0")&gt;0)+--(COUNTIFS($A$14:$A$1213,$H230,$R$14:$R$1213,"&gt;=0")&gt;0)+--(COUNTIFS($A$14:$A$1213,$H230,$S$14:$S$1213,"&gt;=0")&gt;0)+--(COUNTIFS($A$14:$A$1213,$H230,$T$14:$T$1213,"&gt;=0")&gt;0))&lt;2,"—",IF(SUMIFS($AH$14:$AH$1213,$A$14:$A$1213,$H230)=0,"Yes","No")))</f>
        <v/>
      </c>
      <c r="M230" s="25">
        <f>IF($H230="","",IF(COUNTIFS($A$14:$A$1213,$H230,$F$14:$F$1213,"&gt;=0")&lt;2,"—",IF(COUNTIFS($A$14:$A$1213,$H230,$F$14:$F$1213,_xlfn.MAXIFS($F$14:$F$1213,$A$14:$A$1213,$H230))&gt;1,"No",IF(NOT(ISNUMBER($AN230)),"—",IF((2*(1-NORMSDIST(ABS($AN230))))&lt;0.05,"Yes","No")))))</f>
        <v/>
      </c>
      <c r="N230" s="21">
        <f>IF($H230="","",IF(NOT(ISNUMBER($AN230)),"—",IF((2*(1-NORMSDIST(ABS($AN230))))&lt;0.001,"&lt;0.001",TEXT((2*(1-NORMSDIST(ABS($AN230)))),"0.000"))))</f>
        <v/>
      </c>
      <c r="P230" s="26" t="n"/>
      <c r="Q230" s="26" t="n"/>
      <c r="R230" s="26" t="n"/>
      <c r="S230" s="26" t="n"/>
      <c r="T230" s="26" t="n"/>
      <c r="V230" s="27">
        <f>IF(ISNUMBER($C230),COUNTIFS($A$14:$A$1213,$A230,$C$14:$C$1213,"&gt;"&amp;$C230)+(COUNTIFS($A$14:$A$1213,$A230,$C$14:$C$1213,"="&amp;$C230)+1)/2,"")</f>
        <v/>
      </c>
      <c r="W230" s="27">
        <f>IF(ISNUMBER($F230),COUNTIFS($A$14:$A$1213,$A230,$F$14:$F$1213,"&gt;"&amp;$F230)+(COUNTIFS($A$14:$A$1213,$A230,$F$14:$F$1213,"="&amp;$F230)+1)/2,"")</f>
        <v/>
      </c>
      <c r="X230" s="27">
        <f>IF(OR(NOT(ISNUMBER($V230)),$AO230=1),"",$V230-(COUNTIFS($A$14:$A$1213,$A230,$C$14:$C$1213,"&gt;=0")+1)/2)</f>
        <v/>
      </c>
      <c r="Y230" s="27">
        <f>IF(OR(NOT(ISNUMBER($W230)),$AO230=1),"",$W230-(COUNTIFS($A$14:$A$1213,$A230,$F$14:$F$1213,"&gt;=0")+1)/2)</f>
        <v/>
      </c>
      <c r="Z230" s="27">
        <f>IF(ISNUMBER($V230),$A230&amp;"|"&amp;$V230,"")</f>
        <v/>
      </c>
      <c r="AA230" s="27">
        <f>IF(ISNUMBER($W230),$A230&amp;"|"&amp;$W230,"")</f>
        <v/>
      </c>
      <c r="AB230" s="27">
        <f>IF(ISNUMBER($F230),$A230&amp;"|"&amp;$F230,"")</f>
        <v/>
      </c>
      <c r="AC230" s="27">
        <f>IF(ISNUMBER($P230),COUNTIFS($A$14:$A$1213,$A230,$P$14:$P$1213,"&gt;"&amp;$P230)+(COUNTIFS($A$14:$A$1213,$A230,$P$14:$P$1213,"="&amp;$P230)+1)/2,"")</f>
        <v/>
      </c>
      <c r="AD230" s="27">
        <f>IF(ISNUMBER($Q230),COUNTIFS($A$14:$A$1213,$A230,$Q$14:$Q$1213,"&gt;"&amp;$Q230)+(COUNTIFS($A$14:$A$1213,$A230,$Q$14:$Q$1213,"="&amp;$Q230)+1)/2,"")</f>
        <v/>
      </c>
      <c r="AE230" s="27">
        <f>IF(ISNUMBER($R230),COUNTIFS($A$14:$A$1213,$A230,$R$14:$R$1213,"&gt;"&amp;$R230)+(COUNTIFS($A$14:$A$1213,$A230,$R$14:$R$1213,"="&amp;$R230)+1)/2,"")</f>
        <v/>
      </c>
      <c r="AF230" s="27">
        <f>IF(ISNUMBER($S230),COUNTIFS($A$14:$A$1213,$A230,$S$14:$S$1213,"&gt;"&amp;$S230)+(COUNTIFS($A$14:$A$1213,$A230,$S$14:$S$1213,"="&amp;$S230)+1)/2,"")</f>
        <v/>
      </c>
      <c r="AG230" s="27">
        <f>IF(ISNUMBER($T230),COUNTIFS($A$14:$A$1213,$A230,$T$14:$T$1213,"&gt;"&amp;$T230)+(COUNTIFS($A$14:$A$1213,$A230,$T$14:$T$1213,"="&amp;$T230)+1)/2,"")</f>
        <v/>
      </c>
      <c r="AH230" s="27">
        <f>IF(COUNT($AC230:$AG230)&lt;2,"",IF(MAX($AC230:$AG230)=MIN($AC230:$AG230),0,1))</f>
        <v/>
      </c>
      <c r="AI230" s="27">
        <f>IF($A230="","",IF(COUNTIF($A$14:$A230,$A230)=1,COUNTIF($AI$13:AI229,"&gt;0")+1,""))</f>
        <v/>
      </c>
      <c r="AJ230" s="27">
        <f>IF(OR($H230="",COUNTIFS($A$14:$A$1213,$H230,$F$14:$F$1213,"&gt;=0")&lt;2,COUNTIFS($A$14:$A$1213,$H230,$F$14:$F$1213,_xlfn.MAXIFS($F$14:$F$1213,$A$14:$A$1213,$H230))&gt;1),"",IFERROR(INDEX($D$14:$D$1213,MATCH($H230&amp;"|"&amp;_xlfn.MAXIFS($F$14:$F$1213,$A$14:$A$1213,$H230),$AB$14:$AB$1213,0)),""))</f>
        <v/>
      </c>
      <c r="AK230" s="27">
        <f>IF(OR($H230="",COUNTIFS($A$14:$A$1213,$H230,$F$14:$F$1213,"&gt;=0")&lt;2,COUNTIFS($A$14:$A$1213,$H230,$F$14:$F$1213,_xlfn.MAXIFS($F$14:$F$1213,$A$14:$A$1213,$H230))&gt;1),"",IFERROR(INDEX($E$14:$E$1213,MATCH($H230&amp;"|"&amp;_xlfn.MAXIFS($F$14:$F$1213,$A$14:$A$1213,$H230),$AB$14:$AB$1213,0)),""))</f>
        <v/>
      </c>
      <c r="AL230" s="27">
        <f>IF(OR($H230="",COUNTIFS($A$14:$A$1213,$H230,$F$14:$F$1213,"&gt;=0")&lt;2,COUNTIFS($A$14:$A$1213,$H230,$F$14:$F$1213,_xlfn.MAXIFS($F$14:$F$1213,$A$14:$A$1213,$H230))&gt;1),"",IFERROR(INDEX($D$14:$D$1213,MATCH($H230&amp;"|"&amp;_xlfn.MAXIFS($F$14:$F$1213,$A$14:$A$1213,$H230,$F$14:$F$1213,"&lt;"&amp;_xlfn.MAXIFS($F$14:$F$1213,$A$14:$A$1213,$H230)),$AB$14:$AB$1213,0)),""))</f>
        <v/>
      </c>
      <c r="AM230" s="27">
        <f>IF(OR($H230="",COUNTIFS($A$14:$A$1213,$H230,$F$14:$F$1213,"&gt;=0")&lt;2,COUNTIFS($A$14:$A$1213,$H230,$F$14:$F$1213,_xlfn.MAXIFS($F$14:$F$1213,$A$14:$A$1213,$H230))&gt;1),"",IFERROR(INDEX($E$14:$E$1213,MATCH($H230&amp;"|"&amp;_xlfn.MAXIFS($F$14:$F$1213,$A$14:$A$1213,$H230,$F$14:$F$1213,"&lt;"&amp;_xlfn.MAXIFS($F$14:$F$1213,$A$14:$A$1213,$H230)),$AB$14:$AB$1213,0)),""))</f>
        <v/>
      </c>
      <c r="AN230" s="27">
        <f>IF(OR(NOT(ISNUMBER($AJ230)),NOT(ISNUMBER($AL230)),$AK230=0,$AM230=0),"",IF(OR((($AJ230+$AL230)/($AK230+$AM230))&lt;=0,(($AJ230+$AL230)/($AK230+$AM230))&gt;=1),"",($AJ230/$AK230-$AL230/$AM230)/SQRT((($AJ230+$AL230)/($AK230+$AM230))*(1-(($AJ230+$AL230)/($AK230+$AM230)))*(1/$AK230+1/$AM230))))</f>
        <v/>
      </c>
      <c r="AO230" s="27">
        <f>IF($A230="","",IF(AND(COUNTIFS($A$14:$A$1213,$A230,$F$14:$F$1213,"&gt;=0")=2,IFERROR(INDEX($M$14:$M$313,MATCH($A230,$H$14:$H$313,0)),"Yes")&lt;&gt;"Yes"),1,0))</f>
        <v/>
      </c>
    </row>
    <row r="231" ht="24" customHeight="1">
      <c r="A231" s="19">
        <f>IF('Enter messages'!A231="","",'Enter messages'!A231)</f>
        <v/>
      </c>
      <c r="B231" s="20">
        <f>IF('Enter messages'!B231="","",'Enter messages'!B231)</f>
        <v/>
      </c>
      <c r="C231" s="21">
        <f>IFERROR(AVERAGE(P231:T231),"")</f>
        <v/>
      </c>
      <c r="D231" s="29" t="n"/>
      <c r="E231" s="29" t="n"/>
      <c r="F231" s="30">
        <f>IF(AND(ISNUMBER($D231),ISNUMBER($E231),$E231&gt;0,$D231&lt;=$E231),$D231/$E231,"")</f>
        <v/>
      </c>
      <c r="H231" s="19">
        <f>IFERROR(INDEX($A$14:$A$1213,MATCH(218,$AI$14:$AI$1213,0)),"")</f>
        <v/>
      </c>
      <c r="I231" s="24">
        <f>IF($H231="","",IF(COUNTIFS($A$14:$A$1213,$H231,$C$14:$C$1213,"&gt;=0")=0,"—",IFERROR(INDEX($B$14:$B$1213,MATCH($H231&amp;"|1",$Z$14:$Z$1213,0)),"(tied)")))</f>
        <v/>
      </c>
      <c r="J231" s="25">
        <f>IF($H231="","",IF(OR(COUNTIFS($A$14:$A$1213,$H231,$C$14:$C$1213,"&gt;=0")=0,COUNTIFS($A$14:$A$1213,$H231,$F$14:$F$1213,"&gt;=0")=0),"—",IF(OR(ISERROR(MATCH($H231&amp;"|1",$Z$14:$Z$1213,0)),ISERROR(MATCH($H231&amp;"|1",$AA$14:$AA$1213,0))),"Tie",IF(MATCH($H231&amp;"|1",$Z$14:$Z$1213,0)=MATCH($H231&amp;"|1",$AA$14:$AA$1213,0),"Hit","Miss"))))</f>
        <v/>
      </c>
      <c r="K231" s="24">
        <f>IF($H231="","",IF(COUNTIFS($A$14:$A$1213,$H231,$F$14:$F$1213,"&gt;=0")=0,"—",IFERROR(INDEX($B$14:$B$1213,MATCH($H231&amp;"|1",$AA$14:$AA$1213,0)),"(tied)")))</f>
        <v/>
      </c>
      <c r="L231" s="25">
        <f>IF($H231="","",IF((--(COUNTIFS($A$14:$A$1213,$H231,$P$14:$P$1213,"&gt;=0")&gt;0)+--(COUNTIFS($A$14:$A$1213,$H231,$Q$14:$Q$1213,"&gt;=0")&gt;0)+--(COUNTIFS($A$14:$A$1213,$H231,$R$14:$R$1213,"&gt;=0")&gt;0)+--(COUNTIFS($A$14:$A$1213,$H231,$S$14:$S$1213,"&gt;=0")&gt;0)+--(COUNTIFS($A$14:$A$1213,$H231,$T$14:$T$1213,"&gt;=0")&gt;0))&lt;2,"—",IF(SUMIFS($AH$14:$AH$1213,$A$14:$A$1213,$H231)=0,"Yes","No")))</f>
        <v/>
      </c>
      <c r="M231" s="25">
        <f>IF($H231="","",IF(COUNTIFS($A$14:$A$1213,$H231,$F$14:$F$1213,"&gt;=0")&lt;2,"—",IF(COUNTIFS($A$14:$A$1213,$H231,$F$14:$F$1213,_xlfn.MAXIFS($F$14:$F$1213,$A$14:$A$1213,$H231))&gt;1,"No",IF(NOT(ISNUMBER($AN231)),"—",IF((2*(1-NORMSDIST(ABS($AN231))))&lt;0.05,"Yes","No")))))</f>
        <v/>
      </c>
      <c r="N231" s="21">
        <f>IF($H231="","",IF(NOT(ISNUMBER($AN231)),"—",IF((2*(1-NORMSDIST(ABS($AN231))))&lt;0.001,"&lt;0.001",TEXT((2*(1-NORMSDIST(ABS($AN231)))),"0.000"))))</f>
        <v/>
      </c>
      <c r="P231" s="26" t="n"/>
      <c r="Q231" s="26" t="n"/>
      <c r="R231" s="26" t="n"/>
      <c r="S231" s="26" t="n"/>
      <c r="T231" s="26" t="n"/>
      <c r="V231" s="27">
        <f>IF(ISNUMBER($C231),COUNTIFS($A$14:$A$1213,$A231,$C$14:$C$1213,"&gt;"&amp;$C231)+(COUNTIFS($A$14:$A$1213,$A231,$C$14:$C$1213,"="&amp;$C231)+1)/2,"")</f>
        <v/>
      </c>
      <c r="W231" s="27">
        <f>IF(ISNUMBER($F231),COUNTIFS($A$14:$A$1213,$A231,$F$14:$F$1213,"&gt;"&amp;$F231)+(COUNTIFS($A$14:$A$1213,$A231,$F$14:$F$1213,"="&amp;$F231)+1)/2,"")</f>
        <v/>
      </c>
      <c r="X231" s="27">
        <f>IF(OR(NOT(ISNUMBER($V231)),$AO231=1),"",$V231-(COUNTIFS($A$14:$A$1213,$A231,$C$14:$C$1213,"&gt;=0")+1)/2)</f>
        <v/>
      </c>
      <c r="Y231" s="27">
        <f>IF(OR(NOT(ISNUMBER($W231)),$AO231=1),"",$W231-(COUNTIFS($A$14:$A$1213,$A231,$F$14:$F$1213,"&gt;=0")+1)/2)</f>
        <v/>
      </c>
      <c r="Z231" s="27">
        <f>IF(ISNUMBER($V231),$A231&amp;"|"&amp;$V231,"")</f>
        <v/>
      </c>
      <c r="AA231" s="27">
        <f>IF(ISNUMBER($W231),$A231&amp;"|"&amp;$W231,"")</f>
        <v/>
      </c>
      <c r="AB231" s="27">
        <f>IF(ISNUMBER($F231),$A231&amp;"|"&amp;$F231,"")</f>
        <v/>
      </c>
      <c r="AC231" s="27">
        <f>IF(ISNUMBER($P231),COUNTIFS($A$14:$A$1213,$A231,$P$14:$P$1213,"&gt;"&amp;$P231)+(COUNTIFS($A$14:$A$1213,$A231,$P$14:$P$1213,"="&amp;$P231)+1)/2,"")</f>
        <v/>
      </c>
      <c r="AD231" s="27">
        <f>IF(ISNUMBER($Q231),COUNTIFS($A$14:$A$1213,$A231,$Q$14:$Q$1213,"&gt;"&amp;$Q231)+(COUNTIFS($A$14:$A$1213,$A231,$Q$14:$Q$1213,"="&amp;$Q231)+1)/2,"")</f>
        <v/>
      </c>
      <c r="AE231" s="27">
        <f>IF(ISNUMBER($R231),COUNTIFS($A$14:$A$1213,$A231,$R$14:$R$1213,"&gt;"&amp;$R231)+(COUNTIFS($A$14:$A$1213,$A231,$R$14:$R$1213,"="&amp;$R231)+1)/2,"")</f>
        <v/>
      </c>
      <c r="AF231" s="27">
        <f>IF(ISNUMBER($S231),COUNTIFS($A$14:$A$1213,$A231,$S$14:$S$1213,"&gt;"&amp;$S231)+(COUNTIFS($A$14:$A$1213,$A231,$S$14:$S$1213,"="&amp;$S231)+1)/2,"")</f>
        <v/>
      </c>
      <c r="AG231" s="27">
        <f>IF(ISNUMBER($T231),COUNTIFS($A$14:$A$1213,$A231,$T$14:$T$1213,"&gt;"&amp;$T231)+(COUNTIFS($A$14:$A$1213,$A231,$T$14:$T$1213,"="&amp;$T231)+1)/2,"")</f>
        <v/>
      </c>
      <c r="AH231" s="27">
        <f>IF(COUNT($AC231:$AG231)&lt;2,"",IF(MAX($AC231:$AG231)=MIN($AC231:$AG231),0,1))</f>
        <v/>
      </c>
      <c r="AI231" s="27">
        <f>IF($A231="","",IF(COUNTIF($A$14:$A231,$A231)=1,COUNTIF($AI$13:AI230,"&gt;0")+1,""))</f>
        <v/>
      </c>
      <c r="AJ231" s="27">
        <f>IF(OR($H231="",COUNTIFS($A$14:$A$1213,$H231,$F$14:$F$1213,"&gt;=0")&lt;2,COUNTIFS($A$14:$A$1213,$H231,$F$14:$F$1213,_xlfn.MAXIFS($F$14:$F$1213,$A$14:$A$1213,$H231))&gt;1),"",IFERROR(INDEX($D$14:$D$1213,MATCH($H231&amp;"|"&amp;_xlfn.MAXIFS($F$14:$F$1213,$A$14:$A$1213,$H231),$AB$14:$AB$1213,0)),""))</f>
        <v/>
      </c>
      <c r="AK231" s="27">
        <f>IF(OR($H231="",COUNTIFS($A$14:$A$1213,$H231,$F$14:$F$1213,"&gt;=0")&lt;2,COUNTIFS($A$14:$A$1213,$H231,$F$14:$F$1213,_xlfn.MAXIFS($F$14:$F$1213,$A$14:$A$1213,$H231))&gt;1),"",IFERROR(INDEX($E$14:$E$1213,MATCH($H231&amp;"|"&amp;_xlfn.MAXIFS($F$14:$F$1213,$A$14:$A$1213,$H231),$AB$14:$AB$1213,0)),""))</f>
        <v/>
      </c>
      <c r="AL231" s="27">
        <f>IF(OR($H231="",COUNTIFS($A$14:$A$1213,$H231,$F$14:$F$1213,"&gt;=0")&lt;2,COUNTIFS($A$14:$A$1213,$H231,$F$14:$F$1213,_xlfn.MAXIFS($F$14:$F$1213,$A$14:$A$1213,$H231))&gt;1),"",IFERROR(INDEX($D$14:$D$1213,MATCH($H231&amp;"|"&amp;_xlfn.MAXIFS($F$14:$F$1213,$A$14:$A$1213,$H231,$F$14:$F$1213,"&lt;"&amp;_xlfn.MAXIFS($F$14:$F$1213,$A$14:$A$1213,$H231)),$AB$14:$AB$1213,0)),""))</f>
        <v/>
      </c>
      <c r="AM231" s="27">
        <f>IF(OR($H231="",COUNTIFS($A$14:$A$1213,$H231,$F$14:$F$1213,"&gt;=0")&lt;2,COUNTIFS($A$14:$A$1213,$H231,$F$14:$F$1213,_xlfn.MAXIFS($F$14:$F$1213,$A$14:$A$1213,$H231))&gt;1),"",IFERROR(INDEX($E$14:$E$1213,MATCH($H231&amp;"|"&amp;_xlfn.MAXIFS($F$14:$F$1213,$A$14:$A$1213,$H231,$F$14:$F$1213,"&lt;"&amp;_xlfn.MAXIFS($F$14:$F$1213,$A$14:$A$1213,$H231)),$AB$14:$AB$1213,0)),""))</f>
        <v/>
      </c>
      <c r="AN231" s="27">
        <f>IF(OR(NOT(ISNUMBER($AJ231)),NOT(ISNUMBER($AL231)),$AK231=0,$AM231=0),"",IF(OR((($AJ231+$AL231)/($AK231+$AM231))&lt;=0,(($AJ231+$AL231)/($AK231+$AM231))&gt;=1),"",($AJ231/$AK231-$AL231/$AM231)/SQRT((($AJ231+$AL231)/($AK231+$AM231))*(1-(($AJ231+$AL231)/($AK231+$AM231)))*(1/$AK231+1/$AM231))))</f>
        <v/>
      </c>
      <c r="AO231" s="27">
        <f>IF($A231="","",IF(AND(COUNTIFS($A$14:$A$1213,$A231,$F$14:$F$1213,"&gt;=0")=2,IFERROR(INDEX($M$14:$M$313,MATCH($A231,$H$14:$H$313,0)),"Yes")&lt;&gt;"Yes"),1,0))</f>
        <v/>
      </c>
    </row>
    <row r="232" ht="24" customHeight="1">
      <c r="A232" s="19">
        <f>IF('Enter messages'!A232="","",'Enter messages'!A232)</f>
        <v/>
      </c>
      <c r="B232" s="20">
        <f>IF('Enter messages'!B232="","",'Enter messages'!B232)</f>
        <v/>
      </c>
      <c r="C232" s="21">
        <f>IFERROR(AVERAGE(P232:T232),"")</f>
        <v/>
      </c>
      <c r="D232" s="29" t="n"/>
      <c r="E232" s="29" t="n"/>
      <c r="F232" s="30">
        <f>IF(AND(ISNUMBER($D232),ISNUMBER($E232),$E232&gt;0,$D232&lt;=$E232),$D232/$E232,"")</f>
        <v/>
      </c>
      <c r="H232" s="19">
        <f>IFERROR(INDEX($A$14:$A$1213,MATCH(219,$AI$14:$AI$1213,0)),"")</f>
        <v/>
      </c>
      <c r="I232" s="24">
        <f>IF($H232="","",IF(COUNTIFS($A$14:$A$1213,$H232,$C$14:$C$1213,"&gt;=0")=0,"—",IFERROR(INDEX($B$14:$B$1213,MATCH($H232&amp;"|1",$Z$14:$Z$1213,0)),"(tied)")))</f>
        <v/>
      </c>
      <c r="J232" s="25">
        <f>IF($H232="","",IF(OR(COUNTIFS($A$14:$A$1213,$H232,$C$14:$C$1213,"&gt;=0")=0,COUNTIFS($A$14:$A$1213,$H232,$F$14:$F$1213,"&gt;=0")=0),"—",IF(OR(ISERROR(MATCH($H232&amp;"|1",$Z$14:$Z$1213,0)),ISERROR(MATCH($H232&amp;"|1",$AA$14:$AA$1213,0))),"Tie",IF(MATCH($H232&amp;"|1",$Z$14:$Z$1213,0)=MATCH($H232&amp;"|1",$AA$14:$AA$1213,0),"Hit","Miss"))))</f>
        <v/>
      </c>
      <c r="K232" s="24">
        <f>IF($H232="","",IF(COUNTIFS($A$14:$A$1213,$H232,$F$14:$F$1213,"&gt;=0")=0,"—",IFERROR(INDEX($B$14:$B$1213,MATCH($H232&amp;"|1",$AA$14:$AA$1213,0)),"(tied)")))</f>
        <v/>
      </c>
      <c r="L232" s="25">
        <f>IF($H232="","",IF((--(COUNTIFS($A$14:$A$1213,$H232,$P$14:$P$1213,"&gt;=0")&gt;0)+--(COUNTIFS($A$14:$A$1213,$H232,$Q$14:$Q$1213,"&gt;=0")&gt;0)+--(COUNTIFS($A$14:$A$1213,$H232,$R$14:$R$1213,"&gt;=0")&gt;0)+--(COUNTIFS($A$14:$A$1213,$H232,$S$14:$S$1213,"&gt;=0")&gt;0)+--(COUNTIFS($A$14:$A$1213,$H232,$T$14:$T$1213,"&gt;=0")&gt;0))&lt;2,"—",IF(SUMIFS($AH$14:$AH$1213,$A$14:$A$1213,$H232)=0,"Yes","No")))</f>
        <v/>
      </c>
      <c r="M232" s="25">
        <f>IF($H232="","",IF(COUNTIFS($A$14:$A$1213,$H232,$F$14:$F$1213,"&gt;=0")&lt;2,"—",IF(COUNTIFS($A$14:$A$1213,$H232,$F$14:$F$1213,_xlfn.MAXIFS($F$14:$F$1213,$A$14:$A$1213,$H232))&gt;1,"No",IF(NOT(ISNUMBER($AN232)),"—",IF((2*(1-NORMSDIST(ABS($AN232))))&lt;0.05,"Yes","No")))))</f>
        <v/>
      </c>
      <c r="N232" s="21">
        <f>IF($H232="","",IF(NOT(ISNUMBER($AN232)),"—",IF((2*(1-NORMSDIST(ABS($AN232))))&lt;0.001,"&lt;0.001",TEXT((2*(1-NORMSDIST(ABS($AN232)))),"0.000"))))</f>
        <v/>
      </c>
      <c r="P232" s="26" t="n"/>
      <c r="Q232" s="26" t="n"/>
      <c r="R232" s="26" t="n"/>
      <c r="S232" s="26" t="n"/>
      <c r="T232" s="26" t="n"/>
      <c r="V232" s="27">
        <f>IF(ISNUMBER($C232),COUNTIFS($A$14:$A$1213,$A232,$C$14:$C$1213,"&gt;"&amp;$C232)+(COUNTIFS($A$14:$A$1213,$A232,$C$14:$C$1213,"="&amp;$C232)+1)/2,"")</f>
        <v/>
      </c>
      <c r="W232" s="27">
        <f>IF(ISNUMBER($F232),COUNTIFS($A$14:$A$1213,$A232,$F$14:$F$1213,"&gt;"&amp;$F232)+(COUNTIFS($A$14:$A$1213,$A232,$F$14:$F$1213,"="&amp;$F232)+1)/2,"")</f>
        <v/>
      </c>
      <c r="X232" s="27">
        <f>IF(OR(NOT(ISNUMBER($V232)),$AO232=1),"",$V232-(COUNTIFS($A$14:$A$1213,$A232,$C$14:$C$1213,"&gt;=0")+1)/2)</f>
        <v/>
      </c>
      <c r="Y232" s="27">
        <f>IF(OR(NOT(ISNUMBER($W232)),$AO232=1),"",$W232-(COUNTIFS($A$14:$A$1213,$A232,$F$14:$F$1213,"&gt;=0")+1)/2)</f>
        <v/>
      </c>
      <c r="Z232" s="27">
        <f>IF(ISNUMBER($V232),$A232&amp;"|"&amp;$V232,"")</f>
        <v/>
      </c>
      <c r="AA232" s="27">
        <f>IF(ISNUMBER($W232),$A232&amp;"|"&amp;$W232,"")</f>
        <v/>
      </c>
      <c r="AB232" s="27">
        <f>IF(ISNUMBER($F232),$A232&amp;"|"&amp;$F232,"")</f>
        <v/>
      </c>
      <c r="AC232" s="27">
        <f>IF(ISNUMBER($P232),COUNTIFS($A$14:$A$1213,$A232,$P$14:$P$1213,"&gt;"&amp;$P232)+(COUNTIFS($A$14:$A$1213,$A232,$P$14:$P$1213,"="&amp;$P232)+1)/2,"")</f>
        <v/>
      </c>
      <c r="AD232" s="27">
        <f>IF(ISNUMBER($Q232),COUNTIFS($A$14:$A$1213,$A232,$Q$14:$Q$1213,"&gt;"&amp;$Q232)+(COUNTIFS($A$14:$A$1213,$A232,$Q$14:$Q$1213,"="&amp;$Q232)+1)/2,"")</f>
        <v/>
      </c>
      <c r="AE232" s="27">
        <f>IF(ISNUMBER($R232),COUNTIFS($A$14:$A$1213,$A232,$R$14:$R$1213,"&gt;"&amp;$R232)+(COUNTIFS($A$14:$A$1213,$A232,$R$14:$R$1213,"="&amp;$R232)+1)/2,"")</f>
        <v/>
      </c>
      <c r="AF232" s="27">
        <f>IF(ISNUMBER($S232),COUNTIFS($A$14:$A$1213,$A232,$S$14:$S$1213,"&gt;"&amp;$S232)+(COUNTIFS($A$14:$A$1213,$A232,$S$14:$S$1213,"="&amp;$S232)+1)/2,"")</f>
        <v/>
      </c>
      <c r="AG232" s="27">
        <f>IF(ISNUMBER($T232),COUNTIFS($A$14:$A$1213,$A232,$T$14:$T$1213,"&gt;"&amp;$T232)+(COUNTIFS($A$14:$A$1213,$A232,$T$14:$T$1213,"="&amp;$T232)+1)/2,"")</f>
        <v/>
      </c>
      <c r="AH232" s="27">
        <f>IF(COUNT($AC232:$AG232)&lt;2,"",IF(MAX($AC232:$AG232)=MIN($AC232:$AG232),0,1))</f>
        <v/>
      </c>
      <c r="AI232" s="27">
        <f>IF($A232="","",IF(COUNTIF($A$14:$A232,$A232)=1,COUNTIF($AI$13:AI231,"&gt;0")+1,""))</f>
        <v/>
      </c>
      <c r="AJ232" s="27">
        <f>IF(OR($H232="",COUNTIFS($A$14:$A$1213,$H232,$F$14:$F$1213,"&gt;=0")&lt;2,COUNTIFS($A$14:$A$1213,$H232,$F$14:$F$1213,_xlfn.MAXIFS($F$14:$F$1213,$A$14:$A$1213,$H232))&gt;1),"",IFERROR(INDEX($D$14:$D$1213,MATCH($H232&amp;"|"&amp;_xlfn.MAXIFS($F$14:$F$1213,$A$14:$A$1213,$H232),$AB$14:$AB$1213,0)),""))</f>
        <v/>
      </c>
      <c r="AK232" s="27">
        <f>IF(OR($H232="",COUNTIFS($A$14:$A$1213,$H232,$F$14:$F$1213,"&gt;=0")&lt;2,COUNTIFS($A$14:$A$1213,$H232,$F$14:$F$1213,_xlfn.MAXIFS($F$14:$F$1213,$A$14:$A$1213,$H232))&gt;1),"",IFERROR(INDEX($E$14:$E$1213,MATCH($H232&amp;"|"&amp;_xlfn.MAXIFS($F$14:$F$1213,$A$14:$A$1213,$H232),$AB$14:$AB$1213,0)),""))</f>
        <v/>
      </c>
      <c r="AL232" s="27">
        <f>IF(OR($H232="",COUNTIFS($A$14:$A$1213,$H232,$F$14:$F$1213,"&gt;=0")&lt;2,COUNTIFS($A$14:$A$1213,$H232,$F$14:$F$1213,_xlfn.MAXIFS($F$14:$F$1213,$A$14:$A$1213,$H232))&gt;1),"",IFERROR(INDEX($D$14:$D$1213,MATCH($H232&amp;"|"&amp;_xlfn.MAXIFS($F$14:$F$1213,$A$14:$A$1213,$H232,$F$14:$F$1213,"&lt;"&amp;_xlfn.MAXIFS($F$14:$F$1213,$A$14:$A$1213,$H232)),$AB$14:$AB$1213,0)),""))</f>
        <v/>
      </c>
      <c r="AM232" s="27">
        <f>IF(OR($H232="",COUNTIFS($A$14:$A$1213,$H232,$F$14:$F$1213,"&gt;=0")&lt;2,COUNTIFS($A$14:$A$1213,$H232,$F$14:$F$1213,_xlfn.MAXIFS($F$14:$F$1213,$A$14:$A$1213,$H232))&gt;1),"",IFERROR(INDEX($E$14:$E$1213,MATCH($H232&amp;"|"&amp;_xlfn.MAXIFS($F$14:$F$1213,$A$14:$A$1213,$H232,$F$14:$F$1213,"&lt;"&amp;_xlfn.MAXIFS($F$14:$F$1213,$A$14:$A$1213,$H232)),$AB$14:$AB$1213,0)),""))</f>
        <v/>
      </c>
      <c r="AN232" s="27">
        <f>IF(OR(NOT(ISNUMBER($AJ232)),NOT(ISNUMBER($AL232)),$AK232=0,$AM232=0),"",IF(OR((($AJ232+$AL232)/($AK232+$AM232))&lt;=0,(($AJ232+$AL232)/($AK232+$AM232))&gt;=1),"",($AJ232/$AK232-$AL232/$AM232)/SQRT((($AJ232+$AL232)/($AK232+$AM232))*(1-(($AJ232+$AL232)/($AK232+$AM232)))*(1/$AK232+1/$AM232))))</f>
        <v/>
      </c>
      <c r="AO232" s="27">
        <f>IF($A232="","",IF(AND(COUNTIFS($A$14:$A$1213,$A232,$F$14:$F$1213,"&gt;=0")=2,IFERROR(INDEX($M$14:$M$313,MATCH($A232,$H$14:$H$313,0)),"Yes")&lt;&gt;"Yes"),1,0))</f>
        <v/>
      </c>
    </row>
    <row r="233" ht="24" customHeight="1">
      <c r="A233" s="19">
        <f>IF('Enter messages'!A233="","",'Enter messages'!A233)</f>
        <v/>
      </c>
      <c r="B233" s="20">
        <f>IF('Enter messages'!B233="","",'Enter messages'!B233)</f>
        <v/>
      </c>
      <c r="C233" s="21">
        <f>IFERROR(AVERAGE(P233:T233),"")</f>
        <v/>
      </c>
      <c r="D233" s="29" t="n"/>
      <c r="E233" s="29" t="n"/>
      <c r="F233" s="30">
        <f>IF(AND(ISNUMBER($D233),ISNUMBER($E233),$E233&gt;0,$D233&lt;=$E233),$D233/$E233,"")</f>
        <v/>
      </c>
      <c r="H233" s="19">
        <f>IFERROR(INDEX($A$14:$A$1213,MATCH(220,$AI$14:$AI$1213,0)),"")</f>
        <v/>
      </c>
      <c r="I233" s="24">
        <f>IF($H233="","",IF(COUNTIFS($A$14:$A$1213,$H233,$C$14:$C$1213,"&gt;=0")=0,"—",IFERROR(INDEX($B$14:$B$1213,MATCH($H233&amp;"|1",$Z$14:$Z$1213,0)),"(tied)")))</f>
        <v/>
      </c>
      <c r="J233" s="25">
        <f>IF($H233="","",IF(OR(COUNTIFS($A$14:$A$1213,$H233,$C$14:$C$1213,"&gt;=0")=0,COUNTIFS($A$14:$A$1213,$H233,$F$14:$F$1213,"&gt;=0")=0),"—",IF(OR(ISERROR(MATCH($H233&amp;"|1",$Z$14:$Z$1213,0)),ISERROR(MATCH($H233&amp;"|1",$AA$14:$AA$1213,0))),"Tie",IF(MATCH($H233&amp;"|1",$Z$14:$Z$1213,0)=MATCH($H233&amp;"|1",$AA$14:$AA$1213,0),"Hit","Miss"))))</f>
        <v/>
      </c>
      <c r="K233" s="24">
        <f>IF($H233="","",IF(COUNTIFS($A$14:$A$1213,$H233,$F$14:$F$1213,"&gt;=0")=0,"—",IFERROR(INDEX($B$14:$B$1213,MATCH($H233&amp;"|1",$AA$14:$AA$1213,0)),"(tied)")))</f>
        <v/>
      </c>
      <c r="L233" s="25">
        <f>IF($H233="","",IF((--(COUNTIFS($A$14:$A$1213,$H233,$P$14:$P$1213,"&gt;=0")&gt;0)+--(COUNTIFS($A$14:$A$1213,$H233,$Q$14:$Q$1213,"&gt;=0")&gt;0)+--(COUNTIFS($A$14:$A$1213,$H233,$R$14:$R$1213,"&gt;=0")&gt;0)+--(COUNTIFS($A$14:$A$1213,$H233,$S$14:$S$1213,"&gt;=0")&gt;0)+--(COUNTIFS($A$14:$A$1213,$H233,$T$14:$T$1213,"&gt;=0")&gt;0))&lt;2,"—",IF(SUMIFS($AH$14:$AH$1213,$A$14:$A$1213,$H233)=0,"Yes","No")))</f>
        <v/>
      </c>
      <c r="M233" s="25">
        <f>IF($H233="","",IF(COUNTIFS($A$14:$A$1213,$H233,$F$14:$F$1213,"&gt;=0")&lt;2,"—",IF(COUNTIFS($A$14:$A$1213,$H233,$F$14:$F$1213,_xlfn.MAXIFS($F$14:$F$1213,$A$14:$A$1213,$H233))&gt;1,"No",IF(NOT(ISNUMBER($AN233)),"—",IF((2*(1-NORMSDIST(ABS($AN233))))&lt;0.05,"Yes","No")))))</f>
        <v/>
      </c>
      <c r="N233" s="21">
        <f>IF($H233="","",IF(NOT(ISNUMBER($AN233)),"—",IF((2*(1-NORMSDIST(ABS($AN233))))&lt;0.001,"&lt;0.001",TEXT((2*(1-NORMSDIST(ABS($AN233)))),"0.000"))))</f>
        <v/>
      </c>
      <c r="P233" s="26" t="n"/>
      <c r="Q233" s="26" t="n"/>
      <c r="R233" s="26" t="n"/>
      <c r="S233" s="26" t="n"/>
      <c r="T233" s="26" t="n"/>
      <c r="V233" s="27">
        <f>IF(ISNUMBER($C233),COUNTIFS($A$14:$A$1213,$A233,$C$14:$C$1213,"&gt;"&amp;$C233)+(COUNTIFS($A$14:$A$1213,$A233,$C$14:$C$1213,"="&amp;$C233)+1)/2,"")</f>
        <v/>
      </c>
      <c r="W233" s="27">
        <f>IF(ISNUMBER($F233),COUNTIFS($A$14:$A$1213,$A233,$F$14:$F$1213,"&gt;"&amp;$F233)+(COUNTIFS($A$14:$A$1213,$A233,$F$14:$F$1213,"="&amp;$F233)+1)/2,"")</f>
        <v/>
      </c>
      <c r="X233" s="27">
        <f>IF(OR(NOT(ISNUMBER($V233)),$AO233=1),"",$V233-(COUNTIFS($A$14:$A$1213,$A233,$C$14:$C$1213,"&gt;=0")+1)/2)</f>
        <v/>
      </c>
      <c r="Y233" s="27">
        <f>IF(OR(NOT(ISNUMBER($W233)),$AO233=1),"",$W233-(COUNTIFS($A$14:$A$1213,$A233,$F$14:$F$1213,"&gt;=0")+1)/2)</f>
        <v/>
      </c>
      <c r="Z233" s="27">
        <f>IF(ISNUMBER($V233),$A233&amp;"|"&amp;$V233,"")</f>
        <v/>
      </c>
      <c r="AA233" s="27">
        <f>IF(ISNUMBER($W233),$A233&amp;"|"&amp;$W233,"")</f>
        <v/>
      </c>
      <c r="AB233" s="27">
        <f>IF(ISNUMBER($F233),$A233&amp;"|"&amp;$F233,"")</f>
        <v/>
      </c>
      <c r="AC233" s="27">
        <f>IF(ISNUMBER($P233),COUNTIFS($A$14:$A$1213,$A233,$P$14:$P$1213,"&gt;"&amp;$P233)+(COUNTIFS($A$14:$A$1213,$A233,$P$14:$P$1213,"="&amp;$P233)+1)/2,"")</f>
        <v/>
      </c>
      <c r="AD233" s="27">
        <f>IF(ISNUMBER($Q233),COUNTIFS($A$14:$A$1213,$A233,$Q$14:$Q$1213,"&gt;"&amp;$Q233)+(COUNTIFS($A$14:$A$1213,$A233,$Q$14:$Q$1213,"="&amp;$Q233)+1)/2,"")</f>
        <v/>
      </c>
      <c r="AE233" s="27">
        <f>IF(ISNUMBER($R233),COUNTIFS($A$14:$A$1213,$A233,$R$14:$R$1213,"&gt;"&amp;$R233)+(COUNTIFS($A$14:$A$1213,$A233,$R$14:$R$1213,"="&amp;$R233)+1)/2,"")</f>
        <v/>
      </c>
      <c r="AF233" s="27">
        <f>IF(ISNUMBER($S233),COUNTIFS($A$14:$A$1213,$A233,$S$14:$S$1213,"&gt;"&amp;$S233)+(COUNTIFS($A$14:$A$1213,$A233,$S$14:$S$1213,"="&amp;$S233)+1)/2,"")</f>
        <v/>
      </c>
      <c r="AG233" s="27">
        <f>IF(ISNUMBER($T233),COUNTIFS($A$14:$A$1213,$A233,$T$14:$T$1213,"&gt;"&amp;$T233)+(COUNTIFS($A$14:$A$1213,$A233,$T$14:$T$1213,"="&amp;$T233)+1)/2,"")</f>
        <v/>
      </c>
      <c r="AH233" s="27">
        <f>IF(COUNT($AC233:$AG233)&lt;2,"",IF(MAX($AC233:$AG233)=MIN($AC233:$AG233),0,1))</f>
        <v/>
      </c>
      <c r="AI233" s="27">
        <f>IF($A233="","",IF(COUNTIF($A$14:$A233,$A233)=1,COUNTIF($AI$13:AI232,"&gt;0")+1,""))</f>
        <v/>
      </c>
      <c r="AJ233" s="27">
        <f>IF(OR($H233="",COUNTIFS($A$14:$A$1213,$H233,$F$14:$F$1213,"&gt;=0")&lt;2,COUNTIFS($A$14:$A$1213,$H233,$F$14:$F$1213,_xlfn.MAXIFS($F$14:$F$1213,$A$14:$A$1213,$H233))&gt;1),"",IFERROR(INDEX($D$14:$D$1213,MATCH($H233&amp;"|"&amp;_xlfn.MAXIFS($F$14:$F$1213,$A$14:$A$1213,$H233),$AB$14:$AB$1213,0)),""))</f>
        <v/>
      </c>
      <c r="AK233" s="27">
        <f>IF(OR($H233="",COUNTIFS($A$14:$A$1213,$H233,$F$14:$F$1213,"&gt;=0")&lt;2,COUNTIFS($A$14:$A$1213,$H233,$F$14:$F$1213,_xlfn.MAXIFS($F$14:$F$1213,$A$14:$A$1213,$H233))&gt;1),"",IFERROR(INDEX($E$14:$E$1213,MATCH($H233&amp;"|"&amp;_xlfn.MAXIFS($F$14:$F$1213,$A$14:$A$1213,$H233),$AB$14:$AB$1213,0)),""))</f>
        <v/>
      </c>
      <c r="AL233" s="27">
        <f>IF(OR($H233="",COUNTIFS($A$14:$A$1213,$H233,$F$14:$F$1213,"&gt;=0")&lt;2,COUNTIFS($A$14:$A$1213,$H233,$F$14:$F$1213,_xlfn.MAXIFS($F$14:$F$1213,$A$14:$A$1213,$H233))&gt;1),"",IFERROR(INDEX($D$14:$D$1213,MATCH($H233&amp;"|"&amp;_xlfn.MAXIFS($F$14:$F$1213,$A$14:$A$1213,$H233,$F$14:$F$1213,"&lt;"&amp;_xlfn.MAXIFS($F$14:$F$1213,$A$14:$A$1213,$H233)),$AB$14:$AB$1213,0)),""))</f>
        <v/>
      </c>
      <c r="AM233" s="27">
        <f>IF(OR($H233="",COUNTIFS($A$14:$A$1213,$H233,$F$14:$F$1213,"&gt;=0")&lt;2,COUNTIFS($A$14:$A$1213,$H233,$F$14:$F$1213,_xlfn.MAXIFS($F$14:$F$1213,$A$14:$A$1213,$H233))&gt;1),"",IFERROR(INDEX($E$14:$E$1213,MATCH($H233&amp;"|"&amp;_xlfn.MAXIFS($F$14:$F$1213,$A$14:$A$1213,$H233,$F$14:$F$1213,"&lt;"&amp;_xlfn.MAXIFS($F$14:$F$1213,$A$14:$A$1213,$H233)),$AB$14:$AB$1213,0)),""))</f>
        <v/>
      </c>
      <c r="AN233" s="27">
        <f>IF(OR(NOT(ISNUMBER($AJ233)),NOT(ISNUMBER($AL233)),$AK233=0,$AM233=0),"",IF(OR((($AJ233+$AL233)/($AK233+$AM233))&lt;=0,(($AJ233+$AL233)/($AK233+$AM233))&gt;=1),"",($AJ233/$AK233-$AL233/$AM233)/SQRT((($AJ233+$AL233)/($AK233+$AM233))*(1-(($AJ233+$AL233)/($AK233+$AM233)))*(1/$AK233+1/$AM233))))</f>
        <v/>
      </c>
      <c r="AO233" s="27">
        <f>IF($A233="","",IF(AND(COUNTIFS($A$14:$A$1213,$A233,$F$14:$F$1213,"&gt;=0")=2,IFERROR(INDEX($M$14:$M$313,MATCH($A233,$H$14:$H$313,0)),"Yes")&lt;&gt;"Yes"),1,0))</f>
        <v/>
      </c>
    </row>
    <row r="234" ht="24" customHeight="1">
      <c r="A234" s="19">
        <f>IF('Enter messages'!A234="","",'Enter messages'!A234)</f>
        <v/>
      </c>
      <c r="B234" s="20">
        <f>IF('Enter messages'!B234="","",'Enter messages'!B234)</f>
        <v/>
      </c>
      <c r="C234" s="21">
        <f>IFERROR(AVERAGE(P234:T234),"")</f>
        <v/>
      </c>
      <c r="D234" s="29" t="n"/>
      <c r="E234" s="29" t="n"/>
      <c r="F234" s="30">
        <f>IF(AND(ISNUMBER($D234),ISNUMBER($E234),$E234&gt;0,$D234&lt;=$E234),$D234/$E234,"")</f>
        <v/>
      </c>
      <c r="H234" s="19">
        <f>IFERROR(INDEX($A$14:$A$1213,MATCH(221,$AI$14:$AI$1213,0)),"")</f>
        <v/>
      </c>
      <c r="I234" s="24">
        <f>IF($H234="","",IF(COUNTIFS($A$14:$A$1213,$H234,$C$14:$C$1213,"&gt;=0")=0,"—",IFERROR(INDEX($B$14:$B$1213,MATCH($H234&amp;"|1",$Z$14:$Z$1213,0)),"(tied)")))</f>
        <v/>
      </c>
      <c r="J234" s="25">
        <f>IF($H234="","",IF(OR(COUNTIFS($A$14:$A$1213,$H234,$C$14:$C$1213,"&gt;=0")=0,COUNTIFS($A$14:$A$1213,$H234,$F$14:$F$1213,"&gt;=0")=0),"—",IF(OR(ISERROR(MATCH($H234&amp;"|1",$Z$14:$Z$1213,0)),ISERROR(MATCH($H234&amp;"|1",$AA$14:$AA$1213,0))),"Tie",IF(MATCH($H234&amp;"|1",$Z$14:$Z$1213,0)=MATCH($H234&amp;"|1",$AA$14:$AA$1213,0),"Hit","Miss"))))</f>
        <v/>
      </c>
      <c r="K234" s="24">
        <f>IF($H234="","",IF(COUNTIFS($A$14:$A$1213,$H234,$F$14:$F$1213,"&gt;=0")=0,"—",IFERROR(INDEX($B$14:$B$1213,MATCH($H234&amp;"|1",$AA$14:$AA$1213,0)),"(tied)")))</f>
        <v/>
      </c>
      <c r="L234" s="25">
        <f>IF($H234="","",IF((--(COUNTIFS($A$14:$A$1213,$H234,$P$14:$P$1213,"&gt;=0")&gt;0)+--(COUNTIFS($A$14:$A$1213,$H234,$Q$14:$Q$1213,"&gt;=0")&gt;0)+--(COUNTIFS($A$14:$A$1213,$H234,$R$14:$R$1213,"&gt;=0")&gt;0)+--(COUNTIFS($A$14:$A$1213,$H234,$S$14:$S$1213,"&gt;=0")&gt;0)+--(COUNTIFS($A$14:$A$1213,$H234,$T$14:$T$1213,"&gt;=0")&gt;0))&lt;2,"—",IF(SUMIFS($AH$14:$AH$1213,$A$14:$A$1213,$H234)=0,"Yes","No")))</f>
        <v/>
      </c>
      <c r="M234" s="25">
        <f>IF($H234="","",IF(COUNTIFS($A$14:$A$1213,$H234,$F$14:$F$1213,"&gt;=0")&lt;2,"—",IF(COUNTIFS($A$14:$A$1213,$H234,$F$14:$F$1213,_xlfn.MAXIFS($F$14:$F$1213,$A$14:$A$1213,$H234))&gt;1,"No",IF(NOT(ISNUMBER($AN234)),"—",IF((2*(1-NORMSDIST(ABS($AN234))))&lt;0.05,"Yes","No")))))</f>
        <v/>
      </c>
      <c r="N234" s="21">
        <f>IF($H234="","",IF(NOT(ISNUMBER($AN234)),"—",IF((2*(1-NORMSDIST(ABS($AN234))))&lt;0.001,"&lt;0.001",TEXT((2*(1-NORMSDIST(ABS($AN234)))),"0.000"))))</f>
        <v/>
      </c>
      <c r="P234" s="26" t="n"/>
      <c r="Q234" s="26" t="n"/>
      <c r="R234" s="26" t="n"/>
      <c r="S234" s="26" t="n"/>
      <c r="T234" s="26" t="n"/>
      <c r="V234" s="27">
        <f>IF(ISNUMBER($C234),COUNTIFS($A$14:$A$1213,$A234,$C$14:$C$1213,"&gt;"&amp;$C234)+(COUNTIFS($A$14:$A$1213,$A234,$C$14:$C$1213,"="&amp;$C234)+1)/2,"")</f>
        <v/>
      </c>
      <c r="W234" s="27">
        <f>IF(ISNUMBER($F234),COUNTIFS($A$14:$A$1213,$A234,$F$14:$F$1213,"&gt;"&amp;$F234)+(COUNTIFS($A$14:$A$1213,$A234,$F$14:$F$1213,"="&amp;$F234)+1)/2,"")</f>
        <v/>
      </c>
      <c r="X234" s="27">
        <f>IF(OR(NOT(ISNUMBER($V234)),$AO234=1),"",$V234-(COUNTIFS($A$14:$A$1213,$A234,$C$14:$C$1213,"&gt;=0")+1)/2)</f>
        <v/>
      </c>
      <c r="Y234" s="27">
        <f>IF(OR(NOT(ISNUMBER($W234)),$AO234=1),"",$W234-(COUNTIFS($A$14:$A$1213,$A234,$F$14:$F$1213,"&gt;=0")+1)/2)</f>
        <v/>
      </c>
      <c r="Z234" s="27">
        <f>IF(ISNUMBER($V234),$A234&amp;"|"&amp;$V234,"")</f>
        <v/>
      </c>
      <c r="AA234" s="27">
        <f>IF(ISNUMBER($W234),$A234&amp;"|"&amp;$W234,"")</f>
        <v/>
      </c>
      <c r="AB234" s="27">
        <f>IF(ISNUMBER($F234),$A234&amp;"|"&amp;$F234,"")</f>
        <v/>
      </c>
      <c r="AC234" s="27">
        <f>IF(ISNUMBER($P234),COUNTIFS($A$14:$A$1213,$A234,$P$14:$P$1213,"&gt;"&amp;$P234)+(COUNTIFS($A$14:$A$1213,$A234,$P$14:$P$1213,"="&amp;$P234)+1)/2,"")</f>
        <v/>
      </c>
      <c r="AD234" s="27">
        <f>IF(ISNUMBER($Q234),COUNTIFS($A$14:$A$1213,$A234,$Q$14:$Q$1213,"&gt;"&amp;$Q234)+(COUNTIFS($A$14:$A$1213,$A234,$Q$14:$Q$1213,"="&amp;$Q234)+1)/2,"")</f>
        <v/>
      </c>
      <c r="AE234" s="27">
        <f>IF(ISNUMBER($R234),COUNTIFS($A$14:$A$1213,$A234,$R$14:$R$1213,"&gt;"&amp;$R234)+(COUNTIFS($A$14:$A$1213,$A234,$R$14:$R$1213,"="&amp;$R234)+1)/2,"")</f>
        <v/>
      </c>
      <c r="AF234" s="27">
        <f>IF(ISNUMBER($S234),COUNTIFS($A$14:$A$1213,$A234,$S$14:$S$1213,"&gt;"&amp;$S234)+(COUNTIFS($A$14:$A$1213,$A234,$S$14:$S$1213,"="&amp;$S234)+1)/2,"")</f>
        <v/>
      </c>
      <c r="AG234" s="27">
        <f>IF(ISNUMBER($T234),COUNTIFS($A$14:$A$1213,$A234,$T$14:$T$1213,"&gt;"&amp;$T234)+(COUNTIFS($A$14:$A$1213,$A234,$T$14:$T$1213,"="&amp;$T234)+1)/2,"")</f>
        <v/>
      </c>
      <c r="AH234" s="27">
        <f>IF(COUNT($AC234:$AG234)&lt;2,"",IF(MAX($AC234:$AG234)=MIN($AC234:$AG234),0,1))</f>
        <v/>
      </c>
      <c r="AI234" s="27">
        <f>IF($A234="","",IF(COUNTIF($A$14:$A234,$A234)=1,COUNTIF($AI$13:AI233,"&gt;0")+1,""))</f>
        <v/>
      </c>
      <c r="AJ234" s="27">
        <f>IF(OR($H234="",COUNTIFS($A$14:$A$1213,$H234,$F$14:$F$1213,"&gt;=0")&lt;2,COUNTIFS($A$14:$A$1213,$H234,$F$14:$F$1213,_xlfn.MAXIFS($F$14:$F$1213,$A$14:$A$1213,$H234))&gt;1),"",IFERROR(INDEX($D$14:$D$1213,MATCH($H234&amp;"|"&amp;_xlfn.MAXIFS($F$14:$F$1213,$A$14:$A$1213,$H234),$AB$14:$AB$1213,0)),""))</f>
        <v/>
      </c>
      <c r="AK234" s="27">
        <f>IF(OR($H234="",COUNTIFS($A$14:$A$1213,$H234,$F$14:$F$1213,"&gt;=0")&lt;2,COUNTIFS($A$14:$A$1213,$H234,$F$14:$F$1213,_xlfn.MAXIFS($F$14:$F$1213,$A$14:$A$1213,$H234))&gt;1),"",IFERROR(INDEX($E$14:$E$1213,MATCH($H234&amp;"|"&amp;_xlfn.MAXIFS($F$14:$F$1213,$A$14:$A$1213,$H234),$AB$14:$AB$1213,0)),""))</f>
        <v/>
      </c>
      <c r="AL234" s="27">
        <f>IF(OR($H234="",COUNTIFS($A$14:$A$1213,$H234,$F$14:$F$1213,"&gt;=0")&lt;2,COUNTIFS($A$14:$A$1213,$H234,$F$14:$F$1213,_xlfn.MAXIFS($F$14:$F$1213,$A$14:$A$1213,$H234))&gt;1),"",IFERROR(INDEX($D$14:$D$1213,MATCH($H234&amp;"|"&amp;_xlfn.MAXIFS($F$14:$F$1213,$A$14:$A$1213,$H234,$F$14:$F$1213,"&lt;"&amp;_xlfn.MAXIFS($F$14:$F$1213,$A$14:$A$1213,$H234)),$AB$14:$AB$1213,0)),""))</f>
        <v/>
      </c>
      <c r="AM234" s="27">
        <f>IF(OR($H234="",COUNTIFS($A$14:$A$1213,$H234,$F$14:$F$1213,"&gt;=0")&lt;2,COUNTIFS($A$14:$A$1213,$H234,$F$14:$F$1213,_xlfn.MAXIFS($F$14:$F$1213,$A$14:$A$1213,$H234))&gt;1),"",IFERROR(INDEX($E$14:$E$1213,MATCH($H234&amp;"|"&amp;_xlfn.MAXIFS($F$14:$F$1213,$A$14:$A$1213,$H234,$F$14:$F$1213,"&lt;"&amp;_xlfn.MAXIFS($F$14:$F$1213,$A$14:$A$1213,$H234)),$AB$14:$AB$1213,0)),""))</f>
        <v/>
      </c>
      <c r="AN234" s="27">
        <f>IF(OR(NOT(ISNUMBER($AJ234)),NOT(ISNUMBER($AL234)),$AK234=0,$AM234=0),"",IF(OR((($AJ234+$AL234)/($AK234+$AM234))&lt;=0,(($AJ234+$AL234)/($AK234+$AM234))&gt;=1),"",($AJ234/$AK234-$AL234/$AM234)/SQRT((($AJ234+$AL234)/($AK234+$AM234))*(1-(($AJ234+$AL234)/($AK234+$AM234)))*(1/$AK234+1/$AM234))))</f>
        <v/>
      </c>
      <c r="AO234" s="27">
        <f>IF($A234="","",IF(AND(COUNTIFS($A$14:$A$1213,$A234,$F$14:$F$1213,"&gt;=0")=2,IFERROR(INDEX($M$14:$M$313,MATCH($A234,$H$14:$H$313,0)),"Yes")&lt;&gt;"Yes"),1,0))</f>
        <v/>
      </c>
    </row>
    <row r="235" ht="24" customHeight="1">
      <c r="A235" s="19">
        <f>IF('Enter messages'!A235="","",'Enter messages'!A235)</f>
        <v/>
      </c>
      <c r="B235" s="20">
        <f>IF('Enter messages'!B235="","",'Enter messages'!B235)</f>
        <v/>
      </c>
      <c r="C235" s="21">
        <f>IFERROR(AVERAGE(P235:T235),"")</f>
        <v/>
      </c>
      <c r="D235" s="29" t="n"/>
      <c r="E235" s="29" t="n"/>
      <c r="F235" s="30">
        <f>IF(AND(ISNUMBER($D235),ISNUMBER($E235),$E235&gt;0,$D235&lt;=$E235),$D235/$E235,"")</f>
        <v/>
      </c>
      <c r="H235" s="19">
        <f>IFERROR(INDEX($A$14:$A$1213,MATCH(222,$AI$14:$AI$1213,0)),"")</f>
        <v/>
      </c>
      <c r="I235" s="24">
        <f>IF($H235="","",IF(COUNTIFS($A$14:$A$1213,$H235,$C$14:$C$1213,"&gt;=0")=0,"—",IFERROR(INDEX($B$14:$B$1213,MATCH($H235&amp;"|1",$Z$14:$Z$1213,0)),"(tied)")))</f>
        <v/>
      </c>
      <c r="J235" s="25">
        <f>IF($H235="","",IF(OR(COUNTIFS($A$14:$A$1213,$H235,$C$14:$C$1213,"&gt;=0")=0,COUNTIFS($A$14:$A$1213,$H235,$F$14:$F$1213,"&gt;=0")=0),"—",IF(OR(ISERROR(MATCH($H235&amp;"|1",$Z$14:$Z$1213,0)),ISERROR(MATCH($H235&amp;"|1",$AA$14:$AA$1213,0))),"Tie",IF(MATCH($H235&amp;"|1",$Z$14:$Z$1213,0)=MATCH($H235&amp;"|1",$AA$14:$AA$1213,0),"Hit","Miss"))))</f>
        <v/>
      </c>
      <c r="K235" s="24">
        <f>IF($H235="","",IF(COUNTIFS($A$14:$A$1213,$H235,$F$14:$F$1213,"&gt;=0")=0,"—",IFERROR(INDEX($B$14:$B$1213,MATCH($H235&amp;"|1",$AA$14:$AA$1213,0)),"(tied)")))</f>
        <v/>
      </c>
      <c r="L235" s="25">
        <f>IF($H235="","",IF((--(COUNTIFS($A$14:$A$1213,$H235,$P$14:$P$1213,"&gt;=0")&gt;0)+--(COUNTIFS($A$14:$A$1213,$H235,$Q$14:$Q$1213,"&gt;=0")&gt;0)+--(COUNTIFS($A$14:$A$1213,$H235,$R$14:$R$1213,"&gt;=0")&gt;0)+--(COUNTIFS($A$14:$A$1213,$H235,$S$14:$S$1213,"&gt;=0")&gt;0)+--(COUNTIFS($A$14:$A$1213,$H235,$T$14:$T$1213,"&gt;=0")&gt;0))&lt;2,"—",IF(SUMIFS($AH$14:$AH$1213,$A$14:$A$1213,$H235)=0,"Yes","No")))</f>
        <v/>
      </c>
      <c r="M235" s="25">
        <f>IF($H235="","",IF(COUNTIFS($A$14:$A$1213,$H235,$F$14:$F$1213,"&gt;=0")&lt;2,"—",IF(COUNTIFS($A$14:$A$1213,$H235,$F$14:$F$1213,_xlfn.MAXIFS($F$14:$F$1213,$A$14:$A$1213,$H235))&gt;1,"No",IF(NOT(ISNUMBER($AN235)),"—",IF((2*(1-NORMSDIST(ABS($AN235))))&lt;0.05,"Yes","No")))))</f>
        <v/>
      </c>
      <c r="N235" s="21">
        <f>IF($H235="","",IF(NOT(ISNUMBER($AN235)),"—",IF((2*(1-NORMSDIST(ABS($AN235))))&lt;0.001,"&lt;0.001",TEXT((2*(1-NORMSDIST(ABS($AN235)))),"0.000"))))</f>
        <v/>
      </c>
      <c r="P235" s="26" t="n"/>
      <c r="Q235" s="26" t="n"/>
      <c r="R235" s="26" t="n"/>
      <c r="S235" s="26" t="n"/>
      <c r="T235" s="26" t="n"/>
      <c r="V235" s="27">
        <f>IF(ISNUMBER($C235),COUNTIFS($A$14:$A$1213,$A235,$C$14:$C$1213,"&gt;"&amp;$C235)+(COUNTIFS($A$14:$A$1213,$A235,$C$14:$C$1213,"="&amp;$C235)+1)/2,"")</f>
        <v/>
      </c>
      <c r="W235" s="27">
        <f>IF(ISNUMBER($F235),COUNTIFS($A$14:$A$1213,$A235,$F$14:$F$1213,"&gt;"&amp;$F235)+(COUNTIFS($A$14:$A$1213,$A235,$F$14:$F$1213,"="&amp;$F235)+1)/2,"")</f>
        <v/>
      </c>
      <c r="X235" s="27">
        <f>IF(OR(NOT(ISNUMBER($V235)),$AO235=1),"",$V235-(COUNTIFS($A$14:$A$1213,$A235,$C$14:$C$1213,"&gt;=0")+1)/2)</f>
        <v/>
      </c>
      <c r="Y235" s="27">
        <f>IF(OR(NOT(ISNUMBER($W235)),$AO235=1),"",$W235-(COUNTIFS($A$14:$A$1213,$A235,$F$14:$F$1213,"&gt;=0")+1)/2)</f>
        <v/>
      </c>
      <c r="Z235" s="27">
        <f>IF(ISNUMBER($V235),$A235&amp;"|"&amp;$V235,"")</f>
        <v/>
      </c>
      <c r="AA235" s="27">
        <f>IF(ISNUMBER($W235),$A235&amp;"|"&amp;$W235,"")</f>
        <v/>
      </c>
      <c r="AB235" s="27">
        <f>IF(ISNUMBER($F235),$A235&amp;"|"&amp;$F235,"")</f>
        <v/>
      </c>
      <c r="AC235" s="27">
        <f>IF(ISNUMBER($P235),COUNTIFS($A$14:$A$1213,$A235,$P$14:$P$1213,"&gt;"&amp;$P235)+(COUNTIFS($A$14:$A$1213,$A235,$P$14:$P$1213,"="&amp;$P235)+1)/2,"")</f>
        <v/>
      </c>
      <c r="AD235" s="27">
        <f>IF(ISNUMBER($Q235),COUNTIFS($A$14:$A$1213,$A235,$Q$14:$Q$1213,"&gt;"&amp;$Q235)+(COUNTIFS($A$14:$A$1213,$A235,$Q$14:$Q$1213,"="&amp;$Q235)+1)/2,"")</f>
        <v/>
      </c>
      <c r="AE235" s="27">
        <f>IF(ISNUMBER($R235),COUNTIFS($A$14:$A$1213,$A235,$R$14:$R$1213,"&gt;"&amp;$R235)+(COUNTIFS($A$14:$A$1213,$A235,$R$14:$R$1213,"="&amp;$R235)+1)/2,"")</f>
        <v/>
      </c>
      <c r="AF235" s="27">
        <f>IF(ISNUMBER($S235),COUNTIFS($A$14:$A$1213,$A235,$S$14:$S$1213,"&gt;"&amp;$S235)+(COUNTIFS($A$14:$A$1213,$A235,$S$14:$S$1213,"="&amp;$S235)+1)/2,"")</f>
        <v/>
      </c>
      <c r="AG235" s="27">
        <f>IF(ISNUMBER($T235),COUNTIFS($A$14:$A$1213,$A235,$T$14:$T$1213,"&gt;"&amp;$T235)+(COUNTIFS($A$14:$A$1213,$A235,$T$14:$T$1213,"="&amp;$T235)+1)/2,"")</f>
        <v/>
      </c>
      <c r="AH235" s="27">
        <f>IF(COUNT($AC235:$AG235)&lt;2,"",IF(MAX($AC235:$AG235)=MIN($AC235:$AG235),0,1))</f>
        <v/>
      </c>
      <c r="AI235" s="27">
        <f>IF($A235="","",IF(COUNTIF($A$14:$A235,$A235)=1,COUNTIF($AI$13:AI234,"&gt;0")+1,""))</f>
        <v/>
      </c>
      <c r="AJ235" s="27">
        <f>IF(OR($H235="",COUNTIFS($A$14:$A$1213,$H235,$F$14:$F$1213,"&gt;=0")&lt;2,COUNTIFS($A$14:$A$1213,$H235,$F$14:$F$1213,_xlfn.MAXIFS($F$14:$F$1213,$A$14:$A$1213,$H235))&gt;1),"",IFERROR(INDEX($D$14:$D$1213,MATCH($H235&amp;"|"&amp;_xlfn.MAXIFS($F$14:$F$1213,$A$14:$A$1213,$H235),$AB$14:$AB$1213,0)),""))</f>
        <v/>
      </c>
      <c r="AK235" s="27">
        <f>IF(OR($H235="",COUNTIFS($A$14:$A$1213,$H235,$F$14:$F$1213,"&gt;=0")&lt;2,COUNTIFS($A$14:$A$1213,$H235,$F$14:$F$1213,_xlfn.MAXIFS($F$14:$F$1213,$A$14:$A$1213,$H235))&gt;1),"",IFERROR(INDEX($E$14:$E$1213,MATCH($H235&amp;"|"&amp;_xlfn.MAXIFS($F$14:$F$1213,$A$14:$A$1213,$H235),$AB$14:$AB$1213,0)),""))</f>
        <v/>
      </c>
      <c r="AL235" s="27">
        <f>IF(OR($H235="",COUNTIFS($A$14:$A$1213,$H235,$F$14:$F$1213,"&gt;=0")&lt;2,COUNTIFS($A$14:$A$1213,$H235,$F$14:$F$1213,_xlfn.MAXIFS($F$14:$F$1213,$A$14:$A$1213,$H235))&gt;1),"",IFERROR(INDEX($D$14:$D$1213,MATCH($H235&amp;"|"&amp;_xlfn.MAXIFS($F$14:$F$1213,$A$14:$A$1213,$H235,$F$14:$F$1213,"&lt;"&amp;_xlfn.MAXIFS($F$14:$F$1213,$A$14:$A$1213,$H235)),$AB$14:$AB$1213,0)),""))</f>
        <v/>
      </c>
      <c r="AM235" s="27">
        <f>IF(OR($H235="",COUNTIFS($A$14:$A$1213,$H235,$F$14:$F$1213,"&gt;=0")&lt;2,COUNTIFS($A$14:$A$1213,$H235,$F$14:$F$1213,_xlfn.MAXIFS($F$14:$F$1213,$A$14:$A$1213,$H235))&gt;1),"",IFERROR(INDEX($E$14:$E$1213,MATCH($H235&amp;"|"&amp;_xlfn.MAXIFS($F$14:$F$1213,$A$14:$A$1213,$H235,$F$14:$F$1213,"&lt;"&amp;_xlfn.MAXIFS($F$14:$F$1213,$A$14:$A$1213,$H235)),$AB$14:$AB$1213,0)),""))</f>
        <v/>
      </c>
      <c r="AN235" s="27">
        <f>IF(OR(NOT(ISNUMBER($AJ235)),NOT(ISNUMBER($AL235)),$AK235=0,$AM235=0),"",IF(OR((($AJ235+$AL235)/($AK235+$AM235))&lt;=0,(($AJ235+$AL235)/($AK235+$AM235))&gt;=1),"",($AJ235/$AK235-$AL235/$AM235)/SQRT((($AJ235+$AL235)/($AK235+$AM235))*(1-(($AJ235+$AL235)/($AK235+$AM235)))*(1/$AK235+1/$AM235))))</f>
        <v/>
      </c>
      <c r="AO235" s="27">
        <f>IF($A235="","",IF(AND(COUNTIFS($A$14:$A$1213,$A235,$F$14:$F$1213,"&gt;=0")=2,IFERROR(INDEX($M$14:$M$313,MATCH($A235,$H$14:$H$313,0)),"Yes")&lt;&gt;"Yes"),1,0))</f>
        <v/>
      </c>
    </row>
    <row r="236" ht="24" customHeight="1">
      <c r="A236" s="19">
        <f>IF('Enter messages'!A236="","",'Enter messages'!A236)</f>
        <v/>
      </c>
      <c r="B236" s="20">
        <f>IF('Enter messages'!B236="","",'Enter messages'!B236)</f>
        <v/>
      </c>
      <c r="C236" s="21">
        <f>IFERROR(AVERAGE(P236:T236),"")</f>
        <v/>
      </c>
      <c r="D236" s="29" t="n"/>
      <c r="E236" s="29" t="n"/>
      <c r="F236" s="30">
        <f>IF(AND(ISNUMBER($D236),ISNUMBER($E236),$E236&gt;0,$D236&lt;=$E236),$D236/$E236,"")</f>
        <v/>
      </c>
      <c r="H236" s="19">
        <f>IFERROR(INDEX($A$14:$A$1213,MATCH(223,$AI$14:$AI$1213,0)),"")</f>
        <v/>
      </c>
      <c r="I236" s="24">
        <f>IF($H236="","",IF(COUNTIFS($A$14:$A$1213,$H236,$C$14:$C$1213,"&gt;=0")=0,"—",IFERROR(INDEX($B$14:$B$1213,MATCH($H236&amp;"|1",$Z$14:$Z$1213,0)),"(tied)")))</f>
        <v/>
      </c>
      <c r="J236" s="25">
        <f>IF($H236="","",IF(OR(COUNTIFS($A$14:$A$1213,$H236,$C$14:$C$1213,"&gt;=0")=0,COUNTIFS($A$14:$A$1213,$H236,$F$14:$F$1213,"&gt;=0")=0),"—",IF(OR(ISERROR(MATCH($H236&amp;"|1",$Z$14:$Z$1213,0)),ISERROR(MATCH($H236&amp;"|1",$AA$14:$AA$1213,0))),"Tie",IF(MATCH($H236&amp;"|1",$Z$14:$Z$1213,0)=MATCH($H236&amp;"|1",$AA$14:$AA$1213,0),"Hit","Miss"))))</f>
        <v/>
      </c>
      <c r="K236" s="24">
        <f>IF($H236="","",IF(COUNTIFS($A$14:$A$1213,$H236,$F$14:$F$1213,"&gt;=0")=0,"—",IFERROR(INDEX($B$14:$B$1213,MATCH($H236&amp;"|1",$AA$14:$AA$1213,0)),"(tied)")))</f>
        <v/>
      </c>
      <c r="L236" s="25">
        <f>IF($H236="","",IF((--(COUNTIFS($A$14:$A$1213,$H236,$P$14:$P$1213,"&gt;=0")&gt;0)+--(COUNTIFS($A$14:$A$1213,$H236,$Q$14:$Q$1213,"&gt;=0")&gt;0)+--(COUNTIFS($A$14:$A$1213,$H236,$R$14:$R$1213,"&gt;=0")&gt;0)+--(COUNTIFS($A$14:$A$1213,$H236,$S$14:$S$1213,"&gt;=0")&gt;0)+--(COUNTIFS($A$14:$A$1213,$H236,$T$14:$T$1213,"&gt;=0")&gt;0))&lt;2,"—",IF(SUMIFS($AH$14:$AH$1213,$A$14:$A$1213,$H236)=0,"Yes","No")))</f>
        <v/>
      </c>
      <c r="M236" s="25">
        <f>IF($H236="","",IF(COUNTIFS($A$14:$A$1213,$H236,$F$14:$F$1213,"&gt;=0")&lt;2,"—",IF(COUNTIFS($A$14:$A$1213,$H236,$F$14:$F$1213,_xlfn.MAXIFS($F$14:$F$1213,$A$14:$A$1213,$H236))&gt;1,"No",IF(NOT(ISNUMBER($AN236)),"—",IF((2*(1-NORMSDIST(ABS($AN236))))&lt;0.05,"Yes","No")))))</f>
        <v/>
      </c>
      <c r="N236" s="21">
        <f>IF($H236="","",IF(NOT(ISNUMBER($AN236)),"—",IF((2*(1-NORMSDIST(ABS($AN236))))&lt;0.001,"&lt;0.001",TEXT((2*(1-NORMSDIST(ABS($AN236)))),"0.000"))))</f>
        <v/>
      </c>
      <c r="P236" s="26" t="n"/>
      <c r="Q236" s="26" t="n"/>
      <c r="R236" s="26" t="n"/>
      <c r="S236" s="26" t="n"/>
      <c r="T236" s="26" t="n"/>
      <c r="V236" s="27">
        <f>IF(ISNUMBER($C236),COUNTIFS($A$14:$A$1213,$A236,$C$14:$C$1213,"&gt;"&amp;$C236)+(COUNTIFS($A$14:$A$1213,$A236,$C$14:$C$1213,"="&amp;$C236)+1)/2,"")</f>
        <v/>
      </c>
      <c r="W236" s="27">
        <f>IF(ISNUMBER($F236),COUNTIFS($A$14:$A$1213,$A236,$F$14:$F$1213,"&gt;"&amp;$F236)+(COUNTIFS($A$14:$A$1213,$A236,$F$14:$F$1213,"="&amp;$F236)+1)/2,"")</f>
        <v/>
      </c>
      <c r="X236" s="27">
        <f>IF(OR(NOT(ISNUMBER($V236)),$AO236=1),"",$V236-(COUNTIFS($A$14:$A$1213,$A236,$C$14:$C$1213,"&gt;=0")+1)/2)</f>
        <v/>
      </c>
      <c r="Y236" s="27">
        <f>IF(OR(NOT(ISNUMBER($W236)),$AO236=1),"",$W236-(COUNTIFS($A$14:$A$1213,$A236,$F$14:$F$1213,"&gt;=0")+1)/2)</f>
        <v/>
      </c>
      <c r="Z236" s="27">
        <f>IF(ISNUMBER($V236),$A236&amp;"|"&amp;$V236,"")</f>
        <v/>
      </c>
      <c r="AA236" s="27">
        <f>IF(ISNUMBER($W236),$A236&amp;"|"&amp;$W236,"")</f>
        <v/>
      </c>
      <c r="AB236" s="27">
        <f>IF(ISNUMBER($F236),$A236&amp;"|"&amp;$F236,"")</f>
        <v/>
      </c>
      <c r="AC236" s="27">
        <f>IF(ISNUMBER($P236),COUNTIFS($A$14:$A$1213,$A236,$P$14:$P$1213,"&gt;"&amp;$P236)+(COUNTIFS($A$14:$A$1213,$A236,$P$14:$P$1213,"="&amp;$P236)+1)/2,"")</f>
        <v/>
      </c>
      <c r="AD236" s="27">
        <f>IF(ISNUMBER($Q236),COUNTIFS($A$14:$A$1213,$A236,$Q$14:$Q$1213,"&gt;"&amp;$Q236)+(COUNTIFS($A$14:$A$1213,$A236,$Q$14:$Q$1213,"="&amp;$Q236)+1)/2,"")</f>
        <v/>
      </c>
      <c r="AE236" s="27">
        <f>IF(ISNUMBER($R236),COUNTIFS($A$14:$A$1213,$A236,$R$14:$R$1213,"&gt;"&amp;$R236)+(COUNTIFS($A$14:$A$1213,$A236,$R$14:$R$1213,"="&amp;$R236)+1)/2,"")</f>
        <v/>
      </c>
      <c r="AF236" s="27">
        <f>IF(ISNUMBER($S236),COUNTIFS($A$14:$A$1213,$A236,$S$14:$S$1213,"&gt;"&amp;$S236)+(COUNTIFS($A$14:$A$1213,$A236,$S$14:$S$1213,"="&amp;$S236)+1)/2,"")</f>
        <v/>
      </c>
      <c r="AG236" s="27">
        <f>IF(ISNUMBER($T236),COUNTIFS($A$14:$A$1213,$A236,$T$14:$T$1213,"&gt;"&amp;$T236)+(COUNTIFS($A$14:$A$1213,$A236,$T$14:$T$1213,"="&amp;$T236)+1)/2,"")</f>
        <v/>
      </c>
      <c r="AH236" s="27">
        <f>IF(COUNT($AC236:$AG236)&lt;2,"",IF(MAX($AC236:$AG236)=MIN($AC236:$AG236),0,1))</f>
        <v/>
      </c>
      <c r="AI236" s="27">
        <f>IF($A236="","",IF(COUNTIF($A$14:$A236,$A236)=1,COUNTIF($AI$13:AI235,"&gt;0")+1,""))</f>
        <v/>
      </c>
      <c r="AJ236" s="27">
        <f>IF(OR($H236="",COUNTIFS($A$14:$A$1213,$H236,$F$14:$F$1213,"&gt;=0")&lt;2,COUNTIFS($A$14:$A$1213,$H236,$F$14:$F$1213,_xlfn.MAXIFS($F$14:$F$1213,$A$14:$A$1213,$H236))&gt;1),"",IFERROR(INDEX($D$14:$D$1213,MATCH($H236&amp;"|"&amp;_xlfn.MAXIFS($F$14:$F$1213,$A$14:$A$1213,$H236),$AB$14:$AB$1213,0)),""))</f>
        <v/>
      </c>
      <c r="AK236" s="27">
        <f>IF(OR($H236="",COUNTIFS($A$14:$A$1213,$H236,$F$14:$F$1213,"&gt;=0")&lt;2,COUNTIFS($A$14:$A$1213,$H236,$F$14:$F$1213,_xlfn.MAXIFS($F$14:$F$1213,$A$14:$A$1213,$H236))&gt;1),"",IFERROR(INDEX($E$14:$E$1213,MATCH($H236&amp;"|"&amp;_xlfn.MAXIFS($F$14:$F$1213,$A$14:$A$1213,$H236),$AB$14:$AB$1213,0)),""))</f>
        <v/>
      </c>
      <c r="AL236" s="27">
        <f>IF(OR($H236="",COUNTIFS($A$14:$A$1213,$H236,$F$14:$F$1213,"&gt;=0")&lt;2,COUNTIFS($A$14:$A$1213,$H236,$F$14:$F$1213,_xlfn.MAXIFS($F$14:$F$1213,$A$14:$A$1213,$H236))&gt;1),"",IFERROR(INDEX($D$14:$D$1213,MATCH($H236&amp;"|"&amp;_xlfn.MAXIFS($F$14:$F$1213,$A$14:$A$1213,$H236,$F$14:$F$1213,"&lt;"&amp;_xlfn.MAXIFS($F$14:$F$1213,$A$14:$A$1213,$H236)),$AB$14:$AB$1213,0)),""))</f>
        <v/>
      </c>
      <c r="AM236" s="27">
        <f>IF(OR($H236="",COUNTIFS($A$14:$A$1213,$H236,$F$14:$F$1213,"&gt;=0")&lt;2,COUNTIFS($A$14:$A$1213,$H236,$F$14:$F$1213,_xlfn.MAXIFS($F$14:$F$1213,$A$14:$A$1213,$H236))&gt;1),"",IFERROR(INDEX($E$14:$E$1213,MATCH($H236&amp;"|"&amp;_xlfn.MAXIFS($F$14:$F$1213,$A$14:$A$1213,$H236,$F$14:$F$1213,"&lt;"&amp;_xlfn.MAXIFS($F$14:$F$1213,$A$14:$A$1213,$H236)),$AB$14:$AB$1213,0)),""))</f>
        <v/>
      </c>
      <c r="AN236" s="27">
        <f>IF(OR(NOT(ISNUMBER($AJ236)),NOT(ISNUMBER($AL236)),$AK236=0,$AM236=0),"",IF(OR((($AJ236+$AL236)/($AK236+$AM236))&lt;=0,(($AJ236+$AL236)/($AK236+$AM236))&gt;=1),"",($AJ236/$AK236-$AL236/$AM236)/SQRT((($AJ236+$AL236)/($AK236+$AM236))*(1-(($AJ236+$AL236)/($AK236+$AM236)))*(1/$AK236+1/$AM236))))</f>
        <v/>
      </c>
      <c r="AO236" s="27">
        <f>IF($A236="","",IF(AND(COUNTIFS($A$14:$A$1213,$A236,$F$14:$F$1213,"&gt;=0")=2,IFERROR(INDEX($M$14:$M$313,MATCH($A236,$H$14:$H$313,0)),"Yes")&lt;&gt;"Yes"),1,0))</f>
        <v/>
      </c>
    </row>
    <row r="237" ht="24" customHeight="1">
      <c r="A237" s="19">
        <f>IF('Enter messages'!A237="","",'Enter messages'!A237)</f>
        <v/>
      </c>
      <c r="B237" s="20">
        <f>IF('Enter messages'!B237="","",'Enter messages'!B237)</f>
        <v/>
      </c>
      <c r="C237" s="21">
        <f>IFERROR(AVERAGE(P237:T237),"")</f>
        <v/>
      </c>
      <c r="D237" s="29" t="n"/>
      <c r="E237" s="29" t="n"/>
      <c r="F237" s="30">
        <f>IF(AND(ISNUMBER($D237),ISNUMBER($E237),$E237&gt;0,$D237&lt;=$E237),$D237/$E237,"")</f>
        <v/>
      </c>
      <c r="H237" s="19">
        <f>IFERROR(INDEX($A$14:$A$1213,MATCH(224,$AI$14:$AI$1213,0)),"")</f>
        <v/>
      </c>
      <c r="I237" s="24">
        <f>IF($H237="","",IF(COUNTIFS($A$14:$A$1213,$H237,$C$14:$C$1213,"&gt;=0")=0,"—",IFERROR(INDEX($B$14:$B$1213,MATCH($H237&amp;"|1",$Z$14:$Z$1213,0)),"(tied)")))</f>
        <v/>
      </c>
      <c r="J237" s="25">
        <f>IF($H237="","",IF(OR(COUNTIFS($A$14:$A$1213,$H237,$C$14:$C$1213,"&gt;=0")=0,COUNTIFS($A$14:$A$1213,$H237,$F$14:$F$1213,"&gt;=0")=0),"—",IF(OR(ISERROR(MATCH($H237&amp;"|1",$Z$14:$Z$1213,0)),ISERROR(MATCH($H237&amp;"|1",$AA$14:$AA$1213,0))),"Tie",IF(MATCH($H237&amp;"|1",$Z$14:$Z$1213,0)=MATCH($H237&amp;"|1",$AA$14:$AA$1213,0),"Hit","Miss"))))</f>
        <v/>
      </c>
      <c r="K237" s="24">
        <f>IF($H237="","",IF(COUNTIFS($A$14:$A$1213,$H237,$F$14:$F$1213,"&gt;=0")=0,"—",IFERROR(INDEX($B$14:$B$1213,MATCH($H237&amp;"|1",$AA$14:$AA$1213,0)),"(tied)")))</f>
        <v/>
      </c>
      <c r="L237" s="25">
        <f>IF($H237="","",IF((--(COUNTIFS($A$14:$A$1213,$H237,$P$14:$P$1213,"&gt;=0")&gt;0)+--(COUNTIFS($A$14:$A$1213,$H237,$Q$14:$Q$1213,"&gt;=0")&gt;0)+--(COUNTIFS($A$14:$A$1213,$H237,$R$14:$R$1213,"&gt;=0")&gt;0)+--(COUNTIFS($A$14:$A$1213,$H237,$S$14:$S$1213,"&gt;=0")&gt;0)+--(COUNTIFS($A$14:$A$1213,$H237,$T$14:$T$1213,"&gt;=0")&gt;0))&lt;2,"—",IF(SUMIFS($AH$14:$AH$1213,$A$14:$A$1213,$H237)=0,"Yes","No")))</f>
        <v/>
      </c>
      <c r="M237" s="25">
        <f>IF($H237="","",IF(COUNTIFS($A$14:$A$1213,$H237,$F$14:$F$1213,"&gt;=0")&lt;2,"—",IF(COUNTIFS($A$14:$A$1213,$H237,$F$14:$F$1213,_xlfn.MAXIFS($F$14:$F$1213,$A$14:$A$1213,$H237))&gt;1,"No",IF(NOT(ISNUMBER($AN237)),"—",IF((2*(1-NORMSDIST(ABS($AN237))))&lt;0.05,"Yes","No")))))</f>
        <v/>
      </c>
      <c r="N237" s="21">
        <f>IF($H237="","",IF(NOT(ISNUMBER($AN237)),"—",IF((2*(1-NORMSDIST(ABS($AN237))))&lt;0.001,"&lt;0.001",TEXT((2*(1-NORMSDIST(ABS($AN237)))),"0.000"))))</f>
        <v/>
      </c>
      <c r="P237" s="26" t="n"/>
      <c r="Q237" s="26" t="n"/>
      <c r="R237" s="26" t="n"/>
      <c r="S237" s="26" t="n"/>
      <c r="T237" s="26" t="n"/>
      <c r="V237" s="27">
        <f>IF(ISNUMBER($C237),COUNTIFS($A$14:$A$1213,$A237,$C$14:$C$1213,"&gt;"&amp;$C237)+(COUNTIFS($A$14:$A$1213,$A237,$C$14:$C$1213,"="&amp;$C237)+1)/2,"")</f>
        <v/>
      </c>
      <c r="W237" s="27">
        <f>IF(ISNUMBER($F237),COUNTIFS($A$14:$A$1213,$A237,$F$14:$F$1213,"&gt;"&amp;$F237)+(COUNTIFS($A$14:$A$1213,$A237,$F$14:$F$1213,"="&amp;$F237)+1)/2,"")</f>
        <v/>
      </c>
      <c r="X237" s="27">
        <f>IF(OR(NOT(ISNUMBER($V237)),$AO237=1),"",$V237-(COUNTIFS($A$14:$A$1213,$A237,$C$14:$C$1213,"&gt;=0")+1)/2)</f>
        <v/>
      </c>
      <c r="Y237" s="27">
        <f>IF(OR(NOT(ISNUMBER($W237)),$AO237=1),"",$W237-(COUNTIFS($A$14:$A$1213,$A237,$F$14:$F$1213,"&gt;=0")+1)/2)</f>
        <v/>
      </c>
      <c r="Z237" s="27">
        <f>IF(ISNUMBER($V237),$A237&amp;"|"&amp;$V237,"")</f>
        <v/>
      </c>
      <c r="AA237" s="27">
        <f>IF(ISNUMBER($W237),$A237&amp;"|"&amp;$W237,"")</f>
        <v/>
      </c>
      <c r="AB237" s="27">
        <f>IF(ISNUMBER($F237),$A237&amp;"|"&amp;$F237,"")</f>
        <v/>
      </c>
      <c r="AC237" s="27">
        <f>IF(ISNUMBER($P237),COUNTIFS($A$14:$A$1213,$A237,$P$14:$P$1213,"&gt;"&amp;$P237)+(COUNTIFS($A$14:$A$1213,$A237,$P$14:$P$1213,"="&amp;$P237)+1)/2,"")</f>
        <v/>
      </c>
      <c r="AD237" s="27">
        <f>IF(ISNUMBER($Q237),COUNTIFS($A$14:$A$1213,$A237,$Q$14:$Q$1213,"&gt;"&amp;$Q237)+(COUNTIFS($A$14:$A$1213,$A237,$Q$14:$Q$1213,"="&amp;$Q237)+1)/2,"")</f>
        <v/>
      </c>
      <c r="AE237" s="27">
        <f>IF(ISNUMBER($R237),COUNTIFS($A$14:$A$1213,$A237,$R$14:$R$1213,"&gt;"&amp;$R237)+(COUNTIFS($A$14:$A$1213,$A237,$R$14:$R$1213,"="&amp;$R237)+1)/2,"")</f>
        <v/>
      </c>
      <c r="AF237" s="27">
        <f>IF(ISNUMBER($S237),COUNTIFS($A$14:$A$1213,$A237,$S$14:$S$1213,"&gt;"&amp;$S237)+(COUNTIFS($A$14:$A$1213,$A237,$S$14:$S$1213,"="&amp;$S237)+1)/2,"")</f>
        <v/>
      </c>
      <c r="AG237" s="27">
        <f>IF(ISNUMBER($T237),COUNTIFS($A$14:$A$1213,$A237,$T$14:$T$1213,"&gt;"&amp;$T237)+(COUNTIFS($A$14:$A$1213,$A237,$T$14:$T$1213,"="&amp;$T237)+1)/2,"")</f>
        <v/>
      </c>
      <c r="AH237" s="27">
        <f>IF(COUNT($AC237:$AG237)&lt;2,"",IF(MAX($AC237:$AG237)=MIN($AC237:$AG237),0,1))</f>
        <v/>
      </c>
      <c r="AI237" s="27">
        <f>IF($A237="","",IF(COUNTIF($A$14:$A237,$A237)=1,COUNTIF($AI$13:AI236,"&gt;0")+1,""))</f>
        <v/>
      </c>
      <c r="AJ237" s="27">
        <f>IF(OR($H237="",COUNTIFS($A$14:$A$1213,$H237,$F$14:$F$1213,"&gt;=0")&lt;2,COUNTIFS($A$14:$A$1213,$H237,$F$14:$F$1213,_xlfn.MAXIFS($F$14:$F$1213,$A$14:$A$1213,$H237))&gt;1),"",IFERROR(INDEX($D$14:$D$1213,MATCH($H237&amp;"|"&amp;_xlfn.MAXIFS($F$14:$F$1213,$A$14:$A$1213,$H237),$AB$14:$AB$1213,0)),""))</f>
        <v/>
      </c>
      <c r="AK237" s="27">
        <f>IF(OR($H237="",COUNTIFS($A$14:$A$1213,$H237,$F$14:$F$1213,"&gt;=0")&lt;2,COUNTIFS($A$14:$A$1213,$H237,$F$14:$F$1213,_xlfn.MAXIFS($F$14:$F$1213,$A$14:$A$1213,$H237))&gt;1),"",IFERROR(INDEX($E$14:$E$1213,MATCH($H237&amp;"|"&amp;_xlfn.MAXIFS($F$14:$F$1213,$A$14:$A$1213,$H237),$AB$14:$AB$1213,0)),""))</f>
        <v/>
      </c>
      <c r="AL237" s="27">
        <f>IF(OR($H237="",COUNTIFS($A$14:$A$1213,$H237,$F$14:$F$1213,"&gt;=0")&lt;2,COUNTIFS($A$14:$A$1213,$H237,$F$14:$F$1213,_xlfn.MAXIFS($F$14:$F$1213,$A$14:$A$1213,$H237))&gt;1),"",IFERROR(INDEX($D$14:$D$1213,MATCH($H237&amp;"|"&amp;_xlfn.MAXIFS($F$14:$F$1213,$A$14:$A$1213,$H237,$F$14:$F$1213,"&lt;"&amp;_xlfn.MAXIFS($F$14:$F$1213,$A$14:$A$1213,$H237)),$AB$14:$AB$1213,0)),""))</f>
        <v/>
      </c>
      <c r="AM237" s="27">
        <f>IF(OR($H237="",COUNTIFS($A$14:$A$1213,$H237,$F$14:$F$1213,"&gt;=0")&lt;2,COUNTIFS($A$14:$A$1213,$H237,$F$14:$F$1213,_xlfn.MAXIFS($F$14:$F$1213,$A$14:$A$1213,$H237))&gt;1),"",IFERROR(INDEX($E$14:$E$1213,MATCH($H237&amp;"|"&amp;_xlfn.MAXIFS($F$14:$F$1213,$A$14:$A$1213,$H237,$F$14:$F$1213,"&lt;"&amp;_xlfn.MAXIFS($F$14:$F$1213,$A$14:$A$1213,$H237)),$AB$14:$AB$1213,0)),""))</f>
        <v/>
      </c>
      <c r="AN237" s="27">
        <f>IF(OR(NOT(ISNUMBER($AJ237)),NOT(ISNUMBER($AL237)),$AK237=0,$AM237=0),"",IF(OR((($AJ237+$AL237)/($AK237+$AM237))&lt;=0,(($AJ237+$AL237)/($AK237+$AM237))&gt;=1),"",($AJ237/$AK237-$AL237/$AM237)/SQRT((($AJ237+$AL237)/($AK237+$AM237))*(1-(($AJ237+$AL237)/($AK237+$AM237)))*(1/$AK237+1/$AM237))))</f>
        <v/>
      </c>
      <c r="AO237" s="27">
        <f>IF($A237="","",IF(AND(COUNTIFS($A$14:$A$1213,$A237,$F$14:$F$1213,"&gt;=0")=2,IFERROR(INDEX($M$14:$M$313,MATCH($A237,$H$14:$H$313,0)),"Yes")&lt;&gt;"Yes"),1,0))</f>
        <v/>
      </c>
    </row>
    <row r="238" ht="24" customHeight="1">
      <c r="A238" s="19">
        <f>IF('Enter messages'!A238="","",'Enter messages'!A238)</f>
        <v/>
      </c>
      <c r="B238" s="20">
        <f>IF('Enter messages'!B238="","",'Enter messages'!B238)</f>
        <v/>
      </c>
      <c r="C238" s="21">
        <f>IFERROR(AVERAGE(P238:T238),"")</f>
        <v/>
      </c>
      <c r="D238" s="29" t="n"/>
      <c r="E238" s="29" t="n"/>
      <c r="F238" s="30">
        <f>IF(AND(ISNUMBER($D238),ISNUMBER($E238),$E238&gt;0,$D238&lt;=$E238),$D238/$E238,"")</f>
        <v/>
      </c>
      <c r="H238" s="19">
        <f>IFERROR(INDEX($A$14:$A$1213,MATCH(225,$AI$14:$AI$1213,0)),"")</f>
        <v/>
      </c>
      <c r="I238" s="24">
        <f>IF($H238="","",IF(COUNTIFS($A$14:$A$1213,$H238,$C$14:$C$1213,"&gt;=0")=0,"—",IFERROR(INDEX($B$14:$B$1213,MATCH($H238&amp;"|1",$Z$14:$Z$1213,0)),"(tied)")))</f>
        <v/>
      </c>
      <c r="J238" s="25">
        <f>IF($H238="","",IF(OR(COUNTIFS($A$14:$A$1213,$H238,$C$14:$C$1213,"&gt;=0")=0,COUNTIFS($A$14:$A$1213,$H238,$F$14:$F$1213,"&gt;=0")=0),"—",IF(OR(ISERROR(MATCH($H238&amp;"|1",$Z$14:$Z$1213,0)),ISERROR(MATCH($H238&amp;"|1",$AA$14:$AA$1213,0))),"Tie",IF(MATCH($H238&amp;"|1",$Z$14:$Z$1213,0)=MATCH($H238&amp;"|1",$AA$14:$AA$1213,0),"Hit","Miss"))))</f>
        <v/>
      </c>
      <c r="K238" s="24">
        <f>IF($H238="","",IF(COUNTIFS($A$14:$A$1213,$H238,$F$14:$F$1213,"&gt;=0")=0,"—",IFERROR(INDEX($B$14:$B$1213,MATCH($H238&amp;"|1",$AA$14:$AA$1213,0)),"(tied)")))</f>
        <v/>
      </c>
      <c r="L238" s="25">
        <f>IF($H238="","",IF((--(COUNTIFS($A$14:$A$1213,$H238,$P$14:$P$1213,"&gt;=0")&gt;0)+--(COUNTIFS($A$14:$A$1213,$H238,$Q$14:$Q$1213,"&gt;=0")&gt;0)+--(COUNTIFS($A$14:$A$1213,$H238,$R$14:$R$1213,"&gt;=0")&gt;0)+--(COUNTIFS($A$14:$A$1213,$H238,$S$14:$S$1213,"&gt;=0")&gt;0)+--(COUNTIFS($A$14:$A$1213,$H238,$T$14:$T$1213,"&gt;=0")&gt;0))&lt;2,"—",IF(SUMIFS($AH$14:$AH$1213,$A$14:$A$1213,$H238)=0,"Yes","No")))</f>
        <v/>
      </c>
      <c r="M238" s="25">
        <f>IF($H238="","",IF(COUNTIFS($A$14:$A$1213,$H238,$F$14:$F$1213,"&gt;=0")&lt;2,"—",IF(COUNTIFS($A$14:$A$1213,$H238,$F$14:$F$1213,_xlfn.MAXIFS($F$14:$F$1213,$A$14:$A$1213,$H238))&gt;1,"No",IF(NOT(ISNUMBER($AN238)),"—",IF((2*(1-NORMSDIST(ABS($AN238))))&lt;0.05,"Yes","No")))))</f>
        <v/>
      </c>
      <c r="N238" s="21">
        <f>IF($H238="","",IF(NOT(ISNUMBER($AN238)),"—",IF((2*(1-NORMSDIST(ABS($AN238))))&lt;0.001,"&lt;0.001",TEXT((2*(1-NORMSDIST(ABS($AN238)))),"0.000"))))</f>
        <v/>
      </c>
      <c r="P238" s="26" t="n"/>
      <c r="Q238" s="26" t="n"/>
      <c r="R238" s="26" t="n"/>
      <c r="S238" s="26" t="n"/>
      <c r="T238" s="26" t="n"/>
      <c r="V238" s="27">
        <f>IF(ISNUMBER($C238),COUNTIFS($A$14:$A$1213,$A238,$C$14:$C$1213,"&gt;"&amp;$C238)+(COUNTIFS($A$14:$A$1213,$A238,$C$14:$C$1213,"="&amp;$C238)+1)/2,"")</f>
        <v/>
      </c>
      <c r="W238" s="27">
        <f>IF(ISNUMBER($F238),COUNTIFS($A$14:$A$1213,$A238,$F$14:$F$1213,"&gt;"&amp;$F238)+(COUNTIFS($A$14:$A$1213,$A238,$F$14:$F$1213,"="&amp;$F238)+1)/2,"")</f>
        <v/>
      </c>
      <c r="X238" s="27">
        <f>IF(OR(NOT(ISNUMBER($V238)),$AO238=1),"",$V238-(COUNTIFS($A$14:$A$1213,$A238,$C$14:$C$1213,"&gt;=0")+1)/2)</f>
        <v/>
      </c>
      <c r="Y238" s="27">
        <f>IF(OR(NOT(ISNUMBER($W238)),$AO238=1),"",$W238-(COUNTIFS($A$14:$A$1213,$A238,$F$14:$F$1213,"&gt;=0")+1)/2)</f>
        <v/>
      </c>
      <c r="Z238" s="27">
        <f>IF(ISNUMBER($V238),$A238&amp;"|"&amp;$V238,"")</f>
        <v/>
      </c>
      <c r="AA238" s="27">
        <f>IF(ISNUMBER($W238),$A238&amp;"|"&amp;$W238,"")</f>
        <v/>
      </c>
      <c r="AB238" s="27">
        <f>IF(ISNUMBER($F238),$A238&amp;"|"&amp;$F238,"")</f>
        <v/>
      </c>
      <c r="AC238" s="27">
        <f>IF(ISNUMBER($P238),COUNTIFS($A$14:$A$1213,$A238,$P$14:$P$1213,"&gt;"&amp;$P238)+(COUNTIFS($A$14:$A$1213,$A238,$P$14:$P$1213,"="&amp;$P238)+1)/2,"")</f>
        <v/>
      </c>
      <c r="AD238" s="27">
        <f>IF(ISNUMBER($Q238),COUNTIFS($A$14:$A$1213,$A238,$Q$14:$Q$1213,"&gt;"&amp;$Q238)+(COUNTIFS($A$14:$A$1213,$A238,$Q$14:$Q$1213,"="&amp;$Q238)+1)/2,"")</f>
        <v/>
      </c>
      <c r="AE238" s="27">
        <f>IF(ISNUMBER($R238),COUNTIFS($A$14:$A$1213,$A238,$R$14:$R$1213,"&gt;"&amp;$R238)+(COUNTIFS($A$14:$A$1213,$A238,$R$14:$R$1213,"="&amp;$R238)+1)/2,"")</f>
        <v/>
      </c>
      <c r="AF238" s="27">
        <f>IF(ISNUMBER($S238),COUNTIFS($A$14:$A$1213,$A238,$S$14:$S$1213,"&gt;"&amp;$S238)+(COUNTIFS($A$14:$A$1213,$A238,$S$14:$S$1213,"="&amp;$S238)+1)/2,"")</f>
        <v/>
      </c>
      <c r="AG238" s="27">
        <f>IF(ISNUMBER($T238),COUNTIFS($A$14:$A$1213,$A238,$T$14:$T$1213,"&gt;"&amp;$T238)+(COUNTIFS($A$14:$A$1213,$A238,$T$14:$T$1213,"="&amp;$T238)+1)/2,"")</f>
        <v/>
      </c>
      <c r="AH238" s="27">
        <f>IF(COUNT($AC238:$AG238)&lt;2,"",IF(MAX($AC238:$AG238)=MIN($AC238:$AG238),0,1))</f>
        <v/>
      </c>
      <c r="AI238" s="27">
        <f>IF($A238="","",IF(COUNTIF($A$14:$A238,$A238)=1,COUNTIF($AI$13:AI237,"&gt;0")+1,""))</f>
        <v/>
      </c>
      <c r="AJ238" s="27">
        <f>IF(OR($H238="",COUNTIFS($A$14:$A$1213,$H238,$F$14:$F$1213,"&gt;=0")&lt;2,COUNTIFS($A$14:$A$1213,$H238,$F$14:$F$1213,_xlfn.MAXIFS($F$14:$F$1213,$A$14:$A$1213,$H238))&gt;1),"",IFERROR(INDEX($D$14:$D$1213,MATCH($H238&amp;"|"&amp;_xlfn.MAXIFS($F$14:$F$1213,$A$14:$A$1213,$H238),$AB$14:$AB$1213,0)),""))</f>
        <v/>
      </c>
      <c r="AK238" s="27">
        <f>IF(OR($H238="",COUNTIFS($A$14:$A$1213,$H238,$F$14:$F$1213,"&gt;=0")&lt;2,COUNTIFS($A$14:$A$1213,$H238,$F$14:$F$1213,_xlfn.MAXIFS($F$14:$F$1213,$A$14:$A$1213,$H238))&gt;1),"",IFERROR(INDEX($E$14:$E$1213,MATCH($H238&amp;"|"&amp;_xlfn.MAXIFS($F$14:$F$1213,$A$14:$A$1213,$H238),$AB$14:$AB$1213,0)),""))</f>
        <v/>
      </c>
      <c r="AL238" s="27">
        <f>IF(OR($H238="",COUNTIFS($A$14:$A$1213,$H238,$F$14:$F$1213,"&gt;=0")&lt;2,COUNTIFS($A$14:$A$1213,$H238,$F$14:$F$1213,_xlfn.MAXIFS($F$14:$F$1213,$A$14:$A$1213,$H238))&gt;1),"",IFERROR(INDEX($D$14:$D$1213,MATCH($H238&amp;"|"&amp;_xlfn.MAXIFS($F$14:$F$1213,$A$14:$A$1213,$H238,$F$14:$F$1213,"&lt;"&amp;_xlfn.MAXIFS($F$14:$F$1213,$A$14:$A$1213,$H238)),$AB$14:$AB$1213,0)),""))</f>
        <v/>
      </c>
      <c r="AM238" s="27">
        <f>IF(OR($H238="",COUNTIFS($A$14:$A$1213,$H238,$F$14:$F$1213,"&gt;=0")&lt;2,COUNTIFS($A$14:$A$1213,$H238,$F$14:$F$1213,_xlfn.MAXIFS($F$14:$F$1213,$A$14:$A$1213,$H238))&gt;1),"",IFERROR(INDEX($E$14:$E$1213,MATCH($H238&amp;"|"&amp;_xlfn.MAXIFS($F$14:$F$1213,$A$14:$A$1213,$H238,$F$14:$F$1213,"&lt;"&amp;_xlfn.MAXIFS($F$14:$F$1213,$A$14:$A$1213,$H238)),$AB$14:$AB$1213,0)),""))</f>
        <v/>
      </c>
      <c r="AN238" s="27">
        <f>IF(OR(NOT(ISNUMBER($AJ238)),NOT(ISNUMBER($AL238)),$AK238=0,$AM238=0),"",IF(OR((($AJ238+$AL238)/($AK238+$AM238))&lt;=0,(($AJ238+$AL238)/($AK238+$AM238))&gt;=1),"",($AJ238/$AK238-$AL238/$AM238)/SQRT((($AJ238+$AL238)/($AK238+$AM238))*(1-(($AJ238+$AL238)/($AK238+$AM238)))*(1/$AK238+1/$AM238))))</f>
        <v/>
      </c>
      <c r="AO238" s="27">
        <f>IF($A238="","",IF(AND(COUNTIFS($A$14:$A$1213,$A238,$F$14:$F$1213,"&gt;=0")=2,IFERROR(INDEX($M$14:$M$313,MATCH($A238,$H$14:$H$313,0)),"Yes")&lt;&gt;"Yes"),1,0))</f>
        <v/>
      </c>
    </row>
    <row r="239" ht="24" customHeight="1">
      <c r="A239" s="19">
        <f>IF('Enter messages'!A239="","",'Enter messages'!A239)</f>
        <v/>
      </c>
      <c r="B239" s="20">
        <f>IF('Enter messages'!B239="","",'Enter messages'!B239)</f>
        <v/>
      </c>
      <c r="C239" s="21">
        <f>IFERROR(AVERAGE(P239:T239),"")</f>
        <v/>
      </c>
      <c r="D239" s="29" t="n"/>
      <c r="E239" s="29" t="n"/>
      <c r="F239" s="30">
        <f>IF(AND(ISNUMBER($D239),ISNUMBER($E239),$E239&gt;0,$D239&lt;=$E239),$D239/$E239,"")</f>
        <v/>
      </c>
      <c r="H239" s="19">
        <f>IFERROR(INDEX($A$14:$A$1213,MATCH(226,$AI$14:$AI$1213,0)),"")</f>
        <v/>
      </c>
      <c r="I239" s="24">
        <f>IF($H239="","",IF(COUNTIFS($A$14:$A$1213,$H239,$C$14:$C$1213,"&gt;=0")=0,"—",IFERROR(INDEX($B$14:$B$1213,MATCH($H239&amp;"|1",$Z$14:$Z$1213,0)),"(tied)")))</f>
        <v/>
      </c>
      <c r="J239" s="25">
        <f>IF($H239="","",IF(OR(COUNTIFS($A$14:$A$1213,$H239,$C$14:$C$1213,"&gt;=0")=0,COUNTIFS($A$14:$A$1213,$H239,$F$14:$F$1213,"&gt;=0")=0),"—",IF(OR(ISERROR(MATCH($H239&amp;"|1",$Z$14:$Z$1213,0)),ISERROR(MATCH($H239&amp;"|1",$AA$14:$AA$1213,0))),"Tie",IF(MATCH($H239&amp;"|1",$Z$14:$Z$1213,0)=MATCH($H239&amp;"|1",$AA$14:$AA$1213,0),"Hit","Miss"))))</f>
        <v/>
      </c>
      <c r="K239" s="24">
        <f>IF($H239="","",IF(COUNTIFS($A$14:$A$1213,$H239,$F$14:$F$1213,"&gt;=0")=0,"—",IFERROR(INDEX($B$14:$B$1213,MATCH($H239&amp;"|1",$AA$14:$AA$1213,0)),"(tied)")))</f>
        <v/>
      </c>
      <c r="L239" s="25">
        <f>IF($H239="","",IF((--(COUNTIFS($A$14:$A$1213,$H239,$P$14:$P$1213,"&gt;=0")&gt;0)+--(COUNTIFS($A$14:$A$1213,$H239,$Q$14:$Q$1213,"&gt;=0")&gt;0)+--(COUNTIFS($A$14:$A$1213,$H239,$R$14:$R$1213,"&gt;=0")&gt;0)+--(COUNTIFS($A$14:$A$1213,$H239,$S$14:$S$1213,"&gt;=0")&gt;0)+--(COUNTIFS($A$14:$A$1213,$H239,$T$14:$T$1213,"&gt;=0")&gt;0))&lt;2,"—",IF(SUMIFS($AH$14:$AH$1213,$A$14:$A$1213,$H239)=0,"Yes","No")))</f>
        <v/>
      </c>
      <c r="M239" s="25">
        <f>IF($H239="","",IF(COUNTIFS($A$14:$A$1213,$H239,$F$14:$F$1213,"&gt;=0")&lt;2,"—",IF(COUNTIFS($A$14:$A$1213,$H239,$F$14:$F$1213,_xlfn.MAXIFS($F$14:$F$1213,$A$14:$A$1213,$H239))&gt;1,"No",IF(NOT(ISNUMBER($AN239)),"—",IF((2*(1-NORMSDIST(ABS($AN239))))&lt;0.05,"Yes","No")))))</f>
        <v/>
      </c>
      <c r="N239" s="21">
        <f>IF($H239="","",IF(NOT(ISNUMBER($AN239)),"—",IF((2*(1-NORMSDIST(ABS($AN239))))&lt;0.001,"&lt;0.001",TEXT((2*(1-NORMSDIST(ABS($AN239)))),"0.000"))))</f>
        <v/>
      </c>
      <c r="P239" s="26" t="n"/>
      <c r="Q239" s="26" t="n"/>
      <c r="R239" s="26" t="n"/>
      <c r="S239" s="26" t="n"/>
      <c r="T239" s="26" t="n"/>
      <c r="V239" s="27">
        <f>IF(ISNUMBER($C239),COUNTIFS($A$14:$A$1213,$A239,$C$14:$C$1213,"&gt;"&amp;$C239)+(COUNTIFS($A$14:$A$1213,$A239,$C$14:$C$1213,"="&amp;$C239)+1)/2,"")</f>
        <v/>
      </c>
      <c r="W239" s="27">
        <f>IF(ISNUMBER($F239),COUNTIFS($A$14:$A$1213,$A239,$F$14:$F$1213,"&gt;"&amp;$F239)+(COUNTIFS($A$14:$A$1213,$A239,$F$14:$F$1213,"="&amp;$F239)+1)/2,"")</f>
        <v/>
      </c>
      <c r="X239" s="27">
        <f>IF(OR(NOT(ISNUMBER($V239)),$AO239=1),"",$V239-(COUNTIFS($A$14:$A$1213,$A239,$C$14:$C$1213,"&gt;=0")+1)/2)</f>
        <v/>
      </c>
      <c r="Y239" s="27">
        <f>IF(OR(NOT(ISNUMBER($W239)),$AO239=1),"",$W239-(COUNTIFS($A$14:$A$1213,$A239,$F$14:$F$1213,"&gt;=0")+1)/2)</f>
        <v/>
      </c>
      <c r="Z239" s="27">
        <f>IF(ISNUMBER($V239),$A239&amp;"|"&amp;$V239,"")</f>
        <v/>
      </c>
      <c r="AA239" s="27">
        <f>IF(ISNUMBER($W239),$A239&amp;"|"&amp;$W239,"")</f>
        <v/>
      </c>
      <c r="AB239" s="27">
        <f>IF(ISNUMBER($F239),$A239&amp;"|"&amp;$F239,"")</f>
        <v/>
      </c>
      <c r="AC239" s="27">
        <f>IF(ISNUMBER($P239),COUNTIFS($A$14:$A$1213,$A239,$P$14:$P$1213,"&gt;"&amp;$P239)+(COUNTIFS($A$14:$A$1213,$A239,$P$14:$P$1213,"="&amp;$P239)+1)/2,"")</f>
        <v/>
      </c>
      <c r="AD239" s="27">
        <f>IF(ISNUMBER($Q239),COUNTIFS($A$14:$A$1213,$A239,$Q$14:$Q$1213,"&gt;"&amp;$Q239)+(COUNTIFS($A$14:$A$1213,$A239,$Q$14:$Q$1213,"="&amp;$Q239)+1)/2,"")</f>
        <v/>
      </c>
      <c r="AE239" s="27">
        <f>IF(ISNUMBER($R239),COUNTIFS($A$14:$A$1213,$A239,$R$14:$R$1213,"&gt;"&amp;$R239)+(COUNTIFS($A$14:$A$1213,$A239,$R$14:$R$1213,"="&amp;$R239)+1)/2,"")</f>
        <v/>
      </c>
      <c r="AF239" s="27">
        <f>IF(ISNUMBER($S239),COUNTIFS($A$14:$A$1213,$A239,$S$14:$S$1213,"&gt;"&amp;$S239)+(COUNTIFS($A$14:$A$1213,$A239,$S$14:$S$1213,"="&amp;$S239)+1)/2,"")</f>
        <v/>
      </c>
      <c r="AG239" s="27">
        <f>IF(ISNUMBER($T239),COUNTIFS($A$14:$A$1213,$A239,$T$14:$T$1213,"&gt;"&amp;$T239)+(COUNTIFS($A$14:$A$1213,$A239,$T$14:$T$1213,"="&amp;$T239)+1)/2,"")</f>
        <v/>
      </c>
      <c r="AH239" s="27">
        <f>IF(COUNT($AC239:$AG239)&lt;2,"",IF(MAX($AC239:$AG239)=MIN($AC239:$AG239),0,1))</f>
        <v/>
      </c>
      <c r="AI239" s="27">
        <f>IF($A239="","",IF(COUNTIF($A$14:$A239,$A239)=1,COUNTIF($AI$13:AI238,"&gt;0")+1,""))</f>
        <v/>
      </c>
      <c r="AJ239" s="27">
        <f>IF(OR($H239="",COUNTIFS($A$14:$A$1213,$H239,$F$14:$F$1213,"&gt;=0")&lt;2,COUNTIFS($A$14:$A$1213,$H239,$F$14:$F$1213,_xlfn.MAXIFS($F$14:$F$1213,$A$14:$A$1213,$H239))&gt;1),"",IFERROR(INDEX($D$14:$D$1213,MATCH($H239&amp;"|"&amp;_xlfn.MAXIFS($F$14:$F$1213,$A$14:$A$1213,$H239),$AB$14:$AB$1213,0)),""))</f>
        <v/>
      </c>
      <c r="AK239" s="27">
        <f>IF(OR($H239="",COUNTIFS($A$14:$A$1213,$H239,$F$14:$F$1213,"&gt;=0")&lt;2,COUNTIFS($A$14:$A$1213,$H239,$F$14:$F$1213,_xlfn.MAXIFS($F$14:$F$1213,$A$14:$A$1213,$H239))&gt;1),"",IFERROR(INDEX($E$14:$E$1213,MATCH($H239&amp;"|"&amp;_xlfn.MAXIFS($F$14:$F$1213,$A$14:$A$1213,$H239),$AB$14:$AB$1213,0)),""))</f>
        <v/>
      </c>
      <c r="AL239" s="27">
        <f>IF(OR($H239="",COUNTIFS($A$14:$A$1213,$H239,$F$14:$F$1213,"&gt;=0")&lt;2,COUNTIFS($A$14:$A$1213,$H239,$F$14:$F$1213,_xlfn.MAXIFS($F$14:$F$1213,$A$14:$A$1213,$H239))&gt;1),"",IFERROR(INDEX($D$14:$D$1213,MATCH($H239&amp;"|"&amp;_xlfn.MAXIFS($F$14:$F$1213,$A$14:$A$1213,$H239,$F$14:$F$1213,"&lt;"&amp;_xlfn.MAXIFS($F$14:$F$1213,$A$14:$A$1213,$H239)),$AB$14:$AB$1213,0)),""))</f>
        <v/>
      </c>
      <c r="AM239" s="27">
        <f>IF(OR($H239="",COUNTIFS($A$14:$A$1213,$H239,$F$14:$F$1213,"&gt;=0")&lt;2,COUNTIFS($A$14:$A$1213,$H239,$F$14:$F$1213,_xlfn.MAXIFS($F$14:$F$1213,$A$14:$A$1213,$H239))&gt;1),"",IFERROR(INDEX($E$14:$E$1213,MATCH($H239&amp;"|"&amp;_xlfn.MAXIFS($F$14:$F$1213,$A$14:$A$1213,$H239,$F$14:$F$1213,"&lt;"&amp;_xlfn.MAXIFS($F$14:$F$1213,$A$14:$A$1213,$H239)),$AB$14:$AB$1213,0)),""))</f>
        <v/>
      </c>
      <c r="AN239" s="27">
        <f>IF(OR(NOT(ISNUMBER($AJ239)),NOT(ISNUMBER($AL239)),$AK239=0,$AM239=0),"",IF(OR((($AJ239+$AL239)/($AK239+$AM239))&lt;=0,(($AJ239+$AL239)/($AK239+$AM239))&gt;=1),"",($AJ239/$AK239-$AL239/$AM239)/SQRT((($AJ239+$AL239)/($AK239+$AM239))*(1-(($AJ239+$AL239)/($AK239+$AM239)))*(1/$AK239+1/$AM239))))</f>
        <v/>
      </c>
      <c r="AO239" s="27">
        <f>IF($A239="","",IF(AND(COUNTIFS($A$14:$A$1213,$A239,$F$14:$F$1213,"&gt;=0")=2,IFERROR(INDEX($M$14:$M$313,MATCH($A239,$H$14:$H$313,0)),"Yes")&lt;&gt;"Yes"),1,0))</f>
        <v/>
      </c>
    </row>
    <row r="240" ht="24" customHeight="1">
      <c r="A240" s="19">
        <f>IF('Enter messages'!A240="","",'Enter messages'!A240)</f>
        <v/>
      </c>
      <c r="B240" s="20">
        <f>IF('Enter messages'!B240="","",'Enter messages'!B240)</f>
        <v/>
      </c>
      <c r="C240" s="21">
        <f>IFERROR(AVERAGE(P240:T240),"")</f>
        <v/>
      </c>
      <c r="D240" s="29" t="n"/>
      <c r="E240" s="29" t="n"/>
      <c r="F240" s="30">
        <f>IF(AND(ISNUMBER($D240),ISNUMBER($E240),$E240&gt;0,$D240&lt;=$E240),$D240/$E240,"")</f>
        <v/>
      </c>
      <c r="H240" s="19">
        <f>IFERROR(INDEX($A$14:$A$1213,MATCH(227,$AI$14:$AI$1213,0)),"")</f>
        <v/>
      </c>
      <c r="I240" s="24">
        <f>IF($H240="","",IF(COUNTIFS($A$14:$A$1213,$H240,$C$14:$C$1213,"&gt;=0")=0,"—",IFERROR(INDEX($B$14:$B$1213,MATCH($H240&amp;"|1",$Z$14:$Z$1213,0)),"(tied)")))</f>
        <v/>
      </c>
      <c r="J240" s="25">
        <f>IF($H240="","",IF(OR(COUNTIFS($A$14:$A$1213,$H240,$C$14:$C$1213,"&gt;=0")=0,COUNTIFS($A$14:$A$1213,$H240,$F$14:$F$1213,"&gt;=0")=0),"—",IF(OR(ISERROR(MATCH($H240&amp;"|1",$Z$14:$Z$1213,0)),ISERROR(MATCH($H240&amp;"|1",$AA$14:$AA$1213,0))),"Tie",IF(MATCH($H240&amp;"|1",$Z$14:$Z$1213,0)=MATCH($H240&amp;"|1",$AA$14:$AA$1213,0),"Hit","Miss"))))</f>
        <v/>
      </c>
      <c r="K240" s="24">
        <f>IF($H240="","",IF(COUNTIFS($A$14:$A$1213,$H240,$F$14:$F$1213,"&gt;=0")=0,"—",IFERROR(INDEX($B$14:$B$1213,MATCH($H240&amp;"|1",$AA$14:$AA$1213,0)),"(tied)")))</f>
        <v/>
      </c>
      <c r="L240" s="25">
        <f>IF($H240="","",IF((--(COUNTIFS($A$14:$A$1213,$H240,$P$14:$P$1213,"&gt;=0")&gt;0)+--(COUNTIFS($A$14:$A$1213,$H240,$Q$14:$Q$1213,"&gt;=0")&gt;0)+--(COUNTIFS($A$14:$A$1213,$H240,$R$14:$R$1213,"&gt;=0")&gt;0)+--(COUNTIFS($A$14:$A$1213,$H240,$S$14:$S$1213,"&gt;=0")&gt;0)+--(COUNTIFS($A$14:$A$1213,$H240,$T$14:$T$1213,"&gt;=0")&gt;0))&lt;2,"—",IF(SUMIFS($AH$14:$AH$1213,$A$14:$A$1213,$H240)=0,"Yes","No")))</f>
        <v/>
      </c>
      <c r="M240" s="25">
        <f>IF($H240="","",IF(COUNTIFS($A$14:$A$1213,$H240,$F$14:$F$1213,"&gt;=0")&lt;2,"—",IF(COUNTIFS($A$14:$A$1213,$H240,$F$14:$F$1213,_xlfn.MAXIFS($F$14:$F$1213,$A$14:$A$1213,$H240))&gt;1,"No",IF(NOT(ISNUMBER($AN240)),"—",IF((2*(1-NORMSDIST(ABS($AN240))))&lt;0.05,"Yes","No")))))</f>
        <v/>
      </c>
      <c r="N240" s="21">
        <f>IF($H240="","",IF(NOT(ISNUMBER($AN240)),"—",IF((2*(1-NORMSDIST(ABS($AN240))))&lt;0.001,"&lt;0.001",TEXT((2*(1-NORMSDIST(ABS($AN240)))),"0.000"))))</f>
        <v/>
      </c>
      <c r="P240" s="26" t="n"/>
      <c r="Q240" s="26" t="n"/>
      <c r="R240" s="26" t="n"/>
      <c r="S240" s="26" t="n"/>
      <c r="T240" s="26" t="n"/>
      <c r="V240" s="27">
        <f>IF(ISNUMBER($C240),COUNTIFS($A$14:$A$1213,$A240,$C$14:$C$1213,"&gt;"&amp;$C240)+(COUNTIFS($A$14:$A$1213,$A240,$C$14:$C$1213,"="&amp;$C240)+1)/2,"")</f>
        <v/>
      </c>
      <c r="W240" s="27">
        <f>IF(ISNUMBER($F240),COUNTIFS($A$14:$A$1213,$A240,$F$14:$F$1213,"&gt;"&amp;$F240)+(COUNTIFS($A$14:$A$1213,$A240,$F$14:$F$1213,"="&amp;$F240)+1)/2,"")</f>
        <v/>
      </c>
      <c r="X240" s="27">
        <f>IF(OR(NOT(ISNUMBER($V240)),$AO240=1),"",$V240-(COUNTIFS($A$14:$A$1213,$A240,$C$14:$C$1213,"&gt;=0")+1)/2)</f>
        <v/>
      </c>
      <c r="Y240" s="27">
        <f>IF(OR(NOT(ISNUMBER($W240)),$AO240=1),"",$W240-(COUNTIFS($A$14:$A$1213,$A240,$F$14:$F$1213,"&gt;=0")+1)/2)</f>
        <v/>
      </c>
      <c r="Z240" s="27">
        <f>IF(ISNUMBER($V240),$A240&amp;"|"&amp;$V240,"")</f>
        <v/>
      </c>
      <c r="AA240" s="27">
        <f>IF(ISNUMBER($W240),$A240&amp;"|"&amp;$W240,"")</f>
        <v/>
      </c>
      <c r="AB240" s="27">
        <f>IF(ISNUMBER($F240),$A240&amp;"|"&amp;$F240,"")</f>
        <v/>
      </c>
      <c r="AC240" s="27">
        <f>IF(ISNUMBER($P240),COUNTIFS($A$14:$A$1213,$A240,$P$14:$P$1213,"&gt;"&amp;$P240)+(COUNTIFS($A$14:$A$1213,$A240,$P$14:$P$1213,"="&amp;$P240)+1)/2,"")</f>
        <v/>
      </c>
      <c r="AD240" s="27">
        <f>IF(ISNUMBER($Q240),COUNTIFS($A$14:$A$1213,$A240,$Q$14:$Q$1213,"&gt;"&amp;$Q240)+(COUNTIFS($A$14:$A$1213,$A240,$Q$14:$Q$1213,"="&amp;$Q240)+1)/2,"")</f>
        <v/>
      </c>
      <c r="AE240" s="27">
        <f>IF(ISNUMBER($R240),COUNTIFS($A$14:$A$1213,$A240,$R$14:$R$1213,"&gt;"&amp;$R240)+(COUNTIFS($A$14:$A$1213,$A240,$R$14:$R$1213,"="&amp;$R240)+1)/2,"")</f>
        <v/>
      </c>
      <c r="AF240" s="27">
        <f>IF(ISNUMBER($S240),COUNTIFS($A$14:$A$1213,$A240,$S$14:$S$1213,"&gt;"&amp;$S240)+(COUNTIFS($A$14:$A$1213,$A240,$S$14:$S$1213,"="&amp;$S240)+1)/2,"")</f>
        <v/>
      </c>
      <c r="AG240" s="27">
        <f>IF(ISNUMBER($T240),COUNTIFS($A$14:$A$1213,$A240,$T$14:$T$1213,"&gt;"&amp;$T240)+(COUNTIFS($A$14:$A$1213,$A240,$T$14:$T$1213,"="&amp;$T240)+1)/2,"")</f>
        <v/>
      </c>
      <c r="AH240" s="27">
        <f>IF(COUNT($AC240:$AG240)&lt;2,"",IF(MAX($AC240:$AG240)=MIN($AC240:$AG240),0,1))</f>
        <v/>
      </c>
      <c r="AI240" s="27">
        <f>IF($A240="","",IF(COUNTIF($A$14:$A240,$A240)=1,COUNTIF($AI$13:AI239,"&gt;0")+1,""))</f>
        <v/>
      </c>
      <c r="AJ240" s="27">
        <f>IF(OR($H240="",COUNTIFS($A$14:$A$1213,$H240,$F$14:$F$1213,"&gt;=0")&lt;2,COUNTIFS($A$14:$A$1213,$H240,$F$14:$F$1213,_xlfn.MAXIFS($F$14:$F$1213,$A$14:$A$1213,$H240))&gt;1),"",IFERROR(INDEX($D$14:$D$1213,MATCH($H240&amp;"|"&amp;_xlfn.MAXIFS($F$14:$F$1213,$A$14:$A$1213,$H240),$AB$14:$AB$1213,0)),""))</f>
        <v/>
      </c>
      <c r="AK240" s="27">
        <f>IF(OR($H240="",COUNTIFS($A$14:$A$1213,$H240,$F$14:$F$1213,"&gt;=0")&lt;2,COUNTIFS($A$14:$A$1213,$H240,$F$14:$F$1213,_xlfn.MAXIFS($F$14:$F$1213,$A$14:$A$1213,$H240))&gt;1),"",IFERROR(INDEX($E$14:$E$1213,MATCH($H240&amp;"|"&amp;_xlfn.MAXIFS($F$14:$F$1213,$A$14:$A$1213,$H240),$AB$14:$AB$1213,0)),""))</f>
        <v/>
      </c>
      <c r="AL240" s="27">
        <f>IF(OR($H240="",COUNTIFS($A$14:$A$1213,$H240,$F$14:$F$1213,"&gt;=0")&lt;2,COUNTIFS($A$14:$A$1213,$H240,$F$14:$F$1213,_xlfn.MAXIFS($F$14:$F$1213,$A$14:$A$1213,$H240))&gt;1),"",IFERROR(INDEX($D$14:$D$1213,MATCH($H240&amp;"|"&amp;_xlfn.MAXIFS($F$14:$F$1213,$A$14:$A$1213,$H240,$F$14:$F$1213,"&lt;"&amp;_xlfn.MAXIFS($F$14:$F$1213,$A$14:$A$1213,$H240)),$AB$14:$AB$1213,0)),""))</f>
        <v/>
      </c>
      <c r="AM240" s="27">
        <f>IF(OR($H240="",COUNTIFS($A$14:$A$1213,$H240,$F$14:$F$1213,"&gt;=0")&lt;2,COUNTIFS($A$14:$A$1213,$H240,$F$14:$F$1213,_xlfn.MAXIFS($F$14:$F$1213,$A$14:$A$1213,$H240))&gt;1),"",IFERROR(INDEX($E$14:$E$1213,MATCH($H240&amp;"|"&amp;_xlfn.MAXIFS($F$14:$F$1213,$A$14:$A$1213,$H240,$F$14:$F$1213,"&lt;"&amp;_xlfn.MAXIFS($F$14:$F$1213,$A$14:$A$1213,$H240)),$AB$14:$AB$1213,0)),""))</f>
        <v/>
      </c>
      <c r="AN240" s="27">
        <f>IF(OR(NOT(ISNUMBER($AJ240)),NOT(ISNUMBER($AL240)),$AK240=0,$AM240=0),"",IF(OR((($AJ240+$AL240)/($AK240+$AM240))&lt;=0,(($AJ240+$AL240)/($AK240+$AM240))&gt;=1),"",($AJ240/$AK240-$AL240/$AM240)/SQRT((($AJ240+$AL240)/($AK240+$AM240))*(1-(($AJ240+$AL240)/($AK240+$AM240)))*(1/$AK240+1/$AM240))))</f>
        <v/>
      </c>
      <c r="AO240" s="27">
        <f>IF($A240="","",IF(AND(COUNTIFS($A$14:$A$1213,$A240,$F$14:$F$1213,"&gt;=0")=2,IFERROR(INDEX($M$14:$M$313,MATCH($A240,$H$14:$H$313,0)),"Yes")&lt;&gt;"Yes"),1,0))</f>
        <v/>
      </c>
    </row>
    <row r="241" ht="24" customHeight="1">
      <c r="A241" s="19">
        <f>IF('Enter messages'!A241="","",'Enter messages'!A241)</f>
        <v/>
      </c>
      <c r="B241" s="20">
        <f>IF('Enter messages'!B241="","",'Enter messages'!B241)</f>
        <v/>
      </c>
      <c r="C241" s="21">
        <f>IFERROR(AVERAGE(P241:T241),"")</f>
        <v/>
      </c>
      <c r="D241" s="29" t="n"/>
      <c r="E241" s="29" t="n"/>
      <c r="F241" s="30">
        <f>IF(AND(ISNUMBER($D241),ISNUMBER($E241),$E241&gt;0,$D241&lt;=$E241),$D241/$E241,"")</f>
        <v/>
      </c>
      <c r="H241" s="19">
        <f>IFERROR(INDEX($A$14:$A$1213,MATCH(228,$AI$14:$AI$1213,0)),"")</f>
        <v/>
      </c>
      <c r="I241" s="24">
        <f>IF($H241="","",IF(COUNTIFS($A$14:$A$1213,$H241,$C$14:$C$1213,"&gt;=0")=0,"—",IFERROR(INDEX($B$14:$B$1213,MATCH($H241&amp;"|1",$Z$14:$Z$1213,0)),"(tied)")))</f>
        <v/>
      </c>
      <c r="J241" s="25">
        <f>IF($H241="","",IF(OR(COUNTIFS($A$14:$A$1213,$H241,$C$14:$C$1213,"&gt;=0")=0,COUNTIFS($A$14:$A$1213,$H241,$F$14:$F$1213,"&gt;=0")=0),"—",IF(OR(ISERROR(MATCH($H241&amp;"|1",$Z$14:$Z$1213,0)),ISERROR(MATCH($H241&amp;"|1",$AA$14:$AA$1213,0))),"Tie",IF(MATCH($H241&amp;"|1",$Z$14:$Z$1213,0)=MATCH($H241&amp;"|1",$AA$14:$AA$1213,0),"Hit","Miss"))))</f>
        <v/>
      </c>
      <c r="K241" s="24">
        <f>IF($H241="","",IF(COUNTIFS($A$14:$A$1213,$H241,$F$14:$F$1213,"&gt;=0")=0,"—",IFERROR(INDEX($B$14:$B$1213,MATCH($H241&amp;"|1",$AA$14:$AA$1213,0)),"(tied)")))</f>
        <v/>
      </c>
      <c r="L241" s="25">
        <f>IF($H241="","",IF((--(COUNTIFS($A$14:$A$1213,$H241,$P$14:$P$1213,"&gt;=0")&gt;0)+--(COUNTIFS($A$14:$A$1213,$H241,$Q$14:$Q$1213,"&gt;=0")&gt;0)+--(COUNTIFS($A$14:$A$1213,$H241,$R$14:$R$1213,"&gt;=0")&gt;0)+--(COUNTIFS($A$14:$A$1213,$H241,$S$14:$S$1213,"&gt;=0")&gt;0)+--(COUNTIFS($A$14:$A$1213,$H241,$T$14:$T$1213,"&gt;=0")&gt;0))&lt;2,"—",IF(SUMIFS($AH$14:$AH$1213,$A$14:$A$1213,$H241)=0,"Yes","No")))</f>
        <v/>
      </c>
      <c r="M241" s="25">
        <f>IF($H241="","",IF(COUNTIFS($A$14:$A$1213,$H241,$F$14:$F$1213,"&gt;=0")&lt;2,"—",IF(COUNTIFS($A$14:$A$1213,$H241,$F$14:$F$1213,_xlfn.MAXIFS($F$14:$F$1213,$A$14:$A$1213,$H241))&gt;1,"No",IF(NOT(ISNUMBER($AN241)),"—",IF((2*(1-NORMSDIST(ABS($AN241))))&lt;0.05,"Yes","No")))))</f>
        <v/>
      </c>
      <c r="N241" s="21">
        <f>IF($H241="","",IF(NOT(ISNUMBER($AN241)),"—",IF((2*(1-NORMSDIST(ABS($AN241))))&lt;0.001,"&lt;0.001",TEXT((2*(1-NORMSDIST(ABS($AN241)))),"0.000"))))</f>
        <v/>
      </c>
      <c r="P241" s="26" t="n"/>
      <c r="Q241" s="26" t="n"/>
      <c r="R241" s="26" t="n"/>
      <c r="S241" s="26" t="n"/>
      <c r="T241" s="26" t="n"/>
      <c r="V241" s="27">
        <f>IF(ISNUMBER($C241),COUNTIFS($A$14:$A$1213,$A241,$C$14:$C$1213,"&gt;"&amp;$C241)+(COUNTIFS($A$14:$A$1213,$A241,$C$14:$C$1213,"="&amp;$C241)+1)/2,"")</f>
        <v/>
      </c>
      <c r="W241" s="27">
        <f>IF(ISNUMBER($F241),COUNTIFS($A$14:$A$1213,$A241,$F$14:$F$1213,"&gt;"&amp;$F241)+(COUNTIFS($A$14:$A$1213,$A241,$F$14:$F$1213,"="&amp;$F241)+1)/2,"")</f>
        <v/>
      </c>
      <c r="X241" s="27">
        <f>IF(OR(NOT(ISNUMBER($V241)),$AO241=1),"",$V241-(COUNTIFS($A$14:$A$1213,$A241,$C$14:$C$1213,"&gt;=0")+1)/2)</f>
        <v/>
      </c>
      <c r="Y241" s="27">
        <f>IF(OR(NOT(ISNUMBER($W241)),$AO241=1),"",$W241-(COUNTIFS($A$14:$A$1213,$A241,$F$14:$F$1213,"&gt;=0")+1)/2)</f>
        <v/>
      </c>
      <c r="Z241" s="27">
        <f>IF(ISNUMBER($V241),$A241&amp;"|"&amp;$V241,"")</f>
        <v/>
      </c>
      <c r="AA241" s="27">
        <f>IF(ISNUMBER($W241),$A241&amp;"|"&amp;$W241,"")</f>
        <v/>
      </c>
      <c r="AB241" s="27">
        <f>IF(ISNUMBER($F241),$A241&amp;"|"&amp;$F241,"")</f>
        <v/>
      </c>
      <c r="AC241" s="27">
        <f>IF(ISNUMBER($P241),COUNTIFS($A$14:$A$1213,$A241,$P$14:$P$1213,"&gt;"&amp;$P241)+(COUNTIFS($A$14:$A$1213,$A241,$P$14:$P$1213,"="&amp;$P241)+1)/2,"")</f>
        <v/>
      </c>
      <c r="AD241" s="27">
        <f>IF(ISNUMBER($Q241),COUNTIFS($A$14:$A$1213,$A241,$Q$14:$Q$1213,"&gt;"&amp;$Q241)+(COUNTIFS($A$14:$A$1213,$A241,$Q$14:$Q$1213,"="&amp;$Q241)+1)/2,"")</f>
        <v/>
      </c>
      <c r="AE241" s="27">
        <f>IF(ISNUMBER($R241),COUNTIFS($A$14:$A$1213,$A241,$R$14:$R$1213,"&gt;"&amp;$R241)+(COUNTIFS($A$14:$A$1213,$A241,$R$14:$R$1213,"="&amp;$R241)+1)/2,"")</f>
        <v/>
      </c>
      <c r="AF241" s="27">
        <f>IF(ISNUMBER($S241),COUNTIFS($A$14:$A$1213,$A241,$S$14:$S$1213,"&gt;"&amp;$S241)+(COUNTIFS($A$14:$A$1213,$A241,$S$14:$S$1213,"="&amp;$S241)+1)/2,"")</f>
        <v/>
      </c>
      <c r="AG241" s="27">
        <f>IF(ISNUMBER($T241),COUNTIFS($A$14:$A$1213,$A241,$T$14:$T$1213,"&gt;"&amp;$T241)+(COUNTIFS($A$14:$A$1213,$A241,$T$14:$T$1213,"="&amp;$T241)+1)/2,"")</f>
        <v/>
      </c>
      <c r="AH241" s="27">
        <f>IF(COUNT($AC241:$AG241)&lt;2,"",IF(MAX($AC241:$AG241)=MIN($AC241:$AG241),0,1))</f>
        <v/>
      </c>
      <c r="AI241" s="27">
        <f>IF($A241="","",IF(COUNTIF($A$14:$A241,$A241)=1,COUNTIF($AI$13:AI240,"&gt;0")+1,""))</f>
        <v/>
      </c>
      <c r="AJ241" s="27">
        <f>IF(OR($H241="",COUNTIFS($A$14:$A$1213,$H241,$F$14:$F$1213,"&gt;=0")&lt;2,COUNTIFS($A$14:$A$1213,$H241,$F$14:$F$1213,_xlfn.MAXIFS($F$14:$F$1213,$A$14:$A$1213,$H241))&gt;1),"",IFERROR(INDEX($D$14:$D$1213,MATCH($H241&amp;"|"&amp;_xlfn.MAXIFS($F$14:$F$1213,$A$14:$A$1213,$H241),$AB$14:$AB$1213,0)),""))</f>
        <v/>
      </c>
      <c r="AK241" s="27">
        <f>IF(OR($H241="",COUNTIFS($A$14:$A$1213,$H241,$F$14:$F$1213,"&gt;=0")&lt;2,COUNTIFS($A$14:$A$1213,$H241,$F$14:$F$1213,_xlfn.MAXIFS($F$14:$F$1213,$A$14:$A$1213,$H241))&gt;1),"",IFERROR(INDEX($E$14:$E$1213,MATCH($H241&amp;"|"&amp;_xlfn.MAXIFS($F$14:$F$1213,$A$14:$A$1213,$H241),$AB$14:$AB$1213,0)),""))</f>
        <v/>
      </c>
      <c r="AL241" s="27">
        <f>IF(OR($H241="",COUNTIFS($A$14:$A$1213,$H241,$F$14:$F$1213,"&gt;=0")&lt;2,COUNTIFS($A$14:$A$1213,$H241,$F$14:$F$1213,_xlfn.MAXIFS($F$14:$F$1213,$A$14:$A$1213,$H241))&gt;1),"",IFERROR(INDEX($D$14:$D$1213,MATCH($H241&amp;"|"&amp;_xlfn.MAXIFS($F$14:$F$1213,$A$14:$A$1213,$H241,$F$14:$F$1213,"&lt;"&amp;_xlfn.MAXIFS($F$14:$F$1213,$A$14:$A$1213,$H241)),$AB$14:$AB$1213,0)),""))</f>
        <v/>
      </c>
      <c r="AM241" s="27">
        <f>IF(OR($H241="",COUNTIFS($A$14:$A$1213,$H241,$F$14:$F$1213,"&gt;=0")&lt;2,COUNTIFS($A$14:$A$1213,$H241,$F$14:$F$1213,_xlfn.MAXIFS($F$14:$F$1213,$A$14:$A$1213,$H241))&gt;1),"",IFERROR(INDEX($E$14:$E$1213,MATCH($H241&amp;"|"&amp;_xlfn.MAXIFS($F$14:$F$1213,$A$14:$A$1213,$H241,$F$14:$F$1213,"&lt;"&amp;_xlfn.MAXIFS($F$14:$F$1213,$A$14:$A$1213,$H241)),$AB$14:$AB$1213,0)),""))</f>
        <v/>
      </c>
      <c r="AN241" s="27">
        <f>IF(OR(NOT(ISNUMBER($AJ241)),NOT(ISNUMBER($AL241)),$AK241=0,$AM241=0),"",IF(OR((($AJ241+$AL241)/($AK241+$AM241))&lt;=0,(($AJ241+$AL241)/($AK241+$AM241))&gt;=1),"",($AJ241/$AK241-$AL241/$AM241)/SQRT((($AJ241+$AL241)/($AK241+$AM241))*(1-(($AJ241+$AL241)/($AK241+$AM241)))*(1/$AK241+1/$AM241))))</f>
        <v/>
      </c>
      <c r="AO241" s="27">
        <f>IF($A241="","",IF(AND(COUNTIFS($A$14:$A$1213,$A241,$F$14:$F$1213,"&gt;=0")=2,IFERROR(INDEX($M$14:$M$313,MATCH($A241,$H$14:$H$313,0)),"Yes")&lt;&gt;"Yes"),1,0))</f>
        <v/>
      </c>
    </row>
    <row r="242" ht="24" customHeight="1">
      <c r="A242" s="19">
        <f>IF('Enter messages'!A242="","",'Enter messages'!A242)</f>
        <v/>
      </c>
      <c r="B242" s="20">
        <f>IF('Enter messages'!B242="","",'Enter messages'!B242)</f>
        <v/>
      </c>
      <c r="C242" s="21">
        <f>IFERROR(AVERAGE(P242:T242),"")</f>
        <v/>
      </c>
      <c r="D242" s="29" t="n"/>
      <c r="E242" s="29" t="n"/>
      <c r="F242" s="30">
        <f>IF(AND(ISNUMBER($D242),ISNUMBER($E242),$E242&gt;0,$D242&lt;=$E242),$D242/$E242,"")</f>
        <v/>
      </c>
      <c r="H242" s="19">
        <f>IFERROR(INDEX($A$14:$A$1213,MATCH(229,$AI$14:$AI$1213,0)),"")</f>
        <v/>
      </c>
      <c r="I242" s="24">
        <f>IF($H242="","",IF(COUNTIFS($A$14:$A$1213,$H242,$C$14:$C$1213,"&gt;=0")=0,"—",IFERROR(INDEX($B$14:$B$1213,MATCH($H242&amp;"|1",$Z$14:$Z$1213,0)),"(tied)")))</f>
        <v/>
      </c>
      <c r="J242" s="25">
        <f>IF($H242="","",IF(OR(COUNTIFS($A$14:$A$1213,$H242,$C$14:$C$1213,"&gt;=0")=0,COUNTIFS($A$14:$A$1213,$H242,$F$14:$F$1213,"&gt;=0")=0),"—",IF(OR(ISERROR(MATCH($H242&amp;"|1",$Z$14:$Z$1213,0)),ISERROR(MATCH($H242&amp;"|1",$AA$14:$AA$1213,0))),"Tie",IF(MATCH($H242&amp;"|1",$Z$14:$Z$1213,0)=MATCH($H242&amp;"|1",$AA$14:$AA$1213,0),"Hit","Miss"))))</f>
        <v/>
      </c>
      <c r="K242" s="24">
        <f>IF($H242="","",IF(COUNTIFS($A$14:$A$1213,$H242,$F$14:$F$1213,"&gt;=0")=0,"—",IFERROR(INDEX($B$14:$B$1213,MATCH($H242&amp;"|1",$AA$14:$AA$1213,0)),"(tied)")))</f>
        <v/>
      </c>
      <c r="L242" s="25">
        <f>IF($H242="","",IF((--(COUNTIFS($A$14:$A$1213,$H242,$P$14:$P$1213,"&gt;=0")&gt;0)+--(COUNTIFS($A$14:$A$1213,$H242,$Q$14:$Q$1213,"&gt;=0")&gt;0)+--(COUNTIFS($A$14:$A$1213,$H242,$R$14:$R$1213,"&gt;=0")&gt;0)+--(COUNTIFS($A$14:$A$1213,$H242,$S$14:$S$1213,"&gt;=0")&gt;0)+--(COUNTIFS($A$14:$A$1213,$H242,$T$14:$T$1213,"&gt;=0")&gt;0))&lt;2,"—",IF(SUMIFS($AH$14:$AH$1213,$A$14:$A$1213,$H242)=0,"Yes","No")))</f>
        <v/>
      </c>
      <c r="M242" s="25">
        <f>IF($H242="","",IF(COUNTIFS($A$14:$A$1213,$H242,$F$14:$F$1213,"&gt;=0")&lt;2,"—",IF(COUNTIFS($A$14:$A$1213,$H242,$F$14:$F$1213,_xlfn.MAXIFS($F$14:$F$1213,$A$14:$A$1213,$H242))&gt;1,"No",IF(NOT(ISNUMBER($AN242)),"—",IF((2*(1-NORMSDIST(ABS($AN242))))&lt;0.05,"Yes","No")))))</f>
        <v/>
      </c>
      <c r="N242" s="21">
        <f>IF($H242="","",IF(NOT(ISNUMBER($AN242)),"—",IF((2*(1-NORMSDIST(ABS($AN242))))&lt;0.001,"&lt;0.001",TEXT((2*(1-NORMSDIST(ABS($AN242)))),"0.000"))))</f>
        <v/>
      </c>
      <c r="P242" s="26" t="n"/>
      <c r="Q242" s="26" t="n"/>
      <c r="R242" s="26" t="n"/>
      <c r="S242" s="26" t="n"/>
      <c r="T242" s="26" t="n"/>
      <c r="V242" s="27">
        <f>IF(ISNUMBER($C242),COUNTIFS($A$14:$A$1213,$A242,$C$14:$C$1213,"&gt;"&amp;$C242)+(COUNTIFS($A$14:$A$1213,$A242,$C$14:$C$1213,"="&amp;$C242)+1)/2,"")</f>
        <v/>
      </c>
      <c r="W242" s="27">
        <f>IF(ISNUMBER($F242),COUNTIFS($A$14:$A$1213,$A242,$F$14:$F$1213,"&gt;"&amp;$F242)+(COUNTIFS($A$14:$A$1213,$A242,$F$14:$F$1213,"="&amp;$F242)+1)/2,"")</f>
        <v/>
      </c>
      <c r="X242" s="27">
        <f>IF(OR(NOT(ISNUMBER($V242)),$AO242=1),"",$V242-(COUNTIFS($A$14:$A$1213,$A242,$C$14:$C$1213,"&gt;=0")+1)/2)</f>
        <v/>
      </c>
      <c r="Y242" s="27">
        <f>IF(OR(NOT(ISNUMBER($W242)),$AO242=1),"",$W242-(COUNTIFS($A$14:$A$1213,$A242,$F$14:$F$1213,"&gt;=0")+1)/2)</f>
        <v/>
      </c>
      <c r="Z242" s="27">
        <f>IF(ISNUMBER($V242),$A242&amp;"|"&amp;$V242,"")</f>
        <v/>
      </c>
      <c r="AA242" s="27">
        <f>IF(ISNUMBER($W242),$A242&amp;"|"&amp;$W242,"")</f>
        <v/>
      </c>
      <c r="AB242" s="27">
        <f>IF(ISNUMBER($F242),$A242&amp;"|"&amp;$F242,"")</f>
        <v/>
      </c>
      <c r="AC242" s="27">
        <f>IF(ISNUMBER($P242),COUNTIFS($A$14:$A$1213,$A242,$P$14:$P$1213,"&gt;"&amp;$P242)+(COUNTIFS($A$14:$A$1213,$A242,$P$14:$P$1213,"="&amp;$P242)+1)/2,"")</f>
        <v/>
      </c>
      <c r="AD242" s="27">
        <f>IF(ISNUMBER($Q242),COUNTIFS($A$14:$A$1213,$A242,$Q$14:$Q$1213,"&gt;"&amp;$Q242)+(COUNTIFS($A$14:$A$1213,$A242,$Q$14:$Q$1213,"="&amp;$Q242)+1)/2,"")</f>
        <v/>
      </c>
      <c r="AE242" s="27">
        <f>IF(ISNUMBER($R242),COUNTIFS($A$14:$A$1213,$A242,$R$14:$R$1213,"&gt;"&amp;$R242)+(COUNTIFS($A$14:$A$1213,$A242,$R$14:$R$1213,"="&amp;$R242)+1)/2,"")</f>
        <v/>
      </c>
      <c r="AF242" s="27">
        <f>IF(ISNUMBER($S242),COUNTIFS($A$14:$A$1213,$A242,$S$14:$S$1213,"&gt;"&amp;$S242)+(COUNTIFS($A$14:$A$1213,$A242,$S$14:$S$1213,"="&amp;$S242)+1)/2,"")</f>
        <v/>
      </c>
      <c r="AG242" s="27">
        <f>IF(ISNUMBER($T242),COUNTIFS($A$14:$A$1213,$A242,$T$14:$T$1213,"&gt;"&amp;$T242)+(COUNTIFS($A$14:$A$1213,$A242,$T$14:$T$1213,"="&amp;$T242)+1)/2,"")</f>
        <v/>
      </c>
      <c r="AH242" s="27">
        <f>IF(COUNT($AC242:$AG242)&lt;2,"",IF(MAX($AC242:$AG242)=MIN($AC242:$AG242),0,1))</f>
        <v/>
      </c>
      <c r="AI242" s="27">
        <f>IF($A242="","",IF(COUNTIF($A$14:$A242,$A242)=1,COUNTIF($AI$13:AI241,"&gt;0")+1,""))</f>
        <v/>
      </c>
      <c r="AJ242" s="27">
        <f>IF(OR($H242="",COUNTIFS($A$14:$A$1213,$H242,$F$14:$F$1213,"&gt;=0")&lt;2,COUNTIFS($A$14:$A$1213,$H242,$F$14:$F$1213,_xlfn.MAXIFS($F$14:$F$1213,$A$14:$A$1213,$H242))&gt;1),"",IFERROR(INDEX($D$14:$D$1213,MATCH($H242&amp;"|"&amp;_xlfn.MAXIFS($F$14:$F$1213,$A$14:$A$1213,$H242),$AB$14:$AB$1213,0)),""))</f>
        <v/>
      </c>
      <c r="AK242" s="27">
        <f>IF(OR($H242="",COUNTIFS($A$14:$A$1213,$H242,$F$14:$F$1213,"&gt;=0")&lt;2,COUNTIFS($A$14:$A$1213,$H242,$F$14:$F$1213,_xlfn.MAXIFS($F$14:$F$1213,$A$14:$A$1213,$H242))&gt;1),"",IFERROR(INDEX($E$14:$E$1213,MATCH($H242&amp;"|"&amp;_xlfn.MAXIFS($F$14:$F$1213,$A$14:$A$1213,$H242),$AB$14:$AB$1213,0)),""))</f>
        <v/>
      </c>
      <c r="AL242" s="27">
        <f>IF(OR($H242="",COUNTIFS($A$14:$A$1213,$H242,$F$14:$F$1213,"&gt;=0")&lt;2,COUNTIFS($A$14:$A$1213,$H242,$F$14:$F$1213,_xlfn.MAXIFS($F$14:$F$1213,$A$14:$A$1213,$H242))&gt;1),"",IFERROR(INDEX($D$14:$D$1213,MATCH($H242&amp;"|"&amp;_xlfn.MAXIFS($F$14:$F$1213,$A$14:$A$1213,$H242,$F$14:$F$1213,"&lt;"&amp;_xlfn.MAXIFS($F$14:$F$1213,$A$14:$A$1213,$H242)),$AB$14:$AB$1213,0)),""))</f>
        <v/>
      </c>
      <c r="AM242" s="27">
        <f>IF(OR($H242="",COUNTIFS($A$14:$A$1213,$H242,$F$14:$F$1213,"&gt;=0")&lt;2,COUNTIFS($A$14:$A$1213,$H242,$F$14:$F$1213,_xlfn.MAXIFS($F$14:$F$1213,$A$14:$A$1213,$H242))&gt;1),"",IFERROR(INDEX($E$14:$E$1213,MATCH($H242&amp;"|"&amp;_xlfn.MAXIFS($F$14:$F$1213,$A$14:$A$1213,$H242,$F$14:$F$1213,"&lt;"&amp;_xlfn.MAXIFS($F$14:$F$1213,$A$14:$A$1213,$H242)),$AB$14:$AB$1213,0)),""))</f>
        <v/>
      </c>
      <c r="AN242" s="27">
        <f>IF(OR(NOT(ISNUMBER($AJ242)),NOT(ISNUMBER($AL242)),$AK242=0,$AM242=0),"",IF(OR((($AJ242+$AL242)/($AK242+$AM242))&lt;=0,(($AJ242+$AL242)/($AK242+$AM242))&gt;=1),"",($AJ242/$AK242-$AL242/$AM242)/SQRT((($AJ242+$AL242)/($AK242+$AM242))*(1-(($AJ242+$AL242)/($AK242+$AM242)))*(1/$AK242+1/$AM242))))</f>
        <v/>
      </c>
      <c r="AO242" s="27">
        <f>IF($A242="","",IF(AND(COUNTIFS($A$14:$A$1213,$A242,$F$14:$F$1213,"&gt;=0")=2,IFERROR(INDEX($M$14:$M$313,MATCH($A242,$H$14:$H$313,0)),"Yes")&lt;&gt;"Yes"),1,0))</f>
        <v/>
      </c>
    </row>
    <row r="243" ht="24" customHeight="1">
      <c r="A243" s="19">
        <f>IF('Enter messages'!A243="","",'Enter messages'!A243)</f>
        <v/>
      </c>
      <c r="B243" s="20">
        <f>IF('Enter messages'!B243="","",'Enter messages'!B243)</f>
        <v/>
      </c>
      <c r="C243" s="21">
        <f>IFERROR(AVERAGE(P243:T243),"")</f>
        <v/>
      </c>
      <c r="D243" s="29" t="n"/>
      <c r="E243" s="29" t="n"/>
      <c r="F243" s="30">
        <f>IF(AND(ISNUMBER($D243),ISNUMBER($E243),$E243&gt;0,$D243&lt;=$E243),$D243/$E243,"")</f>
        <v/>
      </c>
      <c r="H243" s="19">
        <f>IFERROR(INDEX($A$14:$A$1213,MATCH(230,$AI$14:$AI$1213,0)),"")</f>
        <v/>
      </c>
      <c r="I243" s="24">
        <f>IF($H243="","",IF(COUNTIFS($A$14:$A$1213,$H243,$C$14:$C$1213,"&gt;=0")=0,"—",IFERROR(INDEX($B$14:$B$1213,MATCH($H243&amp;"|1",$Z$14:$Z$1213,0)),"(tied)")))</f>
        <v/>
      </c>
      <c r="J243" s="25">
        <f>IF($H243="","",IF(OR(COUNTIFS($A$14:$A$1213,$H243,$C$14:$C$1213,"&gt;=0")=0,COUNTIFS($A$14:$A$1213,$H243,$F$14:$F$1213,"&gt;=0")=0),"—",IF(OR(ISERROR(MATCH($H243&amp;"|1",$Z$14:$Z$1213,0)),ISERROR(MATCH($H243&amp;"|1",$AA$14:$AA$1213,0))),"Tie",IF(MATCH($H243&amp;"|1",$Z$14:$Z$1213,0)=MATCH($H243&amp;"|1",$AA$14:$AA$1213,0),"Hit","Miss"))))</f>
        <v/>
      </c>
      <c r="K243" s="24">
        <f>IF($H243="","",IF(COUNTIFS($A$14:$A$1213,$H243,$F$14:$F$1213,"&gt;=0")=0,"—",IFERROR(INDEX($B$14:$B$1213,MATCH($H243&amp;"|1",$AA$14:$AA$1213,0)),"(tied)")))</f>
        <v/>
      </c>
      <c r="L243" s="25">
        <f>IF($H243="","",IF((--(COUNTIFS($A$14:$A$1213,$H243,$P$14:$P$1213,"&gt;=0")&gt;0)+--(COUNTIFS($A$14:$A$1213,$H243,$Q$14:$Q$1213,"&gt;=0")&gt;0)+--(COUNTIFS($A$14:$A$1213,$H243,$R$14:$R$1213,"&gt;=0")&gt;0)+--(COUNTIFS($A$14:$A$1213,$H243,$S$14:$S$1213,"&gt;=0")&gt;0)+--(COUNTIFS($A$14:$A$1213,$H243,$T$14:$T$1213,"&gt;=0")&gt;0))&lt;2,"—",IF(SUMIFS($AH$14:$AH$1213,$A$14:$A$1213,$H243)=0,"Yes","No")))</f>
        <v/>
      </c>
      <c r="M243" s="25">
        <f>IF($H243="","",IF(COUNTIFS($A$14:$A$1213,$H243,$F$14:$F$1213,"&gt;=0")&lt;2,"—",IF(COUNTIFS($A$14:$A$1213,$H243,$F$14:$F$1213,_xlfn.MAXIFS($F$14:$F$1213,$A$14:$A$1213,$H243))&gt;1,"No",IF(NOT(ISNUMBER($AN243)),"—",IF((2*(1-NORMSDIST(ABS($AN243))))&lt;0.05,"Yes","No")))))</f>
        <v/>
      </c>
      <c r="N243" s="21">
        <f>IF($H243="","",IF(NOT(ISNUMBER($AN243)),"—",IF((2*(1-NORMSDIST(ABS($AN243))))&lt;0.001,"&lt;0.001",TEXT((2*(1-NORMSDIST(ABS($AN243)))),"0.000"))))</f>
        <v/>
      </c>
      <c r="P243" s="26" t="n"/>
      <c r="Q243" s="26" t="n"/>
      <c r="R243" s="26" t="n"/>
      <c r="S243" s="26" t="n"/>
      <c r="T243" s="26" t="n"/>
      <c r="V243" s="27">
        <f>IF(ISNUMBER($C243),COUNTIFS($A$14:$A$1213,$A243,$C$14:$C$1213,"&gt;"&amp;$C243)+(COUNTIFS($A$14:$A$1213,$A243,$C$14:$C$1213,"="&amp;$C243)+1)/2,"")</f>
        <v/>
      </c>
      <c r="W243" s="27">
        <f>IF(ISNUMBER($F243),COUNTIFS($A$14:$A$1213,$A243,$F$14:$F$1213,"&gt;"&amp;$F243)+(COUNTIFS($A$14:$A$1213,$A243,$F$14:$F$1213,"="&amp;$F243)+1)/2,"")</f>
        <v/>
      </c>
      <c r="X243" s="27">
        <f>IF(OR(NOT(ISNUMBER($V243)),$AO243=1),"",$V243-(COUNTIFS($A$14:$A$1213,$A243,$C$14:$C$1213,"&gt;=0")+1)/2)</f>
        <v/>
      </c>
      <c r="Y243" s="27">
        <f>IF(OR(NOT(ISNUMBER($W243)),$AO243=1),"",$W243-(COUNTIFS($A$14:$A$1213,$A243,$F$14:$F$1213,"&gt;=0")+1)/2)</f>
        <v/>
      </c>
      <c r="Z243" s="27">
        <f>IF(ISNUMBER($V243),$A243&amp;"|"&amp;$V243,"")</f>
        <v/>
      </c>
      <c r="AA243" s="27">
        <f>IF(ISNUMBER($W243),$A243&amp;"|"&amp;$W243,"")</f>
        <v/>
      </c>
      <c r="AB243" s="27">
        <f>IF(ISNUMBER($F243),$A243&amp;"|"&amp;$F243,"")</f>
        <v/>
      </c>
      <c r="AC243" s="27">
        <f>IF(ISNUMBER($P243),COUNTIFS($A$14:$A$1213,$A243,$P$14:$P$1213,"&gt;"&amp;$P243)+(COUNTIFS($A$14:$A$1213,$A243,$P$14:$P$1213,"="&amp;$P243)+1)/2,"")</f>
        <v/>
      </c>
      <c r="AD243" s="27">
        <f>IF(ISNUMBER($Q243),COUNTIFS($A$14:$A$1213,$A243,$Q$14:$Q$1213,"&gt;"&amp;$Q243)+(COUNTIFS($A$14:$A$1213,$A243,$Q$14:$Q$1213,"="&amp;$Q243)+1)/2,"")</f>
        <v/>
      </c>
      <c r="AE243" s="27">
        <f>IF(ISNUMBER($R243),COUNTIFS($A$14:$A$1213,$A243,$R$14:$R$1213,"&gt;"&amp;$R243)+(COUNTIFS($A$14:$A$1213,$A243,$R$14:$R$1213,"="&amp;$R243)+1)/2,"")</f>
        <v/>
      </c>
      <c r="AF243" s="27">
        <f>IF(ISNUMBER($S243),COUNTIFS($A$14:$A$1213,$A243,$S$14:$S$1213,"&gt;"&amp;$S243)+(COUNTIFS($A$14:$A$1213,$A243,$S$14:$S$1213,"="&amp;$S243)+1)/2,"")</f>
        <v/>
      </c>
      <c r="AG243" s="27">
        <f>IF(ISNUMBER($T243),COUNTIFS($A$14:$A$1213,$A243,$T$14:$T$1213,"&gt;"&amp;$T243)+(COUNTIFS($A$14:$A$1213,$A243,$T$14:$T$1213,"="&amp;$T243)+1)/2,"")</f>
        <v/>
      </c>
      <c r="AH243" s="27">
        <f>IF(COUNT($AC243:$AG243)&lt;2,"",IF(MAX($AC243:$AG243)=MIN($AC243:$AG243),0,1))</f>
        <v/>
      </c>
      <c r="AI243" s="27">
        <f>IF($A243="","",IF(COUNTIF($A$14:$A243,$A243)=1,COUNTIF($AI$13:AI242,"&gt;0")+1,""))</f>
        <v/>
      </c>
      <c r="AJ243" s="27">
        <f>IF(OR($H243="",COUNTIFS($A$14:$A$1213,$H243,$F$14:$F$1213,"&gt;=0")&lt;2,COUNTIFS($A$14:$A$1213,$H243,$F$14:$F$1213,_xlfn.MAXIFS($F$14:$F$1213,$A$14:$A$1213,$H243))&gt;1),"",IFERROR(INDEX($D$14:$D$1213,MATCH($H243&amp;"|"&amp;_xlfn.MAXIFS($F$14:$F$1213,$A$14:$A$1213,$H243),$AB$14:$AB$1213,0)),""))</f>
        <v/>
      </c>
      <c r="AK243" s="27">
        <f>IF(OR($H243="",COUNTIFS($A$14:$A$1213,$H243,$F$14:$F$1213,"&gt;=0")&lt;2,COUNTIFS($A$14:$A$1213,$H243,$F$14:$F$1213,_xlfn.MAXIFS($F$14:$F$1213,$A$14:$A$1213,$H243))&gt;1),"",IFERROR(INDEX($E$14:$E$1213,MATCH($H243&amp;"|"&amp;_xlfn.MAXIFS($F$14:$F$1213,$A$14:$A$1213,$H243),$AB$14:$AB$1213,0)),""))</f>
        <v/>
      </c>
      <c r="AL243" s="27">
        <f>IF(OR($H243="",COUNTIFS($A$14:$A$1213,$H243,$F$14:$F$1213,"&gt;=0")&lt;2,COUNTIFS($A$14:$A$1213,$H243,$F$14:$F$1213,_xlfn.MAXIFS($F$14:$F$1213,$A$14:$A$1213,$H243))&gt;1),"",IFERROR(INDEX($D$14:$D$1213,MATCH($H243&amp;"|"&amp;_xlfn.MAXIFS($F$14:$F$1213,$A$14:$A$1213,$H243,$F$14:$F$1213,"&lt;"&amp;_xlfn.MAXIFS($F$14:$F$1213,$A$14:$A$1213,$H243)),$AB$14:$AB$1213,0)),""))</f>
        <v/>
      </c>
      <c r="AM243" s="27">
        <f>IF(OR($H243="",COUNTIFS($A$14:$A$1213,$H243,$F$14:$F$1213,"&gt;=0")&lt;2,COUNTIFS($A$14:$A$1213,$H243,$F$14:$F$1213,_xlfn.MAXIFS($F$14:$F$1213,$A$14:$A$1213,$H243))&gt;1),"",IFERROR(INDEX($E$14:$E$1213,MATCH($H243&amp;"|"&amp;_xlfn.MAXIFS($F$14:$F$1213,$A$14:$A$1213,$H243,$F$14:$F$1213,"&lt;"&amp;_xlfn.MAXIFS($F$14:$F$1213,$A$14:$A$1213,$H243)),$AB$14:$AB$1213,0)),""))</f>
        <v/>
      </c>
      <c r="AN243" s="27">
        <f>IF(OR(NOT(ISNUMBER($AJ243)),NOT(ISNUMBER($AL243)),$AK243=0,$AM243=0),"",IF(OR((($AJ243+$AL243)/($AK243+$AM243))&lt;=0,(($AJ243+$AL243)/($AK243+$AM243))&gt;=1),"",($AJ243/$AK243-$AL243/$AM243)/SQRT((($AJ243+$AL243)/($AK243+$AM243))*(1-(($AJ243+$AL243)/($AK243+$AM243)))*(1/$AK243+1/$AM243))))</f>
        <v/>
      </c>
      <c r="AO243" s="27">
        <f>IF($A243="","",IF(AND(COUNTIFS($A$14:$A$1213,$A243,$F$14:$F$1213,"&gt;=0")=2,IFERROR(INDEX($M$14:$M$313,MATCH($A243,$H$14:$H$313,0)),"Yes")&lt;&gt;"Yes"),1,0))</f>
        <v/>
      </c>
    </row>
    <row r="244" ht="24" customHeight="1">
      <c r="A244" s="19">
        <f>IF('Enter messages'!A244="","",'Enter messages'!A244)</f>
        <v/>
      </c>
      <c r="B244" s="20">
        <f>IF('Enter messages'!B244="","",'Enter messages'!B244)</f>
        <v/>
      </c>
      <c r="C244" s="21">
        <f>IFERROR(AVERAGE(P244:T244),"")</f>
        <v/>
      </c>
      <c r="D244" s="29" t="n"/>
      <c r="E244" s="29" t="n"/>
      <c r="F244" s="30">
        <f>IF(AND(ISNUMBER($D244),ISNUMBER($E244),$E244&gt;0,$D244&lt;=$E244),$D244/$E244,"")</f>
        <v/>
      </c>
      <c r="H244" s="19">
        <f>IFERROR(INDEX($A$14:$A$1213,MATCH(231,$AI$14:$AI$1213,0)),"")</f>
        <v/>
      </c>
      <c r="I244" s="24">
        <f>IF($H244="","",IF(COUNTIFS($A$14:$A$1213,$H244,$C$14:$C$1213,"&gt;=0")=0,"—",IFERROR(INDEX($B$14:$B$1213,MATCH($H244&amp;"|1",$Z$14:$Z$1213,0)),"(tied)")))</f>
        <v/>
      </c>
      <c r="J244" s="25">
        <f>IF($H244="","",IF(OR(COUNTIFS($A$14:$A$1213,$H244,$C$14:$C$1213,"&gt;=0")=0,COUNTIFS($A$14:$A$1213,$H244,$F$14:$F$1213,"&gt;=0")=0),"—",IF(OR(ISERROR(MATCH($H244&amp;"|1",$Z$14:$Z$1213,0)),ISERROR(MATCH($H244&amp;"|1",$AA$14:$AA$1213,0))),"Tie",IF(MATCH($H244&amp;"|1",$Z$14:$Z$1213,0)=MATCH($H244&amp;"|1",$AA$14:$AA$1213,0),"Hit","Miss"))))</f>
        <v/>
      </c>
      <c r="K244" s="24">
        <f>IF($H244="","",IF(COUNTIFS($A$14:$A$1213,$H244,$F$14:$F$1213,"&gt;=0")=0,"—",IFERROR(INDEX($B$14:$B$1213,MATCH($H244&amp;"|1",$AA$14:$AA$1213,0)),"(tied)")))</f>
        <v/>
      </c>
      <c r="L244" s="25">
        <f>IF($H244="","",IF((--(COUNTIFS($A$14:$A$1213,$H244,$P$14:$P$1213,"&gt;=0")&gt;0)+--(COUNTIFS($A$14:$A$1213,$H244,$Q$14:$Q$1213,"&gt;=0")&gt;0)+--(COUNTIFS($A$14:$A$1213,$H244,$R$14:$R$1213,"&gt;=0")&gt;0)+--(COUNTIFS($A$14:$A$1213,$H244,$S$14:$S$1213,"&gt;=0")&gt;0)+--(COUNTIFS($A$14:$A$1213,$H244,$T$14:$T$1213,"&gt;=0")&gt;0))&lt;2,"—",IF(SUMIFS($AH$14:$AH$1213,$A$14:$A$1213,$H244)=0,"Yes","No")))</f>
        <v/>
      </c>
      <c r="M244" s="25">
        <f>IF($H244="","",IF(COUNTIFS($A$14:$A$1213,$H244,$F$14:$F$1213,"&gt;=0")&lt;2,"—",IF(COUNTIFS($A$14:$A$1213,$H244,$F$14:$F$1213,_xlfn.MAXIFS($F$14:$F$1213,$A$14:$A$1213,$H244))&gt;1,"No",IF(NOT(ISNUMBER($AN244)),"—",IF((2*(1-NORMSDIST(ABS($AN244))))&lt;0.05,"Yes","No")))))</f>
        <v/>
      </c>
      <c r="N244" s="21">
        <f>IF($H244="","",IF(NOT(ISNUMBER($AN244)),"—",IF((2*(1-NORMSDIST(ABS($AN244))))&lt;0.001,"&lt;0.001",TEXT((2*(1-NORMSDIST(ABS($AN244)))),"0.000"))))</f>
        <v/>
      </c>
      <c r="P244" s="26" t="n"/>
      <c r="Q244" s="26" t="n"/>
      <c r="R244" s="26" t="n"/>
      <c r="S244" s="26" t="n"/>
      <c r="T244" s="26" t="n"/>
      <c r="V244" s="27">
        <f>IF(ISNUMBER($C244),COUNTIFS($A$14:$A$1213,$A244,$C$14:$C$1213,"&gt;"&amp;$C244)+(COUNTIFS($A$14:$A$1213,$A244,$C$14:$C$1213,"="&amp;$C244)+1)/2,"")</f>
        <v/>
      </c>
      <c r="W244" s="27">
        <f>IF(ISNUMBER($F244),COUNTIFS($A$14:$A$1213,$A244,$F$14:$F$1213,"&gt;"&amp;$F244)+(COUNTIFS($A$14:$A$1213,$A244,$F$14:$F$1213,"="&amp;$F244)+1)/2,"")</f>
        <v/>
      </c>
      <c r="X244" s="27">
        <f>IF(OR(NOT(ISNUMBER($V244)),$AO244=1),"",$V244-(COUNTIFS($A$14:$A$1213,$A244,$C$14:$C$1213,"&gt;=0")+1)/2)</f>
        <v/>
      </c>
      <c r="Y244" s="27">
        <f>IF(OR(NOT(ISNUMBER($W244)),$AO244=1),"",$W244-(COUNTIFS($A$14:$A$1213,$A244,$F$14:$F$1213,"&gt;=0")+1)/2)</f>
        <v/>
      </c>
      <c r="Z244" s="27">
        <f>IF(ISNUMBER($V244),$A244&amp;"|"&amp;$V244,"")</f>
        <v/>
      </c>
      <c r="AA244" s="27">
        <f>IF(ISNUMBER($W244),$A244&amp;"|"&amp;$W244,"")</f>
        <v/>
      </c>
      <c r="AB244" s="27">
        <f>IF(ISNUMBER($F244),$A244&amp;"|"&amp;$F244,"")</f>
        <v/>
      </c>
      <c r="AC244" s="27">
        <f>IF(ISNUMBER($P244),COUNTIFS($A$14:$A$1213,$A244,$P$14:$P$1213,"&gt;"&amp;$P244)+(COUNTIFS($A$14:$A$1213,$A244,$P$14:$P$1213,"="&amp;$P244)+1)/2,"")</f>
        <v/>
      </c>
      <c r="AD244" s="27">
        <f>IF(ISNUMBER($Q244),COUNTIFS($A$14:$A$1213,$A244,$Q$14:$Q$1213,"&gt;"&amp;$Q244)+(COUNTIFS($A$14:$A$1213,$A244,$Q$14:$Q$1213,"="&amp;$Q244)+1)/2,"")</f>
        <v/>
      </c>
      <c r="AE244" s="27">
        <f>IF(ISNUMBER($R244),COUNTIFS($A$14:$A$1213,$A244,$R$14:$R$1213,"&gt;"&amp;$R244)+(COUNTIFS($A$14:$A$1213,$A244,$R$14:$R$1213,"="&amp;$R244)+1)/2,"")</f>
        <v/>
      </c>
      <c r="AF244" s="27">
        <f>IF(ISNUMBER($S244),COUNTIFS($A$14:$A$1213,$A244,$S$14:$S$1213,"&gt;"&amp;$S244)+(COUNTIFS($A$14:$A$1213,$A244,$S$14:$S$1213,"="&amp;$S244)+1)/2,"")</f>
        <v/>
      </c>
      <c r="AG244" s="27">
        <f>IF(ISNUMBER($T244),COUNTIFS($A$14:$A$1213,$A244,$T$14:$T$1213,"&gt;"&amp;$T244)+(COUNTIFS($A$14:$A$1213,$A244,$T$14:$T$1213,"="&amp;$T244)+1)/2,"")</f>
        <v/>
      </c>
      <c r="AH244" s="27">
        <f>IF(COUNT($AC244:$AG244)&lt;2,"",IF(MAX($AC244:$AG244)=MIN($AC244:$AG244),0,1))</f>
        <v/>
      </c>
      <c r="AI244" s="27">
        <f>IF($A244="","",IF(COUNTIF($A$14:$A244,$A244)=1,COUNTIF($AI$13:AI243,"&gt;0")+1,""))</f>
        <v/>
      </c>
      <c r="AJ244" s="27">
        <f>IF(OR($H244="",COUNTIFS($A$14:$A$1213,$H244,$F$14:$F$1213,"&gt;=0")&lt;2,COUNTIFS($A$14:$A$1213,$H244,$F$14:$F$1213,_xlfn.MAXIFS($F$14:$F$1213,$A$14:$A$1213,$H244))&gt;1),"",IFERROR(INDEX($D$14:$D$1213,MATCH($H244&amp;"|"&amp;_xlfn.MAXIFS($F$14:$F$1213,$A$14:$A$1213,$H244),$AB$14:$AB$1213,0)),""))</f>
        <v/>
      </c>
      <c r="AK244" s="27">
        <f>IF(OR($H244="",COUNTIFS($A$14:$A$1213,$H244,$F$14:$F$1213,"&gt;=0")&lt;2,COUNTIFS($A$14:$A$1213,$H244,$F$14:$F$1213,_xlfn.MAXIFS($F$14:$F$1213,$A$14:$A$1213,$H244))&gt;1),"",IFERROR(INDEX($E$14:$E$1213,MATCH($H244&amp;"|"&amp;_xlfn.MAXIFS($F$14:$F$1213,$A$14:$A$1213,$H244),$AB$14:$AB$1213,0)),""))</f>
        <v/>
      </c>
      <c r="AL244" s="27">
        <f>IF(OR($H244="",COUNTIFS($A$14:$A$1213,$H244,$F$14:$F$1213,"&gt;=0")&lt;2,COUNTIFS($A$14:$A$1213,$H244,$F$14:$F$1213,_xlfn.MAXIFS($F$14:$F$1213,$A$14:$A$1213,$H244))&gt;1),"",IFERROR(INDEX($D$14:$D$1213,MATCH($H244&amp;"|"&amp;_xlfn.MAXIFS($F$14:$F$1213,$A$14:$A$1213,$H244,$F$14:$F$1213,"&lt;"&amp;_xlfn.MAXIFS($F$14:$F$1213,$A$14:$A$1213,$H244)),$AB$14:$AB$1213,0)),""))</f>
        <v/>
      </c>
      <c r="AM244" s="27">
        <f>IF(OR($H244="",COUNTIFS($A$14:$A$1213,$H244,$F$14:$F$1213,"&gt;=0")&lt;2,COUNTIFS($A$14:$A$1213,$H244,$F$14:$F$1213,_xlfn.MAXIFS($F$14:$F$1213,$A$14:$A$1213,$H244))&gt;1),"",IFERROR(INDEX($E$14:$E$1213,MATCH($H244&amp;"|"&amp;_xlfn.MAXIFS($F$14:$F$1213,$A$14:$A$1213,$H244,$F$14:$F$1213,"&lt;"&amp;_xlfn.MAXIFS($F$14:$F$1213,$A$14:$A$1213,$H244)),$AB$14:$AB$1213,0)),""))</f>
        <v/>
      </c>
      <c r="AN244" s="27">
        <f>IF(OR(NOT(ISNUMBER($AJ244)),NOT(ISNUMBER($AL244)),$AK244=0,$AM244=0),"",IF(OR((($AJ244+$AL244)/($AK244+$AM244))&lt;=0,(($AJ244+$AL244)/($AK244+$AM244))&gt;=1),"",($AJ244/$AK244-$AL244/$AM244)/SQRT((($AJ244+$AL244)/($AK244+$AM244))*(1-(($AJ244+$AL244)/($AK244+$AM244)))*(1/$AK244+1/$AM244))))</f>
        <v/>
      </c>
      <c r="AO244" s="27">
        <f>IF($A244="","",IF(AND(COUNTIFS($A$14:$A$1213,$A244,$F$14:$F$1213,"&gt;=0")=2,IFERROR(INDEX($M$14:$M$313,MATCH($A244,$H$14:$H$313,0)),"Yes")&lt;&gt;"Yes"),1,0))</f>
        <v/>
      </c>
    </row>
    <row r="245" ht="24" customHeight="1">
      <c r="A245" s="19">
        <f>IF('Enter messages'!A245="","",'Enter messages'!A245)</f>
        <v/>
      </c>
      <c r="B245" s="20">
        <f>IF('Enter messages'!B245="","",'Enter messages'!B245)</f>
        <v/>
      </c>
      <c r="C245" s="21">
        <f>IFERROR(AVERAGE(P245:T245),"")</f>
        <v/>
      </c>
      <c r="D245" s="29" t="n"/>
      <c r="E245" s="29" t="n"/>
      <c r="F245" s="30">
        <f>IF(AND(ISNUMBER($D245),ISNUMBER($E245),$E245&gt;0,$D245&lt;=$E245),$D245/$E245,"")</f>
        <v/>
      </c>
      <c r="H245" s="19">
        <f>IFERROR(INDEX($A$14:$A$1213,MATCH(232,$AI$14:$AI$1213,0)),"")</f>
        <v/>
      </c>
      <c r="I245" s="24">
        <f>IF($H245="","",IF(COUNTIFS($A$14:$A$1213,$H245,$C$14:$C$1213,"&gt;=0")=0,"—",IFERROR(INDEX($B$14:$B$1213,MATCH($H245&amp;"|1",$Z$14:$Z$1213,0)),"(tied)")))</f>
        <v/>
      </c>
      <c r="J245" s="25">
        <f>IF($H245="","",IF(OR(COUNTIFS($A$14:$A$1213,$H245,$C$14:$C$1213,"&gt;=0")=0,COUNTIFS($A$14:$A$1213,$H245,$F$14:$F$1213,"&gt;=0")=0),"—",IF(OR(ISERROR(MATCH($H245&amp;"|1",$Z$14:$Z$1213,0)),ISERROR(MATCH($H245&amp;"|1",$AA$14:$AA$1213,0))),"Tie",IF(MATCH($H245&amp;"|1",$Z$14:$Z$1213,0)=MATCH($H245&amp;"|1",$AA$14:$AA$1213,0),"Hit","Miss"))))</f>
        <v/>
      </c>
      <c r="K245" s="24">
        <f>IF($H245="","",IF(COUNTIFS($A$14:$A$1213,$H245,$F$14:$F$1213,"&gt;=0")=0,"—",IFERROR(INDEX($B$14:$B$1213,MATCH($H245&amp;"|1",$AA$14:$AA$1213,0)),"(tied)")))</f>
        <v/>
      </c>
      <c r="L245" s="25">
        <f>IF($H245="","",IF((--(COUNTIFS($A$14:$A$1213,$H245,$P$14:$P$1213,"&gt;=0")&gt;0)+--(COUNTIFS($A$14:$A$1213,$H245,$Q$14:$Q$1213,"&gt;=0")&gt;0)+--(COUNTIFS($A$14:$A$1213,$H245,$R$14:$R$1213,"&gt;=0")&gt;0)+--(COUNTIFS($A$14:$A$1213,$H245,$S$14:$S$1213,"&gt;=0")&gt;0)+--(COUNTIFS($A$14:$A$1213,$H245,$T$14:$T$1213,"&gt;=0")&gt;0))&lt;2,"—",IF(SUMIFS($AH$14:$AH$1213,$A$14:$A$1213,$H245)=0,"Yes","No")))</f>
        <v/>
      </c>
      <c r="M245" s="25">
        <f>IF($H245="","",IF(COUNTIFS($A$14:$A$1213,$H245,$F$14:$F$1213,"&gt;=0")&lt;2,"—",IF(COUNTIFS($A$14:$A$1213,$H245,$F$14:$F$1213,_xlfn.MAXIFS($F$14:$F$1213,$A$14:$A$1213,$H245))&gt;1,"No",IF(NOT(ISNUMBER($AN245)),"—",IF((2*(1-NORMSDIST(ABS($AN245))))&lt;0.05,"Yes","No")))))</f>
        <v/>
      </c>
      <c r="N245" s="21">
        <f>IF($H245="","",IF(NOT(ISNUMBER($AN245)),"—",IF((2*(1-NORMSDIST(ABS($AN245))))&lt;0.001,"&lt;0.001",TEXT((2*(1-NORMSDIST(ABS($AN245)))),"0.000"))))</f>
        <v/>
      </c>
      <c r="P245" s="26" t="n"/>
      <c r="Q245" s="26" t="n"/>
      <c r="R245" s="26" t="n"/>
      <c r="S245" s="26" t="n"/>
      <c r="T245" s="26" t="n"/>
      <c r="V245" s="27">
        <f>IF(ISNUMBER($C245),COUNTIFS($A$14:$A$1213,$A245,$C$14:$C$1213,"&gt;"&amp;$C245)+(COUNTIFS($A$14:$A$1213,$A245,$C$14:$C$1213,"="&amp;$C245)+1)/2,"")</f>
        <v/>
      </c>
      <c r="W245" s="27">
        <f>IF(ISNUMBER($F245),COUNTIFS($A$14:$A$1213,$A245,$F$14:$F$1213,"&gt;"&amp;$F245)+(COUNTIFS($A$14:$A$1213,$A245,$F$14:$F$1213,"="&amp;$F245)+1)/2,"")</f>
        <v/>
      </c>
      <c r="X245" s="27">
        <f>IF(OR(NOT(ISNUMBER($V245)),$AO245=1),"",$V245-(COUNTIFS($A$14:$A$1213,$A245,$C$14:$C$1213,"&gt;=0")+1)/2)</f>
        <v/>
      </c>
      <c r="Y245" s="27">
        <f>IF(OR(NOT(ISNUMBER($W245)),$AO245=1),"",$W245-(COUNTIFS($A$14:$A$1213,$A245,$F$14:$F$1213,"&gt;=0")+1)/2)</f>
        <v/>
      </c>
      <c r="Z245" s="27">
        <f>IF(ISNUMBER($V245),$A245&amp;"|"&amp;$V245,"")</f>
        <v/>
      </c>
      <c r="AA245" s="27">
        <f>IF(ISNUMBER($W245),$A245&amp;"|"&amp;$W245,"")</f>
        <v/>
      </c>
      <c r="AB245" s="27">
        <f>IF(ISNUMBER($F245),$A245&amp;"|"&amp;$F245,"")</f>
        <v/>
      </c>
      <c r="AC245" s="27">
        <f>IF(ISNUMBER($P245),COUNTIFS($A$14:$A$1213,$A245,$P$14:$P$1213,"&gt;"&amp;$P245)+(COUNTIFS($A$14:$A$1213,$A245,$P$14:$P$1213,"="&amp;$P245)+1)/2,"")</f>
        <v/>
      </c>
      <c r="AD245" s="27">
        <f>IF(ISNUMBER($Q245),COUNTIFS($A$14:$A$1213,$A245,$Q$14:$Q$1213,"&gt;"&amp;$Q245)+(COUNTIFS($A$14:$A$1213,$A245,$Q$14:$Q$1213,"="&amp;$Q245)+1)/2,"")</f>
        <v/>
      </c>
      <c r="AE245" s="27">
        <f>IF(ISNUMBER($R245),COUNTIFS($A$14:$A$1213,$A245,$R$14:$R$1213,"&gt;"&amp;$R245)+(COUNTIFS($A$14:$A$1213,$A245,$R$14:$R$1213,"="&amp;$R245)+1)/2,"")</f>
        <v/>
      </c>
      <c r="AF245" s="27">
        <f>IF(ISNUMBER($S245),COUNTIFS($A$14:$A$1213,$A245,$S$14:$S$1213,"&gt;"&amp;$S245)+(COUNTIFS($A$14:$A$1213,$A245,$S$14:$S$1213,"="&amp;$S245)+1)/2,"")</f>
        <v/>
      </c>
      <c r="AG245" s="27">
        <f>IF(ISNUMBER($T245),COUNTIFS($A$14:$A$1213,$A245,$T$14:$T$1213,"&gt;"&amp;$T245)+(COUNTIFS($A$14:$A$1213,$A245,$T$14:$T$1213,"="&amp;$T245)+1)/2,"")</f>
        <v/>
      </c>
      <c r="AH245" s="27">
        <f>IF(COUNT($AC245:$AG245)&lt;2,"",IF(MAX($AC245:$AG245)=MIN($AC245:$AG245),0,1))</f>
        <v/>
      </c>
      <c r="AI245" s="27">
        <f>IF($A245="","",IF(COUNTIF($A$14:$A245,$A245)=1,COUNTIF($AI$13:AI244,"&gt;0")+1,""))</f>
        <v/>
      </c>
      <c r="AJ245" s="27">
        <f>IF(OR($H245="",COUNTIFS($A$14:$A$1213,$H245,$F$14:$F$1213,"&gt;=0")&lt;2,COUNTIFS($A$14:$A$1213,$H245,$F$14:$F$1213,_xlfn.MAXIFS($F$14:$F$1213,$A$14:$A$1213,$H245))&gt;1),"",IFERROR(INDEX($D$14:$D$1213,MATCH($H245&amp;"|"&amp;_xlfn.MAXIFS($F$14:$F$1213,$A$14:$A$1213,$H245),$AB$14:$AB$1213,0)),""))</f>
        <v/>
      </c>
      <c r="AK245" s="27">
        <f>IF(OR($H245="",COUNTIFS($A$14:$A$1213,$H245,$F$14:$F$1213,"&gt;=0")&lt;2,COUNTIFS($A$14:$A$1213,$H245,$F$14:$F$1213,_xlfn.MAXIFS($F$14:$F$1213,$A$14:$A$1213,$H245))&gt;1),"",IFERROR(INDEX($E$14:$E$1213,MATCH($H245&amp;"|"&amp;_xlfn.MAXIFS($F$14:$F$1213,$A$14:$A$1213,$H245),$AB$14:$AB$1213,0)),""))</f>
        <v/>
      </c>
      <c r="AL245" s="27">
        <f>IF(OR($H245="",COUNTIFS($A$14:$A$1213,$H245,$F$14:$F$1213,"&gt;=0")&lt;2,COUNTIFS($A$14:$A$1213,$H245,$F$14:$F$1213,_xlfn.MAXIFS($F$14:$F$1213,$A$14:$A$1213,$H245))&gt;1),"",IFERROR(INDEX($D$14:$D$1213,MATCH($H245&amp;"|"&amp;_xlfn.MAXIFS($F$14:$F$1213,$A$14:$A$1213,$H245,$F$14:$F$1213,"&lt;"&amp;_xlfn.MAXIFS($F$14:$F$1213,$A$14:$A$1213,$H245)),$AB$14:$AB$1213,0)),""))</f>
        <v/>
      </c>
      <c r="AM245" s="27">
        <f>IF(OR($H245="",COUNTIFS($A$14:$A$1213,$H245,$F$14:$F$1213,"&gt;=0")&lt;2,COUNTIFS($A$14:$A$1213,$H245,$F$14:$F$1213,_xlfn.MAXIFS($F$14:$F$1213,$A$14:$A$1213,$H245))&gt;1),"",IFERROR(INDEX($E$14:$E$1213,MATCH($H245&amp;"|"&amp;_xlfn.MAXIFS($F$14:$F$1213,$A$14:$A$1213,$H245,$F$14:$F$1213,"&lt;"&amp;_xlfn.MAXIFS($F$14:$F$1213,$A$14:$A$1213,$H245)),$AB$14:$AB$1213,0)),""))</f>
        <v/>
      </c>
      <c r="AN245" s="27">
        <f>IF(OR(NOT(ISNUMBER($AJ245)),NOT(ISNUMBER($AL245)),$AK245=0,$AM245=0),"",IF(OR((($AJ245+$AL245)/($AK245+$AM245))&lt;=0,(($AJ245+$AL245)/($AK245+$AM245))&gt;=1),"",($AJ245/$AK245-$AL245/$AM245)/SQRT((($AJ245+$AL245)/($AK245+$AM245))*(1-(($AJ245+$AL245)/($AK245+$AM245)))*(1/$AK245+1/$AM245))))</f>
        <v/>
      </c>
      <c r="AO245" s="27">
        <f>IF($A245="","",IF(AND(COUNTIFS($A$14:$A$1213,$A245,$F$14:$F$1213,"&gt;=0")=2,IFERROR(INDEX($M$14:$M$313,MATCH($A245,$H$14:$H$313,0)),"Yes")&lt;&gt;"Yes"),1,0))</f>
        <v/>
      </c>
    </row>
    <row r="246" ht="24" customHeight="1">
      <c r="A246" s="19">
        <f>IF('Enter messages'!A246="","",'Enter messages'!A246)</f>
        <v/>
      </c>
      <c r="B246" s="20">
        <f>IF('Enter messages'!B246="","",'Enter messages'!B246)</f>
        <v/>
      </c>
      <c r="C246" s="21">
        <f>IFERROR(AVERAGE(P246:T246),"")</f>
        <v/>
      </c>
      <c r="D246" s="29" t="n"/>
      <c r="E246" s="29" t="n"/>
      <c r="F246" s="30">
        <f>IF(AND(ISNUMBER($D246),ISNUMBER($E246),$E246&gt;0,$D246&lt;=$E246),$D246/$E246,"")</f>
        <v/>
      </c>
      <c r="H246" s="19">
        <f>IFERROR(INDEX($A$14:$A$1213,MATCH(233,$AI$14:$AI$1213,0)),"")</f>
        <v/>
      </c>
      <c r="I246" s="24">
        <f>IF($H246="","",IF(COUNTIFS($A$14:$A$1213,$H246,$C$14:$C$1213,"&gt;=0")=0,"—",IFERROR(INDEX($B$14:$B$1213,MATCH($H246&amp;"|1",$Z$14:$Z$1213,0)),"(tied)")))</f>
        <v/>
      </c>
      <c r="J246" s="25">
        <f>IF($H246="","",IF(OR(COUNTIFS($A$14:$A$1213,$H246,$C$14:$C$1213,"&gt;=0")=0,COUNTIFS($A$14:$A$1213,$H246,$F$14:$F$1213,"&gt;=0")=0),"—",IF(OR(ISERROR(MATCH($H246&amp;"|1",$Z$14:$Z$1213,0)),ISERROR(MATCH($H246&amp;"|1",$AA$14:$AA$1213,0))),"Tie",IF(MATCH($H246&amp;"|1",$Z$14:$Z$1213,0)=MATCH($H246&amp;"|1",$AA$14:$AA$1213,0),"Hit","Miss"))))</f>
        <v/>
      </c>
      <c r="K246" s="24">
        <f>IF($H246="","",IF(COUNTIFS($A$14:$A$1213,$H246,$F$14:$F$1213,"&gt;=0")=0,"—",IFERROR(INDEX($B$14:$B$1213,MATCH($H246&amp;"|1",$AA$14:$AA$1213,0)),"(tied)")))</f>
        <v/>
      </c>
      <c r="L246" s="25">
        <f>IF($H246="","",IF((--(COUNTIFS($A$14:$A$1213,$H246,$P$14:$P$1213,"&gt;=0")&gt;0)+--(COUNTIFS($A$14:$A$1213,$H246,$Q$14:$Q$1213,"&gt;=0")&gt;0)+--(COUNTIFS($A$14:$A$1213,$H246,$R$14:$R$1213,"&gt;=0")&gt;0)+--(COUNTIFS($A$14:$A$1213,$H246,$S$14:$S$1213,"&gt;=0")&gt;0)+--(COUNTIFS($A$14:$A$1213,$H246,$T$14:$T$1213,"&gt;=0")&gt;0))&lt;2,"—",IF(SUMIFS($AH$14:$AH$1213,$A$14:$A$1213,$H246)=0,"Yes","No")))</f>
        <v/>
      </c>
      <c r="M246" s="25">
        <f>IF($H246="","",IF(COUNTIFS($A$14:$A$1213,$H246,$F$14:$F$1213,"&gt;=0")&lt;2,"—",IF(COUNTIFS($A$14:$A$1213,$H246,$F$14:$F$1213,_xlfn.MAXIFS($F$14:$F$1213,$A$14:$A$1213,$H246))&gt;1,"No",IF(NOT(ISNUMBER($AN246)),"—",IF((2*(1-NORMSDIST(ABS($AN246))))&lt;0.05,"Yes","No")))))</f>
        <v/>
      </c>
      <c r="N246" s="21">
        <f>IF($H246="","",IF(NOT(ISNUMBER($AN246)),"—",IF((2*(1-NORMSDIST(ABS($AN246))))&lt;0.001,"&lt;0.001",TEXT((2*(1-NORMSDIST(ABS($AN246)))),"0.000"))))</f>
        <v/>
      </c>
      <c r="P246" s="26" t="n"/>
      <c r="Q246" s="26" t="n"/>
      <c r="R246" s="26" t="n"/>
      <c r="S246" s="26" t="n"/>
      <c r="T246" s="26" t="n"/>
      <c r="V246" s="27">
        <f>IF(ISNUMBER($C246),COUNTIFS($A$14:$A$1213,$A246,$C$14:$C$1213,"&gt;"&amp;$C246)+(COUNTIFS($A$14:$A$1213,$A246,$C$14:$C$1213,"="&amp;$C246)+1)/2,"")</f>
        <v/>
      </c>
      <c r="W246" s="27">
        <f>IF(ISNUMBER($F246),COUNTIFS($A$14:$A$1213,$A246,$F$14:$F$1213,"&gt;"&amp;$F246)+(COUNTIFS($A$14:$A$1213,$A246,$F$14:$F$1213,"="&amp;$F246)+1)/2,"")</f>
        <v/>
      </c>
      <c r="X246" s="27">
        <f>IF(OR(NOT(ISNUMBER($V246)),$AO246=1),"",$V246-(COUNTIFS($A$14:$A$1213,$A246,$C$14:$C$1213,"&gt;=0")+1)/2)</f>
        <v/>
      </c>
      <c r="Y246" s="27">
        <f>IF(OR(NOT(ISNUMBER($W246)),$AO246=1),"",$W246-(COUNTIFS($A$14:$A$1213,$A246,$F$14:$F$1213,"&gt;=0")+1)/2)</f>
        <v/>
      </c>
      <c r="Z246" s="27">
        <f>IF(ISNUMBER($V246),$A246&amp;"|"&amp;$V246,"")</f>
        <v/>
      </c>
      <c r="AA246" s="27">
        <f>IF(ISNUMBER($W246),$A246&amp;"|"&amp;$W246,"")</f>
        <v/>
      </c>
      <c r="AB246" s="27">
        <f>IF(ISNUMBER($F246),$A246&amp;"|"&amp;$F246,"")</f>
        <v/>
      </c>
      <c r="AC246" s="27">
        <f>IF(ISNUMBER($P246),COUNTIFS($A$14:$A$1213,$A246,$P$14:$P$1213,"&gt;"&amp;$P246)+(COUNTIFS($A$14:$A$1213,$A246,$P$14:$P$1213,"="&amp;$P246)+1)/2,"")</f>
        <v/>
      </c>
      <c r="AD246" s="27">
        <f>IF(ISNUMBER($Q246),COUNTIFS($A$14:$A$1213,$A246,$Q$14:$Q$1213,"&gt;"&amp;$Q246)+(COUNTIFS($A$14:$A$1213,$A246,$Q$14:$Q$1213,"="&amp;$Q246)+1)/2,"")</f>
        <v/>
      </c>
      <c r="AE246" s="27">
        <f>IF(ISNUMBER($R246),COUNTIFS($A$14:$A$1213,$A246,$R$14:$R$1213,"&gt;"&amp;$R246)+(COUNTIFS($A$14:$A$1213,$A246,$R$14:$R$1213,"="&amp;$R246)+1)/2,"")</f>
        <v/>
      </c>
      <c r="AF246" s="27">
        <f>IF(ISNUMBER($S246),COUNTIFS($A$14:$A$1213,$A246,$S$14:$S$1213,"&gt;"&amp;$S246)+(COUNTIFS($A$14:$A$1213,$A246,$S$14:$S$1213,"="&amp;$S246)+1)/2,"")</f>
        <v/>
      </c>
      <c r="AG246" s="27">
        <f>IF(ISNUMBER($T246),COUNTIFS($A$14:$A$1213,$A246,$T$14:$T$1213,"&gt;"&amp;$T246)+(COUNTIFS($A$14:$A$1213,$A246,$T$14:$T$1213,"="&amp;$T246)+1)/2,"")</f>
        <v/>
      </c>
      <c r="AH246" s="27">
        <f>IF(COUNT($AC246:$AG246)&lt;2,"",IF(MAX($AC246:$AG246)=MIN($AC246:$AG246),0,1))</f>
        <v/>
      </c>
      <c r="AI246" s="27">
        <f>IF($A246="","",IF(COUNTIF($A$14:$A246,$A246)=1,COUNTIF($AI$13:AI245,"&gt;0")+1,""))</f>
        <v/>
      </c>
      <c r="AJ246" s="27">
        <f>IF(OR($H246="",COUNTIFS($A$14:$A$1213,$H246,$F$14:$F$1213,"&gt;=0")&lt;2,COUNTIFS($A$14:$A$1213,$H246,$F$14:$F$1213,_xlfn.MAXIFS($F$14:$F$1213,$A$14:$A$1213,$H246))&gt;1),"",IFERROR(INDEX($D$14:$D$1213,MATCH($H246&amp;"|"&amp;_xlfn.MAXIFS($F$14:$F$1213,$A$14:$A$1213,$H246),$AB$14:$AB$1213,0)),""))</f>
        <v/>
      </c>
      <c r="AK246" s="27">
        <f>IF(OR($H246="",COUNTIFS($A$14:$A$1213,$H246,$F$14:$F$1213,"&gt;=0")&lt;2,COUNTIFS($A$14:$A$1213,$H246,$F$14:$F$1213,_xlfn.MAXIFS($F$14:$F$1213,$A$14:$A$1213,$H246))&gt;1),"",IFERROR(INDEX($E$14:$E$1213,MATCH($H246&amp;"|"&amp;_xlfn.MAXIFS($F$14:$F$1213,$A$14:$A$1213,$H246),$AB$14:$AB$1213,0)),""))</f>
        <v/>
      </c>
      <c r="AL246" s="27">
        <f>IF(OR($H246="",COUNTIFS($A$14:$A$1213,$H246,$F$14:$F$1213,"&gt;=0")&lt;2,COUNTIFS($A$14:$A$1213,$H246,$F$14:$F$1213,_xlfn.MAXIFS($F$14:$F$1213,$A$14:$A$1213,$H246))&gt;1),"",IFERROR(INDEX($D$14:$D$1213,MATCH($H246&amp;"|"&amp;_xlfn.MAXIFS($F$14:$F$1213,$A$14:$A$1213,$H246,$F$14:$F$1213,"&lt;"&amp;_xlfn.MAXIFS($F$14:$F$1213,$A$14:$A$1213,$H246)),$AB$14:$AB$1213,0)),""))</f>
        <v/>
      </c>
      <c r="AM246" s="27">
        <f>IF(OR($H246="",COUNTIFS($A$14:$A$1213,$H246,$F$14:$F$1213,"&gt;=0")&lt;2,COUNTIFS($A$14:$A$1213,$H246,$F$14:$F$1213,_xlfn.MAXIFS($F$14:$F$1213,$A$14:$A$1213,$H246))&gt;1),"",IFERROR(INDEX($E$14:$E$1213,MATCH($H246&amp;"|"&amp;_xlfn.MAXIFS($F$14:$F$1213,$A$14:$A$1213,$H246,$F$14:$F$1213,"&lt;"&amp;_xlfn.MAXIFS($F$14:$F$1213,$A$14:$A$1213,$H246)),$AB$14:$AB$1213,0)),""))</f>
        <v/>
      </c>
      <c r="AN246" s="27">
        <f>IF(OR(NOT(ISNUMBER($AJ246)),NOT(ISNUMBER($AL246)),$AK246=0,$AM246=0),"",IF(OR((($AJ246+$AL246)/($AK246+$AM246))&lt;=0,(($AJ246+$AL246)/($AK246+$AM246))&gt;=1),"",($AJ246/$AK246-$AL246/$AM246)/SQRT((($AJ246+$AL246)/($AK246+$AM246))*(1-(($AJ246+$AL246)/($AK246+$AM246)))*(1/$AK246+1/$AM246))))</f>
        <v/>
      </c>
      <c r="AO246" s="27">
        <f>IF($A246="","",IF(AND(COUNTIFS($A$14:$A$1213,$A246,$F$14:$F$1213,"&gt;=0")=2,IFERROR(INDEX($M$14:$M$313,MATCH($A246,$H$14:$H$313,0)),"Yes")&lt;&gt;"Yes"),1,0))</f>
        <v/>
      </c>
    </row>
    <row r="247" ht="24" customHeight="1">
      <c r="A247" s="19">
        <f>IF('Enter messages'!A247="","",'Enter messages'!A247)</f>
        <v/>
      </c>
      <c r="B247" s="20">
        <f>IF('Enter messages'!B247="","",'Enter messages'!B247)</f>
        <v/>
      </c>
      <c r="C247" s="21">
        <f>IFERROR(AVERAGE(P247:T247),"")</f>
        <v/>
      </c>
      <c r="D247" s="29" t="n"/>
      <c r="E247" s="29" t="n"/>
      <c r="F247" s="30">
        <f>IF(AND(ISNUMBER($D247),ISNUMBER($E247),$E247&gt;0,$D247&lt;=$E247),$D247/$E247,"")</f>
        <v/>
      </c>
      <c r="H247" s="19">
        <f>IFERROR(INDEX($A$14:$A$1213,MATCH(234,$AI$14:$AI$1213,0)),"")</f>
        <v/>
      </c>
      <c r="I247" s="24">
        <f>IF($H247="","",IF(COUNTIFS($A$14:$A$1213,$H247,$C$14:$C$1213,"&gt;=0")=0,"—",IFERROR(INDEX($B$14:$B$1213,MATCH($H247&amp;"|1",$Z$14:$Z$1213,0)),"(tied)")))</f>
        <v/>
      </c>
      <c r="J247" s="25">
        <f>IF($H247="","",IF(OR(COUNTIFS($A$14:$A$1213,$H247,$C$14:$C$1213,"&gt;=0")=0,COUNTIFS($A$14:$A$1213,$H247,$F$14:$F$1213,"&gt;=0")=0),"—",IF(OR(ISERROR(MATCH($H247&amp;"|1",$Z$14:$Z$1213,0)),ISERROR(MATCH($H247&amp;"|1",$AA$14:$AA$1213,0))),"Tie",IF(MATCH($H247&amp;"|1",$Z$14:$Z$1213,0)=MATCH($H247&amp;"|1",$AA$14:$AA$1213,0),"Hit","Miss"))))</f>
        <v/>
      </c>
      <c r="K247" s="24">
        <f>IF($H247="","",IF(COUNTIFS($A$14:$A$1213,$H247,$F$14:$F$1213,"&gt;=0")=0,"—",IFERROR(INDEX($B$14:$B$1213,MATCH($H247&amp;"|1",$AA$14:$AA$1213,0)),"(tied)")))</f>
        <v/>
      </c>
      <c r="L247" s="25">
        <f>IF($H247="","",IF((--(COUNTIFS($A$14:$A$1213,$H247,$P$14:$P$1213,"&gt;=0")&gt;0)+--(COUNTIFS($A$14:$A$1213,$H247,$Q$14:$Q$1213,"&gt;=0")&gt;0)+--(COUNTIFS($A$14:$A$1213,$H247,$R$14:$R$1213,"&gt;=0")&gt;0)+--(COUNTIFS($A$14:$A$1213,$H247,$S$14:$S$1213,"&gt;=0")&gt;0)+--(COUNTIFS($A$14:$A$1213,$H247,$T$14:$T$1213,"&gt;=0")&gt;0))&lt;2,"—",IF(SUMIFS($AH$14:$AH$1213,$A$14:$A$1213,$H247)=0,"Yes","No")))</f>
        <v/>
      </c>
      <c r="M247" s="25">
        <f>IF($H247="","",IF(COUNTIFS($A$14:$A$1213,$H247,$F$14:$F$1213,"&gt;=0")&lt;2,"—",IF(COUNTIFS($A$14:$A$1213,$H247,$F$14:$F$1213,_xlfn.MAXIFS($F$14:$F$1213,$A$14:$A$1213,$H247))&gt;1,"No",IF(NOT(ISNUMBER($AN247)),"—",IF((2*(1-NORMSDIST(ABS($AN247))))&lt;0.05,"Yes","No")))))</f>
        <v/>
      </c>
      <c r="N247" s="21">
        <f>IF($H247="","",IF(NOT(ISNUMBER($AN247)),"—",IF((2*(1-NORMSDIST(ABS($AN247))))&lt;0.001,"&lt;0.001",TEXT((2*(1-NORMSDIST(ABS($AN247)))),"0.000"))))</f>
        <v/>
      </c>
      <c r="P247" s="26" t="n"/>
      <c r="Q247" s="26" t="n"/>
      <c r="R247" s="26" t="n"/>
      <c r="S247" s="26" t="n"/>
      <c r="T247" s="26" t="n"/>
      <c r="V247" s="27">
        <f>IF(ISNUMBER($C247),COUNTIFS($A$14:$A$1213,$A247,$C$14:$C$1213,"&gt;"&amp;$C247)+(COUNTIFS($A$14:$A$1213,$A247,$C$14:$C$1213,"="&amp;$C247)+1)/2,"")</f>
        <v/>
      </c>
      <c r="W247" s="27">
        <f>IF(ISNUMBER($F247),COUNTIFS($A$14:$A$1213,$A247,$F$14:$F$1213,"&gt;"&amp;$F247)+(COUNTIFS($A$14:$A$1213,$A247,$F$14:$F$1213,"="&amp;$F247)+1)/2,"")</f>
        <v/>
      </c>
      <c r="X247" s="27">
        <f>IF(OR(NOT(ISNUMBER($V247)),$AO247=1),"",$V247-(COUNTIFS($A$14:$A$1213,$A247,$C$14:$C$1213,"&gt;=0")+1)/2)</f>
        <v/>
      </c>
      <c r="Y247" s="27">
        <f>IF(OR(NOT(ISNUMBER($W247)),$AO247=1),"",$W247-(COUNTIFS($A$14:$A$1213,$A247,$F$14:$F$1213,"&gt;=0")+1)/2)</f>
        <v/>
      </c>
      <c r="Z247" s="27">
        <f>IF(ISNUMBER($V247),$A247&amp;"|"&amp;$V247,"")</f>
        <v/>
      </c>
      <c r="AA247" s="27">
        <f>IF(ISNUMBER($W247),$A247&amp;"|"&amp;$W247,"")</f>
        <v/>
      </c>
      <c r="AB247" s="27">
        <f>IF(ISNUMBER($F247),$A247&amp;"|"&amp;$F247,"")</f>
        <v/>
      </c>
      <c r="AC247" s="27">
        <f>IF(ISNUMBER($P247),COUNTIFS($A$14:$A$1213,$A247,$P$14:$P$1213,"&gt;"&amp;$P247)+(COUNTIFS($A$14:$A$1213,$A247,$P$14:$P$1213,"="&amp;$P247)+1)/2,"")</f>
        <v/>
      </c>
      <c r="AD247" s="27">
        <f>IF(ISNUMBER($Q247),COUNTIFS($A$14:$A$1213,$A247,$Q$14:$Q$1213,"&gt;"&amp;$Q247)+(COUNTIFS($A$14:$A$1213,$A247,$Q$14:$Q$1213,"="&amp;$Q247)+1)/2,"")</f>
        <v/>
      </c>
      <c r="AE247" s="27">
        <f>IF(ISNUMBER($R247),COUNTIFS($A$14:$A$1213,$A247,$R$14:$R$1213,"&gt;"&amp;$R247)+(COUNTIFS($A$14:$A$1213,$A247,$R$14:$R$1213,"="&amp;$R247)+1)/2,"")</f>
        <v/>
      </c>
      <c r="AF247" s="27">
        <f>IF(ISNUMBER($S247),COUNTIFS($A$14:$A$1213,$A247,$S$14:$S$1213,"&gt;"&amp;$S247)+(COUNTIFS($A$14:$A$1213,$A247,$S$14:$S$1213,"="&amp;$S247)+1)/2,"")</f>
        <v/>
      </c>
      <c r="AG247" s="27">
        <f>IF(ISNUMBER($T247),COUNTIFS($A$14:$A$1213,$A247,$T$14:$T$1213,"&gt;"&amp;$T247)+(COUNTIFS($A$14:$A$1213,$A247,$T$14:$T$1213,"="&amp;$T247)+1)/2,"")</f>
        <v/>
      </c>
      <c r="AH247" s="27">
        <f>IF(COUNT($AC247:$AG247)&lt;2,"",IF(MAX($AC247:$AG247)=MIN($AC247:$AG247),0,1))</f>
        <v/>
      </c>
      <c r="AI247" s="27">
        <f>IF($A247="","",IF(COUNTIF($A$14:$A247,$A247)=1,COUNTIF($AI$13:AI246,"&gt;0")+1,""))</f>
        <v/>
      </c>
      <c r="AJ247" s="27">
        <f>IF(OR($H247="",COUNTIFS($A$14:$A$1213,$H247,$F$14:$F$1213,"&gt;=0")&lt;2,COUNTIFS($A$14:$A$1213,$H247,$F$14:$F$1213,_xlfn.MAXIFS($F$14:$F$1213,$A$14:$A$1213,$H247))&gt;1),"",IFERROR(INDEX($D$14:$D$1213,MATCH($H247&amp;"|"&amp;_xlfn.MAXIFS($F$14:$F$1213,$A$14:$A$1213,$H247),$AB$14:$AB$1213,0)),""))</f>
        <v/>
      </c>
      <c r="AK247" s="27">
        <f>IF(OR($H247="",COUNTIFS($A$14:$A$1213,$H247,$F$14:$F$1213,"&gt;=0")&lt;2,COUNTIFS($A$14:$A$1213,$H247,$F$14:$F$1213,_xlfn.MAXIFS($F$14:$F$1213,$A$14:$A$1213,$H247))&gt;1),"",IFERROR(INDEX($E$14:$E$1213,MATCH($H247&amp;"|"&amp;_xlfn.MAXIFS($F$14:$F$1213,$A$14:$A$1213,$H247),$AB$14:$AB$1213,0)),""))</f>
        <v/>
      </c>
      <c r="AL247" s="27">
        <f>IF(OR($H247="",COUNTIFS($A$14:$A$1213,$H247,$F$14:$F$1213,"&gt;=0")&lt;2,COUNTIFS($A$14:$A$1213,$H247,$F$14:$F$1213,_xlfn.MAXIFS($F$14:$F$1213,$A$14:$A$1213,$H247))&gt;1),"",IFERROR(INDEX($D$14:$D$1213,MATCH($H247&amp;"|"&amp;_xlfn.MAXIFS($F$14:$F$1213,$A$14:$A$1213,$H247,$F$14:$F$1213,"&lt;"&amp;_xlfn.MAXIFS($F$14:$F$1213,$A$14:$A$1213,$H247)),$AB$14:$AB$1213,0)),""))</f>
        <v/>
      </c>
      <c r="AM247" s="27">
        <f>IF(OR($H247="",COUNTIFS($A$14:$A$1213,$H247,$F$14:$F$1213,"&gt;=0")&lt;2,COUNTIFS($A$14:$A$1213,$H247,$F$14:$F$1213,_xlfn.MAXIFS($F$14:$F$1213,$A$14:$A$1213,$H247))&gt;1),"",IFERROR(INDEX($E$14:$E$1213,MATCH($H247&amp;"|"&amp;_xlfn.MAXIFS($F$14:$F$1213,$A$14:$A$1213,$H247,$F$14:$F$1213,"&lt;"&amp;_xlfn.MAXIFS($F$14:$F$1213,$A$14:$A$1213,$H247)),$AB$14:$AB$1213,0)),""))</f>
        <v/>
      </c>
      <c r="AN247" s="27">
        <f>IF(OR(NOT(ISNUMBER($AJ247)),NOT(ISNUMBER($AL247)),$AK247=0,$AM247=0),"",IF(OR((($AJ247+$AL247)/($AK247+$AM247))&lt;=0,(($AJ247+$AL247)/($AK247+$AM247))&gt;=1),"",($AJ247/$AK247-$AL247/$AM247)/SQRT((($AJ247+$AL247)/($AK247+$AM247))*(1-(($AJ247+$AL247)/($AK247+$AM247)))*(1/$AK247+1/$AM247))))</f>
        <v/>
      </c>
      <c r="AO247" s="27">
        <f>IF($A247="","",IF(AND(COUNTIFS($A$14:$A$1213,$A247,$F$14:$F$1213,"&gt;=0")=2,IFERROR(INDEX($M$14:$M$313,MATCH($A247,$H$14:$H$313,0)),"Yes")&lt;&gt;"Yes"),1,0))</f>
        <v/>
      </c>
    </row>
    <row r="248" ht="24" customHeight="1">
      <c r="A248" s="19">
        <f>IF('Enter messages'!A248="","",'Enter messages'!A248)</f>
        <v/>
      </c>
      <c r="B248" s="20">
        <f>IF('Enter messages'!B248="","",'Enter messages'!B248)</f>
        <v/>
      </c>
      <c r="C248" s="21">
        <f>IFERROR(AVERAGE(P248:T248),"")</f>
        <v/>
      </c>
      <c r="D248" s="29" t="n"/>
      <c r="E248" s="29" t="n"/>
      <c r="F248" s="30">
        <f>IF(AND(ISNUMBER($D248),ISNUMBER($E248),$E248&gt;0,$D248&lt;=$E248),$D248/$E248,"")</f>
        <v/>
      </c>
      <c r="H248" s="19">
        <f>IFERROR(INDEX($A$14:$A$1213,MATCH(235,$AI$14:$AI$1213,0)),"")</f>
        <v/>
      </c>
      <c r="I248" s="24">
        <f>IF($H248="","",IF(COUNTIFS($A$14:$A$1213,$H248,$C$14:$C$1213,"&gt;=0")=0,"—",IFERROR(INDEX($B$14:$B$1213,MATCH($H248&amp;"|1",$Z$14:$Z$1213,0)),"(tied)")))</f>
        <v/>
      </c>
      <c r="J248" s="25">
        <f>IF($H248="","",IF(OR(COUNTIFS($A$14:$A$1213,$H248,$C$14:$C$1213,"&gt;=0")=0,COUNTIFS($A$14:$A$1213,$H248,$F$14:$F$1213,"&gt;=0")=0),"—",IF(OR(ISERROR(MATCH($H248&amp;"|1",$Z$14:$Z$1213,0)),ISERROR(MATCH($H248&amp;"|1",$AA$14:$AA$1213,0))),"Tie",IF(MATCH($H248&amp;"|1",$Z$14:$Z$1213,0)=MATCH($H248&amp;"|1",$AA$14:$AA$1213,0),"Hit","Miss"))))</f>
        <v/>
      </c>
      <c r="K248" s="24">
        <f>IF($H248="","",IF(COUNTIFS($A$14:$A$1213,$H248,$F$14:$F$1213,"&gt;=0")=0,"—",IFERROR(INDEX($B$14:$B$1213,MATCH($H248&amp;"|1",$AA$14:$AA$1213,0)),"(tied)")))</f>
        <v/>
      </c>
      <c r="L248" s="25">
        <f>IF($H248="","",IF((--(COUNTIFS($A$14:$A$1213,$H248,$P$14:$P$1213,"&gt;=0")&gt;0)+--(COUNTIFS($A$14:$A$1213,$H248,$Q$14:$Q$1213,"&gt;=0")&gt;0)+--(COUNTIFS($A$14:$A$1213,$H248,$R$14:$R$1213,"&gt;=0")&gt;0)+--(COUNTIFS($A$14:$A$1213,$H248,$S$14:$S$1213,"&gt;=0")&gt;0)+--(COUNTIFS($A$14:$A$1213,$H248,$T$14:$T$1213,"&gt;=0")&gt;0))&lt;2,"—",IF(SUMIFS($AH$14:$AH$1213,$A$14:$A$1213,$H248)=0,"Yes","No")))</f>
        <v/>
      </c>
      <c r="M248" s="25">
        <f>IF($H248="","",IF(COUNTIFS($A$14:$A$1213,$H248,$F$14:$F$1213,"&gt;=0")&lt;2,"—",IF(COUNTIFS($A$14:$A$1213,$H248,$F$14:$F$1213,_xlfn.MAXIFS($F$14:$F$1213,$A$14:$A$1213,$H248))&gt;1,"No",IF(NOT(ISNUMBER($AN248)),"—",IF((2*(1-NORMSDIST(ABS($AN248))))&lt;0.05,"Yes","No")))))</f>
        <v/>
      </c>
      <c r="N248" s="21">
        <f>IF($H248="","",IF(NOT(ISNUMBER($AN248)),"—",IF((2*(1-NORMSDIST(ABS($AN248))))&lt;0.001,"&lt;0.001",TEXT((2*(1-NORMSDIST(ABS($AN248)))),"0.000"))))</f>
        <v/>
      </c>
      <c r="P248" s="26" t="n"/>
      <c r="Q248" s="26" t="n"/>
      <c r="R248" s="26" t="n"/>
      <c r="S248" s="26" t="n"/>
      <c r="T248" s="26" t="n"/>
      <c r="V248" s="27">
        <f>IF(ISNUMBER($C248),COUNTIFS($A$14:$A$1213,$A248,$C$14:$C$1213,"&gt;"&amp;$C248)+(COUNTIFS($A$14:$A$1213,$A248,$C$14:$C$1213,"="&amp;$C248)+1)/2,"")</f>
        <v/>
      </c>
      <c r="W248" s="27">
        <f>IF(ISNUMBER($F248),COUNTIFS($A$14:$A$1213,$A248,$F$14:$F$1213,"&gt;"&amp;$F248)+(COUNTIFS($A$14:$A$1213,$A248,$F$14:$F$1213,"="&amp;$F248)+1)/2,"")</f>
        <v/>
      </c>
      <c r="X248" s="27">
        <f>IF(OR(NOT(ISNUMBER($V248)),$AO248=1),"",$V248-(COUNTIFS($A$14:$A$1213,$A248,$C$14:$C$1213,"&gt;=0")+1)/2)</f>
        <v/>
      </c>
      <c r="Y248" s="27">
        <f>IF(OR(NOT(ISNUMBER($W248)),$AO248=1),"",$W248-(COUNTIFS($A$14:$A$1213,$A248,$F$14:$F$1213,"&gt;=0")+1)/2)</f>
        <v/>
      </c>
      <c r="Z248" s="27">
        <f>IF(ISNUMBER($V248),$A248&amp;"|"&amp;$V248,"")</f>
        <v/>
      </c>
      <c r="AA248" s="27">
        <f>IF(ISNUMBER($W248),$A248&amp;"|"&amp;$W248,"")</f>
        <v/>
      </c>
      <c r="AB248" s="27">
        <f>IF(ISNUMBER($F248),$A248&amp;"|"&amp;$F248,"")</f>
        <v/>
      </c>
      <c r="AC248" s="27">
        <f>IF(ISNUMBER($P248),COUNTIFS($A$14:$A$1213,$A248,$P$14:$P$1213,"&gt;"&amp;$P248)+(COUNTIFS($A$14:$A$1213,$A248,$P$14:$P$1213,"="&amp;$P248)+1)/2,"")</f>
        <v/>
      </c>
      <c r="AD248" s="27">
        <f>IF(ISNUMBER($Q248),COUNTIFS($A$14:$A$1213,$A248,$Q$14:$Q$1213,"&gt;"&amp;$Q248)+(COUNTIFS($A$14:$A$1213,$A248,$Q$14:$Q$1213,"="&amp;$Q248)+1)/2,"")</f>
        <v/>
      </c>
      <c r="AE248" s="27">
        <f>IF(ISNUMBER($R248),COUNTIFS($A$14:$A$1213,$A248,$R$14:$R$1213,"&gt;"&amp;$R248)+(COUNTIFS($A$14:$A$1213,$A248,$R$14:$R$1213,"="&amp;$R248)+1)/2,"")</f>
        <v/>
      </c>
      <c r="AF248" s="27">
        <f>IF(ISNUMBER($S248),COUNTIFS($A$14:$A$1213,$A248,$S$14:$S$1213,"&gt;"&amp;$S248)+(COUNTIFS($A$14:$A$1213,$A248,$S$14:$S$1213,"="&amp;$S248)+1)/2,"")</f>
        <v/>
      </c>
      <c r="AG248" s="27">
        <f>IF(ISNUMBER($T248),COUNTIFS($A$14:$A$1213,$A248,$T$14:$T$1213,"&gt;"&amp;$T248)+(COUNTIFS($A$14:$A$1213,$A248,$T$14:$T$1213,"="&amp;$T248)+1)/2,"")</f>
        <v/>
      </c>
      <c r="AH248" s="27">
        <f>IF(COUNT($AC248:$AG248)&lt;2,"",IF(MAX($AC248:$AG248)=MIN($AC248:$AG248),0,1))</f>
        <v/>
      </c>
      <c r="AI248" s="27">
        <f>IF($A248="","",IF(COUNTIF($A$14:$A248,$A248)=1,COUNTIF($AI$13:AI247,"&gt;0")+1,""))</f>
        <v/>
      </c>
      <c r="AJ248" s="27">
        <f>IF(OR($H248="",COUNTIFS($A$14:$A$1213,$H248,$F$14:$F$1213,"&gt;=0")&lt;2,COUNTIFS($A$14:$A$1213,$H248,$F$14:$F$1213,_xlfn.MAXIFS($F$14:$F$1213,$A$14:$A$1213,$H248))&gt;1),"",IFERROR(INDEX($D$14:$D$1213,MATCH($H248&amp;"|"&amp;_xlfn.MAXIFS($F$14:$F$1213,$A$14:$A$1213,$H248),$AB$14:$AB$1213,0)),""))</f>
        <v/>
      </c>
      <c r="AK248" s="27">
        <f>IF(OR($H248="",COUNTIFS($A$14:$A$1213,$H248,$F$14:$F$1213,"&gt;=0")&lt;2,COUNTIFS($A$14:$A$1213,$H248,$F$14:$F$1213,_xlfn.MAXIFS($F$14:$F$1213,$A$14:$A$1213,$H248))&gt;1),"",IFERROR(INDEX($E$14:$E$1213,MATCH($H248&amp;"|"&amp;_xlfn.MAXIFS($F$14:$F$1213,$A$14:$A$1213,$H248),$AB$14:$AB$1213,0)),""))</f>
        <v/>
      </c>
      <c r="AL248" s="27">
        <f>IF(OR($H248="",COUNTIFS($A$14:$A$1213,$H248,$F$14:$F$1213,"&gt;=0")&lt;2,COUNTIFS($A$14:$A$1213,$H248,$F$14:$F$1213,_xlfn.MAXIFS($F$14:$F$1213,$A$14:$A$1213,$H248))&gt;1),"",IFERROR(INDEX($D$14:$D$1213,MATCH($H248&amp;"|"&amp;_xlfn.MAXIFS($F$14:$F$1213,$A$14:$A$1213,$H248,$F$14:$F$1213,"&lt;"&amp;_xlfn.MAXIFS($F$14:$F$1213,$A$14:$A$1213,$H248)),$AB$14:$AB$1213,0)),""))</f>
        <v/>
      </c>
      <c r="AM248" s="27">
        <f>IF(OR($H248="",COUNTIFS($A$14:$A$1213,$H248,$F$14:$F$1213,"&gt;=0")&lt;2,COUNTIFS($A$14:$A$1213,$H248,$F$14:$F$1213,_xlfn.MAXIFS($F$14:$F$1213,$A$14:$A$1213,$H248))&gt;1),"",IFERROR(INDEX($E$14:$E$1213,MATCH($H248&amp;"|"&amp;_xlfn.MAXIFS($F$14:$F$1213,$A$14:$A$1213,$H248,$F$14:$F$1213,"&lt;"&amp;_xlfn.MAXIFS($F$14:$F$1213,$A$14:$A$1213,$H248)),$AB$14:$AB$1213,0)),""))</f>
        <v/>
      </c>
      <c r="AN248" s="27">
        <f>IF(OR(NOT(ISNUMBER($AJ248)),NOT(ISNUMBER($AL248)),$AK248=0,$AM248=0),"",IF(OR((($AJ248+$AL248)/($AK248+$AM248))&lt;=0,(($AJ248+$AL248)/($AK248+$AM248))&gt;=1),"",($AJ248/$AK248-$AL248/$AM248)/SQRT((($AJ248+$AL248)/($AK248+$AM248))*(1-(($AJ248+$AL248)/($AK248+$AM248)))*(1/$AK248+1/$AM248))))</f>
        <v/>
      </c>
      <c r="AO248" s="27">
        <f>IF($A248="","",IF(AND(COUNTIFS($A$14:$A$1213,$A248,$F$14:$F$1213,"&gt;=0")=2,IFERROR(INDEX($M$14:$M$313,MATCH($A248,$H$14:$H$313,0)),"Yes")&lt;&gt;"Yes"),1,0))</f>
        <v/>
      </c>
    </row>
    <row r="249" ht="24" customHeight="1">
      <c r="A249" s="19">
        <f>IF('Enter messages'!A249="","",'Enter messages'!A249)</f>
        <v/>
      </c>
      <c r="B249" s="20">
        <f>IF('Enter messages'!B249="","",'Enter messages'!B249)</f>
        <v/>
      </c>
      <c r="C249" s="21">
        <f>IFERROR(AVERAGE(P249:T249),"")</f>
        <v/>
      </c>
      <c r="D249" s="29" t="n"/>
      <c r="E249" s="29" t="n"/>
      <c r="F249" s="30">
        <f>IF(AND(ISNUMBER($D249),ISNUMBER($E249),$E249&gt;0,$D249&lt;=$E249),$D249/$E249,"")</f>
        <v/>
      </c>
      <c r="H249" s="19">
        <f>IFERROR(INDEX($A$14:$A$1213,MATCH(236,$AI$14:$AI$1213,0)),"")</f>
        <v/>
      </c>
      <c r="I249" s="24">
        <f>IF($H249="","",IF(COUNTIFS($A$14:$A$1213,$H249,$C$14:$C$1213,"&gt;=0")=0,"—",IFERROR(INDEX($B$14:$B$1213,MATCH($H249&amp;"|1",$Z$14:$Z$1213,0)),"(tied)")))</f>
        <v/>
      </c>
      <c r="J249" s="25">
        <f>IF($H249="","",IF(OR(COUNTIFS($A$14:$A$1213,$H249,$C$14:$C$1213,"&gt;=0")=0,COUNTIFS($A$14:$A$1213,$H249,$F$14:$F$1213,"&gt;=0")=0),"—",IF(OR(ISERROR(MATCH($H249&amp;"|1",$Z$14:$Z$1213,0)),ISERROR(MATCH($H249&amp;"|1",$AA$14:$AA$1213,0))),"Tie",IF(MATCH($H249&amp;"|1",$Z$14:$Z$1213,0)=MATCH($H249&amp;"|1",$AA$14:$AA$1213,0),"Hit","Miss"))))</f>
        <v/>
      </c>
      <c r="K249" s="24">
        <f>IF($H249="","",IF(COUNTIFS($A$14:$A$1213,$H249,$F$14:$F$1213,"&gt;=0")=0,"—",IFERROR(INDEX($B$14:$B$1213,MATCH($H249&amp;"|1",$AA$14:$AA$1213,0)),"(tied)")))</f>
        <v/>
      </c>
      <c r="L249" s="25">
        <f>IF($H249="","",IF((--(COUNTIFS($A$14:$A$1213,$H249,$P$14:$P$1213,"&gt;=0")&gt;0)+--(COUNTIFS($A$14:$A$1213,$H249,$Q$14:$Q$1213,"&gt;=0")&gt;0)+--(COUNTIFS($A$14:$A$1213,$H249,$R$14:$R$1213,"&gt;=0")&gt;0)+--(COUNTIFS($A$14:$A$1213,$H249,$S$14:$S$1213,"&gt;=0")&gt;0)+--(COUNTIFS($A$14:$A$1213,$H249,$T$14:$T$1213,"&gt;=0")&gt;0))&lt;2,"—",IF(SUMIFS($AH$14:$AH$1213,$A$14:$A$1213,$H249)=0,"Yes","No")))</f>
        <v/>
      </c>
      <c r="M249" s="25">
        <f>IF($H249="","",IF(COUNTIFS($A$14:$A$1213,$H249,$F$14:$F$1213,"&gt;=0")&lt;2,"—",IF(COUNTIFS($A$14:$A$1213,$H249,$F$14:$F$1213,_xlfn.MAXIFS($F$14:$F$1213,$A$14:$A$1213,$H249))&gt;1,"No",IF(NOT(ISNUMBER($AN249)),"—",IF((2*(1-NORMSDIST(ABS($AN249))))&lt;0.05,"Yes","No")))))</f>
        <v/>
      </c>
      <c r="N249" s="21">
        <f>IF($H249="","",IF(NOT(ISNUMBER($AN249)),"—",IF((2*(1-NORMSDIST(ABS($AN249))))&lt;0.001,"&lt;0.001",TEXT((2*(1-NORMSDIST(ABS($AN249)))),"0.000"))))</f>
        <v/>
      </c>
      <c r="P249" s="26" t="n"/>
      <c r="Q249" s="26" t="n"/>
      <c r="R249" s="26" t="n"/>
      <c r="S249" s="26" t="n"/>
      <c r="T249" s="26" t="n"/>
      <c r="V249" s="27">
        <f>IF(ISNUMBER($C249),COUNTIFS($A$14:$A$1213,$A249,$C$14:$C$1213,"&gt;"&amp;$C249)+(COUNTIFS($A$14:$A$1213,$A249,$C$14:$C$1213,"="&amp;$C249)+1)/2,"")</f>
        <v/>
      </c>
      <c r="W249" s="27">
        <f>IF(ISNUMBER($F249),COUNTIFS($A$14:$A$1213,$A249,$F$14:$F$1213,"&gt;"&amp;$F249)+(COUNTIFS($A$14:$A$1213,$A249,$F$14:$F$1213,"="&amp;$F249)+1)/2,"")</f>
        <v/>
      </c>
      <c r="X249" s="27">
        <f>IF(OR(NOT(ISNUMBER($V249)),$AO249=1),"",$V249-(COUNTIFS($A$14:$A$1213,$A249,$C$14:$C$1213,"&gt;=0")+1)/2)</f>
        <v/>
      </c>
      <c r="Y249" s="27">
        <f>IF(OR(NOT(ISNUMBER($W249)),$AO249=1),"",$W249-(COUNTIFS($A$14:$A$1213,$A249,$F$14:$F$1213,"&gt;=0")+1)/2)</f>
        <v/>
      </c>
      <c r="Z249" s="27">
        <f>IF(ISNUMBER($V249),$A249&amp;"|"&amp;$V249,"")</f>
        <v/>
      </c>
      <c r="AA249" s="27">
        <f>IF(ISNUMBER($W249),$A249&amp;"|"&amp;$W249,"")</f>
        <v/>
      </c>
      <c r="AB249" s="27">
        <f>IF(ISNUMBER($F249),$A249&amp;"|"&amp;$F249,"")</f>
        <v/>
      </c>
      <c r="AC249" s="27">
        <f>IF(ISNUMBER($P249),COUNTIFS($A$14:$A$1213,$A249,$P$14:$P$1213,"&gt;"&amp;$P249)+(COUNTIFS($A$14:$A$1213,$A249,$P$14:$P$1213,"="&amp;$P249)+1)/2,"")</f>
        <v/>
      </c>
      <c r="AD249" s="27">
        <f>IF(ISNUMBER($Q249),COUNTIFS($A$14:$A$1213,$A249,$Q$14:$Q$1213,"&gt;"&amp;$Q249)+(COUNTIFS($A$14:$A$1213,$A249,$Q$14:$Q$1213,"="&amp;$Q249)+1)/2,"")</f>
        <v/>
      </c>
      <c r="AE249" s="27">
        <f>IF(ISNUMBER($R249),COUNTIFS($A$14:$A$1213,$A249,$R$14:$R$1213,"&gt;"&amp;$R249)+(COUNTIFS($A$14:$A$1213,$A249,$R$14:$R$1213,"="&amp;$R249)+1)/2,"")</f>
        <v/>
      </c>
      <c r="AF249" s="27">
        <f>IF(ISNUMBER($S249),COUNTIFS($A$14:$A$1213,$A249,$S$14:$S$1213,"&gt;"&amp;$S249)+(COUNTIFS($A$14:$A$1213,$A249,$S$14:$S$1213,"="&amp;$S249)+1)/2,"")</f>
        <v/>
      </c>
      <c r="AG249" s="27">
        <f>IF(ISNUMBER($T249),COUNTIFS($A$14:$A$1213,$A249,$T$14:$T$1213,"&gt;"&amp;$T249)+(COUNTIFS($A$14:$A$1213,$A249,$T$14:$T$1213,"="&amp;$T249)+1)/2,"")</f>
        <v/>
      </c>
      <c r="AH249" s="27">
        <f>IF(COUNT($AC249:$AG249)&lt;2,"",IF(MAX($AC249:$AG249)=MIN($AC249:$AG249),0,1))</f>
        <v/>
      </c>
      <c r="AI249" s="27">
        <f>IF($A249="","",IF(COUNTIF($A$14:$A249,$A249)=1,COUNTIF($AI$13:AI248,"&gt;0")+1,""))</f>
        <v/>
      </c>
      <c r="AJ249" s="27">
        <f>IF(OR($H249="",COUNTIFS($A$14:$A$1213,$H249,$F$14:$F$1213,"&gt;=0")&lt;2,COUNTIFS($A$14:$A$1213,$H249,$F$14:$F$1213,_xlfn.MAXIFS($F$14:$F$1213,$A$14:$A$1213,$H249))&gt;1),"",IFERROR(INDEX($D$14:$D$1213,MATCH($H249&amp;"|"&amp;_xlfn.MAXIFS($F$14:$F$1213,$A$14:$A$1213,$H249),$AB$14:$AB$1213,0)),""))</f>
        <v/>
      </c>
      <c r="AK249" s="27">
        <f>IF(OR($H249="",COUNTIFS($A$14:$A$1213,$H249,$F$14:$F$1213,"&gt;=0")&lt;2,COUNTIFS($A$14:$A$1213,$H249,$F$14:$F$1213,_xlfn.MAXIFS($F$14:$F$1213,$A$14:$A$1213,$H249))&gt;1),"",IFERROR(INDEX($E$14:$E$1213,MATCH($H249&amp;"|"&amp;_xlfn.MAXIFS($F$14:$F$1213,$A$14:$A$1213,$H249),$AB$14:$AB$1213,0)),""))</f>
        <v/>
      </c>
      <c r="AL249" s="27">
        <f>IF(OR($H249="",COUNTIFS($A$14:$A$1213,$H249,$F$14:$F$1213,"&gt;=0")&lt;2,COUNTIFS($A$14:$A$1213,$H249,$F$14:$F$1213,_xlfn.MAXIFS($F$14:$F$1213,$A$14:$A$1213,$H249))&gt;1),"",IFERROR(INDEX($D$14:$D$1213,MATCH($H249&amp;"|"&amp;_xlfn.MAXIFS($F$14:$F$1213,$A$14:$A$1213,$H249,$F$14:$F$1213,"&lt;"&amp;_xlfn.MAXIFS($F$14:$F$1213,$A$14:$A$1213,$H249)),$AB$14:$AB$1213,0)),""))</f>
        <v/>
      </c>
      <c r="AM249" s="27">
        <f>IF(OR($H249="",COUNTIFS($A$14:$A$1213,$H249,$F$14:$F$1213,"&gt;=0")&lt;2,COUNTIFS($A$14:$A$1213,$H249,$F$14:$F$1213,_xlfn.MAXIFS($F$14:$F$1213,$A$14:$A$1213,$H249))&gt;1),"",IFERROR(INDEX($E$14:$E$1213,MATCH($H249&amp;"|"&amp;_xlfn.MAXIFS($F$14:$F$1213,$A$14:$A$1213,$H249,$F$14:$F$1213,"&lt;"&amp;_xlfn.MAXIFS($F$14:$F$1213,$A$14:$A$1213,$H249)),$AB$14:$AB$1213,0)),""))</f>
        <v/>
      </c>
      <c r="AN249" s="27">
        <f>IF(OR(NOT(ISNUMBER($AJ249)),NOT(ISNUMBER($AL249)),$AK249=0,$AM249=0),"",IF(OR((($AJ249+$AL249)/($AK249+$AM249))&lt;=0,(($AJ249+$AL249)/($AK249+$AM249))&gt;=1),"",($AJ249/$AK249-$AL249/$AM249)/SQRT((($AJ249+$AL249)/($AK249+$AM249))*(1-(($AJ249+$AL249)/($AK249+$AM249)))*(1/$AK249+1/$AM249))))</f>
        <v/>
      </c>
      <c r="AO249" s="27">
        <f>IF($A249="","",IF(AND(COUNTIFS($A$14:$A$1213,$A249,$F$14:$F$1213,"&gt;=0")=2,IFERROR(INDEX($M$14:$M$313,MATCH($A249,$H$14:$H$313,0)),"Yes")&lt;&gt;"Yes"),1,0))</f>
        <v/>
      </c>
    </row>
    <row r="250" ht="24" customHeight="1">
      <c r="A250" s="19">
        <f>IF('Enter messages'!A250="","",'Enter messages'!A250)</f>
        <v/>
      </c>
      <c r="B250" s="20">
        <f>IF('Enter messages'!B250="","",'Enter messages'!B250)</f>
        <v/>
      </c>
      <c r="C250" s="21">
        <f>IFERROR(AVERAGE(P250:T250),"")</f>
        <v/>
      </c>
      <c r="D250" s="29" t="n"/>
      <c r="E250" s="29" t="n"/>
      <c r="F250" s="30">
        <f>IF(AND(ISNUMBER($D250),ISNUMBER($E250),$E250&gt;0,$D250&lt;=$E250),$D250/$E250,"")</f>
        <v/>
      </c>
      <c r="H250" s="19">
        <f>IFERROR(INDEX($A$14:$A$1213,MATCH(237,$AI$14:$AI$1213,0)),"")</f>
        <v/>
      </c>
      <c r="I250" s="24">
        <f>IF($H250="","",IF(COUNTIFS($A$14:$A$1213,$H250,$C$14:$C$1213,"&gt;=0")=0,"—",IFERROR(INDEX($B$14:$B$1213,MATCH($H250&amp;"|1",$Z$14:$Z$1213,0)),"(tied)")))</f>
        <v/>
      </c>
      <c r="J250" s="25">
        <f>IF($H250="","",IF(OR(COUNTIFS($A$14:$A$1213,$H250,$C$14:$C$1213,"&gt;=0")=0,COUNTIFS($A$14:$A$1213,$H250,$F$14:$F$1213,"&gt;=0")=0),"—",IF(OR(ISERROR(MATCH($H250&amp;"|1",$Z$14:$Z$1213,0)),ISERROR(MATCH($H250&amp;"|1",$AA$14:$AA$1213,0))),"Tie",IF(MATCH($H250&amp;"|1",$Z$14:$Z$1213,0)=MATCH($H250&amp;"|1",$AA$14:$AA$1213,0),"Hit","Miss"))))</f>
        <v/>
      </c>
      <c r="K250" s="24">
        <f>IF($H250="","",IF(COUNTIFS($A$14:$A$1213,$H250,$F$14:$F$1213,"&gt;=0")=0,"—",IFERROR(INDEX($B$14:$B$1213,MATCH($H250&amp;"|1",$AA$14:$AA$1213,0)),"(tied)")))</f>
        <v/>
      </c>
      <c r="L250" s="25">
        <f>IF($H250="","",IF((--(COUNTIFS($A$14:$A$1213,$H250,$P$14:$P$1213,"&gt;=0")&gt;0)+--(COUNTIFS($A$14:$A$1213,$H250,$Q$14:$Q$1213,"&gt;=0")&gt;0)+--(COUNTIFS($A$14:$A$1213,$H250,$R$14:$R$1213,"&gt;=0")&gt;0)+--(COUNTIFS($A$14:$A$1213,$H250,$S$14:$S$1213,"&gt;=0")&gt;0)+--(COUNTIFS($A$14:$A$1213,$H250,$T$14:$T$1213,"&gt;=0")&gt;0))&lt;2,"—",IF(SUMIFS($AH$14:$AH$1213,$A$14:$A$1213,$H250)=0,"Yes","No")))</f>
        <v/>
      </c>
      <c r="M250" s="25">
        <f>IF($H250="","",IF(COUNTIFS($A$14:$A$1213,$H250,$F$14:$F$1213,"&gt;=0")&lt;2,"—",IF(COUNTIFS($A$14:$A$1213,$H250,$F$14:$F$1213,_xlfn.MAXIFS($F$14:$F$1213,$A$14:$A$1213,$H250))&gt;1,"No",IF(NOT(ISNUMBER($AN250)),"—",IF((2*(1-NORMSDIST(ABS($AN250))))&lt;0.05,"Yes","No")))))</f>
        <v/>
      </c>
      <c r="N250" s="21">
        <f>IF($H250="","",IF(NOT(ISNUMBER($AN250)),"—",IF((2*(1-NORMSDIST(ABS($AN250))))&lt;0.001,"&lt;0.001",TEXT((2*(1-NORMSDIST(ABS($AN250)))),"0.000"))))</f>
        <v/>
      </c>
      <c r="P250" s="26" t="n"/>
      <c r="Q250" s="26" t="n"/>
      <c r="R250" s="26" t="n"/>
      <c r="S250" s="26" t="n"/>
      <c r="T250" s="26" t="n"/>
      <c r="V250" s="27">
        <f>IF(ISNUMBER($C250),COUNTIFS($A$14:$A$1213,$A250,$C$14:$C$1213,"&gt;"&amp;$C250)+(COUNTIFS($A$14:$A$1213,$A250,$C$14:$C$1213,"="&amp;$C250)+1)/2,"")</f>
        <v/>
      </c>
      <c r="W250" s="27">
        <f>IF(ISNUMBER($F250),COUNTIFS($A$14:$A$1213,$A250,$F$14:$F$1213,"&gt;"&amp;$F250)+(COUNTIFS($A$14:$A$1213,$A250,$F$14:$F$1213,"="&amp;$F250)+1)/2,"")</f>
        <v/>
      </c>
      <c r="X250" s="27">
        <f>IF(OR(NOT(ISNUMBER($V250)),$AO250=1),"",$V250-(COUNTIFS($A$14:$A$1213,$A250,$C$14:$C$1213,"&gt;=0")+1)/2)</f>
        <v/>
      </c>
      <c r="Y250" s="27">
        <f>IF(OR(NOT(ISNUMBER($W250)),$AO250=1),"",$W250-(COUNTIFS($A$14:$A$1213,$A250,$F$14:$F$1213,"&gt;=0")+1)/2)</f>
        <v/>
      </c>
      <c r="Z250" s="27">
        <f>IF(ISNUMBER($V250),$A250&amp;"|"&amp;$V250,"")</f>
        <v/>
      </c>
      <c r="AA250" s="27">
        <f>IF(ISNUMBER($W250),$A250&amp;"|"&amp;$W250,"")</f>
        <v/>
      </c>
      <c r="AB250" s="27">
        <f>IF(ISNUMBER($F250),$A250&amp;"|"&amp;$F250,"")</f>
        <v/>
      </c>
      <c r="AC250" s="27">
        <f>IF(ISNUMBER($P250),COUNTIFS($A$14:$A$1213,$A250,$P$14:$P$1213,"&gt;"&amp;$P250)+(COUNTIFS($A$14:$A$1213,$A250,$P$14:$P$1213,"="&amp;$P250)+1)/2,"")</f>
        <v/>
      </c>
      <c r="AD250" s="27">
        <f>IF(ISNUMBER($Q250),COUNTIFS($A$14:$A$1213,$A250,$Q$14:$Q$1213,"&gt;"&amp;$Q250)+(COUNTIFS($A$14:$A$1213,$A250,$Q$14:$Q$1213,"="&amp;$Q250)+1)/2,"")</f>
        <v/>
      </c>
      <c r="AE250" s="27">
        <f>IF(ISNUMBER($R250),COUNTIFS($A$14:$A$1213,$A250,$R$14:$R$1213,"&gt;"&amp;$R250)+(COUNTIFS($A$14:$A$1213,$A250,$R$14:$R$1213,"="&amp;$R250)+1)/2,"")</f>
        <v/>
      </c>
      <c r="AF250" s="27">
        <f>IF(ISNUMBER($S250),COUNTIFS($A$14:$A$1213,$A250,$S$14:$S$1213,"&gt;"&amp;$S250)+(COUNTIFS($A$14:$A$1213,$A250,$S$14:$S$1213,"="&amp;$S250)+1)/2,"")</f>
        <v/>
      </c>
      <c r="AG250" s="27">
        <f>IF(ISNUMBER($T250),COUNTIFS($A$14:$A$1213,$A250,$T$14:$T$1213,"&gt;"&amp;$T250)+(COUNTIFS($A$14:$A$1213,$A250,$T$14:$T$1213,"="&amp;$T250)+1)/2,"")</f>
        <v/>
      </c>
      <c r="AH250" s="27">
        <f>IF(COUNT($AC250:$AG250)&lt;2,"",IF(MAX($AC250:$AG250)=MIN($AC250:$AG250),0,1))</f>
        <v/>
      </c>
      <c r="AI250" s="27">
        <f>IF($A250="","",IF(COUNTIF($A$14:$A250,$A250)=1,COUNTIF($AI$13:AI249,"&gt;0")+1,""))</f>
        <v/>
      </c>
      <c r="AJ250" s="27">
        <f>IF(OR($H250="",COUNTIFS($A$14:$A$1213,$H250,$F$14:$F$1213,"&gt;=0")&lt;2,COUNTIFS($A$14:$A$1213,$H250,$F$14:$F$1213,_xlfn.MAXIFS($F$14:$F$1213,$A$14:$A$1213,$H250))&gt;1),"",IFERROR(INDEX($D$14:$D$1213,MATCH($H250&amp;"|"&amp;_xlfn.MAXIFS($F$14:$F$1213,$A$14:$A$1213,$H250),$AB$14:$AB$1213,0)),""))</f>
        <v/>
      </c>
      <c r="AK250" s="27">
        <f>IF(OR($H250="",COUNTIFS($A$14:$A$1213,$H250,$F$14:$F$1213,"&gt;=0")&lt;2,COUNTIFS($A$14:$A$1213,$H250,$F$14:$F$1213,_xlfn.MAXIFS($F$14:$F$1213,$A$14:$A$1213,$H250))&gt;1),"",IFERROR(INDEX($E$14:$E$1213,MATCH($H250&amp;"|"&amp;_xlfn.MAXIFS($F$14:$F$1213,$A$14:$A$1213,$H250),$AB$14:$AB$1213,0)),""))</f>
        <v/>
      </c>
      <c r="AL250" s="27">
        <f>IF(OR($H250="",COUNTIFS($A$14:$A$1213,$H250,$F$14:$F$1213,"&gt;=0")&lt;2,COUNTIFS($A$14:$A$1213,$H250,$F$14:$F$1213,_xlfn.MAXIFS($F$14:$F$1213,$A$14:$A$1213,$H250))&gt;1),"",IFERROR(INDEX($D$14:$D$1213,MATCH($H250&amp;"|"&amp;_xlfn.MAXIFS($F$14:$F$1213,$A$14:$A$1213,$H250,$F$14:$F$1213,"&lt;"&amp;_xlfn.MAXIFS($F$14:$F$1213,$A$14:$A$1213,$H250)),$AB$14:$AB$1213,0)),""))</f>
        <v/>
      </c>
      <c r="AM250" s="27">
        <f>IF(OR($H250="",COUNTIFS($A$14:$A$1213,$H250,$F$14:$F$1213,"&gt;=0")&lt;2,COUNTIFS($A$14:$A$1213,$H250,$F$14:$F$1213,_xlfn.MAXIFS($F$14:$F$1213,$A$14:$A$1213,$H250))&gt;1),"",IFERROR(INDEX($E$14:$E$1213,MATCH($H250&amp;"|"&amp;_xlfn.MAXIFS($F$14:$F$1213,$A$14:$A$1213,$H250,$F$14:$F$1213,"&lt;"&amp;_xlfn.MAXIFS($F$14:$F$1213,$A$14:$A$1213,$H250)),$AB$14:$AB$1213,0)),""))</f>
        <v/>
      </c>
      <c r="AN250" s="27">
        <f>IF(OR(NOT(ISNUMBER($AJ250)),NOT(ISNUMBER($AL250)),$AK250=0,$AM250=0),"",IF(OR((($AJ250+$AL250)/($AK250+$AM250))&lt;=0,(($AJ250+$AL250)/($AK250+$AM250))&gt;=1),"",($AJ250/$AK250-$AL250/$AM250)/SQRT((($AJ250+$AL250)/($AK250+$AM250))*(1-(($AJ250+$AL250)/($AK250+$AM250)))*(1/$AK250+1/$AM250))))</f>
        <v/>
      </c>
      <c r="AO250" s="27">
        <f>IF($A250="","",IF(AND(COUNTIFS($A$14:$A$1213,$A250,$F$14:$F$1213,"&gt;=0")=2,IFERROR(INDEX($M$14:$M$313,MATCH($A250,$H$14:$H$313,0)),"Yes")&lt;&gt;"Yes"),1,0))</f>
        <v/>
      </c>
    </row>
    <row r="251" ht="24" customHeight="1">
      <c r="A251" s="19">
        <f>IF('Enter messages'!A251="","",'Enter messages'!A251)</f>
        <v/>
      </c>
      <c r="B251" s="20">
        <f>IF('Enter messages'!B251="","",'Enter messages'!B251)</f>
        <v/>
      </c>
      <c r="C251" s="21">
        <f>IFERROR(AVERAGE(P251:T251),"")</f>
        <v/>
      </c>
      <c r="D251" s="29" t="n"/>
      <c r="E251" s="29" t="n"/>
      <c r="F251" s="30">
        <f>IF(AND(ISNUMBER($D251),ISNUMBER($E251),$E251&gt;0,$D251&lt;=$E251),$D251/$E251,"")</f>
        <v/>
      </c>
      <c r="H251" s="19">
        <f>IFERROR(INDEX($A$14:$A$1213,MATCH(238,$AI$14:$AI$1213,0)),"")</f>
        <v/>
      </c>
      <c r="I251" s="24">
        <f>IF($H251="","",IF(COUNTIFS($A$14:$A$1213,$H251,$C$14:$C$1213,"&gt;=0")=0,"—",IFERROR(INDEX($B$14:$B$1213,MATCH($H251&amp;"|1",$Z$14:$Z$1213,0)),"(tied)")))</f>
        <v/>
      </c>
      <c r="J251" s="25">
        <f>IF($H251="","",IF(OR(COUNTIFS($A$14:$A$1213,$H251,$C$14:$C$1213,"&gt;=0")=0,COUNTIFS($A$14:$A$1213,$H251,$F$14:$F$1213,"&gt;=0")=0),"—",IF(OR(ISERROR(MATCH($H251&amp;"|1",$Z$14:$Z$1213,0)),ISERROR(MATCH($H251&amp;"|1",$AA$14:$AA$1213,0))),"Tie",IF(MATCH($H251&amp;"|1",$Z$14:$Z$1213,0)=MATCH($H251&amp;"|1",$AA$14:$AA$1213,0),"Hit","Miss"))))</f>
        <v/>
      </c>
      <c r="K251" s="24">
        <f>IF($H251="","",IF(COUNTIFS($A$14:$A$1213,$H251,$F$14:$F$1213,"&gt;=0")=0,"—",IFERROR(INDEX($B$14:$B$1213,MATCH($H251&amp;"|1",$AA$14:$AA$1213,0)),"(tied)")))</f>
        <v/>
      </c>
      <c r="L251" s="25">
        <f>IF($H251="","",IF((--(COUNTIFS($A$14:$A$1213,$H251,$P$14:$P$1213,"&gt;=0")&gt;0)+--(COUNTIFS($A$14:$A$1213,$H251,$Q$14:$Q$1213,"&gt;=0")&gt;0)+--(COUNTIFS($A$14:$A$1213,$H251,$R$14:$R$1213,"&gt;=0")&gt;0)+--(COUNTIFS($A$14:$A$1213,$H251,$S$14:$S$1213,"&gt;=0")&gt;0)+--(COUNTIFS($A$14:$A$1213,$H251,$T$14:$T$1213,"&gt;=0")&gt;0))&lt;2,"—",IF(SUMIFS($AH$14:$AH$1213,$A$14:$A$1213,$H251)=0,"Yes","No")))</f>
        <v/>
      </c>
      <c r="M251" s="25">
        <f>IF($H251="","",IF(COUNTIFS($A$14:$A$1213,$H251,$F$14:$F$1213,"&gt;=0")&lt;2,"—",IF(COUNTIFS($A$14:$A$1213,$H251,$F$14:$F$1213,_xlfn.MAXIFS($F$14:$F$1213,$A$14:$A$1213,$H251))&gt;1,"No",IF(NOT(ISNUMBER($AN251)),"—",IF((2*(1-NORMSDIST(ABS($AN251))))&lt;0.05,"Yes","No")))))</f>
        <v/>
      </c>
      <c r="N251" s="21">
        <f>IF($H251="","",IF(NOT(ISNUMBER($AN251)),"—",IF((2*(1-NORMSDIST(ABS($AN251))))&lt;0.001,"&lt;0.001",TEXT((2*(1-NORMSDIST(ABS($AN251)))),"0.000"))))</f>
        <v/>
      </c>
      <c r="P251" s="26" t="n"/>
      <c r="Q251" s="26" t="n"/>
      <c r="R251" s="26" t="n"/>
      <c r="S251" s="26" t="n"/>
      <c r="T251" s="26" t="n"/>
      <c r="V251" s="27">
        <f>IF(ISNUMBER($C251),COUNTIFS($A$14:$A$1213,$A251,$C$14:$C$1213,"&gt;"&amp;$C251)+(COUNTIFS($A$14:$A$1213,$A251,$C$14:$C$1213,"="&amp;$C251)+1)/2,"")</f>
        <v/>
      </c>
      <c r="W251" s="27">
        <f>IF(ISNUMBER($F251),COUNTIFS($A$14:$A$1213,$A251,$F$14:$F$1213,"&gt;"&amp;$F251)+(COUNTIFS($A$14:$A$1213,$A251,$F$14:$F$1213,"="&amp;$F251)+1)/2,"")</f>
        <v/>
      </c>
      <c r="X251" s="27">
        <f>IF(OR(NOT(ISNUMBER($V251)),$AO251=1),"",$V251-(COUNTIFS($A$14:$A$1213,$A251,$C$14:$C$1213,"&gt;=0")+1)/2)</f>
        <v/>
      </c>
      <c r="Y251" s="27">
        <f>IF(OR(NOT(ISNUMBER($W251)),$AO251=1),"",$W251-(COUNTIFS($A$14:$A$1213,$A251,$F$14:$F$1213,"&gt;=0")+1)/2)</f>
        <v/>
      </c>
      <c r="Z251" s="27">
        <f>IF(ISNUMBER($V251),$A251&amp;"|"&amp;$V251,"")</f>
        <v/>
      </c>
      <c r="AA251" s="27">
        <f>IF(ISNUMBER($W251),$A251&amp;"|"&amp;$W251,"")</f>
        <v/>
      </c>
      <c r="AB251" s="27">
        <f>IF(ISNUMBER($F251),$A251&amp;"|"&amp;$F251,"")</f>
        <v/>
      </c>
      <c r="AC251" s="27">
        <f>IF(ISNUMBER($P251),COUNTIFS($A$14:$A$1213,$A251,$P$14:$P$1213,"&gt;"&amp;$P251)+(COUNTIFS($A$14:$A$1213,$A251,$P$14:$P$1213,"="&amp;$P251)+1)/2,"")</f>
        <v/>
      </c>
      <c r="AD251" s="27">
        <f>IF(ISNUMBER($Q251),COUNTIFS($A$14:$A$1213,$A251,$Q$14:$Q$1213,"&gt;"&amp;$Q251)+(COUNTIFS($A$14:$A$1213,$A251,$Q$14:$Q$1213,"="&amp;$Q251)+1)/2,"")</f>
        <v/>
      </c>
      <c r="AE251" s="27">
        <f>IF(ISNUMBER($R251),COUNTIFS($A$14:$A$1213,$A251,$R$14:$R$1213,"&gt;"&amp;$R251)+(COUNTIFS($A$14:$A$1213,$A251,$R$14:$R$1213,"="&amp;$R251)+1)/2,"")</f>
        <v/>
      </c>
      <c r="AF251" s="27">
        <f>IF(ISNUMBER($S251),COUNTIFS($A$14:$A$1213,$A251,$S$14:$S$1213,"&gt;"&amp;$S251)+(COUNTIFS($A$14:$A$1213,$A251,$S$14:$S$1213,"="&amp;$S251)+1)/2,"")</f>
        <v/>
      </c>
      <c r="AG251" s="27">
        <f>IF(ISNUMBER($T251),COUNTIFS($A$14:$A$1213,$A251,$T$14:$T$1213,"&gt;"&amp;$T251)+(COUNTIFS($A$14:$A$1213,$A251,$T$14:$T$1213,"="&amp;$T251)+1)/2,"")</f>
        <v/>
      </c>
      <c r="AH251" s="27">
        <f>IF(COUNT($AC251:$AG251)&lt;2,"",IF(MAX($AC251:$AG251)=MIN($AC251:$AG251),0,1))</f>
        <v/>
      </c>
      <c r="AI251" s="27">
        <f>IF($A251="","",IF(COUNTIF($A$14:$A251,$A251)=1,COUNTIF($AI$13:AI250,"&gt;0")+1,""))</f>
        <v/>
      </c>
      <c r="AJ251" s="27">
        <f>IF(OR($H251="",COUNTIFS($A$14:$A$1213,$H251,$F$14:$F$1213,"&gt;=0")&lt;2,COUNTIFS($A$14:$A$1213,$H251,$F$14:$F$1213,_xlfn.MAXIFS($F$14:$F$1213,$A$14:$A$1213,$H251))&gt;1),"",IFERROR(INDEX($D$14:$D$1213,MATCH($H251&amp;"|"&amp;_xlfn.MAXIFS($F$14:$F$1213,$A$14:$A$1213,$H251),$AB$14:$AB$1213,0)),""))</f>
        <v/>
      </c>
      <c r="AK251" s="27">
        <f>IF(OR($H251="",COUNTIFS($A$14:$A$1213,$H251,$F$14:$F$1213,"&gt;=0")&lt;2,COUNTIFS($A$14:$A$1213,$H251,$F$14:$F$1213,_xlfn.MAXIFS($F$14:$F$1213,$A$14:$A$1213,$H251))&gt;1),"",IFERROR(INDEX($E$14:$E$1213,MATCH($H251&amp;"|"&amp;_xlfn.MAXIFS($F$14:$F$1213,$A$14:$A$1213,$H251),$AB$14:$AB$1213,0)),""))</f>
        <v/>
      </c>
      <c r="AL251" s="27">
        <f>IF(OR($H251="",COUNTIFS($A$14:$A$1213,$H251,$F$14:$F$1213,"&gt;=0")&lt;2,COUNTIFS($A$14:$A$1213,$H251,$F$14:$F$1213,_xlfn.MAXIFS($F$14:$F$1213,$A$14:$A$1213,$H251))&gt;1),"",IFERROR(INDEX($D$14:$D$1213,MATCH($H251&amp;"|"&amp;_xlfn.MAXIFS($F$14:$F$1213,$A$14:$A$1213,$H251,$F$14:$F$1213,"&lt;"&amp;_xlfn.MAXIFS($F$14:$F$1213,$A$14:$A$1213,$H251)),$AB$14:$AB$1213,0)),""))</f>
        <v/>
      </c>
      <c r="AM251" s="27">
        <f>IF(OR($H251="",COUNTIFS($A$14:$A$1213,$H251,$F$14:$F$1213,"&gt;=0")&lt;2,COUNTIFS($A$14:$A$1213,$H251,$F$14:$F$1213,_xlfn.MAXIFS($F$14:$F$1213,$A$14:$A$1213,$H251))&gt;1),"",IFERROR(INDEX($E$14:$E$1213,MATCH($H251&amp;"|"&amp;_xlfn.MAXIFS($F$14:$F$1213,$A$14:$A$1213,$H251,$F$14:$F$1213,"&lt;"&amp;_xlfn.MAXIFS($F$14:$F$1213,$A$14:$A$1213,$H251)),$AB$14:$AB$1213,0)),""))</f>
        <v/>
      </c>
      <c r="AN251" s="27">
        <f>IF(OR(NOT(ISNUMBER($AJ251)),NOT(ISNUMBER($AL251)),$AK251=0,$AM251=0),"",IF(OR((($AJ251+$AL251)/($AK251+$AM251))&lt;=0,(($AJ251+$AL251)/($AK251+$AM251))&gt;=1),"",($AJ251/$AK251-$AL251/$AM251)/SQRT((($AJ251+$AL251)/($AK251+$AM251))*(1-(($AJ251+$AL251)/($AK251+$AM251)))*(1/$AK251+1/$AM251))))</f>
        <v/>
      </c>
      <c r="AO251" s="27">
        <f>IF($A251="","",IF(AND(COUNTIFS($A$14:$A$1213,$A251,$F$14:$F$1213,"&gt;=0")=2,IFERROR(INDEX($M$14:$M$313,MATCH($A251,$H$14:$H$313,0)),"Yes")&lt;&gt;"Yes"),1,0))</f>
        <v/>
      </c>
    </row>
    <row r="252" ht="24" customHeight="1">
      <c r="A252" s="19">
        <f>IF('Enter messages'!A252="","",'Enter messages'!A252)</f>
        <v/>
      </c>
      <c r="B252" s="20">
        <f>IF('Enter messages'!B252="","",'Enter messages'!B252)</f>
        <v/>
      </c>
      <c r="C252" s="21">
        <f>IFERROR(AVERAGE(P252:T252),"")</f>
        <v/>
      </c>
      <c r="D252" s="29" t="n"/>
      <c r="E252" s="29" t="n"/>
      <c r="F252" s="30">
        <f>IF(AND(ISNUMBER($D252),ISNUMBER($E252),$E252&gt;0,$D252&lt;=$E252),$D252/$E252,"")</f>
        <v/>
      </c>
      <c r="H252" s="19">
        <f>IFERROR(INDEX($A$14:$A$1213,MATCH(239,$AI$14:$AI$1213,0)),"")</f>
        <v/>
      </c>
      <c r="I252" s="24">
        <f>IF($H252="","",IF(COUNTIFS($A$14:$A$1213,$H252,$C$14:$C$1213,"&gt;=0")=0,"—",IFERROR(INDEX($B$14:$B$1213,MATCH($H252&amp;"|1",$Z$14:$Z$1213,0)),"(tied)")))</f>
        <v/>
      </c>
      <c r="J252" s="25">
        <f>IF($H252="","",IF(OR(COUNTIFS($A$14:$A$1213,$H252,$C$14:$C$1213,"&gt;=0")=0,COUNTIFS($A$14:$A$1213,$H252,$F$14:$F$1213,"&gt;=0")=0),"—",IF(OR(ISERROR(MATCH($H252&amp;"|1",$Z$14:$Z$1213,0)),ISERROR(MATCH($H252&amp;"|1",$AA$14:$AA$1213,0))),"Tie",IF(MATCH($H252&amp;"|1",$Z$14:$Z$1213,0)=MATCH($H252&amp;"|1",$AA$14:$AA$1213,0),"Hit","Miss"))))</f>
        <v/>
      </c>
      <c r="K252" s="24">
        <f>IF($H252="","",IF(COUNTIFS($A$14:$A$1213,$H252,$F$14:$F$1213,"&gt;=0")=0,"—",IFERROR(INDEX($B$14:$B$1213,MATCH($H252&amp;"|1",$AA$14:$AA$1213,0)),"(tied)")))</f>
        <v/>
      </c>
      <c r="L252" s="25">
        <f>IF($H252="","",IF((--(COUNTIFS($A$14:$A$1213,$H252,$P$14:$P$1213,"&gt;=0")&gt;0)+--(COUNTIFS($A$14:$A$1213,$H252,$Q$14:$Q$1213,"&gt;=0")&gt;0)+--(COUNTIFS($A$14:$A$1213,$H252,$R$14:$R$1213,"&gt;=0")&gt;0)+--(COUNTIFS($A$14:$A$1213,$H252,$S$14:$S$1213,"&gt;=0")&gt;0)+--(COUNTIFS($A$14:$A$1213,$H252,$T$14:$T$1213,"&gt;=0")&gt;0))&lt;2,"—",IF(SUMIFS($AH$14:$AH$1213,$A$14:$A$1213,$H252)=0,"Yes","No")))</f>
        <v/>
      </c>
      <c r="M252" s="25">
        <f>IF($H252="","",IF(COUNTIFS($A$14:$A$1213,$H252,$F$14:$F$1213,"&gt;=0")&lt;2,"—",IF(COUNTIFS($A$14:$A$1213,$H252,$F$14:$F$1213,_xlfn.MAXIFS($F$14:$F$1213,$A$14:$A$1213,$H252))&gt;1,"No",IF(NOT(ISNUMBER($AN252)),"—",IF((2*(1-NORMSDIST(ABS($AN252))))&lt;0.05,"Yes","No")))))</f>
        <v/>
      </c>
      <c r="N252" s="21">
        <f>IF($H252="","",IF(NOT(ISNUMBER($AN252)),"—",IF((2*(1-NORMSDIST(ABS($AN252))))&lt;0.001,"&lt;0.001",TEXT((2*(1-NORMSDIST(ABS($AN252)))),"0.000"))))</f>
        <v/>
      </c>
      <c r="P252" s="26" t="n"/>
      <c r="Q252" s="26" t="n"/>
      <c r="R252" s="26" t="n"/>
      <c r="S252" s="26" t="n"/>
      <c r="T252" s="26" t="n"/>
      <c r="V252" s="27">
        <f>IF(ISNUMBER($C252),COUNTIFS($A$14:$A$1213,$A252,$C$14:$C$1213,"&gt;"&amp;$C252)+(COUNTIFS($A$14:$A$1213,$A252,$C$14:$C$1213,"="&amp;$C252)+1)/2,"")</f>
        <v/>
      </c>
      <c r="W252" s="27">
        <f>IF(ISNUMBER($F252),COUNTIFS($A$14:$A$1213,$A252,$F$14:$F$1213,"&gt;"&amp;$F252)+(COUNTIFS($A$14:$A$1213,$A252,$F$14:$F$1213,"="&amp;$F252)+1)/2,"")</f>
        <v/>
      </c>
      <c r="X252" s="27">
        <f>IF(OR(NOT(ISNUMBER($V252)),$AO252=1),"",$V252-(COUNTIFS($A$14:$A$1213,$A252,$C$14:$C$1213,"&gt;=0")+1)/2)</f>
        <v/>
      </c>
      <c r="Y252" s="27">
        <f>IF(OR(NOT(ISNUMBER($W252)),$AO252=1),"",$W252-(COUNTIFS($A$14:$A$1213,$A252,$F$14:$F$1213,"&gt;=0")+1)/2)</f>
        <v/>
      </c>
      <c r="Z252" s="27">
        <f>IF(ISNUMBER($V252),$A252&amp;"|"&amp;$V252,"")</f>
        <v/>
      </c>
      <c r="AA252" s="27">
        <f>IF(ISNUMBER($W252),$A252&amp;"|"&amp;$W252,"")</f>
        <v/>
      </c>
      <c r="AB252" s="27">
        <f>IF(ISNUMBER($F252),$A252&amp;"|"&amp;$F252,"")</f>
        <v/>
      </c>
      <c r="AC252" s="27">
        <f>IF(ISNUMBER($P252),COUNTIFS($A$14:$A$1213,$A252,$P$14:$P$1213,"&gt;"&amp;$P252)+(COUNTIFS($A$14:$A$1213,$A252,$P$14:$P$1213,"="&amp;$P252)+1)/2,"")</f>
        <v/>
      </c>
      <c r="AD252" s="27">
        <f>IF(ISNUMBER($Q252),COUNTIFS($A$14:$A$1213,$A252,$Q$14:$Q$1213,"&gt;"&amp;$Q252)+(COUNTIFS($A$14:$A$1213,$A252,$Q$14:$Q$1213,"="&amp;$Q252)+1)/2,"")</f>
        <v/>
      </c>
      <c r="AE252" s="27">
        <f>IF(ISNUMBER($R252),COUNTIFS($A$14:$A$1213,$A252,$R$14:$R$1213,"&gt;"&amp;$R252)+(COUNTIFS($A$14:$A$1213,$A252,$R$14:$R$1213,"="&amp;$R252)+1)/2,"")</f>
        <v/>
      </c>
      <c r="AF252" s="27">
        <f>IF(ISNUMBER($S252),COUNTIFS($A$14:$A$1213,$A252,$S$14:$S$1213,"&gt;"&amp;$S252)+(COUNTIFS($A$14:$A$1213,$A252,$S$14:$S$1213,"="&amp;$S252)+1)/2,"")</f>
        <v/>
      </c>
      <c r="AG252" s="27">
        <f>IF(ISNUMBER($T252),COUNTIFS($A$14:$A$1213,$A252,$T$14:$T$1213,"&gt;"&amp;$T252)+(COUNTIFS($A$14:$A$1213,$A252,$T$14:$T$1213,"="&amp;$T252)+1)/2,"")</f>
        <v/>
      </c>
      <c r="AH252" s="27">
        <f>IF(COUNT($AC252:$AG252)&lt;2,"",IF(MAX($AC252:$AG252)=MIN($AC252:$AG252),0,1))</f>
        <v/>
      </c>
      <c r="AI252" s="27">
        <f>IF($A252="","",IF(COUNTIF($A$14:$A252,$A252)=1,COUNTIF($AI$13:AI251,"&gt;0")+1,""))</f>
        <v/>
      </c>
      <c r="AJ252" s="27">
        <f>IF(OR($H252="",COUNTIFS($A$14:$A$1213,$H252,$F$14:$F$1213,"&gt;=0")&lt;2,COUNTIFS($A$14:$A$1213,$H252,$F$14:$F$1213,_xlfn.MAXIFS($F$14:$F$1213,$A$14:$A$1213,$H252))&gt;1),"",IFERROR(INDEX($D$14:$D$1213,MATCH($H252&amp;"|"&amp;_xlfn.MAXIFS($F$14:$F$1213,$A$14:$A$1213,$H252),$AB$14:$AB$1213,0)),""))</f>
        <v/>
      </c>
      <c r="AK252" s="27">
        <f>IF(OR($H252="",COUNTIFS($A$14:$A$1213,$H252,$F$14:$F$1213,"&gt;=0")&lt;2,COUNTIFS($A$14:$A$1213,$H252,$F$14:$F$1213,_xlfn.MAXIFS($F$14:$F$1213,$A$14:$A$1213,$H252))&gt;1),"",IFERROR(INDEX($E$14:$E$1213,MATCH($H252&amp;"|"&amp;_xlfn.MAXIFS($F$14:$F$1213,$A$14:$A$1213,$H252),$AB$14:$AB$1213,0)),""))</f>
        <v/>
      </c>
      <c r="AL252" s="27">
        <f>IF(OR($H252="",COUNTIFS($A$14:$A$1213,$H252,$F$14:$F$1213,"&gt;=0")&lt;2,COUNTIFS($A$14:$A$1213,$H252,$F$14:$F$1213,_xlfn.MAXIFS($F$14:$F$1213,$A$14:$A$1213,$H252))&gt;1),"",IFERROR(INDEX($D$14:$D$1213,MATCH($H252&amp;"|"&amp;_xlfn.MAXIFS($F$14:$F$1213,$A$14:$A$1213,$H252,$F$14:$F$1213,"&lt;"&amp;_xlfn.MAXIFS($F$14:$F$1213,$A$14:$A$1213,$H252)),$AB$14:$AB$1213,0)),""))</f>
        <v/>
      </c>
      <c r="AM252" s="27">
        <f>IF(OR($H252="",COUNTIFS($A$14:$A$1213,$H252,$F$14:$F$1213,"&gt;=0")&lt;2,COUNTIFS($A$14:$A$1213,$H252,$F$14:$F$1213,_xlfn.MAXIFS($F$14:$F$1213,$A$14:$A$1213,$H252))&gt;1),"",IFERROR(INDEX($E$14:$E$1213,MATCH($H252&amp;"|"&amp;_xlfn.MAXIFS($F$14:$F$1213,$A$14:$A$1213,$H252,$F$14:$F$1213,"&lt;"&amp;_xlfn.MAXIFS($F$14:$F$1213,$A$14:$A$1213,$H252)),$AB$14:$AB$1213,0)),""))</f>
        <v/>
      </c>
      <c r="AN252" s="27">
        <f>IF(OR(NOT(ISNUMBER($AJ252)),NOT(ISNUMBER($AL252)),$AK252=0,$AM252=0),"",IF(OR((($AJ252+$AL252)/($AK252+$AM252))&lt;=0,(($AJ252+$AL252)/($AK252+$AM252))&gt;=1),"",($AJ252/$AK252-$AL252/$AM252)/SQRT((($AJ252+$AL252)/($AK252+$AM252))*(1-(($AJ252+$AL252)/($AK252+$AM252)))*(1/$AK252+1/$AM252))))</f>
        <v/>
      </c>
      <c r="AO252" s="27">
        <f>IF($A252="","",IF(AND(COUNTIFS($A$14:$A$1213,$A252,$F$14:$F$1213,"&gt;=0")=2,IFERROR(INDEX($M$14:$M$313,MATCH($A252,$H$14:$H$313,0)),"Yes")&lt;&gt;"Yes"),1,0))</f>
        <v/>
      </c>
    </row>
    <row r="253" ht="24" customHeight="1">
      <c r="A253" s="19">
        <f>IF('Enter messages'!A253="","",'Enter messages'!A253)</f>
        <v/>
      </c>
      <c r="B253" s="20">
        <f>IF('Enter messages'!B253="","",'Enter messages'!B253)</f>
        <v/>
      </c>
      <c r="C253" s="21">
        <f>IFERROR(AVERAGE(P253:T253),"")</f>
        <v/>
      </c>
      <c r="D253" s="29" t="n"/>
      <c r="E253" s="29" t="n"/>
      <c r="F253" s="30">
        <f>IF(AND(ISNUMBER($D253),ISNUMBER($E253),$E253&gt;0,$D253&lt;=$E253),$D253/$E253,"")</f>
        <v/>
      </c>
      <c r="H253" s="19">
        <f>IFERROR(INDEX($A$14:$A$1213,MATCH(240,$AI$14:$AI$1213,0)),"")</f>
        <v/>
      </c>
      <c r="I253" s="24">
        <f>IF($H253="","",IF(COUNTIFS($A$14:$A$1213,$H253,$C$14:$C$1213,"&gt;=0")=0,"—",IFERROR(INDEX($B$14:$B$1213,MATCH($H253&amp;"|1",$Z$14:$Z$1213,0)),"(tied)")))</f>
        <v/>
      </c>
      <c r="J253" s="25">
        <f>IF($H253="","",IF(OR(COUNTIFS($A$14:$A$1213,$H253,$C$14:$C$1213,"&gt;=0")=0,COUNTIFS($A$14:$A$1213,$H253,$F$14:$F$1213,"&gt;=0")=0),"—",IF(OR(ISERROR(MATCH($H253&amp;"|1",$Z$14:$Z$1213,0)),ISERROR(MATCH($H253&amp;"|1",$AA$14:$AA$1213,0))),"Tie",IF(MATCH($H253&amp;"|1",$Z$14:$Z$1213,0)=MATCH($H253&amp;"|1",$AA$14:$AA$1213,0),"Hit","Miss"))))</f>
        <v/>
      </c>
      <c r="K253" s="24">
        <f>IF($H253="","",IF(COUNTIFS($A$14:$A$1213,$H253,$F$14:$F$1213,"&gt;=0")=0,"—",IFERROR(INDEX($B$14:$B$1213,MATCH($H253&amp;"|1",$AA$14:$AA$1213,0)),"(tied)")))</f>
        <v/>
      </c>
      <c r="L253" s="25">
        <f>IF($H253="","",IF((--(COUNTIFS($A$14:$A$1213,$H253,$P$14:$P$1213,"&gt;=0")&gt;0)+--(COUNTIFS($A$14:$A$1213,$H253,$Q$14:$Q$1213,"&gt;=0")&gt;0)+--(COUNTIFS($A$14:$A$1213,$H253,$R$14:$R$1213,"&gt;=0")&gt;0)+--(COUNTIFS($A$14:$A$1213,$H253,$S$14:$S$1213,"&gt;=0")&gt;0)+--(COUNTIFS($A$14:$A$1213,$H253,$T$14:$T$1213,"&gt;=0")&gt;0))&lt;2,"—",IF(SUMIFS($AH$14:$AH$1213,$A$14:$A$1213,$H253)=0,"Yes","No")))</f>
        <v/>
      </c>
      <c r="M253" s="25">
        <f>IF($H253="","",IF(COUNTIFS($A$14:$A$1213,$H253,$F$14:$F$1213,"&gt;=0")&lt;2,"—",IF(COUNTIFS($A$14:$A$1213,$H253,$F$14:$F$1213,_xlfn.MAXIFS($F$14:$F$1213,$A$14:$A$1213,$H253))&gt;1,"No",IF(NOT(ISNUMBER($AN253)),"—",IF((2*(1-NORMSDIST(ABS($AN253))))&lt;0.05,"Yes","No")))))</f>
        <v/>
      </c>
      <c r="N253" s="21">
        <f>IF($H253="","",IF(NOT(ISNUMBER($AN253)),"—",IF((2*(1-NORMSDIST(ABS($AN253))))&lt;0.001,"&lt;0.001",TEXT((2*(1-NORMSDIST(ABS($AN253)))),"0.000"))))</f>
        <v/>
      </c>
      <c r="P253" s="26" t="n"/>
      <c r="Q253" s="26" t="n"/>
      <c r="R253" s="26" t="n"/>
      <c r="S253" s="26" t="n"/>
      <c r="T253" s="26" t="n"/>
      <c r="V253" s="27">
        <f>IF(ISNUMBER($C253),COUNTIFS($A$14:$A$1213,$A253,$C$14:$C$1213,"&gt;"&amp;$C253)+(COUNTIFS($A$14:$A$1213,$A253,$C$14:$C$1213,"="&amp;$C253)+1)/2,"")</f>
        <v/>
      </c>
      <c r="W253" s="27">
        <f>IF(ISNUMBER($F253),COUNTIFS($A$14:$A$1213,$A253,$F$14:$F$1213,"&gt;"&amp;$F253)+(COUNTIFS($A$14:$A$1213,$A253,$F$14:$F$1213,"="&amp;$F253)+1)/2,"")</f>
        <v/>
      </c>
      <c r="X253" s="27">
        <f>IF(OR(NOT(ISNUMBER($V253)),$AO253=1),"",$V253-(COUNTIFS($A$14:$A$1213,$A253,$C$14:$C$1213,"&gt;=0")+1)/2)</f>
        <v/>
      </c>
      <c r="Y253" s="27">
        <f>IF(OR(NOT(ISNUMBER($W253)),$AO253=1),"",$W253-(COUNTIFS($A$14:$A$1213,$A253,$F$14:$F$1213,"&gt;=0")+1)/2)</f>
        <v/>
      </c>
      <c r="Z253" s="27">
        <f>IF(ISNUMBER($V253),$A253&amp;"|"&amp;$V253,"")</f>
        <v/>
      </c>
      <c r="AA253" s="27">
        <f>IF(ISNUMBER($W253),$A253&amp;"|"&amp;$W253,"")</f>
        <v/>
      </c>
      <c r="AB253" s="27">
        <f>IF(ISNUMBER($F253),$A253&amp;"|"&amp;$F253,"")</f>
        <v/>
      </c>
      <c r="AC253" s="27">
        <f>IF(ISNUMBER($P253),COUNTIFS($A$14:$A$1213,$A253,$P$14:$P$1213,"&gt;"&amp;$P253)+(COUNTIFS($A$14:$A$1213,$A253,$P$14:$P$1213,"="&amp;$P253)+1)/2,"")</f>
        <v/>
      </c>
      <c r="AD253" s="27">
        <f>IF(ISNUMBER($Q253),COUNTIFS($A$14:$A$1213,$A253,$Q$14:$Q$1213,"&gt;"&amp;$Q253)+(COUNTIFS($A$14:$A$1213,$A253,$Q$14:$Q$1213,"="&amp;$Q253)+1)/2,"")</f>
        <v/>
      </c>
      <c r="AE253" s="27">
        <f>IF(ISNUMBER($R253),COUNTIFS($A$14:$A$1213,$A253,$R$14:$R$1213,"&gt;"&amp;$R253)+(COUNTIFS($A$14:$A$1213,$A253,$R$14:$R$1213,"="&amp;$R253)+1)/2,"")</f>
        <v/>
      </c>
      <c r="AF253" s="27">
        <f>IF(ISNUMBER($S253),COUNTIFS($A$14:$A$1213,$A253,$S$14:$S$1213,"&gt;"&amp;$S253)+(COUNTIFS($A$14:$A$1213,$A253,$S$14:$S$1213,"="&amp;$S253)+1)/2,"")</f>
        <v/>
      </c>
      <c r="AG253" s="27">
        <f>IF(ISNUMBER($T253),COUNTIFS($A$14:$A$1213,$A253,$T$14:$T$1213,"&gt;"&amp;$T253)+(COUNTIFS($A$14:$A$1213,$A253,$T$14:$T$1213,"="&amp;$T253)+1)/2,"")</f>
        <v/>
      </c>
      <c r="AH253" s="27">
        <f>IF(COUNT($AC253:$AG253)&lt;2,"",IF(MAX($AC253:$AG253)=MIN($AC253:$AG253),0,1))</f>
        <v/>
      </c>
      <c r="AI253" s="27">
        <f>IF($A253="","",IF(COUNTIF($A$14:$A253,$A253)=1,COUNTIF($AI$13:AI252,"&gt;0")+1,""))</f>
        <v/>
      </c>
      <c r="AJ253" s="27">
        <f>IF(OR($H253="",COUNTIFS($A$14:$A$1213,$H253,$F$14:$F$1213,"&gt;=0")&lt;2,COUNTIFS($A$14:$A$1213,$H253,$F$14:$F$1213,_xlfn.MAXIFS($F$14:$F$1213,$A$14:$A$1213,$H253))&gt;1),"",IFERROR(INDEX($D$14:$D$1213,MATCH($H253&amp;"|"&amp;_xlfn.MAXIFS($F$14:$F$1213,$A$14:$A$1213,$H253),$AB$14:$AB$1213,0)),""))</f>
        <v/>
      </c>
      <c r="AK253" s="27">
        <f>IF(OR($H253="",COUNTIFS($A$14:$A$1213,$H253,$F$14:$F$1213,"&gt;=0")&lt;2,COUNTIFS($A$14:$A$1213,$H253,$F$14:$F$1213,_xlfn.MAXIFS($F$14:$F$1213,$A$14:$A$1213,$H253))&gt;1),"",IFERROR(INDEX($E$14:$E$1213,MATCH($H253&amp;"|"&amp;_xlfn.MAXIFS($F$14:$F$1213,$A$14:$A$1213,$H253),$AB$14:$AB$1213,0)),""))</f>
        <v/>
      </c>
      <c r="AL253" s="27">
        <f>IF(OR($H253="",COUNTIFS($A$14:$A$1213,$H253,$F$14:$F$1213,"&gt;=0")&lt;2,COUNTIFS($A$14:$A$1213,$H253,$F$14:$F$1213,_xlfn.MAXIFS($F$14:$F$1213,$A$14:$A$1213,$H253))&gt;1),"",IFERROR(INDEX($D$14:$D$1213,MATCH($H253&amp;"|"&amp;_xlfn.MAXIFS($F$14:$F$1213,$A$14:$A$1213,$H253,$F$14:$F$1213,"&lt;"&amp;_xlfn.MAXIFS($F$14:$F$1213,$A$14:$A$1213,$H253)),$AB$14:$AB$1213,0)),""))</f>
        <v/>
      </c>
      <c r="AM253" s="27">
        <f>IF(OR($H253="",COUNTIFS($A$14:$A$1213,$H253,$F$14:$F$1213,"&gt;=0")&lt;2,COUNTIFS($A$14:$A$1213,$H253,$F$14:$F$1213,_xlfn.MAXIFS($F$14:$F$1213,$A$14:$A$1213,$H253))&gt;1),"",IFERROR(INDEX($E$14:$E$1213,MATCH($H253&amp;"|"&amp;_xlfn.MAXIFS($F$14:$F$1213,$A$14:$A$1213,$H253,$F$14:$F$1213,"&lt;"&amp;_xlfn.MAXIFS($F$14:$F$1213,$A$14:$A$1213,$H253)),$AB$14:$AB$1213,0)),""))</f>
        <v/>
      </c>
      <c r="AN253" s="27">
        <f>IF(OR(NOT(ISNUMBER($AJ253)),NOT(ISNUMBER($AL253)),$AK253=0,$AM253=0),"",IF(OR((($AJ253+$AL253)/($AK253+$AM253))&lt;=0,(($AJ253+$AL253)/($AK253+$AM253))&gt;=1),"",($AJ253/$AK253-$AL253/$AM253)/SQRT((($AJ253+$AL253)/($AK253+$AM253))*(1-(($AJ253+$AL253)/($AK253+$AM253)))*(1/$AK253+1/$AM253))))</f>
        <v/>
      </c>
      <c r="AO253" s="27">
        <f>IF($A253="","",IF(AND(COUNTIFS($A$14:$A$1213,$A253,$F$14:$F$1213,"&gt;=0")=2,IFERROR(INDEX($M$14:$M$313,MATCH($A253,$H$14:$H$313,0)),"Yes")&lt;&gt;"Yes"),1,0))</f>
        <v/>
      </c>
    </row>
    <row r="254" ht="24" customHeight="1">
      <c r="A254" s="19">
        <f>IF('Enter messages'!A254="","",'Enter messages'!A254)</f>
        <v/>
      </c>
      <c r="B254" s="20">
        <f>IF('Enter messages'!B254="","",'Enter messages'!B254)</f>
        <v/>
      </c>
      <c r="C254" s="21">
        <f>IFERROR(AVERAGE(P254:T254),"")</f>
        <v/>
      </c>
      <c r="D254" s="29" t="n"/>
      <c r="E254" s="29" t="n"/>
      <c r="F254" s="30">
        <f>IF(AND(ISNUMBER($D254),ISNUMBER($E254),$E254&gt;0,$D254&lt;=$E254),$D254/$E254,"")</f>
        <v/>
      </c>
      <c r="H254" s="19">
        <f>IFERROR(INDEX($A$14:$A$1213,MATCH(241,$AI$14:$AI$1213,0)),"")</f>
        <v/>
      </c>
      <c r="I254" s="24">
        <f>IF($H254="","",IF(COUNTIFS($A$14:$A$1213,$H254,$C$14:$C$1213,"&gt;=0")=0,"—",IFERROR(INDEX($B$14:$B$1213,MATCH($H254&amp;"|1",$Z$14:$Z$1213,0)),"(tied)")))</f>
        <v/>
      </c>
      <c r="J254" s="25">
        <f>IF($H254="","",IF(OR(COUNTIFS($A$14:$A$1213,$H254,$C$14:$C$1213,"&gt;=0")=0,COUNTIFS($A$14:$A$1213,$H254,$F$14:$F$1213,"&gt;=0")=0),"—",IF(OR(ISERROR(MATCH($H254&amp;"|1",$Z$14:$Z$1213,0)),ISERROR(MATCH($H254&amp;"|1",$AA$14:$AA$1213,0))),"Tie",IF(MATCH($H254&amp;"|1",$Z$14:$Z$1213,0)=MATCH($H254&amp;"|1",$AA$14:$AA$1213,0),"Hit","Miss"))))</f>
        <v/>
      </c>
      <c r="K254" s="24">
        <f>IF($H254="","",IF(COUNTIFS($A$14:$A$1213,$H254,$F$14:$F$1213,"&gt;=0")=0,"—",IFERROR(INDEX($B$14:$B$1213,MATCH($H254&amp;"|1",$AA$14:$AA$1213,0)),"(tied)")))</f>
        <v/>
      </c>
      <c r="L254" s="25">
        <f>IF($H254="","",IF((--(COUNTIFS($A$14:$A$1213,$H254,$P$14:$P$1213,"&gt;=0")&gt;0)+--(COUNTIFS($A$14:$A$1213,$H254,$Q$14:$Q$1213,"&gt;=0")&gt;0)+--(COUNTIFS($A$14:$A$1213,$H254,$R$14:$R$1213,"&gt;=0")&gt;0)+--(COUNTIFS($A$14:$A$1213,$H254,$S$14:$S$1213,"&gt;=0")&gt;0)+--(COUNTIFS($A$14:$A$1213,$H254,$T$14:$T$1213,"&gt;=0")&gt;0))&lt;2,"—",IF(SUMIFS($AH$14:$AH$1213,$A$14:$A$1213,$H254)=0,"Yes","No")))</f>
        <v/>
      </c>
      <c r="M254" s="25">
        <f>IF($H254="","",IF(COUNTIFS($A$14:$A$1213,$H254,$F$14:$F$1213,"&gt;=0")&lt;2,"—",IF(COUNTIFS($A$14:$A$1213,$H254,$F$14:$F$1213,_xlfn.MAXIFS($F$14:$F$1213,$A$14:$A$1213,$H254))&gt;1,"No",IF(NOT(ISNUMBER($AN254)),"—",IF((2*(1-NORMSDIST(ABS($AN254))))&lt;0.05,"Yes","No")))))</f>
        <v/>
      </c>
      <c r="N254" s="21">
        <f>IF($H254="","",IF(NOT(ISNUMBER($AN254)),"—",IF((2*(1-NORMSDIST(ABS($AN254))))&lt;0.001,"&lt;0.001",TEXT((2*(1-NORMSDIST(ABS($AN254)))),"0.000"))))</f>
        <v/>
      </c>
      <c r="P254" s="26" t="n"/>
      <c r="Q254" s="26" t="n"/>
      <c r="R254" s="26" t="n"/>
      <c r="S254" s="26" t="n"/>
      <c r="T254" s="26" t="n"/>
      <c r="V254" s="27">
        <f>IF(ISNUMBER($C254),COUNTIFS($A$14:$A$1213,$A254,$C$14:$C$1213,"&gt;"&amp;$C254)+(COUNTIFS($A$14:$A$1213,$A254,$C$14:$C$1213,"="&amp;$C254)+1)/2,"")</f>
        <v/>
      </c>
      <c r="W254" s="27">
        <f>IF(ISNUMBER($F254),COUNTIFS($A$14:$A$1213,$A254,$F$14:$F$1213,"&gt;"&amp;$F254)+(COUNTIFS($A$14:$A$1213,$A254,$F$14:$F$1213,"="&amp;$F254)+1)/2,"")</f>
        <v/>
      </c>
      <c r="X254" s="27">
        <f>IF(OR(NOT(ISNUMBER($V254)),$AO254=1),"",$V254-(COUNTIFS($A$14:$A$1213,$A254,$C$14:$C$1213,"&gt;=0")+1)/2)</f>
        <v/>
      </c>
      <c r="Y254" s="27">
        <f>IF(OR(NOT(ISNUMBER($W254)),$AO254=1),"",$W254-(COUNTIFS($A$14:$A$1213,$A254,$F$14:$F$1213,"&gt;=0")+1)/2)</f>
        <v/>
      </c>
      <c r="Z254" s="27">
        <f>IF(ISNUMBER($V254),$A254&amp;"|"&amp;$V254,"")</f>
        <v/>
      </c>
      <c r="AA254" s="27">
        <f>IF(ISNUMBER($W254),$A254&amp;"|"&amp;$W254,"")</f>
        <v/>
      </c>
      <c r="AB254" s="27">
        <f>IF(ISNUMBER($F254),$A254&amp;"|"&amp;$F254,"")</f>
        <v/>
      </c>
      <c r="AC254" s="27">
        <f>IF(ISNUMBER($P254),COUNTIFS($A$14:$A$1213,$A254,$P$14:$P$1213,"&gt;"&amp;$P254)+(COUNTIFS($A$14:$A$1213,$A254,$P$14:$P$1213,"="&amp;$P254)+1)/2,"")</f>
        <v/>
      </c>
      <c r="AD254" s="27">
        <f>IF(ISNUMBER($Q254),COUNTIFS($A$14:$A$1213,$A254,$Q$14:$Q$1213,"&gt;"&amp;$Q254)+(COUNTIFS($A$14:$A$1213,$A254,$Q$14:$Q$1213,"="&amp;$Q254)+1)/2,"")</f>
        <v/>
      </c>
      <c r="AE254" s="27">
        <f>IF(ISNUMBER($R254),COUNTIFS($A$14:$A$1213,$A254,$R$14:$R$1213,"&gt;"&amp;$R254)+(COUNTIFS($A$14:$A$1213,$A254,$R$14:$R$1213,"="&amp;$R254)+1)/2,"")</f>
        <v/>
      </c>
      <c r="AF254" s="27">
        <f>IF(ISNUMBER($S254),COUNTIFS($A$14:$A$1213,$A254,$S$14:$S$1213,"&gt;"&amp;$S254)+(COUNTIFS($A$14:$A$1213,$A254,$S$14:$S$1213,"="&amp;$S254)+1)/2,"")</f>
        <v/>
      </c>
      <c r="AG254" s="27">
        <f>IF(ISNUMBER($T254),COUNTIFS($A$14:$A$1213,$A254,$T$14:$T$1213,"&gt;"&amp;$T254)+(COUNTIFS($A$14:$A$1213,$A254,$T$14:$T$1213,"="&amp;$T254)+1)/2,"")</f>
        <v/>
      </c>
      <c r="AH254" s="27">
        <f>IF(COUNT($AC254:$AG254)&lt;2,"",IF(MAX($AC254:$AG254)=MIN($AC254:$AG254),0,1))</f>
        <v/>
      </c>
      <c r="AI254" s="27">
        <f>IF($A254="","",IF(COUNTIF($A$14:$A254,$A254)=1,COUNTIF($AI$13:AI253,"&gt;0")+1,""))</f>
        <v/>
      </c>
      <c r="AJ254" s="27">
        <f>IF(OR($H254="",COUNTIFS($A$14:$A$1213,$H254,$F$14:$F$1213,"&gt;=0")&lt;2,COUNTIFS($A$14:$A$1213,$H254,$F$14:$F$1213,_xlfn.MAXIFS($F$14:$F$1213,$A$14:$A$1213,$H254))&gt;1),"",IFERROR(INDEX($D$14:$D$1213,MATCH($H254&amp;"|"&amp;_xlfn.MAXIFS($F$14:$F$1213,$A$14:$A$1213,$H254),$AB$14:$AB$1213,0)),""))</f>
        <v/>
      </c>
      <c r="AK254" s="27">
        <f>IF(OR($H254="",COUNTIFS($A$14:$A$1213,$H254,$F$14:$F$1213,"&gt;=0")&lt;2,COUNTIFS($A$14:$A$1213,$H254,$F$14:$F$1213,_xlfn.MAXIFS($F$14:$F$1213,$A$14:$A$1213,$H254))&gt;1),"",IFERROR(INDEX($E$14:$E$1213,MATCH($H254&amp;"|"&amp;_xlfn.MAXIFS($F$14:$F$1213,$A$14:$A$1213,$H254),$AB$14:$AB$1213,0)),""))</f>
        <v/>
      </c>
      <c r="AL254" s="27">
        <f>IF(OR($H254="",COUNTIFS($A$14:$A$1213,$H254,$F$14:$F$1213,"&gt;=0")&lt;2,COUNTIFS($A$14:$A$1213,$H254,$F$14:$F$1213,_xlfn.MAXIFS($F$14:$F$1213,$A$14:$A$1213,$H254))&gt;1),"",IFERROR(INDEX($D$14:$D$1213,MATCH($H254&amp;"|"&amp;_xlfn.MAXIFS($F$14:$F$1213,$A$14:$A$1213,$H254,$F$14:$F$1213,"&lt;"&amp;_xlfn.MAXIFS($F$14:$F$1213,$A$14:$A$1213,$H254)),$AB$14:$AB$1213,0)),""))</f>
        <v/>
      </c>
      <c r="AM254" s="27">
        <f>IF(OR($H254="",COUNTIFS($A$14:$A$1213,$H254,$F$14:$F$1213,"&gt;=0")&lt;2,COUNTIFS($A$14:$A$1213,$H254,$F$14:$F$1213,_xlfn.MAXIFS($F$14:$F$1213,$A$14:$A$1213,$H254))&gt;1),"",IFERROR(INDEX($E$14:$E$1213,MATCH($H254&amp;"|"&amp;_xlfn.MAXIFS($F$14:$F$1213,$A$14:$A$1213,$H254,$F$14:$F$1213,"&lt;"&amp;_xlfn.MAXIFS($F$14:$F$1213,$A$14:$A$1213,$H254)),$AB$14:$AB$1213,0)),""))</f>
        <v/>
      </c>
      <c r="AN254" s="27">
        <f>IF(OR(NOT(ISNUMBER($AJ254)),NOT(ISNUMBER($AL254)),$AK254=0,$AM254=0),"",IF(OR((($AJ254+$AL254)/($AK254+$AM254))&lt;=0,(($AJ254+$AL254)/($AK254+$AM254))&gt;=1),"",($AJ254/$AK254-$AL254/$AM254)/SQRT((($AJ254+$AL254)/($AK254+$AM254))*(1-(($AJ254+$AL254)/($AK254+$AM254)))*(1/$AK254+1/$AM254))))</f>
        <v/>
      </c>
      <c r="AO254" s="27">
        <f>IF($A254="","",IF(AND(COUNTIFS($A$14:$A$1213,$A254,$F$14:$F$1213,"&gt;=0")=2,IFERROR(INDEX($M$14:$M$313,MATCH($A254,$H$14:$H$313,0)),"Yes")&lt;&gt;"Yes"),1,0))</f>
        <v/>
      </c>
    </row>
    <row r="255" ht="24" customHeight="1">
      <c r="A255" s="19">
        <f>IF('Enter messages'!A255="","",'Enter messages'!A255)</f>
        <v/>
      </c>
      <c r="B255" s="20">
        <f>IF('Enter messages'!B255="","",'Enter messages'!B255)</f>
        <v/>
      </c>
      <c r="C255" s="21">
        <f>IFERROR(AVERAGE(P255:T255),"")</f>
        <v/>
      </c>
      <c r="D255" s="29" t="n"/>
      <c r="E255" s="29" t="n"/>
      <c r="F255" s="30">
        <f>IF(AND(ISNUMBER($D255),ISNUMBER($E255),$E255&gt;0,$D255&lt;=$E255),$D255/$E255,"")</f>
        <v/>
      </c>
      <c r="H255" s="19">
        <f>IFERROR(INDEX($A$14:$A$1213,MATCH(242,$AI$14:$AI$1213,0)),"")</f>
        <v/>
      </c>
      <c r="I255" s="24">
        <f>IF($H255="","",IF(COUNTIFS($A$14:$A$1213,$H255,$C$14:$C$1213,"&gt;=0")=0,"—",IFERROR(INDEX($B$14:$B$1213,MATCH($H255&amp;"|1",$Z$14:$Z$1213,0)),"(tied)")))</f>
        <v/>
      </c>
      <c r="J255" s="25">
        <f>IF($H255="","",IF(OR(COUNTIFS($A$14:$A$1213,$H255,$C$14:$C$1213,"&gt;=0")=0,COUNTIFS($A$14:$A$1213,$H255,$F$14:$F$1213,"&gt;=0")=0),"—",IF(OR(ISERROR(MATCH($H255&amp;"|1",$Z$14:$Z$1213,0)),ISERROR(MATCH($H255&amp;"|1",$AA$14:$AA$1213,0))),"Tie",IF(MATCH($H255&amp;"|1",$Z$14:$Z$1213,0)=MATCH($H255&amp;"|1",$AA$14:$AA$1213,0),"Hit","Miss"))))</f>
        <v/>
      </c>
      <c r="K255" s="24">
        <f>IF($H255="","",IF(COUNTIFS($A$14:$A$1213,$H255,$F$14:$F$1213,"&gt;=0")=0,"—",IFERROR(INDEX($B$14:$B$1213,MATCH($H255&amp;"|1",$AA$14:$AA$1213,0)),"(tied)")))</f>
        <v/>
      </c>
      <c r="L255" s="25">
        <f>IF($H255="","",IF((--(COUNTIFS($A$14:$A$1213,$H255,$P$14:$P$1213,"&gt;=0")&gt;0)+--(COUNTIFS($A$14:$A$1213,$H255,$Q$14:$Q$1213,"&gt;=0")&gt;0)+--(COUNTIFS($A$14:$A$1213,$H255,$R$14:$R$1213,"&gt;=0")&gt;0)+--(COUNTIFS($A$14:$A$1213,$H255,$S$14:$S$1213,"&gt;=0")&gt;0)+--(COUNTIFS($A$14:$A$1213,$H255,$T$14:$T$1213,"&gt;=0")&gt;0))&lt;2,"—",IF(SUMIFS($AH$14:$AH$1213,$A$14:$A$1213,$H255)=0,"Yes","No")))</f>
        <v/>
      </c>
      <c r="M255" s="25">
        <f>IF($H255="","",IF(COUNTIFS($A$14:$A$1213,$H255,$F$14:$F$1213,"&gt;=0")&lt;2,"—",IF(COUNTIFS($A$14:$A$1213,$H255,$F$14:$F$1213,_xlfn.MAXIFS($F$14:$F$1213,$A$14:$A$1213,$H255))&gt;1,"No",IF(NOT(ISNUMBER($AN255)),"—",IF((2*(1-NORMSDIST(ABS($AN255))))&lt;0.05,"Yes","No")))))</f>
        <v/>
      </c>
      <c r="N255" s="21">
        <f>IF($H255="","",IF(NOT(ISNUMBER($AN255)),"—",IF((2*(1-NORMSDIST(ABS($AN255))))&lt;0.001,"&lt;0.001",TEXT((2*(1-NORMSDIST(ABS($AN255)))),"0.000"))))</f>
        <v/>
      </c>
      <c r="P255" s="26" t="n"/>
      <c r="Q255" s="26" t="n"/>
      <c r="R255" s="26" t="n"/>
      <c r="S255" s="26" t="n"/>
      <c r="T255" s="26" t="n"/>
      <c r="V255" s="27">
        <f>IF(ISNUMBER($C255),COUNTIFS($A$14:$A$1213,$A255,$C$14:$C$1213,"&gt;"&amp;$C255)+(COUNTIFS($A$14:$A$1213,$A255,$C$14:$C$1213,"="&amp;$C255)+1)/2,"")</f>
        <v/>
      </c>
      <c r="W255" s="27">
        <f>IF(ISNUMBER($F255),COUNTIFS($A$14:$A$1213,$A255,$F$14:$F$1213,"&gt;"&amp;$F255)+(COUNTIFS($A$14:$A$1213,$A255,$F$14:$F$1213,"="&amp;$F255)+1)/2,"")</f>
        <v/>
      </c>
      <c r="X255" s="27">
        <f>IF(OR(NOT(ISNUMBER($V255)),$AO255=1),"",$V255-(COUNTIFS($A$14:$A$1213,$A255,$C$14:$C$1213,"&gt;=0")+1)/2)</f>
        <v/>
      </c>
      <c r="Y255" s="27">
        <f>IF(OR(NOT(ISNUMBER($W255)),$AO255=1),"",$W255-(COUNTIFS($A$14:$A$1213,$A255,$F$14:$F$1213,"&gt;=0")+1)/2)</f>
        <v/>
      </c>
      <c r="Z255" s="27">
        <f>IF(ISNUMBER($V255),$A255&amp;"|"&amp;$V255,"")</f>
        <v/>
      </c>
      <c r="AA255" s="27">
        <f>IF(ISNUMBER($W255),$A255&amp;"|"&amp;$W255,"")</f>
        <v/>
      </c>
      <c r="AB255" s="27">
        <f>IF(ISNUMBER($F255),$A255&amp;"|"&amp;$F255,"")</f>
        <v/>
      </c>
      <c r="AC255" s="27">
        <f>IF(ISNUMBER($P255),COUNTIFS($A$14:$A$1213,$A255,$P$14:$P$1213,"&gt;"&amp;$P255)+(COUNTIFS($A$14:$A$1213,$A255,$P$14:$P$1213,"="&amp;$P255)+1)/2,"")</f>
        <v/>
      </c>
      <c r="AD255" s="27">
        <f>IF(ISNUMBER($Q255),COUNTIFS($A$14:$A$1213,$A255,$Q$14:$Q$1213,"&gt;"&amp;$Q255)+(COUNTIFS($A$14:$A$1213,$A255,$Q$14:$Q$1213,"="&amp;$Q255)+1)/2,"")</f>
        <v/>
      </c>
      <c r="AE255" s="27">
        <f>IF(ISNUMBER($R255),COUNTIFS($A$14:$A$1213,$A255,$R$14:$R$1213,"&gt;"&amp;$R255)+(COUNTIFS($A$14:$A$1213,$A255,$R$14:$R$1213,"="&amp;$R255)+1)/2,"")</f>
        <v/>
      </c>
      <c r="AF255" s="27">
        <f>IF(ISNUMBER($S255),COUNTIFS($A$14:$A$1213,$A255,$S$14:$S$1213,"&gt;"&amp;$S255)+(COUNTIFS($A$14:$A$1213,$A255,$S$14:$S$1213,"="&amp;$S255)+1)/2,"")</f>
        <v/>
      </c>
      <c r="AG255" s="27">
        <f>IF(ISNUMBER($T255),COUNTIFS($A$14:$A$1213,$A255,$T$14:$T$1213,"&gt;"&amp;$T255)+(COUNTIFS($A$14:$A$1213,$A255,$T$14:$T$1213,"="&amp;$T255)+1)/2,"")</f>
        <v/>
      </c>
      <c r="AH255" s="27">
        <f>IF(COUNT($AC255:$AG255)&lt;2,"",IF(MAX($AC255:$AG255)=MIN($AC255:$AG255),0,1))</f>
        <v/>
      </c>
      <c r="AI255" s="27">
        <f>IF($A255="","",IF(COUNTIF($A$14:$A255,$A255)=1,COUNTIF($AI$13:AI254,"&gt;0")+1,""))</f>
        <v/>
      </c>
      <c r="AJ255" s="27">
        <f>IF(OR($H255="",COUNTIFS($A$14:$A$1213,$H255,$F$14:$F$1213,"&gt;=0")&lt;2,COUNTIFS($A$14:$A$1213,$H255,$F$14:$F$1213,_xlfn.MAXIFS($F$14:$F$1213,$A$14:$A$1213,$H255))&gt;1),"",IFERROR(INDEX($D$14:$D$1213,MATCH($H255&amp;"|"&amp;_xlfn.MAXIFS($F$14:$F$1213,$A$14:$A$1213,$H255),$AB$14:$AB$1213,0)),""))</f>
        <v/>
      </c>
      <c r="AK255" s="27">
        <f>IF(OR($H255="",COUNTIFS($A$14:$A$1213,$H255,$F$14:$F$1213,"&gt;=0")&lt;2,COUNTIFS($A$14:$A$1213,$H255,$F$14:$F$1213,_xlfn.MAXIFS($F$14:$F$1213,$A$14:$A$1213,$H255))&gt;1),"",IFERROR(INDEX($E$14:$E$1213,MATCH($H255&amp;"|"&amp;_xlfn.MAXIFS($F$14:$F$1213,$A$14:$A$1213,$H255),$AB$14:$AB$1213,0)),""))</f>
        <v/>
      </c>
      <c r="AL255" s="27">
        <f>IF(OR($H255="",COUNTIFS($A$14:$A$1213,$H255,$F$14:$F$1213,"&gt;=0")&lt;2,COUNTIFS($A$14:$A$1213,$H255,$F$14:$F$1213,_xlfn.MAXIFS($F$14:$F$1213,$A$14:$A$1213,$H255))&gt;1),"",IFERROR(INDEX($D$14:$D$1213,MATCH($H255&amp;"|"&amp;_xlfn.MAXIFS($F$14:$F$1213,$A$14:$A$1213,$H255,$F$14:$F$1213,"&lt;"&amp;_xlfn.MAXIFS($F$14:$F$1213,$A$14:$A$1213,$H255)),$AB$14:$AB$1213,0)),""))</f>
        <v/>
      </c>
      <c r="AM255" s="27">
        <f>IF(OR($H255="",COUNTIFS($A$14:$A$1213,$H255,$F$14:$F$1213,"&gt;=0")&lt;2,COUNTIFS($A$14:$A$1213,$H255,$F$14:$F$1213,_xlfn.MAXIFS($F$14:$F$1213,$A$14:$A$1213,$H255))&gt;1),"",IFERROR(INDEX($E$14:$E$1213,MATCH($H255&amp;"|"&amp;_xlfn.MAXIFS($F$14:$F$1213,$A$14:$A$1213,$H255,$F$14:$F$1213,"&lt;"&amp;_xlfn.MAXIFS($F$14:$F$1213,$A$14:$A$1213,$H255)),$AB$14:$AB$1213,0)),""))</f>
        <v/>
      </c>
      <c r="AN255" s="27">
        <f>IF(OR(NOT(ISNUMBER($AJ255)),NOT(ISNUMBER($AL255)),$AK255=0,$AM255=0),"",IF(OR((($AJ255+$AL255)/($AK255+$AM255))&lt;=0,(($AJ255+$AL255)/($AK255+$AM255))&gt;=1),"",($AJ255/$AK255-$AL255/$AM255)/SQRT((($AJ255+$AL255)/($AK255+$AM255))*(1-(($AJ255+$AL255)/($AK255+$AM255)))*(1/$AK255+1/$AM255))))</f>
        <v/>
      </c>
      <c r="AO255" s="27">
        <f>IF($A255="","",IF(AND(COUNTIFS($A$14:$A$1213,$A255,$F$14:$F$1213,"&gt;=0")=2,IFERROR(INDEX($M$14:$M$313,MATCH($A255,$H$14:$H$313,0)),"Yes")&lt;&gt;"Yes"),1,0))</f>
        <v/>
      </c>
    </row>
    <row r="256" ht="24" customHeight="1">
      <c r="A256" s="19">
        <f>IF('Enter messages'!A256="","",'Enter messages'!A256)</f>
        <v/>
      </c>
      <c r="B256" s="20">
        <f>IF('Enter messages'!B256="","",'Enter messages'!B256)</f>
        <v/>
      </c>
      <c r="C256" s="21">
        <f>IFERROR(AVERAGE(P256:T256),"")</f>
        <v/>
      </c>
      <c r="D256" s="29" t="n"/>
      <c r="E256" s="29" t="n"/>
      <c r="F256" s="30">
        <f>IF(AND(ISNUMBER($D256),ISNUMBER($E256),$E256&gt;0,$D256&lt;=$E256),$D256/$E256,"")</f>
        <v/>
      </c>
      <c r="H256" s="19">
        <f>IFERROR(INDEX($A$14:$A$1213,MATCH(243,$AI$14:$AI$1213,0)),"")</f>
        <v/>
      </c>
      <c r="I256" s="24">
        <f>IF($H256="","",IF(COUNTIFS($A$14:$A$1213,$H256,$C$14:$C$1213,"&gt;=0")=0,"—",IFERROR(INDEX($B$14:$B$1213,MATCH($H256&amp;"|1",$Z$14:$Z$1213,0)),"(tied)")))</f>
        <v/>
      </c>
      <c r="J256" s="25">
        <f>IF($H256="","",IF(OR(COUNTIFS($A$14:$A$1213,$H256,$C$14:$C$1213,"&gt;=0")=0,COUNTIFS($A$14:$A$1213,$H256,$F$14:$F$1213,"&gt;=0")=0),"—",IF(OR(ISERROR(MATCH($H256&amp;"|1",$Z$14:$Z$1213,0)),ISERROR(MATCH($H256&amp;"|1",$AA$14:$AA$1213,0))),"Tie",IF(MATCH($H256&amp;"|1",$Z$14:$Z$1213,0)=MATCH($H256&amp;"|1",$AA$14:$AA$1213,0),"Hit","Miss"))))</f>
        <v/>
      </c>
      <c r="K256" s="24">
        <f>IF($H256="","",IF(COUNTIFS($A$14:$A$1213,$H256,$F$14:$F$1213,"&gt;=0")=0,"—",IFERROR(INDEX($B$14:$B$1213,MATCH($H256&amp;"|1",$AA$14:$AA$1213,0)),"(tied)")))</f>
        <v/>
      </c>
      <c r="L256" s="25">
        <f>IF($H256="","",IF((--(COUNTIFS($A$14:$A$1213,$H256,$P$14:$P$1213,"&gt;=0")&gt;0)+--(COUNTIFS($A$14:$A$1213,$H256,$Q$14:$Q$1213,"&gt;=0")&gt;0)+--(COUNTIFS($A$14:$A$1213,$H256,$R$14:$R$1213,"&gt;=0")&gt;0)+--(COUNTIFS($A$14:$A$1213,$H256,$S$14:$S$1213,"&gt;=0")&gt;0)+--(COUNTIFS($A$14:$A$1213,$H256,$T$14:$T$1213,"&gt;=0")&gt;0))&lt;2,"—",IF(SUMIFS($AH$14:$AH$1213,$A$14:$A$1213,$H256)=0,"Yes","No")))</f>
        <v/>
      </c>
      <c r="M256" s="25">
        <f>IF($H256="","",IF(COUNTIFS($A$14:$A$1213,$H256,$F$14:$F$1213,"&gt;=0")&lt;2,"—",IF(COUNTIFS($A$14:$A$1213,$H256,$F$14:$F$1213,_xlfn.MAXIFS($F$14:$F$1213,$A$14:$A$1213,$H256))&gt;1,"No",IF(NOT(ISNUMBER($AN256)),"—",IF((2*(1-NORMSDIST(ABS($AN256))))&lt;0.05,"Yes","No")))))</f>
        <v/>
      </c>
      <c r="N256" s="21">
        <f>IF($H256="","",IF(NOT(ISNUMBER($AN256)),"—",IF((2*(1-NORMSDIST(ABS($AN256))))&lt;0.001,"&lt;0.001",TEXT((2*(1-NORMSDIST(ABS($AN256)))),"0.000"))))</f>
        <v/>
      </c>
      <c r="P256" s="26" t="n"/>
      <c r="Q256" s="26" t="n"/>
      <c r="R256" s="26" t="n"/>
      <c r="S256" s="26" t="n"/>
      <c r="T256" s="26" t="n"/>
      <c r="V256" s="27">
        <f>IF(ISNUMBER($C256),COUNTIFS($A$14:$A$1213,$A256,$C$14:$C$1213,"&gt;"&amp;$C256)+(COUNTIFS($A$14:$A$1213,$A256,$C$14:$C$1213,"="&amp;$C256)+1)/2,"")</f>
        <v/>
      </c>
      <c r="W256" s="27">
        <f>IF(ISNUMBER($F256),COUNTIFS($A$14:$A$1213,$A256,$F$14:$F$1213,"&gt;"&amp;$F256)+(COUNTIFS($A$14:$A$1213,$A256,$F$14:$F$1213,"="&amp;$F256)+1)/2,"")</f>
        <v/>
      </c>
      <c r="X256" s="27">
        <f>IF(OR(NOT(ISNUMBER($V256)),$AO256=1),"",$V256-(COUNTIFS($A$14:$A$1213,$A256,$C$14:$C$1213,"&gt;=0")+1)/2)</f>
        <v/>
      </c>
      <c r="Y256" s="27">
        <f>IF(OR(NOT(ISNUMBER($W256)),$AO256=1),"",$W256-(COUNTIFS($A$14:$A$1213,$A256,$F$14:$F$1213,"&gt;=0")+1)/2)</f>
        <v/>
      </c>
      <c r="Z256" s="27">
        <f>IF(ISNUMBER($V256),$A256&amp;"|"&amp;$V256,"")</f>
        <v/>
      </c>
      <c r="AA256" s="27">
        <f>IF(ISNUMBER($W256),$A256&amp;"|"&amp;$W256,"")</f>
        <v/>
      </c>
      <c r="AB256" s="27">
        <f>IF(ISNUMBER($F256),$A256&amp;"|"&amp;$F256,"")</f>
        <v/>
      </c>
      <c r="AC256" s="27">
        <f>IF(ISNUMBER($P256),COUNTIFS($A$14:$A$1213,$A256,$P$14:$P$1213,"&gt;"&amp;$P256)+(COUNTIFS($A$14:$A$1213,$A256,$P$14:$P$1213,"="&amp;$P256)+1)/2,"")</f>
        <v/>
      </c>
      <c r="AD256" s="27">
        <f>IF(ISNUMBER($Q256),COUNTIFS($A$14:$A$1213,$A256,$Q$14:$Q$1213,"&gt;"&amp;$Q256)+(COUNTIFS($A$14:$A$1213,$A256,$Q$14:$Q$1213,"="&amp;$Q256)+1)/2,"")</f>
        <v/>
      </c>
      <c r="AE256" s="27">
        <f>IF(ISNUMBER($R256),COUNTIFS($A$14:$A$1213,$A256,$R$14:$R$1213,"&gt;"&amp;$R256)+(COUNTIFS($A$14:$A$1213,$A256,$R$14:$R$1213,"="&amp;$R256)+1)/2,"")</f>
        <v/>
      </c>
      <c r="AF256" s="27">
        <f>IF(ISNUMBER($S256),COUNTIFS($A$14:$A$1213,$A256,$S$14:$S$1213,"&gt;"&amp;$S256)+(COUNTIFS($A$14:$A$1213,$A256,$S$14:$S$1213,"="&amp;$S256)+1)/2,"")</f>
        <v/>
      </c>
      <c r="AG256" s="27">
        <f>IF(ISNUMBER($T256),COUNTIFS($A$14:$A$1213,$A256,$T$14:$T$1213,"&gt;"&amp;$T256)+(COUNTIFS($A$14:$A$1213,$A256,$T$14:$T$1213,"="&amp;$T256)+1)/2,"")</f>
        <v/>
      </c>
      <c r="AH256" s="27">
        <f>IF(COUNT($AC256:$AG256)&lt;2,"",IF(MAX($AC256:$AG256)=MIN($AC256:$AG256),0,1))</f>
        <v/>
      </c>
      <c r="AI256" s="27">
        <f>IF($A256="","",IF(COUNTIF($A$14:$A256,$A256)=1,COUNTIF($AI$13:AI255,"&gt;0")+1,""))</f>
        <v/>
      </c>
      <c r="AJ256" s="27">
        <f>IF(OR($H256="",COUNTIFS($A$14:$A$1213,$H256,$F$14:$F$1213,"&gt;=0")&lt;2,COUNTIFS($A$14:$A$1213,$H256,$F$14:$F$1213,_xlfn.MAXIFS($F$14:$F$1213,$A$14:$A$1213,$H256))&gt;1),"",IFERROR(INDEX($D$14:$D$1213,MATCH($H256&amp;"|"&amp;_xlfn.MAXIFS($F$14:$F$1213,$A$14:$A$1213,$H256),$AB$14:$AB$1213,0)),""))</f>
        <v/>
      </c>
      <c r="AK256" s="27">
        <f>IF(OR($H256="",COUNTIFS($A$14:$A$1213,$H256,$F$14:$F$1213,"&gt;=0")&lt;2,COUNTIFS($A$14:$A$1213,$H256,$F$14:$F$1213,_xlfn.MAXIFS($F$14:$F$1213,$A$14:$A$1213,$H256))&gt;1),"",IFERROR(INDEX($E$14:$E$1213,MATCH($H256&amp;"|"&amp;_xlfn.MAXIFS($F$14:$F$1213,$A$14:$A$1213,$H256),$AB$14:$AB$1213,0)),""))</f>
        <v/>
      </c>
      <c r="AL256" s="27">
        <f>IF(OR($H256="",COUNTIFS($A$14:$A$1213,$H256,$F$14:$F$1213,"&gt;=0")&lt;2,COUNTIFS($A$14:$A$1213,$H256,$F$14:$F$1213,_xlfn.MAXIFS($F$14:$F$1213,$A$14:$A$1213,$H256))&gt;1),"",IFERROR(INDEX($D$14:$D$1213,MATCH($H256&amp;"|"&amp;_xlfn.MAXIFS($F$14:$F$1213,$A$14:$A$1213,$H256,$F$14:$F$1213,"&lt;"&amp;_xlfn.MAXIFS($F$14:$F$1213,$A$14:$A$1213,$H256)),$AB$14:$AB$1213,0)),""))</f>
        <v/>
      </c>
      <c r="AM256" s="27">
        <f>IF(OR($H256="",COUNTIFS($A$14:$A$1213,$H256,$F$14:$F$1213,"&gt;=0")&lt;2,COUNTIFS($A$14:$A$1213,$H256,$F$14:$F$1213,_xlfn.MAXIFS($F$14:$F$1213,$A$14:$A$1213,$H256))&gt;1),"",IFERROR(INDEX($E$14:$E$1213,MATCH($H256&amp;"|"&amp;_xlfn.MAXIFS($F$14:$F$1213,$A$14:$A$1213,$H256,$F$14:$F$1213,"&lt;"&amp;_xlfn.MAXIFS($F$14:$F$1213,$A$14:$A$1213,$H256)),$AB$14:$AB$1213,0)),""))</f>
        <v/>
      </c>
      <c r="AN256" s="27">
        <f>IF(OR(NOT(ISNUMBER($AJ256)),NOT(ISNUMBER($AL256)),$AK256=0,$AM256=0),"",IF(OR((($AJ256+$AL256)/($AK256+$AM256))&lt;=0,(($AJ256+$AL256)/($AK256+$AM256))&gt;=1),"",($AJ256/$AK256-$AL256/$AM256)/SQRT((($AJ256+$AL256)/($AK256+$AM256))*(1-(($AJ256+$AL256)/($AK256+$AM256)))*(1/$AK256+1/$AM256))))</f>
        <v/>
      </c>
      <c r="AO256" s="27">
        <f>IF($A256="","",IF(AND(COUNTIFS($A$14:$A$1213,$A256,$F$14:$F$1213,"&gt;=0")=2,IFERROR(INDEX($M$14:$M$313,MATCH($A256,$H$14:$H$313,0)),"Yes")&lt;&gt;"Yes"),1,0))</f>
        <v/>
      </c>
    </row>
    <row r="257" ht="24" customHeight="1">
      <c r="A257" s="19">
        <f>IF('Enter messages'!A257="","",'Enter messages'!A257)</f>
        <v/>
      </c>
      <c r="B257" s="20">
        <f>IF('Enter messages'!B257="","",'Enter messages'!B257)</f>
        <v/>
      </c>
      <c r="C257" s="21">
        <f>IFERROR(AVERAGE(P257:T257),"")</f>
        <v/>
      </c>
      <c r="D257" s="29" t="n"/>
      <c r="E257" s="29" t="n"/>
      <c r="F257" s="30">
        <f>IF(AND(ISNUMBER($D257),ISNUMBER($E257),$E257&gt;0,$D257&lt;=$E257),$D257/$E257,"")</f>
        <v/>
      </c>
      <c r="H257" s="19">
        <f>IFERROR(INDEX($A$14:$A$1213,MATCH(244,$AI$14:$AI$1213,0)),"")</f>
        <v/>
      </c>
      <c r="I257" s="24">
        <f>IF($H257="","",IF(COUNTIFS($A$14:$A$1213,$H257,$C$14:$C$1213,"&gt;=0")=0,"—",IFERROR(INDEX($B$14:$B$1213,MATCH($H257&amp;"|1",$Z$14:$Z$1213,0)),"(tied)")))</f>
        <v/>
      </c>
      <c r="J257" s="25">
        <f>IF($H257="","",IF(OR(COUNTIFS($A$14:$A$1213,$H257,$C$14:$C$1213,"&gt;=0")=0,COUNTIFS($A$14:$A$1213,$H257,$F$14:$F$1213,"&gt;=0")=0),"—",IF(OR(ISERROR(MATCH($H257&amp;"|1",$Z$14:$Z$1213,0)),ISERROR(MATCH($H257&amp;"|1",$AA$14:$AA$1213,0))),"Tie",IF(MATCH($H257&amp;"|1",$Z$14:$Z$1213,0)=MATCH($H257&amp;"|1",$AA$14:$AA$1213,0),"Hit","Miss"))))</f>
        <v/>
      </c>
      <c r="K257" s="24">
        <f>IF($H257="","",IF(COUNTIFS($A$14:$A$1213,$H257,$F$14:$F$1213,"&gt;=0")=0,"—",IFERROR(INDEX($B$14:$B$1213,MATCH($H257&amp;"|1",$AA$14:$AA$1213,0)),"(tied)")))</f>
        <v/>
      </c>
      <c r="L257" s="25">
        <f>IF($H257="","",IF((--(COUNTIFS($A$14:$A$1213,$H257,$P$14:$P$1213,"&gt;=0")&gt;0)+--(COUNTIFS($A$14:$A$1213,$H257,$Q$14:$Q$1213,"&gt;=0")&gt;0)+--(COUNTIFS($A$14:$A$1213,$H257,$R$14:$R$1213,"&gt;=0")&gt;0)+--(COUNTIFS($A$14:$A$1213,$H257,$S$14:$S$1213,"&gt;=0")&gt;0)+--(COUNTIFS($A$14:$A$1213,$H257,$T$14:$T$1213,"&gt;=0")&gt;0))&lt;2,"—",IF(SUMIFS($AH$14:$AH$1213,$A$14:$A$1213,$H257)=0,"Yes","No")))</f>
        <v/>
      </c>
      <c r="M257" s="25">
        <f>IF($H257="","",IF(COUNTIFS($A$14:$A$1213,$H257,$F$14:$F$1213,"&gt;=0")&lt;2,"—",IF(COUNTIFS($A$14:$A$1213,$H257,$F$14:$F$1213,_xlfn.MAXIFS($F$14:$F$1213,$A$14:$A$1213,$H257))&gt;1,"No",IF(NOT(ISNUMBER($AN257)),"—",IF((2*(1-NORMSDIST(ABS($AN257))))&lt;0.05,"Yes","No")))))</f>
        <v/>
      </c>
      <c r="N257" s="21">
        <f>IF($H257="","",IF(NOT(ISNUMBER($AN257)),"—",IF((2*(1-NORMSDIST(ABS($AN257))))&lt;0.001,"&lt;0.001",TEXT((2*(1-NORMSDIST(ABS($AN257)))),"0.000"))))</f>
        <v/>
      </c>
      <c r="P257" s="26" t="n"/>
      <c r="Q257" s="26" t="n"/>
      <c r="R257" s="26" t="n"/>
      <c r="S257" s="26" t="n"/>
      <c r="T257" s="26" t="n"/>
      <c r="V257" s="27">
        <f>IF(ISNUMBER($C257),COUNTIFS($A$14:$A$1213,$A257,$C$14:$C$1213,"&gt;"&amp;$C257)+(COUNTIFS($A$14:$A$1213,$A257,$C$14:$C$1213,"="&amp;$C257)+1)/2,"")</f>
        <v/>
      </c>
      <c r="W257" s="27">
        <f>IF(ISNUMBER($F257),COUNTIFS($A$14:$A$1213,$A257,$F$14:$F$1213,"&gt;"&amp;$F257)+(COUNTIFS($A$14:$A$1213,$A257,$F$14:$F$1213,"="&amp;$F257)+1)/2,"")</f>
        <v/>
      </c>
      <c r="X257" s="27">
        <f>IF(OR(NOT(ISNUMBER($V257)),$AO257=1),"",$V257-(COUNTIFS($A$14:$A$1213,$A257,$C$14:$C$1213,"&gt;=0")+1)/2)</f>
        <v/>
      </c>
      <c r="Y257" s="27">
        <f>IF(OR(NOT(ISNUMBER($W257)),$AO257=1),"",$W257-(COUNTIFS($A$14:$A$1213,$A257,$F$14:$F$1213,"&gt;=0")+1)/2)</f>
        <v/>
      </c>
      <c r="Z257" s="27">
        <f>IF(ISNUMBER($V257),$A257&amp;"|"&amp;$V257,"")</f>
        <v/>
      </c>
      <c r="AA257" s="27">
        <f>IF(ISNUMBER($W257),$A257&amp;"|"&amp;$W257,"")</f>
        <v/>
      </c>
      <c r="AB257" s="27">
        <f>IF(ISNUMBER($F257),$A257&amp;"|"&amp;$F257,"")</f>
        <v/>
      </c>
      <c r="AC257" s="27">
        <f>IF(ISNUMBER($P257),COUNTIFS($A$14:$A$1213,$A257,$P$14:$P$1213,"&gt;"&amp;$P257)+(COUNTIFS($A$14:$A$1213,$A257,$P$14:$P$1213,"="&amp;$P257)+1)/2,"")</f>
        <v/>
      </c>
      <c r="AD257" s="27">
        <f>IF(ISNUMBER($Q257),COUNTIFS($A$14:$A$1213,$A257,$Q$14:$Q$1213,"&gt;"&amp;$Q257)+(COUNTIFS($A$14:$A$1213,$A257,$Q$14:$Q$1213,"="&amp;$Q257)+1)/2,"")</f>
        <v/>
      </c>
      <c r="AE257" s="27">
        <f>IF(ISNUMBER($R257),COUNTIFS($A$14:$A$1213,$A257,$R$14:$R$1213,"&gt;"&amp;$R257)+(COUNTIFS($A$14:$A$1213,$A257,$R$14:$R$1213,"="&amp;$R257)+1)/2,"")</f>
        <v/>
      </c>
      <c r="AF257" s="27">
        <f>IF(ISNUMBER($S257),COUNTIFS($A$14:$A$1213,$A257,$S$14:$S$1213,"&gt;"&amp;$S257)+(COUNTIFS($A$14:$A$1213,$A257,$S$14:$S$1213,"="&amp;$S257)+1)/2,"")</f>
        <v/>
      </c>
      <c r="AG257" s="27">
        <f>IF(ISNUMBER($T257),COUNTIFS($A$14:$A$1213,$A257,$T$14:$T$1213,"&gt;"&amp;$T257)+(COUNTIFS($A$14:$A$1213,$A257,$T$14:$T$1213,"="&amp;$T257)+1)/2,"")</f>
        <v/>
      </c>
      <c r="AH257" s="27">
        <f>IF(COUNT($AC257:$AG257)&lt;2,"",IF(MAX($AC257:$AG257)=MIN($AC257:$AG257),0,1))</f>
        <v/>
      </c>
      <c r="AI257" s="27">
        <f>IF($A257="","",IF(COUNTIF($A$14:$A257,$A257)=1,COUNTIF($AI$13:AI256,"&gt;0")+1,""))</f>
        <v/>
      </c>
      <c r="AJ257" s="27">
        <f>IF(OR($H257="",COUNTIFS($A$14:$A$1213,$H257,$F$14:$F$1213,"&gt;=0")&lt;2,COUNTIFS($A$14:$A$1213,$H257,$F$14:$F$1213,_xlfn.MAXIFS($F$14:$F$1213,$A$14:$A$1213,$H257))&gt;1),"",IFERROR(INDEX($D$14:$D$1213,MATCH($H257&amp;"|"&amp;_xlfn.MAXIFS($F$14:$F$1213,$A$14:$A$1213,$H257),$AB$14:$AB$1213,0)),""))</f>
        <v/>
      </c>
      <c r="AK257" s="27">
        <f>IF(OR($H257="",COUNTIFS($A$14:$A$1213,$H257,$F$14:$F$1213,"&gt;=0")&lt;2,COUNTIFS($A$14:$A$1213,$H257,$F$14:$F$1213,_xlfn.MAXIFS($F$14:$F$1213,$A$14:$A$1213,$H257))&gt;1),"",IFERROR(INDEX($E$14:$E$1213,MATCH($H257&amp;"|"&amp;_xlfn.MAXIFS($F$14:$F$1213,$A$14:$A$1213,$H257),$AB$14:$AB$1213,0)),""))</f>
        <v/>
      </c>
      <c r="AL257" s="27">
        <f>IF(OR($H257="",COUNTIFS($A$14:$A$1213,$H257,$F$14:$F$1213,"&gt;=0")&lt;2,COUNTIFS($A$14:$A$1213,$H257,$F$14:$F$1213,_xlfn.MAXIFS($F$14:$F$1213,$A$14:$A$1213,$H257))&gt;1),"",IFERROR(INDEX($D$14:$D$1213,MATCH($H257&amp;"|"&amp;_xlfn.MAXIFS($F$14:$F$1213,$A$14:$A$1213,$H257,$F$14:$F$1213,"&lt;"&amp;_xlfn.MAXIFS($F$14:$F$1213,$A$14:$A$1213,$H257)),$AB$14:$AB$1213,0)),""))</f>
        <v/>
      </c>
      <c r="AM257" s="27">
        <f>IF(OR($H257="",COUNTIFS($A$14:$A$1213,$H257,$F$14:$F$1213,"&gt;=0")&lt;2,COUNTIFS($A$14:$A$1213,$H257,$F$14:$F$1213,_xlfn.MAXIFS($F$14:$F$1213,$A$14:$A$1213,$H257))&gt;1),"",IFERROR(INDEX($E$14:$E$1213,MATCH($H257&amp;"|"&amp;_xlfn.MAXIFS($F$14:$F$1213,$A$14:$A$1213,$H257,$F$14:$F$1213,"&lt;"&amp;_xlfn.MAXIFS($F$14:$F$1213,$A$14:$A$1213,$H257)),$AB$14:$AB$1213,0)),""))</f>
        <v/>
      </c>
      <c r="AN257" s="27">
        <f>IF(OR(NOT(ISNUMBER($AJ257)),NOT(ISNUMBER($AL257)),$AK257=0,$AM257=0),"",IF(OR((($AJ257+$AL257)/($AK257+$AM257))&lt;=0,(($AJ257+$AL257)/($AK257+$AM257))&gt;=1),"",($AJ257/$AK257-$AL257/$AM257)/SQRT((($AJ257+$AL257)/($AK257+$AM257))*(1-(($AJ257+$AL257)/($AK257+$AM257)))*(1/$AK257+1/$AM257))))</f>
        <v/>
      </c>
      <c r="AO257" s="27">
        <f>IF($A257="","",IF(AND(COUNTIFS($A$14:$A$1213,$A257,$F$14:$F$1213,"&gt;=0")=2,IFERROR(INDEX($M$14:$M$313,MATCH($A257,$H$14:$H$313,0)),"Yes")&lt;&gt;"Yes"),1,0))</f>
        <v/>
      </c>
    </row>
    <row r="258" ht="24" customHeight="1">
      <c r="A258" s="19">
        <f>IF('Enter messages'!A258="","",'Enter messages'!A258)</f>
        <v/>
      </c>
      <c r="B258" s="20">
        <f>IF('Enter messages'!B258="","",'Enter messages'!B258)</f>
        <v/>
      </c>
      <c r="C258" s="21">
        <f>IFERROR(AVERAGE(P258:T258),"")</f>
        <v/>
      </c>
      <c r="D258" s="29" t="n"/>
      <c r="E258" s="29" t="n"/>
      <c r="F258" s="30">
        <f>IF(AND(ISNUMBER($D258),ISNUMBER($E258),$E258&gt;0,$D258&lt;=$E258),$D258/$E258,"")</f>
        <v/>
      </c>
      <c r="H258" s="19">
        <f>IFERROR(INDEX($A$14:$A$1213,MATCH(245,$AI$14:$AI$1213,0)),"")</f>
        <v/>
      </c>
      <c r="I258" s="24">
        <f>IF($H258="","",IF(COUNTIFS($A$14:$A$1213,$H258,$C$14:$C$1213,"&gt;=0")=0,"—",IFERROR(INDEX($B$14:$B$1213,MATCH($H258&amp;"|1",$Z$14:$Z$1213,0)),"(tied)")))</f>
        <v/>
      </c>
      <c r="J258" s="25">
        <f>IF($H258="","",IF(OR(COUNTIFS($A$14:$A$1213,$H258,$C$14:$C$1213,"&gt;=0")=0,COUNTIFS($A$14:$A$1213,$H258,$F$14:$F$1213,"&gt;=0")=0),"—",IF(OR(ISERROR(MATCH($H258&amp;"|1",$Z$14:$Z$1213,0)),ISERROR(MATCH($H258&amp;"|1",$AA$14:$AA$1213,0))),"Tie",IF(MATCH($H258&amp;"|1",$Z$14:$Z$1213,0)=MATCH($H258&amp;"|1",$AA$14:$AA$1213,0),"Hit","Miss"))))</f>
        <v/>
      </c>
      <c r="K258" s="24">
        <f>IF($H258="","",IF(COUNTIFS($A$14:$A$1213,$H258,$F$14:$F$1213,"&gt;=0")=0,"—",IFERROR(INDEX($B$14:$B$1213,MATCH($H258&amp;"|1",$AA$14:$AA$1213,0)),"(tied)")))</f>
        <v/>
      </c>
      <c r="L258" s="25">
        <f>IF($H258="","",IF((--(COUNTIFS($A$14:$A$1213,$H258,$P$14:$P$1213,"&gt;=0")&gt;0)+--(COUNTIFS($A$14:$A$1213,$H258,$Q$14:$Q$1213,"&gt;=0")&gt;0)+--(COUNTIFS($A$14:$A$1213,$H258,$R$14:$R$1213,"&gt;=0")&gt;0)+--(COUNTIFS($A$14:$A$1213,$H258,$S$14:$S$1213,"&gt;=0")&gt;0)+--(COUNTIFS($A$14:$A$1213,$H258,$T$14:$T$1213,"&gt;=0")&gt;0))&lt;2,"—",IF(SUMIFS($AH$14:$AH$1213,$A$14:$A$1213,$H258)=0,"Yes","No")))</f>
        <v/>
      </c>
      <c r="M258" s="25">
        <f>IF($H258="","",IF(COUNTIFS($A$14:$A$1213,$H258,$F$14:$F$1213,"&gt;=0")&lt;2,"—",IF(COUNTIFS($A$14:$A$1213,$H258,$F$14:$F$1213,_xlfn.MAXIFS($F$14:$F$1213,$A$14:$A$1213,$H258))&gt;1,"No",IF(NOT(ISNUMBER($AN258)),"—",IF((2*(1-NORMSDIST(ABS($AN258))))&lt;0.05,"Yes","No")))))</f>
        <v/>
      </c>
      <c r="N258" s="21">
        <f>IF($H258="","",IF(NOT(ISNUMBER($AN258)),"—",IF((2*(1-NORMSDIST(ABS($AN258))))&lt;0.001,"&lt;0.001",TEXT((2*(1-NORMSDIST(ABS($AN258)))),"0.000"))))</f>
        <v/>
      </c>
      <c r="P258" s="26" t="n"/>
      <c r="Q258" s="26" t="n"/>
      <c r="R258" s="26" t="n"/>
      <c r="S258" s="26" t="n"/>
      <c r="T258" s="26" t="n"/>
      <c r="V258" s="27">
        <f>IF(ISNUMBER($C258),COUNTIFS($A$14:$A$1213,$A258,$C$14:$C$1213,"&gt;"&amp;$C258)+(COUNTIFS($A$14:$A$1213,$A258,$C$14:$C$1213,"="&amp;$C258)+1)/2,"")</f>
        <v/>
      </c>
      <c r="W258" s="27">
        <f>IF(ISNUMBER($F258),COUNTIFS($A$14:$A$1213,$A258,$F$14:$F$1213,"&gt;"&amp;$F258)+(COUNTIFS($A$14:$A$1213,$A258,$F$14:$F$1213,"="&amp;$F258)+1)/2,"")</f>
        <v/>
      </c>
      <c r="X258" s="27">
        <f>IF(OR(NOT(ISNUMBER($V258)),$AO258=1),"",$V258-(COUNTIFS($A$14:$A$1213,$A258,$C$14:$C$1213,"&gt;=0")+1)/2)</f>
        <v/>
      </c>
      <c r="Y258" s="27">
        <f>IF(OR(NOT(ISNUMBER($W258)),$AO258=1),"",$W258-(COUNTIFS($A$14:$A$1213,$A258,$F$14:$F$1213,"&gt;=0")+1)/2)</f>
        <v/>
      </c>
      <c r="Z258" s="27">
        <f>IF(ISNUMBER($V258),$A258&amp;"|"&amp;$V258,"")</f>
        <v/>
      </c>
      <c r="AA258" s="27">
        <f>IF(ISNUMBER($W258),$A258&amp;"|"&amp;$W258,"")</f>
        <v/>
      </c>
      <c r="AB258" s="27">
        <f>IF(ISNUMBER($F258),$A258&amp;"|"&amp;$F258,"")</f>
        <v/>
      </c>
      <c r="AC258" s="27">
        <f>IF(ISNUMBER($P258),COUNTIFS($A$14:$A$1213,$A258,$P$14:$P$1213,"&gt;"&amp;$P258)+(COUNTIFS($A$14:$A$1213,$A258,$P$14:$P$1213,"="&amp;$P258)+1)/2,"")</f>
        <v/>
      </c>
      <c r="AD258" s="27">
        <f>IF(ISNUMBER($Q258),COUNTIFS($A$14:$A$1213,$A258,$Q$14:$Q$1213,"&gt;"&amp;$Q258)+(COUNTIFS($A$14:$A$1213,$A258,$Q$14:$Q$1213,"="&amp;$Q258)+1)/2,"")</f>
        <v/>
      </c>
      <c r="AE258" s="27">
        <f>IF(ISNUMBER($R258),COUNTIFS($A$14:$A$1213,$A258,$R$14:$R$1213,"&gt;"&amp;$R258)+(COUNTIFS($A$14:$A$1213,$A258,$R$14:$R$1213,"="&amp;$R258)+1)/2,"")</f>
        <v/>
      </c>
      <c r="AF258" s="27">
        <f>IF(ISNUMBER($S258),COUNTIFS($A$14:$A$1213,$A258,$S$14:$S$1213,"&gt;"&amp;$S258)+(COUNTIFS($A$14:$A$1213,$A258,$S$14:$S$1213,"="&amp;$S258)+1)/2,"")</f>
        <v/>
      </c>
      <c r="AG258" s="27">
        <f>IF(ISNUMBER($T258),COUNTIFS($A$14:$A$1213,$A258,$T$14:$T$1213,"&gt;"&amp;$T258)+(COUNTIFS($A$14:$A$1213,$A258,$T$14:$T$1213,"="&amp;$T258)+1)/2,"")</f>
        <v/>
      </c>
      <c r="AH258" s="27">
        <f>IF(COUNT($AC258:$AG258)&lt;2,"",IF(MAX($AC258:$AG258)=MIN($AC258:$AG258),0,1))</f>
        <v/>
      </c>
      <c r="AI258" s="27">
        <f>IF($A258="","",IF(COUNTIF($A$14:$A258,$A258)=1,COUNTIF($AI$13:AI257,"&gt;0")+1,""))</f>
        <v/>
      </c>
      <c r="AJ258" s="27">
        <f>IF(OR($H258="",COUNTIFS($A$14:$A$1213,$H258,$F$14:$F$1213,"&gt;=0")&lt;2,COUNTIFS($A$14:$A$1213,$H258,$F$14:$F$1213,_xlfn.MAXIFS($F$14:$F$1213,$A$14:$A$1213,$H258))&gt;1),"",IFERROR(INDEX($D$14:$D$1213,MATCH($H258&amp;"|"&amp;_xlfn.MAXIFS($F$14:$F$1213,$A$14:$A$1213,$H258),$AB$14:$AB$1213,0)),""))</f>
        <v/>
      </c>
      <c r="AK258" s="27">
        <f>IF(OR($H258="",COUNTIFS($A$14:$A$1213,$H258,$F$14:$F$1213,"&gt;=0")&lt;2,COUNTIFS($A$14:$A$1213,$H258,$F$14:$F$1213,_xlfn.MAXIFS($F$14:$F$1213,$A$14:$A$1213,$H258))&gt;1),"",IFERROR(INDEX($E$14:$E$1213,MATCH($H258&amp;"|"&amp;_xlfn.MAXIFS($F$14:$F$1213,$A$14:$A$1213,$H258),$AB$14:$AB$1213,0)),""))</f>
        <v/>
      </c>
      <c r="AL258" s="27">
        <f>IF(OR($H258="",COUNTIFS($A$14:$A$1213,$H258,$F$14:$F$1213,"&gt;=0")&lt;2,COUNTIFS($A$14:$A$1213,$H258,$F$14:$F$1213,_xlfn.MAXIFS($F$14:$F$1213,$A$14:$A$1213,$H258))&gt;1),"",IFERROR(INDEX($D$14:$D$1213,MATCH($H258&amp;"|"&amp;_xlfn.MAXIFS($F$14:$F$1213,$A$14:$A$1213,$H258,$F$14:$F$1213,"&lt;"&amp;_xlfn.MAXIFS($F$14:$F$1213,$A$14:$A$1213,$H258)),$AB$14:$AB$1213,0)),""))</f>
        <v/>
      </c>
      <c r="AM258" s="27">
        <f>IF(OR($H258="",COUNTIFS($A$14:$A$1213,$H258,$F$14:$F$1213,"&gt;=0")&lt;2,COUNTIFS($A$14:$A$1213,$H258,$F$14:$F$1213,_xlfn.MAXIFS($F$14:$F$1213,$A$14:$A$1213,$H258))&gt;1),"",IFERROR(INDEX($E$14:$E$1213,MATCH($H258&amp;"|"&amp;_xlfn.MAXIFS($F$14:$F$1213,$A$14:$A$1213,$H258,$F$14:$F$1213,"&lt;"&amp;_xlfn.MAXIFS($F$14:$F$1213,$A$14:$A$1213,$H258)),$AB$14:$AB$1213,0)),""))</f>
        <v/>
      </c>
      <c r="AN258" s="27">
        <f>IF(OR(NOT(ISNUMBER($AJ258)),NOT(ISNUMBER($AL258)),$AK258=0,$AM258=0),"",IF(OR((($AJ258+$AL258)/($AK258+$AM258))&lt;=0,(($AJ258+$AL258)/($AK258+$AM258))&gt;=1),"",($AJ258/$AK258-$AL258/$AM258)/SQRT((($AJ258+$AL258)/($AK258+$AM258))*(1-(($AJ258+$AL258)/($AK258+$AM258)))*(1/$AK258+1/$AM258))))</f>
        <v/>
      </c>
      <c r="AO258" s="27">
        <f>IF($A258="","",IF(AND(COUNTIFS($A$14:$A$1213,$A258,$F$14:$F$1213,"&gt;=0")=2,IFERROR(INDEX($M$14:$M$313,MATCH($A258,$H$14:$H$313,0)),"Yes")&lt;&gt;"Yes"),1,0))</f>
        <v/>
      </c>
    </row>
    <row r="259" ht="24" customHeight="1">
      <c r="A259" s="19">
        <f>IF('Enter messages'!A259="","",'Enter messages'!A259)</f>
        <v/>
      </c>
      <c r="B259" s="20">
        <f>IF('Enter messages'!B259="","",'Enter messages'!B259)</f>
        <v/>
      </c>
      <c r="C259" s="21">
        <f>IFERROR(AVERAGE(P259:T259),"")</f>
        <v/>
      </c>
      <c r="D259" s="29" t="n"/>
      <c r="E259" s="29" t="n"/>
      <c r="F259" s="30">
        <f>IF(AND(ISNUMBER($D259),ISNUMBER($E259),$E259&gt;0,$D259&lt;=$E259),$D259/$E259,"")</f>
        <v/>
      </c>
      <c r="H259" s="19">
        <f>IFERROR(INDEX($A$14:$A$1213,MATCH(246,$AI$14:$AI$1213,0)),"")</f>
        <v/>
      </c>
      <c r="I259" s="24">
        <f>IF($H259="","",IF(COUNTIFS($A$14:$A$1213,$H259,$C$14:$C$1213,"&gt;=0")=0,"—",IFERROR(INDEX($B$14:$B$1213,MATCH($H259&amp;"|1",$Z$14:$Z$1213,0)),"(tied)")))</f>
        <v/>
      </c>
      <c r="J259" s="25">
        <f>IF($H259="","",IF(OR(COUNTIFS($A$14:$A$1213,$H259,$C$14:$C$1213,"&gt;=0")=0,COUNTIFS($A$14:$A$1213,$H259,$F$14:$F$1213,"&gt;=0")=0),"—",IF(OR(ISERROR(MATCH($H259&amp;"|1",$Z$14:$Z$1213,0)),ISERROR(MATCH($H259&amp;"|1",$AA$14:$AA$1213,0))),"Tie",IF(MATCH($H259&amp;"|1",$Z$14:$Z$1213,0)=MATCH($H259&amp;"|1",$AA$14:$AA$1213,0),"Hit","Miss"))))</f>
        <v/>
      </c>
      <c r="K259" s="24">
        <f>IF($H259="","",IF(COUNTIFS($A$14:$A$1213,$H259,$F$14:$F$1213,"&gt;=0")=0,"—",IFERROR(INDEX($B$14:$B$1213,MATCH($H259&amp;"|1",$AA$14:$AA$1213,0)),"(tied)")))</f>
        <v/>
      </c>
      <c r="L259" s="25">
        <f>IF($H259="","",IF((--(COUNTIFS($A$14:$A$1213,$H259,$P$14:$P$1213,"&gt;=0")&gt;0)+--(COUNTIFS($A$14:$A$1213,$H259,$Q$14:$Q$1213,"&gt;=0")&gt;0)+--(COUNTIFS($A$14:$A$1213,$H259,$R$14:$R$1213,"&gt;=0")&gt;0)+--(COUNTIFS($A$14:$A$1213,$H259,$S$14:$S$1213,"&gt;=0")&gt;0)+--(COUNTIFS($A$14:$A$1213,$H259,$T$14:$T$1213,"&gt;=0")&gt;0))&lt;2,"—",IF(SUMIFS($AH$14:$AH$1213,$A$14:$A$1213,$H259)=0,"Yes","No")))</f>
        <v/>
      </c>
      <c r="M259" s="25">
        <f>IF($H259="","",IF(COUNTIFS($A$14:$A$1213,$H259,$F$14:$F$1213,"&gt;=0")&lt;2,"—",IF(COUNTIFS($A$14:$A$1213,$H259,$F$14:$F$1213,_xlfn.MAXIFS($F$14:$F$1213,$A$14:$A$1213,$H259))&gt;1,"No",IF(NOT(ISNUMBER($AN259)),"—",IF((2*(1-NORMSDIST(ABS($AN259))))&lt;0.05,"Yes","No")))))</f>
        <v/>
      </c>
      <c r="N259" s="21">
        <f>IF($H259="","",IF(NOT(ISNUMBER($AN259)),"—",IF((2*(1-NORMSDIST(ABS($AN259))))&lt;0.001,"&lt;0.001",TEXT((2*(1-NORMSDIST(ABS($AN259)))),"0.000"))))</f>
        <v/>
      </c>
      <c r="P259" s="26" t="n"/>
      <c r="Q259" s="26" t="n"/>
      <c r="R259" s="26" t="n"/>
      <c r="S259" s="26" t="n"/>
      <c r="T259" s="26" t="n"/>
      <c r="V259" s="27">
        <f>IF(ISNUMBER($C259),COUNTIFS($A$14:$A$1213,$A259,$C$14:$C$1213,"&gt;"&amp;$C259)+(COUNTIFS($A$14:$A$1213,$A259,$C$14:$C$1213,"="&amp;$C259)+1)/2,"")</f>
        <v/>
      </c>
      <c r="W259" s="27">
        <f>IF(ISNUMBER($F259),COUNTIFS($A$14:$A$1213,$A259,$F$14:$F$1213,"&gt;"&amp;$F259)+(COUNTIFS($A$14:$A$1213,$A259,$F$14:$F$1213,"="&amp;$F259)+1)/2,"")</f>
        <v/>
      </c>
      <c r="X259" s="27">
        <f>IF(OR(NOT(ISNUMBER($V259)),$AO259=1),"",$V259-(COUNTIFS($A$14:$A$1213,$A259,$C$14:$C$1213,"&gt;=0")+1)/2)</f>
        <v/>
      </c>
      <c r="Y259" s="27">
        <f>IF(OR(NOT(ISNUMBER($W259)),$AO259=1),"",$W259-(COUNTIFS($A$14:$A$1213,$A259,$F$14:$F$1213,"&gt;=0")+1)/2)</f>
        <v/>
      </c>
      <c r="Z259" s="27">
        <f>IF(ISNUMBER($V259),$A259&amp;"|"&amp;$V259,"")</f>
        <v/>
      </c>
      <c r="AA259" s="27">
        <f>IF(ISNUMBER($W259),$A259&amp;"|"&amp;$W259,"")</f>
        <v/>
      </c>
      <c r="AB259" s="27">
        <f>IF(ISNUMBER($F259),$A259&amp;"|"&amp;$F259,"")</f>
        <v/>
      </c>
      <c r="AC259" s="27">
        <f>IF(ISNUMBER($P259),COUNTIFS($A$14:$A$1213,$A259,$P$14:$P$1213,"&gt;"&amp;$P259)+(COUNTIFS($A$14:$A$1213,$A259,$P$14:$P$1213,"="&amp;$P259)+1)/2,"")</f>
        <v/>
      </c>
      <c r="AD259" s="27">
        <f>IF(ISNUMBER($Q259),COUNTIFS($A$14:$A$1213,$A259,$Q$14:$Q$1213,"&gt;"&amp;$Q259)+(COUNTIFS($A$14:$A$1213,$A259,$Q$14:$Q$1213,"="&amp;$Q259)+1)/2,"")</f>
        <v/>
      </c>
      <c r="AE259" s="27">
        <f>IF(ISNUMBER($R259),COUNTIFS($A$14:$A$1213,$A259,$R$14:$R$1213,"&gt;"&amp;$R259)+(COUNTIFS($A$14:$A$1213,$A259,$R$14:$R$1213,"="&amp;$R259)+1)/2,"")</f>
        <v/>
      </c>
      <c r="AF259" s="27">
        <f>IF(ISNUMBER($S259),COUNTIFS($A$14:$A$1213,$A259,$S$14:$S$1213,"&gt;"&amp;$S259)+(COUNTIFS($A$14:$A$1213,$A259,$S$14:$S$1213,"="&amp;$S259)+1)/2,"")</f>
        <v/>
      </c>
      <c r="AG259" s="27">
        <f>IF(ISNUMBER($T259),COUNTIFS($A$14:$A$1213,$A259,$T$14:$T$1213,"&gt;"&amp;$T259)+(COUNTIFS($A$14:$A$1213,$A259,$T$14:$T$1213,"="&amp;$T259)+1)/2,"")</f>
        <v/>
      </c>
      <c r="AH259" s="27">
        <f>IF(COUNT($AC259:$AG259)&lt;2,"",IF(MAX($AC259:$AG259)=MIN($AC259:$AG259),0,1))</f>
        <v/>
      </c>
      <c r="AI259" s="27">
        <f>IF($A259="","",IF(COUNTIF($A$14:$A259,$A259)=1,COUNTIF($AI$13:AI258,"&gt;0")+1,""))</f>
        <v/>
      </c>
      <c r="AJ259" s="27">
        <f>IF(OR($H259="",COUNTIFS($A$14:$A$1213,$H259,$F$14:$F$1213,"&gt;=0")&lt;2,COUNTIFS($A$14:$A$1213,$H259,$F$14:$F$1213,_xlfn.MAXIFS($F$14:$F$1213,$A$14:$A$1213,$H259))&gt;1),"",IFERROR(INDEX($D$14:$D$1213,MATCH($H259&amp;"|"&amp;_xlfn.MAXIFS($F$14:$F$1213,$A$14:$A$1213,$H259),$AB$14:$AB$1213,0)),""))</f>
        <v/>
      </c>
      <c r="AK259" s="27">
        <f>IF(OR($H259="",COUNTIFS($A$14:$A$1213,$H259,$F$14:$F$1213,"&gt;=0")&lt;2,COUNTIFS($A$14:$A$1213,$H259,$F$14:$F$1213,_xlfn.MAXIFS($F$14:$F$1213,$A$14:$A$1213,$H259))&gt;1),"",IFERROR(INDEX($E$14:$E$1213,MATCH($H259&amp;"|"&amp;_xlfn.MAXIFS($F$14:$F$1213,$A$14:$A$1213,$H259),$AB$14:$AB$1213,0)),""))</f>
        <v/>
      </c>
      <c r="AL259" s="27">
        <f>IF(OR($H259="",COUNTIFS($A$14:$A$1213,$H259,$F$14:$F$1213,"&gt;=0")&lt;2,COUNTIFS($A$14:$A$1213,$H259,$F$14:$F$1213,_xlfn.MAXIFS($F$14:$F$1213,$A$14:$A$1213,$H259))&gt;1),"",IFERROR(INDEX($D$14:$D$1213,MATCH($H259&amp;"|"&amp;_xlfn.MAXIFS($F$14:$F$1213,$A$14:$A$1213,$H259,$F$14:$F$1213,"&lt;"&amp;_xlfn.MAXIFS($F$14:$F$1213,$A$14:$A$1213,$H259)),$AB$14:$AB$1213,0)),""))</f>
        <v/>
      </c>
      <c r="AM259" s="27">
        <f>IF(OR($H259="",COUNTIFS($A$14:$A$1213,$H259,$F$14:$F$1213,"&gt;=0")&lt;2,COUNTIFS($A$14:$A$1213,$H259,$F$14:$F$1213,_xlfn.MAXIFS($F$14:$F$1213,$A$14:$A$1213,$H259))&gt;1),"",IFERROR(INDEX($E$14:$E$1213,MATCH($H259&amp;"|"&amp;_xlfn.MAXIFS($F$14:$F$1213,$A$14:$A$1213,$H259,$F$14:$F$1213,"&lt;"&amp;_xlfn.MAXIFS($F$14:$F$1213,$A$14:$A$1213,$H259)),$AB$14:$AB$1213,0)),""))</f>
        <v/>
      </c>
      <c r="AN259" s="27">
        <f>IF(OR(NOT(ISNUMBER($AJ259)),NOT(ISNUMBER($AL259)),$AK259=0,$AM259=0),"",IF(OR((($AJ259+$AL259)/($AK259+$AM259))&lt;=0,(($AJ259+$AL259)/($AK259+$AM259))&gt;=1),"",($AJ259/$AK259-$AL259/$AM259)/SQRT((($AJ259+$AL259)/($AK259+$AM259))*(1-(($AJ259+$AL259)/($AK259+$AM259)))*(1/$AK259+1/$AM259))))</f>
        <v/>
      </c>
      <c r="AO259" s="27">
        <f>IF($A259="","",IF(AND(COUNTIFS($A$14:$A$1213,$A259,$F$14:$F$1213,"&gt;=0")=2,IFERROR(INDEX($M$14:$M$313,MATCH($A259,$H$14:$H$313,0)),"Yes")&lt;&gt;"Yes"),1,0))</f>
        <v/>
      </c>
    </row>
    <row r="260" ht="24" customHeight="1">
      <c r="A260" s="19">
        <f>IF('Enter messages'!A260="","",'Enter messages'!A260)</f>
        <v/>
      </c>
      <c r="B260" s="20">
        <f>IF('Enter messages'!B260="","",'Enter messages'!B260)</f>
        <v/>
      </c>
      <c r="C260" s="21">
        <f>IFERROR(AVERAGE(P260:T260),"")</f>
        <v/>
      </c>
      <c r="D260" s="29" t="n"/>
      <c r="E260" s="29" t="n"/>
      <c r="F260" s="30">
        <f>IF(AND(ISNUMBER($D260),ISNUMBER($E260),$E260&gt;0,$D260&lt;=$E260),$D260/$E260,"")</f>
        <v/>
      </c>
      <c r="H260" s="19">
        <f>IFERROR(INDEX($A$14:$A$1213,MATCH(247,$AI$14:$AI$1213,0)),"")</f>
        <v/>
      </c>
      <c r="I260" s="24">
        <f>IF($H260="","",IF(COUNTIFS($A$14:$A$1213,$H260,$C$14:$C$1213,"&gt;=0")=0,"—",IFERROR(INDEX($B$14:$B$1213,MATCH($H260&amp;"|1",$Z$14:$Z$1213,0)),"(tied)")))</f>
        <v/>
      </c>
      <c r="J260" s="25">
        <f>IF($H260="","",IF(OR(COUNTIFS($A$14:$A$1213,$H260,$C$14:$C$1213,"&gt;=0")=0,COUNTIFS($A$14:$A$1213,$H260,$F$14:$F$1213,"&gt;=0")=0),"—",IF(OR(ISERROR(MATCH($H260&amp;"|1",$Z$14:$Z$1213,0)),ISERROR(MATCH($H260&amp;"|1",$AA$14:$AA$1213,0))),"Tie",IF(MATCH($H260&amp;"|1",$Z$14:$Z$1213,0)=MATCH($H260&amp;"|1",$AA$14:$AA$1213,0),"Hit","Miss"))))</f>
        <v/>
      </c>
      <c r="K260" s="24">
        <f>IF($H260="","",IF(COUNTIFS($A$14:$A$1213,$H260,$F$14:$F$1213,"&gt;=0")=0,"—",IFERROR(INDEX($B$14:$B$1213,MATCH($H260&amp;"|1",$AA$14:$AA$1213,0)),"(tied)")))</f>
        <v/>
      </c>
      <c r="L260" s="25">
        <f>IF($H260="","",IF((--(COUNTIFS($A$14:$A$1213,$H260,$P$14:$P$1213,"&gt;=0")&gt;0)+--(COUNTIFS($A$14:$A$1213,$H260,$Q$14:$Q$1213,"&gt;=0")&gt;0)+--(COUNTIFS($A$14:$A$1213,$H260,$R$14:$R$1213,"&gt;=0")&gt;0)+--(COUNTIFS($A$14:$A$1213,$H260,$S$14:$S$1213,"&gt;=0")&gt;0)+--(COUNTIFS($A$14:$A$1213,$H260,$T$14:$T$1213,"&gt;=0")&gt;0))&lt;2,"—",IF(SUMIFS($AH$14:$AH$1213,$A$14:$A$1213,$H260)=0,"Yes","No")))</f>
        <v/>
      </c>
      <c r="M260" s="25">
        <f>IF($H260="","",IF(COUNTIFS($A$14:$A$1213,$H260,$F$14:$F$1213,"&gt;=0")&lt;2,"—",IF(COUNTIFS($A$14:$A$1213,$H260,$F$14:$F$1213,_xlfn.MAXIFS($F$14:$F$1213,$A$14:$A$1213,$H260))&gt;1,"No",IF(NOT(ISNUMBER($AN260)),"—",IF((2*(1-NORMSDIST(ABS($AN260))))&lt;0.05,"Yes","No")))))</f>
        <v/>
      </c>
      <c r="N260" s="21">
        <f>IF($H260="","",IF(NOT(ISNUMBER($AN260)),"—",IF((2*(1-NORMSDIST(ABS($AN260))))&lt;0.001,"&lt;0.001",TEXT((2*(1-NORMSDIST(ABS($AN260)))),"0.000"))))</f>
        <v/>
      </c>
      <c r="P260" s="26" t="n"/>
      <c r="Q260" s="26" t="n"/>
      <c r="R260" s="26" t="n"/>
      <c r="S260" s="26" t="n"/>
      <c r="T260" s="26" t="n"/>
      <c r="V260" s="27">
        <f>IF(ISNUMBER($C260),COUNTIFS($A$14:$A$1213,$A260,$C$14:$C$1213,"&gt;"&amp;$C260)+(COUNTIFS($A$14:$A$1213,$A260,$C$14:$C$1213,"="&amp;$C260)+1)/2,"")</f>
        <v/>
      </c>
      <c r="W260" s="27">
        <f>IF(ISNUMBER($F260),COUNTIFS($A$14:$A$1213,$A260,$F$14:$F$1213,"&gt;"&amp;$F260)+(COUNTIFS($A$14:$A$1213,$A260,$F$14:$F$1213,"="&amp;$F260)+1)/2,"")</f>
        <v/>
      </c>
      <c r="X260" s="27">
        <f>IF(OR(NOT(ISNUMBER($V260)),$AO260=1),"",$V260-(COUNTIFS($A$14:$A$1213,$A260,$C$14:$C$1213,"&gt;=0")+1)/2)</f>
        <v/>
      </c>
      <c r="Y260" s="27">
        <f>IF(OR(NOT(ISNUMBER($W260)),$AO260=1),"",$W260-(COUNTIFS($A$14:$A$1213,$A260,$F$14:$F$1213,"&gt;=0")+1)/2)</f>
        <v/>
      </c>
      <c r="Z260" s="27">
        <f>IF(ISNUMBER($V260),$A260&amp;"|"&amp;$V260,"")</f>
        <v/>
      </c>
      <c r="AA260" s="27">
        <f>IF(ISNUMBER($W260),$A260&amp;"|"&amp;$W260,"")</f>
        <v/>
      </c>
      <c r="AB260" s="27">
        <f>IF(ISNUMBER($F260),$A260&amp;"|"&amp;$F260,"")</f>
        <v/>
      </c>
      <c r="AC260" s="27">
        <f>IF(ISNUMBER($P260),COUNTIFS($A$14:$A$1213,$A260,$P$14:$P$1213,"&gt;"&amp;$P260)+(COUNTIFS($A$14:$A$1213,$A260,$P$14:$P$1213,"="&amp;$P260)+1)/2,"")</f>
        <v/>
      </c>
      <c r="AD260" s="27">
        <f>IF(ISNUMBER($Q260),COUNTIFS($A$14:$A$1213,$A260,$Q$14:$Q$1213,"&gt;"&amp;$Q260)+(COUNTIFS($A$14:$A$1213,$A260,$Q$14:$Q$1213,"="&amp;$Q260)+1)/2,"")</f>
        <v/>
      </c>
      <c r="AE260" s="27">
        <f>IF(ISNUMBER($R260),COUNTIFS($A$14:$A$1213,$A260,$R$14:$R$1213,"&gt;"&amp;$R260)+(COUNTIFS($A$14:$A$1213,$A260,$R$14:$R$1213,"="&amp;$R260)+1)/2,"")</f>
        <v/>
      </c>
      <c r="AF260" s="27">
        <f>IF(ISNUMBER($S260),COUNTIFS($A$14:$A$1213,$A260,$S$14:$S$1213,"&gt;"&amp;$S260)+(COUNTIFS($A$14:$A$1213,$A260,$S$14:$S$1213,"="&amp;$S260)+1)/2,"")</f>
        <v/>
      </c>
      <c r="AG260" s="27">
        <f>IF(ISNUMBER($T260),COUNTIFS($A$14:$A$1213,$A260,$T$14:$T$1213,"&gt;"&amp;$T260)+(COUNTIFS($A$14:$A$1213,$A260,$T$14:$T$1213,"="&amp;$T260)+1)/2,"")</f>
        <v/>
      </c>
      <c r="AH260" s="27">
        <f>IF(COUNT($AC260:$AG260)&lt;2,"",IF(MAX($AC260:$AG260)=MIN($AC260:$AG260),0,1))</f>
        <v/>
      </c>
      <c r="AI260" s="27">
        <f>IF($A260="","",IF(COUNTIF($A$14:$A260,$A260)=1,COUNTIF($AI$13:AI259,"&gt;0")+1,""))</f>
        <v/>
      </c>
      <c r="AJ260" s="27">
        <f>IF(OR($H260="",COUNTIFS($A$14:$A$1213,$H260,$F$14:$F$1213,"&gt;=0")&lt;2,COUNTIFS($A$14:$A$1213,$H260,$F$14:$F$1213,_xlfn.MAXIFS($F$14:$F$1213,$A$14:$A$1213,$H260))&gt;1),"",IFERROR(INDEX($D$14:$D$1213,MATCH($H260&amp;"|"&amp;_xlfn.MAXIFS($F$14:$F$1213,$A$14:$A$1213,$H260),$AB$14:$AB$1213,0)),""))</f>
        <v/>
      </c>
      <c r="AK260" s="27">
        <f>IF(OR($H260="",COUNTIFS($A$14:$A$1213,$H260,$F$14:$F$1213,"&gt;=0")&lt;2,COUNTIFS($A$14:$A$1213,$H260,$F$14:$F$1213,_xlfn.MAXIFS($F$14:$F$1213,$A$14:$A$1213,$H260))&gt;1),"",IFERROR(INDEX($E$14:$E$1213,MATCH($H260&amp;"|"&amp;_xlfn.MAXIFS($F$14:$F$1213,$A$14:$A$1213,$H260),$AB$14:$AB$1213,0)),""))</f>
        <v/>
      </c>
      <c r="AL260" s="27">
        <f>IF(OR($H260="",COUNTIFS($A$14:$A$1213,$H260,$F$14:$F$1213,"&gt;=0")&lt;2,COUNTIFS($A$14:$A$1213,$H260,$F$14:$F$1213,_xlfn.MAXIFS($F$14:$F$1213,$A$14:$A$1213,$H260))&gt;1),"",IFERROR(INDEX($D$14:$D$1213,MATCH($H260&amp;"|"&amp;_xlfn.MAXIFS($F$14:$F$1213,$A$14:$A$1213,$H260,$F$14:$F$1213,"&lt;"&amp;_xlfn.MAXIFS($F$14:$F$1213,$A$14:$A$1213,$H260)),$AB$14:$AB$1213,0)),""))</f>
        <v/>
      </c>
      <c r="AM260" s="27">
        <f>IF(OR($H260="",COUNTIFS($A$14:$A$1213,$H260,$F$14:$F$1213,"&gt;=0")&lt;2,COUNTIFS($A$14:$A$1213,$H260,$F$14:$F$1213,_xlfn.MAXIFS($F$14:$F$1213,$A$14:$A$1213,$H260))&gt;1),"",IFERROR(INDEX($E$14:$E$1213,MATCH($H260&amp;"|"&amp;_xlfn.MAXIFS($F$14:$F$1213,$A$14:$A$1213,$H260,$F$14:$F$1213,"&lt;"&amp;_xlfn.MAXIFS($F$14:$F$1213,$A$14:$A$1213,$H260)),$AB$14:$AB$1213,0)),""))</f>
        <v/>
      </c>
      <c r="AN260" s="27">
        <f>IF(OR(NOT(ISNUMBER($AJ260)),NOT(ISNUMBER($AL260)),$AK260=0,$AM260=0),"",IF(OR((($AJ260+$AL260)/($AK260+$AM260))&lt;=0,(($AJ260+$AL260)/($AK260+$AM260))&gt;=1),"",($AJ260/$AK260-$AL260/$AM260)/SQRT((($AJ260+$AL260)/($AK260+$AM260))*(1-(($AJ260+$AL260)/($AK260+$AM260)))*(1/$AK260+1/$AM260))))</f>
        <v/>
      </c>
      <c r="AO260" s="27">
        <f>IF($A260="","",IF(AND(COUNTIFS($A$14:$A$1213,$A260,$F$14:$F$1213,"&gt;=0")=2,IFERROR(INDEX($M$14:$M$313,MATCH($A260,$H$14:$H$313,0)),"Yes")&lt;&gt;"Yes"),1,0))</f>
        <v/>
      </c>
    </row>
    <row r="261" ht="24" customHeight="1">
      <c r="A261" s="19">
        <f>IF('Enter messages'!A261="","",'Enter messages'!A261)</f>
        <v/>
      </c>
      <c r="B261" s="20">
        <f>IF('Enter messages'!B261="","",'Enter messages'!B261)</f>
        <v/>
      </c>
      <c r="C261" s="21">
        <f>IFERROR(AVERAGE(P261:T261),"")</f>
        <v/>
      </c>
      <c r="D261" s="29" t="n"/>
      <c r="E261" s="29" t="n"/>
      <c r="F261" s="30">
        <f>IF(AND(ISNUMBER($D261),ISNUMBER($E261),$E261&gt;0,$D261&lt;=$E261),$D261/$E261,"")</f>
        <v/>
      </c>
      <c r="H261" s="19">
        <f>IFERROR(INDEX($A$14:$A$1213,MATCH(248,$AI$14:$AI$1213,0)),"")</f>
        <v/>
      </c>
      <c r="I261" s="24">
        <f>IF($H261="","",IF(COUNTIFS($A$14:$A$1213,$H261,$C$14:$C$1213,"&gt;=0")=0,"—",IFERROR(INDEX($B$14:$B$1213,MATCH($H261&amp;"|1",$Z$14:$Z$1213,0)),"(tied)")))</f>
        <v/>
      </c>
      <c r="J261" s="25">
        <f>IF($H261="","",IF(OR(COUNTIFS($A$14:$A$1213,$H261,$C$14:$C$1213,"&gt;=0")=0,COUNTIFS($A$14:$A$1213,$H261,$F$14:$F$1213,"&gt;=0")=0),"—",IF(OR(ISERROR(MATCH($H261&amp;"|1",$Z$14:$Z$1213,0)),ISERROR(MATCH($H261&amp;"|1",$AA$14:$AA$1213,0))),"Tie",IF(MATCH($H261&amp;"|1",$Z$14:$Z$1213,0)=MATCH($H261&amp;"|1",$AA$14:$AA$1213,0),"Hit","Miss"))))</f>
        <v/>
      </c>
      <c r="K261" s="24">
        <f>IF($H261="","",IF(COUNTIFS($A$14:$A$1213,$H261,$F$14:$F$1213,"&gt;=0")=0,"—",IFERROR(INDEX($B$14:$B$1213,MATCH($H261&amp;"|1",$AA$14:$AA$1213,0)),"(tied)")))</f>
        <v/>
      </c>
      <c r="L261" s="25">
        <f>IF($H261="","",IF((--(COUNTIFS($A$14:$A$1213,$H261,$P$14:$P$1213,"&gt;=0")&gt;0)+--(COUNTIFS($A$14:$A$1213,$H261,$Q$14:$Q$1213,"&gt;=0")&gt;0)+--(COUNTIFS($A$14:$A$1213,$H261,$R$14:$R$1213,"&gt;=0")&gt;0)+--(COUNTIFS($A$14:$A$1213,$H261,$S$14:$S$1213,"&gt;=0")&gt;0)+--(COUNTIFS($A$14:$A$1213,$H261,$T$14:$T$1213,"&gt;=0")&gt;0))&lt;2,"—",IF(SUMIFS($AH$14:$AH$1213,$A$14:$A$1213,$H261)=0,"Yes","No")))</f>
        <v/>
      </c>
      <c r="M261" s="25">
        <f>IF($H261="","",IF(COUNTIFS($A$14:$A$1213,$H261,$F$14:$F$1213,"&gt;=0")&lt;2,"—",IF(COUNTIFS($A$14:$A$1213,$H261,$F$14:$F$1213,_xlfn.MAXIFS($F$14:$F$1213,$A$14:$A$1213,$H261))&gt;1,"No",IF(NOT(ISNUMBER($AN261)),"—",IF((2*(1-NORMSDIST(ABS($AN261))))&lt;0.05,"Yes","No")))))</f>
        <v/>
      </c>
      <c r="N261" s="21">
        <f>IF($H261="","",IF(NOT(ISNUMBER($AN261)),"—",IF((2*(1-NORMSDIST(ABS($AN261))))&lt;0.001,"&lt;0.001",TEXT((2*(1-NORMSDIST(ABS($AN261)))),"0.000"))))</f>
        <v/>
      </c>
      <c r="P261" s="26" t="n"/>
      <c r="Q261" s="26" t="n"/>
      <c r="R261" s="26" t="n"/>
      <c r="S261" s="26" t="n"/>
      <c r="T261" s="26" t="n"/>
      <c r="V261" s="27">
        <f>IF(ISNUMBER($C261),COUNTIFS($A$14:$A$1213,$A261,$C$14:$C$1213,"&gt;"&amp;$C261)+(COUNTIFS($A$14:$A$1213,$A261,$C$14:$C$1213,"="&amp;$C261)+1)/2,"")</f>
        <v/>
      </c>
      <c r="W261" s="27">
        <f>IF(ISNUMBER($F261),COUNTIFS($A$14:$A$1213,$A261,$F$14:$F$1213,"&gt;"&amp;$F261)+(COUNTIFS($A$14:$A$1213,$A261,$F$14:$F$1213,"="&amp;$F261)+1)/2,"")</f>
        <v/>
      </c>
      <c r="X261" s="27">
        <f>IF(OR(NOT(ISNUMBER($V261)),$AO261=1),"",$V261-(COUNTIFS($A$14:$A$1213,$A261,$C$14:$C$1213,"&gt;=0")+1)/2)</f>
        <v/>
      </c>
      <c r="Y261" s="27">
        <f>IF(OR(NOT(ISNUMBER($W261)),$AO261=1),"",$W261-(COUNTIFS($A$14:$A$1213,$A261,$F$14:$F$1213,"&gt;=0")+1)/2)</f>
        <v/>
      </c>
      <c r="Z261" s="27">
        <f>IF(ISNUMBER($V261),$A261&amp;"|"&amp;$V261,"")</f>
        <v/>
      </c>
      <c r="AA261" s="27">
        <f>IF(ISNUMBER($W261),$A261&amp;"|"&amp;$W261,"")</f>
        <v/>
      </c>
      <c r="AB261" s="27">
        <f>IF(ISNUMBER($F261),$A261&amp;"|"&amp;$F261,"")</f>
        <v/>
      </c>
      <c r="AC261" s="27">
        <f>IF(ISNUMBER($P261),COUNTIFS($A$14:$A$1213,$A261,$P$14:$P$1213,"&gt;"&amp;$P261)+(COUNTIFS($A$14:$A$1213,$A261,$P$14:$P$1213,"="&amp;$P261)+1)/2,"")</f>
        <v/>
      </c>
      <c r="AD261" s="27">
        <f>IF(ISNUMBER($Q261),COUNTIFS($A$14:$A$1213,$A261,$Q$14:$Q$1213,"&gt;"&amp;$Q261)+(COUNTIFS($A$14:$A$1213,$A261,$Q$14:$Q$1213,"="&amp;$Q261)+1)/2,"")</f>
        <v/>
      </c>
      <c r="AE261" s="27">
        <f>IF(ISNUMBER($R261),COUNTIFS($A$14:$A$1213,$A261,$R$14:$R$1213,"&gt;"&amp;$R261)+(COUNTIFS($A$14:$A$1213,$A261,$R$14:$R$1213,"="&amp;$R261)+1)/2,"")</f>
        <v/>
      </c>
      <c r="AF261" s="27">
        <f>IF(ISNUMBER($S261),COUNTIFS($A$14:$A$1213,$A261,$S$14:$S$1213,"&gt;"&amp;$S261)+(COUNTIFS($A$14:$A$1213,$A261,$S$14:$S$1213,"="&amp;$S261)+1)/2,"")</f>
        <v/>
      </c>
      <c r="AG261" s="27">
        <f>IF(ISNUMBER($T261),COUNTIFS($A$14:$A$1213,$A261,$T$14:$T$1213,"&gt;"&amp;$T261)+(COUNTIFS($A$14:$A$1213,$A261,$T$14:$T$1213,"="&amp;$T261)+1)/2,"")</f>
        <v/>
      </c>
      <c r="AH261" s="27">
        <f>IF(COUNT($AC261:$AG261)&lt;2,"",IF(MAX($AC261:$AG261)=MIN($AC261:$AG261),0,1))</f>
        <v/>
      </c>
      <c r="AI261" s="27">
        <f>IF($A261="","",IF(COUNTIF($A$14:$A261,$A261)=1,COUNTIF($AI$13:AI260,"&gt;0")+1,""))</f>
        <v/>
      </c>
      <c r="AJ261" s="27">
        <f>IF(OR($H261="",COUNTIFS($A$14:$A$1213,$H261,$F$14:$F$1213,"&gt;=0")&lt;2,COUNTIFS($A$14:$A$1213,$H261,$F$14:$F$1213,_xlfn.MAXIFS($F$14:$F$1213,$A$14:$A$1213,$H261))&gt;1),"",IFERROR(INDEX($D$14:$D$1213,MATCH($H261&amp;"|"&amp;_xlfn.MAXIFS($F$14:$F$1213,$A$14:$A$1213,$H261),$AB$14:$AB$1213,0)),""))</f>
        <v/>
      </c>
      <c r="AK261" s="27">
        <f>IF(OR($H261="",COUNTIFS($A$14:$A$1213,$H261,$F$14:$F$1213,"&gt;=0")&lt;2,COUNTIFS($A$14:$A$1213,$H261,$F$14:$F$1213,_xlfn.MAXIFS($F$14:$F$1213,$A$14:$A$1213,$H261))&gt;1),"",IFERROR(INDEX($E$14:$E$1213,MATCH($H261&amp;"|"&amp;_xlfn.MAXIFS($F$14:$F$1213,$A$14:$A$1213,$H261),$AB$14:$AB$1213,0)),""))</f>
        <v/>
      </c>
      <c r="AL261" s="27">
        <f>IF(OR($H261="",COUNTIFS($A$14:$A$1213,$H261,$F$14:$F$1213,"&gt;=0")&lt;2,COUNTIFS($A$14:$A$1213,$H261,$F$14:$F$1213,_xlfn.MAXIFS($F$14:$F$1213,$A$14:$A$1213,$H261))&gt;1),"",IFERROR(INDEX($D$14:$D$1213,MATCH($H261&amp;"|"&amp;_xlfn.MAXIFS($F$14:$F$1213,$A$14:$A$1213,$H261,$F$14:$F$1213,"&lt;"&amp;_xlfn.MAXIFS($F$14:$F$1213,$A$14:$A$1213,$H261)),$AB$14:$AB$1213,0)),""))</f>
        <v/>
      </c>
      <c r="AM261" s="27">
        <f>IF(OR($H261="",COUNTIFS($A$14:$A$1213,$H261,$F$14:$F$1213,"&gt;=0")&lt;2,COUNTIFS($A$14:$A$1213,$H261,$F$14:$F$1213,_xlfn.MAXIFS($F$14:$F$1213,$A$14:$A$1213,$H261))&gt;1),"",IFERROR(INDEX($E$14:$E$1213,MATCH($H261&amp;"|"&amp;_xlfn.MAXIFS($F$14:$F$1213,$A$14:$A$1213,$H261,$F$14:$F$1213,"&lt;"&amp;_xlfn.MAXIFS($F$14:$F$1213,$A$14:$A$1213,$H261)),$AB$14:$AB$1213,0)),""))</f>
        <v/>
      </c>
      <c r="AN261" s="27">
        <f>IF(OR(NOT(ISNUMBER($AJ261)),NOT(ISNUMBER($AL261)),$AK261=0,$AM261=0),"",IF(OR((($AJ261+$AL261)/($AK261+$AM261))&lt;=0,(($AJ261+$AL261)/($AK261+$AM261))&gt;=1),"",($AJ261/$AK261-$AL261/$AM261)/SQRT((($AJ261+$AL261)/($AK261+$AM261))*(1-(($AJ261+$AL261)/($AK261+$AM261)))*(1/$AK261+1/$AM261))))</f>
        <v/>
      </c>
      <c r="AO261" s="27">
        <f>IF($A261="","",IF(AND(COUNTIFS($A$14:$A$1213,$A261,$F$14:$F$1213,"&gt;=0")=2,IFERROR(INDEX($M$14:$M$313,MATCH($A261,$H$14:$H$313,0)),"Yes")&lt;&gt;"Yes"),1,0))</f>
        <v/>
      </c>
    </row>
    <row r="262" ht="24" customHeight="1">
      <c r="A262" s="19">
        <f>IF('Enter messages'!A262="","",'Enter messages'!A262)</f>
        <v/>
      </c>
      <c r="B262" s="20">
        <f>IF('Enter messages'!B262="","",'Enter messages'!B262)</f>
        <v/>
      </c>
      <c r="C262" s="21">
        <f>IFERROR(AVERAGE(P262:T262),"")</f>
        <v/>
      </c>
      <c r="D262" s="29" t="n"/>
      <c r="E262" s="29" t="n"/>
      <c r="F262" s="30">
        <f>IF(AND(ISNUMBER($D262),ISNUMBER($E262),$E262&gt;0,$D262&lt;=$E262),$D262/$E262,"")</f>
        <v/>
      </c>
      <c r="H262" s="19">
        <f>IFERROR(INDEX($A$14:$A$1213,MATCH(249,$AI$14:$AI$1213,0)),"")</f>
        <v/>
      </c>
      <c r="I262" s="24">
        <f>IF($H262="","",IF(COUNTIFS($A$14:$A$1213,$H262,$C$14:$C$1213,"&gt;=0")=0,"—",IFERROR(INDEX($B$14:$B$1213,MATCH($H262&amp;"|1",$Z$14:$Z$1213,0)),"(tied)")))</f>
        <v/>
      </c>
      <c r="J262" s="25">
        <f>IF($H262="","",IF(OR(COUNTIFS($A$14:$A$1213,$H262,$C$14:$C$1213,"&gt;=0")=0,COUNTIFS($A$14:$A$1213,$H262,$F$14:$F$1213,"&gt;=0")=0),"—",IF(OR(ISERROR(MATCH($H262&amp;"|1",$Z$14:$Z$1213,0)),ISERROR(MATCH($H262&amp;"|1",$AA$14:$AA$1213,0))),"Tie",IF(MATCH($H262&amp;"|1",$Z$14:$Z$1213,0)=MATCH($H262&amp;"|1",$AA$14:$AA$1213,0),"Hit","Miss"))))</f>
        <v/>
      </c>
      <c r="K262" s="24">
        <f>IF($H262="","",IF(COUNTIFS($A$14:$A$1213,$H262,$F$14:$F$1213,"&gt;=0")=0,"—",IFERROR(INDEX($B$14:$B$1213,MATCH($H262&amp;"|1",$AA$14:$AA$1213,0)),"(tied)")))</f>
        <v/>
      </c>
      <c r="L262" s="25">
        <f>IF($H262="","",IF((--(COUNTIFS($A$14:$A$1213,$H262,$P$14:$P$1213,"&gt;=0")&gt;0)+--(COUNTIFS($A$14:$A$1213,$H262,$Q$14:$Q$1213,"&gt;=0")&gt;0)+--(COUNTIFS($A$14:$A$1213,$H262,$R$14:$R$1213,"&gt;=0")&gt;0)+--(COUNTIFS($A$14:$A$1213,$H262,$S$14:$S$1213,"&gt;=0")&gt;0)+--(COUNTIFS($A$14:$A$1213,$H262,$T$14:$T$1213,"&gt;=0")&gt;0))&lt;2,"—",IF(SUMIFS($AH$14:$AH$1213,$A$14:$A$1213,$H262)=0,"Yes","No")))</f>
        <v/>
      </c>
      <c r="M262" s="25">
        <f>IF($H262="","",IF(COUNTIFS($A$14:$A$1213,$H262,$F$14:$F$1213,"&gt;=0")&lt;2,"—",IF(COUNTIFS($A$14:$A$1213,$H262,$F$14:$F$1213,_xlfn.MAXIFS($F$14:$F$1213,$A$14:$A$1213,$H262))&gt;1,"No",IF(NOT(ISNUMBER($AN262)),"—",IF((2*(1-NORMSDIST(ABS($AN262))))&lt;0.05,"Yes","No")))))</f>
        <v/>
      </c>
      <c r="N262" s="21">
        <f>IF($H262="","",IF(NOT(ISNUMBER($AN262)),"—",IF((2*(1-NORMSDIST(ABS($AN262))))&lt;0.001,"&lt;0.001",TEXT((2*(1-NORMSDIST(ABS($AN262)))),"0.000"))))</f>
        <v/>
      </c>
      <c r="P262" s="26" t="n"/>
      <c r="Q262" s="26" t="n"/>
      <c r="R262" s="26" t="n"/>
      <c r="S262" s="26" t="n"/>
      <c r="T262" s="26" t="n"/>
      <c r="V262" s="27">
        <f>IF(ISNUMBER($C262),COUNTIFS($A$14:$A$1213,$A262,$C$14:$C$1213,"&gt;"&amp;$C262)+(COUNTIFS($A$14:$A$1213,$A262,$C$14:$C$1213,"="&amp;$C262)+1)/2,"")</f>
        <v/>
      </c>
      <c r="W262" s="27">
        <f>IF(ISNUMBER($F262),COUNTIFS($A$14:$A$1213,$A262,$F$14:$F$1213,"&gt;"&amp;$F262)+(COUNTIFS($A$14:$A$1213,$A262,$F$14:$F$1213,"="&amp;$F262)+1)/2,"")</f>
        <v/>
      </c>
      <c r="X262" s="27">
        <f>IF(OR(NOT(ISNUMBER($V262)),$AO262=1),"",$V262-(COUNTIFS($A$14:$A$1213,$A262,$C$14:$C$1213,"&gt;=0")+1)/2)</f>
        <v/>
      </c>
      <c r="Y262" s="27">
        <f>IF(OR(NOT(ISNUMBER($W262)),$AO262=1),"",$W262-(COUNTIFS($A$14:$A$1213,$A262,$F$14:$F$1213,"&gt;=0")+1)/2)</f>
        <v/>
      </c>
      <c r="Z262" s="27">
        <f>IF(ISNUMBER($V262),$A262&amp;"|"&amp;$V262,"")</f>
        <v/>
      </c>
      <c r="AA262" s="27">
        <f>IF(ISNUMBER($W262),$A262&amp;"|"&amp;$W262,"")</f>
        <v/>
      </c>
      <c r="AB262" s="27">
        <f>IF(ISNUMBER($F262),$A262&amp;"|"&amp;$F262,"")</f>
        <v/>
      </c>
      <c r="AC262" s="27">
        <f>IF(ISNUMBER($P262),COUNTIFS($A$14:$A$1213,$A262,$P$14:$P$1213,"&gt;"&amp;$P262)+(COUNTIFS($A$14:$A$1213,$A262,$P$14:$P$1213,"="&amp;$P262)+1)/2,"")</f>
        <v/>
      </c>
      <c r="AD262" s="27">
        <f>IF(ISNUMBER($Q262),COUNTIFS($A$14:$A$1213,$A262,$Q$14:$Q$1213,"&gt;"&amp;$Q262)+(COUNTIFS($A$14:$A$1213,$A262,$Q$14:$Q$1213,"="&amp;$Q262)+1)/2,"")</f>
        <v/>
      </c>
      <c r="AE262" s="27">
        <f>IF(ISNUMBER($R262),COUNTIFS($A$14:$A$1213,$A262,$R$14:$R$1213,"&gt;"&amp;$R262)+(COUNTIFS($A$14:$A$1213,$A262,$R$14:$R$1213,"="&amp;$R262)+1)/2,"")</f>
        <v/>
      </c>
      <c r="AF262" s="27">
        <f>IF(ISNUMBER($S262),COUNTIFS($A$14:$A$1213,$A262,$S$14:$S$1213,"&gt;"&amp;$S262)+(COUNTIFS($A$14:$A$1213,$A262,$S$14:$S$1213,"="&amp;$S262)+1)/2,"")</f>
        <v/>
      </c>
      <c r="AG262" s="27">
        <f>IF(ISNUMBER($T262),COUNTIFS($A$14:$A$1213,$A262,$T$14:$T$1213,"&gt;"&amp;$T262)+(COUNTIFS($A$14:$A$1213,$A262,$T$14:$T$1213,"="&amp;$T262)+1)/2,"")</f>
        <v/>
      </c>
      <c r="AH262" s="27">
        <f>IF(COUNT($AC262:$AG262)&lt;2,"",IF(MAX($AC262:$AG262)=MIN($AC262:$AG262),0,1))</f>
        <v/>
      </c>
      <c r="AI262" s="27">
        <f>IF($A262="","",IF(COUNTIF($A$14:$A262,$A262)=1,COUNTIF($AI$13:AI261,"&gt;0")+1,""))</f>
        <v/>
      </c>
      <c r="AJ262" s="27">
        <f>IF(OR($H262="",COUNTIFS($A$14:$A$1213,$H262,$F$14:$F$1213,"&gt;=0")&lt;2,COUNTIFS($A$14:$A$1213,$H262,$F$14:$F$1213,_xlfn.MAXIFS($F$14:$F$1213,$A$14:$A$1213,$H262))&gt;1),"",IFERROR(INDEX($D$14:$D$1213,MATCH($H262&amp;"|"&amp;_xlfn.MAXIFS($F$14:$F$1213,$A$14:$A$1213,$H262),$AB$14:$AB$1213,0)),""))</f>
        <v/>
      </c>
      <c r="AK262" s="27">
        <f>IF(OR($H262="",COUNTIFS($A$14:$A$1213,$H262,$F$14:$F$1213,"&gt;=0")&lt;2,COUNTIFS($A$14:$A$1213,$H262,$F$14:$F$1213,_xlfn.MAXIFS($F$14:$F$1213,$A$14:$A$1213,$H262))&gt;1),"",IFERROR(INDEX($E$14:$E$1213,MATCH($H262&amp;"|"&amp;_xlfn.MAXIFS($F$14:$F$1213,$A$14:$A$1213,$H262),$AB$14:$AB$1213,0)),""))</f>
        <v/>
      </c>
      <c r="AL262" s="27">
        <f>IF(OR($H262="",COUNTIFS($A$14:$A$1213,$H262,$F$14:$F$1213,"&gt;=0")&lt;2,COUNTIFS($A$14:$A$1213,$H262,$F$14:$F$1213,_xlfn.MAXIFS($F$14:$F$1213,$A$14:$A$1213,$H262))&gt;1),"",IFERROR(INDEX($D$14:$D$1213,MATCH($H262&amp;"|"&amp;_xlfn.MAXIFS($F$14:$F$1213,$A$14:$A$1213,$H262,$F$14:$F$1213,"&lt;"&amp;_xlfn.MAXIFS($F$14:$F$1213,$A$14:$A$1213,$H262)),$AB$14:$AB$1213,0)),""))</f>
        <v/>
      </c>
      <c r="AM262" s="27">
        <f>IF(OR($H262="",COUNTIFS($A$14:$A$1213,$H262,$F$14:$F$1213,"&gt;=0")&lt;2,COUNTIFS($A$14:$A$1213,$H262,$F$14:$F$1213,_xlfn.MAXIFS($F$14:$F$1213,$A$14:$A$1213,$H262))&gt;1),"",IFERROR(INDEX($E$14:$E$1213,MATCH($H262&amp;"|"&amp;_xlfn.MAXIFS($F$14:$F$1213,$A$14:$A$1213,$H262,$F$14:$F$1213,"&lt;"&amp;_xlfn.MAXIFS($F$14:$F$1213,$A$14:$A$1213,$H262)),$AB$14:$AB$1213,0)),""))</f>
        <v/>
      </c>
      <c r="AN262" s="27">
        <f>IF(OR(NOT(ISNUMBER($AJ262)),NOT(ISNUMBER($AL262)),$AK262=0,$AM262=0),"",IF(OR((($AJ262+$AL262)/($AK262+$AM262))&lt;=0,(($AJ262+$AL262)/($AK262+$AM262))&gt;=1),"",($AJ262/$AK262-$AL262/$AM262)/SQRT((($AJ262+$AL262)/($AK262+$AM262))*(1-(($AJ262+$AL262)/($AK262+$AM262)))*(1/$AK262+1/$AM262))))</f>
        <v/>
      </c>
      <c r="AO262" s="27">
        <f>IF($A262="","",IF(AND(COUNTIFS($A$14:$A$1213,$A262,$F$14:$F$1213,"&gt;=0")=2,IFERROR(INDEX($M$14:$M$313,MATCH($A262,$H$14:$H$313,0)),"Yes")&lt;&gt;"Yes"),1,0))</f>
        <v/>
      </c>
    </row>
    <row r="263" ht="24" customHeight="1">
      <c r="A263" s="19">
        <f>IF('Enter messages'!A263="","",'Enter messages'!A263)</f>
        <v/>
      </c>
      <c r="B263" s="20">
        <f>IF('Enter messages'!B263="","",'Enter messages'!B263)</f>
        <v/>
      </c>
      <c r="C263" s="21">
        <f>IFERROR(AVERAGE(P263:T263),"")</f>
        <v/>
      </c>
      <c r="D263" s="29" t="n"/>
      <c r="E263" s="29" t="n"/>
      <c r="F263" s="30">
        <f>IF(AND(ISNUMBER($D263),ISNUMBER($E263),$E263&gt;0,$D263&lt;=$E263),$D263/$E263,"")</f>
        <v/>
      </c>
      <c r="H263" s="19">
        <f>IFERROR(INDEX($A$14:$A$1213,MATCH(250,$AI$14:$AI$1213,0)),"")</f>
        <v/>
      </c>
      <c r="I263" s="24">
        <f>IF($H263="","",IF(COUNTIFS($A$14:$A$1213,$H263,$C$14:$C$1213,"&gt;=0")=0,"—",IFERROR(INDEX($B$14:$B$1213,MATCH($H263&amp;"|1",$Z$14:$Z$1213,0)),"(tied)")))</f>
        <v/>
      </c>
      <c r="J263" s="25">
        <f>IF($H263="","",IF(OR(COUNTIFS($A$14:$A$1213,$H263,$C$14:$C$1213,"&gt;=0")=0,COUNTIFS($A$14:$A$1213,$H263,$F$14:$F$1213,"&gt;=0")=0),"—",IF(OR(ISERROR(MATCH($H263&amp;"|1",$Z$14:$Z$1213,0)),ISERROR(MATCH($H263&amp;"|1",$AA$14:$AA$1213,0))),"Tie",IF(MATCH($H263&amp;"|1",$Z$14:$Z$1213,0)=MATCH($H263&amp;"|1",$AA$14:$AA$1213,0),"Hit","Miss"))))</f>
        <v/>
      </c>
      <c r="K263" s="24">
        <f>IF($H263="","",IF(COUNTIFS($A$14:$A$1213,$H263,$F$14:$F$1213,"&gt;=0")=0,"—",IFERROR(INDEX($B$14:$B$1213,MATCH($H263&amp;"|1",$AA$14:$AA$1213,0)),"(tied)")))</f>
        <v/>
      </c>
      <c r="L263" s="25">
        <f>IF($H263="","",IF((--(COUNTIFS($A$14:$A$1213,$H263,$P$14:$P$1213,"&gt;=0")&gt;0)+--(COUNTIFS($A$14:$A$1213,$H263,$Q$14:$Q$1213,"&gt;=0")&gt;0)+--(COUNTIFS($A$14:$A$1213,$H263,$R$14:$R$1213,"&gt;=0")&gt;0)+--(COUNTIFS($A$14:$A$1213,$H263,$S$14:$S$1213,"&gt;=0")&gt;0)+--(COUNTIFS($A$14:$A$1213,$H263,$T$14:$T$1213,"&gt;=0")&gt;0))&lt;2,"—",IF(SUMIFS($AH$14:$AH$1213,$A$14:$A$1213,$H263)=0,"Yes","No")))</f>
        <v/>
      </c>
      <c r="M263" s="25">
        <f>IF($H263="","",IF(COUNTIFS($A$14:$A$1213,$H263,$F$14:$F$1213,"&gt;=0")&lt;2,"—",IF(COUNTIFS($A$14:$A$1213,$H263,$F$14:$F$1213,_xlfn.MAXIFS($F$14:$F$1213,$A$14:$A$1213,$H263))&gt;1,"No",IF(NOT(ISNUMBER($AN263)),"—",IF((2*(1-NORMSDIST(ABS($AN263))))&lt;0.05,"Yes","No")))))</f>
        <v/>
      </c>
      <c r="N263" s="21">
        <f>IF($H263="","",IF(NOT(ISNUMBER($AN263)),"—",IF((2*(1-NORMSDIST(ABS($AN263))))&lt;0.001,"&lt;0.001",TEXT((2*(1-NORMSDIST(ABS($AN263)))),"0.000"))))</f>
        <v/>
      </c>
      <c r="P263" s="26" t="n"/>
      <c r="Q263" s="26" t="n"/>
      <c r="R263" s="26" t="n"/>
      <c r="S263" s="26" t="n"/>
      <c r="T263" s="26" t="n"/>
      <c r="V263" s="27">
        <f>IF(ISNUMBER($C263),COUNTIFS($A$14:$A$1213,$A263,$C$14:$C$1213,"&gt;"&amp;$C263)+(COUNTIFS($A$14:$A$1213,$A263,$C$14:$C$1213,"="&amp;$C263)+1)/2,"")</f>
        <v/>
      </c>
      <c r="W263" s="27">
        <f>IF(ISNUMBER($F263),COUNTIFS($A$14:$A$1213,$A263,$F$14:$F$1213,"&gt;"&amp;$F263)+(COUNTIFS($A$14:$A$1213,$A263,$F$14:$F$1213,"="&amp;$F263)+1)/2,"")</f>
        <v/>
      </c>
      <c r="X263" s="27">
        <f>IF(OR(NOT(ISNUMBER($V263)),$AO263=1),"",$V263-(COUNTIFS($A$14:$A$1213,$A263,$C$14:$C$1213,"&gt;=0")+1)/2)</f>
        <v/>
      </c>
      <c r="Y263" s="27">
        <f>IF(OR(NOT(ISNUMBER($W263)),$AO263=1),"",$W263-(COUNTIFS($A$14:$A$1213,$A263,$F$14:$F$1213,"&gt;=0")+1)/2)</f>
        <v/>
      </c>
      <c r="Z263" s="27">
        <f>IF(ISNUMBER($V263),$A263&amp;"|"&amp;$V263,"")</f>
        <v/>
      </c>
      <c r="AA263" s="27">
        <f>IF(ISNUMBER($W263),$A263&amp;"|"&amp;$W263,"")</f>
        <v/>
      </c>
      <c r="AB263" s="27">
        <f>IF(ISNUMBER($F263),$A263&amp;"|"&amp;$F263,"")</f>
        <v/>
      </c>
      <c r="AC263" s="27">
        <f>IF(ISNUMBER($P263),COUNTIFS($A$14:$A$1213,$A263,$P$14:$P$1213,"&gt;"&amp;$P263)+(COUNTIFS($A$14:$A$1213,$A263,$P$14:$P$1213,"="&amp;$P263)+1)/2,"")</f>
        <v/>
      </c>
      <c r="AD263" s="27">
        <f>IF(ISNUMBER($Q263),COUNTIFS($A$14:$A$1213,$A263,$Q$14:$Q$1213,"&gt;"&amp;$Q263)+(COUNTIFS($A$14:$A$1213,$A263,$Q$14:$Q$1213,"="&amp;$Q263)+1)/2,"")</f>
        <v/>
      </c>
      <c r="AE263" s="27">
        <f>IF(ISNUMBER($R263),COUNTIFS($A$14:$A$1213,$A263,$R$14:$R$1213,"&gt;"&amp;$R263)+(COUNTIFS($A$14:$A$1213,$A263,$R$14:$R$1213,"="&amp;$R263)+1)/2,"")</f>
        <v/>
      </c>
      <c r="AF263" s="27">
        <f>IF(ISNUMBER($S263),COUNTIFS($A$14:$A$1213,$A263,$S$14:$S$1213,"&gt;"&amp;$S263)+(COUNTIFS($A$14:$A$1213,$A263,$S$14:$S$1213,"="&amp;$S263)+1)/2,"")</f>
        <v/>
      </c>
      <c r="AG263" s="27">
        <f>IF(ISNUMBER($T263),COUNTIFS($A$14:$A$1213,$A263,$T$14:$T$1213,"&gt;"&amp;$T263)+(COUNTIFS($A$14:$A$1213,$A263,$T$14:$T$1213,"="&amp;$T263)+1)/2,"")</f>
        <v/>
      </c>
      <c r="AH263" s="27">
        <f>IF(COUNT($AC263:$AG263)&lt;2,"",IF(MAX($AC263:$AG263)=MIN($AC263:$AG263),0,1))</f>
        <v/>
      </c>
      <c r="AI263" s="27">
        <f>IF($A263="","",IF(COUNTIF($A$14:$A263,$A263)=1,COUNTIF($AI$13:AI262,"&gt;0")+1,""))</f>
        <v/>
      </c>
      <c r="AJ263" s="27">
        <f>IF(OR($H263="",COUNTIFS($A$14:$A$1213,$H263,$F$14:$F$1213,"&gt;=0")&lt;2,COUNTIFS($A$14:$A$1213,$H263,$F$14:$F$1213,_xlfn.MAXIFS($F$14:$F$1213,$A$14:$A$1213,$H263))&gt;1),"",IFERROR(INDEX($D$14:$D$1213,MATCH($H263&amp;"|"&amp;_xlfn.MAXIFS($F$14:$F$1213,$A$14:$A$1213,$H263),$AB$14:$AB$1213,0)),""))</f>
        <v/>
      </c>
      <c r="AK263" s="27">
        <f>IF(OR($H263="",COUNTIFS($A$14:$A$1213,$H263,$F$14:$F$1213,"&gt;=0")&lt;2,COUNTIFS($A$14:$A$1213,$H263,$F$14:$F$1213,_xlfn.MAXIFS($F$14:$F$1213,$A$14:$A$1213,$H263))&gt;1),"",IFERROR(INDEX($E$14:$E$1213,MATCH($H263&amp;"|"&amp;_xlfn.MAXIFS($F$14:$F$1213,$A$14:$A$1213,$H263),$AB$14:$AB$1213,0)),""))</f>
        <v/>
      </c>
      <c r="AL263" s="27">
        <f>IF(OR($H263="",COUNTIFS($A$14:$A$1213,$H263,$F$14:$F$1213,"&gt;=0")&lt;2,COUNTIFS($A$14:$A$1213,$H263,$F$14:$F$1213,_xlfn.MAXIFS($F$14:$F$1213,$A$14:$A$1213,$H263))&gt;1),"",IFERROR(INDEX($D$14:$D$1213,MATCH($H263&amp;"|"&amp;_xlfn.MAXIFS($F$14:$F$1213,$A$14:$A$1213,$H263,$F$14:$F$1213,"&lt;"&amp;_xlfn.MAXIFS($F$14:$F$1213,$A$14:$A$1213,$H263)),$AB$14:$AB$1213,0)),""))</f>
        <v/>
      </c>
      <c r="AM263" s="27">
        <f>IF(OR($H263="",COUNTIFS($A$14:$A$1213,$H263,$F$14:$F$1213,"&gt;=0")&lt;2,COUNTIFS($A$14:$A$1213,$H263,$F$14:$F$1213,_xlfn.MAXIFS($F$14:$F$1213,$A$14:$A$1213,$H263))&gt;1),"",IFERROR(INDEX($E$14:$E$1213,MATCH($H263&amp;"|"&amp;_xlfn.MAXIFS($F$14:$F$1213,$A$14:$A$1213,$H263,$F$14:$F$1213,"&lt;"&amp;_xlfn.MAXIFS($F$14:$F$1213,$A$14:$A$1213,$H263)),$AB$14:$AB$1213,0)),""))</f>
        <v/>
      </c>
      <c r="AN263" s="27">
        <f>IF(OR(NOT(ISNUMBER($AJ263)),NOT(ISNUMBER($AL263)),$AK263=0,$AM263=0),"",IF(OR((($AJ263+$AL263)/($AK263+$AM263))&lt;=0,(($AJ263+$AL263)/($AK263+$AM263))&gt;=1),"",($AJ263/$AK263-$AL263/$AM263)/SQRT((($AJ263+$AL263)/($AK263+$AM263))*(1-(($AJ263+$AL263)/($AK263+$AM263)))*(1/$AK263+1/$AM263))))</f>
        <v/>
      </c>
      <c r="AO263" s="27">
        <f>IF($A263="","",IF(AND(COUNTIFS($A$14:$A$1213,$A263,$F$14:$F$1213,"&gt;=0")=2,IFERROR(INDEX($M$14:$M$313,MATCH($A263,$H$14:$H$313,0)),"Yes")&lt;&gt;"Yes"),1,0))</f>
        <v/>
      </c>
    </row>
    <row r="264" ht="24" customHeight="1">
      <c r="A264" s="19">
        <f>IF('Enter messages'!A264="","",'Enter messages'!A264)</f>
        <v/>
      </c>
      <c r="B264" s="20">
        <f>IF('Enter messages'!B264="","",'Enter messages'!B264)</f>
        <v/>
      </c>
      <c r="C264" s="21">
        <f>IFERROR(AVERAGE(P264:T264),"")</f>
        <v/>
      </c>
      <c r="D264" s="29" t="n"/>
      <c r="E264" s="29" t="n"/>
      <c r="F264" s="30">
        <f>IF(AND(ISNUMBER($D264),ISNUMBER($E264),$E264&gt;0,$D264&lt;=$E264),$D264/$E264,"")</f>
        <v/>
      </c>
      <c r="H264" s="19">
        <f>IFERROR(INDEX($A$14:$A$1213,MATCH(251,$AI$14:$AI$1213,0)),"")</f>
        <v/>
      </c>
      <c r="I264" s="24">
        <f>IF($H264="","",IF(COUNTIFS($A$14:$A$1213,$H264,$C$14:$C$1213,"&gt;=0")=0,"—",IFERROR(INDEX($B$14:$B$1213,MATCH($H264&amp;"|1",$Z$14:$Z$1213,0)),"(tied)")))</f>
        <v/>
      </c>
      <c r="J264" s="25">
        <f>IF($H264="","",IF(OR(COUNTIFS($A$14:$A$1213,$H264,$C$14:$C$1213,"&gt;=0")=0,COUNTIFS($A$14:$A$1213,$H264,$F$14:$F$1213,"&gt;=0")=0),"—",IF(OR(ISERROR(MATCH($H264&amp;"|1",$Z$14:$Z$1213,0)),ISERROR(MATCH($H264&amp;"|1",$AA$14:$AA$1213,0))),"Tie",IF(MATCH($H264&amp;"|1",$Z$14:$Z$1213,0)=MATCH($H264&amp;"|1",$AA$14:$AA$1213,0),"Hit","Miss"))))</f>
        <v/>
      </c>
      <c r="K264" s="24">
        <f>IF($H264="","",IF(COUNTIFS($A$14:$A$1213,$H264,$F$14:$F$1213,"&gt;=0")=0,"—",IFERROR(INDEX($B$14:$B$1213,MATCH($H264&amp;"|1",$AA$14:$AA$1213,0)),"(tied)")))</f>
        <v/>
      </c>
      <c r="L264" s="25">
        <f>IF($H264="","",IF((--(COUNTIFS($A$14:$A$1213,$H264,$P$14:$P$1213,"&gt;=0")&gt;0)+--(COUNTIFS($A$14:$A$1213,$H264,$Q$14:$Q$1213,"&gt;=0")&gt;0)+--(COUNTIFS($A$14:$A$1213,$H264,$R$14:$R$1213,"&gt;=0")&gt;0)+--(COUNTIFS($A$14:$A$1213,$H264,$S$14:$S$1213,"&gt;=0")&gt;0)+--(COUNTIFS($A$14:$A$1213,$H264,$T$14:$T$1213,"&gt;=0")&gt;0))&lt;2,"—",IF(SUMIFS($AH$14:$AH$1213,$A$14:$A$1213,$H264)=0,"Yes","No")))</f>
        <v/>
      </c>
      <c r="M264" s="25">
        <f>IF($H264="","",IF(COUNTIFS($A$14:$A$1213,$H264,$F$14:$F$1213,"&gt;=0")&lt;2,"—",IF(COUNTIFS($A$14:$A$1213,$H264,$F$14:$F$1213,_xlfn.MAXIFS($F$14:$F$1213,$A$14:$A$1213,$H264))&gt;1,"No",IF(NOT(ISNUMBER($AN264)),"—",IF((2*(1-NORMSDIST(ABS($AN264))))&lt;0.05,"Yes","No")))))</f>
        <v/>
      </c>
      <c r="N264" s="21">
        <f>IF($H264="","",IF(NOT(ISNUMBER($AN264)),"—",IF((2*(1-NORMSDIST(ABS($AN264))))&lt;0.001,"&lt;0.001",TEXT((2*(1-NORMSDIST(ABS($AN264)))),"0.000"))))</f>
        <v/>
      </c>
      <c r="P264" s="26" t="n"/>
      <c r="Q264" s="26" t="n"/>
      <c r="R264" s="26" t="n"/>
      <c r="S264" s="26" t="n"/>
      <c r="T264" s="26" t="n"/>
      <c r="V264" s="27">
        <f>IF(ISNUMBER($C264),COUNTIFS($A$14:$A$1213,$A264,$C$14:$C$1213,"&gt;"&amp;$C264)+(COUNTIFS($A$14:$A$1213,$A264,$C$14:$C$1213,"="&amp;$C264)+1)/2,"")</f>
        <v/>
      </c>
      <c r="W264" s="27">
        <f>IF(ISNUMBER($F264),COUNTIFS($A$14:$A$1213,$A264,$F$14:$F$1213,"&gt;"&amp;$F264)+(COUNTIFS($A$14:$A$1213,$A264,$F$14:$F$1213,"="&amp;$F264)+1)/2,"")</f>
        <v/>
      </c>
      <c r="X264" s="27">
        <f>IF(OR(NOT(ISNUMBER($V264)),$AO264=1),"",$V264-(COUNTIFS($A$14:$A$1213,$A264,$C$14:$C$1213,"&gt;=0")+1)/2)</f>
        <v/>
      </c>
      <c r="Y264" s="27">
        <f>IF(OR(NOT(ISNUMBER($W264)),$AO264=1),"",$W264-(COUNTIFS($A$14:$A$1213,$A264,$F$14:$F$1213,"&gt;=0")+1)/2)</f>
        <v/>
      </c>
      <c r="Z264" s="27">
        <f>IF(ISNUMBER($V264),$A264&amp;"|"&amp;$V264,"")</f>
        <v/>
      </c>
      <c r="AA264" s="27">
        <f>IF(ISNUMBER($W264),$A264&amp;"|"&amp;$W264,"")</f>
        <v/>
      </c>
      <c r="AB264" s="27">
        <f>IF(ISNUMBER($F264),$A264&amp;"|"&amp;$F264,"")</f>
        <v/>
      </c>
      <c r="AC264" s="27">
        <f>IF(ISNUMBER($P264),COUNTIFS($A$14:$A$1213,$A264,$P$14:$P$1213,"&gt;"&amp;$P264)+(COUNTIFS($A$14:$A$1213,$A264,$P$14:$P$1213,"="&amp;$P264)+1)/2,"")</f>
        <v/>
      </c>
      <c r="AD264" s="27">
        <f>IF(ISNUMBER($Q264),COUNTIFS($A$14:$A$1213,$A264,$Q$14:$Q$1213,"&gt;"&amp;$Q264)+(COUNTIFS($A$14:$A$1213,$A264,$Q$14:$Q$1213,"="&amp;$Q264)+1)/2,"")</f>
        <v/>
      </c>
      <c r="AE264" s="27">
        <f>IF(ISNUMBER($R264),COUNTIFS($A$14:$A$1213,$A264,$R$14:$R$1213,"&gt;"&amp;$R264)+(COUNTIFS($A$14:$A$1213,$A264,$R$14:$R$1213,"="&amp;$R264)+1)/2,"")</f>
        <v/>
      </c>
      <c r="AF264" s="27">
        <f>IF(ISNUMBER($S264),COUNTIFS($A$14:$A$1213,$A264,$S$14:$S$1213,"&gt;"&amp;$S264)+(COUNTIFS($A$14:$A$1213,$A264,$S$14:$S$1213,"="&amp;$S264)+1)/2,"")</f>
        <v/>
      </c>
      <c r="AG264" s="27">
        <f>IF(ISNUMBER($T264),COUNTIFS($A$14:$A$1213,$A264,$T$14:$T$1213,"&gt;"&amp;$T264)+(COUNTIFS($A$14:$A$1213,$A264,$T$14:$T$1213,"="&amp;$T264)+1)/2,"")</f>
        <v/>
      </c>
      <c r="AH264" s="27">
        <f>IF(COUNT($AC264:$AG264)&lt;2,"",IF(MAX($AC264:$AG264)=MIN($AC264:$AG264),0,1))</f>
        <v/>
      </c>
      <c r="AI264" s="27">
        <f>IF($A264="","",IF(COUNTIF($A$14:$A264,$A264)=1,COUNTIF($AI$13:AI263,"&gt;0")+1,""))</f>
        <v/>
      </c>
      <c r="AJ264" s="27">
        <f>IF(OR($H264="",COUNTIFS($A$14:$A$1213,$H264,$F$14:$F$1213,"&gt;=0")&lt;2,COUNTIFS($A$14:$A$1213,$H264,$F$14:$F$1213,_xlfn.MAXIFS($F$14:$F$1213,$A$14:$A$1213,$H264))&gt;1),"",IFERROR(INDEX($D$14:$D$1213,MATCH($H264&amp;"|"&amp;_xlfn.MAXIFS($F$14:$F$1213,$A$14:$A$1213,$H264),$AB$14:$AB$1213,0)),""))</f>
        <v/>
      </c>
      <c r="AK264" s="27">
        <f>IF(OR($H264="",COUNTIFS($A$14:$A$1213,$H264,$F$14:$F$1213,"&gt;=0")&lt;2,COUNTIFS($A$14:$A$1213,$H264,$F$14:$F$1213,_xlfn.MAXIFS($F$14:$F$1213,$A$14:$A$1213,$H264))&gt;1),"",IFERROR(INDEX($E$14:$E$1213,MATCH($H264&amp;"|"&amp;_xlfn.MAXIFS($F$14:$F$1213,$A$14:$A$1213,$H264),$AB$14:$AB$1213,0)),""))</f>
        <v/>
      </c>
      <c r="AL264" s="27">
        <f>IF(OR($H264="",COUNTIFS($A$14:$A$1213,$H264,$F$14:$F$1213,"&gt;=0")&lt;2,COUNTIFS($A$14:$A$1213,$H264,$F$14:$F$1213,_xlfn.MAXIFS($F$14:$F$1213,$A$14:$A$1213,$H264))&gt;1),"",IFERROR(INDEX($D$14:$D$1213,MATCH($H264&amp;"|"&amp;_xlfn.MAXIFS($F$14:$F$1213,$A$14:$A$1213,$H264,$F$14:$F$1213,"&lt;"&amp;_xlfn.MAXIFS($F$14:$F$1213,$A$14:$A$1213,$H264)),$AB$14:$AB$1213,0)),""))</f>
        <v/>
      </c>
      <c r="AM264" s="27">
        <f>IF(OR($H264="",COUNTIFS($A$14:$A$1213,$H264,$F$14:$F$1213,"&gt;=0")&lt;2,COUNTIFS($A$14:$A$1213,$H264,$F$14:$F$1213,_xlfn.MAXIFS($F$14:$F$1213,$A$14:$A$1213,$H264))&gt;1),"",IFERROR(INDEX($E$14:$E$1213,MATCH($H264&amp;"|"&amp;_xlfn.MAXIFS($F$14:$F$1213,$A$14:$A$1213,$H264,$F$14:$F$1213,"&lt;"&amp;_xlfn.MAXIFS($F$14:$F$1213,$A$14:$A$1213,$H264)),$AB$14:$AB$1213,0)),""))</f>
        <v/>
      </c>
      <c r="AN264" s="27">
        <f>IF(OR(NOT(ISNUMBER($AJ264)),NOT(ISNUMBER($AL264)),$AK264=0,$AM264=0),"",IF(OR((($AJ264+$AL264)/($AK264+$AM264))&lt;=0,(($AJ264+$AL264)/($AK264+$AM264))&gt;=1),"",($AJ264/$AK264-$AL264/$AM264)/SQRT((($AJ264+$AL264)/($AK264+$AM264))*(1-(($AJ264+$AL264)/($AK264+$AM264)))*(1/$AK264+1/$AM264))))</f>
        <v/>
      </c>
      <c r="AO264" s="27">
        <f>IF($A264="","",IF(AND(COUNTIFS($A$14:$A$1213,$A264,$F$14:$F$1213,"&gt;=0")=2,IFERROR(INDEX($M$14:$M$313,MATCH($A264,$H$14:$H$313,0)),"Yes")&lt;&gt;"Yes"),1,0))</f>
        <v/>
      </c>
    </row>
    <row r="265" ht="24" customHeight="1">
      <c r="A265" s="19">
        <f>IF('Enter messages'!A265="","",'Enter messages'!A265)</f>
        <v/>
      </c>
      <c r="B265" s="20">
        <f>IF('Enter messages'!B265="","",'Enter messages'!B265)</f>
        <v/>
      </c>
      <c r="C265" s="21">
        <f>IFERROR(AVERAGE(P265:T265),"")</f>
        <v/>
      </c>
      <c r="D265" s="29" t="n"/>
      <c r="E265" s="29" t="n"/>
      <c r="F265" s="30">
        <f>IF(AND(ISNUMBER($D265),ISNUMBER($E265),$E265&gt;0,$D265&lt;=$E265),$D265/$E265,"")</f>
        <v/>
      </c>
      <c r="H265" s="19">
        <f>IFERROR(INDEX($A$14:$A$1213,MATCH(252,$AI$14:$AI$1213,0)),"")</f>
        <v/>
      </c>
      <c r="I265" s="24">
        <f>IF($H265="","",IF(COUNTIFS($A$14:$A$1213,$H265,$C$14:$C$1213,"&gt;=0")=0,"—",IFERROR(INDEX($B$14:$B$1213,MATCH($H265&amp;"|1",$Z$14:$Z$1213,0)),"(tied)")))</f>
        <v/>
      </c>
      <c r="J265" s="25">
        <f>IF($H265="","",IF(OR(COUNTIFS($A$14:$A$1213,$H265,$C$14:$C$1213,"&gt;=0")=0,COUNTIFS($A$14:$A$1213,$H265,$F$14:$F$1213,"&gt;=0")=0),"—",IF(OR(ISERROR(MATCH($H265&amp;"|1",$Z$14:$Z$1213,0)),ISERROR(MATCH($H265&amp;"|1",$AA$14:$AA$1213,0))),"Tie",IF(MATCH($H265&amp;"|1",$Z$14:$Z$1213,0)=MATCH($H265&amp;"|1",$AA$14:$AA$1213,0),"Hit","Miss"))))</f>
        <v/>
      </c>
      <c r="K265" s="24">
        <f>IF($H265="","",IF(COUNTIFS($A$14:$A$1213,$H265,$F$14:$F$1213,"&gt;=0")=0,"—",IFERROR(INDEX($B$14:$B$1213,MATCH($H265&amp;"|1",$AA$14:$AA$1213,0)),"(tied)")))</f>
        <v/>
      </c>
      <c r="L265" s="25">
        <f>IF($H265="","",IF((--(COUNTIFS($A$14:$A$1213,$H265,$P$14:$P$1213,"&gt;=0")&gt;0)+--(COUNTIFS($A$14:$A$1213,$H265,$Q$14:$Q$1213,"&gt;=0")&gt;0)+--(COUNTIFS($A$14:$A$1213,$H265,$R$14:$R$1213,"&gt;=0")&gt;0)+--(COUNTIFS($A$14:$A$1213,$H265,$S$14:$S$1213,"&gt;=0")&gt;0)+--(COUNTIFS($A$14:$A$1213,$H265,$T$14:$T$1213,"&gt;=0")&gt;0))&lt;2,"—",IF(SUMIFS($AH$14:$AH$1213,$A$14:$A$1213,$H265)=0,"Yes","No")))</f>
        <v/>
      </c>
      <c r="M265" s="25">
        <f>IF($H265="","",IF(COUNTIFS($A$14:$A$1213,$H265,$F$14:$F$1213,"&gt;=0")&lt;2,"—",IF(COUNTIFS($A$14:$A$1213,$H265,$F$14:$F$1213,_xlfn.MAXIFS($F$14:$F$1213,$A$14:$A$1213,$H265))&gt;1,"No",IF(NOT(ISNUMBER($AN265)),"—",IF((2*(1-NORMSDIST(ABS($AN265))))&lt;0.05,"Yes","No")))))</f>
        <v/>
      </c>
      <c r="N265" s="21">
        <f>IF($H265="","",IF(NOT(ISNUMBER($AN265)),"—",IF((2*(1-NORMSDIST(ABS($AN265))))&lt;0.001,"&lt;0.001",TEXT((2*(1-NORMSDIST(ABS($AN265)))),"0.000"))))</f>
        <v/>
      </c>
      <c r="P265" s="26" t="n"/>
      <c r="Q265" s="26" t="n"/>
      <c r="R265" s="26" t="n"/>
      <c r="S265" s="26" t="n"/>
      <c r="T265" s="26" t="n"/>
      <c r="V265" s="27">
        <f>IF(ISNUMBER($C265),COUNTIFS($A$14:$A$1213,$A265,$C$14:$C$1213,"&gt;"&amp;$C265)+(COUNTIFS($A$14:$A$1213,$A265,$C$14:$C$1213,"="&amp;$C265)+1)/2,"")</f>
        <v/>
      </c>
      <c r="W265" s="27">
        <f>IF(ISNUMBER($F265),COUNTIFS($A$14:$A$1213,$A265,$F$14:$F$1213,"&gt;"&amp;$F265)+(COUNTIFS($A$14:$A$1213,$A265,$F$14:$F$1213,"="&amp;$F265)+1)/2,"")</f>
        <v/>
      </c>
      <c r="X265" s="27">
        <f>IF(OR(NOT(ISNUMBER($V265)),$AO265=1),"",$V265-(COUNTIFS($A$14:$A$1213,$A265,$C$14:$C$1213,"&gt;=0")+1)/2)</f>
        <v/>
      </c>
      <c r="Y265" s="27">
        <f>IF(OR(NOT(ISNUMBER($W265)),$AO265=1),"",$W265-(COUNTIFS($A$14:$A$1213,$A265,$F$14:$F$1213,"&gt;=0")+1)/2)</f>
        <v/>
      </c>
      <c r="Z265" s="27">
        <f>IF(ISNUMBER($V265),$A265&amp;"|"&amp;$V265,"")</f>
        <v/>
      </c>
      <c r="AA265" s="27">
        <f>IF(ISNUMBER($W265),$A265&amp;"|"&amp;$W265,"")</f>
        <v/>
      </c>
      <c r="AB265" s="27">
        <f>IF(ISNUMBER($F265),$A265&amp;"|"&amp;$F265,"")</f>
        <v/>
      </c>
      <c r="AC265" s="27">
        <f>IF(ISNUMBER($P265),COUNTIFS($A$14:$A$1213,$A265,$P$14:$P$1213,"&gt;"&amp;$P265)+(COUNTIFS($A$14:$A$1213,$A265,$P$14:$P$1213,"="&amp;$P265)+1)/2,"")</f>
        <v/>
      </c>
      <c r="AD265" s="27">
        <f>IF(ISNUMBER($Q265),COUNTIFS($A$14:$A$1213,$A265,$Q$14:$Q$1213,"&gt;"&amp;$Q265)+(COUNTIFS($A$14:$A$1213,$A265,$Q$14:$Q$1213,"="&amp;$Q265)+1)/2,"")</f>
        <v/>
      </c>
      <c r="AE265" s="27">
        <f>IF(ISNUMBER($R265),COUNTIFS($A$14:$A$1213,$A265,$R$14:$R$1213,"&gt;"&amp;$R265)+(COUNTIFS($A$14:$A$1213,$A265,$R$14:$R$1213,"="&amp;$R265)+1)/2,"")</f>
        <v/>
      </c>
      <c r="AF265" s="27">
        <f>IF(ISNUMBER($S265),COUNTIFS($A$14:$A$1213,$A265,$S$14:$S$1213,"&gt;"&amp;$S265)+(COUNTIFS($A$14:$A$1213,$A265,$S$14:$S$1213,"="&amp;$S265)+1)/2,"")</f>
        <v/>
      </c>
      <c r="AG265" s="27">
        <f>IF(ISNUMBER($T265),COUNTIFS($A$14:$A$1213,$A265,$T$14:$T$1213,"&gt;"&amp;$T265)+(COUNTIFS($A$14:$A$1213,$A265,$T$14:$T$1213,"="&amp;$T265)+1)/2,"")</f>
        <v/>
      </c>
      <c r="AH265" s="27">
        <f>IF(COUNT($AC265:$AG265)&lt;2,"",IF(MAX($AC265:$AG265)=MIN($AC265:$AG265),0,1))</f>
        <v/>
      </c>
      <c r="AI265" s="27">
        <f>IF($A265="","",IF(COUNTIF($A$14:$A265,$A265)=1,COUNTIF($AI$13:AI264,"&gt;0")+1,""))</f>
        <v/>
      </c>
      <c r="AJ265" s="27">
        <f>IF(OR($H265="",COUNTIFS($A$14:$A$1213,$H265,$F$14:$F$1213,"&gt;=0")&lt;2,COUNTIFS($A$14:$A$1213,$H265,$F$14:$F$1213,_xlfn.MAXIFS($F$14:$F$1213,$A$14:$A$1213,$H265))&gt;1),"",IFERROR(INDEX($D$14:$D$1213,MATCH($H265&amp;"|"&amp;_xlfn.MAXIFS($F$14:$F$1213,$A$14:$A$1213,$H265),$AB$14:$AB$1213,0)),""))</f>
        <v/>
      </c>
      <c r="AK265" s="27">
        <f>IF(OR($H265="",COUNTIFS($A$14:$A$1213,$H265,$F$14:$F$1213,"&gt;=0")&lt;2,COUNTIFS($A$14:$A$1213,$H265,$F$14:$F$1213,_xlfn.MAXIFS($F$14:$F$1213,$A$14:$A$1213,$H265))&gt;1),"",IFERROR(INDEX($E$14:$E$1213,MATCH($H265&amp;"|"&amp;_xlfn.MAXIFS($F$14:$F$1213,$A$14:$A$1213,$H265),$AB$14:$AB$1213,0)),""))</f>
        <v/>
      </c>
      <c r="AL265" s="27">
        <f>IF(OR($H265="",COUNTIFS($A$14:$A$1213,$H265,$F$14:$F$1213,"&gt;=0")&lt;2,COUNTIFS($A$14:$A$1213,$H265,$F$14:$F$1213,_xlfn.MAXIFS($F$14:$F$1213,$A$14:$A$1213,$H265))&gt;1),"",IFERROR(INDEX($D$14:$D$1213,MATCH($H265&amp;"|"&amp;_xlfn.MAXIFS($F$14:$F$1213,$A$14:$A$1213,$H265,$F$14:$F$1213,"&lt;"&amp;_xlfn.MAXIFS($F$14:$F$1213,$A$14:$A$1213,$H265)),$AB$14:$AB$1213,0)),""))</f>
        <v/>
      </c>
      <c r="AM265" s="27">
        <f>IF(OR($H265="",COUNTIFS($A$14:$A$1213,$H265,$F$14:$F$1213,"&gt;=0")&lt;2,COUNTIFS($A$14:$A$1213,$H265,$F$14:$F$1213,_xlfn.MAXIFS($F$14:$F$1213,$A$14:$A$1213,$H265))&gt;1),"",IFERROR(INDEX($E$14:$E$1213,MATCH($H265&amp;"|"&amp;_xlfn.MAXIFS($F$14:$F$1213,$A$14:$A$1213,$H265,$F$14:$F$1213,"&lt;"&amp;_xlfn.MAXIFS($F$14:$F$1213,$A$14:$A$1213,$H265)),$AB$14:$AB$1213,0)),""))</f>
        <v/>
      </c>
      <c r="AN265" s="27">
        <f>IF(OR(NOT(ISNUMBER($AJ265)),NOT(ISNUMBER($AL265)),$AK265=0,$AM265=0),"",IF(OR((($AJ265+$AL265)/($AK265+$AM265))&lt;=0,(($AJ265+$AL265)/($AK265+$AM265))&gt;=1),"",($AJ265/$AK265-$AL265/$AM265)/SQRT((($AJ265+$AL265)/($AK265+$AM265))*(1-(($AJ265+$AL265)/($AK265+$AM265)))*(1/$AK265+1/$AM265))))</f>
        <v/>
      </c>
      <c r="AO265" s="27">
        <f>IF($A265="","",IF(AND(COUNTIFS($A$14:$A$1213,$A265,$F$14:$F$1213,"&gt;=0")=2,IFERROR(INDEX($M$14:$M$313,MATCH($A265,$H$14:$H$313,0)),"Yes")&lt;&gt;"Yes"),1,0))</f>
        <v/>
      </c>
    </row>
    <row r="266" ht="24" customHeight="1">
      <c r="A266" s="19">
        <f>IF('Enter messages'!A266="","",'Enter messages'!A266)</f>
        <v/>
      </c>
      <c r="B266" s="20">
        <f>IF('Enter messages'!B266="","",'Enter messages'!B266)</f>
        <v/>
      </c>
      <c r="C266" s="21">
        <f>IFERROR(AVERAGE(P266:T266),"")</f>
        <v/>
      </c>
      <c r="D266" s="29" t="n"/>
      <c r="E266" s="29" t="n"/>
      <c r="F266" s="30">
        <f>IF(AND(ISNUMBER($D266),ISNUMBER($E266),$E266&gt;0,$D266&lt;=$E266),$D266/$E266,"")</f>
        <v/>
      </c>
      <c r="H266" s="19">
        <f>IFERROR(INDEX($A$14:$A$1213,MATCH(253,$AI$14:$AI$1213,0)),"")</f>
        <v/>
      </c>
      <c r="I266" s="24">
        <f>IF($H266="","",IF(COUNTIFS($A$14:$A$1213,$H266,$C$14:$C$1213,"&gt;=0")=0,"—",IFERROR(INDEX($B$14:$B$1213,MATCH($H266&amp;"|1",$Z$14:$Z$1213,0)),"(tied)")))</f>
        <v/>
      </c>
      <c r="J266" s="25">
        <f>IF($H266="","",IF(OR(COUNTIFS($A$14:$A$1213,$H266,$C$14:$C$1213,"&gt;=0")=0,COUNTIFS($A$14:$A$1213,$H266,$F$14:$F$1213,"&gt;=0")=0),"—",IF(OR(ISERROR(MATCH($H266&amp;"|1",$Z$14:$Z$1213,0)),ISERROR(MATCH($H266&amp;"|1",$AA$14:$AA$1213,0))),"Tie",IF(MATCH($H266&amp;"|1",$Z$14:$Z$1213,0)=MATCH($H266&amp;"|1",$AA$14:$AA$1213,0),"Hit","Miss"))))</f>
        <v/>
      </c>
      <c r="K266" s="24">
        <f>IF($H266="","",IF(COUNTIFS($A$14:$A$1213,$H266,$F$14:$F$1213,"&gt;=0")=0,"—",IFERROR(INDEX($B$14:$B$1213,MATCH($H266&amp;"|1",$AA$14:$AA$1213,0)),"(tied)")))</f>
        <v/>
      </c>
      <c r="L266" s="25">
        <f>IF($H266="","",IF((--(COUNTIFS($A$14:$A$1213,$H266,$P$14:$P$1213,"&gt;=0")&gt;0)+--(COUNTIFS($A$14:$A$1213,$H266,$Q$14:$Q$1213,"&gt;=0")&gt;0)+--(COUNTIFS($A$14:$A$1213,$H266,$R$14:$R$1213,"&gt;=0")&gt;0)+--(COUNTIFS($A$14:$A$1213,$H266,$S$14:$S$1213,"&gt;=0")&gt;0)+--(COUNTIFS($A$14:$A$1213,$H266,$T$14:$T$1213,"&gt;=0")&gt;0))&lt;2,"—",IF(SUMIFS($AH$14:$AH$1213,$A$14:$A$1213,$H266)=0,"Yes","No")))</f>
        <v/>
      </c>
      <c r="M266" s="25">
        <f>IF($H266="","",IF(COUNTIFS($A$14:$A$1213,$H266,$F$14:$F$1213,"&gt;=0")&lt;2,"—",IF(COUNTIFS($A$14:$A$1213,$H266,$F$14:$F$1213,_xlfn.MAXIFS($F$14:$F$1213,$A$14:$A$1213,$H266))&gt;1,"No",IF(NOT(ISNUMBER($AN266)),"—",IF((2*(1-NORMSDIST(ABS($AN266))))&lt;0.05,"Yes","No")))))</f>
        <v/>
      </c>
      <c r="N266" s="21">
        <f>IF($H266="","",IF(NOT(ISNUMBER($AN266)),"—",IF((2*(1-NORMSDIST(ABS($AN266))))&lt;0.001,"&lt;0.001",TEXT((2*(1-NORMSDIST(ABS($AN266)))),"0.000"))))</f>
        <v/>
      </c>
      <c r="P266" s="26" t="n"/>
      <c r="Q266" s="26" t="n"/>
      <c r="R266" s="26" t="n"/>
      <c r="S266" s="26" t="n"/>
      <c r="T266" s="26" t="n"/>
      <c r="V266" s="27">
        <f>IF(ISNUMBER($C266),COUNTIFS($A$14:$A$1213,$A266,$C$14:$C$1213,"&gt;"&amp;$C266)+(COUNTIFS($A$14:$A$1213,$A266,$C$14:$C$1213,"="&amp;$C266)+1)/2,"")</f>
        <v/>
      </c>
      <c r="W266" s="27">
        <f>IF(ISNUMBER($F266),COUNTIFS($A$14:$A$1213,$A266,$F$14:$F$1213,"&gt;"&amp;$F266)+(COUNTIFS($A$14:$A$1213,$A266,$F$14:$F$1213,"="&amp;$F266)+1)/2,"")</f>
        <v/>
      </c>
      <c r="X266" s="27">
        <f>IF(OR(NOT(ISNUMBER($V266)),$AO266=1),"",$V266-(COUNTIFS($A$14:$A$1213,$A266,$C$14:$C$1213,"&gt;=0")+1)/2)</f>
        <v/>
      </c>
      <c r="Y266" s="27">
        <f>IF(OR(NOT(ISNUMBER($W266)),$AO266=1),"",$W266-(COUNTIFS($A$14:$A$1213,$A266,$F$14:$F$1213,"&gt;=0")+1)/2)</f>
        <v/>
      </c>
      <c r="Z266" s="27">
        <f>IF(ISNUMBER($V266),$A266&amp;"|"&amp;$V266,"")</f>
        <v/>
      </c>
      <c r="AA266" s="27">
        <f>IF(ISNUMBER($W266),$A266&amp;"|"&amp;$W266,"")</f>
        <v/>
      </c>
      <c r="AB266" s="27">
        <f>IF(ISNUMBER($F266),$A266&amp;"|"&amp;$F266,"")</f>
        <v/>
      </c>
      <c r="AC266" s="27">
        <f>IF(ISNUMBER($P266),COUNTIFS($A$14:$A$1213,$A266,$P$14:$P$1213,"&gt;"&amp;$P266)+(COUNTIFS($A$14:$A$1213,$A266,$P$14:$P$1213,"="&amp;$P266)+1)/2,"")</f>
        <v/>
      </c>
      <c r="AD266" s="27">
        <f>IF(ISNUMBER($Q266),COUNTIFS($A$14:$A$1213,$A266,$Q$14:$Q$1213,"&gt;"&amp;$Q266)+(COUNTIFS($A$14:$A$1213,$A266,$Q$14:$Q$1213,"="&amp;$Q266)+1)/2,"")</f>
        <v/>
      </c>
      <c r="AE266" s="27">
        <f>IF(ISNUMBER($R266),COUNTIFS($A$14:$A$1213,$A266,$R$14:$R$1213,"&gt;"&amp;$R266)+(COUNTIFS($A$14:$A$1213,$A266,$R$14:$R$1213,"="&amp;$R266)+1)/2,"")</f>
        <v/>
      </c>
      <c r="AF266" s="27">
        <f>IF(ISNUMBER($S266),COUNTIFS($A$14:$A$1213,$A266,$S$14:$S$1213,"&gt;"&amp;$S266)+(COUNTIFS($A$14:$A$1213,$A266,$S$14:$S$1213,"="&amp;$S266)+1)/2,"")</f>
        <v/>
      </c>
      <c r="AG266" s="27">
        <f>IF(ISNUMBER($T266),COUNTIFS($A$14:$A$1213,$A266,$T$14:$T$1213,"&gt;"&amp;$T266)+(COUNTIFS($A$14:$A$1213,$A266,$T$14:$T$1213,"="&amp;$T266)+1)/2,"")</f>
        <v/>
      </c>
      <c r="AH266" s="27">
        <f>IF(COUNT($AC266:$AG266)&lt;2,"",IF(MAX($AC266:$AG266)=MIN($AC266:$AG266),0,1))</f>
        <v/>
      </c>
      <c r="AI266" s="27">
        <f>IF($A266="","",IF(COUNTIF($A$14:$A266,$A266)=1,COUNTIF($AI$13:AI265,"&gt;0")+1,""))</f>
        <v/>
      </c>
      <c r="AJ266" s="27">
        <f>IF(OR($H266="",COUNTIFS($A$14:$A$1213,$H266,$F$14:$F$1213,"&gt;=0")&lt;2,COUNTIFS($A$14:$A$1213,$H266,$F$14:$F$1213,_xlfn.MAXIFS($F$14:$F$1213,$A$14:$A$1213,$H266))&gt;1),"",IFERROR(INDEX($D$14:$D$1213,MATCH($H266&amp;"|"&amp;_xlfn.MAXIFS($F$14:$F$1213,$A$14:$A$1213,$H266),$AB$14:$AB$1213,0)),""))</f>
        <v/>
      </c>
      <c r="AK266" s="27">
        <f>IF(OR($H266="",COUNTIFS($A$14:$A$1213,$H266,$F$14:$F$1213,"&gt;=0")&lt;2,COUNTIFS($A$14:$A$1213,$H266,$F$14:$F$1213,_xlfn.MAXIFS($F$14:$F$1213,$A$14:$A$1213,$H266))&gt;1),"",IFERROR(INDEX($E$14:$E$1213,MATCH($H266&amp;"|"&amp;_xlfn.MAXIFS($F$14:$F$1213,$A$14:$A$1213,$H266),$AB$14:$AB$1213,0)),""))</f>
        <v/>
      </c>
      <c r="AL266" s="27">
        <f>IF(OR($H266="",COUNTIFS($A$14:$A$1213,$H266,$F$14:$F$1213,"&gt;=0")&lt;2,COUNTIFS($A$14:$A$1213,$H266,$F$14:$F$1213,_xlfn.MAXIFS($F$14:$F$1213,$A$14:$A$1213,$H266))&gt;1),"",IFERROR(INDEX($D$14:$D$1213,MATCH($H266&amp;"|"&amp;_xlfn.MAXIFS($F$14:$F$1213,$A$14:$A$1213,$H266,$F$14:$F$1213,"&lt;"&amp;_xlfn.MAXIFS($F$14:$F$1213,$A$14:$A$1213,$H266)),$AB$14:$AB$1213,0)),""))</f>
        <v/>
      </c>
      <c r="AM266" s="27">
        <f>IF(OR($H266="",COUNTIFS($A$14:$A$1213,$H266,$F$14:$F$1213,"&gt;=0")&lt;2,COUNTIFS($A$14:$A$1213,$H266,$F$14:$F$1213,_xlfn.MAXIFS($F$14:$F$1213,$A$14:$A$1213,$H266))&gt;1),"",IFERROR(INDEX($E$14:$E$1213,MATCH($H266&amp;"|"&amp;_xlfn.MAXIFS($F$14:$F$1213,$A$14:$A$1213,$H266,$F$14:$F$1213,"&lt;"&amp;_xlfn.MAXIFS($F$14:$F$1213,$A$14:$A$1213,$H266)),$AB$14:$AB$1213,0)),""))</f>
        <v/>
      </c>
      <c r="AN266" s="27">
        <f>IF(OR(NOT(ISNUMBER($AJ266)),NOT(ISNUMBER($AL266)),$AK266=0,$AM266=0),"",IF(OR((($AJ266+$AL266)/($AK266+$AM266))&lt;=0,(($AJ266+$AL266)/($AK266+$AM266))&gt;=1),"",($AJ266/$AK266-$AL266/$AM266)/SQRT((($AJ266+$AL266)/($AK266+$AM266))*(1-(($AJ266+$AL266)/($AK266+$AM266)))*(1/$AK266+1/$AM266))))</f>
        <v/>
      </c>
      <c r="AO266" s="27">
        <f>IF($A266="","",IF(AND(COUNTIFS($A$14:$A$1213,$A266,$F$14:$F$1213,"&gt;=0")=2,IFERROR(INDEX($M$14:$M$313,MATCH($A266,$H$14:$H$313,0)),"Yes")&lt;&gt;"Yes"),1,0))</f>
        <v/>
      </c>
    </row>
    <row r="267" ht="24" customHeight="1">
      <c r="A267" s="19">
        <f>IF('Enter messages'!A267="","",'Enter messages'!A267)</f>
        <v/>
      </c>
      <c r="B267" s="20">
        <f>IF('Enter messages'!B267="","",'Enter messages'!B267)</f>
        <v/>
      </c>
      <c r="C267" s="21">
        <f>IFERROR(AVERAGE(P267:T267),"")</f>
        <v/>
      </c>
      <c r="D267" s="29" t="n"/>
      <c r="E267" s="29" t="n"/>
      <c r="F267" s="30">
        <f>IF(AND(ISNUMBER($D267),ISNUMBER($E267),$E267&gt;0,$D267&lt;=$E267),$D267/$E267,"")</f>
        <v/>
      </c>
      <c r="H267" s="19">
        <f>IFERROR(INDEX($A$14:$A$1213,MATCH(254,$AI$14:$AI$1213,0)),"")</f>
        <v/>
      </c>
      <c r="I267" s="24">
        <f>IF($H267="","",IF(COUNTIFS($A$14:$A$1213,$H267,$C$14:$C$1213,"&gt;=0")=0,"—",IFERROR(INDEX($B$14:$B$1213,MATCH($H267&amp;"|1",$Z$14:$Z$1213,0)),"(tied)")))</f>
        <v/>
      </c>
      <c r="J267" s="25">
        <f>IF($H267="","",IF(OR(COUNTIFS($A$14:$A$1213,$H267,$C$14:$C$1213,"&gt;=0")=0,COUNTIFS($A$14:$A$1213,$H267,$F$14:$F$1213,"&gt;=0")=0),"—",IF(OR(ISERROR(MATCH($H267&amp;"|1",$Z$14:$Z$1213,0)),ISERROR(MATCH($H267&amp;"|1",$AA$14:$AA$1213,0))),"Tie",IF(MATCH($H267&amp;"|1",$Z$14:$Z$1213,0)=MATCH($H267&amp;"|1",$AA$14:$AA$1213,0),"Hit","Miss"))))</f>
        <v/>
      </c>
      <c r="K267" s="24">
        <f>IF($H267="","",IF(COUNTIFS($A$14:$A$1213,$H267,$F$14:$F$1213,"&gt;=0")=0,"—",IFERROR(INDEX($B$14:$B$1213,MATCH($H267&amp;"|1",$AA$14:$AA$1213,0)),"(tied)")))</f>
        <v/>
      </c>
      <c r="L267" s="25">
        <f>IF($H267="","",IF((--(COUNTIFS($A$14:$A$1213,$H267,$P$14:$P$1213,"&gt;=0")&gt;0)+--(COUNTIFS($A$14:$A$1213,$H267,$Q$14:$Q$1213,"&gt;=0")&gt;0)+--(COUNTIFS($A$14:$A$1213,$H267,$R$14:$R$1213,"&gt;=0")&gt;0)+--(COUNTIFS($A$14:$A$1213,$H267,$S$14:$S$1213,"&gt;=0")&gt;0)+--(COUNTIFS($A$14:$A$1213,$H267,$T$14:$T$1213,"&gt;=0")&gt;0))&lt;2,"—",IF(SUMIFS($AH$14:$AH$1213,$A$14:$A$1213,$H267)=0,"Yes","No")))</f>
        <v/>
      </c>
      <c r="M267" s="25">
        <f>IF($H267="","",IF(COUNTIFS($A$14:$A$1213,$H267,$F$14:$F$1213,"&gt;=0")&lt;2,"—",IF(COUNTIFS($A$14:$A$1213,$H267,$F$14:$F$1213,_xlfn.MAXIFS($F$14:$F$1213,$A$14:$A$1213,$H267))&gt;1,"No",IF(NOT(ISNUMBER($AN267)),"—",IF((2*(1-NORMSDIST(ABS($AN267))))&lt;0.05,"Yes","No")))))</f>
        <v/>
      </c>
      <c r="N267" s="21">
        <f>IF($H267="","",IF(NOT(ISNUMBER($AN267)),"—",IF((2*(1-NORMSDIST(ABS($AN267))))&lt;0.001,"&lt;0.001",TEXT((2*(1-NORMSDIST(ABS($AN267)))),"0.000"))))</f>
        <v/>
      </c>
      <c r="P267" s="26" t="n"/>
      <c r="Q267" s="26" t="n"/>
      <c r="R267" s="26" t="n"/>
      <c r="S267" s="26" t="n"/>
      <c r="T267" s="26" t="n"/>
      <c r="V267" s="27">
        <f>IF(ISNUMBER($C267),COUNTIFS($A$14:$A$1213,$A267,$C$14:$C$1213,"&gt;"&amp;$C267)+(COUNTIFS($A$14:$A$1213,$A267,$C$14:$C$1213,"="&amp;$C267)+1)/2,"")</f>
        <v/>
      </c>
      <c r="W267" s="27">
        <f>IF(ISNUMBER($F267),COUNTIFS($A$14:$A$1213,$A267,$F$14:$F$1213,"&gt;"&amp;$F267)+(COUNTIFS($A$14:$A$1213,$A267,$F$14:$F$1213,"="&amp;$F267)+1)/2,"")</f>
        <v/>
      </c>
      <c r="X267" s="27">
        <f>IF(OR(NOT(ISNUMBER($V267)),$AO267=1),"",$V267-(COUNTIFS($A$14:$A$1213,$A267,$C$14:$C$1213,"&gt;=0")+1)/2)</f>
        <v/>
      </c>
      <c r="Y267" s="27">
        <f>IF(OR(NOT(ISNUMBER($W267)),$AO267=1),"",$W267-(COUNTIFS($A$14:$A$1213,$A267,$F$14:$F$1213,"&gt;=0")+1)/2)</f>
        <v/>
      </c>
      <c r="Z267" s="27">
        <f>IF(ISNUMBER($V267),$A267&amp;"|"&amp;$V267,"")</f>
        <v/>
      </c>
      <c r="AA267" s="27">
        <f>IF(ISNUMBER($W267),$A267&amp;"|"&amp;$W267,"")</f>
        <v/>
      </c>
      <c r="AB267" s="27">
        <f>IF(ISNUMBER($F267),$A267&amp;"|"&amp;$F267,"")</f>
        <v/>
      </c>
      <c r="AC267" s="27">
        <f>IF(ISNUMBER($P267),COUNTIFS($A$14:$A$1213,$A267,$P$14:$P$1213,"&gt;"&amp;$P267)+(COUNTIFS($A$14:$A$1213,$A267,$P$14:$P$1213,"="&amp;$P267)+1)/2,"")</f>
        <v/>
      </c>
      <c r="AD267" s="27">
        <f>IF(ISNUMBER($Q267),COUNTIFS($A$14:$A$1213,$A267,$Q$14:$Q$1213,"&gt;"&amp;$Q267)+(COUNTIFS($A$14:$A$1213,$A267,$Q$14:$Q$1213,"="&amp;$Q267)+1)/2,"")</f>
        <v/>
      </c>
      <c r="AE267" s="27">
        <f>IF(ISNUMBER($R267),COUNTIFS($A$14:$A$1213,$A267,$R$14:$R$1213,"&gt;"&amp;$R267)+(COUNTIFS($A$14:$A$1213,$A267,$R$14:$R$1213,"="&amp;$R267)+1)/2,"")</f>
        <v/>
      </c>
      <c r="AF267" s="27">
        <f>IF(ISNUMBER($S267),COUNTIFS($A$14:$A$1213,$A267,$S$14:$S$1213,"&gt;"&amp;$S267)+(COUNTIFS($A$14:$A$1213,$A267,$S$14:$S$1213,"="&amp;$S267)+1)/2,"")</f>
        <v/>
      </c>
      <c r="AG267" s="27">
        <f>IF(ISNUMBER($T267),COUNTIFS($A$14:$A$1213,$A267,$T$14:$T$1213,"&gt;"&amp;$T267)+(COUNTIFS($A$14:$A$1213,$A267,$T$14:$T$1213,"="&amp;$T267)+1)/2,"")</f>
        <v/>
      </c>
      <c r="AH267" s="27">
        <f>IF(COUNT($AC267:$AG267)&lt;2,"",IF(MAX($AC267:$AG267)=MIN($AC267:$AG267),0,1))</f>
        <v/>
      </c>
      <c r="AI267" s="27">
        <f>IF($A267="","",IF(COUNTIF($A$14:$A267,$A267)=1,COUNTIF($AI$13:AI266,"&gt;0")+1,""))</f>
        <v/>
      </c>
      <c r="AJ267" s="27">
        <f>IF(OR($H267="",COUNTIFS($A$14:$A$1213,$H267,$F$14:$F$1213,"&gt;=0")&lt;2,COUNTIFS($A$14:$A$1213,$H267,$F$14:$F$1213,_xlfn.MAXIFS($F$14:$F$1213,$A$14:$A$1213,$H267))&gt;1),"",IFERROR(INDEX($D$14:$D$1213,MATCH($H267&amp;"|"&amp;_xlfn.MAXIFS($F$14:$F$1213,$A$14:$A$1213,$H267),$AB$14:$AB$1213,0)),""))</f>
        <v/>
      </c>
      <c r="AK267" s="27">
        <f>IF(OR($H267="",COUNTIFS($A$14:$A$1213,$H267,$F$14:$F$1213,"&gt;=0")&lt;2,COUNTIFS($A$14:$A$1213,$H267,$F$14:$F$1213,_xlfn.MAXIFS($F$14:$F$1213,$A$14:$A$1213,$H267))&gt;1),"",IFERROR(INDEX($E$14:$E$1213,MATCH($H267&amp;"|"&amp;_xlfn.MAXIFS($F$14:$F$1213,$A$14:$A$1213,$H267),$AB$14:$AB$1213,0)),""))</f>
        <v/>
      </c>
      <c r="AL267" s="27">
        <f>IF(OR($H267="",COUNTIFS($A$14:$A$1213,$H267,$F$14:$F$1213,"&gt;=0")&lt;2,COUNTIFS($A$14:$A$1213,$H267,$F$14:$F$1213,_xlfn.MAXIFS($F$14:$F$1213,$A$14:$A$1213,$H267))&gt;1),"",IFERROR(INDEX($D$14:$D$1213,MATCH($H267&amp;"|"&amp;_xlfn.MAXIFS($F$14:$F$1213,$A$14:$A$1213,$H267,$F$14:$F$1213,"&lt;"&amp;_xlfn.MAXIFS($F$14:$F$1213,$A$14:$A$1213,$H267)),$AB$14:$AB$1213,0)),""))</f>
        <v/>
      </c>
      <c r="AM267" s="27">
        <f>IF(OR($H267="",COUNTIFS($A$14:$A$1213,$H267,$F$14:$F$1213,"&gt;=0")&lt;2,COUNTIFS($A$14:$A$1213,$H267,$F$14:$F$1213,_xlfn.MAXIFS($F$14:$F$1213,$A$14:$A$1213,$H267))&gt;1),"",IFERROR(INDEX($E$14:$E$1213,MATCH($H267&amp;"|"&amp;_xlfn.MAXIFS($F$14:$F$1213,$A$14:$A$1213,$H267,$F$14:$F$1213,"&lt;"&amp;_xlfn.MAXIFS($F$14:$F$1213,$A$14:$A$1213,$H267)),$AB$14:$AB$1213,0)),""))</f>
        <v/>
      </c>
      <c r="AN267" s="27">
        <f>IF(OR(NOT(ISNUMBER($AJ267)),NOT(ISNUMBER($AL267)),$AK267=0,$AM267=0),"",IF(OR((($AJ267+$AL267)/($AK267+$AM267))&lt;=0,(($AJ267+$AL267)/($AK267+$AM267))&gt;=1),"",($AJ267/$AK267-$AL267/$AM267)/SQRT((($AJ267+$AL267)/($AK267+$AM267))*(1-(($AJ267+$AL267)/($AK267+$AM267)))*(1/$AK267+1/$AM267))))</f>
        <v/>
      </c>
      <c r="AO267" s="27">
        <f>IF($A267="","",IF(AND(COUNTIFS($A$14:$A$1213,$A267,$F$14:$F$1213,"&gt;=0")=2,IFERROR(INDEX($M$14:$M$313,MATCH($A267,$H$14:$H$313,0)),"Yes")&lt;&gt;"Yes"),1,0))</f>
        <v/>
      </c>
    </row>
    <row r="268" ht="24" customHeight="1">
      <c r="A268" s="19">
        <f>IF('Enter messages'!A268="","",'Enter messages'!A268)</f>
        <v/>
      </c>
      <c r="B268" s="20">
        <f>IF('Enter messages'!B268="","",'Enter messages'!B268)</f>
        <v/>
      </c>
      <c r="C268" s="21">
        <f>IFERROR(AVERAGE(P268:T268),"")</f>
        <v/>
      </c>
      <c r="D268" s="29" t="n"/>
      <c r="E268" s="29" t="n"/>
      <c r="F268" s="30">
        <f>IF(AND(ISNUMBER($D268),ISNUMBER($E268),$E268&gt;0,$D268&lt;=$E268),$D268/$E268,"")</f>
        <v/>
      </c>
      <c r="H268" s="19">
        <f>IFERROR(INDEX($A$14:$A$1213,MATCH(255,$AI$14:$AI$1213,0)),"")</f>
        <v/>
      </c>
      <c r="I268" s="24">
        <f>IF($H268="","",IF(COUNTIFS($A$14:$A$1213,$H268,$C$14:$C$1213,"&gt;=0")=0,"—",IFERROR(INDEX($B$14:$B$1213,MATCH($H268&amp;"|1",$Z$14:$Z$1213,0)),"(tied)")))</f>
        <v/>
      </c>
      <c r="J268" s="25">
        <f>IF($H268="","",IF(OR(COUNTIFS($A$14:$A$1213,$H268,$C$14:$C$1213,"&gt;=0")=0,COUNTIFS($A$14:$A$1213,$H268,$F$14:$F$1213,"&gt;=0")=0),"—",IF(OR(ISERROR(MATCH($H268&amp;"|1",$Z$14:$Z$1213,0)),ISERROR(MATCH($H268&amp;"|1",$AA$14:$AA$1213,0))),"Tie",IF(MATCH($H268&amp;"|1",$Z$14:$Z$1213,0)=MATCH($H268&amp;"|1",$AA$14:$AA$1213,0),"Hit","Miss"))))</f>
        <v/>
      </c>
      <c r="K268" s="24">
        <f>IF($H268="","",IF(COUNTIFS($A$14:$A$1213,$H268,$F$14:$F$1213,"&gt;=0")=0,"—",IFERROR(INDEX($B$14:$B$1213,MATCH($H268&amp;"|1",$AA$14:$AA$1213,0)),"(tied)")))</f>
        <v/>
      </c>
      <c r="L268" s="25">
        <f>IF($H268="","",IF((--(COUNTIFS($A$14:$A$1213,$H268,$P$14:$P$1213,"&gt;=0")&gt;0)+--(COUNTIFS($A$14:$A$1213,$H268,$Q$14:$Q$1213,"&gt;=0")&gt;0)+--(COUNTIFS($A$14:$A$1213,$H268,$R$14:$R$1213,"&gt;=0")&gt;0)+--(COUNTIFS($A$14:$A$1213,$H268,$S$14:$S$1213,"&gt;=0")&gt;0)+--(COUNTIFS($A$14:$A$1213,$H268,$T$14:$T$1213,"&gt;=0")&gt;0))&lt;2,"—",IF(SUMIFS($AH$14:$AH$1213,$A$14:$A$1213,$H268)=0,"Yes","No")))</f>
        <v/>
      </c>
      <c r="M268" s="25">
        <f>IF($H268="","",IF(COUNTIFS($A$14:$A$1213,$H268,$F$14:$F$1213,"&gt;=0")&lt;2,"—",IF(COUNTIFS($A$14:$A$1213,$H268,$F$14:$F$1213,_xlfn.MAXIFS($F$14:$F$1213,$A$14:$A$1213,$H268))&gt;1,"No",IF(NOT(ISNUMBER($AN268)),"—",IF((2*(1-NORMSDIST(ABS($AN268))))&lt;0.05,"Yes","No")))))</f>
        <v/>
      </c>
      <c r="N268" s="21">
        <f>IF($H268="","",IF(NOT(ISNUMBER($AN268)),"—",IF((2*(1-NORMSDIST(ABS($AN268))))&lt;0.001,"&lt;0.001",TEXT((2*(1-NORMSDIST(ABS($AN268)))),"0.000"))))</f>
        <v/>
      </c>
      <c r="P268" s="26" t="n"/>
      <c r="Q268" s="26" t="n"/>
      <c r="R268" s="26" t="n"/>
      <c r="S268" s="26" t="n"/>
      <c r="T268" s="26" t="n"/>
      <c r="V268" s="27">
        <f>IF(ISNUMBER($C268),COUNTIFS($A$14:$A$1213,$A268,$C$14:$C$1213,"&gt;"&amp;$C268)+(COUNTIFS($A$14:$A$1213,$A268,$C$14:$C$1213,"="&amp;$C268)+1)/2,"")</f>
        <v/>
      </c>
      <c r="W268" s="27">
        <f>IF(ISNUMBER($F268),COUNTIFS($A$14:$A$1213,$A268,$F$14:$F$1213,"&gt;"&amp;$F268)+(COUNTIFS($A$14:$A$1213,$A268,$F$14:$F$1213,"="&amp;$F268)+1)/2,"")</f>
        <v/>
      </c>
      <c r="X268" s="27">
        <f>IF(OR(NOT(ISNUMBER($V268)),$AO268=1),"",$V268-(COUNTIFS($A$14:$A$1213,$A268,$C$14:$C$1213,"&gt;=0")+1)/2)</f>
        <v/>
      </c>
      <c r="Y268" s="27">
        <f>IF(OR(NOT(ISNUMBER($W268)),$AO268=1),"",$W268-(COUNTIFS($A$14:$A$1213,$A268,$F$14:$F$1213,"&gt;=0")+1)/2)</f>
        <v/>
      </c>
      <c r="Z268" s="27">
        <f>IF(ISNUMBER($V268),$A268&amp;"|"&amp;$V268,"")</f>
        <v/>
      </c>
      <c r="AA268" s="27">
        <f>IF(ISNUMBER($W268),$A268&amp;"|"&amp;$W268,"")</f>
        <v/>
      </c>
      <c r="AB268" s="27">
        <f>IF(ISNUMBER($F268),$A268&amp;"|"&amp;$F268,"")</f>
        <v/>
      </c>
      <c r="AC268" s="27">
        <f>IF(ISNUMBER($P268),COUNTIFS($A$14:$A$1213,$A268,$P$14:$P$1213,"&gt;"&amp;$P268)+(COUNTIFS($A$14:$A$1213,$A268,$P$14:$P$1213,"="&amp;$P268)+1)/2,"")</f>
        <v/>
      </c>
      <c r="AD268" s="27">
        <f>IF(ISNUMBER($Q268),COUNTIFS($A$14:$A$1213,$A268,$Q$14:$Q$1213,"&gt;"&amp;$Q268)+(COUNTIFS($A$14:$A$1213,$A268,$Q$14:$Q$1213,"="&amp;$Q268)+1)/2,"")</f>
        <v/>
      </c>
      <c r="AE268" s="27">
        <f>IF(ISNUMBER($R268),COUNTIFS($A$14:$A$1213,$A268,$R$14:$R$1213,"&gt;"&amp;$R268)+(COUNTIFS($A$14:$A$1213,$A268,$R$14:$R$1213,"="&amp;$R268)+1)/2,"")</f>
        <v/>
      </c>
      <c r="AF268" s="27">
        <f>IF(ISNUMBER($S268),COUNTIFS($A$14:$A$1213,$A268,$S$14:$S$1213,"&gt;"&amp;$S268)+(COUNTIFS($A$14:$A$1213,$A268,$S$14:$S$1213,"="&amp;$S268)+1)/2,"")</f>
        <v/>
      </c>
      <c r="AG268" s="27">
        <f>IF(ISNUMBER($T268),COUNTIFS($A$14:$A$1213,$A268,$T$14:$T$1213,"&gt;"&amp;$T268)+(COUNTIFS($A$14:$A$1213,$A268,$T$14:$T$1213,"="&amp;$T268)+1)/2,"")</f>
        <v/>
      </c>
      <c r="AH268" s="27">
        <f>IF(COUNT($AC268:$AG268)&lt;2,"",IF(MAX($AC268:$AG268)=MIN($AC268:$AG268),0,1))</f>
        <v/>
      </c>
      <c r="AI268" s="27">
        <f>IF($A268="","",IF(COUNTIF($A$14:$A268,$A268)=1,COUNTIF($AI$13:AI267,"&gt;0")+1,""))</f>
        <v/>
      </c>
      <c r="AJ268" s="27">
        <f>IF(OR($H268="",COUNTIFS($A$14:$A$1213,$H268,$F$14:$F$1213,"&gt;=0")&lt;2,COUNTIFS($A$14:$A$1213,$H268,$F$14:$F$1213,_xlfn.MAXIFS($F$14:$F$1213,$A$14:$A$1213,$H268))&gt;1),"",IFERROR(INDEX($D$14:$D$1213,MATCH($H268&amp;"|"&amp;_xlfn.MAXIFS($F$14:$F$1213,$A$14:$A$1213,$H268),$AB$14:$AB$1213,0)),""))</f>
        <v/>
      </c>
      <c r="AK268" s="27">
        <f>IF(OR($H268="",COUNTIFS($A$14:$A$1213,$H268,$F$14:$F$1213,"&gt;=0")&lt;2,COUNTIFS($A$14:$A$1213,$H268,$F$14:$F$1213,_xlfn.MAXIFS($F$14:$F$1213,$A$14:$A$1213,$H268))&gt;1),"",IFERROR(INDEX($E$14:$E$1213,MATCH($H268&amp;"|"&amp;_xlfn.MAXIFS($F$14:$F$1213,$A$14:$A$1213,$H268),$AB$14:$AB$1213,0)),""))</f>
        <v/>
      </c>
      <c r="AL268" s="27">
        <f>IF(OR($H268="",COUNTIFS($A$14:$A$1213,$H268,$F$14:$F$1213,"&gt;=0")&lt;2,COUNTIFS($A$14:$A$1213,$H268,$F$14:$F$1213,_xlfn.MAXIFS($F$14:$F$1213,$A$14:$A$1213,$H268))&gt;1),"",IFERROR(INDEX($D$14:$D$1213,MATCH($H268&amp;"|"&amp;_xlfn.MAXIFS($F$14:$F$1213,$A$14:$A$1213,$H268,$F$14:$F$1213,"&lt;"&amp;_xlfn.MAXIFS($F$14:$F$1213,$A$14:$A$1213,$H268)),$AB$14:$AB$1213,0)),""))</f>
        <v/>
      </c>
      <c r="AM268" s="27">
        <f>IF(OR($H268="",COUNTIFS($A$14:$A$1213,$H268,$F$14:$F$1213,"&gt;=0")&lt;2,COUNTIFS($A$14:$A$1213,$H268,$F$14:$F$1213,_xlfn.MAXIFS($F$14:$F$1213,$A$14:$A$1213,$H268))&gt;1),"",IFERROR(INDEX($E$14:$E$1213,MATCH($H268&amp;"|"&amp;_xlfn.MAXIFS($F$14:$F$1213,$A$14:$A$1213,$H268,$F$14:$F$1213,"&lt;"&amp;_xlfn.MAXIFS($F$14:$F$1213,$A$14:$A$1213,$H268)),$AB$14:$AB$1213,0)),""))</f>
        <v/>
      </c>
      <c r="AN268" s="27">
        <f>IF(OR(NOT(ISNUMBER($AJ268)),NOT(ISNUMBER($AL268)),$AK268=0,$AM268=0),"",IF(OR((($AJ268+$AL268)/($AK268+$AM268))&lt;=0,(($AJ268+$AL268)/($AK268+$AM268))&gt;=1),"",($AJ268/$AK268-$AL268/$AM268)/SQRT((($AJ268+$AL268)/($AK268+$AM268))*(1-(($AJ268+$AL268)/($AK268+$AM268)))*(1/$AK268+1/$AM268))))</f>
        <v/>
      </c>
      <c r="AO268" s="27">
        <f>IF($A268="","",IF(AND(COUNTIFS($A$14:$A$1213,$A268,$F$14:$F$1213,"&gt;=0")=2,IFERROR(INDEX($M$14:$M$313,MATCH($A268,$H$14:$H$313,0)),"Yes")&lt;&gt;"Yes"),1,0))</f>
        <v/>
      </c>
    </row>
    <row r="269" ht="24" customHeight="1">
      <c r="A269" s="19">
        <f>IF('Enter messages'!A269="","",'Enter messages'!A269)</f>
        <v/>
      </c>
      <c r="B269" s="20">
        <f>IF('Enter messages'!B269="","",'Enter messages'!B269)</f>
        <v/>
      </c>
      <c r="C269" s="21">
        <f>IFERROR(AVERAGE(P269:T269),"")</f>
        <v/>
      </c>
      <c r="D269" s="29" t="n"/>
      <c r="E269" s="29" t="n"/>
      <c r="F269" s="30">
        <f>IF(AND(ISNUMBER($D269),ISNUMBER($E269),$E269&gt;0,$D269&lt;=$E269),$D269/$E269,"")</f>
        <v/>
      </c>
      <c r="H269" s="19">
        <f>IFERROR(INDEX($A$14:$A$1213,MATCH(256,$AI$14:$AI$1213,0)),"")</f>
        <v/>
      </c>
      <c r="I269" s="24">
        <f>IF($H269="","",IF(COUNTIFS($A$14:$A$1213,$H269,$C$14:$C$1213,"&gt;=0")=0,"—",IFERROR(INDEX($B$14:$B$1213,MATCH($H269&amp;"|1",$Z$14:$Z$1213,0)),"(tied)")))</f>
        <v/>
      </c>
      <c r="J269" s="25">
        <f>IF($H269="","",IF(OR(COUNTIFS($A$14:$A$1213,$H269,$C$14:$C$1213,"&gt;=0")=0,COUNTIFS($A$14:$A$1213,$H269,$F$14:$F$1213,"&gt;=0")=0),"—",IF(OR(ISERROR(MATCH($H269&amp;"|1",$Z$14:$Z$1213,0)),ISERROR(MATCH($H269&amp;"|1",$AA$14:$AA$1213,0))),"Tie",IF(MATCH($H269&amp;"|1",$Z$14:$Z$1213,0)=MATCH($H269&amp;"|1",$AA$14:$AA$1213,0),"Hit","Miss"))))</f>
        <v/>
      </c>
      <c r="K269" s="24">
        <f>IF($H269="","",IF(COUNTIFS($A$14:$A$1213,$H269,$F$14:$F$1213,"&gt;=0")=0,"—",IFERROR(INDEX($B$14:$B$1213,MATCH($H269&amp;"|1",$AA$14:$AA$1213,0)),"(tied)")))</f>
        <v/>
      </c>
      <c r="L269" s="25">
        <f>IF($H269="","",IF((--(COUNTIFS($A$14:$A$1213,$H269,$P$14:$P$1213,"&gt;=0")&gt;0)+--(COUNTIFS($A$14:$A$1213,$H269,$Q$14:$Q$1213,"&gt;=0")&gt;0)+--(COUNTIFS($A$14:$A$1213,$H269,$R$14:$R$1213,"&gt;=0")&gt;0)+--(COUNTIFS($A$14:$A$1213,$H269,$S$14:$S$1213,"&gt;=0")&gt;0)+--(COUNTIFS($A$14:$A$1213,$H269,$T$14:$T$1213,"&gt;=0")&gt;0))&lt;2,"—",IF(SUMIFS($AH$14:$AH$1213,$A$14:$A$1213,$H269)=0,"Yes","No")))</f>
        <v/>
      </c>
      <c r="M269" s="25">
        <f>IF($H269="","",IF(COUNTIFS($A$14:$A$1213,$H269,$F$14:$F$1213,"&gt;=0")&lt;2,"—",IF(COUNTIFS($A$14:$A$1213,$H269,$F$14:$F$1213,_xlfn.MAXIFS($F$14:$F$1213,$A$14:$A$1213,$H269))&gt;1,"No",IF(NOT(ISNUMBER($AN269)),"—",IF((2*(1-NORMSDIST(ABS($AN269))))&lt;0.05,"Yes","No")))))</f>
        <v/>
      </c>
      <c r="N269" s="21">
        <f>IF($H269="","",IF(NOT(ISNUMBER($AN269)),"—",IF((2*(1-NORMSDIST(ABS($AN269))))&lt;0.001,"&lt;0.001",TEXT((2*(1-NORMSDIST(ABS($AN269)))),"0.000"))))</f>
        <v/>
      </c>
      <c r="P269" s="26" t="n"/>
      <c r="Q269" s="26" t="n"/>
      <c r="R269" s="26" t="n"/>
      <c r="S269" s="26" t="n"/>
      <c r="T269" s="26" t="n"/>
      <c r="V269" s="27">
        <f>IF(ISNUMBER($C269),COUNTIFS($A$14:$A$1213,$A269,$C$14:$C$1213,"&gt;"&amp;$C269)+(COUNTIFS($A$14:$A$1213,$A269,$C$14:$C$1213,"="&amp;$C269)+1)/2,"")</f>
        <v/>
      </c>
      <c r="W269" s="27">
        <f>IF(ISNUMBER($F269),COUNTIFS($A$14:$A$1213,$A269,$F$14:$F$1213,"&gt;"&amp;$F269)+(COUNTIFS($A$14:$A$1213,$A269,$F$14:$F$1213,"="&amp;$F269)+1)/2,"")</f>
        <v/>
      </c>
      <c r="X269" s="27">
        <f>IF(OR(NOT(ISNUMBER($V269)),$AO269=1),"",$V269-(COUNTIFS($A$14:$A$1213,$A269,$C$14:$C$1213,"&gt;=0")+1)/2)</f>
        <v/>
      </c>
      <c r="Y269" s="27">
        <f>IF(OR(NOT(ISNUMBER($W269)),$AO269=1),"",$W269-(COUNTIFS($A$14:$A$1213,$A269,$F$14:$F$1213,"&gt;=0")+1)/2)</f>
        <v/>
      </c>
      <c r="Z269" s="27">
        <f>IF(ISNUMBER($V269),$A269&amp;"|"&amp;$V269,"")</f>
        <v/>
      </c>
      <c r="AA269" s="27">
        <f>IF(ISNUMBER($W269),$A269&amp;"|"&amp;$W269,"")</f>
        <v/>
      </c>
      <c r="AB269" s="27">
        <f>IF(ISNUMBER($F269),$A269&amp;"|"&amp;$F269,"")</f>
        <v/>
      </c>
      <c r="AC269" s="27">
        <f>IF(ISNUMBER($P269),COUNTIFS($A$14:$A$1213,$A269,$P$14:$P$1213,"&gt;"&amp;$P269)+(COUNTIFS($A$14:$A$1213,$A269,$P$14:$P$1213,"="&amp;$P269)+1)/2,"")</f>
        <v/>
      </c>
      <c r="AD269" s="27">
        <f>IF(ISNUMBER($Q269),COUNTIFS($A$14:$A$1213,$A269,$Q$14:$Q$1213,"&gt;"&amp;$Q269)+(COUNTIFS($A$14:$A$1213,$A269,$Q$14:$Q$1213,"="&amp;$Q269)+1)/2,"")</f>
        <v/>
      </c>
      <c r="AE269" s="27">
        <f>IF(ISNUMBER($R269),COUNTIFS($A$14:$A$1213,$A269,$R$14:$R$1213,"&gt;"&amp;$R269)+(COUNTIFS($A$14:$A$1213,$A269,$R$14:$R$1213,"="&amp;$R269)+1)/2,"")</f>
        <v/>
      </c>
      <c r="AF269" s="27">
        <f>IF(ISNUMBER($S269),COUNTIFS($A$14:$A$1213,$A269,$S$14:$S$1213,"&gt;"&amp;$S269)+(COUNTIFS($A$14:$A$1213,$A269,$S$14:$S$1213,"="&amp;$S269)+1)/2,"")</f>
        <v/>
      </c>
      <c r="AG269" s="27">
        <f>IF(ISNUMBER($T269),COUNTIFS($A$14:$A$1213,$A269,$T$14:$T$1213,"&gt;"&amp;$T269)+(COUNTIFS($A$14:$A$1213,$A269,$T$14:$T$1213,"="&amp;$T269)+1)/2,"")</f>
        <v/>
      </c>
      <c r="AH269" s="27">
        <f>IF(COUNT($AC269:$AG269)&lt;2,"",IF(MAX($AC269:$AG269)=MIN($AC269:$AG269),0,1))</f>
        <v/>
      </c>
      <c r="AI269" s="27">
        <f>IF($A269="","",IF(COUNTIF($A$14:$A269,$A269)=1,COUNTIF($AI$13:AI268,"&gt;0")+1,""))</f>
        <v/>
      </c>
      <c r="AJ269" s="27">
        <f>IF(OR($H269="",COUNTIFS($A$14:$A$1213,$H269,$F$14:$F$1213,"&gt;=0")&lt;2,COUNTIFS($A$14:$A$1213,$H269,$F$14:$F$1213,_xlfn.MAXIFS($F$14:$F$1213,$A$14:$A$1213,$H269))&gt;1),"",IFERROR(INDEX($D$14:$D$1213,MATCH($H269&amp;"|"&amp;_xlfn.MAXIFS($F$14:$F$1213,$A$14:$A$1213,$H269),$AB$14:$AB$1213,0)),""))</f>
        <v/>
      </c>
      <c r="AK269" s="27">
        <f>IF(OR($H269="",COUNTIFS($A$14:$A$1213,$H269,$F$14:$F$1213,"&gt;=0")&lt;2,COUNTIFS($A$14:$A$1213,$H269,$F$14:$F$1213,_xlfn.MAXIFS($F$14:$F$1213,$A$14:$A$1213,$H269))&gt;1),"",IFERROR(INDEX($E$14:$E$1213,MATCH($H269&amp;"|"&amp;_xlfn.MAXIFS($F$14:$F$1213,$A$14:$A$1213,$H269),$AB$14:$AB$1213,0)),""))</f>
        <v/>
      </c>
      <c r="AL269" s="27">
        <f>IF(OR($H269="",COUNTIFS($A$14:$A$1213,$H269,$F$14:$F$1213,"&gt;=0")&lt;2,COUNTIFS($A$14:$A$1213,$H269,$F$14:$F$1213,_xlfn.MAXIFS($F$14:$F$1213,$A$14:$A$1213,$H269))&gt;1),"",IFERROR(INDEX($D$14:$D$1213,MATCH($H269&amp;"|"&amp;_xlfn.MAXIFS($F$14:$F$1213,$A$14:$A$1213,$H269,$F$14:$F$1213,"&lt;"&amp;_xlfn.MAXIFS($F$14:$F$1213,$A$14:$A$1213,$H269)),$AB$14:$AB$1213,0)),""))</f>
        <v/>
      </c>
      <c r="AM269" s="27">
        <f>IF(OR($H269="",COUNTIFS($A$14:$A$1213,$H269,$F$14:$F$1213,"&gt;=0")&lt;2,COUNTIFS($A$14:$A$1213,$H269,$F$14:$F$1213,_xlfn.MAXIFS($F$14:$F$1213,$A$14:$A$1213,$H269))&gt;1),"",IFERROR(INDEX($E$14:$E$1213,MATCH($H269&amp;"|"&amp;_xlfn.MAXIFS($F$14:$F$1213,$A$14:$A$1213,$H269,$F$14:$F$1213,"&lt;"&amp;_xlfn.MAXIFS($F$14:$F$1213,$A$14:$A$1213,$H269)),$AB$14:$AB$1213,0)),""))</f>
        <v/>
      </c>
      <c r="AN269" s="27">
        <f>IF(OR(NOT(ISNUMBER($AJ269)),NOT(ISNUMBER($AL269)),$AK269=0,$AM269=0),"",IF(OR((($AJ269+$AL269)/($AK269+$AM269))&lt;=0,(($AJ269+$AL269)/($AK269+$AM269))&gt;=1),"",($AJ269/$AK269-$AL269/$AM269)/SQRT((($AJ269+$AL269)/($AK269+$AM269))*(1-(($AJ269+$AL269)/($AK269+$AM269)))*(1/$AK269+1/$AM269))))</f>
        <v/>
      </c>
      <c r="AO269" s="27">
        <f>IF($A269="","",IF(AND(COUNTIFS($A$14:$A$1213,$A269,$F$14:$F$1213,"&gt;=0")=2,IFERROR(INDEX($M$14:$M$313,MATCH($A269,$H$14:$H$313,0)),"Yes")&lt;&gt;"Yes"),1,0))</f>
        <v/>
      </c>
    </row>
    <row r="270" ht="24" customHeight="1">
      <c r="A270" s="19">
        <f>IF('Enter messages'!A270="","",'Enter messages'!A270)</f>
        <v/>
      </c>
      <c r="B270" s="20">
        <f>IF('Enter messages'!B270="","",'Enter messages'!B270)</f>
        <v/>
      </c>
      <c r="C270" s="21">
        <f>IFERROR(AVERAGE(P270:T270),"")</f>
        <v/>
      </c>
      <c r="D270" s="29" t="n"/>
      <c r="E270" s="29" t="n"/>
      <c r="F270" s="30">
        <f>IF(AND(ISNUMBER($D270),ISNUMBER($E270),$E270&gt;0,$D270&lt;=$E270),$D270/$E270,"")</f>
        <v/>
      </c>
      <c r="H270" s="19">
        <f>IFERROR(INDEX($A$14:$A$1213,MATCH(257,$AI$14:$AI$1213,0)),"")</f>
        <v/>
      </c>
      <c r="I270" s="24">
        <f>IF($H270="","",IF(COUNTIFS($A$14:$A$1213,$H270,$C$14:$C$1213,"&gt;=0")=0,"—",IFERROR(INDEX($B$14:$B$1213,MATCH($H270&amp;"|1",$Z$14:$Z$1213,0)),"(tied)")))</f>
        <v/>
      </c>
      <c r="J270" s="25">
        <f>IF($H270="","",IF(OR(COUNTIFS($A$14:$A$1213,$H270,$C$14:$C$1213,"&gt;=0")=0,COUNTIFS($A$14:$A$1213,$H270,$F$14:$F$1213,"&gt;=0")=0),"—",IF(OR(ISERROR(MATCH($H270&amp;"|1",$Z$14:$Z$1213,0)),ISERROR(MATCH($H270&amp;"|1",$AA$14:$AA$1213,0))),"Tie",IF(MATCH($H270&amp;"|1",$Z$14:$Z$1213,0)=MATCH($H270&amp;"|1",$AA$14:$AA$1213,0),"Hit","Miss"))))</f>
        <v/>
      </c>
      <c r="K270" s="24">
        <f>IF($H270="","",IF(COUNTIFS($A$14:$A$1213,$H270,$F$14:$F$1213,"&gt;=0")=0,"—",IFERROR(INDEX($B$14:$B$1213,MATCH($H270&amp;"|1",$AA$14:$AA$1213,0)),"(tied)")))</f>
        <v/>
      </c>
      <c r="L270" s="25">
        <f>IF($H270="","",IF((--(COUNTIFS($A$14:$A$1213,$H270,$P$14:$P$1213,"&gt;=0")&gt;0)+--(COUNTIFS($A$14:$A$1213,$H270,$Q$14:$Q$1213,"&gt;=0")&gt;0)+--(COUNTIFS($A$14:$A$1213,$H270,$R$14:$R$1213,"&gt;=0")&gt;0)+--(COUNTIFS($A$14:$A$1213,$H270,$S$14:$S$1213,"&gt;=0")&gt;0)+--(COUNTIFS($A$14:$A$1213,$H270,$T$14:$T$1213,"&gt;=0")&gt;0))&lt;2,"—",IF(SUMIFS($AH$14:$AH$1213,$A$14:$A$1213,$H270)=0,"Yes","No")))</f>
        <v/>
      </c>
      <c r="M270" s="25">
        <f>IF($H270="","",IF(COUNTIFS($A$14:$A$1213,$H270,$F$14:$F$1213,"&gt;=0")&lt;2,"—",IF(COUNTIFS($A$14:$A$1213,$H270,$F$14:$F$1213,_xlfn.MAXIFS($F$14:$F$1213,$A$14:$A$1213,$H270))&gt;1,"No",IF(NOT(ISNUMBER($AN270)),"—",IF((2*(1-NORMSDIST(ABS($AN270))))&lt;0.05,"Yes","No")))))</f>
        <v/>
      </c>
      <c r="N270" s="21">
        <f>IF($H270="","",IF(NOT(ISNUMBER($AN270)),"—",IF((2*(1-NORMSDIST(ABS($AN270))))&lt;0.001,"&lt;0.001",TEXT((2*(1-NORMSDIST(ABS($AN270)))),"0.000"))))</f>
        <v/>
      </c>
      <c r="P270" s="26" t="n"/>
      <c r="Q270" s="26" t="n"/>
      <c r="R270" s="26" t="n"/>
      <c r="S270" s="26" t="n"/>
      <c r="T270" s="26" t="n"/>
      <c r="V270" s="27">
        <f>IF(ISNUMBER($C270),COUNTIFS($A$14:$A$1213,$A270,$C$14:$C$1213,"&gt;"&amp;$C270)+(COUNTIFS($A$14:$A$1213,$A270,$C$14:$C$1213,"="&amp;$C270)+1)/2,"")</f>
        <v/>
      </c>
      <c r="W270" s="27">
        <f>IF(ISNUMBER($F270),COUNTIFS($A$14:$A$1213,$A270,$F$14:$F$1213,"&gt;"&amp;$F270)+(COUNTIFS($A$14:$A$1213,$A270,$F$14:$F$1213,"="&amp;$F270)+1)/2,"")</f>
        <v/>
      </c>
      <c r="X270" s="27">
        <f>IF(OR(NOT(ISNUMBER($V270)),$AO270=1),"",$V270-(COUNTIFS($A$14:$A$1213,$A270,$C$14:$C$1213,"&gt;=0")+1)/2)</f>
        <v/>
      </c>
      <c r="Y270" s="27">
        <f>IF(OR(NOT(ISNUMBER($W270)),$AO270=1),"",$W270-(COUNTIFS($A$14:$A$1213,$A270,$F$14:$F$1213,"&gt;=0")+1)/2)</f>
        <v/>
      </c>
      <c r="Z270" s="27">
        <f>IF(ISNUMBER($V270),$A270&amp;"|"&amp;$V270,"")</f>
        <v/>
      </c>
      <c r="AA270" s="27">
        <f>IF(ISNUMBER($W270),$A270&amp;"|"&amp;$W270,"")</f>
        <v/>
      </c>
      <c r="AB270" s="27">
        <f>IF(ISNUMBER($F270),$A270&amp;"|"&amp;$F270,"")</f>
        <v/>
      </c>
      <c r="AC270" s="27">
        <f>IF(ISNUMBER($P270),COUNTIFS($A$14:$A$1213,$A270,$P$14:$P$1213,"&gt;"&amp;$P270)+(COUNTIFS($A$14:$A$1213,$A270,$P$14:$P$1213,"="&amp;$P270)+1)/2,"")</f>
        <v/>
      </c>
      <c r="AD270" s="27">
        <f>IF(ISNUMBER($Q270),COUNTIFS($A$14:$A$1213,$A270,$Q$14:$Q$1213,"&gt;"&amp;$Q270)+(COUNTIFS($A$14:$A$1213,$A270,$Q$14:$Q$1213,"="&amp;$Q270)+1)/2,"")</f>
        <v/>
      </c>
      <c r="AE270" s="27">
        <f>IF(ISNUMBER($R270),COUNTIFS($A$14:$A$1213,$A270,$R$14:$R$1213,"&gt;"&amp;$R270)+(COUNTIFS($A$14:$A$1213,$A270,$R$14:$R$1213,"="&amp;$R270)+1)/2,"")</f>
        <v/>
      </c>
      <c r="AF270" s="27">
        <f>IF(ISNUMBER($S270),COUNTIFS($A$14:$A$1213,$A270,$S$14:$S$1213,"&gt;"&amp;$S270)+(COUNTIFS($A$14:$A$1213,$A270,$S$14:$S$1213,"="&amp;$S270)+1)/2,"")</f>
        <v/>
      </c>
      <c r="AG270" s="27">
        <f>IF(ISNUMBER($T270),COUNTIFS($A$14:$A$1213,$A270,$T$14:$T$1213,"&gt;"&amp;$T270)+(COUNTIFS($A$14:$A$1213,$A270,$T$14:$T$1213,"="&amp;$T270)+1)/2,"")</f>
        <v/>
      </c>
      <c r="AH270" s="27">
        <f>IF(COUNT($AC270:$AG270)&lt;2,"",IF(MAX($AC270:$AG270)=MIN($AC270:$AG270),0,1))</f>
        <v/>
      </c>
      <c r="AI270" s="27">
        <f>IF($A270="","",IF(COUNTIF($A$14:$A270,$A270)=1,COUNTIF($AI$13:AI269,"&gt;0")+1,""))</f>
        <v/>
      </c>
      <c r="AJ270" s="27">
        <f>IF(OR($H270="",COUNTIFS($A$14:$A$1213,$H270,$F$14:$F$1213,"&gt;=0")&lt;2,COUNTIFS($A$14:$A$1213,$H270,$F$14:$F$1213,_xlfn.MAXIFS($F$14:$F$1213,$A$14:$A$1213,$H270))&gt;1),"",IFERROR(INDEX($D$14:$D$1213,MATCH($H270&amp;"|"&amp;_xlfn.MAXIFS($F$14:$F$1213,$A$14:$A$1213,$H270),$AB$14:$AB$1213,0)),""))</f>
        <v/>
      </c>
      <c r="AK270" s="27">
        <f>IF(OR($H270="",COUNTIFS($A$14:$A$1213,$H270,$F$14:$F$1213,"&gt;=0")&lt;2,COUNTIFS($A$14:$A$1213,$H270,$F$14:$F$1213,_xlfn.MAXIFS($F$14:$F$1213,$A$14:$A$1213,$H270))&gt;1),"",IFERROR(INDEX($E$14:$E$1213,MATCH($H270&amp;"|"&amp;_xlfn.MAXIFS($F$14:$F$1213,$A$14:$A$1213,$H270),$AB$14:$AB$1213,0)),""))</f>
        <v/>
      </c>
      <c r="AL270" s="27">
        <f>IF(OR($H270="",COUNTIFS($A$14:$A$1213,$H270,$F$14:$F$1213,"&gt;=0")&lt;2,COUNTIFS($A$14:$A$1213,$H270,$F$14:$F$1213,_xlfn.MAXIFS($F$14:$F$1213,$A$14:$A$1213,$H270))&gt;1),"",IFERROR(INDEX($D$14:$D$1213,MATCH($H270&amp;"|"&amp;_xlfn.MAXIFS($F$14:$F$1213,$A$14:$A$1213,$H270,$F$14:$F$1213,"&lt;"&amp;_xlfn.MAXIFS($F$14:$F$1213,$A$14:$A$1213,$H270)),$AB$14:$AB$1213,0)),""))</f>
        <v/>
      </c>
      <c r="AM270" s="27">
        <f>IF(OR($H270="",COUNTIFS($A$14:$A$1213,$H270,$F$14:$F$1213,"&gt;=0")&lt;2,COUNTIFS($A$14:$A$1213,$H270,$F$14:$F$1213,_xlfn.MAXIFS($F$14:$F$1213,$A$14:$A$1213,$H270))&gt;1),"",IFERROR(INDEX($E$14:$E$1213,MATCH($H270&amp;"|"&amp;_xlfn.MAXIFS($F$14:$F$1213,$A$14:$A$1213,$H270,$F$14:$F$1213,"&lt;"&amp;_xlfn.MAXIFS($F$14:$F$1213,$A$14:$A$1213,$H270)),$AB$14:$AB$1213,0)),""))</f>
        <v/>
      </c>
      <c r="AN270" s="27">
        <f>IF(OR(NOT(ISNUMBER($AJ270)),NOT(ISNUMBER($AL270)),$AK270=0,$AM270=0),"",IF(OR((($AJ270+$AL270)/($AK270+$AM270))&lt;=0,(($AJ270+$AL270)/($AK270+$AM270))&gt;=1),"",($AJ270/$AK270-$AL270/$AM270)/SQRT((($AJ270+$AL270)/($AK270+$AM270))*(1-(($AJ270+$AL270)/($AK270+$AM270)))*(1/$AK270+1/$AM270))))</f>
        <v/>
      </c>
      <c r="AO270" s="27">
        <f>IF($A270="","",IF(AND(COUNTIFS($A$14:$A$1213,$A270,$F$14:$F$1213,"&gt;=0")=2,IFERROR(INDEX($M$14:$M$313,MATCH($A270,$H$14:$H$313,0)),"Yes")&lt;&gt;"Yes"),1,0))</f>
        <v/>
      </c>
    </row>
    <row r="271" ht="24" customHeight="1">
      <c r="A271" s="19">
        <f>IF('Enter messages'!A271="","",'Enter messages'!A271)</f>
        <v/>
      </c>
      <c r="B271" s="20">
        <f>IF('Enter messages'!B271="","",'Enter messages'!B271)</f>
        <v/>
      </c>
      <c r="C271" s="21">
        <f>IFERROR(AVERAGE(P271:T271),"")</f>
        <v/>
      </c>
      <c r="D271" s="29" t="n"/>
      <c r="E271" s="29" t="n"/>
      <c r="F271" s="30">
        <f>IF(AND(ISNUMBER($D271),ISNUMBER($E271),$E271&gt;0,$D271&lt;=$E271),$D271/$E271,"")</f>
        <v/>
      </c>
      <c r="H271" s="19">
        <f>IFERROR(INDEX($A$14:$A$1213,MATCH(258,$AI$14:$AI$1213,0)),"")</f>
        <v/>
      </c>
      <c r="I271" s="24">
        <f>IF($H271="","",IF(COUNTIFS($A$14:$A$1213,$H271,$C$14:$C$1213,"&gt;=0")=0,"—",IFERROR(INDEX($B$14:$B$1213,MATCH($H271&amp;"|1",$Z$14:$Z$1213,0)),"(tied)")))</f>
        <v/>
      </c>
      <c r="J271" s="25">
        <f>IF($H271="","",IF(OR(COUNTIFS($A$14:$A$1213,$H271,$C$14:$C$1213,"&gt;=0")=0,COUNTIFS($A$14:$A$1213,$H271,$F$14:$F$1213,"&gt;=0")=0),"—",IF(OR(ISERROR(MATCH($H271&amp;"|1",$Z$14:$Z$1213,0)),ISERROR(MATCH($H271&amp;"|1",$AA$14:$AA$1213,0))),"Tie",IF(MATCH($H271&amp;"|1",$Z$14:$Z$1213,0)=MATCH($H271&amp;"|1",$AA$14:$AA$1213,0),"Hit","Miss"))))</f>
        <v/>
      </c>
      <c r="K271" s="24">
        <f>IF($H271="","",IF(COUNTIFS($A$14:$A$1213,$H271,$F$14:$F$1213,"&gt;=0")=0,"—",IFERROR(INDEX($B$14:$B$1213,MATCH($H271&amp;"|1",$AA$14:$AA$1213,0)),"(tied)")))</f>
        <v/>
      </c>
      <c r="L271" s="25">
        <f>IF($H271="","",IF((--(COUNTIFS($A$14:$A$1213,$H271,$P$14:$P$1213,"&gt;=0")&gt;0)+--(COUNTIFS($A$14:$A$1213,$H271,$Q$14:$Q$1213,"&gt;=0")&gt;0)+--(COUNTIFS($A$14:$A$1213,$H271,$R$14:$R$1213,"&gt;=0")&gt;0)+--(COUNTIFS($A$14:$A$1213,$H271,$S$14:$S$1213,"&gt;=0")&gt;0)+--(COUNTIFS($A$14:$A$1213,$H271,$T$14:$T$1213,"&gt;=0")&gt;0))&lt;2,"—",IF(SUMIFS($AH$14:$AH$1213,$A$14:$A$1213,$H271)=0,"Yes","No")))</f>
        <v/>
      </c>
      <c r="M271" s="25">
        <f>IF($H271="","",IF(COUNTIFS($A$14:$A$1213,$H271,$F$14:$F$1213,"&gt;=0")&lt;2,"—",IF(COUNTIFS($A$14:$A$1213,$H271,$F$14:$F$1213,_xlfn.MAXIFS($F$14:$F$1213,$A$14:$A$1213,$H271))&gt;1,"No",IF(NOT(ISNUMBER($AN271)),"—",IF((2*(1-NORMSDIST(ABS($AN271))))&lt;0.05,"Yes","No")))))</f>
        <v/>
      </c>
      <c r="N271" s="21">
        <f>IF($H271="","",IF(NOT(ISNUMBER($AN271)),"—",IF((2*(1-NORMSDIST(ABS($AN271))))&lt;0.001,"&lt;0.001",TEXT((2*(1-NORMSDIST(ABS($AN271)))),"0.000"))))</f>
        <v/>
      </c>
      <c r="P271" s="26" t="n"/>
      <c r="Q271" s="26" t="n"/>
      <c r="R271" s="26" t="n"/>
      <c r="S271" s="26" t="n"/>
      <c r="T271" s="26" t="n"/>
      <c r="V271" s="27">
        <f>IF(ISNUMBER($C271),COUNTIFS($A$14:$A$1213,$A271,$C$14:$C$1213,"&gt;"&amp;$C271)+(COUNTIFS($A$14:$A$1213,$A271,$C$14:$C$1213,"="&amp;$C271)+1)/2,"")</f>
        <v/>
      </c>
      <c r="W271" s="27">
        <f>IF(ISNUMBER($F271),COUNTIFS($A$14:$A$1213,$A271,$F$14:$F$1213,"&gt;"&amp;$F271)+(COUNTIFS($A$14:$A$1213,$A271,$F$14:$F$1213,"="&amp;$F271)+1)/2,"")</f>
        <v/>
      </c>
      <c r="X271" s="27">
        <f>IF(OR(NOT(ISNUMBER($V271)),$AO271=1),"",$V271-(COUNTIFS($A$14:$A$1213,$A271,$C$14:$C$1213,"&gt;=0")+1)/2)</f>
        <v/>
      </c>
      <c r="Y271" s="27">
        <f>IF(OR(NOT(ISNUMBER($W271)),$AO271=1),"",$W271-(COUNTIFS($A$14:$A$1213,$A271,$F$14:$F$1213,"&gt;=0")+1)/2)</f>
        <v/>
      </c>
      <c r="Z271" s="27">
        <f>IF(ISNUMBER($V271),$A271&amp;"|"&amp;$V271,"")</f>
        <v/>
      </c>
      <c r="AA271" s="27">
        <f>IF(ISNUMBER($W271),$A271&amp;"|"&amp;$W271,"")</f>
        <v/>
      </c>
      <c r="AB271" s="27">
        <f>IF(ISNUMBER($F271),$A271&amp;"|"&amp;$F271,"")</f>
        <v/>
      </c>
      <c r="AC271" s="27">
        <f>IF(ISNUMBER($P271),COUNTIFS($A$14:$A$1213,$A271,$P$14:$P$1213,"&gt;"&amp;$P271)+(COUNTIFS($A$14:$A$1213,$A271,$P$14:$P$1213,"="&amp;$P271)+1)/2,"")</f>
        <v/>
      </c>
      <c r="AD271" s="27">
        <f>IF(ISNUMBER($Q271),COUNTIFS($A$14:$A$1213,$A271,$Q$14:$Q$1213,"&gt;"&amp;$Q271)+(COUNTIFS($A$14:$A$1213,$A271,$Q$14:$Q$1213,"="&amp;$Q271)+1)/2,"")</f>
        <v/>
      </c>
      <c r="AE271" s="27">
        <f>IF(ISNUMBER($R271),COUNTIFS($A$14:$A$1213,$A271,$R$14:$R$1213,"&gt;"&amp;$R271)+(COUNTIFS($A$14:$A$1213,$A271,$R$14:$R$1213,"="&amp;$R271)+1)/2,"")</f>
        <v/>
      </c>
      <c r="AF271" s="27">
        <f>IF(ISNUMBER($S271),COUNTIFS($A$14:$A$1213,$A271,$S$14:$S$1213,"&gt;"&amp;$S271)+(COUNTIFS($A$14:$A$1213,$A271,$S$14:$S$1213,"="&amp;$S271)+1)/2,"")</f>
        <v/>
      </c>
      <c r="AG271" s="27">
        <f>IF(ISNUMBER($T271),COUNTIFS($A$14:$A$1213,$A271,$T$14:$T$1213,"&gt;"&amp;$T271)+(COUNTIFS($A$14:$A$1213,$A271,$T$14:$T$1213,"="&amp;$T271)+1)/2,"")</f>
        <v/>
      </c>
      <c r="AH271" s="27">
        <f>IF(COUNT($AC271:$AG271)&lt;2,"",IF(MAX($AC271:$AG271)=MIN($AC271:$AG271),0,1))</f>
        <v/>
      </c>
      <c r="AI271" s="27">
        <f>IF($A271="","",IF(COUNTIF($A$14:$A271,$A271)=1,COUNTIF($AI$13:AI270,"&gt;0")+1,""))</f>
        <v/>
      </c>
      <c r="AJ271" s="27">
        <f>IF(OR($H271="",COUNTIFS($A$14:$A$1213,$H271,$F$14:$F$1213,"&gt;=0")&lt;2,COUNTIFS($A$14:$A$1213,$H271,$F$14:$F$1213,_xlfn.MAXIFS($F$14:$F$1213,$A$14:$A$1213,$H271))&gt;1),"",IFERROR(INDEX($D$14:$D$1213,MATCH($H271&amp;"|"&amp;_xlfn.MAXIFS($F$14:$F$1213,$A$14:$A$1213,$H271),$AB$14:$AB$1213,0)),""))</f>
        <v/>
      </c>
      <c r="AK271" s="27">
        <f>IF(OR($H271="",COUNTIFS($A$14:$A$1213,$H271,$F$14:$F$1213,"&gt;=0")&lt;2,COUNTIFS($A$14:$A$1213,$H271,$F$14:$F$1213,_xlfn.MAXIFS($F$14:$F$1213,$A$14:$A$1213,$H271))&gt;1),"",IFERROR(INDEX($E$14:$E$1213,MATCH($H271&amp;"|"&amp;_xlfn.MAXIFS($F$14:$F$1213,$A$14:$A$1213,$H271),$AB$14:$AB$1213,0)),""))</f>
        <v/>
      </c>
      <c r="AL271" s="27">
        <f>IF(OR($H271="",COUNTIFS($A$14:$A$1213,$H271,$F$14:$F$1213,"&gt;=0")&lt;2,COUNTIFS($A$14:$A$1213,$H271,$F$14:$F$1213,_xlfn.MAXIFS($F$14:$F$1213,$A$14:$A$1213,$H271))&gt;1),"",IFERROR(INDEX($D$14:$D$1213,MATCH($H271&amp;"|"&amp;_xlfn.MAXIFS($F$14:$F$1213,$A$14:$A$1213,$H271,$F$14:$F$1213,"&lt;"&amp;_xlfn.MAXIFS($F$14:$F$1213,$A$14:$A$1213,$H271)),$AB$14:$AB$1213,0)),""))</f>
        <v/>
      </c>
      <c r="AM271" s="27">
        <f>IF(OR($H271="",COUNTIFS($A$14:$A$1213,$H271,$F$14:$F$1213,"&gt;=0")&lt;2,COUNTIFS($A$14:$A$1213,$H271,$F$14:$F$1213,_xlfn.MAXIFS($F$14:$F$1213,$A$14:$A$1213,$H271))&gt;1),"",IFERROR(INDEX($E$14:$E$1213,MATCH($H271&amp;"|"&amp;_xlfn.MAXIFS($F$14:$F$1213,$A$14:$A$1213,$H271,$F$14:$F$1213,"&lt;"&amp;_xlfn.MAXIFS($F$14:$F$1213,$A$14:$A$1213,$H271)),$AB$14:$AB$1213,0)),""))</f>
        <v/>
      </c>
      <c r="AN271" s="27">
        <f>IF(OR(NOT(ISNUMBER($AJ271)),NOT(ISNUMBER($AL271)),$AK271=0,$AM271=0),"",IF(OR((($AJ271+$AL271)/($AK271+$AM271))&lt;=0,(($AJ271+$AL271)/($AK271+$AM271))&gt;=1),"",($AJ271/$AK271-$AL271/$AM271)/SQRT((($AJ271+$AL271)/($AK271+$AM271))*(1-(($AJ271+$AL271)/($AK271+$AM271)))*(1/$AK271+1/$AM271))))</f>
        <v/>
      </c>
      <c r="AO271" s="27">
        <f>IF($A271="","",IF(AND(COUNTIFS($A$14:$A$1213,$A271,$F$14:$F$1213,"&gt;=0")=2,IFERROR(INDEX($M$14:$M$313,MATCH($A271,$H$14:$H$313,0)),"Yes")&lt;&gt;"Yes"),1,0))</f>
        <v/>
      </c>
    </row>
    <row r="272" ht="24" customHeight="1">
      <c r="A272" s="19">
        <f>IF('Enter messages'!A272="","",'Enter messages'!A272)</f>
        <v/>
      </c>
      <c r="B272" s="20">
        <f>IF('Enter messages'!B272="","",'Enter messages'!B272)</f>
        <v/>
      </c>
      <c r="C272" s="21">
        <f>IFERROR(AVERAGE(P272:T272),"")</f>
        <v/>
      </c>
      <c r="D272" s="29" t="n"/>
      <c r="E272" s="29" t="n"/>
      <c r="F272" s="30">
        <f>IF(AND(ISNUMBER($D272),ISNUMBER($E272),$E272&gt;0,$D272&lt;=$E272),$D272/$E272,"")</f>
        <v/>
      </c>
      <c r="H272" s="19">
        <f>IFERROR(INDEX($A$14:$A$1213,MATCH(259,$AI$14:$AI$1213,0)),"")</f>
        <v/>
      </c>
      <c r="I272" s="24">
        <f>IF($H272="","",IF(COUNTIFS($A$14:$A$1213,$H272,$C$14:$C$1213,"&gt;=0")=0,"—",IFERROR(INDEX($B$14:$B$1213,MATCH($H272&amp;"|1",$Z$14:$Z$1213,0)),"(tied)")))</f>
        <v/>
      </c>
      <c r="J272" s="25">
        <f>IF($H272="","",IF(OR(COUNTIFS($A$14:$A$1213,$H272,$C$14:$C$1213,"&gt;=0")=0,COUNTIFS($A$14:$A$1213,$H272,$F$14:$F$1213,"&gt;=0")=0),"—",IF(OR(ISERROR(MATCH($H272&amp;"|1",$Z$14:$Z$1213,0)),ISERROR(MATCH($H272&amp;"|1",$AA$14:$AA$1213,0))),"Tie",IF(MATCH($H272&amp;"|1",$Z$14:$Z$1213,0)=MATCH($H272&amp;"|1",$AA$14:$AA$1213,0),"Hit","Miss"))))</f>
        <v/>
      </c>
      <c r="K272" s="24">
        <f>IF($H272="","",IF(COUNTIFS($A$14:$A$1213,$H272,$F$14:$F$1213,"&gt;=0")=0,"—",IFERROR(INDEX($B$14:$B$1213,MATCH($H272&amp;"|1",$AA$14:$AA$1213,0)),"(tied)")))</f>
        <v/>
      </c>
      <c r="L272" s="25">
        <f>IF($H272="","",IF((--(COUNTIFS($A$14:$A$1213,$H272,$P$14:$P$1213,"&gt;=0")&gt;0)+--(COUNTIFS($A$14:$A$1213,$H272,$Q$14:$Q$1213,"&gt;=0")&gt;0)+--(COUNTIFS($A$14:$A$1213,$H272,$R$14:$R$1213,"&gt;=0")&gt;0)+--(COUNTIFS($A$14:$A$1213,$H272,$S$14:$S$1213,"&gt;=0")&gt;0)+--(COUNTIFS($A$14:$A$1213,$H272,$T$14:$T$1213,"&gt;=0")&gt;0))&lt;2,"—",IF(SUMIFS($AH$14:$AH$1213,$A$14:$A$1213,$H272)=0,"Yes","No")))</f>
        <v/>
      </c>
      <c r="M272" s="25">
        <f>IF($H272="","",IF(COUNTIFS($A$14:$A$1213,$H272,$F$14:$F$1213,"&gt;=0")&lt;2,"—",IF(COUNTIFS($A$14:$A$1213,$H272,$F$14:$F$1213,_xlfn.MAXIFS($F$14:$F$1213,$A$14:$A$1213,$H272))&gt;1,"No",IF(NOT(ISNUMBER($AN272)),"—",IF((2*(1-NORMSDIST(ABS($AN272))))&lt;0.05,"Yes","No")))))</f>
        <v/>
      </c>
      <c r="N272" s="21">
        <f>IF($H272="","",IF(NOT(ISNUMBER($AN272)),"—",IF((2*(1-NORMSDIST(ABS($AN272))))&lt;0.001,"&lt;0.001",TEXT((2*(1-NORMSDIST(ABS($AN272)))),"0.000"))))</f>
        <v/>
      </c>
      <c r="P272" s="26" t="n"/>
      <c r="Q272" s="26" t="n"/>
      <c r="R272" s="26" t="n"/>
      <c r="S272" s="26" t="n"/>
      <c r="T272" s="26" t="n"/>
      <c r="V272" s="27">
        <f>IF(ISNUMBER($C272),COUNTIFS($A$14:$A$1213,$A272,$C$14:$C$1213,"&gt;"&amp;$C272)+(COUNTIFS($A$14:$A$1213,$A272,$C$14:$C$1213,"="&amp;$C272)+1)/2,"")</f>
        <v/>
      </c>
      <c r="W272" s="27">
        <f>IF(ISNUMBER($F272),COUNTIFS($A$14:$A$1213,$A272,$F$14:$F$1213,"&gt;"&amp;$F272)+(COUNTIFS($A$14:$A$1213,$A272,$F$14:$F$1213,"="&amp;$F272)+1)/2,"")</f>
        <v/>
      </c>
      <c r="X272" s="27">
        <f>IF(OR(NOT(ISNUMBER($V272)),$AO272=1),"",$V272-(COUNTIFS($A$14:$A$1213,$A272,$C$14:$C$1213,"&gt;=0")+1)/2)</f>
        <v/>
      </c>
      <c r="Y272" s="27">
        <f>IF(OR(NOT(ISNUMBER($W272)),$AO272=1),"",$W272-(COUNTIFS($A$14:$A$1213,$A272,$F$14:$F$1213,"&gt;=0")+1)/2)</f>
        <v/>
      </c>
      <c r="Z272" s="27">
        <f>IF(ISNUMBER($V272),$A272&amp;"|"&amp;$V272,"")</f>
        <v/>
      </c>
      <c r="AA272" s="27">
        <f>IF(ISNUMBER($W272),$A272&amp;"|"&amp;$W272,"")</f>
        <v/>
      </c>
      <c r="AB272" s="27">
        <f>IF(ISNUMBER($F272),$A272&amp;"|"&amp;$F272,"")</f>
        <v/>
      </c>
      <c r="AC272" s="27">
        <f>IF(ISNUMBER($P272),COUNTIFS($A$14:$A$1213,$A272,$P$14:$P$1213,"&gt;"&amp;$P272)+(COUNTIFS($A$14:$A$1213,$A272,$P$14:$P$1213,"="&amp;$P272)+1)/2,"")</f>
        <v/>
      </c>
      <c r="AD272" s="27">
        <f>IF(ISNUMBER($Q272),COUNTIFS($A$14:$A$1213,$A272,$Q$14:$Q$1213,"&gt;"&amp;$Q272)+(COUNTIFS($A$14:$A$1213,$A272,$Q$14:$Q$1213,"="&amp;$Q272)+1)/2,"")</f>
        <v/>
      </c>
      <c r="AE272" s="27">
        <f>IF(ISNUMBER($R272),COUNTIFS($A$14:$A$1213,$A272,$R$14:$R$1213,"&gt;"&amp;$R272)+(COUNTIFS($A$14:$A$1213,$A272,$R$14:$R$1213,"="&amp;$R272)+1)/2,"")</f>
        <v/>
      </c>
      <c r="AF272" s="27">
        <f>IF(ISNUMBER($S272),COUNTIFS($A$14:$A$1213,$A272,$S$14:$S$1213,"&gt;"&amp;$S272)+(COUNTIFS($A$14:$A$1213,$A272,$S$14:$S$1213,"="&amp;$S272)+1)/2,"")</f>
        <v/>
      </c>
      <c r="AG272" s="27">
        <f>IF(ISNUMBER($T272),COUNTIFS($A$14:$A$1213,$A272,$T$14:$T$1213,"&gt;"&amp;$T272)+(COUNTIFS($A$14:$A$1213,$A272,$T$14:$T$1213,"="&amp;$T272)+1)/2,"")</f>
        <v/>
      </c>
      <c r="AH272" s="27">
        <f>IF(COUNT($AC272:$AG272)&lt;2,"",IF(MAX($AC272:$AG272)=MIN($AC272:$AG272),0,1))</f>
        <v/>
      </c>
      <c r="AI272" s="27">
        <f>IF($A272="","",IF(COUNTIF($A$14:$A272,$A272)=1,COUNTIF($AI$13:AI271,"&gt;0")+1,""))</f>
        <v/>
      </c>
      <c r="AJ272" s="27">
        <f>IF(OR($H272="",COUNTIFS($A$14:$A$1213,$H272,$F$14:$F$1213,"&gt;=0")&lt;2,COUNTIFS($A$14:$A$1213,$H272,$F$14:$F$1213,_xlfn.MAXIFS($F$14:$F$1213,$A$14:$A$1213,$H272))&gt;1),"",IFERROR(INDEX($D$14:$D$1213,MATCH($H272&amp;"|"&amp;_xlfn.MAXIFS($F$14:$F$1213,$A$14:$A$1213,$H272),$AB$14:$AB$1213,0)),""))</f>
        <v/>
      </c>
      <c r="AK272" s="27">
        <f>IF(OR($H272="",COUNTIFS($A$14:$A$1213,$H272,$F$14:$F$1213,"&gt;=0")&lt;2,COUNTIFS($A$14:$A$1213,$H272,$F$14:$F$1213,_xlfn.MAXIFS($F$14:$F$1213,$A$14:$A$1213,$H272))&gt;1),"",IFERROR(INDEX($E$14:$E$1213,MATCH($H272&amp;"|"&amp;_xlfn.MAXIFS($F$14:$F$1213,$A$14:$A$1213,$H272),$AB$14:$AB$1213,0)),""))</f>
        <v/>
      </c>
      <c r="AL272" s="27">
        <f>IF(OR($H272="",COUNTIFS($A$14:$A$1213,$H272,$F$14:$F$1213,"&gt;=0")&lt;2,COUNTIFS($A$14:$A$1213,$H272,$F$14:$F$1213,_xlfn.MAXIFS($F$14:$F$1213,$A$14:$A$1213,$H272))&gt;1),"",IFERROR(INDEX($D$14:$D$1213,MATCH($H272&amp;"|"&amp;_xlfn.MAXIFS($F$14:$F$1213,$A$14:$A$1213,$H272,$F$14:$F$1213,"&lt;"&amp;_xlfn.MAXIFS($F$14:$F$1213,$A$14:$A$1213,$H272)),$AB$14:$AB$1213,0)),""))</f>
        <v/>
      </c>
      <c r="AM272" s="27">
        <f>IF(OR($H272="",COUNTIFS($A$14:$A$1213,$H272,$F$14:$F$1213,"&gt;=0")&lt;2,COUNTIFS($A$14:$A$1213,$H272,$F$14:$F$1213,_xlfn.MAXIFS($F$14:$F$1213,$A$14:$A$1213,$H272))&gt;1),"",IFERROR(INDEX($E$14:$E$1213,MATCH($H272&amp;"|"&amp;_xlfn.MAXIFS($F$14:$F$1213,$A$14:$A$1213,$H272,$F$14:$F$1213,"&lt;"&amp;_xlfn.MAXIFS($F$14:$F$1213,$A$14:$A$1213,$H272)),$AB$14:$AB$1213,0)),""))</f>
        <v/>
      </c>
      <c r="AN272" s="27">
        <f>IF(OR(NOT(ISNUMBER($AJ272)),NOT(ISNUMBER($AL272)),$AK272=0,$AM272=0),"",IF(OR((($AJ272+$AL272)/($AK272+$AM272))&lt;=0,(($AJ272+$AL272)/($AK272+$AM272))&gt;=1),"",($AJ272/$AK272-$AL272/$AM272)/SQRT((($AJ272+$AL272)/($AK272+$AM272))*(1-(($AJ272+$AL272)/($AK272+$AM272)))*(1/$AK272+1/$AM272))))</f>
        <v/>
      </c>
      <c r="AO272" s="27">
        <f>IF($A272="","",IF(AND(COUNTIFS($A$14:$A$1213,$A272,$F$14:$F$1213,"&gt;=0")=2,IFERROR(INDEX($M$14:$M$313,MATCH($A272,$H$14:$H$313,0)),"Yes")&lt;&gt;"Yes"),1,0))</f>
        <v/>
      </c>
    </row>
    <row r="273" ht="24" customHeight="1">
      <c r="A273" s="19">
        <f>IF('Enter messages'!A273="","",'Enter messages'!A273)</f>
        <v/>
      </c>
      <c r="B273" s="20">
        <f>IF('Enter messages'!B273="","",'Enter messages'!B273)</f>
        <v/>
      </c>
      <c r="C273" s="21">
        <f>IFERROR(AVERAGE(P273:T273),"")</f>
        <v/>
      </c>
      <c r="D273" s="29" t="n"/>
      <c r="E273" s="29" t="n"/>
      <c r="F273" s="30">
        <f>IF(AND(ISNUMBER($D273),ISNUMBER($E273),$E273&gt;0,$D273&lt;=$E273),$D273/$E273,"")</f>
        <v/>
      </c>
      <c r="H273" s="19">
        <f>IFERROR(INDEX($A$14:$A$1213,MATCH(260,$AI$14:$AI$1213,0)),"")</f>
        <v/>
      </c>
      <c r="I273" s="24">
        <f>IF($H273="","",IF(COUNTIFS($A$14:$A$1213,$H273,$C$14:$C$1213,"&gt;=0")=0,"—",IFERROR(INDEX($B$14:$B$1213,MATCH($H273&amp;"|1",$Z$14:$Z$1213,0)),"(tied)")))</f>
        <v/>
      </c>
      <c r="J273" s="25">
        <f>IF($H273="","",IF(OR(COUNTIFS($A$14:$A$1213,$H273,$C$14:$C$1213,"&gt;=0")=0,COUNTIFS($A$14:$A$1213,$H273,$F$14:$F$1213,"&gt;=0")=0),"—",IF(OR(ISERROR(MATCH($H273&amp;"|1",$Z$14:$Z$1213,0)),ISERROR(MATCH($H273&amp;"|1",$AA$14:$AA$1213,0))),"Tie",IF(MATCH($H273&amp;"|1",$Z$14:$Z$1213,0)=MATCH($H273&amp;"|1",$AA$14:$AA$1213,0),"Hit","Miss"))))</f>
        <v/>
      </c>
      <c r="K273" s="24">
        <f>IF($H273="","",IF(COUNTIFS($A$14:$A$1213,$H273,$F$14:$F$1213,"&gt;=0")=0,"—",IFERROR(INDEX($B$14:$B$1213,MATCH($H273&amp;"|1",$AA$14:$AA$1213,0)),"(tied)")))</f>
        <v/>
      </c>
      <c r="L273" s="25">
        <f>IF($H273="","",IF((--(COUNTIFS($A$14:$A$1213,$H273,$P$14:$P$1213,"&gt;=0")&gt;0)+--(COUNTIFS($A$14:$A$1213,$H273,$Q$14:$Q$1213,"&gt;=0")&gt;0)+--(COUNTIFS($A$14:$A$1213,$H273,$R$14:$R$1213,"&gt;=0")&gt;0)+--(COUNTIFS($A$14:$A$1213,$H273,$S$14:$S$1213,"&gt;=0")&gt;0)+--(COUNTIFS($A$14:$A$1213,$H273,$T$14:$T$1213,"&gt;=0")&gt;0))&lt;2,"—",IF(SUMIFS($AH$14:$AH$1213,$A$14:$A$1213,$H273)=0,"Yes","No")))</f>
        <v/>
      </c>
      <c r="M273" s="25">
        <f>IF($H273="","",IF(COUNTIFS($A$14:$A$1213,$H273,$F$14:$F$1213,"&gt;=0")&lt;2,"—",IF(COUNTIFS($A$14:$A$1213,$H273,$F$14:$F$1213,_xlfn.MAXIFS($F$14:$F$1213,$A$14:$A$1213,$H273))&gt;1,"No",IF(NOT(ISNUMBER($AN273)),"—",IF((2*(1-NORMSDIST(ABS($AN273))))&lt;0.05,"Yes","No")))))</f>
        <v/>
      </c>
      <c r="N273" s="21">
        <f>IF($H273="","",IF(NOT(ISNUMBER($AN273)),"—",IF((2*(1-NORMSDIST(ABS($AN273))))&lt;0.001,"&lt;0.001",TEXT((2*(1-NORMSDIST(ABS($AN273)))),"0.000"))))</f>
        <v/>
      </c>
      <c r="P273" s="26" t="n"/>
      <c r="Q273" s="26" t="n"/>
      <c r="R273" s="26" t="n"/>
      <c r="S273" s="26" t="n"/>
      <c r="T273" s="26" t="n"/>
      <c r="V273" s="27">
        <f>IF(ISNUMBER($C273),COUNTIFS($A$14:$A$1213,$A273,$C$14:$C$1213,"&gt;"&amp;$C273)+(COUNTIFS($A$14:$A$1213,$A273,$C$14:$C$1213,"="&amp;$C273)+1)/2,"")</f>
        <v/>
      </c>
      <c r="W273" s="27">
        <f>IF(ISNUMBER($F273),COUNTIFS($A$14:$A$1213,$A273,$F$14:$F$1213,"&gt;"&amp;$F273)+(COUNTIFS($A$14:$A$1213,$A273,$F$14:$F$1213,"="&amp;$F273)+1)/2,"")</f>
        <v/>
      </c>
      <c r="X273" s="27">
        <f>IF(OR(NOT(ISNUMBER($V273)),$AO273=1),"",$V273-(COUNTIFS($A$14:$A$1213,$A273,$C$14:$C$1213,"&gt;=0")+1)/2)</f>
        <v/>
      </c>
      <c r="Y273" s="27">
        <f>IF(OR(NOT(ISNUMBER($W273)),$AO273=1),"",$W273-(COUNTIFS($A$14:$A$1213,$A273,$F$14:$F$1213,"&gt;=0")+1)/2)</f>
        <v/>
      </c>
      <c r="Z273" s="27">
        <f>IF(ISNUMBER($V273),$A273&amp;"|"&amp;$V273,"")</f>
        <v/>
      </c>
      <c r="AA273" s="27">
        <f>IF(ISNUMBER($W273),$A273&amp;"|"&amp;$W273,"")</f>
        <v/>
      </c>
      <c r="AB273" s="27">
        <f>IF(ISNUMBER($F273),$A273&amp;"|"&amp;$F273,"")</f>
        <v/>
      </c>
      <c r="AC273" s="27">
        <f>IF(ISNUMBER($P273),COUNTIFS($A$14:$A$1213,$A273,$P$14:$P$1213,"&gt;"&amp;$P273)+(COUNTIFS($A$14:$A$1213,$A273,$P$14:$P$1213,"="&amp;$P273)+1)/2,"")</f>
        <v/>
      </c>
      <c r="AD273" s="27">
        <f>IF(ISNUMBER($Q273),COUNTIFS($A$14:$A$1213,$A273,$Q$14:$Q$1213,"&gt;"&amp;$Q273)+(COUNTIFS($A$14:$A$1213,$A273,$Q$14:$Q$1213,"="&amp;$Q273)+1)/2,"")</f>
        <v/>
      </c>
      <c r="AE273" s="27">
        <f>IF(ISNUMBER($R273),COUNTIFS($A$14:$A$1213,$A273,$R$14:$R$1213,"&gt;"&amp;$R273)+(COUNTIFS($A$14:$A$1213,$A273,$R$14:$R$1213,"="&amp;$R273)+1)/2,"")</f>
        <v/>
      </c>
      <c r="AF273" s="27">
        <f>IF(ISNUMBER($S273),COUNTIFS($A$14:$A$1213,$A273,$S$14:$S$1213,"&gt;"&amp;$S273)+(COUNTIFS($A$14:$A$1213,$A273,$S$14:$S$1213,"="&amp;$S273)+1)/2,"")</f>
        <v/>
      </c>
      <c r="AG273" s="27">
        <f>IF(ISNUMBER($T273),COUNTIFS($A$14:$A$1213,$A273,$T$14:$T$1213,"&gt;"&amp;$T273)+(COUNTIFS($A$14:$A$1213,$A273,$T$14:$T$1213,"="&amp;$T273)+1)/2,"")</f>
        <v/>
      </c>
      <c r="AH273" s="27">
        <f>IF(COUNT($AC273:$AG273)&lt;2,"",IF(MAX($AC273:$AG273)=MIN($AC273:$AG273),0,1))</f>
        <v/>
      </c>
      <c r="AI273" s="27">
        <f>IF($A273="","",IF(COUNTIF($A$14:$A273,$A273)=1,COUNTIF($AI$13:AI272,"&gt;0")+1,""))</f>
        <v/>
      </c>
      <c r="AJ273" s="27">
        <f>IF(OR($H273="",COUNTIFS($A$14:$A$1213,$H273,$F$14:$F$1213,"&gt;=0")&lt;2,COUNTIFS($A$14:$A$1213,$H273,$F$14:$F$1213,_xlfn.MAXIFS($F$14:$F$1213,$A$14:$A$1213,$H273))&gt;1),"",IFERROR(INDEX($D$14:$D$1213,MATCH($H273&amp;"|"&amp;_xlfn.MAXIFS($F$14:$F$1213,$A$14:$A$1213,$H273),$AB$14:$AB$1213,0)),""))</f>
        <v/>
      </c>
      <c r="AK273" s="27">
        <f>IF(OR($H273="",COUNTIFS($A$14:$A$1213,$H273,$F$14:$F$1213,"&gt;=0")&lt;2,COUNTIFS($A$14:$A$1213,$H273,$F$14:$F$1213,_xlfn.MAXIFS($F$14:$F$1213,$A$14:$A$1213,$H273))&gt;1),"",IFERROR(INDEX($E$14:$E$1213,MATCH($H273&amp;"|"&amp;_xlfn.MAXIFS($F$14:$F$1213,$A$14:$A$1213,$H273),$AB$14:$AB$1213,0)),""))</f>
        <v/>
      </c>
      <c r="AL273" s="27">
        <f>IF(OR($H273="",COUNTIFS($A$14:$A$1213,$H273,$F$14:$F$1213,"&gt;=0")&lt;2,COUNTIFS($A$14:$A$1213,$H273,$F$14:$F$1213,_xlfn.MAXIFS($F$14:$F$1213,$A$14:$A$1213,$H273))&gt;1),"",IFERROR(INDEX($D$14:$D$1213,MATCH($H273&amp;"|"&amp;_xlfn.MAXIFS($F$14:$F$1213,$A$14:$A$1213,$H273,$F$14:$F$1213,"&lt;"&amp;_xlfn.MAXIFS($F$14:$F$1213,$A$14:$A$1213,$H273)),$AB$14:$AB$1213,0)),""))</f>
        <v/>
      </c>
      <c r="AM273" s="27">
        <f>IF(OR($H273="",COUNTIFS($A$14:$A$1213,$H273,$F$14:$F$1213,"&gt;=0")&lt;2,COUNTIFS($A$14:$A$1213,$H273,$F$14:$F$1213,_xlfn.MAXIFS($F$14:$F$1213,$A$14:$A$1213,$H273))&gt;1),"",IFERROR(INDEX($E$14:$E$1213,MATCH($H273&amp;"|"&amp;_xlfn.MAXIFS($F$14:$F$1213,$A$14:$A$1213,$H273,$F$14:$F$1213,"&lt;"&amp;_xlfn.MAXIFS($F$14:$F$1213,$A$14:$A$1213,$H273)),$AB$14:$AB$1213,0)),""))</f>
        <v/>
      </c>
      <c r="AN273" s="27">
        <f>IF(OR(NOT(ISNUMBER($AJ273)),NOT(ISNUMBER($AL273)),$AK273=0,$AM273=0),"",IF(OR((($AJ273+$AL273)/($AK273+$AM273))&lt;=0,(($AJ273+$AL273)/($AK273+$AM273))&gt;=1),"",($AJ273/$AK273-$AL273/$AM273)/SQRT((($AJ273+$AL273)/($AK273+$AM273))*(1-(($AJ273+$AL273)/($AK273+$AM273)))*(1/$AK273+1/$AM273))))</f>
        <v/>
      </c>
      <c r="AO273" s="27">
        <f>IF($A273="","",IF(AND(COUNTIFS($A$14:$A$1213,$A273,$F$14:$F$1213,"&gt;=0")=2,IFERROR(INDEX($M$14:$M$313,MATCH($A273,$H$14:$H$313,0)),"Yes")&lt;&gt;"Yes"),1,0))</f>
        <v/>
      </c>
    </row>
    <row r="274" ht="24" customHeight="1">
      <c r="A274" s="19">
        <f>IF('Enter messages'!A274="","",'Enter messages'!A274)</f>
        <v/>
      </c>
      <c r="B274" s="20">
        <f>IF('Enter messages'!B274="","",'Enter messages'!B274)</f>
        <v/>
      </c>
      <c r="C274" s="21">
        <f>IFERROR(AVERAGE(P274:T274),"")</f>
        <v/>
      </c>
      <c r="D274" s="29" t="n"/>
      <c r="E274" s="29" t="n"/>
      <c r="F274" s="30">
        <f>IF(AND(ISNUMBER($D274),ISNUMBER($E274),$E274&gt;0,$D274&lt;=$E274),$D274/$E274,"")</f>
        <v/>
      </c>
      <c r="H274" s="19">
        <f>IFERROR(INDEX($A$14:$A$1213,MATCH(261,$AI$14:$AI$1213,0)),"")</f>
        <v/>
      </c>
      <c r="I274" s="24">
        <f>IF($H274="","",IF(COUNTIFS($A$14:$A$1213,$H274,$C$14:$C$1213,"&gt;=0")=0,"—",IFERROR(INDEX($B$14:$B$1213,MATCH($H274&amp;"|1",$Z$14:$Z$1213,0)),"(tied)")))</f>
        <v/>
      </c>
      <c r="J274" s="25">
        <f>IF($H274="","",IF(OR(COUNTIFS($A$14:$A$1213,$H274,$C$14:$C$1213,"&gt;=0")=0,COUNTIFS($A$14:$A$1213,$H274,$F$14:$F$1213,"&gt;=0")=0),"—",IF(OR(ISERROR(MATCH($H274&amp;"|1",$Z$14:$Z$1213,0)),ISERROR(MATCH($H274&amp;"|1",$AA$14:$AA$1213,0))),"Tie",IF(MATCH($H274&amp;"|1",$Z$14:$Z$1213,0)=MATCH($H274&amp;"|1",$AA$14:$AA$1213,0),"Hit","Miss"))))</f>
        <v/>
      </c>
      <c r="K274" s="24">
        <f>IF($H274="","",IF(COUNTIFS($A$14:$A$1213,$H274,$F$14:$F$1213,"&gt;=0")=0,"—",IFERROR(INDEX($B$14:$B$1213,MATCH($H274&amp;"|1",$AA$14:$AA$1213,0)),"(tied)")))</f>
        <v/>
      </c>
      <c r="L274" s="25">
        <f>IF($H274="","",IF((--(COUNTIFS($A$14:$A$1213,$H274,$P$14:$P$1213,"&gt;=0")&gt;0)+--(COUNTIFS($A$14:$A$1213,$H274,$Q$14:$Q$1213,"&gt;=0")&gt;0)+--(COUNTIFS($A$14:$A$1213,$H274,$R$14:$R$1213,"&gt;=0")&gt;0)+--(COUNTIFS($A$14:$A$1213,$H274,$S$14:$S$1213,"&gt;=0")&gt;0)+--(COUNTIFS($A$14:$A$1213,$H274,$T$14:$T$1213,"&gt;=0")&gt;0))&lt;2,"—",IF(SUMIFS($AH$14:$AH$1213,$A$14:$A$1213,$H274)=0,"Yes","No")))</f>
        <v/>
      </c>
      <c r="M274" s="25">
        <f>IF($H274="","",IF(COUNTIFS($A$14:$A$1213,$H274,$F$14:$F$1213,"&gt;=0")&lt;2,"—",IF(COUNTIFS($A$14:$A$1213,$H274,$F$14:$F$1213,_xlfn.MAXIFS($F$14:$F$1213,$A$14:$A$1213,$H274))&gt;1,"No",IF(NOT(ISNUMBER($AN274)),"—",IF((2*(1-NORMSDIST(ABS($AN274))))&lt;0.05,"Yes","No")))))</f>
        <v/>
      </c>
      <c r="N274" s="21">
        <f>IF($H274="","",IF(NOT(ISNUMBER($AN274)),"—",IF((2*(1-NORMSDIST(ABS($AN274))))&lt;0.001,"&lt;0.001",TEXT((2*(1-NORMSDIST(ABS($AN274)))),"0.000"))))</f>
        <v/>
      </c>
      <c r="P274" s="26" t="n"/>
      <c r="Q274" s="26" t="n"/>
      <c r="R274" s="26" t="n"/>
      <c r="S274" s="26" t="n"/>
      <c r="T274" s="26" t="n"/>
      <c r="V274" s="27">
        <f>IF(ISNUMBER($C274),COUNTIFS($A$14:$A$1213,$A274,$C$14:$C$1213,"&gt;"&amp;$C274)+(COUNTIFS($A$14:$A$1213,$A274,$C$14:$C$1213,"="&amp;$C274)+1)/2,"")</f>
        <v/>
      </c>
      <c r="W274" s="27">
        <f>IF(ISNUMBER($F274),COUNTIFS($A$14:$A$1213,$A274,$F$14:$F$1213,"&gt;"&amp;$F274)+(COUNTIFS($A$14:$A$1213,$A274,$F$14:$F$1213,"="&amp;$F274)+1)/2,"")</f>
        <v/>
      </c>
      <c r="X274" s="27">
        <f>IF(OR(NOT(ISNUMBER($V274)),$AO274=1),"",$V274-(COUNTIFS($A$14:$A$1213,$A274,$C$14:$C$1213,"&gt;=0")+1)/2)</f>
        <v/>
      </c>
      <c r="Y274" s="27">
        <f>IF(OR(NOT(ISNUMBER($W274)),$AO274=1),"",$W274-(COUNTIFS($A$14:$A$1213,$A274,$F$14:$F$1213,"&gt;=0")+1)/2)</f>
        <v/>
      </c>
      <c r="Z274" s="27">
        <f>IF(ISNUMBER($V274),$A274&amp;"|"&amp;$V274,"")</f>
        <v/>
      </c>
      <c r="AA274" s="27">
        <f>IF(ISNUMBER($W274),$A274&amp;"|"&amp;$W274,"")</f>
        <v/>
      </c>
      <c r="AB274" s="27">
        <f>IF(ISNUMBER($F274),$A274&amp;"|"&amp;$F274,"")</f>
        <v/>
      </c>
      <c r="AC274" s="27">
        <f>IF(ISNUMBER($P274),COUNTIFS($A$14:$A$1213,$A274,$P$14:$P$1213,"&gt;"&amp;$P274)+(COUNTIFS($A$14:$A$1213,$A274,$P$14:$P$1213,"="&amp;$P274)+1)/2,"")</f>
        <v/>
      </c>
      <c r="AD274" s="27">
        <f>IF(ISNUMBER($Q274),COUNTIFS($A$14:$A$1213,$A274,$Q$14:$Q$1213,"&gt;"&amp;$Q274)+(COUNTIFS($A$14:$A$1213,$A274,$Q$14:$Q$1213,"="&amp;$Q274)+1)/2,"")</f>
        <v/>
      </c>
      <c r="AE274" s="27">
        <f>IF(ISNUMBER($R274),COUNTIFS($A$14:$A$1213,$A274,$R$14:$R$1213,"&gt;"&amp;$R274)+(COUNTIFS($A$14:$A$1213,$A274,$R$14:$R$1213,"="&amp;$R274)+1)/2,"")</f>
        <v/>
      </c>
      <c r="AF274" s="27">
        <f>IF(ISNUMBER($S274),COUNTIFS($A$14:$A$1213,$A274,$S$14:$S$1213,"&gt;"&amp;$S274)+(COUNTIFS($A$14:$A$1213,$A274,$S$14:$S$1213,"="&amp;$S274)+1)/2,"")</f>
        <v/>
      </c>
      <c r="AG274" s="27">
        <f>IF(ISNUMBER($T274),COUNTIFS($A$14:$A$1213,$A274,$T$14:$T$1213,"&gt;"&amp;$T274)+(COUNTIFS($A$14:$A$1213,$A274,$T$14:$T$1213,"="&amp;$T274)+1)/2,"")</f>
        <v/>
      </c>
      <c r="AH274" s="27">
        <f>IF(COUNT($AC274:$AG274)&lt;2,"",IF(MAX($AC274:$AG274)=MIN($AC274:$AG274),0,1))</f>
        <v/>
      </c>
      <c r="AI274" s="27">
        <f>IF($A274="","",IF(COUNTIF($A$14:$A274,$A274)=1,COUNTIF($AI$13:AI273,"&gt;0")+1,""))</f>
        <v/>
      </c>
      <c r="AJ274" s="27">
        <f>IF(OR($H274="",COUNTIFS($A$14:$A$1213,$H274,$F$14:$F$1213,"&gt;=0")&lt;2,COUNTIFS($A$14:$A$1213,$H274,$F$14:$F$1213,_xlfn.MAXIFS($F$14:$F$1213,$A$14:$A$1213,$H274))&gt;1),"",IFERROR(INDEX($D$14:$D$1213,MATCH($H274&amp;"|"&amp;_xlfn.MAXIFS($F$14:$F$1213,$A$14:$A$1213,$H274),$AB$14:$AB$1213,0)),""))</f>
        <v/>
      </c>
      <c r="AK274" s="27">
        <f>IF(OR($H274="",COUNTIFS($A$14:$A$1213,$H274,$F$14:$F$1213,"&gt;=0")&lt;2,COUNTIFS($A$14:$A$1213,$H274,$F$14:$F$1213,_xlfn.MAXIFS($F$14:$F$1213,$A$14:$A$1213,$H274))&gt;1),"",IFERROR(INDEX($E$14:$E$1213,MATCH($H274&amp;"|"&amp;_xlfn.MAXIFS($F$14:$F$1213,$A$14:$A$1213,$H274),$AB$14:$AB$1213,0)),""))</f>
        <v/>
      </c>
      <c r="AL274" s="27">
        <f>IF(OR($H274="",COUNTIFS($A$14:$A$1213,$H274,$F$14:$F$1213,"&gt;=0")&lt;2,COUNTIFS($A$14:$A$1213,$H274,$F$14:$F$1213,_xlfn.MAXIFS($F$14:$F$1213,$A$14:$A$1213,$H274))&gt;1),"",IFERROR(INDEX($D$14:$D$1213,MATCH($H274&amp;"|"&amp;_xlfn.MAXIFS($F$14:$F$1213,$A$14:$A$1213,$H274,$F$14:$F$1213,"&lt;"&amp;_xlfn.MAXIFS($F$14:$F$1213,$A$14:$A$1213,$H274)),$AB$14:$AB$1213,0)),""))</f>
        <v/>
      </c>
      <c r="AM274" s="27">
        <f>IF(OR($H274="",COUNTIFS($A$14:$A$1213,$H274,$F$14:$F$1213,"&gt;=0")&lt;2,COUNTIFS($A$14:$A$1213,$H274,$F$14:$F$1213,_xlfn.MAXIFS($F$14:$F$1213,$A$14:$A$1213,$H274))&gt;1),"",IFERROR(INDEX($E$14:$E$1213,MATCH($H274&amp;"|"&amp;_xlfn.MAXIFS($F$14:$F$1213,$A$14:$A$1213,$H274,$F$14:$F$1213,"&lt;"&amp;_xlfn.MAXIFS($F$14:$F$1213,$A$14:$A$1213,$H274)),$AB$14:$AB$1213,0)),""))</f>
        <v/>
      </c>
      <c r="AN274" s="27">
        <f>IF(OR(NOT(ISNUMBER($AJ274)),NOT(ISNUMBER($AL274)),$AK274=0,$AM274=0),"",IF(OR((($AJ274+$AL274)/($AK274+$AM274))&lt;=0,(($AJ274+$AL274)/($AK274+$AM274))&gt;=1),"",($AJ274/$AK274-$AL274/$AM274)/SQRT((($AJ274+$AL274)/($AK274+$AM274))*(1-(($AJ274+$AL274)/($AK274+$AM274)))*(1/$AK274+1/$AM274))))</f>
        <v/>
      </c>
      <c r="AO274" s="27">
        <f>IF($A274="","",IF(AND(COUNTIFS($A$14:$A$1213,$A274,$F$14:$F$1213,"&gt;=0")=2,IFERROR(INDEX($M$14:$M$313,MATCH($A274,$H$14:$H$313,0)),"Yes")&lt;&gt;"Yes"),1,0))</f>
        <v/>
      </c>
    </row>
    <row r="275" ht="24" customHeight="1">
      <c r="A275" s="19">
        <f>IF('Enter messages'!A275="","",'Enter messages'!A275)</f>
        <v/>
      </c>
      <c r="B275" s="20">
        <f>IF('Enter messages'!B275="","",'Enter messages'!B275)</f>
        <v/>
      </c>
      <c r="C275" s="21">
        <f>IFERROR(AVERAGE(P275:T275),"")</f>
        <v/>
      </c>
      <c r="D275" s="29" t="n"/>
      <c r="E275" s="29" t="n"/>
      <c r="F275" s="30">
        <f>IF(AND(ISNUMBER($D275),ISNUMBER($E275),$E275&gt;0,$D275&lt;=$E275),$D275/$E275,"")</f>
        <v/>
      </c>
      <c r="H275" s="19">
        <f>IFERROR(INDEX($A$14:$A$1213,MATCH(262,$AI$14:$AI$1213,0)),"")</f>
        <v/>
      </c>
      <c r="I275" s="24">
        <f>IF($H275="","",IF(COUNTIFS($A$14:$A$1213,$H275,$C$14:$C$1213,"&gt;=0")=0,"—",IFERROR(INDEX($B$14:$B$1213,MATCH($H275&amp;"|1",$Z$14:$Z$1213,0)),"(tied)")))</f>
        <v/>
      </c>
      <c r="J275" s="25">
        <f>IF($H275="","",IF(OR(COUNTIFS($A$14:$A$1213,$H275,$C$14:$C$1213,"&gt;=0")=0,COUNTIFS($A$14:$A$1213,$H275,$F$14:$F$1213,"&gt;=0")=0),"—",IF(OR(ISERROR(MATCH($H275&amp;"|1",$Z$14:$Z$1213,0)),ISERROR(MATCH($H275&amp;"|1",$AA$14:$AA$1213,0))),"Tie",IF(MATCH($H275&amp;"|1",$Z$14:$Z$1213,0)=MATCH($H275&amp;"|1",$AA$14:$AA$1213,0),"Hit","Miss"))))</f>
        <v/>
      </c>
      <c r="K275" s="24">
        <f>IF($H275="","",IF(COUNTIFS($A$14:$A$1213,$H275,$F$14:$F$1213,"&gt;=0")=0,"—",IFERROR(INDEX($B$14:$B$1213,MATCH($H275&amp;"|1",$AA$14:$AA$1213,0)),"(tied)")))</f>
        <v/>
      </c>
      <c r="L275" s="25">
        <f>IF($H275="","",IF((--(COUNTIFS($A$14:$A$1213,$H275,$P$14:$P$1213,"&gt;=0")&gt;0)+--(COUNTIFS($A$14:$A$1213,$H275,$Q$14:$Q$1213,"&gt;=0")&gt;0)+--(COUNTIFS($A$14:$A$1213,$H275,$R$14:$R$1213,"&gt;=0")&gt;0)+--(COUNTIFS($A$14:$A$1213,$H275,$S$14:$S$1213,"&gt;=0")&gt;0)+--(COUNTIFS($A$14:$A$1213,$H275,$T$14:$T$1213,"&gt;=0")&gt;0))&lt;2,"—",IF(SUMIFS($AH$14:$AH$1213,$A$14:$A$1213,$H275)=0,"Yes","No")))</f>
        <v/>
      </c>
      <c r="M275" s="25">
        <f>IF($H275="","",IF(COUNTIFS($A$14:$A$1213,$H275,$F$14:$F$1213,"&gt;=0")&lt;2,"—",IF(COUNTIFS($A$14:$A$1213,$H275,$F$14:$F$1213,_xlfn.MAXIFS($F$14:$F$1213,$A$14:$A$1213,$H275))&gt;1,"No",IF(NOT(ISNUMBER($AN275)),"—",IF((2*(1-NORMSDIST(ABS($AN275))))&lt;0.05,"Yes","No")))))</f>
        <v/>
      </c>
      <c r="N275" s="21">
        <f>IF($H275="","",IF(NOT(ISNUMBER($AN275)),"—",IF((2*(1-NORMSDIST(ABS($AN275))))&lt;0.001,"&lt;0.001",TEXT((2*(1-NORMSDIST(ABS($AN275)))),"0.000"))))</f>
        <v/>
      </c>
      <c r="P275" s="26" t="n"/>
      <c r="Q275" s="26" t="n"/>
      <c r="R275" s="26" t="n"/>
      <c r="S275" s="26" t="n"/>
      <c r="T275" s="26" t="n"/>
      <c r="V275" s="27">
        <f>IF(ISNUMBER($C275),COUNTIFS($A$14:$A$1213,$A275,$C$14:$C$1213,"&gt;"&amp;$C275)+(COUNTIFS($A$14:$A$1213,$A275,$C$14:$C$1213,"="&amp;$C275)+1)/2,"")</f>
        <v/>
      </c>
      <c r="W275" s="27">
        <f>IF(ISNUMBER($F275),COUNTIFS($A$14:$A$1213,$A275,$F$14:$F$1213,"&gt;"&amp;$F275)+(COUNTIFS($A$14:$A$1213,$A275,$F$14:$F$1213,"="&amp;$F275)+1)/2,"")</f>
        <v/>
      </c>
      <c r="X275" s="27">
        <f>IF(OR(NOT(ISNUMBER($V275)),$AO275=1),"",$V275-(COUNTIFS($A$14:$A$1213,$A275,$C$14:$C$1213,"&gt;=0")+1)/2)</f>
        <v/>
      </c>
      <c r="Y275" s="27">
        <f>IF(OR(NOT(ISNUMBER($W275)),$AO275=1),"",$W275-(COUNTIFS($A$14:$A$1213,$A275,$F$14:$F$1213,"&gt;=0")+1)/2)</f>
        <v/>
      </c>
      <c r="Z275" s="27">
        <f>IF(ISNUMBER($V275),$A275&amp;"|"&amp;$V275,"")</f>
        <v/>
      </c>
      <c r="AA275" s="27">
        <f>IF(ISNUMBER($W275),$A275&amp;"|"&amp;$W275,"")</f>
        <v/>
      </c>
      <c r="AB275" s="27">
        <f>IF(ISNUMBER($F275),$A275&amp;"|"&amp;$F275,"")</f>
        <v/>
      </c>
      <c r="AC275" s="27">
        <f>IF(ISNUMBER($P275),COUNTIFS($A$14:$A$1213,$A275,$P$14:$P$1213,"&gt;"&amp;$P275)+(COUNTIFS($A$14:$A$1213,$A275,$P$14:$P$1213,"="&amp;$P275)+1)/2,"")</f>
        <v/>
      </c>
      <c r="AD275" s="27">
        <f>IF(ISNUMBER($Q275),COUNTIFS($A$14:$A$1213,$A275,$Q$14:$Q$1213,"&gt;"&amp;$Q275)+(COUNTIFS($A$14:$A$1213,$A275,$Q$14:$Q$1213,"="&amp;$Q275)+1)/2,"")</f>
        <v/>
      </c>
      <c r="AE275" s="27">
        <f>IF(ISNUMBER($R275),COUNTIFS($A$14:$A$1213,$A275,$R$14:$R$1213,"&gt;"&amp;$R275)+(COUNTIFS($A$14:$A$1213,$A275,$R$14:$R$1213,"="&amp;$R275)+1)/2,"")</f>
        <v/>
      </c>
      <c r="AF275" s="27">
        <f>IF(ISNUMBER($S275),COUNTIFS($A$14:$A$1213,$A275,$S$14:$S$1213,"&gt;"&amp;$S275)+(COUNTIFS($A$14:$A$1213,$A275,$S$14:$S$1213,"="&amp;$S275)+1)/2,"")</f>
        <v/>
      </c>
      <c r="AG275" s="27">
        <f>IF(ISNUMBER($T275),COUNTIFS($A$14:$A$1213,$A275,$T$14:$T$1213,"&gt;"&amp;$T275)+(COUNTIFS($A$14:$A$1213,$A275,$T$14:$T$1213,"="&amp;$T275)+1)/2,"")</f>
        <v/>
      </c>
      <c r="AH275" s="27">
        <f>IF(COUNT($AC275:$AG275)&lt;2,"",IF(MAX($AC275:$AG275)=MIN($AC275:$AG275),0,1))</f>
        <v/>
      </c>
      <c r="AI275" s="27">
        <f>IF($A275="","",IF(COUNTIF($A$14:$A275,$A275)=1,COUNTIF($AI$13:AI274,"&gt;0")+1,""))</f>
        <v/>
      </c>
      <c r="AJ275" s="27">
        <f>IF(OR($H275="",COUNTIFS($A$14:$A$1213,$H275,$F$14:$F$1213,"&gt;=0")&lt;2,COUNTIFS($A$14:$A$1213,$H275,$F$14:$F$1213,_xlfn.MAXIFS($F$14:$F$1213,$A$14:$A$1213,$H275))&gt;1),"",IFERROR(INDEX($D$14:$D$1213,MATCH($H275&amp;"|"&amp;_xlfn.MAXIFS($F$14:$F$1213,$A$14:$A$1213,$H275),$AB$14:$AB$1213,0)),""))</f>
        <v/>
      </c>
      <c r="AK275" s="27">
        <f>IF(OR($H275="",COUNTIFS($A$14:$A$1213,$H275,$F$14:$F$1213,"&gt;=0")&lt;2,COUNTIFS($A$14:$A$1213,$H275,$F$14:$F$1213,_xlfn.MAXIFS($F$14:$F$1213,$A$14:$A$1213,$H275))&gt;1),"",IFERROR(INDEX($E$14:$E$1213,MATCH($H275&amp;"|"&amp;_xlfn.MAXIFS($F$14:$F$1213,$A$14:$A$1213,$H275),$AB$14:$AB$1213,0)),""))</f>
        <v/>
      </c>
      <c r="AL275" s="27">
        <f>IF(OR($H275="",COUNTIFS($A$14:$A$1213,$H275,$F$14:$F$1213,"&gt;=0")&lt;2,COUNTIFS($A$14:$A$1213,$H275,$F$14:$F$1213,_xlfn.MAXIFS($F$14:$F$1213,$A$14:$A$1213,$H275))&gt;1),"",IFERROR(INDEX($D$14:$D$1213,MATCH($H275&amp;"|"&amp;_xlfn.MAXIFS($F$14:$F$1213,$A$14:$A$1213,$H275,$F$14:$F$1213,"&lt;"&amp;_xlfn.MAXIFS($F$14:$F$1213,$A$14:$A$1213,$H275)),$AB$14:$AB$1213,0)),""))</f>
        <v/>
      </c>
      <c r="AM275" s="27">
        <f>IF(OR($H275="",COUNTIFS($A$14:$A$1213,$H275,$F$14:$F$1213,"&gt;=0")&lt;2,COUNTIFS($A$14:$A$1213,$H275,$F$14:$F$1213,_xlfn.MAXIFS($F$14:$F$1213,$A$14:$A$1213,$H275))&gt;1),"",IFERROR(INDEX($E$14:$E$1213,MATCH($H275&amp;"|"&amp;_xlfn.MAXIFS($F$14:$F$1213,$A$14:$A$1213,$H275,$F$14:$F$1213,"&lt;"&amp;_xlfn.MAXIFS($F$14:$F$1213,$A$14:$A$1213,$H275)),$AB$14:$AB$1213,0)),""))</f>
        <v/>
      </c>
      <c r="AN275" s="27">
        <f>IF(OR(NOT(ISNUMBER($AJ275)),NOT(ISNUMBER($AL275)),$AK275=0,$AM275=0),"",IF(OR((($AJ275+$AL275)/($AK275+$AM275))&lt;=0,(($AJ275+$AL275)/($AK275+$AM275))&gt;=1),"",($AJ275/$AK275-$AL275/$AM275)/SQRT((($AJ275+$AL275)/($AK275+$AM275))*(1-(($AJ275+$AL275)/($AK275+$AM275)))*(1/$AK275+1/$AM275))))</f>
        <v/>
      </c>
      <c r="AO275" s="27">
        <f>IF($A275="","",IF(AND(COUNTIFS($A$14:$A$1213,$A275,$F$14:$F$1213,"&gt;=0")=2,IFERROR(INDEX($M$14:$M$313,MATCH($A275,$H$14:$H$313,0)),"Yes")&lt;&gt;"Yes"),1,0))</f>
        <v/>
      </c>
    </row>
    <row r="276" ht="24" customHeight="1">
      <c r="A276" s="19">
        <f>IF('Enter messages'!A276="","",'Enter messages'!A276)</f>
        <v/>
      </c>
      <c r="B276" s="20">
        <f>IF('Enter messages'!B276="","",'Enter messages'!B276)</f>
        <v/>
      </c>
      <c r="C276" s="21">
        <f>IFERROR(AVERAGE(P276:T276),"")</f>
        <v/>
      </c>
      <c r="D276" s="29" t="n"/>
      <c r="E276" s="29" t="n"/>
      <c r="F276" s="30">
        <f>IF(AND(ISNUMBER($D276),ISNUMBER($E276),$E276&gt;0,$D276&lt;=$E276),$D276/$E276,"")</f>
        <v/>
      </c>
      <c r="H276" s="19">
        <f>IFERROR(INDEX($A$14:$A$1213,MATCH(263,$AI$14:$AI$1213,0)),"")</f>
        <v/>
      </c>
      <c r="I276" s="24">
        <f>IF($H276="","",IF(COUNTIFS($A$14:$A$1213,$H276,$C$14:$C$1213,"&gt;=0")=0,"—",IFERROR(INDEX($B$14:$B$1213,MATCH($H276&amp;"|1",$Z$14:$Z$1213,0)),"(tied)")))</f>
        <v/>
      </c>
      <c r="J276" s="25">
        <f>IF($H276="","",IF(OR(COUNTIFS($A$14:$A$1213,$H276,$C$14:$C$1213,"&gt;=0")=0,COUNTIFS($A$14:$A$1213,$H276,$F$14:$F$1213,"&gt;=0")=0),"—",IF(OR(ISERROR(MATCH($H276&amp;"|1",$Z$14:$Z$1213,0)),ISERROR(MATCH($H276&amp;"|1",$AA$14:$AA$1213,0))),"Tie",IF(MATCH($H276&amp;"|1",$Z$14:$Z$1213,0)=MATCH($H276&amp;"|1",$AA$14:$AA$1213,0),"Hit","Miss"))))</f>
        <v/>
      </c>
      <c r="K276" s="24">
        <f>IF($H276="","",IF(COUNTIFS($A$14:$A$1213,$H276,$F$14:$F$1213,"&gt;=0")=0,"—",IFERROR(INDEX($B$14:$B$1213,MATCH($H276&amp;"|1",$AA$14:$AA$1213,0)),"(tied)")))</f>
        <v/>
      </c>
      <c r="L276" s="25">
        <f>IF($H276="","",IF((--(COUNTIFS($A$14:$A$1213,$H276,$P$14:$P$1213,"&gt;=0")&gt;0)+--(COUNTIFS($A$14:$A$1213,$H276,$Q$14:$Q$1213,"&gt;=0")&gt;0)+--(COUNTIFS($A$14:$A$1213,$H276,$R$14:$R$1213,"&gt;=0")&gt;0)+--(COUNTIFS($A$14:$A$1213,$H276,$S$14:$S$1213,"&gt;=0")&gt;0)+--(COUNTIFS($A$14:$A$1213,$H276,$T$14:$T$1213,"&gt;=0")&gt;0))&lt;2,"—",IF(SUMIFS($AH$14:$AH$1213,$A$14:$A$1213,$H276)=0,"Yes","No")))</f>
        <v/>
      </c>
      <c r="M276" s="25">
        <f>IF($H276="","",IF(COUNTIFS($A$14:$A$1213,$H276,$F$14:$F$1213,"&gt;=0")&lt;2,"—",IF(COUNTIFS($A$14:$A$1213,$H276,$F$14:$F$1213,_xlfn.MAXIFS($F$14:$F$1213,$A$14:$A$1213,$H276))&gt;1,"No",IF(NOT(ISNUMBER($AN276)),"—",IF((2*(1-NORMSDIST(ABS($AN276))))&lt;0.05,"Yes","No")))))</f>
        <v/>
      </c>
      <c r="N276" s="21">
        <f>IF($H276="","",IF(NOT(ISNUMBER($AN276)),"—",IF((2*(1-NORMSDIST(ABS($AN276))))&lt;0.001,"&lt;0.001",TEXT((2*(1-NORMSDIST(ABS($AN276)))),"0.000"))))</f>
        <v/>
      </c>
      <c r="P276" s="26" t="n"/>
      <c r="Q276" s="26" t="n"/>
      <c r="R276" s="26" t="n"/>
      <c r="S276" s="26" t="n"/>
      <c r="T276" s="26" t="n"/>
      <c r="V276" s="27">
        <f>IF(ISNUMBER($C276),COUNTIFS($A$14:$A$1213,$A276,$C$14:$C$1213,"&gt;"&amp;$C276)+(COUNTIFS($A$14:$A$1213,$A276,$C$14:$C$1213,"="&amp;$C276)+1)/2,"")</f>
        <v/>
      </c>
      <c r="W276" s="27">
        <f>IF(ISNUMBER($F276),COUNTIFS($A$14:$A$1213,$A276,$F$14:$F$1213,"&gt;"&amp;$F276)+(COUNTIFS($A$14:$A$1213,$A276,$F$14:$F$1213,"="&amp;$F276)+1)/2,"")</f>
        <v/>
      </c>
      <c r="X276" s="27">
        <f>IF(OR(NOT(ISNUMBER($V276)),$AO276=1),"",$V276-(COUNTIFS($A$14:$A$1213,$A276,$C$14:$C$1213,"&gt;=0")+1)/2)</f>
        <v/>
      </c>
      <c r="Y276" s="27">
        <f>IF(OR(NOT(ISNUMBER($W276)),$AO276=1),"",$W276-(COUNTIFS($A$14:$A$1213,$A276,$F$14:$F$1213,"&gt;=0")+1)/2)</f>
        <v/>
      </c>
      <c r="Z276" s="27">
        <f>IF(ISNUMBER($V276),$A276&amp;"|"&amp;$V276,"")</f>
        <v/>
      </c>
      <c r="AA276" s="27">
        <f>IF(ISNUMBER($W276),$A276&amp;"|"&amp;$W276,"")</f>
        <v/>
      </c>
      <c r="AB276" s="27">
        <f>IF(ISNUMBER($F276),$A276&amp;"|"&amp;$F276,"")</f>
        <v/>
      </c>
      <c r="AC276" s="27">
        <f>IF(ISNUMBER($P276),COUNTIFS($A$14:$A$1213,$A276,$P$14:$P$1213,"&gt;"&amp;$P276)+(COUNTIFS($A$14:$A$1213,$A276,$P$14:$P$1213,"="&amp;$P276)+1)/2,"")</f>
        <v/>
      </c>
      <c r="AD276" s="27">
        <f>IF(ISNUMBER($Q276),COUNTIFS($A$14:$A$1213,$A276,$Q$14:$Q$1213,"&gt;"&amp;$Q276)+(COUNTIFS($A$14:$A$1213,$A276,$Q$14:$Q$1213,"="&amp;$Q276)+1)/2,"")</f>
        <v/>
      </c>
      <c r="AE276" s="27">
        <f>IF(ISNUMBER($R276),COUNTIFS($A$14:$A$1213,$A276,$R$14:$R$1213,"&gt;"&amp;$R276)+(COUNTIFS($A$14:$A$1213,$A276,$R$14:$R$1213,"="&amp;$R276)+1)/2,"")</f>
        <v/>
      </c>
      <c r="AF276" s="27">
        <f>IF(ISNUMBER($S276),COUNTIFS($A$14:$A$1213,$A276,$S$14:$S$1213,"&gt;"&amp;$S276)+(COUNTIFS($A$14:$A$1213,$A276,$S$14:$S$1213,"="&amp;$S276)+1)/2,"")</f>
        <v/>
      </c>
      <c r="AG276" s="27">
        <f>IF(ISNUMBER($T276),COUNTIFS($A$14:$A$1213,$A276,$T$14:$T$1213,"&gt;"&amp;$T276)+(COUNTIFS($A$14:$A$1213,$A276,$T$14:$T$1213,"="&amp;$T276)+1)/2,"")</f>
        <v/>
      </c>
      <c r="AH276" s="27">
        <f>IF(COUNT($AC276:$AG276)&lt;2,"",IF(MAX($AC276:$AG276)=MIN($AC276:$AG276),0,1))</f>
        <v/>
      </c>
      <c r="AI276" s="27">
        <f>IF($A276="","",IF(COUNTIF($A$14:$A276,$A276)=1,COUNTIF($AI$13:AI275,"&gt;0")+1,""))</f>
        <v/>
      </c>
      <c r="AJ276" s="27">
        <f>IF(OR($H276="",COUNTIFS($A$14:$A$1213,$H276,$F$14:$F$1213,"&gt;=0")&lt;2,COUNTIFS($A$14:$A$1213,$H276,$F$14:$F$1213,_xlfn.MAXIFS($F$14:$F$1213,$A$14:$A$1213,$H276))&gt;1),"",IFERROR(INDEX($D$14:$D$1213,MATCH($H276&amp;"|"&amp;_xlfn.MAXIFS($F$14:$F$1213,$A$14:$A$1213,$H276),$AB$14:$AB$1213,0)),""))</f>
        <v/>
      </c>
      <c r="AK276" s="27">
        <f>IF(OR($H276="",COUNTIFS($A$14:$A$1213,$H276,$F$14:$F$1213,"&gt;=0")&lt;2,COUNTIFS($A$14:$A$1213,$H276,$F$14:$F$1213,_xlfn.MAXIFS($F$14:$F$1213,$A$14:$A$1213,$H276))&gt;1),"",IFERROR(INDEX($E$14:$E$1213,MATCH($H276&amp;"|"&amp;_xlfn.MAXIFS($F$14:$F$1213,$A$14:$A$1213,$H276),$AB$14:$AB$1213,0)),""))</f>
        <v/>
      </c>
      <c r="AL276" s="27">
        <f>IF(OR($H276="",COUNTIFS($A$14:$A$1213,$H276,$F$14:$F$1213,"&gt;=0")&lt;2,COUNTIFS($A$14:$A$1213,$H276,$F$14:$F$1213,_xlfn.MAXIFS($F$14:$F$1213,$A$14:$A$1213,$H276))&gt;1),"",IFERROR(INDEX($D$14:$D$1213,MATCH($H276&amp;"|"&amp;_xlfn.MAXIFS($F$14:$F$1213,$A$14:$A$1213,$H276,$F$14:$F$1213,"&lt;"&amp;_xlfn.MAXIFS($F$14:$F$1213,$A$14:$A$1213,$H276)),$AB$14:$AB$1213,0)),""))</f>
        <v/>
      </c>
      <c r="AM276" s="27">
        <f>IF(OR($H276="",COUNTIFS($A$14:$A$1213,$H276,$F$14:$F$1213,"&gt;=0")&lt;2,COUNTIFS($A$14:$A$1213,$H276,$F$14:$F$1213,_xlfn.MAXIFS($F$14:$F$1213,$A$14:$A$1213,$H276))&gt;1),"",IFERROR(INDEX($E$14:$E$1213,MATCH($H276&amp;"|"&amp;_xlfn.MAXIFS($F$14:$F$1213,$A$14:$A$1213,$H276,$F$14:$F$1213,"&lt;"&amp;_xlfn.MAXIFS($F$14:$F$1213,$A$14:$A$1213,$H276)),$AB$14:$AB$1213,0)),""))</f>
        <v/>
      </c>
      <c r="AN276" s="27">
        <f>IF(OR(NOT(ISNUMBER($AJ276)),NOT(ISNUMBER($AL276)),$AK276=0,$AM276=0),"",IF(OR((($AJ276+$AL276)/($AK276+$AM276))&lt;=0,(($AJ276+$AL276)/($AK276+$AM276))&gt;=1),"",($AJ276/$AK276-$AL276/$AM276)/SQRT((($AJ276+$AL276)/($AK276+$AM276))*(1-(($AJ276+$AL276)/($AK276+$AM276)))*(1/$AK276+1/$AM276))))</f>
        <v/>
      </c>
      <c r="AO276" s="27">
        <f>IF($A276="","",IF(AND(COUNTIFS($A$14:$A$1213,$A276,$F$14:$F$1213,"&gt;=0")=2,IFERROR(INDEX($M$14:$M$313,MATCH($A276,$H$14:$H$313,0)),"Yes")&lt;&gt;"Yes"),1,0))</f>
        <v/>
      </c>
    </row>
    <row r="277" ht="24" customHeight="1">
      <c r="A277" s="19">
        <f>IF('Enter messages'!A277="","",'Enter messages'!A277)</f>
        <v/>
      </c>
      <c r="B277" s="20">
        <f>IF('Enter messages'!B277="","",'Enter messages'!B277)</f>
        <v/>
      </c>
      <c r="C277" s="21">
        <f>IFERROR(AVERAGE(P277:T277),"")</f>
        <v/>
      </c>
      <c r="D277" s="29" t="n"/>
      <c r="E277" s="29" t="n"/>
      <c r="F277" s="30">
        <f>IF(AND(ISNUMBER($D277),ISNUMBER($E277),$E277&gt;0,$D277&lt;=$E277),$D277/$E277,"")</f>
        <v/>
      </c>
      <c r="H277" s="19">
        <f>IFERROR(INDEX($A$14:$A$1213,MATCH(264,$AI$14:$AI$1213,0)),"")</f>
        <v/>
      </c>
      <c r="I277" s="24">
        <f>IF($H277="","",IF(COUNTIFS($A$14:$A$1213,$H277,$C$14:$C$1213,"&gt;=0")=0,"—",IFERROR(INDEX($B$14:$B$1213,MATCH($H277&amp;"|1",$Z$14:$Z$1213,0)),"(tied)")))</f>
        <v/>
      </c>
      <c r="J277" s="25">
        <f>IF($H277="","",IF(OR(COUNTIFS($A$14:$A$1213,$H277,$C$14:$C$1213,"&gt;=0")=0,COUNTIFS($A$14:$A$1213,$H277,$F$14:$F$1213,"&gt;=0")=0),"—",IF(OR(ISERROR(MATCH($H277&amp;"|1",$Z$14:$Z$1213,0)),ISERROR(MATCH($H277&amp;"|1",$AA$14:$AA$1213,0))),"Tie",IF(MATCH($H277&amp;"|1",$Z$14:$Z$1213,0)=MATCH($H277&amp;"|1",$AA$14:$AA$1213,0),"Hit","Miss"))))</f>
        <v/>
      </c>
      <c r="K277" s="24">
        <f>IF($H277="","",IF(COUNTIFS($A$14:$A$1213,$H277,$F$14:$F$1213,"&gt;=0")=0,"—",IFERROR(INDEX($B$14:$B$1213,MATCH($H277&amp;"|1",$AA$14:$AA$1213,0)),"(tied)")))</f>
        <v/>
      </c>
      <c r="L277" s="25">
        <f>IF($H277="","",IF((--(COUNTIFS($A$14:$A$1213,$H277,$P$14:$P$1213,"&gt;=0")&gt;0)+--(COUNTIFS($A$14:$A$1213,$H277,$Q$14:$Q$1213,"&gt;=0")&gt;0)+--(COUNTIFS($A$14:$A$1213,$H277,$R$14:$R$1213,"&gt;=0")&gt;0)+--(COUNTIFS($A$14:$A$1213,$H277,$S$14:$S$1213,"&gt;=0")&gt;0)+--(COUNTIFS($A$14:$A$1213,$H277,$T$14:$T$1213,"&gt;=0")&gt;0))&lt;2,"—",IF(SUMIFS($AH$14:$AH$1213,$A$14:$A$1213,$H277)=0,"Yes","No")))</f>
        <v/>
      </c>
      <c r="M277" s="25">
        <f>IF($H277="","",IF(COUNTIFS($A$14:$A$1213,$H277,$F$14:$F$1213,"&gt;=0")&lt;2,"—",IF(COUNTIFS($A$14:$A$1213,$H277,$F$14:$F$1213,_xlfn.MAXIFS($F$14:$F$1213,$A$14:$A$1213,$H277))&gt;1,"No",IF(NOT(ISNUMBER($AN277)),"—",IF((2*(1-NORMSDIST(ABS($AN277))))&lt;0.05,"Yes","No")))))</f>
        <v/>
      </c>
      <c r="N277" s="21">
        <f>IF($H277="","",IF(NOT(ISNUMBER($AN277)),"—",IF((2*(1-NORMSDIST(ABS($AN277))))&lt;0.001,"&lt;0.001",TEXT((2*(1-NORMSDIST(ABS($AN277)))),"0.000"))))</f>
        <v/>
      </c>
      <c r="P277" s="26" t="n"/>
      <c r="Q277" s="26" t="n"/>
      <c r="R277" s="26" t="n"/>
      <c r="S277" s="26" t="n"/>
      <c r="T277" s="26" t="n"/>
      <c r="V277" s="27">
        <f>IF(ISNUMBER($C277),COUNTIFS($A$14:$A$1213,$A277,$C$14:$C$1213,"&gt;"&amp;$C277)+(COUNTIFS($A$14:$A$1213,$A277,$C$14:$C$1213,"="&amp;$C277)+1)/2,"")</f>
        <v/>
      </c>
      <c r="W277" s="27">
        <f>IF(ISNUMBER($F277),COUNTIFS($A$14:$A$1213,$A277,$F$14:$F$1213,"&gt;"&amp;$F277)+(COUNTIFS($A$14:$A$1213,$A277,$F$14:$F$1213,"="&amp;$F277)+1)/2,"")</f>
        <v/>
      </c>
      <c r="X277" s="27">
        <f>IF(OR(NOT(ISNUMBER($V277)),$AO277=1),"",$V277-(COUNTIFS($A$14:$A$1213,$A277,$C$14:$C$1213,"&gt;=0")+1)/2)</f>
        <v/>
      </c>
      <c r="Y277" s="27">
        <f>IF(OR(NOT(ISNUMBER($W277)),$AO277=1),"",$W277-(COUNTIFS($A$14:$A$1213,$A277,$F$14:$F$1213,"&gt;=0")+1)/2)</f>
        <v/>
      </c>
      <c r="Z277" s="27">
        <f>IF(ISNUMBER($V277),$A277&amp;"|"&amp;$V277,"")</f>
        <v/>
      </c>
      <c r="AA277" s="27">
        <f>IF(ISNUMBER($W277),$A277&amp;"|"&amp;$W277,"")</f>
        <v/>
      </c>
      <c r="AB277" s="27">
        <f>IF(ISNUMBER($F277),$A277&amp;"|"&amp;$F277,"")</f>
        <v/>
      </c>
      <c r="AC277" s="27">
        <f>IF(ISNUMBER($P277),COUNTIFS($A$14:$A$1213,$A277,$P$14:$P$1213,"&gt;"&amp;$P277)+(COUNTIFS($A$14:$A$1213,$A277,$P$14:$P$1213,"="&amp;$P277)+1)/2,"")</f>
        <v/>
      </c>
      <c r="AD277" s="27">
        <f>IF(ISNUMBER($Q277),COUNTIFS($A$14:$A$1213,$A277,$Q$14:$Q$1213,"&gt;"&amp;$Q277)+(COUNTIFS($A$14:$A$1213,$A277,$Q$14:$Q$1213,"="&amp;$Q277)+1)/2,"")</f>
        <v/>
      </c>
      <c r="AE277" s="27">
        <f>IF(ISNUMBER($R277),COUNTIFS($A$14:$A$1213,$A277,$R$14:$R$1213,"&gt;"&amp;$R277)+(COUNTIFS($A$14:$A$1213,$A277,$R$14:$R$1213,"="&amp;$R277)+1)/2,"")</f>
        <v/>
      </c>
      <c r="AF277" s="27">
        <f>IF(ISNUMBER($S277),COUNTIFS($A$14:$A$1213,$A277,$S$14:$S$1213,"&gt;"&amp;$S277)+(COUNTIFS($A$14:$A$1213,$A277,$S$14:$S$1213,"="&amp;$S277)+1)/2,"")</f>
        <v/>
      </c>
      <c r="AG277" s="27">
        <f>IF(ISNUMBER($T277),COUNTIFS($A$14:$A$1213,$A277,$T$14:$T$1213,"&gt;"&amp;$T277)+(COUNTIFS($A$14:$A$1213,$A277,$T$14:$T$1213,"="&amp;$T277)+1)/2,"")</f>
        <v/>
      </c>
      <c r="AH277" s="27">
        <f>IF(COUNT($AC277:$AG277)&lt;2,"",IF(MAX($AC277:$AG277)=MIN($AC277:$AG277),0,1))</f>
        <v/>
      </c>
      <c r="AI277" s="27">
        <f>IF($A277="","",IF(COUNTIF($A$14:$A277,$A277)=1,COUNTIF($AI$13:AI276,"&gt;0")+1,""))</f>
        <v/>
      </c>
      <c r="AJ277" s="27">
        <f>IF(OR($H277="",COUNTIFS($A$14:$A$1213,$H277,$F$14:$F$1213,"&gt;=0")&lt;2,COUNTIFS($A$14:$A$1213,$H277,$F$14:$F$1213,_xlfn.MAXIFS($F$14:$F$1213,$A$14:$A$1213,$H277))&gt;1),"",IFERROR(INDEX($D$14:$D$1213,MATCH($H277&amp;"|"&amp;_xlfn.MAXIFS($F$14:$F$1213,$A$14:$A$1213,$H277),$AB$14:$AB$1213,0)),""))</f>
        <v/>
      </c>
      <c r="AK277" s="27">
        <f>IF(OR($H277="",COUNTIFS($A$14:$A$1213,$H277,$F$14:$F$1213,"&gt;=0")&lt;2,COUNTIFS($A$14:$A$1213,$H277,$F$14:$F$1213,_xlfn.MAXIFS($F$14:$F$1213,$A$14:$A$1213,$H277))&gt;1),"",IFERROR(INDEX($E$14:$E$1213,MATCH($H277&amp;"|"&amp;_xlfn.MAXIFS($F$14:$F$1213,$A$14:$A$1213,$H277),$AB$14:$AB$1213,0)),""))</f>
        <v/>
      </c>
      <c r="AL277" s="27">
        <f>IF(OR($H277="",COUNTIFS($A$14:$A$1213,$H277,$F$14:$F$1213,"&gt;=0")&lt;2,COUNTIFS($A$14:$A$1213,$H277,$F$14:$F$1213,_xlfn.MAXIFS($F$14:$F$1213,$A$14:$A$1213,$H277))&gt;1),"",IFERROR(INDEX($D$14:$D$1213,MATCH($H277&amp;"|"&amp;_xlfn.MAXIFS($F$14:$F$1213,$A$14:$A$1213,$H277,$F$14:$F$1213,"&lt;"&amp;_xlfn.MAXIFS($F$14:$F$1213,$A$14:$A$1213,$H277)),$AB$14:$AB$1213,0)),""))</f>
        <v/>
      </c>
      <c r="AM277" s="27">
        <f>IF(OR($H277="",COUNTIFS($A$14:$A$1213,$H277,$F$14:$F$1213,"&gt;=0")&lt;2,COUNTIFS($A$14:$A$1213,$H277,$F$14:$F$1213,_xlfn.MAXIFS($F$14:$F$1213,$A$14:$A$1213,$H277))&gt;1),"",IFERROR(INDEX($E$14:$E$1213,MATCH($H277&amp;"|"&amp;_xlfn.MAXIFS($F$14:$F$1213,$A$14:$A$1213,$H277,$F$14:$F$1213,"&lt;"&amp;_xlfn.MAXIFS($F$14:$F$1213,$A$14:$A$1213,$H277)),$AB$14:$AB$1213,0)),""))</f>
        <v/>
      </c>
      <c r="AN277" s="27">
        <f>IF(OR(NOT(ISNUMBER($AJ277)),NOT(ISNUMBER($AL277)),$AK277=0,$AM277=0),"",IF(OR((($AJ277+$AL277)/($AK277+$AM277))&lt;=0,(($AJ277+$AL277)/($AK277+$AM277))&gt;=1),"",($AJ277/$AK277-$AL277/$AM277)/SQRT((($AJ277+$AL277)/($AK277+$AM277))*(1-(($AJ277+$AL277)/($AK277+$AM277)))*(1/$AK277+1/$AM277))))</f>
        <v/>
      </c>
      <c r="AO277" s="27">
        <f>IF($A277="","",IF(AND(COUNTIFS($A$14:$A$1213,$A277,$F$14:$F$1213,"&gt;=0")=2,IFERROR(INDEX($M$14:$M$313,MATCH($A277,$H$14:$H$313,0)),"Yes")&lt;&gt;"Yes"),1,0))</f>
        <v/>
      </c>
    </row>
    <row r="278" ht="24" customHeight="1">
      <c r="A278" s="19">
        <f>IF('Enter messages'!A278="","",'Enter messages'!A278)</f>
        <v/>
      </c>
      <c r="B278" s="20">
        <f>IF('Enter messages'!B278="","",'Enter messages'!B278)</f>
        <v/>
      </c>
      <c r="C278" s="21">
        <f>IFERROR(AVERAGE(P278:T278),"")</f>
        <v/>
      </c>
      <c r="D278" s="29" t="n"/>
      <c r="E278" s="29" t="n"/>
      <c r="F278" s="30">
        <f>IF(AND(ISNUMBER($D278),ISNUMBER($E278),$E278&gt;0,$D278&lt;=$E278),$D278/$E278,"")</f>
        <v/>
      </c>
      <c r="H278" s="19">
        <f>IFERROR(INDEX($A$14:$A$1213,MATCH(265,$AI$14:$AI$1213,0)),"")</f>
        <v/>
      </c>
      <c r="I278" s="24">
        <f>IF($H278="","",IF(COUNTIFS($A$14:$A$1213,$H278,$C$14:$C$1213,"&gt;=0")=0,"—",IFERROR(INDEX($B$14:$B$1213,MATCH($H278&amp;"|1",$Z$14:$Z$1213,0)),"(tied)")))</f>
        <v/>
      </c>
      <c r="J278" s="25">
        <f>IF($H278="","",IF(OR(COUNTIFS($A$14:$A$1213,$H278,$C$14:$C$1213,"&gt;=0")=0,COUNTIFS($A$14:$A$1213,$H278,$F$14:$F$1213,"&gt;=0")=0),"—",IF(OR(ISERROR(MATCH($H278&amp;"|1",$Z$14:$Z$1213,0)),ISERROR(MATCH($H278&amp;"|1",$AA$14:$AA$1213,0))),"Tie",IF(MATCH($H278&amp;"|1",$Z$14:$Z$1213,0)=MATCH($H278&amp;"|1",$AA$14:$AA$1213,0),"Hit","Miss"))))</f>
        <v/>
      </c>
      <c r="K278" s="24">
        <f>IF($H278="","",IF(COUNTIFS($A$14:$A$1213,$H278,$F$14:$F$1213,"&gt;=0")=0,"—",IFERROR(INDEX($B$14:$B$1213,MATCH($H278&amp;"|1",$AA$14:$AA$1213,0)),"(tied)")))</f>
        <v/>
      </c>
      <c r="L278" s="25">
        <f>IF($H278="","",IF((--(COUNTIFS($A$14:$A$1213,$H278,$P$14:$P$1213,"&gt;=0")&gt;0)+--(COUNTIFS($A$14:$A$1213,$H278,$Q$14:$Q$1213,"&gt;=0")&gt;0)+--(COUNTIFS($A$14:$A$1213,$H278,$R$14:$R$1213,"&gt;=0")&gt;0)+--(COUNTIFS($A$14:$A$1213,$H278,$S$14:$S$1213,"&gt;=0")&gt;0)+--(COUNTIFS($A$14:$A$1213,$H278,$T$14:$T$1213,"&gt;=0")&gt;0))&lt;2,"—",IF(SUMIFS($AH$14:$AH$1213,$A$14:$A$1213,$H278)=0,"Yes","No")))</f>
        <v/>
      </c>
      <c r="M278" s="25">
        <f>IF($H278="","",IF(COUNTIFS($A$14:$A$1213,$H278,$F$14:$F$1213,"&gt;=0")&lt;2,"—",IF(COUNTIFS($A$14:$A$1213,$H278,$F$14:$F$1213,_xlfn.MAXIFS($F$14:$F$1213,$A$14:$A$1213,$H278))&gt;1,"No",IF(NOT(ISNUMBER($AN278)),"—",IF((2*(1-NORMSDIST(ABS($AN278))))&lt;0.05,"Yes","No")))))</f>
        <v/>
      </c>
      <c r="N278" s="21">
        <f>IF($H278="","",IF(NOT(ISNUMBER($AN278)),"—",IF((2*(1-NORMSDIST(ABS($AN278))))&lt;0.001,"&lt;0.001",TEXT((2*(1-NORMSDIST(ABS($AN278)))),"0.000"))))</f>
        <v/>
      </c>
      <c r="P278" s="26" t="n"/>
      <c r="Q278" s="26" t="n"/>
      <c r="R278" s="26" t="n"/>
      <c r="S278" s="26" t="n"/>
      <c r="T278" s="26" t="n"/>
      <c r="V278" s="27">
        <f>IF(ISNUMBER($C278),COUNTIFS($A$14:$A$1213,$A278,$C$14:$C$1213,"&gt;"&amp;$C278)+(COUNTIFS($A$14:$A$1213,$A278,$C$14:$C$1213,"="&amp;$C278)+1)/2,"")</f>
        <v/>
      </c>
      <c r="W278" s="27">
        <f>IF(ISNUMBER($F278),COUNTIFS($A$14:$A$1213,$A278,$F$14:$F$1213,"&gt;"&amp;$F278)+(COUNTIFS($A$14:$A$1213,$A278,$F$14:$F$1213,"="&amp;$F278)+1)/2,"")</f>
        <v/>
      </c>
      <c r="X278" s="27">
        <f>IF(OR(NOT(ISNUMBER($V278)),$AO278=1),"",$V278-(COUNTIFS($A$14:$A$1213,$A278,$C$14:$C$1213,"&gt;=0")+1)/2)</f>
        <v/>
      </c>
      <c r="Y278" s="27">
        <f>IF(OR(NOT(ISNUMBER($W278)),$AO278=1),"",$W278-(COUNTIFS($A$14:$A$1213,$A278,$F$14:$F$1213,"&gt;=0")+1)/2)</f>
        <v/>
      </c>
      <c r="Z278" s="27">
        <f>IF(ISNUMBER($V278),$A278&amp;"|"&amp;$V278,"")</f>
        <v/>
      </c>
      <c r="AA278" s="27">
        <f>IF(ISNUMBER($W278),$A278&amp;"|"&amp;$W278,"")</f>
        <v/>
      </c>
      <c r="AB278" s="27">
        <f>IF(ISNUMBER($F278),$A278&amp;"|"&amp;$F278,"")</f>
        <v/>
      </c>
      <c r="AC278" s="27">
        <f>IF(ISNUMBER($P278),COUNTIFS($A$14:$A$1213,$A278,$P$14:$P$1213,"&gt;"&amp;$P278)+(COUNTIFS($A$14:$A$1213,$A278,$P$14:$P$1213,"="&amp;$P278)+1)/2,"")</f>
        <v/>
      </c>
      <c r="AD278" s="27">
        <f>IF(ISNUMBER($Q278),COUNTIFS($A$14:$A$1213,$A278,$Q$14:$Q$1213,"&gt;"&amp;$Q278)+(COUNTIFS($A$14:$A$1213,$A278,$Q$14:$Q$1213,"="&amp;$Q278)+1)/2,"")</f>
        <v/>
      </c>
      <c r="AE278" s="27">
        <f>IF(ISNUMBER($R278),COUNTIFS($A$14:$A$1213,$A278,$R$14:$R$1213,"&gt;"&amp;$R278)+(COUNTIFS($A$14:$A$1213,$A278,$R$14:$R$1213,"="&amp;$R278)+1)/2,"")</f>
        <v/>
      </c>
      <c r="AF278" s="27">
        <f>IF(ISNUMBER($S278),COUNTIFS($A$14:$A$1213,$A278,$S$14:$S$1213,"&gt;"&amp;$S278)+(COUNTIFS($A$14:$A$1213,$A278,$S$14:$S$1213,"="&amp;$S278)+1)/2,"")</f>
        <v/>
      </c>
      <c r="AG278" s="27">
        <f>IF(ISNUMBER($T278),COUNTIFS($A$14:$A$1213,$A278,$T$14:$T$1213,"&gt;"&amp;$T278)+(COUNTIFS($A$14:$A$1213,$A278,$T$14:$T$1213,"="&amp;$T278)+1)/2,"")</f>
        <v/>
      </c>
      <c r="AH278" s="27">
        <f>IF(COUNT($AC278:$AG278)&lt;2,"",IF(MAX($AC278:$AG278)=MIN($AC278:$AG278),0,1))</f>
        <v/>
      </c>
      <c r="AI278" s="27">
        <f>IF($A278="","",IF(COUNTIF($A$14:$A278,$A278)=1,COUNTIF($AI$13:AI277,"&gt;0")+1,""))</f>
        <v/>
      </c>
      <c r="AJ278" s="27">
        <f>IF(OR($H278="",COUNTIFS($A$14:$A$1213,$H278,$F$14:$F$1213,"&gt;=0")&lt;2,COUNTIFS($A$14:$A$1213,$H278,$F$14:$F$1213,_xlfn.MAXIFS($F$14:$F$1213,$A$14:$A$1213,$H278))&gt;1),"",IFERROR(INDEX($D$14:$D$1213,MATCH($H278&amp;"|"&amp;_xlfn.MAXIFS($F$14:$F$1213,$A$14:$A$1213,$H278),$AB$14:$AB$1213,0)),""))</f>
        <v/>
      </c>
      <c r="AK278" s="27">
        <f>IF(OR($H278="",COUNTIFS($A$14:$A$1213,$H278,$F$14:$F$1213,"&gt;=0")&lt;2,COUNTIFS($A$14:$A$1213,$H278,$F$14:$F$1213,_xlfn.MAXIFS($F$14:$F$1213,$A$14:$A$1213,$H278))&gt;1),"",IFERROR(INDEX($E$14:$E$1213,MATCH($H278&amp;"|"&amp;_xlfn.MAXIFS($F$14:$F$1213,$A$14:$A$1213,$H278),$AB$14:$AB$1213,0)),""))</f>
        <v/>
      </c>
      <c r="AL278" s="27">
        <f>IF(OR($H278="",COUNTIFS($A$14:$A$1213,$H278,$F$14:$F$1213,"&gt;=0")&lt;2,COUNTIFS($A$14:$A$1213,$H278,$F$14:$F$1213,_xlfn.MAXIFS($F$14:$F$1213,$A$14:$A$1213,$H278))&gt;1),"",IFERROR(INDEX($D$14:$D$1213,MATCH($H278&amp;"|"&amp;_xlfn.MAXIFS($F$14:$F$1213,$A$14:$A$1213,$H278,$F$14:$F$1213,"&lt;"&amp;_xlfn.MAXIFS($F$14:$F$1213,$A$14:$A$1213,$H278)),$AB$14:$AB$1213,0)),""))</f>
        <v/>
      </c>
      <c r="AM278" s="27">
        <f>IF(OR($H278="",COUNTIFS($A$14:$A$1213,$H278,$F$14:$F$1213,"&gt;=0")&lt;2,COUNTIFS($A$14:$A$1213,$H278,$F$14:$F$1213,_xlfn.MAXIFS($F$14:$F$1213,$A$14:$A$1213,$H278))&gt;1),"",IFERROR(INDEX($E$14:$E$1213,MATCH($H278&amp;"|"&amp;_xlfn.MAXIFS($F$14:$F$1213,$A$14:$A$1213,$H278,$F$14:$F$1213,"&lt;"&amp;_xlfn.MAXIFS($F$14:$F$1213,$A$14:$A$1213,$H278)),$AB$14:$AB$1213,0)),""))</f>
        <v/>
      </c>
      <c r="AN278" s="27">
        <f>IF(OR(NOT(ISNUMBER($AJ278)),NOT(ISNUMBER($AL278)),$AK278=0,$AM278=0),"",IF(OR((($AJ278+$AL278)/($AK278+$AM278))&lt;=0,(($AJ278+$AL278)/($AK278+$AM278))&gt;=1),"",($AJ278/$AK278-$AL278/$AM278)/SQRT((($AJ278+$AL278)/($AK278+$AM278))*(1-(($AJ278+$AL278)/($AK278+$AM278)))*(1/$AK278+1/$AM278))))</f>
        <v/>
      </c>
      <c r="AO278" s="27">
        <f>IF($A278="","",IF(AND(COUNTIFS($A$14:$A$1213,$A278,$F$14:$F$1213,"&gt;=0")=2,IFERROR(INDEX($M$14:$M$313,MATCH($A278,$H$14:$H$313,0)),"Yes")&lt;&gt;"Yes"),1,0))</f>
        <v/>
      </c>
    </row>
    <row r="279" ht="24" customHeight="1">
      <c r="A279" s="19">
        <f>IF('Enter messages'!A279="","",'Enter messages'!A279)</f>
        <v/>
      </c>
      <c r="B279" s="20">
        <f>IF('Enter messages'!B279="","",'Enter messages'!B279)</f>
        <v/>
      </c>
      <c r="C279" s="21">
        <f>IFERROR(AVERAGE(P279:T279),"")</f>
        <v/>
      </c>
      <c r="D279" s="29" t="n"/>
      <c r="E279" s="29" t="n"/>
      <c r="F279" s="30">
        <f>IF(AND(ISNUMBER($D279),ISNUMBER($E279),$E279&gt;0,$D279&lt;=$E279),$D279/$E279,"")</f>
        <v/>
      </c>
      <c r="H279" s="19">
        <f>IFERROR(INDEX($A$14:$A$1213,MATCH(266,$AI$14:$AI$1213,0)),"")</f>
        <v/>
      </c>
      <c r="I279" s="24">
        <f>IF($H279="","",IF(COUNTIFS($A$14:$A$1213,$H279,$C$14:$C$1213,"&gt;=0")=0,"—",IFERROR(INDEX($B$14:$B$1213,MATCH($H279&amp;"|1",$Z$14:$Z$1213,0)),"(tied)")))</f>
        <v/>
      </c>
      <c r="J279" s="25">
        <f>IF($H279="","",IF(OR(COUNTIFS($A$14:$A$1213,$H279,$C$14:$C$1213,"&gt;=0")=0,COUNTIFS($A$14:$A$1213,$H279,$F$14:$F$1213,"&gt;=0")=0),"—",IF(OR(ISERROR(MATCH($H279&amp;"|1",$Z$14:$Z$1213,0)),ISERROR(MATCH($H279&amp;"|1",$AA$14:$AA$1213,0))),"Tie",IF(MATCH($H279&amp;"|1",$Z$14:$Z$1213,0)=MATCH($H279&amp;"|1",$AA$14:$AA$1213,0),"Hit","Miss"))))</f>
        <v/>
      </c>
      <c r="K279" s="24">
        <f>IF($H279="","",IF(COUNTIFS($A$14:$A$1213,$H279,$F$14:$F$1213,"&gt;=0")=0,"—",IFERROR(INDEX($B$14:$B$1213,MATCH($H279&amp;"|1",$AA$14:$AA$1213,0)),"(tied)")))</f>
        <v/>
      </c>
      <c r="L279" s="25">
        <f>IF($H279="","",IF((--(COUNTIFS($A$14:$A$1213,$H279,$P$14:$P$1213,"&gt;=0")&gt;0)+--(COUNTIFS($A$14:$A$1213,$H279,$Q$14:$Q$1213,"&gt;=0")&gt;0)+--(COUNTIFS($A$14:$A$1213,$H279,$R$14:$R$1213,"&gt;=0")&gt;0)+--(COUNTIFS($A$14:$A$1213,$H279,$S$14:$S$1213,"&gt;=0")&gt;0)+--(COUNTIFS($A$14:$A$1213,$H279,$T$14:$T$1213,"&gt;=0")&gt;0))&lt;2,"—",IF(SUMIFS($AH$14:$AH$1213,$A$14:$A$1213,$H279)=0,"Yes","No")))</f>
        <v/>
      </c>
      <c r="M279" s="25">
        <f>IF($H279="","",IF(COUNTIFS($A$14:$A$1213,$H279,$F$14:$F$1213,"&gt;=0")&lt;2,"—",IF(COUNTIFS($A$14:$A$1213,$H279,$F$14:$F$1213,_xlfn.MAXIFS($F$14:$F$1213,$A$14:$A$1213,$H279))&gt;1,"No",IF(NOT(ISNUMBER($AN279)),"—",IF((2*(1-NORMSDIST(ABS($AN279))))&lt;0.05,"Yes","No")))))</f>
        <v/>
      </c>
      <c r="N279" s="21">
        <f>IF($H279="","",IF(NOT(ISNUMBER($AN279)),"—",IF((2*(1-NORMSDIST(ABS($AN279))))&lt;0.001,"&lt;0.001",TEXT((2*(1-NORMSDIST(ABS($AN279)))),"0.000"))))</f>
        <v/>
      </c>
      <c r="P279" s="26" t="n"/>
      <c r="Q279" s="26" t="n"/>
      <c r="R279" s="26" t="n"/>
      <c r="S279" s="26" t="n"/>
      <c r="T279" s="26" t="n"/>
      <c r="V279" s="27">
        <f>IF(ISNUMBER($C279),COUNTIFS($A$14:$A$1213,$A279,$C$14:$C$1213,"&gt;"&amp;$C279)+(COUNTIFS($A$14:$A$1213,$A279,$C$14:$C$1213,"="&amp;$C279)+1)/2,"")</f>
        <v/>
      </c>
      <c r="W279" s="27">
        <f>IF(ISNUMBER($F279),COUNTIFS($A$14:$A$1213,$A279,$F$14:$F$1213,"&gt;"&amp;$F279)+(COUNTIFS($A$14:$A$1213,$A279,$F$14:$F$1213,"="&amp;$F279)+1)/2,"")</f>
        <v/>
      </c>
      <c r="X279" s="27">
        <f>IF(OR(NOT(ISNUMBER($V279)),$AO279=1),"",$V279-(COUNTIFS($A$14:$A$1213,$A279,$C$14:$C$1213,"&gt;=0")+1)/2)</f>
        <v/>
      </c>
      <c r="Y279" s="27">
        <f>IF(OR(NOT(ISNUMBER($W279)),$AO279=1),"",$W279-(COUNTIFS($A$14:$A$1213,$A279,$F$14:$F$1213,"&gt;=0")+1)/2)</f>
        <v/>
      </c>
      <c r="Z279" s="27">
        <f>IF(ISNUMBER($V279),$A279&amp;"|"&amp;$V279,"")</f>
        <v/>
      </c>
      <c r="AA279" s="27">
        <f>IF(ISNUMBER($W279),$A279&amp;"|"&amp;$W279,"")</f>
        <v/>
      </c>
      <c r="AB279" s="27">
        <f>IF(ISNUMBER($F279),$A279&amp;"|"&amp;$F279,"")</f>
        <v/>
      </c>
      <c r="AC279" s="27">
        <f>IF(ISNUMBER($P279),COUNTIFS($A$14:$A$1213,$A279,$P$14:$P$1213,"&gt;"&amp;$P279)+(COUNTIFS($A$14:$A$1213,$A279,$P$14:$P$1213,"="&amp;$P279)+1)/2,"")</f>
        <v/>
      </c>
      <c r="AD279" s="27">
        <f>IF(ISNUMBER($Q279),COUNTIFS($A$14:$A$1213,$A279,$Q$14:$Q$1213,"&gt;"&amp;$Q279)+(COUNTIFS($A$14:$A$1213,$A279,$Q$14:$Q$1213,"="&amp;$Q279)+1)/2,"")</f>
        <v/>
      </c>
      <c r="AE279" s="27">
        <f>IF(ISNUMBER($R279),COUNTIFS($A$14:$A$1213,$A279,$R$14:$R$1213,"&gt;"&amp;$R279)+(COUNTIFS($A$14:$A$1213,$A279,$R$14:$R$1213,"="&amp;$R279)+1)/2,"")</f>
        <v/>
      </c>
      <c r="AF279" s="27">
        <f>IF(ISNUMBER($S279),COUNTIFS($A$14:$A$1213,$A279,$S$14:$S$1213,"&gt;"&amp;$S279)+(COUNTIFS($A$14:$A$1213,$A279,$S$14:$S$1213,"="&amp;$S279)+1)/2,"")</f>
        <v/>
      </c>
      <c r="AG279" s="27">
        <f>IF(ISNUMBER($T279),COUNTIFS($A$14:$A$1213,$A279,$T$14:$T$1213,"&gt;"&amp;$T279)+(COUNTIFS($A$14:$A$1213,$A279,$T$14:$T$1213,"="&amp;$T279)+1)/2,"")</f>
        <v/>
      </c>
      <c r="AH279" s="27">
        <f>IF(COUNT($AC279:$AG279)&lt;2,"",IF(MAX($AC279:$AG279)=MIN($AC279:$AG279),0,1))</f>
        <v/>
      </c>
      <c r="AI279" s="27">
        <f>IF($A279="","",IF(COUNTIF($A$14:$A279,$A279)=1,COUNTIF($AI$13:AI278,"&gt;0")+1,""))</f>
        <v/>
      </c>
      <c r="AJ279" s="27">
        <f>IF(OR($H279="",COUNTIFS($A$14:$A$1213,$H279,$F$14:$F$1213,"&gt;=0")&lt;2,COUNTIFS($A$14:$A$1213,$H279,$F$14:$F$1213,_xlfn.MAXIFS($F$14:$F$1213,$A$14:$A$1213,$H279))&gt;1),"",IFERROR(INDEX($D$14:$D$1213,MATCH($H279&amp;"|"&amp;_xlfn.MAXIFS($F$14:$F$1213,$A$14:$A$1213,$H279),$AB$14:$AB$1213,0)),""))</f>
        <v/>
      </c>
      <c r="AK279" s="27">
        <f>IF(OR($H279="",COUNTIFS($A$14:$A$1213,$H279,$F$14:$F$1213,"&gt;=0")&lt;2,COUNTIFS($A$14:$A$1213,$H279,$F$14:$F$1213,_xlfn.MAXIFS($F$14:$F$1213,$A$14:$A$1213,$H279))&gt;1),"",IFERROR(INDEX($E$14:$E$1213,MATCH($H279&amp;"|"&amp;_xlfn.MAXIFS($F$14:$F$1213,$A$14:$A$1213,$H279),$AB$14:$AB$1213,0)),""))</f>
        <v/>
      </c>
      <c r="AL279" s="27">
        <f>IF(OR($H279="",COUNTIFS($A$14:$A$1213,$H279,$F$14:$F$1213,"&gt;=0")&lt;2,COUNTIFS($A$14:$A$1213,$H279,$F$14:$F$1213,_xlfn.MAXIFS($F$14:$F$1213,$A$14:$A$1213,$H279))&gt;1),"",IFERROR(INDEX($D$14:$D$1213,MATCH($H279&amp;"|"&amp;_xlfn.MAXIFS($F$14:$F$1213,$A$14:$A$1213,$H279,$F$14:$F$1213,"&lt;"&amp;_xlfn.MAXIFS($F$14:$F$1213,$A$14:$A$1213,$H279)),$AB$14:$AB$1213,0)),""))</f>
        <v/>
      </c>
      <c r="AM279" s="27">
        <f>IF(OR($H279="",COUNTIFS($A$14:$A$1213,$H279,$F$14:$F$1213,"&gt;=0")&lt;2,COUNTIFS($A$14:$A$1213,$H279,$F$14:$F$1213,_xlfn.MAXIFS($F$14:$F$1213,$A$14:$A$1213,$H279))&gt;1),"",IFERROR(INDEX($E$14:$E$1213,MATCH($H279&amp;"|"&amp;_xlfn.MAXIFS($F$14:$F$1213,$A$14:$A$1213,$H279,$F$14:$F$1213,"&lt;"&amp;_xlfn.MAXIFS($F$14:$F$1213,$A$14:$A$1213,$H279)),$AB$14:$AB$1213,0)),""))</f>
        <v/>
      </c>
      <c r="AN279" s="27">
        <f>IF(OR(NOT(ISNUMBER($AJ279)),NOT(ISNUMBER($AL279)),$AK279=0,$AM279=0),"",IF(OR((($AJ279+$AL279)/($AK279+$AM279))&lt;=0,(($AJ279+$AL279)/($AK279+$AM279))&gt;=1),"",($AJ279/$AK279-$AL279/$AM279)/SQRT((($AJ279+$AL279)/($AK279+$AM279))*(1-(($AJ279+$AL279)/($AK279+$AM279)))*(1/$AK279+1/$AM279))))</f>
        <v/>
      </c>
      <c r="AO279" s="27">
        <f>IF($A279="","",IF(AND(COUNTIFS($A$14:$A$1213,$A279,$F$14:$F$1213,"&gt;=0")=2,IFERROR(INDEX($M$14:$M$313,MATCH($A279,$H$14:$H$313,0)),"Yes")&lt;&gt;"Yes"),1,0))</f>
        <v/>
      </c>
    </row>
    <row r="280" ht="24" customHeight="1">
      <c r="A280" s="19">
        <f>IF('Enter messages'!A280="","",'Enter messages'!A280)</f>
        <v/>
      </c>
      <c r="B280" s="20">
        <f>IF('Enter messages'!B280="","",'Enter messages'!B280)</f>
        <v/>
      </c>
      <c r="C280" s="21">
        <f>IFERROR(AVERAGE(P280:T280),"")</f>
        <v/>
      </c>
      <c r="D280" s="29" t="n"/>
      <c r="E280" s="29" t="n"/>
      <c r="F280" s="30">
        <f>IF(AND(ISNUMBER($D280),ISNUMBER($E280),$E280&gt;0,$D280&lt;=$E280),$D280/$E280,"")</f>
        <v/>
      </c>
      <c r="H280" s="19">
        <f>IFERROR(INDEX($A$14:$A$1213,MATCH(267,$AI$14:$AI$1213,0)),"")</f>
        <v/>
      </c>
      <c r="I280" s="24">
        <f>IF($H280="","",IF(COUNTIFS($A$14:$A$1213,$H280,$C$14:$C$1213,"&gt;=0")=0,"—",IFERROR(INDEX($B$14:$B$1213,MATCH($H280&amp;"|1",$Z$14:$Z$1213,0)),"(tied)")))</f>
        <v/>
      </c>
      <c r="J280" s="25">
        <f>IF($H280="","",IF(OR(COUNTIFS($A$14:$A$1213,$H280,$C$14:$C$1213,"&gt;=0")=0,COUNTIFS($A$14:$A$1213,$H280,$F$14:$F$1213,"&gt;=0")=0),"—",IF(OR(ISERROR(MATCH($H280&amp;"|1",$Z$14:$Z$1213,0)),ISERROR(MATCH($H280&amp;"|1",$AA$14:$AA$1213,0))),"Tie",IF(MATCH($H280&amp;"|1",$Z$14:$Z$1213,0)=MATCH($H280&amp;"|1",$AA$14:$AA$1213,0),"Hit","Miss"))))</f>
        <v/>
      </c>
      <c r="K280" s="24">
        <f>IF($H280="","",IF(COUNTIFS($A$14:$A$1213,$H280,$F$14:$F$1213,"&gt;=0")=0,"—",IFERROR(INDEX($B$14:$B$1213,MATCH($H280&amp;"|1",$AA$14:$AA$1213,0)),"(tied)")))</f>
        <v/>
      </c>
      <c r="L280" s="25">
        <f>IF($H280="","",IF((--(COUNTIFS($A$14:$A$1213,$H280,$P$14:$P$1213,"&gt;=0")&gt;0)+--(COUNTIFS($A$14:$A$1213,$H280,$Q$14:$Q$1213,"&gt;=0")&gt;0)+--(COUNTIFS($A$14:$A$1213,$H280,$R$14:$R$1213,"&gt;=0")&gt;0)+--(COUNTIFS($A$14:$A$1213,$H280,$S$14:$S$1213,"&gt;=0")&gt;0)+--(COUNTIFS($A$14:$A$1213,$H280,$T$14:$T$1213,"&gt;=0")&gt;0))&lt;2,"—",IF(SUMIFS($AH$14:$AH$1213,$A$14:$A$1213,$H280)=0,"Yes","No")))</f>
        <v/>
      </c>
      <c r="M280" s="25">
        <f>IF($H280="","",IF(COUNTIFS($A$14:$A$1213,$H280,$F$14:$F$1213,"&gt;=0")&lt;2,"—",IF(COUNTIFS($A$14:$A$1213,$H280,$F$14:$F$1213,_xlfn.MAXIFS($F$14:$F$1213,$A$14:$A$1213,$H280))&gt;1,"No",IF(NOT(ISNUMBER($AN280)),"—",IF((2*(1-NORMSDIST(ABS($AN280))))&lt;0.05,"Yes","No")))))</f>
        <v/>
      </c>
      <c r="N280" s="21">
        <f>IF($H280="","",IF(NOT(ISNUMBER($AN280)),"—",IF((2*(1-NORMSDIST(ABS($AN280))))&lt;0.001,"&lt;0.001",TEXT((2*(1-NORMSDIST(ABS($AN280)))),"0.000"))))</f>
        <v/>
      </c>
      <c r="P280" s="26" t="n"/>
      <c r="Q280" s="26" t="n"/>
      <c r="R280" s="26" t="n"/>
      <c r="S280" s="26" t="n"/>
      <c r="T280" s="26" t="n"/>
      <c r="V280" s="27">
        <f>IF(ISNUMBER($C280),COUNTIFS($A$14:$A$1213,$A280,$C$14:$C$1213,"&gt;"&amp;$C280)+(COUNTIFS($A$14:$A$1213,$A280,$C$14:$C$1213,"="&amp;$C280)+1)/2,"")</f>
        <v/>
      </c>
      <c r="W280" s="27">
        <f>IF(ISNUMBER($F280),COUNTIFS($A$14:$A$1213,$A280,$F$14:$F$1213,"&gt;"&amp;$F280)+(COUNTIFS($A$14:$A$1213,$A280,$F$14:$F$1213,"="&amp;$F280)+1)/2,"")</f>
        <v/>
      </c>
      <c r="X280" s="27">
        <f>IF(OR(NOT(ISNUMBER($V280)),$AO280=1),"",$V280-(COUNTIFS($A$14:$A$1213,$A280,$C$14:$C$1213,"&gt;=0")+1)/2)</f>
        <v/>
      </c>
      <c r="Y280" s="27">
        <f>IF(OR(NOT(ISNUMBER($W280)),$AO280=1),"",$W280-(COUNTIFS($A$14:$A$1213,$A280,$F$14:$F$1213,"&gt;=0")+1)/2)</f>
        <v/>
      </c>
      <c r="Z280" s="27">
        <f>IF(ISNUMBER($V280),$A280&amp;"|"&amp;$V280,"")</f>
        <v/>
      </c>
      <c r="AA280" s="27">
        <f>IF(ISNUMBER($W280),$A280&amp;"|"&amp;$W280,"")</f>
        <v/>
      </c>
      <c r="AB280" s="27">
        <f>IF(ISNUMBER($F280),$A280&amp;"|"&amp;$F280,"")</f>
        <v/>
      </c>
      <c r="AC280" s="27">
        <f>IF(ISNUMBER($P280),COUNTIFS($A$14:$A$1213,$A280,$P$14:$P$1213,"&gt;"&amp;$P280)+(COUNTIFS($A$14:$A$1213,$A280,$P$14:$P$1213,"="&amp;$P280)+1)/2,"")</f>
        <v/>
      </c>
      <c r="AD280" s="27">
        <f>IF(ISNUMBER($Q280),COUNTIFS($A$14:$A$1213,$A280,$Q$14:$Q$1213,"&gt;"&amp;$Q280)+(COUNTIFS($A$14:$A$1213,$A280,$Q$14:$Q$1213,"="&amp;$Q280)+1)/2,"")</f>
        <v/>
      </c>
      <c r="AE280" s="27">
        <f>IF(ISNUMBER($R280),COUNTIFS($A$14:$A$1213,$A280,$R$14:$R$1213,"&gt;"&amp;$R280)+(COUNTIFS($A$14:$A$1213,$A280,$R$14:$R$1213,"="&amp;$R280)+1)/2,"")</f>
        <v/>
      </c>
      <c r="AF280" s="27">
        <f>IF(ISNUMBER($S280),COUNTIFS($A$14:$A$1213,$A280,$S$14:$S$1213,"&gt;"&amp;$S280)+(COUNTIFS($A$14:$A$1213,$A280,$S$14:$S$1213,"="&amp;$S280)+1)/2,"")</f>
        <v/>
      </c>
      <c r="AG280" s="27">
        <f>IF(ISNUMBER($T280),COUNTIFS($A$14:$A$1213,$A280,$T$14:$T$1213,"&gt;"&amp;$T280)+(COUNTIFS($A$14:$A$1213,$A280,$T$14:$T$1213,"="&amp;$T280)+1)/2,"")</f>
        <v/>
      </c>
      <c r="AH280" s="27">
        <f>IF(COUNT($AC280:$AG280)&lt;2,"",IF(MAX($AC280:$AG280)=MIN($AC280:$AG280),0,1))</f>
        <v/>
      </c>
      <c r="AI280" s="27">
        <f>IF($A280="","",IF(COUNTIF($A$14:$A280,$A280)=1,COUNTIF($AI$13:AI279,"&gt;0")+1,""))</f>
        <v/>
      </c>
      <c r="AJ280" s="27">
        <f>IF(OR($H280="",COUNTIFS($A$14:$A$1213,$H280,$F$14:$F$1213,"&gt;=0")&lt;2,COUNTIFS($A$14:$A$1213,$H280,$F$14:$F$1213,_xlfn.MAXIFS($F$14:$F$1213,$A$14:$A$1213,$H280))&gt;1),"",IFERROR(INDEX($D$14:$D$1213,MATCH($H280&amp;"|"&amp;_xlfn.MAXIFS($F$14:$F$1213,$A$14:$A$1213,$H280),$AB$14:$AB$1213,0)),""))</f>
        <v/>
      </c>
      <c r="AK280" s="27">
        <f>IF(OR($H280="",COUNTIFS($A$14:$A$1213,$H280,$F$14:$F$1213,"&gt;=0")&lt;2,COUNTIFS($A$14:$A$1213,$H280,$F$14:$F$1213,_xlfn.MAXIFS($F$14:$F$1213,$A$14:$A$1213,$H280))&gt;1),"",IFERROR(INDEX($E$14:$E$1213,MATCH($H280&amp;"|"&amp;_xlfn.MAXIFS($F$14:$F$1213,$A$14:$A$1213,$H280),$AB$14:$AB$1213,0)),""))</f>
        <v/>
      </c>
      <c r="AL280" s="27">
        <f>IF(OR($H280="",COUNTIFS($A$14:$A$1213,$H280,$F$14:$F$1213,"&gt;=0")&lt;2,COUNTIFS($A$14:$A$1213,$H280,$F$14:$F$1213,_xlfn.MAXIFS($F$14:$F$1213,$A$14:$A$1213,$H280))&gt;1),"",IFERROR(INDEX($D$14:$D$1213,MATCH($H280&amp;"|"&amp;_xlfn.MAXIFS($F$14:$F$1213,$A$14:$A$1213,$H280,$F$14:$F$1213,"&lt;"&amp;_xlfn.MAXIFS($F$14:$F$1213,$A$14:$A$1213,$H280)),$AB$14:$AB$1213,0)),""))</f>
        <v/>
      </c>
      <c r="AM280" s="27">
        <f>IF(OR($H280="",COUNTIFS($A$14:$A$1213,$H280,$F$14:$F$1213,"&gt;=0")&lt;2,COUNTIFS($A$14:$A$1213,$H280,$F$14:$F$1213,_xlfn.MAXIFS($F$14:$F$1213,$A$14:$A$1213,$H280))&gt;1),"",IFERROR(INDEX($E$14:$E$1213,MATCH($H280&amp;"|"&amp;_xlfn.MAXIFS($F$14:$F$1213,$A$14:$A$1213,$H280,$F$14:$F$1213,"&lt;"&amp;_xlfn.MAXIFS($F$14:$F$1213,$A$14:$A$1213,$H280)),$AB$14:$AB$1213,0)),""))</f>
        <v/>
      </c>
      <c r="AN280" s="27">
        <f>IF(OR(NOT(ISNUMBER($AJ280)),NOT(ISNUMBER($AL280)),$AK280=0,$AM280=0),"",IF(OR((($AJ280+$AL280)/($AK280+$AM280))&lt;=0,(($AJ280+$AL280)/($AK280+$AM280))&gt;=1),"",($AJ280/$AK280-$AL280/$AM280)/SQRT((($AJ280+$AL280)/($AK280+$AM280))*(1-(($AJ280+$AL280)/($AK280+$AM280)))*(1/$AK280+1/$AM280))))</f>
        <v/>
      </c>
      <c r="AO280" s="27">
        <f>IF($A280="","",IF(AND(COUNTIFS($A$14:$A$1213,$A280,$F$14:$F$1213,"&gt;=0")=2,IFERROR(INDEX($M$14:$M$313,MATCH($A280,$H$14:$H$313,0)),"Yes")&lt;&gt;"Yes"),1,0))</f>
        <v/>
      </c>
    </row>
    <row r="281" ht="24" customHeight="1">
      <c r="A281" s="19">
        <f>IF('Enter messages'!A281="","",'Enter messages'!A281)</f>
        <v/>
      </c>
      <c r="B281" s="20">
        <f>IF('Enter messages'!B281="","",'Enter messages'!B281)</f>
        <v/>
      </c>
      <c r="C281" s="21">
        <f>IFERROR(AVERAGE(P281:T281),"")</f>
        <v/>
      </c>
      <c r="D281" s="29" t="n"/>
      <c r="E281" s="29" t="n"/>
      <c r="F281" s="30">
        <f>IF(AND(ISNUMBER($D281),ISNUMBER($E281),$E281&gt;0,$D281&lt;=$E281),$D281/$E281,"")</f>
        <v/>
      </c>
      <c r="H281" s="19">
        <f>IFERROR(INDEX($A$14:$A$1213,MATCH(268,$AI$14:$AI$1213,0)),"")</f>
        <v/>
      </c>
      <c r="I281" s="24">
        <f>IF($H281="","",IF(COUNTIFS($A$14:$A$1213,$H281,$C$14:$C$1213,"&gt;=0")=0,"—",IFERROR(INDEX($B$14:$B$1213,MATCH($H281&amp;"|1",$Z$14:$Z$1213,0)),"(tied)")))</f>
        <v/>
      </c>
      <c r="J281" s="25">
        <f>IF($H281="","",IF(OR(COUNTIFS($A$14:$A$1213,$H281,$C$14:$C$1213,"&gt;=0")=0,COUNTIFS($A$14:$A$1213,$H281,$F$14:$F$1213,"&gt;=0")=0),"—",IF(OR(ISERROR(MATCH($H281&amp;"|1",$Z$14:$Z$1213,0)),ISERROR(MATCH($H281&amp;"|1",$AA$14:$AA$1213,0))),"Tie",IF(MATCH($H281&amp;"|1",$Z$14:$Z$1213,0)=MATCH($H281&amp;"|1",$AA$14:$AA$1213,0),"Hit","Miss"))))</f>
        <v/>
      </c>
      <c r="K281" s="24">
        <f>IF($H281="","",IF(COUNTIFS($A$14:$A$1213,$H281,$F$14:$F$1213,"&gt;=0")=0,"—",IFERROR(INDEX($B$14:$B$1213,MATCH($H281&amp;"|1",$AA$14:$AA$1213,0)),"(tied)")))</f>
        <v/>
      </c>
      <c r="L281" s="25">
        <f>IF($H281="","",IF((--(COUNTIFS($A$14:$A$1213,$H281,$P$14:$P$1213,"&gt;=0")&gt;0)+--(COUNTIFS($A$14:$A$1213,$H281,$Q$14:$Q$1213,"&gt;=0")&gt;0)+--(COUNTIFS($A$14:$A$1213,$H281,$R$14:$R$1213,"&gt;=0")&gt;0)+--(COUNTIFS($A$14:$A$1213,$H281,$S$14:$S$1213,"&gt;=0")&gt;0)+--(COUNTIFS($A$14:$A$1213,$H281,$T$14:$T$1213,"&gt;=0")&gt;0))&lt;2,"—",IF(SUMIFS($AH$14:$AH$1213,$A$14:$A$1213,$H281)=0,"Yes","No")))</f>
        <v/>
      </c>
      <c r="M281" s="25">
        <f>IF($H281="","",IF(COUNTIFS($A$14:$A$1213,$H281,$F$14:$F$1213,"&gt;=0")&lt;2,"—",IF(COUNTIFS($A$14:$A$1213,$H281,$F$14:$F$1213,_xlfn.MAXIFS($F$14:$F$1213,$A$14:$A$1213,$H281))&gt;1,"No",IF(NOT(ISNUMBER($AN281)),"—",IF((2*(1-NORMSDIST(ABS($AN281))))&lt;0.05,"Yes","No")))))</f>
        <v/>
      </c>
      <c r="N281" s="21">
        <f>IF($H281="","",IF(NOT(ISNUMBER($AN281)),"—",IF((2*(1-NORMSDIST(ABS($AN281))))&lt;0.001,"&lt;0.001",TEXT((2*(1-NORMSDIST(ABS($AN281)))),"0.000"))))</f>
        <v/>
      </c>
      <c r="P281" s="26" t="n"/>
      <c r="Q281" s="26" t="n"/>
      <c r="R281" s="26" t="n"/>
      <c r="S281" s="26" t="n"/>
      <c r="T281" s="26" t="n"/>
      <c r="V281" s="27">
        <f>IF(ISNUMBER($C281),COUNTIFS($A$14:$A$1213,$A281,$C$14:$C$1213,"&gt;"&amp;$C281)+(COUNTIFS($A$14:$A$1213,$A281,$C$14:$C$1213,"="&amp;$C281)+1)/2,"")</f>
        <v/>
      </c>
      <c r="W281" s="27">
        <f>IF(ISNUMBER($F281),COUNTIFS($A$14:$A$1213,$A281,$F$14:$F$1213,"&gt;"&amp;$F281)+(COUNTIFS($A$14:$A$1213,$A281,$F$14:$F$1213,"="&amp;$F281)+1)/2,"")</f>
        <v/>
      </c>
      <c r="X281" s="27">
        <f>IF(OR(NOT(ISNUMBER($V281)),$AO281=1),"",$V281-(COUNTIFS($A$14:$A$1213,$A281,$C$14:$C$1213,"&gt;=0")+1)/2)</f>
        <v/>
      </c>
      <c r="Y281" s="27">
        <f>IF(OR(NOT(ISNUMBER($W281)),$AO281=1),"",$W281-(COUNTIFS($A$14:$A$1213,$A281,$F$14:$F$1213,"&gt;=0")+1)/2)</f>
        <v/>
      </c>
      <c r="Z281" s="27">
        <f>IF(ISNUMBER($V281),$A281&amp;"|"&amp;$V281,"")</f>
        <v/>
      </c>
      <c r="AA281" s="27">
        <f>IF(ISNUMBER($W281),$A281&amp;"|"&amp;$W281,"")</f>
        <v/>
      </c>
      <c r="AB281" s="27">
        <f>IF(ISNUMBER($F281),$A281&amp;"|"&amp;$F281,"")</f>
        <v/>
      </c>
      <c r="AC281" s="27">
        <f>IF(ISNUMBER($P281),COUNTIFS($A$14:$A$1213,$A281,$P$14:$P$1213,"&gt;"&amp;$P281)+(COUNTIFS($A$14:$A$1213,$A281,$P$14:$P$1213,"="&amp;$P281)+1)/2,"")</f>
        <v/>
      </c>
      <c r="AD281" s="27">
        <f>IF(ISNUMBER($Q281),COUNTIFS($A$14:$A$1213,$A281,$Q$14:$Q$1213,"&gt;"&amp;$Q281)+(COUNTIFS($A$14:$A$1213,$A281,$Q$14:$Q$1213,"="&amp;$Q281)+1)/2,"")</f>
        <v/>
      </c>
      <c r="AE281" s="27">
        <f>IF(ISNUMBER($R281),COUNTIFS($A$14:$A$1213,$A281,$R$14:$R$1213,"&gt;"&amp;$R281)+(COUNTIFS($A$14:$A$1213,$A281,$R$14:$R$1213,"="&amp;$R281)+1)/2,"")</f>
        <v/>
      </c>
      <c r="AF281" s="27">
        <f>IF(ISNUMBER($S281),COUNTIFS($A$14:$A$1213,$A281,$S$14:$S$1213,"&gt;"&amp;$S281)+(COUNTIFS($A$14:$A$1213,$A281,$S$14:$S$1213,"="&amp;$S281)+1)/2,"")</f>
        <v/>
      </c>
      <c r="AG281" s="27">
        <f>IF(ISNUMBER($T281),COUNTIFS($A$14:$A$1213,$A281,$T$14:$T$1213,"&gt;"&amp;$T281)+(COUNTIFS($A$14:$A$1213,$A281,$T$14:$T$1213,"="&amp;$T281)+1)/2,"")</f>
        <v/>
      </c>
      <c r="AH281" s="27">
        <f>IF(COUNT($AC281:$AG281)&lt;2,"",IF(MAX($AC281:$AG281)=MIN($AC281:$AG281),0,1))</f>
        <v/>
      </c>
      <c r="AI281" s="27">
        <f>IF($A281="","",IF(COUNTIF($A$14:$A281,$A281)=1,COUNTIF($AI$13:AI280,"&gt;0")+1,""))</f>
        <v/>
      </c>
      <c r="AJ281" s="27">
        <f>IF(OR($H281="",COUNTIFS($A$14:$A$1213,$H281,$F$14:$F$1213,"&gt;=0")&lt;2,COUNTIFS($A$14:$A$1213,$H281,$F$14:$F$1213,_xlfn.MAXIFS($F$14:$F$1213,$A$14:$A$1213,$H281))&gt;1),"",IFERROR(INDEX($D$14:$D$1213,MATCH($H281&amp;"|"&amp;_xlfn.MAXIFS($F$14:$F$1213,$A$14:$A$1213,$H281),$AB$14:$AB$1213,0)),""))</f>
        <v/>
      </c>
      <c r="AK281" s="27">
        <f>IF(OR($H281="",COUNTIFS($A$14:$A$1213,$H281,$F$14:$F$1213,"&gt;=0")&lt;2,COUNTIFS($A$14:$A$1213,$H281,$F$14:$F$1213,_xlfn.MAXIFS($F$14:$F$1213,$A$14:$A$1213,$H281))&gt;1),"",IFERROR(INDEX($E$14:$E$1213,MATCH($H281&amp;"|"&amp;_xlfn.MAXIFS($F$14:$F$1213,$A$14:$A$1213,$H281),$AB$14:$AB$1213,0)),""))</f>
        <v/>
      </c>
      <c r="AL281" s="27">
        <f>IF(OR($H281="",COUNTIFS($A$14:$A$1213,$H281,$F$14:$F$1213,"&gt;=0")&lt;2,COUNTIFS($A$14:$A$1213,$H281,$F$14:$F$1213,_xlfn.MAXIFS($F$14:$F$1213,$A$14:$A$1213,$H281))&gt;1),"",IFERROR(INDEX($D$14:$D$1213,MATCH($H281&amp;"|"&amp;_xlfn.MAXIFS($F$14:$F$1213,$A$14:$A$1213,$H281,$F$14:$F$1213,"&lt;"&amp;_xlfn.MAXIFS($F$14:$F$1213,$A$14:$A$1213,$H281)),$AB$14:$AB$1213,0)),""))</f>
        <v/>
      </c>
      <c r="AM281" s="27">
        <f>IF(OR($H281="",COUNTIFS($A$14:$A$1213,$H281,$F$14:$F$1213,"&gt;=0")&lt;2,COUNTIFS($A$14:$A$1213,$H281,$F$14:$F$1213,_xlfn.MAXIFS($F$14:$F$1213,$A$14:$A$1213,$H281))&gt;1),"",IFERROR(INDEX($E$14:$E$1213,MATCH($H281&amp;"|"&amp;_xlfn.MAXIFS($F$14:$F$1213,$A$14:$A$1213,$H281,$F$14:$F$1213,"&lt;"&amp;_xlfn.MAXIFS($F$14:$F$1213,$A$14:$A$1213,$H281)),$AB$14:$AB$1213,0)),""))</f>
        <v/>
      </c>
      <c r="AN281" s="27">
        <f>IF(OR(NOT(ISNUMBER($AJ281)),NOT(ISNUMBER($AL281)),$AK281=0,$AM281=0),"",IF(OR((($AJ281+$AL281)/($AK281+$AM281))&lt;=0,(($AJ281+$AL281)/($AK281+$AM281))&gt;=1),"",($AJ281/$AK281-$AL281/$AM281)/SQRT((($AJ281+$AL281)/($AK281+$AM281))*(1-(($AJ281+$AL281)/($AK281+$AM281)))*(1/$AK281+1/$AM281))))</f>
        <v/>
      </c>
      <c r="AO281" s="27">
        <f>IF($A281="","",IF(AND(COUNTIFS($A$14:$A$1213,$A281,$F$14:$F$1213,"&gt;=0")=2,IFERROR(INDEX($M$14:$M$313,MATCH($A281,$H$14:$H$313,0)),"Yes")&lt;&gt;"Yes"),1,0))</f>
        <v/>
      </c>
    </row>
    <row r="282" ht="24" customHeight="1">
      <c r="A282" s="19">
        <f>IF('Enter messages'!A282="","",'Enter messages'!A282)</f>
        <v/>
      </c>
      <c r="B282" s="20">
        <f>IF('Enter messages'!B282="","",'Enter messages'!B282)</f>
        <v/>
      </c>
      <c r="C282" s="21">
        <f>IFERROR(AVERAGE(P282:T282),"")</f>
        <v/>
      </c>
      <c r="D282" s="29" t="n"/>
      <c r="E282" s="29" t="n"/>
      <c r="F282" s="30">
        <f>IF(AND(ISNUMBER($D282),ISNUMBER($E282),$E282&gt;0,$D282&lt;=$E282),$D282/$E282,"")</f>
        <v/>
      </c>
      <c r="H282" s="19">
        <f>IFERROR(INDEX($A$14:$A$1213,MATCH(269,$AI$14:$AI$1213,0)),"")</f>
        <v/>
      </c>
      <c r="I282" s="24">
        <f>IF($H282="","",IF(COUNTIFS($A$14:$A$1213,$H282,$C$14:$C$1213,"&gt;=0")=0,"—",IFERROR(INDEX($B$14:$B$1213,MATCH($H282&amp;"|1",$Z$14:$Z$1213,0)),"(tied)")))</f>
        <v/>
      </c>
      <c r="J282" s="25">
        <f>IF($H282="","",IF(OR(COUNTIFS($A$14:$A$1213,$H282,$C$14:$C$1213,"&gt;=0")=0,COUNTIFS($A$14:$A$1213,$H282,$F$14:$F$1213,"&gt;=0")=0),"—",IF(OR(ISERROR(MATCH($H282&amp;"|1",$Z$14:$Z$1213,0)),ISERROR(MATCH($H282&amp;"|1",$AA$14:$AA$1213,0))),"Tie",IF(MATCH($H282&amp;"|1",$Z$14:$Z$1213,0)=MATCH($H282&amp;"|1",$AA$14:$AA$1213,0),"Hit","Miss"))))</f>
        <v/>
      </c>
      <c r="K282" s="24">
        <f>IF($H282="","",IF(COUNTIFS($A$14:$A$1213,$H282,$F$14:$F$1213,"&gt;=0")=0,"—",IFERROR(INDEX($B$14:$B$1213,MATCH($H282&amp;"|1",$AA$14:$AA$1213,0)),"(tied)")))</f>
        <v/>
      </c>
      <c r="L282" s="25">
        <f>IF($H282="","",IF((--(COUNTIFS($A$14:$A$1213,$H282,$P$14:$P$1213,"&gt;=0")&gt;0)+--(COUNTIFS($A$14:$A$1213,$H282,$Q$14:$Q$1213,"&gt;=0")&gt;0)+--(COUNTIFS($A$14:$A$1213,$H282,$R$14:$R$1213,"&gt;=0")&gt;0)+--(COUNTIFS($A$14:$A$1213,$H282,$S$14:$S$1213,"&gt;=0")&gt;0)+--(COUNTIFS($A$14:$A$1213,$H282,$T$14:$T$1213,"&gt;=0")&gt;0))&lt;2,"—",IF(SUMIFS($AH$14:$AH$1213,$A$14:$A$1213,$H282)=0,"Yes","No")))</f>
        <v/>
      </c>
      <c r="M282" s="25">
        <f>IF($H282="","",IF(COUNTIFS($A$14:$A$1213,$H282,$F$14:$F$1213,"&gt;=0")&lt;2,"—",IF(COUNTIFS($A$14:$A$1213,$H282,$F$14:$F$1213,_xlfn.MAXIFS($F$14:$F$1213,$A$14:$A$1213,$H282))&gt;1,"No",IF(NOT(ISNUMBER($AN282)),"—",IF((2*(1-NORMSDIST(ABS($AN282))))&lt;0.05,"Yes","No")))))</f>
        <v/>
      </c>
      <c r="N282" s="21">
        <f>IF($H282="","",IF(NOT(ISNUMBER($AN282)),"—",IF((2*(1-NORMSDIST(ABS($AN282))))&lt;0.001,"&lt;0.001",TEXT((2*(1-NORMSDIST(ABS($AN282)))),"0.000"))))</f>
        <v/>
      </c>
      <c r="P282" s="26" t="n"/>
      <c r="Q282" s="26" t="n"/>
      <c r="R282" s="26" t="n"/>
      <c r="S282" s="26" t="n"/>
      <c r="T282" s="26" t="n"/>
      <c r="V282" s="27">
        <f>IF(ISNUMBER($C282),COUNTIFS($A$14:$A$1213,$A282,$C$14:$C$1213,"&gt;"&amp;$C282)+(COUNTIFS($A$14:$A$1213,$A282,$C$14:$C$1213,"="&amp;$C282)+1)/2,"")</f>
        <v/>
      </c>
      <c r="W282" s="27">
        <f>IF(ISNUMBER($F282),COUNTIFS($A$14:$A$1213,$A282,$F$14:$F$1213,"&gt;"&amp;$F282)+(COUNTIFS($A$14:$A$1213,$A282,$F$14:$F$1213,"="&amp;$F282)+1)/2,"")</f>
        <v/>
      </c>
      <c r="X282" s="27">
        <f>IF(OR(NOT(ISNUMBER($V282)),$AO282=1),"",$V282-(COUNTIFS($A$14:$A$1213,$A282,$C$14:$C$1213,"&gt;=0")+1)/2)</f>
        <v/>
      </c>
      <c r="Y282" s="27">
        <f>IF(OR(NOT(ISNUMBER($W282)),$AO282=1),"",$W282-(COUNTIFS($A$14:$A$1213,$A282,$F$14:$F$1213,"&gt;=0")+1)/2)</f>
        <v/>
      </c>
      <c r="Z282" s="27">
        <f>IF(ISNUMBER($V282),$A282&amp;"|"&amp;$V282,"")</f>
        <v/>
      </c>
      <c r="AA282" s="27">
        <f>IF(ISNUMBER($W282),$A282&amp;"|"&amp;$W282,"")</f>
        <v/>
      </c>
      <c r="AB282" s="27">
        <f>IF(ISNUMBER($F282),$A282&amp;"|"&amp;$F282,"")</f>
        <v/>
      </c>
      <c r="AC282" s="27">
        <f>IF(ISNUMBER($P282),COUNTIFS($A$14:$A$1213,$A282,$P$14:$P$1213,"&gt;"&amp;$P282)+(COUNTIFS($A$14:$A$1213,$A282,$P$14:$P$1213,"="&amp;$P282)+1)/2,"")</f>
        <v/>
      </c>
      <c r="AD282" s="27">
        <f>IF(ISNUMBER($Q282),COUNTIFS($A$14:$A$1213,$A282,$Q$14:$Q$1213,"&gt;"&amp;$Q282)+(COUNTIFS($A$14:$A$1213,$A282,$Q$14:$Q$1213,"="&amp;$Q282)+1)/2,"")</f>
        <v/>
      </c>
      <c r="AE282" s="27">
        <f>IF(ISNUMBER($R282),COUNTIFS($A$14:$A$1213,$A282,$R$14:$R$1213,"&gt;"&amp;$R282)+(COUNTIFS($A$14:$A$1213,$A282,$R$14:$R$1213,"="&amp;$R282)+1)/2,"")</f>
        <v/>
      </c>
      <c r="AF282" s="27">
        <f>IF(ISNUMBER($S282),COUNTIFS($A$14:$A$1213,$A282,$S$14:$S$1213,"&gt;"&amp;$S282)+(COUNTIFS($A$14:$A$1213,$A282,$S$14:$S$1213,"="&amp;$S282)+1)/2,"")</f>
        <v/>
      </c>
      <c r="AG282" s="27">
        <f>IF(ISNUMBER($T282),COUNTIFS($A$14:$A$1213,$A282,$T$14:$T$1213,"&gt;"&amp;$T282)+(COUNTIFS($A$14:$A$1213,$A282,$T$14:$T$1213,"="&amp;$T282)+1)/2,"")</f>
        <v/>
      </c>
      <c r="AH282" s="27">
        <f>IF(COUNT($AC282:$AG282)&lt;2,"",IF(MAX($AC282:$AG282)=MIN($AC282:$AG282),0,1))</f>
        <v/>
      </c>
      <c r="AI282" s="27">
        <f>IF($A282="","",IF(COUNTIF($A$14:$A282,$A282)=1,COUNTIF($AI$13:AI281,"&gt;0")+1,""))</f>
        <v/>
      </c>
      <c r="AJ282" s="27">
        <f>IF(OR($H282="",COUNTIFS($A$14:$A$1213,$H282,$F$14:$F$1213,"&gt;=0")&lt;2,COUNTIFS($A$14:$A$1213,$H282,$F$14:$F$1213,_xlfn.MAXIFS($F$14:$F$1213,$A$14:$A$1213,$H282))&gt;1),"",IFERROR(INDEX($D$14:$D$1213,MATCH($H282&amp;"|"&amp;_xlfn.MAXIFS($F$14:$F$1213,$A$14:$A$1213,$H282),$AB$14:$AB$1213,0)),""))</f>
        <v/>
      </c>
      <c r="AK282" s="27">
        <f>IF(OR($H282="",COUNTIFS($A$14:$A$1213,$H282,$F$14:$F$1213,"&gt;=0")&lt;2,COUNTIFS($A$14:$A$1213,$H282,$F$14:$F$1213,_xlfn.MAXIFS($F$14:$F$1213,$A$14:$A$1213,$H282))&gt;1),"",IFERROR(INDEX($E$14:$E$1213,MATCH($H282&amp;"|"&amp;_xlfn.MAXIFS($F$14:$F$1213,$A$14:$A$1213,$H282),$AB$14:$AB$1213,0)),""))</f>
        <v/>
      </c>
      <c r="AL282" s="27">
        <f>IF(OR($H282="",COUNTIFS($A$14:$A$1213,$H282,$F$14:$F$1213,"&gt;=0")&lt;2,COUNTIFS($A$14:$A$1213,$H282,$F$14:$F$1213,_xlfn.MAXIFS($F$14:$F$1213,$A$14:$A$1213,$H282))&gt;1),"",IFERROR(INDEX($D$14:$D$1213,MATCH($H282&amp;"|"&amp;_xlfn.MAXIFS($F$14:$F$1213,$A$14:$A$1213,$H282,$F$14:$F$1213,"&lt;"&amp;_xlfn.MAXIFS($F$14:$F$1213,$A$14:$A$1213,$H282)),$AB$14:$AB$1213,0)),""))</f>
        <v/>
      </c>
      <c r="AM282" s="27">
        <f>IF(OR($H282="",COUNTIFS($A$14:$A$1213,$H282,$F$14:$F$1213,"&gt;=0")&lt;2,COUNTIFS($A$14:$A$1213,$H282,$F$14:$F$1213,_xlfn.MAXIFS($F$14:$F$1213,$A$14:$A$1213,$H282))&gt;1),"",IFERROR(INDEX($E$14:$E$1213,MATCH($H282&amp;"|"&amp;_xlfn.MAXIFS($F$14:$F$1213,$A$14:$A$1213,$H282,$F$14:$F$1213,"&lt;"&amp;_xlfn.MAXIFS($F$14:$F$1213,$A$14:$A$1213,$H282)),$AB$14:$AB$1213,0)),""))</f>
        <v/>
      </c>
      <c r="AN282" s="27">
        <f>IF(OR(NOT(ISNUMBER($AJ282)),NOT(ISNUMBER($AL282)),$AK282=0,$AM282=0),"",IF(OR((($AJ282+$AL282)/($AK282+$AM282))&lt;=0,(($AJ282+$AL282)/($AK282+$AM282))&gt;=1),"",($AJ282/$AK282-$AL282/$AM282)/SQRT((($AJ282+$AL282)/($AK282+$AM282))*(1-(($AJ282+$AL282)/($AK282+$AM282)))*(1/$AK282+1/$AM282))))</f>
        <v/>
      </c>
      <c r="AO282" s="27">
        <f>IF($A282="","",IF(AND(COUNTIFS($A$14:$A$1213,$A282,$F$14:$F$1213,"&gt;=0")=2,IFERROR(INDEX($M$14:$M$313,MATCH($A282,$H$14:$H$313,0)),"Yes")&lt;&gt;"Yes"),1,0))</f>
        <v/>
      </c>
    </row>
    <row r="283" ht="24" customHeight="1">
      <c r="A283" s="19">
        <f>IF('Enter messages'!A283="","",'Enter messages'!A283)</f>
        <v/>
      </c>
      <c r="B283" s="20">
        <f>IF('Enter messages'!B283="","",'Enter messages'!B283)</f>
        <v/>
      </c>
      <c r="C283" s="21">
        <f>IFERROR(AVERAGE(P283:T283),"")</f>
        <v/>
      </c>
      <c r="D283" s="29" t="n"/>
      <c r="E283" s="29" t="n"/>
      <c r="F283" s="30">
        <f>IF(AND(ISNUMBER($D283),ISNUMBER($E283),$E283&gt;0,$D283&lt;=$E283),$D283/$E283,"")</f>
        <v/>
      </c>
      <c r="H283" s="19">
        <f>IFERROR(INDEX($A$14:$A$1213,MATCH(270,$AI$14:$AI$1213,0)),"")</f>
        <v/>
      </c>
      <c r="I283" s="24">
        <f>IF($H283="","",IF(COUNTIFS($A$14:$A$1213,$H283,$C$14:$C$1213,"&gt;=0")=0,"—",IFERROR(INDEX($B$14:$B$1213,MATCH($H283&amp;"|1",$Z$14:$Z$1213,0)),"(tied)")))</f>
        <v/>
      </c>
      <c r="J283" s="25">
        <f>IF($H283="","",IF(OR(COUNTIFS($A$14:$A$1213,$H283,$C$14:$C$1213,"&gt;=0")=0,COUNTIFS($A$14:$A$1213,$H283,$F$14:$F$1213,"&gt;=0")=0),"—",IF(OR(ISERROR(MATCH($H283&amp;"|1",$Z$14:$Z$1213,0)),ISERROR(MATCH($H283&amp;"|1",$AA$14:$AA$1213,0))),"Tie",IF(MATCH($H283&amp;"|1",$Z$14:$Z$1213,0)=MATCH($H283&amp;"|1",$AA$14:$AA$1213,0),"Hit","Miss"))))</f>
        <v/>
      </c>
      <c r="K283" s="24">
        <f>IF($H283="","",IF(COUNTIFS($A$14:$A$1213,$H283,$F$14:$F$1213,"&gt;=0")=0,"—",IFERROR(INDEX($B$14:$B$1213,MATCH($H283&amp;"|1",$AA$14:$AA$1213,0)),"(tied)")))</f>
        <v/>
      </c>
      <c r="L283" s="25">
        <f>IF($H283="","",IF((--(COUNTIFS($A$14:$A$1213,$H283,$P$14:$P$1213,"&gt;=0")&gt;0)+--(COUNTIFS($A$14:$A$1213,$H283,$Q$14:$Q$1213,"&gt;=0")&gt;0)+--(COUNTIFS($A$14:$A$1213,$H283,$R$14:$R$1213,"&gt;=0")&gt;0)+--(COUNTIFS($A$14:$A$1213,$H283,$S$14:$S$1213,"&gt;=0")&gt;0)+--(COUNTIFS($A$14:$A$1213,$H283,$T$14:$T$1213,"&gt;=0")&gt;0))&lt;2,"—",IF(SUMIFS($AH$14:$AH$1213,$A$14:$A$1213,$H283)=0,"Yes","No")))</f>
        <v/>
      </c>
      <c r="M283" s="25">
        <f>IF($H283="","",IF(COUNTIFS($A$14:$A$1213,$H283,$F$14:$F$1213,"&gt;=0")&lt;2,"—",IF(COUNTIFS($A$14:$A$1213,$H283,$F$14:$F$1213,_xlfn.MAXIFS($F$14:$F$1213,$A$14:$A$1213,$H283))&gt;1,"No",IF(NOT(ISNUMBER($AN283)),"—",IF((2*(1-NORMSDIST(ABS($AN283))))&lt;0.05,"Yes","No")))))</f>
        <v/>
      </c>
      <c r="N283" s="21">
        <f>IF($H283="","",IF(NOT(ISNUMBER($AN283)),"—",IF((2*(1-NORMSDIST(ABS($AN283))))&lt;0.001,"&lt;0.001",TEXT((2*(1-NORMSDIST(ABS($AN283)))),"0.000"))))</f>
        <v/>
      </c>
      <c r="P283" s="26" t="n"/>
      <c r="Q283" s="26" t="n"/>
      <c r="R283" s="26" t="n"/>
      <c r="S283" s="26" t="n"/>
      <c r="T283" s="26" t="n"/>
      <c r="V283" s="27">
        <f>IF(ISNUMBER($C283),COUNTIFS($A$14:$A$1213,$A283,$C$14:$C$1213,"&gt;"&amp;$C283)+(COUNTIFS($A$14:$A$1213,$A283,$C$14:$C$1213,"="&amp;$C283)+1)/2,"")</f>
        <v/>
      </c>
      <c r="W283" s="27">
        <f>IF(ISNUMBER($F283),COUNTIFS($A$14:$A$1213,$A283,$F$14:$F$1213,"&gt;"&amp;$F283)+(COUNTIFS($A$14:$A$1213,$A283,$F$14:$F$1213,"="&amp;$F283)+1)/2,"")</f>
        <v/>
      </c>
      <c r="X283" s="27">
        <f>IF(OR(NOT(ISNUMBER($V283)),$AO283=1),"",$V283-(COUNTIFS($A$14:$A$1213,$A283,$C$14:$C$1213,"&gt;=0")+1)/2)</f>
        <v/>
      </c>
      <c r="Y283" s="27">
        <f>IF(OR(NOT(ISNUMBER($W283)),$AO283=1),"",$W283-(COUNTIFS($A$14:$A$1213,$A283,$F$14:$F$1213,"&gt;=0")+1)/2)</f>
        <v/>
      </c>
      <c r="Z283" s="27">
        <f>IF(ISNUMBER($V283),$A283&amp;"|"&amp;$V283,"")</f>
        <v/>
      </c>
      <c r="AA283" s="27">
        <f>IF(ISNUMBER($W283),$A283&amp;"|"&amp;$W283,"")</f>
        <v/>
      </c>
      <c r="AB283" s="27">
        <f>IF(ISNUMBER($F283),$A283&amp;"|"&amp;$F283,"")</f>
        <v/>
      </c>
      <c r="AC283" s="27">
        <f>IF(ISNUMBER($P283),COUNTIFS($A$14:$A$1213,$A283,$P$14:$P$1213,"&gt;"&amp;$P283)+(COUNTIFS($A$14:$A$1213,$A283,$P$14:$P$1213,"="&amp;$P283)+1)/2,"")</f>
        <v/>
      </c>
      <c r="AD283" s="27">
        <f>IF(ISNUMBER($Q283),COUNTIFS($A$14:$A$1213,$A283,$Q$14:$Q$1213,"&gt;"&amp;$Q283)+(COUNTIFS($A$14:$A$1213,$A283,$Q$14:$Q$1213,"="&amp;$Q283)+1)/2,"")</f>
        <v/>
      </c>
      <c r="AE283" s="27">
        <f>IF(ISNUMBER($R283),COUNTIFS($A$14:$A$1213,$A283,$R$14:$R$1213,"&gt;"&amp;$R283)+(COUNTIFS($A$14:$A$1213,$A283,$R$14:$R$1213,"="&amp;$R283)+1)/2,"")</f>
        <v/>
      </c>
      <c r="AF283" s="27">
        <f>IF(ISNUMBER($S283),COUNTIFS($A$14:$A$1213,$A283,$S$14:$S$1213,"&gt;"&amp;$S283)+(COUNTIFS($A$14:$A$1213,$A283,$S$14:$S$1213,"="&amp;$S283)+1)/2,"")</f>
        <v/>
      </c>
      <c r="AG283" s="27">
        <f>IF(ISNUMBER($T283),COUNTIFS($A$14:$A$1213,$A283,$T$14:$T$1213,"&gt;"&amp;$T283)+(COUNTIFS($A$14:$A$1213,$A283,$T$14:$T$1213,"="&amp;$T283)+1)/2,"")</f>
        <v/>
      </c>
      <c r="AH283" s="27">
        <f>IF(COUNT($AC283:$AG283)&lt;2,"",IF(MAX($AC283:$AG283)=MIN($AC283:$AG283),0,1))</f>
        <v/>
      </c>
      <c r="AI283" s="27">
        <f>IF($A283="","",IF(COUNTIF($A$14:$A283,$A283)=1,COUNTIF($AI$13:AI282,"&gt;0")+1,""))</f>
        <v/>
      </c>
      <c r="AJ283" s="27">
        <f>IF(OR($H283="",COUNTIFS($A$14:$A$1213,$H283,$F$14:$F$1213,"&gt;=0")&lt;2,COUNTIFS($A$14:$A$1213,$H283,$F$14:$F$1213,_xlfn.MAXIFS($F$14:$F$1213,$A$14:$A$1213,$H283))&gt;1),"",IFERROR(INDEX($D$14:$D$1213,MATCH($H283&amp;"|"&amp;_xlfn.MAXIFS($F$14:$F$1213,$A$14:$A$1213,$H283),$AB$14:$AB$1213,0)),""))</f>
        <v/>
      </c>
      <c r="AK283" s="27">
        <f>IF(OR($H283="",COUNTIFS($A$14:$A$1213,$H283,$F$14:$F$1213,"&gt;=0")&lt;2,COUNTIFS($A$14:$A$1213,$H283,$F$14:$F$1213,_xlfn.MAXIFS($F$14:$F$1213,$A$14:$A$1213,$H283))&gt;1),"",IFERROR(INDEX($E$14:$E$1213,MATCH($H283&amp;"|"&amp;_xlfn.MAXIFS($F$14:$F$1213,$A$14:$A$1213,$H283),$AB$14:$AB$1213,0)),""))</f>
        <v/>
      </c>
      <c r="AL283" s="27">
        <f>IF(OR($H283="",COUNTIFS($A$14:$A$1213,$H283,$F$14:$F$1213,"&gt;=0")&lt;2,COUNTIFS($A$14:$A$1213,$H283,$F$14:$F$1213,_xlfn.MAXIFS($F$14:$F$1213,$A$14:$A$1213,$H283))&gt;1),"",IFERROR(INDEX($D$14:$D$1213,MATCH($H283&amp;"|"&amp;_xlfn.MAXIFS($F$14:$F$1213,$A$14:$A$1213,$H283,$F$14:$F$1213,"&lt;"&amp;_xlfn.MAXIFS($F$14:$F$1213,$A$14:$A$1213,$H283)),$AB$14:$AB$1213,0)),""))</f>
        <v/>
      </c>
      <c r="AM283" s="27">
        <f>IF(OR($H283="",COUNTIFS($A$14:$A$1213,$H283,$F$14:$F$1213,"&gt;=0")&lt;2,COUNTIFS($A$14:$A$1213,$H283,$F$14:$F$1213,_xlfn.MAXIFS($F$14:$F$1213,$A$14:$A$1213,$H283))&gt;1),"",IFERROR(INDEX($E$14:$E$1213,MATCH($H283&amp;"|"&amp;_xlfn.MAXIFS($F$14:$F$1213,$A$14:$A$1213,$H283,$F$14:$F$1213,"&lt;"&amp;_xlfn.MAXIFS($F$14:$F$1213,$A$14:$A$1213,$H283)),$AB$14:$AB$1213,0)),""))</f>
        <v/>
      </c>
      <c r="AN283" s="27">
        <f>IF(OR(NOT(ISNUMBER($AJ283)),NOT(ISNUMBER($AL283)),$AK283=0,$AM283=0),"",IF(OR((($AJ283+$AL283)/($AK283+$AM283))&lt;=0,(($AJ283+$AL283)/($AK283+$AM283))&gt;=1),"",($AJ283/$AK283-$AL283/$AM283)/SQRT((($AJ283+$AL283)/($AK283+$AM283))*(1-(($AJ283+$AL283)/($AK283+$AM283)))*(1/$AK283+1/$AM283))))</f>
        <v/>
      </c>
      <c r="AO283" s="27">
        <f>IF($A283="","",IF(AND(COUNTIFS($A$14:$A$1213,$A283,$F$14:$F$1213,"&gt;=0")=2,IFERROR(INDEX($M$14:$M$313,MATCH($A283,$H$14:$H$313,0)),"Yes")&lt;&gt;"Yes"),1,0))</f>
        <v/>
      </c>
    </row>
    <row r="284" ht="24" customHeight="1">
      <c r="A284" s="19">
        <f>IF('Enter messages'!A284="","",'Enter messages'!A284)</f>
        <v/>
      </c>
      <c r="B284" s="20">
        <f>IF('Enter messages'!B284="","",'Enter messages'!B284)</f>
        <v/>
      </c>
      <c r="C284" s="21">
        <f>IFERROR(AVERAGE(P284:T284),"")</f>
        <v/>
      </c>
      <c r="D284" s="29" t="n"/>
      <c r="E284" s="29" t="n"/>
      <c r="F284" s="30">
        <f>IF(AND(ISNUMBER($D284),ISNUMBER($E284),$E284&gt;0,$D284&lt;=$E284),$D284/$E284,"")</f>
        <v/>
      </c>
      <c r="H284" s="19">
        <f>IFERROR(INDEX($A$14:$A$1213,MATCH(271,$AI$14:$AI$1213,0)),"")</f>
        <v/>
      </c>
      <c r="I284" s="24">
        <f>IF($H284="","",IF(COUNTIFS($A$14:$A$1213,$H284,$C$14:$C$1213,"&gt;=0")=0,"—",IFERROR(INDEX($B$14:$B$1213,MATCH($H284&amp;"|1",$Z$14:$Z$1213,0)),"(tied)")))</f>
        <v/>
      </c>
      <c r="J284" s="25">
        <f>IF($H284="","",IF(OR(COUNTIFS($A$14:$A$1213,$H284,$C$14:$C$1213,"&gt;=0")=0,COUNTIFS($A$14:$A$1213,$H284,$F$14:$F$1213,"&gt;=0")=0),"—",IF(OR(ISERROR(MATCH($H284&amp;"|1",$Z$14:$Z$1213,0)),ISERROR(MATCH($H284&amp;"|1",$AA$14:$AA$1213,0))),"Tie",IF(MATCH($H284&amp;"|1",$Z$14:$Z$1213,0)=MATCH($H284&amp;"|1",$AA$14:$AA$1213,0),"Hit","Miss"))))</f>
        <v/>
      </c>
      <c r="K284" s="24">
        <f>IF($H284="","",IF(COUNTIFS($A$14:$A$1213,$H284,$F$14:$F$1213,"&gt;=0")=0,"—",IFERROR(INDEX($B$14:$B$1213,MATCH($H284&amp;"|1",$AA$14:$AA$1213,0)),"(tied)")))</f>
        <v/>
      </c>
      <c r="L284" s="25">
        <f>IF($H284="","",IF((--(COUNTIFS($A$14:$A$1213,$H284,$P$14:$P$1213,"&gt;=0")&gt;0)+--(COUNTIFS($A$14:$A$1213,$H284,$Q$14:$Q$1213,"&gt;=0")&gt;0)+--(COUNTIFS($A$14:$A$1213,$H284,$R$14:$R$1213,"&gt;=0")&gt;0)+--(COUNTIFS($A$14:$A$1213,$H284,$S$14:$S$1213,"&gt;=0")&gt;0)+--(COUNTIFS($A$14:$A$1213,$H284,$T$14:$T$1213,"&gt;=0")&gt;0))&lt;2,"—",IF(SUMIFS($AH$14:$AH$1213,$A$14:$A$1213,$H284)=0,"Yes","No")))</f>
        <v/>
      </c>
      <c r="M284" s="25">
        <f>IF($H284="","",IF(COUNTIFS($A$14:$A$1213,$H284,$F$14:$F$1213,"&gt;=0")&lt;2,"—",IF(COUNTIFS($A$14:$A$1213,$H284,$F$14:$F$1213,_xlfn.MAXIFS($F$14:$F$1213,$A$14:$A$1213,$H284))&gt;1,"No",IF(NOT(ISNUMBER($AN284)),"—",IF((2*(1-NORMSDIST(ABS($AN284))))&lt;0.05,"Yes","No")))))</f>
        <v/>
      </c>
      <c r="N284" s="21">
        <f>IF($H284="","",IF(NOT(ISNUMBER($AN284)),"—",IF((2*(1-NORMSDIST(ABS($AN284))))&lt;0.001,"&lt;0.001",TEXT((2*(1-NORMSDIST(ABS($AN284)))),"0.000"))))</f>
        <v/>
      </c>
      <c r="P284" s="26" t="n"/>
      <c r="Q284" s="26" t="n"/>
      <c r="R284" s="26" t="n"/>
      <c r="S284" s="26" t="n"/>
      <c r="T284" s="26" t="n"/>
      <c r="V284" s="27">
        <f>IF(ISNUMBER($C284),COUNTIFS($A$14:$A$1213,$A284,$C$14:$C$1213,"&gt;"&amp;$C284)+(COUNTIFS($A$14:$A$1213,$A284,$C$14:$C$1213,"="&amp;$C284)+1)/2,"")</f>
        <v/>
      </c>
      <c r="W284" s="27">
        <f>IF(ISNUMBER($F284),COUNTIFS($A$14:$A$1213,$A284,$F$14:$F$1213,"&gt;"&amp;$F284)+(COUNTIFS($A$14:$A$1213,$A284,$F$14:$F$1213,"="&amp;$F284)+1)/2,"")</f>
        <v/>
      </c>
      <c r="X284" s="27">
        <f>IF(OR(NOT(ISNUMBER($V284)),$AO284=1),"",$V284-(COUNTIFS($A$14:$A$1213,$A284,$C$14:$C$1213,"&gt;=0")+1)/2)</f>
        <v/>
      </c>
      <c r="Y284" s="27">
        <f>IF(OR(NOT(ISNUMBER($W284)),$AO284=1),"",$W284-(COUNTIFS($A$14:$A$1213,$A284,$F$14:$F$1213,"&gt;=0")+1)/2)</f>
        <v/>
      </c>
      <c r="Z284" s="27">
        <f>IF(ISNUMBER($V284),$A284&amp;"|"&amp;$V284,"")</f>
        <v/>
      </c>
      <c r="AA284" s="27">
        <f>IF(ISNUMBER($W284),$A284&amp;"|"&amp;$W284,"")</f>
        <v/>
      </c>
      <c r="AB284" s="27">
        <f>IF(ISNUMBER($F284),$A284&amp;"|"&amp;$F284,"")</f>
        <v/>
      </c>
      <c r="AC284" s="27">
        <f>IF(ISNUMBER($P284),COUNTIFS($A$14:$A$1213,$A284,$P$14:$P$1213,"&gt;"&amp;$P284)+(COUNTIFS($A$14:$A$1213,$A284,$P$14:$P$1213,"="&amp;$P284)+1)/2,"")</f>
        <v/>
      </c>
      <c r="AD284" s="27">
        <f>IF(ISNUMBER($Q284),COUNTIFS($A$14:$A$1213,$A284,$Q$14:$Q$1213,"&gt;"&amp;$Q284)+(COUNTIFS($A$14:$A$1213,$A284,$Q$14:$Q$1213,"="&amp;$Q284)+1)/2,"")</f>
        <v/>
      </c>
      <c r="AE284" s="27">
        <f>IF(ISNUMBER($R284),COUNTIFS($A$14:$A$1213,$A284,$R$14:$R$1213,"&gt;"&amp;$R284)+(COUNTIFS($A$14:$A$1213,$A284,$R$14:$R$1213,"="&amp;$R284)+1)/2,"")</f>
        <v/>
      </c>
      <c r="AF284" s="27">
        <f>IF(ISNUMBER($S284),COUNTIFS($A$14:$A$1213,$A284,$S$14:$S$1213,"&gt;"&amp;$S284)+(COUNTIFS($A$14:$A$1213,$A284,$S$14:$S$1213,"="&amp;$S284)+1)/2,"")</f>
        <v/>
      </c>
      <c r="AG284" s="27">
        <f>IF(ISNUMBER($T284),COUNTIFS($A$14:$A$1213,$A284,$T$14:$T$1213,"&gt;"&amp;$T284)+(COUNTIFS($A$14:$A$1213,$A284,$T$14:$T$1213,"="&amp;$T284)+1)/2,"")</f>
        <v/>
      </c>
      <c r="AH284" s="27">
        <f>IF(COUNT($AC284:$AG284)&lt;2,"",IF(MAX($AC284:$AG284)=MIN($AC284:$AG284),0,1))</f>
        <v/>
      </c>
      <c r="AI284" s="27">
        <f>IF($A284="","",IF(COUNTIF($A$14:$A284,$A284)=1,COUNTIF($AI$13:AI283,"&gt;0")+1,""))</f>
        <v/>
      </c>
      <c r="AJ284" s="27">
        <f>IF(OR($H284="",COUNTIFS($A$14:$A$1213,$H284,$F$14:$F$1213,"&gt;=0")&lt;2,COUNTIFS($A$14:$A$1213,$H284,$F$14:$F$1213,_xlfn.MAXIFS($F$14:$F$1213,$A$14:$A$1213,$H284))&gt;1),"",IFERROR(INDEX($D$14:$D$1213,MATCH($H284&amp;"|"&amp;_xlfn.MAXIFS($F$14:$F$1213,$A$14:$A$1213,$H284),$AB$14:$AB$1213,0)),""))</f>
        <v/>
      </c>
      <c r="AK284" s="27">
        <f>IF(OR($H284="",COUNTIFS($A$14:$A$1213,$H284,$F$14:$F$1213,"&gt;=0")&lt;2,COUNTIFS($A$14:$A$1213,$H284,$F$14:$F$1213,_xlfn.MAXIFS($F$14:$F$1213,$A$14:$A$1213,$H284))&gt;1),"",IFERROR(INDEX($E$14:$E$1213,MATCH($H284&amp;"|"&amp;_xlfn.MAXIFS($F$14:$F$1213,$A$14:$A$1213,$H284),$AB$14:$AB$1213,0)),""))</f>
        <v/>
      </c>
      <c r="AL284" s="27">
        <f>IF(OR($H284="",COUNTIFS($A$14:$A$1213,$H284,$F$14:$F$1213,"&gt;=0")&lt;2,COUNTIFS($A$14:$A$1213,$H284,$F$14:$F$1213,_xlfn.MAXIFS($F$14:$F$1213,$A$14:$A$1213,$H284))&gt;1),"",IFERROR(INDEX($D$14:$D$1213,MATCH($H284&amp;"|"&amp;_xlfn.MAXIFS($F$14:$F$1213,$A$14:$A$1213,$H284,$F$14:$F$1213,"&lt;"&amp;_xlfn.MAXIFS($F$14:$F$1213,$A$14:$A$1213,$H284)),$AB$14:$AB$1213,0)),""))</f>
        <v/>
      </c>
      <c r="AM284" s="27">
        <f>IF(OR($H284="",COUNTIFS($A$14:$A$1213,$H284,$F$14:$F$1213,"&gt;=0")&lt;2,COUNTIFS($A$14:$A$1213,$H284,$F$14:$F$1213,_xlfn.MAXIFS($F$14:$F$1213,$A$14:$A$1213,$H284))&gt;1),"",IFERROR(INDEX($E$14:$E$1213,MATCH($H284&amp;"|"&amp;_xlfn.MAXIFS($F$14:$F$1213,$A$14:$A$1213,$H284,$F$14:$F$1213,"&lt;"&amp;_xlfn.MAXIFS($F$14:$F$1213,$A$14:$A$1213,$H284)),$AB$14:$AB$1213,0)),""))</f>
        <v/>
      </c>
      <c r="AN284" s="27">
        <f>IF(OR(NOT(ISNUMBER($AJ284)),NOT(ISNUMBER($AL284)),$AK284=0,$AM284=0),"",IF(OR((($AJ284+$AL284)/($AK284+$AM284))&lt;=0,(($AJ284+$AL284)/($AK284+$AM284))&gt;=1),"",($AJ284/$AK284-$AL284/$AM284)/SQRT((($AJ284+$AL284)/($AK284+$AM284))*(1-(($AJ284+$AL284)/($AK284+$AM284)))*(1/$AK284+1/$AM284))))</f>
        <v/>
      </c>
      <c r="AO284" s="27">
        <f>IF($A284="","",IF(AND(COUNTIFS($A$14:$A$1213,$A284,$F$14:$F$1213,"&gt;=0")=2,IFERROR(INDEX($M$14:$M$313,MATCH($A284,$H$14:$H$313,0)),"Yes")&lt;&gt;"Yes"),1,0))</f>
        <v/>
      </c>
    </row>
    <row r="285" ht="24" customHeight="1">
      <c r="A285" s="19">
        <f>IF('Enter messages'!A285="","",'Enter messages'!A285)</f>
        <v/>
      </c>
      <c r="B285" s="20">
        <f>IF('Enter messages'!B285="","",'Enter messages'!B285)</f>
        <v/>
      </c>
      <c r="C285" s="21">
        <f>IFERROR(AVERAGE(P285:T285),"")</f>
        <v/>
      </c>
      <c r="D285" s="29" t="n"/>
      <c r="E285" s="29" t="n"/>
      <c r="F285" s="30">
        <f>IF(AND(ISNUMBER($D285),ISNUMBER($E285),$E285&gt;0,$D285&lt;=$E285),$D285/$E285,"")</f>
        <v/>
      </c>
      <c r="H285" s="19">
        <f>IFERROR(INDEX($A$14:$A$1213,MATCH(272,$AI$14:$AI$1213,0)),"")</f>
        <v/>
      </c>
      <c r="I285" s="24">
        <f>IF($H285="","",IF(COUNTIFS($A$14:$A$1213,$H285,$C$14:$C$1213,"&gt;=0")=0,"—",IFERROR(INDEX($B$14:$B$1213,MATCH($H285&amp;"|1",$Z$14:$Z$1213,0)),"(tied)")))</f>
        <v/>
      </c>
      <c r="J285" s="25">
        <f>IF($H285="","",IF(OR(COUNTIFS($A$14:$A$1213,$H285,$C$14:$C$1213,"&gt;=0")=0,COUNTIFS($A$14:$A$1213,$H285,$F$14:$F$1213,"&gt;=0")=0),"—",IF(OR(ISERROR(MATCH($H285&amp;"|1",$Z$14:$Z$1213,0)),ISERROR(MATCH($H285&amp;"|1",$AA$14:$AA$1213,0))),"Tie",IF(MATCH($H285&amp;"|1",$Z$14:$Z$1213,0)=MATCH($H285&amp;"|1",$AA$14:$AA$1213,0),"Hit","Miss"))))</f>
        <v/>
      </c>
      <c r="K285" s="24">
        <f>IF($H285="","",IF(COUNTIFS($A$14:$A$1213,$H285,$F$14:$F$1213,"&gt;=0")=0,"—",IFERROR(INDEX($B$14:$B$1213,MATCH($H285&amp;"|1",$AA$14:$AA$1213,0)),"(tied)")))</f>
        <v/>
      </c>
      <c r="L285" s="25">
        <f>IF($H285="","",IF((--(COUNTIFS($A$14:$A$1213,$H285,$P$14:$P$1213,"&gt;=0")&gt;0)+--(COUNTIFS($A$14:$A$1213,$H285,$Q$14:$Q$1213,"&gt;=0")&gt;0)+--(COUNTIFS($A$14:$A$1213,$H285,$R$14:$R$1213,"&gt;=0")&gt;0)+--(COUNTIFS($A$14:$A$1213,$H285,$S$14:$S$1213,"&gt;=0")&gt;0)+--(COUNTIFS($A$14:$A$1213,$H285,$T$14:$T$1213,"&gt;=0")&gt;0))&lt;2,"—",IF(SUMIFS($AH$14:$AH$1213,$A$14:$A$1213,$H285)=0,"Yes","No")))</f>
        <v/>
      </c>
      <c r="M285" s="25">
        <f>IF($H285="","",IF(COUNTIFS($A$14:$A$1213,$H285,$F$14:$F$1213,"&gt;=0")&lt;2,"—",IF(COUNTIFS($A$14:$A$1213,$H285,$F$14:$F$1213,_xlfn.MAXIFS($F$14:$F$1213,$A$14:$A$1213,$H285))&gt;1,"No",IF(NOT(ISNUMBER($AN285)),"—",IF((2*(1-NORMSDIST(ABS($AN285))))&lt;0.05,"Yes","No")))))</f>
        <v/>
      </c>
      <c r="N285" s="21">
        <f>IF($H285="","",IF(NOT(ISNUMBER($AN285)),"—",IF((2*(1-NORMSDIST(ABS($AN285))))&lt;0.001,"&lt;0.001",TEXT((2*(1-NORMSDIST(ABS($AN285)))),"0.000"))))</f>
        <v/>
      </c>
      <c r="P285" s="26" t="n"/>
      <c r="Q285" s="26" t="n"/>
      <c r="R285" s="26" t="n"/>
      <c r="S285" s="26" t="n"/>
      <c r="T285" s="26" t="n"/>
      <c r="V285" s="27">
        <f>IF(ISNUMBER($C285),COUNTIFS($A$14:$A$1213,$A285,$C$14:$C$1213,"&gt;"&amp;$C285)+(COUNTIFS($A$14:$A$1213,$A285,$C$14:$C$1213,"="&amp;$C285)+1)/2,"")</f>
        <v/>
      </c>
      <c r="W285" s="27">
        <f>IF(ISNUMBER($F285),COUNTIFS($A$14:$A$1213,$A285,$F$14:$F$1213,"&gt;"&amp;$F285)+(COUNTIFS($A$14:$A$1213,$A285,$F$14:$F$1213,"="&amp;$F285)+1)/2,"")</f>
        <v/>
      </c>
      <c r="X285" s="27">
        <f>IF(OR(NOT(ISNUMBER($V285)),$AO285=1),"",$V285-(COUNTIFS($A$14:$A$1213,$A285,$C$14:$C$1213,"&gt;=0")+1)/2)</f>
        <v/>
      </c>
      <c r="Y285" s="27">
        <f>IF(OR(NOT(ISNUMBER($W285)),$AO285=1),"",$W285-(COUNTIFS($A$14:$A$1213,$A285,$F$14:$F$1213,"&gt;=0")+1)/2)</f>
        <v/>
      </c>
      <c r="Z285" s="27">
        <f>IF(ISNUMBER($V285),$A285&amp;"|"&amp;$V285,"")</f>
        <v/>
      </c>
      <c r="AA285" s="27">
        <f>IF(ISNUMBER($W285),$A285&amp;"|"&amp;$W285,"")</f>
        <v/>
      </c>
      <c r="AB285" s="27">
        <f>IF(ISNUMBER($F285),$A285&amp;"|"&amp;$F285,"")</f>
        <v/>
      </c>
      <c r="AC285" s="27">
        <f>IF(ISNUMBER($P285),COUNTIFS($A$14:$A$1213,$A285,$P$14:$P$1213,"&gt;"&amp;$P285)+(COUNTIFS($A$14:$A$1213,$A285,$P$14:$P$1213,"="&amp;$P285)+1)/2,"")</f>
        <v/>
      </c>
      <c r="AD285" s="27">
        <f>IF(ISNUMBER($Q285),COUNTIFS($A$14:$A$1213,$A285,$Q$14:$Q$1213,"&gt;"&amp;$Q285)+(COUNTIFS($A$14:$A$1213,$A285,$Q$14:$Q$1213,"="&amp;$Q285)+1)/2,"")</f>
        <v/>
      </c>
      <c r="AE285" s="27">
        <f>IF(ISNUMBER($R285),COUNTIFS($A$14:$A$1213,$A285,$R$14:$R$1213,"&gt;"&amp;$R285)+(COUNTIFS($A$14:$A$1213,$A285,$R$14:$R$1213,"="&amp;$R285)+1)/2,"")</f>
        <v/>
      </c>
      <c r="AF285" s="27">
        <f>IF(ISNUMBER($S285),COUNTIFS($A$14:$A$1213,$A285,$S$14:$S$1213,"&gt;"&amp;$S285)+(COUNTIFS($A$14:$A$1213,$A285,$S$14:$S$1213,"="&amp;$S285)+1)/2,"")</f>
        <v/>
      </c>
      <c r="AG285" s="27">
        <f>IF(ISNUMBER($T285),COUNTIFS($A$14:$A$1213,$A285,$T$14:$T$1213,"&gt;"&amp;$T285)+(COUNTIFS($A$14:$A$1213,$A285,$T$14:$T$1213,"="&amp;$T285)+1)/2,"")</f>
        <v/>
      </c>
      <c r="AH285" s="27">
        <f>IF(COUNT($AC285:$AG285)&lt;2,"",IF(MAX($AC285:$AG285)=MIN($AC285:$AG285),0,1))</f>
        <v/>
      </c>
      <c r="AI285" s="27">
        <f>IF($A285="","",IF(COUNTIF($A$14:$A285,$A285)=1,COUNTIF($AI$13:AI284,"&gt;0")+1,""))</f>
        <v/>
      </c>
      <c r="AJ285" s="27">
        <f>IF(OR($H285="",COUNTIFS($A$14:$A$1213,$H285,$F$14:$F$1213,"&gt;=0")&lt;2,COUNTIFS($A$14:$A$1213,$H285,$F$14:$F$1213,_xlfn.MAXIFS($F$14:$F$1213,$A$14:$A$1213,$H285))&gt;1),"",IFERROR(INDEX($D$14:$D$1213,MATCH($H285&amp;"|"&amp;_xlfn.MAXIFS($F$14:$F$1213,$A$14:$A$1213,$H285),$AB$14:$AB$1213,0)),""))</f>
        <v/>
      </c>
      <c r="AK285" s="27">
        <f>IF(OR($H285="",COUNTIFS($A$14:$A$1213,$H285,$F$14:$F$1213,"&gt;=0")&lt;2,COUNTIFS($A$14:$A$1213,$H285,$F$14:$F$1213,_xlfn.MAXIFS($F$14:$F$1213,$A$14:$A$1213,$H285))&gt;1),"",IFERROR(INDEX($E$14:$E$1213,MATCH($H285&amp;"|"&amp;_xlfn.MAXIFS($F$14:$F$1213,$A$14:$A$1213,$H285),$AB$14:$AB$1213,0)),""))</f>
        <v/>
      </c>
      <c r="AL285" s="27">
        <f>IF(OR($H285="",COUNTIFS($A$14:$A$1213,$H285,$F$14:$F$1213,"&gt;=0")&lt;2,COUNTIFS($A$14:$A$1213,$H285,$F$14:$F$1213,_xlfn.MAXIFS($F$14:$F$1213,$A$14:$A$1213,$H285))&gt;1),"",IFERROR(INDEX($D$14:$D$1213,MATCH($H285&amp;"|"&amp;_xlfn.MAXIFS($F$14:$F$1213,$A$14:$A$1213,$H285,$F$14:$F$1213,"&lt;"&amp;_xlfn.MAXIFS($F$14:$F$1213,$A$14:$A$1213,$H285)),$AB$14:$AB$1213,0)),""))</f>
        <v/>
      </c>
      <c r="AM285" s="27">
        <f>IF(OR($H285="",COUNTIFS($A$14:$A$1213,$H285,$F$14:$F$1213,"&gt;=0")&lt;2,COUNTIFS($A$14:$A$1213,$H285,$F$14:$F$1213,_xlfn.MAXIFS($F$14:$F$1213,$A$14:$A$1213,$H285))&gt;1),"",IFERROR(INDEX($E$14:$E$1213,MATCH($H285&amp;"|"&amp;_xlfn.MAXIFS($F$14:$F$1213,$A$14:$A$1213,$H285,$F$14:$F$1213,"&lt;"&amp;_xlfn.MAXIFS($F$14:$F$1213,$A$14:$A$1213,$H285)),$AB$14:$AB$1213,0)),""))</f>
        <v/>
      </c>
      <c r="AN285" s="27">
        <f>IF(OR(NOT(ISNUMBER($AJ285)),NOT(ISNUMBER($AL285)),$AK285=0,$AM285=0),"",IF(OR((($AJ285+$AL285)/($AK285+$AM285))&lt;=0,(($AJ285+$AL285)/($AK285+$AM285))&gt;=1),"",($AJ285/$AK285-$AL285/$AM285)/SQRT((($AJ285+$AL285)/($AK285+$AM285))*(1-(($AJ285+$AL285)/($AK285+$AM285)))*(1/$AK285+1/$AM285))))</f>
        <v/>
      </c>
      <c r="AO285" s="27">
        <f>IF($A285="","",IF(AND(COUNTIFS($A$14:$A$1213,$A285,$F$14:$F$1213,"&gt;=0")=2,IFERROR(INDEX($M$14:$M$313,MATCH($A285,$H$14:$H$313,0)),"Yes")&lt;&gt;"Yes"),1,0))</f>
        <v/>
      </c>
    </row>
    <row r="286" ht="24" customHeight="1">
      <c r="A286" s="19">
        <f>IF('Enter messages'!A286="","",'Enter messages'!A286)</f>
        <v/>
      </c>
      <c r="B286" s="20">
        <f>IF('Enter messages'!B286="","",'Enter messages'!B286)</f>
        <v/>
      </c>
      <c r="C286" s="21">
        <f>IFERROR(AVERAGE(P286:T286),"")</f>
        <v/>
      </c>
      <c r="D286" s="29" t="n"/>
      <c r="E286" s="29" t="n"/>
      <c r="F286" s="30">
        <f>IF(AND(ISNUMBER($D286),ISNUMBER($E286),$E286&gt;0,$D286&lt;=$E286),$D286/$E286,"")</f>
        <v/>
      </c>
      <c r="H286" s="19">
        <f>IFERROR(INDEX($A$14:$A$1213,MATCH(273,$AI$14:$AI$1213,0)),"")</f>
        <v/>
      </c>
      <c r="I286" s="24">
        <f>IF($H286="","",IF(COUNTIFS($A$14:$A$1213,$H286,$C$14:$C$1213,"&gt;=0")=0,"—",IFERROR(INDEX($B$14:$B$1213,MATCH($H286&amp;"|1",$Z$14:$Z$1213,0)),"(tied)")))</f>
        <v/>
      </c>
      <c r="J286" s="25">
        <f>IF($H286="","",IF(OR(COUNTIFS($A$14:$A$1213,$H286,$C$14:$C$1213,"&gt;=0")=0,COUNTIFS($A$14:$A$1213,$H286,$F$14:$F$1213,"&gt;=0")=0),"—",IF(OR(ISERROR(MATCH($H286&amp;"|1",$Z$14:$Z$1213,0)),ISERROR(MATCH($H286&amp;"|1",$AA$14:$AA$1213,0))),"Tie",IF(MATCH($H286&amp;"|1",$Z$14:$Z$1213,0)=MATCH($H286&amp;"|1",$AA$14:$AA$1213,0),"Hit","Miss"))))</f>
        <v/>
      </c>
      <c r="K286" s="24">
        <f>IF($H286="","",IF(COUNTIFS($A$14:$A$1213,$H286,$F$14:$F$1213,"&gt;=0")=0,"—",IFERROR(INDEX($B$14:$B$1213,MATCH($H286&amp;"|1",$AA$14:$AA$1213,0)),"(tied)")))</f>
        <v/>
      </c>
      <c r="L286" s="25">
        <f>IF($H286="","",IF((--(COUNTIFS($A$14:$A$1213,$H286,$P$14:$P$1213,"&gt;=0")&gt;0)+--(COUNTIFS($A$14:$A$1213,$H286,$Q$14:$Q$1213,"&gt;=0")&gt;0)+--(COUNTIFS($A$14:$A$1213,$H286,$R$14:$R$1213,"&gt;=0")&gt;0)+--(COUNTIFS($A$14:$A$1213,$H286,$S$14:$S$1213,"&gt;=0")&gt;0)+--(COUNTIFS($A$14:$A$1213,$H286,$T$14:$T$1213,"&gt;=0")&gt;0))&lt;2,"—",IF(SUMIFS($AH$14:$AH$1213,$A$14:$A$1213,$H286)=0,"Yes","No")))</f>
        <v/>
      </c>
      <c r="M286" s="25">
        <f>IF($H286="","",IF(COUNTIFS($A$14:$A$1213,$H286,$F$14:$F$1213,"&gt;=0")&lt;2,"—",IF(COUNTIFS($A$14:$A$1213,$H286,$F$14:$F$1213,_xlfn.MAXIFS($F$14:$F$1213,$A$14:$A$1213,$H286))&gt;1,"No",IF(NOT(ISNUMBER($AN286)),"—",IF((2*(1-NORMSDIST(ABS($AN286))))&lt;0.05,"Yes","No")))))</f>
        <v/>
      </c>
      <c r="N286" s="21">
        <f>IF($H286="","",IF(NOT(ISNUMBER($AN286)),"—",IF((2*(1-NORMSDIST(ABS($AN286))))&lt;0.001,"&lt;0.001",TEXT((2*(1-NORMSDIST(ABS($AN286)))),"0.000"))))</f>
        <v/>
      </c>
      <c r="P286" s="26" t="n"/>
      <c r="Q286" s="26" t="n"/>
      <c r="R286" s="26" t="n"/>
      <c r="S286" s="26" t="n"/>
      <c r="T286" s="26" t="n"/>
      <c r="V286" s="27">
        <f>IF(ISNUMBER($C286),COUNTIFS($A$14:$A$1213,$A286,$C$14:$C$1213,"&gt;"&amp;$C286)+(COUNTIFS($A$14:$A$1213,$A286,$C$14:$C$1213,"="&amp;$C286)+1)/2,"")</f>
        <v/>
      </c>
      <c r="W286" s="27">
        <f>IF(ISNUMBER($F286),COUNTIFS($A$14:$A$1213,$A286,$F$14:$F$1213,"&gt;"&amp;$F286)+(COUNTIFS($A$14:$A$1213,$A286,$F$14:$F$1213,"="&amp;$F286)+1)/2,"")</f>
        <v/>
      </c>
      <c r="X286" s="27">
        <f>IF(OR(NOT(ISNUMBER($V286)),$AO286=1),"",$V286-(COUNTIFS($A$14:$A$1213,$A286,$C$14:$C$1213,"&gt;=0")+1)/2)</f>
        <v/>
      </c>
      <c r="Y286" s="27">
        <f>IF(OR(NOT(ISNUMBER($W286)),$AO286=1),"",$W286-(COUNTIFS($A$14:$A$1213,$A286,$F$14:$F$1213,"&gt;=0")+1)/2)</f>
        <v/>
      </c>
      <c r="Z286" s="27">
        <f>IF(ISNUMBER($V286),$A286&amp;"|"&amp;$V286,"")</f>
        <v/>
      </c>
      <c r="AA286" s="27">
        <f>IF(ISNUMBER($W286),$A286&amp;"|"&amp;$W286,"")</f>
        <v/>
      </c>
      <c r="AB286" s="27">
        <f>IF(ISNUMBER($F286),$A286&amp;"|"&amp;$F286,"")</f>
        <v/>
      </c>
      <c r="AC286" s="27">
        <f>IF(ISNUMBER($P286),COUNTIFS($A$14:$A$1213,$A286,$P$14:$P$1213,"&gt;"&amp;$P286)+(COUNTIFS($A$14:$A$1213,$A286,$P$14:$P$1213,"="&amp;$P286)+1)/2,"")</f>
        <v/>
      </c>
      <c r="AD286" s="27">
        <f>IF(ISNUMBER($Q286),COUNTIFS($A$14:$A$1213,$A286,$Q$14:$Q$1213,"&gt;"&amp;$Q286)+(COUNTIFS($A$14:$A$1213,$A286,$Q$14:$Q$1213,"="&amp;$Q286)+1)/2,"")</f>
        <v/>
      </c>
      <c r="AE286" s="27">
        <f>IF(ISNUMBER($R286),COUNTIFS($A$14:$A$1213,$A286,$R$14:$R$1213,"&gt;"&amp;$R286)+(COUNTIFS($A$14:$A$1213,$A286,$R$14:$R$1213,"="&amp;$R286)+1)/2,"")</f>
        <v/>
      </c>
      <c r="AF286" s="27">
        <f>IF(ISNUMBER($S286),COUNTIFS($A$14:$A$1213,$A286,$S$14:$S$1213,"&gt;"&amp;$S286)+(COUNTIFS($A$14:$A$1213,$A286,$S$14:$S$1213,"="&amp;$S286)+1)/2,"")</f>
        <v/>
      </c>
      <c r="AG286" s="27">
        <f>IF(ISNUMBER($T286),COUNTIFS($A$14:$A$1213,$A286,$T$14:$T$1213,"&gt;"&amp;$T286)+(COUNTIFS($A$14:$A$1213,$A286,$T$14:$T$1213,"="&amp;$T286)+1)/2,"")</f>
        <v/>
      </c>
      <c r="AH286" s="27">
        <f>IF(COUNT($AC286:$AG286)&lt;2,"",IF(MAX($AC286:$AG286)=MIN($AC286:$AG286),0,1))</f>
        <v/>
      </c>
      <c r="AI286" s="27">
        <f>IF($A286="","",IF(COUNTIF($A$14:$A286,$A286)=1,COUNTIF($AI$13:AI285,"&gt;0")+1,""))</f>
        <v/>
      </c>
      <c r="AJ286" s="27">
        <f>IF(OR($H286="",COUNTIFS($A$14:$A$1213,$H286,$F$14:$F$1213,"&gt;=0")&lt;2,COUNTIFS($A$14:$A$1213,$H286,$F$14:$F$1213,_xlfn.MAXIFS($F$14:$F$1213,$A$14:$A$1213,$H286))&gt;1),"",IFERROR(INDEX($D$14:$D$1213,MATCH($H286&amp;"|"&amp;_xlfn.MAXIFS($F$14:$F$1213,$A$14:$A$1213,$H286),$AB$14:$AB$1213,0)),""))</f>
        <v/>
      </c>
      <c r="AK286" s="27">
        <f>IF(OR($H286="",COUNTIFS($A$14:$A$1213,$H286,$F$14:$F$1213,"&gt;=0")&lt;2,COUNTIFS($A$14:$A$1213,$H286,$F$14:$F$1213,_xlfn.MAXIFS($F$14:$F$1213,$A$14:$A$1213,$H286))&gt;1),"",IFERROR(INDEX($E$14:$E$1213,MATCH($H286&amp;"|"&amp;_xlfn.MAXIFS($F$14:$F$1213,$A$14:$A$1213,$H286),$AB$14:$AB$1213,0)),""))</f>
        <v/>
      </c>
      <c r="AL286" s="27">
        <f>IF(OR($H286="",COUNTIFS($A$14:$A$1213,$H286,$F$14:$F$1213,"&gt;=0")&lt;2,COUNTIFS($A$14:$A$1213,$H286,$F$14:$F$1213,_xlfn.MAXIFS($F$14:$F$1213,$A$14:$A$1213,$H286))&gt;1),"",IFERROR(INDEX($D$14:$D$1213,MATCH($H286&amp;"|"&amp;_xlfn.MAXIFS($F$14:$F$1213,$A$14:$A$1213,$H286,$F$14:$F$1213,"&lt;"&amp;_xlfn.MAXIFS($F$14:$F$1213,$A$14:$A$1213,$H286)),$AB$14:$AB$1213,0)),""))</f>
        <v/>
      </c>
      <c r="AM286" s="27">
        <f>IF(OR($H286="",COUNTIFS($A$14:$A$1213,$H286,$F$14:$F$1213,"&gt;=0")&lt;2,COUNTIFS($A$14:$A$1213,$H286,$F$14:$F$1213,_xlfn.MAXIFS($F$14:$F$1213,$A$14:$A$1213,$H286))&gt;1),"",IFERROR(INDEX($E$14:$E$1213,MATCH($H286&amp;"|"&amp;_xlfn.MAXIFS($F$14:$F$1213,$A$14:$A$1213,$H286,$F$14:$F$1213,"&lt;"&amp;_xlfn.MAXIFS($F$14:$F$1213,$A$14:$A$1213,$H286)),$AB$14:$AB$1213,0)),""))</f>
        <v/>
      </c>
      <c r="AN286" s="27">
        <f>IF(OR(NOT(ISNUMBER($AJ286)),NOT(ISNUMBER($AL286)),$AK286=0,$AM286=0),"",IF(OR((($AJ286+$AL286)/($AK286+$AM286))&lt;=0,(($AJ286+$AL286)/($AK286+$AM286))&gt;=1),"",($AJ286/$AK286-$AL286/$AM286)/SQRT((($AJ286+$AL286)/($AK286+$AM286))*(1-(($AJ286+$AL286)/($AK286+$AM286)))*(1/$AK286+1/$AM286))))</f>
        <v/>
      </c>
      <c r="AO286" s="27">
        <f>IF($A286="","",IF(AND(COUNTIFS($A$14:$A$1213,$A286,$F$14:$F$1213,"&gt;=0")=2,IFERROR(INDEX($M$14:$M$313,MATCH($A286,$H$14:$H$313,0)),"Yes")&lt;&gt;"Yes"),1,0))</f>
        <v/>
      </c>
    </row>
    <row r="287" ht="24" customHeight="1">
      <c r="A287" s="19">
        <f>IF('Enter messages'!A287="","",'Enter messages'!A287)</f>
        <v/>
      </c>
      <c r="B287" s="20">
        <f>IF('Enter messages'!B287="","",'Enter messages'!B287)</f>
        <v/>
      </c>
      <c r="C287" s="21">
        <f>IFERROR(AVERAGE(P287:T287),"")</f>
        <v/>
      </c>
      <c r="D287" s="29" t="n"/>
      <c r="E287" s="29" t="n"/>
      <c r="F287" s="30">
        <f>IF(AND(ISNUMBER($D287),ISNUMBER($E287),$E287&gt;0,$D287&lt;=$E287),$D287/$E287,"")</f>
        <v/>
      </c>
      <c r="H287" s="19">
        <f>IFERROR(INDEX($A$14:$A$1213,MATCH(274,$AI$14:$AI$1213,0)),"")</f>
        <v/>
      </c>
      <c r="I287" s="24">
        <f>IF($H287="","",IF(COUNTIFS($A$14:$A$1213,$H287,$C$14:$C$1213,"&gt;=0")=0,"—",IFERROR(INDEX($B$14:$B$1213,MATCH($H287&amp;"|1",$Z$14:$Z$1213,0)),"(tied)")))</f>
        <v/>
      </c>
      <c r="J287" s="25">
        <f>IF($H287="","",IF(OR(COUNTIFS($A$14:$A$1213,$H287,$C$14:$C$1213,"&gt;=0")=0,COUNTIFS($A$14:$A$1213,$H287,$F$14:$F$1213,"&gt;=0")=0),"—",IF(OR(ISERROR(MATCH($H287&amp;"|1",$Z$14:$Z$1213,0)),ISERROR(MATCH($H287&amp;"|1",$AA$14:$AA$1213,0))),"Tie",IF(MATCH($H287&amp;"|1",$Z$14:$Z$1213,0)=MATCH($H287&amp;"|1",$AA$14:$AA$1213,0),"Hit","Miss"))))</f>
        <v/>
      </c>
      <c r="K287" s="24">
        <f>IF($H287="","",IF(COUNTIFS($A$14:$A$1213,$H287,$F$14:$F$1213,"&gt;=0")=0,"—",IFERROR(INDEX($B$14:$B$1213,MATCH($H287&amp;"|1",$AA$14:$AA$1213,0)),"(tied)")))</f>
        <v/>
      </c>
      <c r="L287" s="25">
        <f>IF($H287="","",IF((--(COUNTIFS($A$14:$A$1213,$H287,$P$14:$P$1213,"&gt;=0")&gt;0)+--(COUNTIFS($A$14:$A$1213,$H287,$Q$14:$Q$1213,"&gt;=0")&gt;0)+--(COUNTIFS($A$14:$A$1213,$H287,$R$14:$R$1213,"&gt;=0")&gt;0)+--(COUNTIFS($A$14:$A$1213,$H287,$S$14:$S$1213,"&gt;=0")&gt;0)+--(COUNTIFS($A$14:$A$1213,$H287,$T$14:$T$1213,"&gt;=0")&gt;0))&lt;2,"—",IF(SUMIFS($AH$14:$AH$1213,$A$14:$A$1213,$H287)=0,"Yes","No")))</f>
        <v/>
      </c>
      <c r="M287" s="25">
        <f>IF($H287="","",IF(COUNTIFS($A$14:$A$1213,$H287,$F$14:$F$1213,"&gt;=0")&lt;2,"—",IF(COUNTIFS($A$14:$A$1213,$H287,$F$14:$F$1213,_xlfn.MAXIFS($F$14:$F$1213,$A$14:$A$1213,$H287))&gt;1,"No",IF(NOT(ISNUMBER($AN287)),"—",IF((2*(1-NORMSDIST(ABS($AN287))))&lt;0.05,"Yes","No")))))</f>
        <v/>
      </c>
      <c r="N287" s="21">
        <f>IF($H287="","",IF(NOT(ISNUMBER($AN287)),"—",IF((2*(1-NORMSDIST(ABS($AN287))))&lt;0.001,"&lt;0.001",TEXT((2*(1-NORMSDIST(ABS($AN287)))),"0.000"))))</f>
        <v/>
      </c>
      <c r="P287" s="26" t="n"/>
      <c r="Q287" s="26" t="n"/>
      <c r="R287" s="26" t="n"/>
      <c r="S287" s="26" t="n"/>
      <c r="T287" s="26" t="n"/>
      <c r="V287" s="27">
        <f>IF(ISNUMBER($C287),COUNTIFS($A$14:$A$1213,$A287,$C$14:$C$1213,"&gt;"&amp;$C287)+(COUNTIFS($A$14:$A$1213,$A287,$C$14:$C$1213,"="&amp;$C287)+1)/2,"")</f>
        <v/>
      </c>
      <c r="W287" s="27">
        <f>IF(ISNUMBER($F287),COUNTIFS($A$14:$A$1213,$A287,$F$14:$F$1213,"&gt;"&amp;$F287)+(COUNTIFS($A$14:$A$1213,$A287,$F$14:$F$1213,"="&amp;$F287)+1)/2,"")</f>
        <v/>
      </c>
      <c r="X287" s="27">
        <f>IF(OR(NOT(ISNUMBER($V287)),$AO287=1),"",$V287-(COUNTIFS($A$14:$A$1213,$A287,$C$14:$C$1213,"&gt;=0")+1)/2)</f>
        <v/>
      </c>
      <c r="Y287" s="27">
        <f>IF(OR(NOT(ISNUMBER($W287)),$AO287=1),"",$W287-(COUNTIFS($A$14:$A$1213,$A287,$F$14:$F$1213,"&gt;=0")+1)/2)</f>
        <v/>
      </c>
      <c r="Z287" s="27">
        <f>IF(ISNUMBER($V287),$A287&amp;"|"&amp;$V287,"")</f>
        <v/>
      </c>
      <c r="AA287" s="27">
        <f>IF(ISNUMBER($W287),$A287&amp;"|"&amp;$W287,"")</f>
        <v/>
      </c>
      <c r="AB287" s="27">
        <f>IF(ISNUMBER($F287),$A287&amp;"|"&amp;$F287,"")</f>
        <v/>
      </c>
      <c r="AC287" s="27">
        <f>IF(ISNUMBER($P287),COUNTIFS($A$14:$A$1213,$A287,$P$14:$P$1213,"&gt;"&amp;$P287)+(COUNTIFS($A$14:$A$1213,$A287,$P$14:$P$1213,"="&amp;$P287)+1)/2,"")</f>
        <v/>
      </c>
      <c r="AD287" s="27">
        <f>IF(ISNUMBER($Q287),COUNTIFS($A$14:$A$1213,$A287,$Q$14:$Q$1213,"&gt;"&amp;$Q287)+(COUNTIFS($A$14:$A$1213,$A287,$Q$14:$Q$1213,"="&amp;$Q287)+1)/2,"")</f>
        <v/>
      </c>
      <c r="AE287" s="27">
        <f>IF(ISNUMBER($R287),COUNTIFS($A$14:$A$1213,$A287,$R$14:$R$1213,"&gt;"&amp;$R287)+(COUNTIFS($A$14:$A$1213,$A287,$R$14:$R$1213,"="&amp;$R287)+1)/2,"")</f>
        <v/>
      </c>
      <c r="AF287" s="27">
        <f>IF(ISNUMBER($S287),COUNTIFS($A$14:$A$1213,$A287,$S$14:$S$1213,"&gt;"&amp;$S287)+(COUNTIFS($A$14:$A$1213,$A287,$S$14:$S$1213,"="&amp;$S287)+1)/2,"")</f>
        <v/>
      </c>
      <c r="AG287" s="27">
        <f>IF(ISNUMBER($T287),COUNTIFS($A$14:$A$1213,$A287,$T$14:$T$1213,"&gt;"&amp;$T287)+(COUNTIFS($A$14:$A$1213,$A287,$T$14:$T$1213,"="&amp;$T287)+1)/2,"")</f>
        <v/>
      </c>
      <c r="AH287" s="27">
        <f>IF(COUNT($AC287:$AG287)&lt;2,"",IF(MAX($AC287:$AG287)=MIN($AC287:$AG287),0,1))</f>
        <v/>
      </c>
      <c r="AI287" s="27">
        <f>IF($A287="","",IF(COUNTIF($A$14:$A287,$A287)=1,COUNTIF($AI$13:AI286,"&gt;0")+1,""))</f>
        <v/>
      </c>
      <c r="AJ287" s="27">
        <f>IF(OR($H287="",COUNTIFS($A$14:$A$1213,$H287,$F$14:$F$1213,"&gt;=0")&lt;2,COUNTIFS($A$14:$A$1213,$H287,$F$14:$F$1213,_xlfn.MAXIFS($F$14:$F$1213,$A$14:$A$1213,$H287))&gt;1),"",IFERROR(INDEX($D$14:$D$1213,MATCH($H287&amp;"|"&amp;_xlfn.MAXIFS($F$14:$F$1213,$A$14:$A$1213,$H287),$AB$14:$AB$1213,0)),""))</f>
        <v/>
      </c>
      <c r="AK287" s="27">
        <f>IF(OR($H287="",COUNTIFS($A$14:$A$1213,$H287,$F$14:$F$1213,"&gt;=0")&lt;2,COUNTIFS($A$14:$A$1213,$H287,$F$14:$F$1213,_xlfn.MAXIFS($F$14:$F$1213,$A$14:$A$1213,$H287))&gt;1),"",IFERROR(INDEX($E$14:$E$1213,MATCH($H287&amp;"|"&amp;_xlfn.MAXIFS($F$14:$F$1213,$A$14:$A$1213,$H287),$AB$14:$AB$1213,0)),""))</f>
        <v/>
      </c>
      <c r="AL287" s="27">
        <f>IF(OR($H287="",COUNTIFS($A$14:$A$1213,$H287,$F$14:$F$1213,"&gt;=0")&lt;2,COUNTIFS($A$14:$A$1213,$H287,$F$14:$F$1213,_xlfn.MAXIFS($F$14:$F$1213,$A$14:$A$1213,$H287))&gt;1),"",IFERROR(INDEX($D$14:$D$1213,MATCH($H287&amp;"|"&amp;_xlfn.MAXIFS($F$14:$F$1213,$A$14:$A$1213,$H287,$F$14:$F$1213,"&lt;"&amp;_xlfn.MAXIFS($F$14:$F$1213,$A$14:$A$1213,$H287)),$AB$14:$AB$1213,0)),""))</f>
        <v/>
      </c>
      <c r="AM287" s="27">
        <f>IF(OR($H287="",COUNTIFS($A$14:$A$1213,$H287,$F$14:$F$1213,"&gt;=0")&lt;2,COUNTIFS($A$14:$A$1213,$H287,$F$14:$F$1213,_xlfn.MAXIFS($F$14:$F$1213,$A$14:$A$1213,$H287))&gt;1),"",IFERROR(INDEX($E$14:$E$1213,MATCH($H287&amp;"|"&amp;_xlfn.MAXIFS($F$14:$F$1213,$A$14:$A$1213,$H287,$F$14:$F$1213,"&lt;"&amp;_xlfn.MAXIFS($F$14:$F$1213,$A$14:$A$1213,$H287)),$AB$14:$AB$1213,0)),""))</f>
        <v/>
      </c>
      <c r="AN287" s="27">
        <f>IF(OR(NOT(ISNUMBER($AJ287)),NOT(ISNUMBER($AL287)),$AK287=0,$AM287=0),"",IF(OR((($AJ287+$AL287)/($AK287+$AM287))&lt;=0,(($AJ287+$AL287)/($AK287+$AM287))&gt;=1),"",($AJ287/$AK287-$AL287/$AM287)/SQRT((($AJ287+$AL287)/($AK287+$AM287))*(1-(($AJ287+$AL287)/($AK287+$AM287)))*(1/$AK287+1/$AM287))))</f>
        <v/>
      </c>
      <c r="AO287" s="27">
        <f>IF($A287="","",IF(AND(COUNTIFS($A$14:$A$1213,$A287,$F$14:$F$1213,"&gt;=0")=2,IFERROR(INDEX($M$14:$M$313,MATCH($A287,$H$14:$H$313,0)),"Yes")&lt;&gt;"Yes"),1,0))</f>
        <v/>
      </c>
    </row>
    <row r="288" ht="24" customHeight="1">
      <c r="A288" s="19">
        <f>IF('Enter messages'!A288="","",'Enter messages'!A288)</f>
        <v/>
      </c>
      <c r="B288" s="20">
        <f>IF('Enter messages'!B288="","",'Enter messages'!B288)</f>
        <v/>
      </c>
      <c r="C288" s="21">
        <f>IFERROR(AVERAGE(P288:T288),"")</f>
        <v/>
      </c>
      <c r="D288" s="29" t="n"/>
      <c r="E288" s="29" t="n"/>
      <c r="F288" s="30">
        <f>IF(AND(ISNUMBER($D288),ISNUMBER($E288),$E288&gt;0,$D288&lt;=$E288),$D288/$E288,"")</f>
        <v/>
      </c>
      <c r="H288" s="19">
        <f>IFERROR(INDEX($A$14:$A$1213,MATCH(275,$AI$14:$AI$1213,0)),"")</f>
        <v/>
      </c>
      <c r="I288" s="24">
        <f>IF($H288="","",IF(COUNTIFS($A$14:$A$1213,$H288,$C$14:$C$1213,"&gt;=0")=0,"—",IFERROR(INDEX($B$14:$B$1213,MATCH($H288&amp;"|1",$Z$14:$Z$1213,0)),"(tied)")))</f>
        <v/>
      </c>
      <c r="J288" s="25">
        <f>IF($H288="","",IF(OR(COUNTIFS($A$14:$A$1213,$H288,$C$14:$C$1213,"&gt;=0")=0,COUNTIFS($A$14:$A$1213,$H288,$F$14:$F$1213,"&gt;=0")=0),"—",IF(OR(ISERROR(MATCH($H288&amp;"|1",$Z$14:$Z$1213,0)),ISERROR(MATCH($H288&amp;"|1",$AA$14:$AA$1213,0))),"Tie",IF(MATCH($H288&amp;"|1",$Z$14:$Z$1213,0)=MATCH($H288&amp;"|1",$AA$14:$AA$1213,0),"Hit","Miss"))))</f>
        <v/>
      </c>
      <c r="K288" s="24">
        <f>IF($H288="","",IF(COUNTIFS($A$14:$A$1213,$H288,$F$14:$F$1213,"&gt;=0")=0,"—",IFERROR(INDEX($B$14:$B$1213,MATCH($H288&amp;"|1",$AA$14:$AA$1213,0)),"(tied)")))</f>
        <v/>
      </c>
      <c r="L288" s="25">
        <f>IF($H288="","",IF((--(COUNTIFS($A$14:$A$1213,$H288,$P$14:$P$1213,"&gt;=0")&gt;0)+--(COUNTIFS($A$14:$A$1213,$H288,$Q$14:$Q$1213,"&gt;=0")&gt;0)+--(COUNTIFS($A$14:$A$1213,$H288,$R$14:$R$1213,"&gt;=0")&gt;0)+--(COUNTIFS($A$14:$A$1213,$H288,$S$14:$S$1213,"&gt;=0")&gt;0)+--(COUNTIFS($A$14:$A$1213,$H288,$T$14:$T$1213,"&gt;=0")&gt;0))&lt;2,"—",IF(SUMIFS($AH$14:$AH$1213,$A$14:$A$1213,$H288)=0,"Yes","No")))</f>
        <v/>
      </c>
      <c r="M288" s="25">
        <f>IF($H288="","",IF(COUNTIFS($A$14:$A$1213,$H288,$F$14:$F$1213,"&gt;=0")&lt;2,"—",IF(COUNTIFS($A$14:$A$1213,$H288,$F$14:$F$1213,_xlfn.MAXIFS($F$14:$F$1213,$A$14:$A$1213,$H288))&gt;1,"No",IF(NOT(ISNUMBER($AN288)),"—",IF((2*(1-NORMSDIST(ABS($AN288))))&lt;0.05,"Yes","No")))))</f>
        <v/>
      </c>
      <c r="N288" s="21">
        <f>IF($H288="","",IF(NOT(ISNUMBER($AN288)),"—",IF((2*(1-NORMSDIST(ABS($AN288))))&lt;0.001,"&lt;0.001",TEXT((2*(1-NORMSDIST(ABS($AN288)))),"0.000"))))</f>
        <v/>
      </c>
      <c r="P288" s="26" t="n"/>
      <c r="Q288" s="26" t="n"/>
      <c r="R288" s="26" t="n"/>
      <c r="S288" s="26" t="n"/>
      <c r="T288" s="26" t="n"/>
      <c r="V288" s="27">
        <f>IF(ISNUMBER($C288),COUNTIFS($A$14:$A$1213,$A288,$C$14:$C$1213,"&gt;"&amp;$C288)+(COUNTIFS($A$14:$A$1213,$A288,$C$14:$C$1213,"="&amp;$C288)+1)/2,"")</f>
        <v/>
      </c>
      <c r="W288" s="27">
        <f>IF(ISNUMBER($F288),COUNTIFS($A$14:$A$1213,$A288,$F$14:$F$1213,"&gt;"&amp;$F288)+(COUNTIFS($A$14:$A$1213,$A288,$F$14:$F$1213,"="&amp;$F288)+1)/2,"")</f>
        <v/>
      </c>
      <c r="X288" s="27">
        <f>IF(OR(NOT(ISNUMBER($V288)),$AO288=1),"",$V288-(COUNTIFS($A$14:$A$1213,$A288,$C$14:$C$1213,"&gt;=0")+1)/2)</f>
        <v/>
      </c>
      <c r="Y288" s="27">
        <f>IF(OR(NOT(ISNUMBER($W288)),$AO288=1),"",$W288-(COUNTIFS($A$14:$A$1213,$A288,$F$14:$F$1213,"&gt;=0")+1)/2)</f>
        <v/>
      </c>
      <c r="Z288" s="27">
        <f>IF(ISNUMBER($V288),$A288&amp;"|"&amp;$V288,"")</f>
        <v/>
      </c>
      <c r="AA288" s="27">
        <f>IF(ISNUMBER($W288),$A288&amp;"|"&amp;$W288,"")</f>
        <v/>
      </c>
      <c r="AB288" s="27">
        <f>IF(ISNUMBER($F288),$A288&amp;"|"&amp;$F288,"")</f>
        <v/>
      </c>
      <c r="AC288" s="27">
        <f>IF(ISNUMBER($P288),COUNTIFS($A$14:$A$1213,$A288,$P$14:$P$1213,"&gt;"&amp;$P288)+(COUNTIFS($A$14:$A$1213,$A288,$P$14:$P$1213,"="&amp;$P288)+1)/2,"")</f>
        <v/>
      </c>
      <c r="AD288" s="27">
        <f>IF(ISNUMBER($Q288),COUNTIFS($A$14:$A$1213,$A288,$Q$14:$Q$1213,"&gt;"&amp;$Q288)+(COUNTIFS($A$14:$A$1213,$A288,$Q$14:$Q$1213,"="&amp;$Q288)+1)/2,"")</f>
        <v/>
      </c>
      <c r="AE288" s="27">
        <f>IF(ISNUMBER($R288),COUNTIFS($A$14:$A$1213,$A288,$R$14:$R$1213,"&gt;"&amp;$R288)+(COUNTIFS($A$14:$A$1213,$A288,$R$14:$R$1213,"="&amp;$R288)+1)/2,"")</f>
        <v/>
      </c>
      <c r="AF288" s="27">
        <f>IF(ISNUMBER($S288),COUNTIFS($A$14:$A$1213,$A288,$S$14:$S$1213,"&gt;"&amp;$S288)+(COUNTIFS($A$14:$A$1213,$A288,$S$14:$S$1213,"="&amp;$S288)+1)/2,"")</f>
        <v/>
      </c>
      <c r="AG288" s="27">
        <f>IF(ISNUMBER($T288),COUNTIFS($A$14:$A$1213,$A288,$T$14:$T$1213,"&gt;"&amp;$T288)+(COUNTIFS($A$14:$A$1213,$A288,$T$14:$T$1213,"="&amp;$T288)+1)/2,"")</f>
        <v/>
      </c>
      <c r="AH288" s="27">
        <f>IF(COUNT($AC288:$AG288)&lt;2,"",IF(MAX($AC288:$AG288)=MIN($AC288:$AG288),0,1))</f>
        <v/>
      </c>
      <c r="AI288" s="27">
        <f>IF($A288="","",IF(COUNTIF($A$14:$A288,$A288)=1,COUNTIF($AI$13:AI287,"&gt;0")+1,""))</f>
        <v/>
      </c>
      <c r="AJ288" s="27">
        <f>IF(OR($H288="",COUNTIFS($A$14:$A$1213,$H288,$F$14:$F$1213,"&gt;=0")&lt;2,COUNTIFS($A$14:$A$1213,$H288,$F$14:$F$1213,_xlfn.MAXIFS($F$14:$F$1213,$A$14:$A$1213,$H288))&gt;1),"",IFERROR(INDEX($D$14:$D$1213,MATCH($H288&amp;"|"&amp;_xlfn.MAXIFS($F$14:$F$1213,$A$14:$A$1213,$H288),$AB$14:$AB$1213,0)),""))</f>
        <v/>
      </c>
      <c r="AK288" s="27">
        <f>IF(OR($H288="",COUNTIFS($A$14:$A$1213,$H288,$F$14:$F$1213,"&gt;=0")&lt;2,COUNTIFS($A$14:$A$1213,$H288,$F$14:$F$1213,_xlfn.MAXIFS($F$14:$F$1213,$A$14:$A$1213,$H288))&gt;1),"",IFERROR(INDEX($E$14:$E$1213,MATCH($H288&amp;"|"&amp;_xlfn.MAXIFS($F$14:$F$1213,$A$14:$A$1213,$H288),$AB$14:$AB$1213,0)),""))</f>
        <v/>
      </c>
      <c r="AL288" s="27">
        <f>IF(OR($H288="",COUNTIFS($A$14:$A$1213,$H288,$F$14:$F$1213,"&gt;=0")&lt;2,COUNTIFS($A$14:$A$1213,$H288,$F$14:$F$1213,_xlfn.MAXIFS($F$14:$F$1213,$A$14:$A$1213,$H288))&gt;1),"",IFERROR(INDEX($D$14:$D$1213,MATCH($H288&amp;"|"&amp;_xlfn.MAXIFS($F$14:$F$1213,$A$14:$A$1213,$H288,$F$14:$F$1213,"&lt;"&amp;_xlfn.MAXIFS($F$14:$F$1213,$A$14:$A$1213,$H288)),$AB$14:$AB$1213,0)),""))</f>
        <v/>
      </c>
      <c r="AM288" s="27">
        <f>IF(OR($H288="",COUNTIFS($A$14:$A$1213,$H288,$F$14:$F$1213,"&gt;=0")&lt;2,COUNTIFS($A$14:$A$1213,$H288,$F$14:$F$1213,_xlfn.MAXIFS($F$14:$F$1213,$A$14:$A$1213,$H288))&gt;1),"",IFERROR(INDEX($E$14:$E$1213,MATCH($H288&amp;"|"&amp;_xlfn.MAXIFS($F$14:$F$1213,$A$14:$A$1213,$H288,$F$14:$F$1213,"&lt;"&amp;_xlfn.MAXIFS($F$14:$F$1213,$A$14:$A$1213,$H288)),$AB$14:$AB$1213,0)),""))</f>
        <v/>
      </c>
      <c r="AN288" s="27">
        <f>IF(OR(NOT(ISNUMBER($AJ288)),NOT(ISNUMBER($AL288)),$AK288=0,$AM288=0),"",IF(OR((($AJ288+$AL288)/($AK288+$AM288))&lt;=0,(($AJ288+$AL288)/($AK288+$AM288))&gt;=1),"",($AJ288/$AK288-$AL288/$AM288)/SQRT((($AJ288+$AL288)/($AK288+$AM288))*(1-(($AJ288+$AL288)/($AK288+$AM288)))*(1/$AK288+1/$AM288))))</f>
        <v/>
      </c>
      <c r="AO288" s="27">
        <f>IF($A288="","",IF(AND(COUNTIFS($A$14:$A$1213,$A288,$F$14:$F$1213,"&gt;=0")=2,IFERROR(INDEX($M$14:$M$313,MATCH($A288,$H$14:$H$313,0)),"Yes")&lt;&gt;"Yes"),1,0))</f>
        <v/>
      </c>
    </row>
    <row r="289" ht="24" customHeight="1">
      <c r="A289" s="19">
        <f>IF('Enter messages'!A289="","",'Enter messages'!A289)</f>
        <v/>
      </c>
      <c r="B289" s="20">
        <f>IF('Enter messages'!B289="","",'Enter messages'!B289)</f>
        <v/>
      </c>
      <c r="C289" s="21">
        <f>IFERROR(AVERAGE(P289:T289),"")</f>
        <v/>
      </c>
      <c r="D289" s="29" t="n"/>
      <c r="E289" s="29" t="n"/>
      <c r="F289" s="30">
        <f>IF(AND(ISNUMBER($D289),ISNUMBER($E289),$E289&gt;0,$D289&lt;=$E289),$D289/$E289,"")</f>
        <v/>
      </c>
      <c r="H289" s="19">
        <f>IFERROR(INDEX($A$14:$A$1213,MATCH(276,$AI$14:$AI$1213,0)),"")</f>
        <v/>
      </c>
      <c r="I289" s="24">
        <f>IF($H289="","",IF(COUNTIFS($A$14:$A$1213,$H289,$C$14:$C$1213,"&gt;=0")=0,"—",IFERROR(INDEX($B$14:$B$1213,MATCH($H289&amp;"|1",$Z$14:$Z$1213,0)),"(tied)")))</f>
        <v/>
      </c>
      <c r="J289" s="25">
        <f>IF($H289="","",IF(OR(COUNTIFS($A$14:$A$1213,$H289,$C$14:$C$1213,"&gt;=0")=0,COUNTIFS($A$14:$A$1213,$H289,$F$14:$F$1213,"&gt;=0")=0),"—",IF(OR(ISERROR(MATCH($H289&amp;"|1",$Z$14:$Z$1213,0)),ISERROR(MATCH($H289&amp;"|1",$AA$14:$AA$1213,0))),"Tie",IF(MATCH($H289&amp;"|1",$Z$14:$Z$1213,0)=MATCH($H289&amp;"|1",$AA$14:$AA$1213,0),"Hit","Miss"))))</f>
        <v/>
      </c>
      <c r="K289" s="24">
        <f>IF($H289="","",IF(COUNTIFS($A$14:$A$1213,$H289,$F$14:$F$1213,"&gt;=0")=0,"—",IFERROR(INDEX($B$14:$B$1213,MATCH($H289&amp;"|1",$AA$14:$AA$1213,0)),"(tied)")))</f>
        <v/>
      </c>
      <c r="L289" s="25">
        <f>IF($H289="","",IF((--(COUNTIFS($A$14:$A$1213,$H289,$P$14:$P$1213,"&gt;=0")&gt;0)+--(COUNTIFS($A$14:$A$1213,$H289,$Q$14:$Q$1213,"&gt;=0")&gt;0)+--(COUNTIFS($A$14:$A$1213,$H289,$R$14:$R$1213,"&gt;=0")&gt;0)+--(COUNTIFS($A$14:$A$1213,$H289,$S$14:$S$1213,"&gt;=0")&gt;0)+--(COUNTIFS($A$14:$A$1213,$H289,$T$14:$T$1213,"&gt;=0")&gt;0))&lt;2,"—",IF(SUMIFS($AH$14:$AH$1213,$A$14:$A$1213,$H289)=0,"Yes","No")))</f>
        <v/>
      </c>
      <c r="M289" s="25">
        <f>IF($H289="","",IF(COUNTIFS($A$14:$A$1213,$H289,$F$14:$F$1213,"&gt;=0")&lt;2,"—",IF(COUNTIFS($A$14:$A$1213,$H289,$F$14:$F$1213,_xlfn.MAXIFS($F$14:$F$1213,$A$14:$A$1213,$H289))&gt;1,"No",IF(NOT(ISNUMBER($AN289)),"—",IF((2*(1-NORMSDIST(ABS($AN289))))&lt;0.05,"Yes","No")))))</f>
        <v/>
      </c>
      <c r="N289" s="21">
        <f>IF($H289="","",IF(NOT(ISNUMBER($AN289)),"—",IF((2*(1-NORMSDIST(ABS($AN289))))&lt;0.001,"&lt;0.001",TEXT((2*(1-NORMSDIST(ABS($AN289)))),"0.000"))))</f>
        <v/>
      </c>
      <c r="P289" s="26" t="n"/>
      <c r="Q289" s="26" t="n"/>
      <c r="R289" s="26" t="n"/>
      <c r="S289" s="26" t="n"/>
      <c r="T289" s="26" t="n"/>
      <c r="V289" s="27">
        <f>IF(ISNUMBER($C289),COUNTIFS($A$14:$A$1213,$A289,$C$14:$C$1213,"&gt;"&amp;$C289)+(COUNTIFS($A$14:$A$1213,$A289,$C$14:$C$1213,"="&amp;$C289)+1)/2,"")</f>
        <v/>
      </c>
      <c r="W289" s="27">
        <f>IF(ISNUMBER($F289),COUNTIFS($A$14:$A$1213,$A289,$F$14:$F$1213,"&gt;"&amp;$F289)+(COUNTIFS($A$14:$A$1213,$A289,$F$14:$F$1213,"="&amp;$F289)+1)/2,"")</f>
        <v/>
      </c>
      <c r="X289" s="27">
        <f>IF(OR(NOT(ISNUMBER($V289)),$AO289=1),"",$V289-(COUNTIFS($A$14:$A$1213,$A289,$C$14:$C$1213,"&gt;=0")+1)/2)</f>
        <v/>
      </c>
      <c r="Y289" s="27">
        <f>IF(OR(NOT(ISNUMBER($W289)),$AO289=1),"",$W289-(COUNTIFS($A$14:$A$1213,$A289,$F$14:$F$1213,"&gt;=0")+1)/2)</f>
        <v/>
      </c>
      <c r="Z289" s="27">
        <f>IF(ISNUMBER($V289),$A289&amp;"|"&amp;$V289,"")</f>
        <v/>
      </c>
      <c r="AA289" s="27">
        <f>IF(ISNUMBER($W289),$A289&amp;"|"&amp;$W289,"")</f>
        <v/>
      </c>
      <c r="AB289" s="27">
        <f>IF(ISNUMBER($F289),$A289&amp;"|"&amp;$F289,"")</f>
        <v/>
      </c>
      <c r="AC289" s="27">
        <f>IF(ISNUMBER($P289),COUNTIFS($A$14:$A$1213,$A289,$P$14:$P$1213,"&gt;"&amp;$P289)+(COUNTIFS($A$14:$A$1213,$A289,$P$14:$P$1213,"="&amp;$P289)+1)/2,"")</f>
        <v/>
      </c>
      <c r="AD289" s="27">
        <f>IF(ISNUMBER($Q289),COUNTIFS($A$14:$A$1213,$A289,$Q$14:$Q$1213,"&gt;"&amp;$Q289)+(COUNTIFS($A$14:$A$1213,$A289,$Q$14:$Q$1213,"="&amp;$Q289)+1)/2,"")</f>
        <v/>
      </c>
      <c r="AE289" s="27">
        <f>IF(ISNUMBER($R289),COUNTIFS($A$14:$A$1213,$A289,$R$14:$R$1213,"&gt;"&amp;$R289)+(COUNTIFS($A$14:$A$1213,$A289,$R$14:$R$1213,"="&amp;$R289)+1)/2,"")</f>
        <v/>
      </c>
      <c r="AF289" s="27">
        <f>IF(ISNUMBER($S289),COUNTIFS($A$14:$A$1213,$A289,$S$14:$S$1213,"&gt;"&amp;$S289)+(COUNTIFS($A$14:$A$1213,$A289,$S$14:$S$1213,"="&amp;$S289)+1)/2,"")</f>
        <v/>
      </c>
      <c r="AG289" s="27">
        <f>IF(ISNUMBER($T289),COUNTIFS($A$14:$A$1213,$A289,$T$14:$T$1213,"&gt;"&amp;$T289)+(COUNTIFS($A$14:$A$1213,$A289,$T$14:$T$1213,"="&amp;$T289)+1)/2,"")</f>
        <v/>
      </c>
      <c r="AH289" s="27">
        <f>IF(COUNT($AC289:$AG289)&lt;2,"",IF(MAX($AC289:$AG289)=MIN($AC289:$AG289),0,1))</f>
        <v/>
      </c>
      <c r="AI289" s="27">
        <f>IF($A289="","",IF(COUNTIF($A$14:$A289,$A289)=1,COUNTIF($AI$13:AI288,"&gt;0")+1,""))</f>
        <v/>
      </c>
      <c r="AJ289" s="27">
        <f>IF(OR($H289="",COUNTIFS($A$14:$A$1213,$H289,$F$14:$F$1213,"&gt;=0")&lt;2,COUNTIFS($A$14:$A$1213,$H289,$F$14:$F$1213,_xlfn.MAXIFS($F$14:$F$1213,$A$14:$A$1213,$H289))&gt;1),"",IFERROR(INDEX($D$14:$D$1213,MATCH($H289&amp;"|"&amp;_xlfn.MAXIFS($F$14:$F$1213,$A$14:$A$1213,$H289),$AB$14:$AB$1213,0)),""))</f>
        <v/>
      </c>
      <c r="AK289" s="27">
        <f>IF(OR($H289="",COUNTIFS($A$14:$A$1213,$H289,$F$14:$F$1213,"&gt;=0")&lt;2,COUNTIFS($A$14:$A$1213,$H289,$F$14:$F$1213,_xlfn.MAXIFS($F$14:$F$1213,$A$14:$A$1213,$H289))&gt;1),"",IFERROR(INDEX($E$14:$E$1213,MATCH($H289&amp;"|"&amp;_xlfn.MAXIFS($F$14:$F$1213,$A$14:$A$1213,$H289),$AB$14:$AB$1213,0)),""))</f>
        <v/>
      </c>
      <c r="AL289" s="27">
        <f>IF(OR($H289="",COUNTIFS($A$14:$A$1213,$H289,$F$14:$F$1213,"&gt;=0")&lt;2,COUNTIFS($A$14:$A$1213,$H289,$F$14:$F$1213,_xlfn.MAXIFS($F$14:$F$1213,$A$14:$A$1213,$H289))&gt;1),"",IFERROR(INDEX($D$14:$D$1213,MATCH($H289&amp;"|"&amp;_xlfn.MAXIFS($F$14:$F$1213,$A$14:$A$1213,$H289,$F$14:$F$1213,"&lt;"&amp;_xlfn.MAXIFS($F$14:$F$1213,$A$14:$A$1213,$H289)),$AB$14:$AB$1213,0)),""))</f>
        <v/>
      </c>
      <c r="AM289" s="27">
        <f>IF(OR($H289="",COUNTIFS($A$14:$A$1213,$H289,$F$14:$F$1213,"&gt;=0")&lt;2,COUNTIFS($A$14:$A$1213,$H289,$F$14:$F$1213,_xlfn.MAXIFS($F$14:$F$1213,$A$14:$A$1213,$H289))&gt;1),"",IFERROR(INDEX($E$14:$E$1213,MATCH($H289&amp;"|"&amp;_xlfn.MAXIFS($F$14:$F$1213,$A$14:$A$1213,$H289,$F$14:$F$1213,"&lt;"&amp;_xlfn.MAXIFS($F$14:$F$1213,$A$14:$A$1213,$H289)),$AB$14:$AB$1213,0)),""))</f>
        <v/>
      </c>
      <c r="AN289" s="27">
        <f>IF(OR(NOT(ISNUMBER($AJ289)),NOT(ISNUMBER($AL289)),$AK289=0,$AM289=0),"",IF(OR((($AJ289+$AL289)/($AK289+$AM289))&lt;=0,(($AJ289+$AL289)/($AK289+$AM289))&gt;=1),"",($AJ289/$AK289-$AL289/$AM289)/SQRT((($AJ289+$AL289)/($AK289+$AM289))*(1-(($AJ289+$AL289)/($AK289+$AM289)))*(1/$AK289+1/$AM289))))</f>
        <v/>
      </c>
      <c r="AO289" s="27">
        <f>IF($A289="","",IF(AND(COUNTIFS($A$14:$A$1213,$A289,$F$14:$F$1213,"&gt;=0")=2,IFERROR(INDEX($M$14:$M$313,MATCH($A289,$H$14:$H$313,0)),"Yes")&lt;&gt;"Yes"),1,0))</f>
        <v/>
      </c>
    </row>
    <row r="290" ht="24" customHeight="1">
      <c r="A290" s="19">
        <f>IF('Enter messages'!A290="","",'Enter messages'!A290)</f>
        <v/>
      </c>
      <c r="B290" s="20">
        <f>IF('Enter messages'!B290="","",'Enter messages'!B290)</f>
        <v/>
      </c>
      <c r="C290" s="21">
        <f>IFERROR(AVERAGE(P290:T290),"")</f>
        <v/>
      </c>
      <c r="D290" s="29" t="n"/>
      <c r="E290" s="29" t="n"/>
      <c r="F290" s="30">
        <f>IF(AND(ISNUMBER($D290),ISNUMBER($E290),$E290&gt;0,$D290&lt;=$E290),$D290/$E290,"")</f>
        <v/>
      </c>
      <c r="H290" s="19">
        <f>IFERROR(INDEX($A$14:$A$1213,MATCH(277,$AI$14:$AI$1213,0)),"")</f>
        <v/>
      </c>
      <c r="I290" s="24">
        <f>IF($H290="","",IF(COUNTIFS($A$14:$A$1213,$H290,$C$14:$C$1213,"&gt;=0")=0,"—",IFERROR(INDEX($B$14:$B$1213,MATCH($H290&amp;"|1",$Z$14:$Z$1213,0)),"(tied)")))</f>
        <v/>
      </c>
      <c r="J290" s="25">
        <f>IF($H290="","",IF(OR(COUNTIFS($A$14:$A$1213,$H290,$C$14:$C$1213,"&gt;=0")=0,COUNTIFS($A$14:$A$1213,$H290,$F$14:$F$1213,"&gt;=0")=0),"—",IF(OR(ISERROR(MATCH($H290&amp;"|1",$Z$14:$Z$1213,0)),ISERROR(MATCH($H290&amp;"|1",$AA$14:$AA$1213,0))),"Tie",IF(MATCH($H290&amp;"|1",$Z$14:$Z$1213,0)=MATCH($H290&amp;"|1",$AA$14:$AA$1213,0),"Hit","Miss"))))</f>
        <v/>
      </c>
      <c r="K290" s="24">
        <f>IF($H290="","",IF(COUNTIFS($A$14:$A$1213,$H290,$F$14:$F$1213,"&gt;=0")=0,"—",IFERROR(INDEX($B$14:$B$1213,MATCH($H290&amp;"|1",$AA$14:$AA$1213,0)),"(tied)")))</f>
        <v/>
      </c>
      <c r="L290" s="25">
        <f>IF($H290="","",IF((--(COUNTIFS($A$14:$A$1213,$H290,$P$14:$P$1213,"&gt;=0")&gt;0)+--(COUNTIFS($A$14:$A$1213,$H290,$Q$14:$Q$1213,"&gt;=0")&gt;0)+--(COUNTIFS($A$14:$A$1213,$H290,$R$14:$R$1213,"&gt;=0")&gt;0)+--(COUNTIFS($A$14:$A$1213,$H290,$S$14:$S$1213,"&gt;=0")&gt;0)+--(COUNTIFS($A$14:$A$1213,$H290,$T$14:$T$1213,"&gt;=0")&gt;0))&lt;2,"—",IF(SUMIFS($AH$14:$AH$1213,$A$14:$A$1213,$H290)=0,"Yes","No")))</f>
        <v/>
      </c>
      <c r="M290" s="25">
        <f>IF($H290="","",IF(COUNTIFS($A$14:$A$1213,$H290,$F$14:$F$1213,"&gt;=0")&lt;2,"—",IF(COUNTIFS($A$14:$A$1213,$H290,$F$14:$F$1213,_xlfn.MAXIFS($F$14:$F$1213,$A$14:$A$1213,$H290))&gt;1,"No",IF(NOT(ISNUMBER($AN290)),"—",IF((2*(1-NORMSDIST(ABS($AN290))))&lt;0.05,"Yes","No")))))</f>
        <v/>
      </c>
      <c r="N290" s="21">
        <f>IF($H290="","",IF(NOT(ISNUMBER($AN290)),"—",IF((2*(1-NORMSDIST(ABS($AN290))))&lt;0.001,"&lt;0.001",TEXT((2*(1-NORMSDIST(ABS($AN290)))),"0.000"))))</f>
        <v/>
      </c>
      <c r="P290" s="26" t="n"/>
      <c r="Q290" s="26" t="n"/>
      <c r="R290" s="26" t="n"/>
      <c r="S290" s="26" t="n"/>
      <c r="T290" s="26" t="n"/>
      <c r="V290" s="27">
        <f>IF(ISNUMBER($C290),COUNTIFS($A$14:$A$1213,$A290,$C$14:$C$1213,"&gt;"&amp;$C290)+(COUNTIFS($A$14:$A$1213,$A290,$C$14:$C$1213,"="&amp;$C290)+1)/2,"")</f>
        <v/>
      </c>
      <c r="W290" s="27">
        <f>IF(ISNUMBER($F290),COUNTIFS($A$14:$A$1213,$A290,$F$14:$F$1213,"&gt;"&amp;$F290)+(COUNTIFS($A$14:$A$1213,$A290,$F$14:$F$1213,"="&amp;$F290)+1)/2,"")</f>
        <v/>
      </c>
      <c r="X290" s="27">
        <f>IF(OR(NOT(ISNUMBER($V290)),$AO290=1),"",$V290-(COUNTIFS($A$14:$A$1213,$A290,$C$14:$C$1213,"&gt;=0")+1)/2)</f>
        <v/>
      </c>
      <c r="Y290" s="27">
        <f>IF(OR(NOT(ISNUMBER($W290)),$AO290=1),"",$W290-(COUNTIFS($A$14:$A$1213,$A290,$F$14:$F$1213,"&gt;=0")+1)/2)</f>
        <v/>
      </c>
      <c r="Z290" s="27">
        <f>IF(ISNUMBER($V290),$A290&amp;"|"&amp;$V290,"")</f>
        <v/>
      </c>
      <c r="AA290" s="27">
        <f>IF(ISNUMBER($W290),$A290&amp;"|"&amp;$W290,"")</f>
        <v/>
      </c>
      <c r="AB290" s="27">
        <f>IF(ISNUMBER($F290),$A290&amp;"|"&amp;$F290,"")</f>
        <v/>
      </c>
      <c r="AC290" s="27">
        <f>IF(ISNUMBER($P290),COUNTIFS($A$14:$A$1213,$A290,$P$14:$P$1213,"&gt;"&amp;$P290)+(COUNTIFS($A$14:$A$1213,$A290,$P$14:$P$1213,"="&amp;$P290)+1)/2,"")</f>
        <v/>
      </c>
      <c r="AD290" s="27">
        <f>IF(ISNUMBER($Q290),COUNTIFS($A$14:$A$1213,$A290,$Q$14:$Q$1213,"&gt;"&amp;$Q290)+(COUNTIFS($A$14:$A$1213,$A290,$Q$14:$Q$1213,"="&amp;$Q290)+1)/2,"")</f>
        <v/>
      </c>
      <c r="AE290" s="27">
        <f>IF(ISNUMBER($R290),COUNTIFS($A$14:$A$1213,$A290,$R$14:$R$1213,"&gt;"&amp;$R290)+(COUNTIFS($A$14:$A$1213,$A290,$R$14:$R$1213,"="&amp;$R290)+1)/2,"")</f>
        <v/>
      </c>
      <c r="AF290" s="27">
        <f>IF(ISNUMBER($S290),COUNTIFS($A$14:$A$1213,$A290,$S$14:$S$1213,"&gt;"&amp;$S290)+(COUNTIFS($A$14:$A$1213,$A290,$S$14:$S$1213,"="&amp;$S290)+1)/2,"")</f>
        <v/>
      </c>
      <c r="AG290" s="27">
        <f>IF(ISNUMBER($T290),COUNTIFS($A$14:$A$1213,$A290,$T$14:$T$1213,"&gt;"&amp;$T290)+(COUNTIFS($A$14:$A$1213,$A290,$T$14:$T$1213,"="&amp;$T290)+1)/2,"")</f>
        <v/>
      </c>
      <c r="AH290" s="27">
        <f>IF(COUNT($AC290:$AG290)&lt;2,"",IF(MAX($AC290:$AG290)=MIN($AC290:$AG290),0,1))</f>
        <v/>
      </c>
      <c r="AI290" s="27">
        <f>IF($A290="","",IF(COUNTIF($A$14:$A290,$A290)=1,COUNTIF($AI$13:AI289,"&gt;0")+1,""))</f>
        <v/>
      </c>
      <c r="AJ290" s="27">
        <f>IF(OR($H290="",COUNTIFS($A$14:$A$1213,$H290,$F$14:$F$1213,"&gt;=0")&lt;2,COUNTIFS($A$14:$A$1213,$H290,$F$14:$F$1213,_xlfn.MAXIFS($F$14:$F$1213,$A$14:$A$1213,$H290))&gt;1),"",IFERROR(INDEX($D$14:$D$1213,MATCH($H290&amp;"|"&amp;_xlfn.MAXIFS($F$14:$F$1213,$A$14:$A$1213,$H290),$AB$14:$AB$1213,0)),""))</f>
        <v/>
      </c>
      <c r="AK290" s="27">
        <f>IF(OR($H290="",COUNTIFS($A$14:$A$1213,$H290,$F$14:$F$1213,"&gt;=0")&lt;2,COUNTIFS($A$14:$A$1213,$H290,$F$14:$F$1213,_xlfn.MAXIFS($F$14:$F$1213,$A$14:$A$1213,$H290))&gt;1),"",IFERROR(INDEX($E$14:$E$1213,MATCH($H290&amp;"|"&amp;_xlfn.MAXIFS($F$14:$F$1213,$A$14:$A$1213,$H290),$AB$14:$AB$1213,0)),""))</f>
        <v/>
      </c>
      <c r="AL290" s="27">
        <f>IF(OR($H290="",COUNTIFS($A$14:$A$1213,$H290,$F$14:$F$1213,"&gt;=0")&lt;2,COUNTIFS($A$14:$A$1213,$H290,$F$14:$F$1213,_xlfn.MAXIFS($F$14:$F$1213,$A$14:$A$1213,$H290))&gt;1),"",IFERROR(INDEX($D$14:$D$1213,MATCH($H290&amp;"|"&amp;_xlfn.MAXIFS($F$14:$F$1213,$A$14:$A$1213,$H290,$F$14:$F$1213,"&lt;"&amp;_xlfn.MAXIFS($F$14:$F$1213,$A$14:$A$1213,$H290)),$AB$14:$AB$1213,0)),""))</f>
        <v/>
      </c>
      <c r="AM290" s="27">
        <f>IF(OR($H290="",COUNTIFS($A$14:$A$1213,$H290,$F$14:$F$1213,"&gt;=0")&lt;2,COUNTIFS($A$14:$A$1213,$H290,$F$14:$F$1213,_xlfn.MAXIFS($F$14:$F$1213,$A$14:$A$1213,$H290))&gt;1),"",IFERROR(INDEX($E$14:$E$1213,MATCH($H290&amp;"|"&amp;_xlfn.MAXIFS($F$14:$F$1213,$A$14:$A$1213,$H290,$F$14:$F$1213,"&lt;"&amp;_xlfn.MAXIFS($F$14:$F$1213,$A$14:$A$1213,$H290)),$AB$14:$AB$1213,0)),""))</f>
        <v/>
      </c>
      <c r="AN290" s="27">
        <f>IF(OR(NOT(ISNUMBER($AJ290)),NOT(ISNUMBER($AL290)),$AK290=0,$AM290=0),"",IF(OR((($AJ290+$AL290)/($AK290+$AM290))&lt;=0,(($AJ290+$AL290)/($AK290+$AM290))&gt;=1),"",($AJ290/$AK290-$AL290/$AM290)/SQRT((($AJ290+$AL290)/($AK290+$AM290))*(1-(($AJ290+$AL290)/($AK290+$AM290)))*(1/$AK290+1/$AM290))))</f>
        <v/>
      </c>
      <c r="AO290" s="27">
        <f>IF($A290="","",IF(AND(COUNTIFS($A$14:$A$1213,$A290,$F$14:$F$1213,"&gt;=0")=2,IFERROR(INDEX($M$14:$M$313,MATCH($A290,$H$14:$H$313,0)),"Yes")&lt;&gt;"Yes"),1,0))</f>
        <v/>
      </c>
    </row>
    <row r="291" ht="24" customHeight="1">
      <c r="A291" s="19">
        <f>IF('Enter messages'!A291="","",'Enter messages'!A291)</f>
        <v/>
      </c>
      <c r="B291" s="20">
        <f>IF('Enter messages'!B291="","",'Enter messages'!B291)</f>
        <v/>
      </c>
      <c r="C291" s="21">
        <f>IFERROR(AVERAGE(P291:T291),"")</f>
        <v/>
      </c>
      <c r="D291" s="29" t="n"/>
      <c r="E291" s="29" t="n"/>
      <c r="F291" s="30">
        <f>IF(AND(ISNUMBER($D291),ISNUMBER($E291),$E291&gt;0,$D291&lt;=$E291),$D291/$E291,"")</f>
        <v/>
      </c>
      <c r="H291" s="19">
        <f>IFERROR(INDEX($A$14:$A$1213,MATCH(278,$AI$14:$AI$1213,0)),"")</f>
        <v/>
      </c>
      <c r="I291" s="24">
        <f>IF($H291="","",IF(COUNTIFS($A$14:$A$1213,$H291,$C$14:$C$1213,"&gt;=0")=0,"—",IFERROR(INDEX($B$14:$B$1213,MATCH($H291&amp;"|1",$Z$14:$Z$1213,0)),"(tied)")))</f>
        <v/>
      </c>
      <c r="J291" s="25">
        <f>IF($H291="","",IF(OR(COUNTIFS($A$14:$A$1213,$H291,$C$14:$C$1213,"&gt;=0")=0,COUNTIFS($A$14:$A$1213,$H291,$F$14:$F$1213,"&gt;=0")=0),"—",IF(OR(ISERROR(MATCH($H291&amp;"|1",$Z$14:$Z$1213,0)),ISERROR(MATCH($H291&amp;"|1",$AA$14:$AA$1213,0))),"Tie",IF(MATCH($H291&amp;"|1",$Z$14:$Z$1213,0)=MATCH($H291&amp;"|1",$AA$14:$AA$1213,0),"Hit","Miss"))))</f>
        <v/>
      </c>
      <c r="K291" s="24">
        <f>IF($H291="","",IF(COUNTIFS($A$14:$A$1213,$H291,$F$14:$F$1213,"&gt;=0")=0,"—",IFERROR(INDEX($B$14:$B$1213,MATCH($H291&amp;"|1",$AA$14:$AA$1213,0)),"(tied)")))</f>
        <v/>
      </c>
      <c r="L291" s="25">
        <f>IF($H291="","",IF((--(COUNTIFS($A$14:$A$1213,$H291,$P$14:$P$1213,"&gt;=0")&gt;0)+--(COUNTIFS($A$14:$A$1213,$H291,$Q$14:$Q$1213,"&gt;=0")&gt;0)+--(COUNTIFS($A$14:$A$1213,$H291,$R$14:$R$1213,"&gt;=0")&gt;0)+--(COUNTIFS($A$14:$A$1213,$H291,$S$14:$S$1213,"&gt;=0")&gt;0)+--(COUNTIFS($A$14:$A$1213,$H291,$T$14:$T$1213,"&gt;=0")&gt;0))&lt;2,"—",IF(SUMIFS($AH$14:$AH$1213,$A$14:$A$1213,$H291)=0,"Yes","No")))</f>
        <v/>
      </c>
      <c r="M291" s="25">
        <f>IF($H291="","",IF(COUNTIFS($A$14:$A$1213,$H291,$F$14:$F$1213,"&gt;=0")&lt;2,"—",IF(COUNTIFS($A$14:$A$1213,$H291,$F$14:$F$1213,_xlfn.MAXIFS($F$14:$F$1213,$A$14:$A$1213,$H291))&gt;1,"No",IF(NOT(ISNUMBER($AN291)),"—",IF((2*(1-NORMSDIST(ABS($AN291))))&lt;0.05,"Yes","No")))))</f>
        <v/>
      </c>
      <c r="N291" s="21">
        <f>IF($H291="","",IF(NOT(ISNUMBER($AN291)),"—",IF((2*(1-NORMSDIST(ABS($AN291))))&lt;0.001,"&lt;0.001",TEXT((2*(1-NORMSDIST(ABS($AN291)))),"0.000"))))</f>
        <v/>
      </c>
      <c r="P291" s="26" t="n"/>
      <c r="Q291" s="26" t="n"/>
      <c r="R291" s="26" t="n"/>
      <c r="S291" s="26" t="n"/>
      <c r="T291" s="26" t="n"/>
      <c r="V291" s="27">
        <f>IF(ISNUMBER($C291),COUNTIFS($A$14:$A$1213,$A291,$C$14:$C$1213,"&gt;"&amp;$C291)+(COUNTIFS($A$14:$A$1213,$A291,$C$14:$C$1213,"="&amp;$C291)+1)/2,"")</f>
        <v/>
      </c>
      <c r="W291" s="27">
        <f>IF(ISNUMBER($F291),COUNTIFS($A$14:$A$1213,$A291,$F$14:$F$1213,"&gt;"&amp;$F291)+(COUNTIFS($A$14:$A$1213,$A291,$F$14:$F$1213,"="&amp;$F291)+1)/2,"")</f>
        <v/>
      </c>
      <c r="X291" s="27">
        <f>IF(OR(NOT(ISNUMBER($V291)),$AO291=1),"",$V291-(COUNTIFS($A$14:$A$1213,$A291,$C$14:$C$1213,"&gt;=0")+1)/2)</f>
        <v/>
      </c>
      <c r="Y291" s="27">
        <f>IF(OR(NOT(ISNUMBER($W291)),$AO291=1),"",$W291-(COUNTIFS($A$14:$A$1213,$A291,$F$14:$F$1213,"&gt;=0")+1)/2)</f>
        <v/>
      </c>
      <c r="Z291" s="27">
        <f>IF(ISNUMBER($V291),$A291&amp;"|"&amp;$V291,"")</f>
        <v/>
      </c>
      <c r="AA291" s="27">
        <f>IF(ISNUMBER($W291),$A291&amp;"|"&amp;$W291,"")</f>
        <v/>
      </c>
      <c r="AB291" s="27">
        <f>IF(ISNUMBER($F291),$A291&amp;"|"&amp;$F291,"")</f>
        <v/>
      </c>
      <c r="AC291" s="27">
        <f>IF(ISNUMBER($P291),COUNTIFS($A$14:$A$1213,$A291,$P$14:$P$1213,"&gt;"&amp;$P291)+(COUNTIFS($A$14:$A$1213,$A291,$P$14:$P$1213,"="&amp;$P291)+1)/2,"")</f>
        <v/>
      </c>
      <c r="AD291" s="27">
        <f>IF(ISNUMBER($Q291),COUNTIFS($A$14:$A$1213,$A291,$Q$14:$Q$1213,"&gt;"&amp;$Q291)+(COUNTIFS($A$14:$A$1213,$A291,$Q$14:$Q$1213,"="&amp;$Q291)+1)/2,"")</f>
        <v/>
      </c>
      <c r="AE291" s="27">
        <f>IF(ISNUMBER($R291),COUNTIFS($A$14:$A$1213,$A291,$R$14:$R$1213,"&gt;"&amp;$R291)+(COUNTIFS($A$14:$A$1213,$A291,$R$14:$R$1213,"="&amp;$R291)+1)/2,"")</f>
        <v/>
      </c>
      <c r="AF291" s="27">
        <f>IF(ISNUMBER($S291),COUNTIFS($A$14:$A$1213,$A291,$S$14:$S$1213,"&gt;"&amp;$S291)+(COUNTIFS($A$14:$A$1213,$A291,$S$14:$S$1213,"="&amp;$S291)+1)/2,"")</f>
        <v/>
      </c>
      <c r="AG291" s="27">
        <f>IF(ISNUMBER($T291),COUNTIFS($A$14:$A$1213,$A291,$T$14:$T$1213,"&gt;"&amp;$T291)+(COUNTIFS($A$14:$A$1213,$A291,$T$14:$T$1213,"="&amp;$T291)+1)/2,"")</f>
        <v/>
      </c>
      <c r="AH291" s="27">
        <f>IF(COUNT($AC291:$AG291)&lt;2,"",IF(MAX($AC291:$AG291)=MIN($AC291:$AG291),0,1))</f>
        <v/>
      </c>
      <c r="AI291" s="27">
        <f>IF($A291="","",IF(COUNTIF($A$14:$A291,$A291)=1,COUNTIF($AI$13:AI290,"&gt;0")+1,""))</f>
        <v/>
      </c>
      <c r="AJ291" s="27">
        <f>IF(OR($H291="",COUNTIFS($A$14:$A$1213,$H291,$F$14:$F$1213,"&gt;=0")&lt;2,COUNTIFS($A$14:$A$1213,$H291,$F$14:$F$1213,_xlfn.MAXIFS($F$14:$F$1213,$A$14:$A$1213,$H291))&gt;1),"",IFERROR(INDEX($D$14:$D$1213,MATCH($H291&amp;"|"&amp;_xlfn.MAXIFS($F$14:$F$1213,$A$14:$A$1213,$H291),$AB$14:$AB$1213,0)),""))</f>
        <v/>
      </c>
      <c r="AK291" s="27">
        <f>IF(OR($H291="",COUNTIFS($A$14:$A$1213,$H291,$F$14:$F$1213,"&gt;=0")&lt;2,COUNTIFS($A$14:$A$1213,$H291,$F$14:$F$1213,_xlfn.MAXIFS($F$14:$F$1213,$A$14:$A$1213,$H291))&gt;1),"",IFERROR(INDEX($E$14:$E$1213,MATCH($H291&amp;"|"&amp;_xlfn.MAXIFS($F$14:$F$1213,$A$14:$A$1213,$H291),$AB$14:$AB$1213,0)),""))</f>
        <v/>
      </c>
      <c r="AL291" s="27">
        <f>IF(OR($H291="",COUNTIFS($A$14:$A$1213,$H291,$F$14:$F$1213,"&gt;=0")&lt;2,COUNTIFS($A$14:$A$1213,$H291,$F$14:$F$1213,_xlfn.MAXIFS($F$14:$F$1213,$A$14:$A$1213,$H291))&gt;1),"",IFERROR(INDEX($D$14:$D$1213,MATCH($H291&amp;"|"&amp;_xlfn.MAXIFS($F$14:$F$1213,$A$14:$A$1213,$H291,$F$14:$F$1213,"&lt;"&amp;_xlfn.MAXIFS($F$14:$F$1213,$A$14:$A$1213,$H291)),$AB$14:$AB$1213,0)),""))</f>
        <v/>
      </c>
      <c r="AM291" s="27">
        <f>IF(OR($H291="",COUNTIFS($A$14:$A$1213,$H291,$F$14:$F$1213,"&gt;=0")&lt;2,COUNTIFS($A$14:$A$1213,$H291,$F$14:$F$1213,_xlfn.MAXIFS($F$14:$F$1213,$A$14:$A$1213,$H291))&gt;1),"",IFERROR(INDEX($E$14:$E$1213,MATCH($H291&amp;"|"&amp;_xlfn.MAXIFS($F$14:$F$1213,$A$14:$A$1213,$H291,$F$14:$F$1213,"&lt;"&amp;_xlfn.MAXIFS($F$14:$F$1213,$A$14:$A$1213,$H291)),$AB$14:$AB$1213,0)),""))</f>
        <v/>
      </c>
      <c r="AN291" s="27">
        <f>IF(OR(NOT(ISNUMBER($AJ291)),NOT(ISNUMBER($AL291)),$AK291=0,$AM291=0),"",IF(OR((($AJ291+$AL291)/($AK291+$AM291))&lt;=0,(($AJ291+$AL291)/($AK291+$AM291))&gt;=1),"",($AJ291/$AK291-$AL291/$AM291)/SQRT((($AJ291+$AL291)/($AK291+$AM291))*(1-(($AJ291+$AL291)/($AK291+$AM291)))*(1/$AK291+1/$AM291))))</f>
        <v/>
      </c>
      <c r="AO291" s="27">
        <f>IF($A291="","",IF(AND(COUNTIFS($A$14:$A$1213,$A291,$F$14:$F$1213,"&gt;=0")=2,IFERROR(INDEX($M$14:$M$313,MATCH($A291,$H$14:$H$313,0)),"Yes")&lt;&gt;"Yes"),1,0))</f>
        <v/>
      </c>
    </row>
    <row r="292" ht="24" customHeight="1">
      <c r="A292" s="19">
        <f>IF('Enter messages'!A292="","",'Enter messages'!A292)</f>
        <v/>
      </c>
      <c r="B292" s="20">
        <f>IF('Enter messages'!B292="","",'Enter messages'!B292)</f>
        <v/>
      </c>
      <c r="C292" s="21">
        <f>IFERROR(AVERAGE(P292:T292),"")</f>
        <v/>
      </c>
      <c r="D292" s="29" t="n"/>
      <c r="E292" s="29" t="n"/>
      <c r="F292" s="30">
        <f>IF(AND(ISNUMBER($D292),ISNUMBER($E292),$E292&gt;0,$D292&lt;=$E292),$D292/$E292,"")</f>
        <v/>
      </c>
      <c r="H292" s="19">
        <f>IFERROR(INDEX($A$14:$A$1213,MATCH(279,$AI$14:$AI$1213,0)),"")</f>
        <v/>
      </c>
      <c r="I292" s="24">
        <f>IF($H292="","",IF(COUNTIFS($A$14:$A$1213,$H292,$C$14:$C$1213,"&gt;=0")=0,"—",IFERROR(INDEX($B$14:$B$1213,MATCH($H292&amp;"|1",$Z$14:$Z$1213,0)),"(tied)")))</f>
        <v/>
      </c>
      <c r="J292" s="25">
        <f>IF($H292="","",IF(OR(COUNTIFS($A$14:$A$1213,$H292,$C$14:$C$1213,"&gt;=0")=0,COUNTIFS($A$14:$A$1213,$H292,$F$14:$F$1213,"&gt;=0")=0),"—",IF(OR(ISERROR(MATCH($H292&amp;"|1",$Z$14:$Z$1213,0)),ISERROR(MATCH($H292&amp;"|1",$AA$14:$AA$1213,0))),"Tie",IF(MATCH($H292&amp;"|1",$Z$14:$Z$1213,0)=MATCH($H292&amp;"|1",$AA$14:$AA$1213,0),"Hit","Miss"))))</f>
        <v/>
      </c>
      <c r="K292" s="24">
        <f>IF($H292="","",IF(COUNTIFS($A$14:$A$1213,$H292,$F$14:$F$1213,"&gt;=0")=0,"—",IFERROR(INDEX($B$14:$B$1213,MATCH($H292&amp;"|1",$AA$14:$AA$1213,0)),"(tied)")))</f>
        <v/>
      </c>
      <c r="L292" s="25">
        <f>IF($H292="","",IF((--(COUNTIFS($A$14:$A$1213,$H292,$P$14:$P$1213,"&gt;=0")&gt;0)+--(COUNTIFS($A$14:$A$1213,$H292,$Q$14:$Q$1213,"&gt;=0")&gt;0)+--(COUNTIFS($A$14:$A$1213,$H292,$R$14:$R$1213,"&gt;=0")&gt;0)+--(COUNTIFS($A$14:$A$1213,$H292,$S$14:$S$1213,"&gt;=0")&gt;0)+--(COUNTIFS($A$14:$A$1213,$H292,$T$14:$T$1213,"&gt;=0")&gt;0))&lt;2,"—",IF(SUMIFS($AH$14:$AH$1213,$A$14:$A$1213,$H292)=0,"Yes","No")))</f>
        <v/>
      </c>
      <c r="M292" s="25">
        <f>IF($H292="","",IF(COUNTIFS($A$14:$A$1213,$H292,$F$14:$F$1213,"&gt;=0")&lt;2,"—",IF(COUNTIFS($A$14:$A$1213,$H292,$F$14:$F$1213,_xlfn.MAXIFS($F$14:$F$1213,$A$14:$A$1213,$H292))&gt;1,"No",IF(NOT(ISNUMBER($AN292)),"—",IF((2*(1-NORMSDIST(ABS($AN292))))&lt;0.05,"Yes","No")))))</f>
        <v/>
      </c>
      <c r="N292" s="21">
        <f>IF($H292="","",IF(NOT(ISNUMBER($AN292)),"—",IF((2*(1-NORMSDIST(ABS($AN292))))&lt;0.001,"&lt;0.001",TEXT((2*(1-NORMSDIST(ABS($AN292)))),"0.000"))))</f>
        <v/>
      </c>
      <c r="P292" s="26" t="n"/>
      <c r="Q292" s="26" t="n"/>
      <c r="R292" s="26" t="n"/>
      <c r="S292" s="26" t="n"/>
      <c r="T292" s="26" t="n"/>
      <c r="V292" s="27">
        <f>IF(ISNUMBER($C292),COUNTIFS($A$14:$A$1213,$A292,$C$14:$C$1213,"&gt;"&amp;$C292)+(COUNTIFS($A$14:$A$1213,$A292,$C$14:$C$1213,"="&amp;$C292)+1)/2,"")</f>
        <v/>
      </c>
      <c r="W292" s="27">
        <f>IF(ISNUMBER($F292),COUNTIFS($A$14:$A$1213,$A292,$F$14:$F$1213,"&gt;"&amp;$F292)+(COUNTIFS($A$14:$A$1213,$A292,$F$14:$F$1213,"="&amp;$F292)+1)/2,"")</f>
        <v/>
      </c>
      <c r="X292" s="27">
        <f>IF(OR(NOT(ISNUMBER($V292)),$AO292=1),"",$V292-(COUNTIFS($A$14:$A$1213,$A292,$C$14:$C$1213,"&gt;=0")+1)/2)</f>
        <v/>
      </c>
      <c r="Y292" s="27">
        <f>IF(OR(NOT(ISNUMBER($W292)),$AO292=1),"",$W292-(COUNTIFS($A$14:$A$1213,$A292,$F$14:$F$1213,"&gt;=0")+1)/2)</f>
        <v/>
      </c>
      <c r="Z292" s="27">
        <f>IF(ISNUMBER($V292),$A292&amp;"|"&amp;$V292,"")</f>
        <v/>
      </c>
      <c r="AA292" s="27">
        <f>IF(ISNUMBER($W292),$A292&amp;"|"&amp;$W292,"")</f>
        <v/>
      </c>
      <c r="AB292" s="27">
        <f>IF(ISNUMBER($F292),$A292&amp;"|"&amp;$F292,"")</f>
        <v/>
      </c>
      <c r="AC292" s="27">
        <f>IF(ISNUMBER($P292),COUNTIFS($A$14:$A$1213,$A292,$P$14:$P$1213,"&gt;"&amp;$P292)+(COUNTIFS($A$14:$A$1213,$A292,$P$14:$P$1213,"="&amp;$P292)+1)/2,"")</f>
        <v/>
      </c>
      <c r="AD292" s="27">
        <f>IF(ISNUMBER($Q292),COUNTIFS($A$14:$A$1213,$A292,$Q$14:$Q$1213,"&gt;"&amp;$Q292)+(COUNTIFS($A$14:$A$1213,$A292,$Q$14:$Q$1213,"="&amp;$Q292)+1)/2,"")</f>
        <v/>
      </c>
      <c r="AE292" s="27">
        <f>IF(ISNUMBER($R292),COUNTIFS($A$14:$A$1213,$A292,$R$14:$R$1213,"&gt;"&amp;$R292)+(COUNTIFS($A$14:$A$1213,$A292,$R$14:$R$1213,"="&amp;$R292)+1)/2,"")</f>
        <v/>
      </c>
      <c r="AF292" s="27">
        <f>IF(ISNUMBER($S292),COUNTIFS($A$14:$A$1213,$A292,$S$14:$S$1213,"&gt;"&amp;$S292)+(COUNTIFS($A$14:$A$1213,$A292,$S$14:$S$1213,"="&amp;$S292)+1)/2,"")</f>
        <v/>
      </c>
      <c r="AG292" s="27">
        <f>IF(ISNUMBER($T292),COUNTIFS($A$14:$A$1213,$A292,$T$14:$T$1213,"&gt;"&amp;$T292)+(COUNTIFS($A$14:$A$1213,$A292,$T$14:$T$1213,"="&amp;$T292)+1)/2,"")</f>
        <v/>
      </c>
      <c r="AH292" s="27">
        <f>IF(COUNT($AC292:$AG292)&lt;2,"",IF(MAX($AC292:$AG292)=MIN($AC292:$AG292),0,1))</f>
        <v/>
      </c>
      <c r="AI292" s="27">
        <f>IF($A292="","",IF(COUNTIF($A$14:$A292,$A292)=1,COUNTIF($AI$13:AI291,"&gt;0")+1,""))</f>
        <v/>
      </c>
      <c r="AJ292" s="27">
        <f>IF(OR($H292="",COUNTIFS($A$14:$A$1213,$H292,$F$14:$F$1213,"&gt;=0")&lt;2,COUNTIFS($A$14:$A$1213,$H292,$F$14:$F$1213,_xlfn.MAXIFS($F$14:$F$1213,$A$14:$A$1213,$H292))&gt;1),"",IFERROR(INDEX($D$14:$D$1213,MATCH($H292&amp;"|"&amp;_xlfn.MAXIFS($F$14:$F$1213,$A$14:$A$1213,$H292),$AB$14:$AB$1213,0)),""))</f>
        <v/>
      </c>
      <c r="AK292" s="27">
        <f>IF(OR($H292="",COUNTIFS($A$14:$A$1213,$H292,$F$14:$F$1213,"&gt;=0")&lt;2,COUNTIFS($A$14:$A$1213,$H292,$F$14:$F$1213,_xlfn.MAXIFS($F$14:$F$1213,$A$14:$A$1213,$H292))&gt;1),"",IFERROR(INDEX($E$14:$E$1213,MATCH($H292&amp;"|"&amp;_xlfn.MAXIFS($F$14:$F$1213,$A$14:$A$1213,$H292),$AB$14:$AB$1213,0)),""))</f>
        <v/>
      </c>
      <c r="AL292" s="27">
        <f>IF(OR($H292="",COUNTIFS($A$14:$A$1213,$H292,$F$14:$F$1213,"&gt;=0")&lt;2,COUNTIFS($A$14:$A$1213,$H292,$F$14:$F$1213,_xlfn.MAXIFS($F$14:$F$1213,$A$14:$A$1213,$H292))&gt;1),"",IFERROR(INDEX($D$14:$D$1213,MATCH($H292&amp;"|"&amp;_xlfn.MAXIFS($F$14:$F$1213,$A$14:$A$1213,$H292,$F$14:$F$1213,"&lt;"&amp;_xlfn.MAXIFS($F$14:$F$1213,$A$14:$A$1213,$H292)),$AB$14:$AB$1213,0)),""))</f>
        <v/>
      </c>
      <c r="AM292" s="27">
        <f>IF(OR($H292="",COUNTIFS($A$14:$A$1213,$H292,$F$14:$F$1213,"&gt;=0")&lt;2,COUNTIFS($A$14:$A$1213,$H292,$F$14:$F$1213,_xlfn.MAXIFS($F$14:$F$1213,$A$14:$A$1213,$H292))&gt;1),"",IFERROR(INDEX($E$14:$E$1213,MATCH($H292&amp;"|"&amp;_xlfn.MAXIFS($F$14:$F$1213,$A$14:$A$1213,$H292,$F$14:$F$1213,"&lt;"&amp;_xlfn.MAXIFS($F$14:$F$1213,$A$14:$A$1213,$H292)),$AB$14:$AB$1213,0)),""))</f>
        <v/>
      </c>
      <c r="AN292" s="27">
        <f>IF(OR(NOT(ISNUMBER($AJ292)),NOT(ISNUMBER($AL292)),$AK292=0,$AM292=0),"",IF(OR((($AJ292+$AL292)/($AK292+$AM292))&lt;=0,(($AJ292+$AL292)/($AK292+$AM292))&gt;=1),"",($AJ292/$AK292-$AL292/$AM292)/SQRT((($AJ292+$AL292)/($AK292+$AM292))*(1-(($AJ292+$AL292)/($AK292+$AM292)))*(1/$AK292+1/$AM292))))</f>
        <v/>
      </c>
      <c r="AO292" s="27">
        <f>IF($A292="","",IF(AND(COUNTIFS($A$14:$A$1213,$A292,$F$14:$F$1213,"&gt;=0")=2,IFERROR(INDEX($M$14:$M$313,MATCH($A292,$H$14:$H$313,0)),"Yes")&lt;&gt;"Yes"),1,0))</f>
        <v/>
      </c>
    </row>
    <row r="293" ht="24" customHeight="1">
      <c r="A293" s="19">
        <f>IF('Enter messages'!A293="","",'Enter messages'!A293)</f>
        <v/>
      </c>
      <c r="B293" s="20">
        <f>IF('Enter messages'!B293="","",'Enter messages'!B293)</f>
        <v/>
      </c>
      <c r="C293" s="21">
        <f>IFERROR(AVERAGE(P293:T293),"")</f>
        <v/>
      </c>
      <c r="D293" s="29" t="n"/>
      <c r="E293" s="29" t="n"/>
      <c r="F293" s="30">
        <f>IF(AND(ISNUMBER($D293),ISNUMBER($E293),$E293&gt;0,$D293&lt;=$E293),$D293/$E293,"")</f>
        <v/>
      </c>
      <c r="H293" s="19">
        <f>IFERROR(INDEX($A$14:$A$1213,MATCH(280,$AI$14:$AI$1213,0)),"")</f>
        <v/>
      </c>
      <c r="I293" s="24">
        <f>IF($H293="","",IF(COUNTIFS($A$14:$A$1213,$H293,$C$14:$C$1213,"&gt;=0")=0,"—",IFERROR(INDEX($B$14:$B$1213,MATCH($H293&amp;"|1",$Z$14:$Z$1213,0)),"(tied)")))</f>
        <v/>
      </c>
      <c r="J293" s="25">
        <f>IF($H293="","",IF(OR(COUNTIFS($A$14:$A$1213,$H293,$C$14:$C$1213,"&gt;=0")=0,COUNTIFS($A$14:$A$1213,$H293,$F$14:$F$1213,"&gt;=0")=0),"—",IF(OR(ISERROR(MATCH($H293&amp;"|1",$Z$14:$Z$1213,0)),ISERROR(MATCH($H293&amp;"|1",$AA$14:$AA$1213,0))),"Tie",IF(MATCH($H293&amp;"|1",$Z$14:$Z$1213,0)=MATCH($H293&amp;"|1",$AA$14:$AA$1213,0),"Hit","Miss"))))</f>
        <v/>
      </c>
      <c r="K293" s="24">
        <f>IF($H293="","",IF(COUNTIFS($A$14:$A$1213,$H293,$F$14:$F$1213,"&gt;=0")=0,"—",IFERROR(INDEX($B$14:$B$1213,MATCH($H293&amp;"|1",$AA$14:$AA$1213,0)),"(tied)")))</f>
        <v/>
      </c>
      <c r="L293" s="25">
        <f>IF($H293="","",IF((--(COUNTIFS($A$14:$A$1213,$H293,$P$14:$P$1213,"&gt;=0")&gt;0)+--(COUNTIFS($A$14:$A$1213,$H293,$Q$14:$Q$1213,"&gt;=0")&gt;0)+--(COUNTIFS($A$14:$A$1213,$H293,$R$14:$R$1213,"&gt;=0")&gt;0)+--(COUNTIFS($A$14:$A$1213,$H293,$S$14:$S$1213,"&gt;=0")&gt;0)+--(COUNTIFS($A$14:$A$1213,$H293,$T$14:$T$1213,"&gt;=0")&gt;0))&lt;2,"—",IF(SUMIFS($AH$14:$AH$1213,$A$14:$A$1213,$H293)=0,"Yes","No")))</f>
        <v/>
      </c>
      <c r="M293" s="25">
        <f>IF($H293="","",IF(COUNTIFS($A$14:$A$1213,$H293,$F$14:$F$1213,"&gt;=0")&lt;2,"—",IF(COUNTIFS($A$14:$A$1213,$H293,$F$14:$F$1213,_xlfn.MAXIFS($F$14:$F$1213,$A$14:$A$1213,$H293))&gt;1,"No",IF(NOT(ISNUMBER($AN293)),"—",IF((2*(1-NORMSDIST(ABS($AN293))))&lt;0.05,"Yes","No")))))</f>
        <v/>
      </c>
      <c r="N293" s="21">
        <f>IF($H293="","",IF(NOT(ISNUMBER($AN293)),"—",IF((2*(1-NORMSDIST(ABS($AN293))))&lt;0.001,"&lt;0.001",TEXT((2*(1-NORMSDIST(ABS($AN293)))),"0.000"))))</f>
        <v/>
      </c>
      <c r="P293" s="26" t="n"/>
      <c r="Q293" s="26" t="n"/>
      <c r="R293" s="26" t="n"/>
      <c r="S293" s="26" t="n"/>
      <c r="T293" s="26" t="n"/>
      <c r="V293" s="27">
        <f>IF(ISNUMBER($C293),COUNTIFS($A$14:$A$1213,$A293,$C$14:$C$1213,"&gt;"&amp;$C293)+(COUNTIFS($A$14:$A$1213,$A293,$C$14:$C$1213,"="&amp;$C293)+1)/2,"")</f>
        <v/>
      </c>
      <c r="W293" s="27">
        <f>IF(ISNUMBER($F293),COUNTIFS($A$14:$A$1213,$A293,$F$14:$F$1213,"&gt;"&amp;$F293)+(COUNTIFS($A$14:$A$1213,$A293,$F$14:$F$1213,"="&amp;$F293)+1)/2,"")</f>
        <v/>
      </c>
      <c r="X293" s="27">
        <f>IF(OR(NOT(ISNUMBER($V293)),$AO293=1),"",$V293-(COUNTIFS($A$14:$A$1213,$A293,$C$14:$C$1213,"&gt;=0")+1)/2)</f>
        <v/>
      </c>
      <c r="Y293" s="27">
        <f>IF(OR(NOT(ISNUMBER($W293)),$AO293=1),"",$W293-(COUNTIFS($A$14:$A$1213,$A293,$F$14:$F$1213,"&gt;=0")+1)/2)</f>
        <v/>
      </c>
      <c r="Z293" s="27">
        <f>IF(ISNUMBER($V293),$A293&amp;"|"&amp;$V293,"")</f>
        <v/>
      </c>
      <c r="AA293" s="27">
        <f>IF(ISNUMBER($W293),$A293&amp;"|"&amp;$W293,"")</f>
        <v/>
      </c>
      <c r="AB293" s="27">
        <f>IF(ISNUMBER($F293),$A293&amp;"|"&amp;$F293,"")</f>
        <v/>
      </c>
      <c r="AC293" s="27">
        <f>IF(ISNUMBER($P293),COUNTIFS($A$14:$A$1213,$A293,$P$14:$P$1213,"&gt;"&amp;$P293)+(COUNTIFS($A$14:$A$1213,$A293,$P$14:$P$1213,"="&amp;$P293)+1)/2,"")</f>
        <v/>
      </c>
      <c r="AD293" s="27">
        <f>IF(ISNUMBER($Q293),COUNTIFS($A$14:$A$1213,$A293,$Q$14:$Q$1213,"&gt;"&amp;$Q293)+(COUNTIFS($A$14:$A$1213,$A293,$Q$14:$Q$1213,"="&amp;$Q293)+1)/2,"")</f>
        <v/>
      </c>
      <c r="AE293" s="27">
        <f>IF(ISNUMBER($R293),COUNTIFS($A$14:$A$1213,$A293,$R$14:$R$1213,"&gt;"&amp;$R293)+(COUNTIFS($A$14:$A$1213,$A293,$R$14:$R$1213,"="&amp;$R293)+1)/2,"")</f>
        <v/>
      </c>
      <c r="AF293" s="27">
        <f>IF(ISNUMBER($S293),COUNTIFS($A$14:$A$1213,$A293,$S$14:$S$1213,"&gt;"&amp;$S293)+(COUNTIFS($A$14:$A$1213,$A293,$S$14:$S$1213,"="&amp;$S293)+1)/2,"")</f>
        <v/>
      </c>
      <c r="AG293" s="27">
        <f>IF(ISNUMBER($T293),COUNTIFS($A$14:$A$1213,$A293,$T$14:$T$1213,"&gt;"&amp;$T293)+(COUNTIFS($A$14:$A$1213,$A293,$T$14:$T$1213,"="&amp;$T293)+1)/2,"")</f>
        <v/>
      </c>
      <c r="AH293" s="27">
        <f>IF(COUNT($AC293:$AG293)&lt;2,"",IF(MAX($AC293:$AG293)=MIN($AC293:$AG293),0,1))</f>
        <v/>
      </c>
      <c r="AI293" s="27">
        <f>IF($A293="","",IF(COUNTIF($A$14:$A293,$A293)=1,COUNTIF($AI$13:AI292,"&gt;0")+1,""))</f>
        <v/>
      </c>
      <c r="AJ293" s="27">
        <f>IF(OR($H293="",COUNTIFS($A$14:$A$1213,$H293,$F$14:$F$1213,"&gt;=0")&lt;2,COUNTIFS($A$14:$A$1213,$H293,$F$14:$F$1213,_xlfn.MAXIFS($F$14:$F$1213,$A$14:$A$1213,$H293))&gt;1),"",IFERROR(INDEX($D$14:$D$1213,MATCH($H293&amp;"|"&amp;_xlfn.MAXIFS($F$14:$F$1213,$A$14:$A$1213,$H293),$AB$14:$AB$1213,0)),""))</f>
        <v/>
      </c>
      <c r="AK293" s="27">
        <f>IF(OR($H293="",COUNTIFS($A$14:$A$1213,$H293,$F$14:$F$1213,"&gt;=0")&lt;2,COUNTIFS($A$14:$A$1213,$H293,$F$14:$F$1213,_xlfn.MAXIFS($F$14:$F$1213,$A$14:$A$1213,$H293))&gt;1),"",IFERROR(INDEX($E$14:$E$1213,MATCH($H293&amp;"|"&amp;_xlfn.MAXIFS($F$14:$F$1213,$A$14:$A$1213,$H293),$AB$14:$AB$1213,0)),""))</f>
        <v/>
      </c>
      <c r="AL293" s="27">
        <f>IF(OR($H293="",COUNTIFS($A$14:$A$1213,$H293,$F$14:$F$1213,"&gt;=0")&lt;2,COUNTIFS($A$14:$A$1213,$H293,$F$14:$F$1213,_xlfn.MAXIFS($F$14:$F$1213,$A$14:$A$1213,$H293))&gt;1),"",IFERROR(INDEX($D$14:$D$1213,MATCH($H293&amp;"|"&amp;_xlfn.MAXIFS($F$14:$F$1213,$A$14:$A$1213,$H293,$F$14:$F$1213,"&lt;"&amp;_xlfn.MAXIFS($F$14:$F$1213,$A$14:$A$1213,$H293)),$AB$14:$AB$1213,0)),""))</f>
        <v/>
      </c>
      <c r="AM293" s="27">
        <f>IF(OR($H293="",COUNTIFS($A$14:$A$1213,$H293,$F$14:$F$1213,"&gt;=0")&lt;2,COUNTIFS($A$14:$A$1213,$H293,$F$14:$F$1213,_xlfn.MAXIFS($F$14:$F$1213,$A$14:$A$1213,$H293))&gt;1),"",IFERROR(INDEX($E$14:$E$1213,MATCH($H293&amp;"|"&amp;_xlfn.MAXIFS($F$14:$F$1213,$A$14:$A$1213,$H293,$F$14:$F$1213,"&lt;"&amp;_xlfn.MAXIFS($F$14:$F$1213,$A$14:$A$1213,$H293)),$AB$14:$AB$1213,0)),""))</f>
        <v/>
      </c>
      <c r="AN293" s="27">
        <f>IF(OR(NOT(ISNUMBER($AJ293)),NOT(ISNUMBER($AL293)),$AK293=0,$AM293=0),"",IF(OR((($AJ293+$AL293)/($AK293+$AM293))&lt;=0,(($AJ293+$AL293)/($AK293+$AM293))&gt;=1),"",($AJ293/$AK293-$AL293/$AM293)/SQRT((($AJ293+$AL293)/($AK293+$AM293))*(1-(($AJ293+$AL293)/($AK293+$AM293)))*(1/$AK293+1/$AM293))))</f>
        <v/>
      </c>
      <c r="AO293" s="27">
        <f>IF($A293="","",IF(AND(COUNTIFS($A$14:$A$1213,$A293,$F$14:$F$1213,"&gt;=0")=2,IFERROR(INDEX($M$14:$M$313,MATCH($A293,$H$14:$H$313,0)),"Yes")&lt;&gt;"Yes"),1,0))</f>
        <v/>
      </c>
    </row>
    <row r="294" ht="24" customHeight="1">
      <c r="A294" s="19">
        <f>IF('Enter messages'!A294="","",'Enter messages'!A294)</f>
        <v/>
      </c>
      <c r="B294" s="20">
        <f>IF('Enter messages'!B294="","",'Enter messages'!B294)</f>
        <v/>
      </c>
      <c r="C294" s="21">
        <f>IFERROR(AVERAGE(P294:T294),"")</f>
        <v/>
      </c>
      <c r="D294" s="29" t="n"/>
      <c r="E294" s="29" t="n"/>
      <c r="F294" s="30">
        <f>IF(AND(ISNUMBER($D294),ISNUMBER($E294),$E294&gt;0,$D294&lt;=$E294),$D294/$E294,"")</f>
        <v/>
      </c>
      <c r="H294" s="19">
        <f>IFERROR(INDEX($A$14:$A$1213,MATCH(281,$AI$14:$AI$1213,0)),"")</f>
        <v/>
      </c>
      <c r="I294" s="24">
        <f>IF($H294="","",IF(COUNTIFS($A$14:$A$1213,$H294,$C$14:$C$1213,"&gt;=0")=0,"—",IFERROR(INDEX($B$14:$B$1213,MATCH($H294&amp;"|1",$Z$14:$Z$1213,0)),"(tied)")))</f>
        <v/>
      </c>
      <c r="J294" s="25">
        <f>IF($H294="","",IF(OR(COUNTIFS($A$14:$A$1213,$H294,$C$14:$C$1213,"&gt;=0")=0,COUNTIFS($A$14:$A$1213,$H294,$F$14:$F$1213,"&gt;=0")=0),"—",IF(OR(ISERROR(MATCH($H294&amp;"|1",$Z$14:$Z$1213,0)),ISERROR(MATCH($H294&amp;"|1",$AA$14:$AA$1213,0))),"Tie",IF(MATCH($H294&amp;"|1",$Z$14:$Z$1213,0)=MATCH($H294&amp;"|1",$AA$14:$AA$1213,0),"Hit","Miss"))))</f>
        <v/>
      </c>
      <c r="K294" s="24">
        <f>IF($H294="","",IF(COUNTIFS($A$14:$A$1213,$H294,$F$14:$F$1213,"&gt;=0")=0,"—",IFERROR(INDEX($B$14:$B$1213,MATCH($H294&amp;"|1",$AA$14:$AA$1213,0)),"(tied)")))</f>
        <v/>
      </c>
      <c r="L294" s="25">
        <f>IF($H294="","",IF((--(COUNTIFS($A$14:$A$1213,$H294,$P$14:$P$1213,"&gt;=0")&gt;0)+--(COUNTIFS($A$14:$A$1213,$H294,$Q$14:$Q$1213,"&gt;=0")&gt;0)+--(COUNTIFS($A$14:$A$1213,$H294,$R$14:$R$1213,"&gt;=0")&gt;0)+--(COUNTIFS($A$14:$A$1213,$H294,$S$14:$S$1213,"&gt;=0")&gt;0)+--(COUNTIFS($A$14:$A$1213,$H294,$T$14:$T$1213,"&gt;=0")&gt;0))&lt;2,"—",IF(SUMIFS($AH$14:$AH$1213,$A$14:$A$1213,$H294)=0,"Yes","No")))</f>
        <v/>
      </c>
      <c r="M294" s="25">
        <f>IF($H294="","",IF(COUNTIFS($A$14:$A$1213,$H294,$F$14:$F$1213,"&gt;=0")&lt;2,"—",IF(COUNTIFS($A$14:$A$1213,$H294,$F$14:$F$1213,_xlfn.MAXIFS($F$14:$F$1213,$A$14:$A$1213,$H294))&gt;1,"No",IF(NOT(ISNUMBER($AN294)),"—",IF((2*(1-NORMSDIST(ABS($AN294))))&lt;0.05,"Yes","No")))))</f>
        <v/>
      </c>
      <c r="N294" s="21">
        <f>IF($H294="","",IF(NOT(ISNUMBER($AN294)),"—",IF((2*(1-NORMSDIST(ABS($AN294))))&lt;0.001,"&lt;0.001",TEXT((2*(1-NORMSDIST(ABS($AN294)))),"0.000"))))</f>
        <v/>
      </c>
      <c r="P294" s="26" t="n"/>
      <c r="Q294" s="26" t="n"/>
      <c r="R294" s="26" t="n"/>
      <c r="S294" s="26" t="n"/>
      <c r="T294" s="26" t="n"/>
      <c r="V294" s="27">
        <f>IF(ISNUMBER($C294),COUNTIFS($A$14:$A$1213,$A294,$C$14:$C$1213,"&gt;"&amp;$C294)+(COUNTIFS($A$14:$A$1213,$A294,$C$14:$C$1213,"="&amp;$C294)+1)/2,"")</f>
        <v/>
      </c>
      <c r="W294" s="27">
        <f>IF(ISNUMBER($F294),COUNTIFS($A$14:$A$1213,$A294,$F$14:$F$1213,"&gt;"&amp;$F294)+(COUNTIFS($A$14:$A$1213,$A294,$F$14:$F$1213,"="&amp;$F294)+1)/2,"")</f>
        <v/>
      </c>
      <c r="X294" s="27">
        <f>IF(OR(NOT(ISNUMBER($V294)),$AO294=1),"",$V294-(COUNTIFS($A$14:$A$1213,$A294,$C$14:$C$1213,"&gt;=0")+1)/2)</f>
        <v/>
      </c>
      <c r="Y294" s="27">
        <f>IF(OR(NOT(ISNUMBER($W294)),$AO294=1),"",$W294-(COUNTIFS($A$14:$A$1213,$A294,$F$14:$F$1213,"&gt;=0")+1)/2)</f>
        <v/>
      </c>
      <c r="Z294" s="27">
        <f>IF(ISNUMBER($V294),$A294&amp;"|"&amp;$V294,"")</f>
        <v/>
      </c>
      <c r="AA294" s="27">
        <f>IF(ISNUMBER($W294),$A294&amp;"|"&amp;$W294,"")</f>
        <v/>
      </c>
      <c r="AB294" s="27">
        <f>IF(ISNUMBER($F294),$A294&amp;"|"&amp;$F294,"")</f>
        <v/>
      </c>
      <c r="AC294" s="27">
        <f>IF(ISNUMBER($P294),COUNTIFS($A$14:$A$1213,$A294,$P$14:$P$1213,"&gt;"&amp;$P294)+(COUNTIFS($A$14:$A$1213,$A294,$P$14:$P$1213,"="&amp;$P294)+1)/2,"")</f>
        <v/>
      </c>
      <c r="AD294" s="27">
        <f>IF(ISNUMBER($Q294),COUNTIFS($A$14:$A$1213,$A294,$Q$14:$Q$1213,"&gt;"&amp;$Q294)+(COUNTIFS($A$14:$A$1213,$A294,$Q$14:$Q$1213,"="&amp;$Q294)+1)/2,"")</f>
        <v/>
      </c>
      <c r="AE294" s="27">
        <f>IF(ISNUMBER($R294),COUNTIFS($A$14:$A$1213,$A294,$R$14:$R$1213,"&gt;"&amp;$R294)+(COUNTIFS($A$14:$A$1213,$A294,$R$14:$R$1213,"="&amp;$R294)+1)/2,"")</f>
        <v/>
      </c>
      <c r="AF294" s="27">
        <f>IF(ISNUMBER($S294),COUNTIFS($A$14:$A$1213,$A294,$S$14:$S$1213,"&gt;"&amp;$S294)+(COUNTIFS($A$14:$A$1213,$A294,$S$14:$S$1213,"="&amp;$S294)+1)/2,"")</f>
        <v/>
      </c>
      <c r="AG294" s="27">
        <f>IF(ISNUMBER($T294),COUNTIFS($A$14:$A$1213,$A294,$T$14:$T$1213,"&gt;"&amp;$T294)+(COUNTIFS($A$14:$A$1213,$A294,$T$14:$T$1213,"="&amp;$T294)+1)/2,"")</f>
        <v/>
      </c>
      <c r="AH294" s="27">
        <f>IF(COUNT($AC294:$AG294)&lt;2,"",IF(MAX($AC294:$AG294)=MIN($AC294:$AG294),0,1))</f>
        <v/>
      </c>
      <c r="AI294" s="27">
        <f>IF($A294="","",IF(COUNTIF($A$14:$A294,$A294)=1,COUNTIF($AI$13:AI293,"&gt;0")+1,""))</f>
        <v/>
      </c>
      <c r="AJ294" s="27">
        <f>IF(OR($H294="",COUNTIFS($A$14:$A$1213,$H294,$F$14:$F$1213,"&gt;=0")&lt;2,COUNTIFS($A$14:$A$1213,$H294,$F$14:$F$1213,_xlfn.MAXIFS($F$14:$F$1213,$A$14:$A$1213,$H294))&gt;1),"",IFERROR(INDEX($D$14:$D$1213,MATCH($H294&amp;"|"&amp;_xlfn.MAXIFS($F$14:$F$1213,$A$14:$A$1213,$H294),$AB$14:$AB$1213,0)),""))</f>
        <v/>
      </c>
      <c r="AK294" s="27">
        <f>IF(OR($H294="",COUNTIFS($A$14:$A$1213,$H294,$F$14:$F$1213,"&gt;=0")&lt;2,COUNTIFS($A$14:$A$1213,$H294,$F$14:$F$1213,_xlfn.MAXIFS($F$14:$F$1213,$A$14:$A$1213,$H294))&gt;1),"",IFERROR(INDEX($E$14:$E$1213,MATCH($H294&amp;"|"&amp;_xlfn.MAXIFS($F$14:$F$1213,$A$14:$A$1213,$H294),$AB$14:$AB$1213,0)),""))</f>
        <v/>
      </c>
      <c r="AL294" s="27">
        <f>IF(OR($H294="",COUNTIFS($A$14:$A$1213,$H294,$F$14:$F$1213,"&gt;=0")&lt;2,COUNTIFS($A$14:$A$1213,$H294,$F$14:$F$1213,_xlfn.MAXIFS($F$14:$F$1213,$A$14:$A$1213,$H294))&gt;1),"",IFERROR(INDEX($D$14:$D$1213,MATCH($H294&amp;"|"&amp;_xlfn.MAXIFS($F$14:$F$1213,$A$14:$A$1213,$H294,$F$14:$F$1213,"&lt;"&amp;_xlfn.MAXIFS($F$14:$F$1213,$A$14:$A$1213,$H294)),$AB$14:$AB$1213,0)),""))</f>
        <v/>
      </c>
      <c r="AM294" s="27">
        <f>IF(OR($H294="",COUNTIFS($A$14:$A$1213,$H294,$F$14:$F$1213,"&gt;=0")&lt;2,COUNTIFS($A$14:$A$1213,$H294,$F$14:$F$1213,_xlfn.MAXIFS($F$14:$F$1213,$A$14:$A$1213,$H294))&gt;1),"",IFERROR(INDEX($E$14:$E$1213,MATCH($H294&amp;"|"&amp;_xlfn.MAXIFS($F$14:$F$1213,$A$14:$A$1213,$H294,$F$14:$F$1213,"&lt;"&amp;_xlfn.MAXIFS($F$14:$F$1213,$A$14:$A$1213,$H294)),$AB$14:$AB$1213,0)),""))</f>
        <v/>
      </c>
      <c r="AN294" s="27">
        <f>IF(OR(NOT(ISNUMBER($AJ294)),NOT(ISNUMBER($AL294)),$AK294=0,$AM294=0),"",IF(OR((($AJ294+$AL294)/($AK294+$AM294))&lt;=0,(($AJ294+$AL294)/($AK294+$AM294))&gt;=1),"",($AJ294/$AK294-$AL294/$AM294)/SQRT((($AJ294+$AL294)/($AK294+$AM294))*(1-(($AJ294+$AL294)/($AK294+$AM294)))*(1/$AK294+1/$AM294))))</f>
        <v/>
      </c>
      <c r="AO294" s="27">
        <f>IF($A294="","",IF(AND(COUNTIFS($A$14:$A$1213,$A294,$F$14:$F$1213,"&gt;=0")=2,IFERROR(INDEX($M$14:$M$313,MATCH($A294,$H$14:$H$313,0)),"Yes")&lt;&gt;"Yes"),1,0))</f>
        <v/>
      </c>
    </row>
    <row r="295" ht="24" customHeight="1">
      <c r="A295" s="19">
        <f>IF('Enter messages'!A295="","",'Enter messages'!A295)</f>
        <v/>
      </c>
      <c r="B295" s="20">
        <f>IF('Enter messages'!B295="","",'Enter messages'!B295)</f>
        <v/>
      </c>
      <c r="C295" s="21">
        <f>IFERROR(AVERAGE(P295:T295),"")</f>
        <v/>
      </c>
      <c r="D295" s="29" t="n"/>
      <c r="E295" s="29" t="n"/>
      <c r="F295" s="30">
        <f>IF(AND(ISNUMBER($D295),ISNUMBER($E295),$E295&gt;0,$D295&lt;=$E295),$D295/$E295,"")</f>
        <v/>
      </c>
      <c r="H295" s="19">
        <f>IFERROR(INDEX($A$14:$A$1213,MATCH(282,$AI$14:$AI$1213,0)),"")</f>
        <v/>
      </c>
      <c r="I295" s="24">
        <f>IF($H295="","",IF(COUNTIFS($A$14:$A$1213,$H295,$C$14:$C$1213,"&gt;=0")=0,"—",IFERROR(INDEX($B$14:$B$1213,MATCH($H295&amp;"|1",$Z$14:$Z$1213,0)),"(tied)")))</f>
        <v/>
      </c>
      <c r="J295" s="25">
        <f>IF($H295="","",IF(OR(COUNTIFS($A$14:$A$1213,$H295,$C$14:$C$1213,"&gt;=0")=0,COUNTIFS($A$14:$A$1213,$H295,$F$14:$F$1213,"&gt;=0")=0),"—",IF(OR(ISERROR(MATCH($H295&amp;"|1",$Z$14:$Z$1213,0)),ISERROR(MATCH($H295&amp;"|1",$AA$14:$AA$1213,0))),"Tie",IF(MATCH($H295&amp;"|1",$Z$14:$Z$1213,0)=MATCH($H295&amp;"|1",$AA$14:$AA$1213,0),"Hit","Miss"))))</f>
        <v/>
      </c>
      <c r="K295" s="24">
        <f>IF($H295="","",IF(COUNTIFS($A$14:$A$1213,$H295,$F$14:$F$1213,"&gt;=0")=0,"—",IFERROR(INDEX($B$14:$B$1213,MATCH($H295&amp;"|1",$AA$14:$AA$1213,0)),"(tied)")))</f>
        <v/>
      </c>
      <c r="L295" s="25">
        <f>IF($H295="","",IF((--(COUNTIFS($A$14:$A$1213,$H295,$P$14:$P$1213,"&gt;=0")&gt;0)+--(COUNTIFS($A$14:$A$1213,$H295,$Q$14:$Q$1213,"&gt;=0")&gt;0)+--(COUNTIFS($A$14:$A$1213,$H295,$R$14:$R$1213,"&gt;=0")&gt;0)+--(COUNTIFS($A$14:$A$1213,$H295,$S$14:$S$1213,"&gt;=0")&gt;0)+--(COUNTIFS($A$14:$A$1213,$H295,$T$14:$T$1213,"&gt;=0")&gt;0))&lt;2,"—",IF(SUMIFS($AH$14:$AH$1213,$A$14:$A$1213,$H295)=0,"Yes","No")))</f>
        <v/>
      </c>
      <c r="M295" s="25">
        <f>IF($H295="","",IF(COUNTIFS($A$14:$A$1213,$H295,$F$14:$F$1213,"&gt;=0")&lt;2,"—",IF(COUNTIFS($A$14:$A$1213,$H295,$F$14:$F$1213,_xlfn.MAXIFS($F$14:$F$1213,$A$14:$A$1213,$H295))&gt;1,"No",IF(NOT(ISNUMBER($AN295)),"—",IF((2*(1-NORMSDIST(ABS($AN295))))&lt;0.05,"Yes","No")))))</f>
        <v/>
      </c>
      <c r="N295" s="21">
        <f>IF($H295="","",IF(NOT(ISNUMBER($AN295)),"—",IF((2*(1-NORMSDIST(ABS($AN295))))&lt;0.001,"&lt;0.001",TEXT((2*(1-NORMSDIST(ABS($AN295)))),"0.000"))))</f>
        <v/>
      </c>
      <c r="P295" s="26" t="n"/>
      <c r="Q295" s="26" t="n"/>
      <c r="R295" s="26" t="n"/>
      <c r="S295" s="26" t="n"/>
      <c r="T295" s="26" t="n"/>
      <c r="V295" s="27">
        <f>IF(ISNUMBER($C295),COUNTIFS($A$14:$A$1213,$A295,$C$14:$C$1213,"&gt;"&amp;$C295)+(COUNTIFS($A$14:$A$1213,$A295,$C$14:$C$1213,"="&amp;$C295)+1)/2,"")</f>
        <v/>
      </c>
      <c r="W295" s="27">
        <f>IF(ISNUMBER($F295),COUNTIFS($A$14:$A$1213,$A295,$F$14:$F$1213,"&gt;"&amp;$F295)+(COUNTIFS($A$14:$A$1213,$A295,$F$14:$F$1213,"="&amp;$F295)+1)/2,"")</f>
        <v/>
      </c>
      <c r="X295" s="27">
        <f>IF(OR(NOT(ISNUMBER($V295)),$AO295=1),"",$V295-(COUNTIFS($A$14:$A$1213,$A295,$C$14:$C$1213,"&gt;=0")+1)/2)</f>
        <v/>
      </c>
      <c r="Y295" s="27">
        <f>IF(OR(NOT(ISNUMBER($W295)),$AO295=1),"",$W295-(COUNTIFS($A$14:$A$1213,$A295,$F$14:$F$1213,"&gt;=0")+1)/2)</f>
        <v/>
      </c>
      <c r="Z295" s="27">
        <f>IF(ISNUMBER($V295),$A295&amp;"|"&amp;$V295,"")</f>
        <v/>
      </c>
      <c r="AA295" s="27">
        <f>IF(ISNUMBER($W295),$A295&amp;"|"&amp;$W295,"")</f>
        <v/>
      </c>
      <c r="AB295" s="27">
        <f>IF(ISNUMBER($F295),$A295&amp;"|"&amp;$F295,"")</f>
        <v/>
      </c>
      <c r="AC295" s="27">
        <f>IF(ISNUMBER($P295),COUNTIFS($A$14:$A$1213,$A295,$P$14:$P$1213,"&gt;"&amp;$P295)+(COUNTIFS($A$14:$A$1213,$A295,$P$14:$P$1213,"="&amp;$P295)+1)/2,"")</f>
        <v/>
      </c>
      <c r="AD295" s="27">
        <f>IF(ISNUMBER($Q295),COUNTIFS($A$14:$A$1213,$A295,$Q$14:$Q$1213,"&gt;"&amp;$Q295)+(COUNTIFS($A$14:$A$1213,$A295,$Q$14:$Q$1213,"="&amp;$Q295)+1)/2,"")</f>
        <v/>
      </c>
      <c r="AE295" s="27">
        <f>IF(ISNUMBER($R295),COUNTIFS($A$14:$A$1213,$A295,$R$14:$R$1213,"&gt;"&amp;$R295)+(COUNTIFS($A$14:$A$1213,$A295,$R$14:$R$1213,"="&amp;$R295)+1)/2,"")</f>
        <v/>
      </c>
      <c r="AF295" s="27">
        <f>IF(ISNUMBER($S295),COUNTIFS($A$14:$A$1213,$A295,$S$14:$S$1213,"&gt;"&amp;$S295)+(COUNTIFS($A$14:$A$1213,$A295,$S$14:$S$1213,"="&amp;$S295)+1)/2,"")</f>
        <v/>
      </c>
      <c r="AG295" s="27">
        <f>IF(ISNUMBER($T295),COUNTIFS($A$14:$A$1213,$A295,$T$14:$T$1213,"&gt;"&amp;$T295)+(COUNTIFS($A$14:$A$1213,$A295,$T$14:$T$1213,"="&amp;$T295)+1)/2,"")</f>
        <v/>
      </c>
      <c r="AH295" s="27">
        <f>IF(COUNT($AC295:$AG295)&lt;2,"",IF(MAX($AC295:$AG295)=MIN($AC295:$AG295),0,1))</f>
        <v/>
      </c>
      <c r="AI295" s="27">
        <f>IF($A295="","",IF(COUNTIF($A$14:$A295,$A295)=1,COUNTIF($AI$13:AI294,"&gt;0")+1,""))</f>
        <v/>
      </c>
      <c r="AJ295" s="27">
        <f>IF(OR($H295="",COUNTIFS($A$14:$A$1213,$H295,$F$14:$F$1213,"&gt;=0")&lt;2,COUNTIFS($A$14:$A$1213,$H295,$F$14:$F$1213,_xlfn.MAXIFS($F$14:$F$1213,$A$14:$A$1213,$H295))&gt;1),"",IFERROR(INDEX($D$14:$D$1213,MATCH($H295&amp;"|"&amp;_xlfn.MAXIFS($F$14:$F$1213,$A$14:$A$1213,$H295),$AB$14:$AB$1213,0)),""))</f>
        <v/>
      </c>
      <c r="AK295" s="27">
        <f>IF(OR($H295="",COUNTIFS($A$14:$A$1213,$H295,$F$14:$F$1213,"&gt;=0")&lt;2,COUNTIFS($A$14:$A$1213,$H295,$F$14:$F$1213,_xlfn.MAXIFS($F$14:$F$1213,$A$14:$A$1213,$H295))&gt;1),"",IFERROR(INDEX($E$14:$E$1213,MATCH($H295&amp;"|"&amp;_xlfn.MAXIFS($F$14:$F$1213,$A$14:$A$1213,$H295),$AB$14:$AB$1213,0)),""))</f>
        <v/>
      </c>
      <c r="AL295" s="27">
        <f>IF(OR($H295="",COUNTIFS($A$14:$A$1213,$H295,$F$14:$F$1213,"&gt;=0")&lt;2,COUNTIFS($A$14:$A$1213,$H295,$F$14:$F$1213,_xlfn.MAXIFS($F$14:$F$1213,$A$14:$A$1213,$H295))&gt;1),"",IFERROR(INDEX($D$14:$D$1213,MATCH($H295&amp;"|"&amp;_xlfn.MAXIFS($F$14:$F$1213,$A$14:$A$1213,$H295,$F$14:$F$1213,"&lt;"&amp;_xlfn.MAXIFS($F$14:$F$1213,$A$14:$A$1213,$H295)),$AB$14:$AB$1213,0)),""))</f>
        <v/>
      </c>
      <c r="AM295" s="27">
        <f>IF(OR($H295="",COUNTIFS($A$14:$A$1213,$H295,$F$14:$F$1213,"&gt;=0")&lt;2,COUNTIFS($A$14:$A$1213,$H295,$F$14:$F$1213,_xlfn.MAXIFS($F$14:$F$1213,$A$14:$A$1213,$H295))&gt;1),"",IFERROR(INDEX($E$14:$E$1213,MATCH($H295&amp;"|"&amp;_xlfn.MAXIFS($F$14:$F$1213,$A$14:$A$1213,$H295,$F$14:$F$1213,"&lt;"&amp;_xlfn.MAXIFS($F$14:$F$1213,$A$14:$A$1213,$H295)),$AB$14:$AB$1213,0)),""))</f>
        <v/>
      </c>
      <c r="AN295" s="27">
        <f>IF(OR(NOT(ISNUMBER($AJ295)),NOT(ISNUMBER($AL295)),$AK295=0,$AM295=0),"",IF(OR((($AJ295+$AL295)/($AK295+$AM295))&lt;=0,(($AJ295+$AL295)/($AK295+$AM295))&gt;=1),"",($AJ295/$AK295-$AL295/$AM295)/SQRT((($AJ295+$AL295)/($AK295+$AM295))*(1-(($AJ295+$AL295)/($AK295+$AM295)))*(1/$AK295+1/$AM295))))</f>
        <v/>
      </c>
      <c r="AO295" s="27">
        <f>IF($A295="","",IF(AND(COUNTIFS($A$14:$A$1213,$A295,$F$14:$F$1213,"&gt;=0")=2,IFERROR(INDEX($M$14:$M$313,MATCH($A295,$H$14:$H$313,0)),"Yes")&lt;&gt;"Yes"),1,0))</f>
        <v/>
      </c>
    </row>
    <row r="296" ht="24" customHeight="1">
      <c r="A296" s="19">
        <f>IF('Enter messages'!A296="","",'Enter messages'!A296)</f>
        <v/>
      </c>
      <c r="B296" s="20">
        <f>IF('Enter messages'!B296="","",'Enter messages'!B296)</f>
        <v/>
      </c>
      <c r="C296" s="21">
        <f>IFERROR(AVERAGE(P296:T296),"")</f>
        <v/>
      </c>
      <c r="D296" s="29" t="n"/>
      <c r="E296" s="29" t="n"/>
      <c r="F296" s="30">
        <f>IF(AND(ISNUMBER($D296),ISNUMBER($E296),$E296&gt;0,$D296&lt;=$E296),$D296/$E296,"")</f>
        <v/>
      </c>
      <c r="H296" s="19">
        <f>IFERROR(INDEX($A$14:$A$1213,MATCH(283,$AI$14:$AI$1213,0)),"")</f>
        <v/>
      </c>
      <c r="I296" s="24">
        <f>IF($H296="","",IF(COUNTIFS($A$14:$A$1213,$H296,$C$14:$C$1213,"&gt;=0")=0,"—",IFERROR(INDEX($B$14:$B$1213,MATCH($H296&amp;"|1",$Z$14:$Z$1213,0)),"(tied)")))</f>
        <v/>
      </c>
      <c r="J296" s="25">
        <f>IF($H296="","",IF(OR(COUNTIFS($A$14:$A$1213,$H296,$C$14:$C$1213,"&gt;=0")=0,COUNTIFS($A$14:$A$1213,$H296,$F$14:$F$1213,"&gt;=0")=0),"—",IF(OR(ISERROR(MATCH($H296&amp;"|1",$Z$14:$Z$1213,0)),ISERROR(MATCH($H296&amp;"|1",$AA$14:$AA$1213,0))),"Tie",IF(MATCH($H296&amp;"|1",$Z$14:$Z$1213,0)=MATCH($H296&amp;"|1",$AA$14:$AA$1213,0),"Hit","Miss"))))</f>
        <v/>
      </c>
      <c r="K296" s="24">
        <f>IF($H296="","",IF(COUNTIFS($A$14:$A$1213,$H296,$F$14:$F$1213,"&gt;=0")=0,"—",IFERROR(INDEX($B$14:$B$1213,MATCH($H296&amp;"|1",$AA$14:$AA$1213,0)),"(tied)")))</f>
        <v/>
      </c>
      <c r="L296" s="25">
        <f>IF($H296="","",IF((--(COUNTIFS($A$14:$A$1213,$H296,$P$14:$P$1213,"&gt;=0")&gt;0)+--(COUNTIFS($A$14:$A$1213,$H296,$Q$14:$Q$1213,"&gt;=0")&gt;0)+--(COUNTIFS($A$14:$A$1213,$H296,$R$14:$R$1213,"&gt;=0")&gt;0)+--(COUNTIFS($A$14:$A$1213,$H296,$S$14:$S$1213,"&gt;=0")&gt;0)+--(COUNTIFS($A$14:$A$1213,$H296,$T$14:$T$1213,"&gt;=0")&gt;0))&lt;2,"—",IF(SUMIFS($AH$14:$AH$1213,$A$14:$A$1213,$H296)=0,"Yes","No")))</f>
        <v/>
      </c>
      <c r="M296" s="25">
        <f>IF($H296="","",IF(COUNTIFS($A$14:$A$1213,$H296,$F$14:$F$1213,"&gt;=0")&lt;2,"—",IF(COUNTIFS($A$14:$A$1213,$H296,$F$14:$F$1213,_xlfn.MAXIFS($F$14:$F$1213,$A$14:$A$1213,$H296))&gt;1,"No",IF(NOT(ISNUMBER($AN296)),"—",IF((2*(1-NORMSDIST(ABS($AN296))))&lt;0.05,"Yes","No")))))</f>
        <v/>
      </c>
      <c r="N296" s="21">
        <f>IF($H296="","",IF(NOT(ISNUMBER($AN296)),"—",IF((2*(1-NORMSDIST(ABS($AN296))))&lt;0.001,"&lt;0.001",TEXT((2*(1-NORMSDIST(ABS($AN296)))),"0.000"))))</f>
        <v/>
      </c>
      <c r="P296" s="26" t="n"/>
      <c r="Q296" s="26" t="n"/>
      <c r="R296" s="26" t="n"/>
      <c r="S296" s="26" t="n"/>
      <c r="T296" s="26" t="n"/>
      <c r="V296" s="27">
        <f>IF(ISNUMBER($C296),COUNTIFS($A$14:$A$1213,$A296,$C$14:$C$1213,"&gt;"&amp;$C296)+(COUNTIFS($A$14:$A$1213,$A296,$C$14:$C$1213,"="&amp;$C296)+1)/2,"")</f>
        <v/>
      </c>
      <c r="W296" s="27">
        <f>IF(ISNUMBER($F296),COUNTIFS($A$14:$A$1213,$A296,$F$14:$F$1213,"&gt;"&amp;$F296)+(COUNTIFS($A$14:$A$1213,$A296,$F$14:$F$1213,"="&amp;$F296)+1)/2,"")</f>
        <v/>
      </c>
      <c r="X296" s="27">
        <f>IF(OR(NOT(ISNUMBER($V296)),$AO296=1),"",$V296-(COUNTIFS($A$14:$A$1213,$A296,$C$14:$C$1213,"&gt;=0")+1)/2)</f>
        <v/>
      </c>
      <c r="Y296" s="27">
        <f>IF(OR(NOT(ISNUMBER($W296)),$AO296=1),"",$W296-(COUNTIFS($A$14:$A$1213,$A296,$F$14:$F$1213,"&gt;=0")+1)/2)</f>
        <v/>
      </c>
      <c r="Z296" s="27">
        <f>IF(ISNUMBER($V296),$A296&amp;"|"&amp;$V296,"")</f>
        <v/>
      </c>
      <c r="AA296" s="27">
        <f>IF(ISNUMBER($W296),$A296&amp;"|"&amp;$W296,"")</f>
        <v/>
      </c>
      <c r="AB296" s="27">
        <f>IF(ISNUMBER($F296),$A296&amp;"|"&amp;$F296,"")</f>
        <v/>
      </c>
      <c r="AC296" s="27">
        <f>IF(ISNUMBER($P296),COUNTIFS($A$14:$A$1213,$A296,$P$14:$P$1213,"&gt;"&amp;$P296)+(COUNTIFS($A$14:$A$1213,$A296,$P$14:$P$1213,"="&amp;$P296)+1)/2,"")</f>
        <v/>
      </c>
      <c r="AD296" s="27">
        <f>IF(ISNUMBER($Q296),COUNTIFS($A$14:$A$1213,$A296,$Q$14:$Q$1213,"&gt;"&amp;$Q296)+(COUNTIFS($A$14:$A$1213,$A296,$Q$14:$Q$1213,"="&amp;$Q296)+1)/2,"")</f>
        <v/>
      </c>
      <c r="AE296" s="27">
        <f>IF(ISNUMBER($R296),COUNTIFS($A$14:$A$1213,$A296,$R$14:$R$1213,"&gt;"&amp;$R296)+(COUNTIFS($A$14:$A$1213,$A296,$R$14:$R$1213,"="&amp;$R296)+1)/2,"")</f>
        <v/>
      </c>
      <c r="AF296" s="27">
        <f>IF(ISNUMBER($S296),COUNTIFS($A$14:$A$1213,$A296,$S$14:$S$1213,"&gt;"&amp;$S296)+(COUNTIFS($A$14:$A$1213,$A296,$S$14:$S$1213,"="&amp;$S296)+1)/2,"")</f>
        <v/>
      </c>
      <c r="AG296" s="27">
        <f>IF(ISNUMBER($T296),COUNTIFS($A$14:$A$1213,$A296,$T$14:$T$1213,"&gt;"&amp;$T296)+(COUNTIFS($A$14:$A$1213,$A296,$T$14:$T$1213,"="&amp;$T296)+1)/2,"")</f>
        <v/>
      </c>
      <c r="AH296" s="27">
        <f>IF(COUNT($AC296:$AG296)&lt;2,"",IF(MAX($AC296:$AG296)=MIN($AC296:$AG296),0,1))</f>
        <v/>
      </c>
      <c r="AI296" s="27">
        <f>IF($A296="","",IF(COUNTIF($A$14:$A296,$A296)=1,COUNTIF($AI$13:AI295,"&gt;0")+1,""))</f>
        <v/>
      </c>
      <c r="AJ296" s="27">
        <f>IF(OR($H296="",COUNTIFS($A$14:$A$1213,$H296,$F$14:$F$1213,"&gt;=0")&lt;2,COUNTIFS($A$14:$A$1213,$H296,$F$14:$F$1213,_xlfn.MAXIFS($F$14:$F$1213,$A$14:$A$1213,$H296))&gt;1),"",IFERROR(INDEX($D$14:$D$1213,MATCH($H296&amp;"|"&amp;_xlfn.MAXIFS($F$14:$F$1213,$A$14:$A$1213,$H296),$AB$14:$AB$1213,0)),""))</f>
        <v/>
      </c>
      <c r="AK296" s="27">
        <f>IF(OR($H296="",COUNTIFS($A$14:$A$1213,$H296,$F$14:$F$1213,"&gt;=0")&lt;2,COUNTIFS($A$14:$A$1213,$H296,$F$14:$F$1213,_xlfn.MAXIFS($F$14:$F$1213,$A$14:$A$1213,$H296))&gt;1),"",IFERROR(INDEX($E$14:$E$1213,MATCH($H296&amp;"|"&amp;_xlfn.MAXIFS($F$14:$F$1213,$A$14:$A$1213,$H296),$AB$14:$AB$1213,0)),""))</f>
        <v/>
      </c>
      <c r="AL296" s="27">
        <f>IF(OR($H296="",COUNTIFS($A$14:$A$1213,$H296,$F$14:$F$1213,"&gt;=0")&lt;2,COUNTIFS($A$14:$A$1213,$H296,$F$14:$F$1213,_xlfn.MAXIFS($F$14:$F$1213,$A$14:$A$1213,$H296))&gt;1),"",IFERROR(INDEX($D$14:$D$1213,MATCH($H296&amp;"|"&amp;_xlfn.MAXIFS($F$14:$F$1213,$A$14:$A$1213,$H296,$F$14:$F$1213,"&lt;"&amp;_xlfn.MAXIFS($F$14:$F$1213,$A$14:$A$1213,$H296)),$AB$14:$AB$1213,0)),""))</f>
        <v/>
      </c>
      <c r="AM296" s="27">
        <f>IF(OR($H296="",COUNTIFS($A$14:$A$1213,$H296,$F$14:$F$1213,"&gt;=0")&lt;2,COUNTIFS($A$14:$A$1213,$H296,$F$14:$F$1213,_xlfn.MAXIFS($F$14:$F$1213,$A$14:$A$1213,$H296))&gt;1),"",IFERROR(INDEX($E$14:$E$1213,MATCH($H296&amp;"|"&amp;_xlfn.MAXIFS($F$14:$F$1213,$A$14:$A$1213,$H296,$F$14:$F$1213,"&lt;"&amp;_xlfn.MAXIFS($F$14:$F$1213,$A$14:$A$1213,$H296)),$AB$14:$AB$1213,0)),""))</f>
        <v/>
      </c>
      <c r="AN296" s="27">
        <f>IF(OR(NOT(ISNUMBER($AJ296)),NOT(ISNUMBER($AL296)),$AK296=0,$AM296=0),"",IF(OR((($AJ296+$AL296)/($AK296+$AM296))&lt;=0,(($AJ296+$AL296)/($AK296+$AM296))&gt;=1),"",($AJ296/$AK296-$AL296/$AM296)/SQRT((($AJ296+$AL296)/($AK296+$AM296))*(1-(($AJ296+$AL296)/($AK296+$AM296)))*(1/$AK296+1/$AM296))))</f>
        <v/>
      </c>
      <c r="AO296" s="27">
        <f>IF($A296="","",IF(AND(COUNTIFS($A$14:$A$1213,$A296,$F$14:$F$1213,"&gt;=0")=2,IFERROR(INDEX($M$14:$M$313,MATCH($A296,$H$14:$H$313,0)),"Yes")&lt;&gt;"Yes"),1,0))</f>
        <v/>
      </c>
    </row>
    <row r="297" ht="24" customHeight="1">
      <c r="A297" s="19">
        <f>IF('Enter messages'!A297="","",'Enter messages'!A297)</f>
        <v/>
      </c>
      <c r="B297" s="20">
        <f>IF('Enter messages'!B297="","",'Enter messages'!B297)</f>
        <v/>
      </c>
      <c r="C297" s="21">
        <f>IFERROR(AVERAGE(P297:T297),"")</f>
        <v/>
      </c>
      <c r="D297" s="29" t="n"/>
      <c r="E297" s="29" t="n"/>
      <c r="F297" s="30">
        <f>IF(AND(ISNUMBER($D297),ISNUMBER($E297),$E297&gt;0,$D297&lt;=$E297),$D297/$E297,"")</f>
        <v/>
      </c>
      <c r="H297" s="19">
        <f>IFERROR(INDEX($A$14:$A$1213,MATCH(284,$AI$14:$AI$1213,0)),"")</f>
        <v/>
      </c>
      <c r="I297" s="24">
        <f>IF($H297="","",IF(COUNTIFS($A$14:$A$1213,$H297,$C$14:$C$1213,"&gt;=0")=0,"—",IFERROR(INDEX($B$14:$B$1213,MATCH($H297&amp;"|1",$Z$14:$Z$1213,0)),"(tied)")))</f>
        <v/>
      </c>
      <c r="J297" s="25">
        <f>IF($H297="","",IF(OR(COUNTIFS($A$14:$A$1213,$H297,$C$14:$C$1213,"&gt;=0")=0,COUNTIFS($A$14:$A$1213,$H297,$F$14:$F$1213,"&gt;=0")=0),"—",IF(OR(ISERROR(MATCH($H297&amp;"|1",$Z$14:$Z$1213,0)),ISERROR(MATCH($H297&amp;"|1",$AA$14:$AA$1213,0))),"Tie",IF(MATCH($H297&amp;"|1",$Z$14:$Z$1213,0)=MATCH($H297&amp;"|1",$AA$14:$AA$1213,0),"Hit","Miss"))))</f>
        <v/>
      </c>
      <c r="K297" s="24">
        <f>IF($H297="","",IF(COUNTIFS($A$14:$A$1213,$H297,$F$14:$F$1213,"&gt;=0")=0,"—",IFERROR(INDEX($B$14:$B$1213,MATCH($H297&amp;"|1",$AA$14:$AA$1213,0)),"(tied)")))</f>
        <v/>
      </c>
      <c r="L297" s="25">
        <f>IF($H297="","",IF((--(COUNTIFS($A$14:$A$1213,$H297,$P$14:$P$1213,"&gt;=0")&gt;0)+--(COUNTIFS($A$14:$A$1213,$H297,$Q$14:$Q$1213,"&gt;=0")&gt;0)+--(COUNTIFS($A$14:$A$1213,$H297,$R$14:$R$1213,"&gt;=0")&gt;0)+--(COUNTIFS($A$14:$A$1213,$H297,$S$14:$S$1213,"&gt;=0")&gt;0)+--(COUNTIFS($A$14:$A$1213,$H297,$T$14:$T$1213,"&gt;=0")&gt;0))&lt;2,"—",IF(SUMIFS($AH$14:$AH$1213,$A$14:$A$1213,$H297)=0,"Yes","No")))</f>
        <v/>
      </c>
      <c r="M297" s="25">
        <f>IF($H297="","",IF(COUNTIFS($A$14:$A$1213,$H297,$F$14:$F$1213,"&gt;=0")&lt;2,"—",IF(COUNTIFS($A$14:$A$1213,$H297,$F$14:$F$1213,_xlfn.MAXIFS($F$14:$F$1213,$A$14:$A$1213,$H297))&gt;1,"No",IF(NOT(ISNUMBER($AN297)),"—",IF((2*(1-NORMSDIST(ABS($AN297))))&lt;0.05,"Yes","No")))))</f>
        <v/>
      </c>
      <c r="N297" s="21">
        <f>IF($H297="","",IF(NOT(ISNUMBER($AN297)),"—",IF((2*(1-NORMSDIST(ABS($AN297))))&lt;0.001,"&lt;0.001",TEXT((2*(1-NORMSDIST(ABS($AN297)))),"0.000"))))</f>
        <v/>
      </c>
      <c r="P297" s="26" t="n"/>
      <c r="Q297" s="26" t="n"/>
      <c r="R297" s="26" t="n"/>
      <c r="S297" s="26" t="n"/>
      <c r="T297" s="26" t="n"/>
      <c r="V297" s="27">
        <f>IF(ISNUMBER($C297),COUNTIFS($A$14:$A$1213,$A297,$C$14:$C$1213,"&gt;"&amp;$C297)+(COUNTIFS($A$14:$A$1213,$A297,$C$14:$C$1213,"="&amp;$C297)+1)/2,"")</f>
        <v/>
      </c>
      <c r="W297" s="27">
        <f>IF(ISNUMBER($F297),COUNTIFS($A$14:$A$1213,$A297,$F$14:$F$1213,"&gt;"&amp;$F297)+(COUNTIFS($A$14:$A$1213,$A297,$F$14:$F$1213,"="&amp;$F297)+1)/2,"")</f>
        <v/>
      </c>
      <c r="X297" s="27">
        <f>IF(OR(NOT(ISNUMBER($V297)),$AO297=1),"",$V297-(COUNTIFS($A$14:$A$1213,$A297,$C$14:$C$1213,"&gt;=0")+1)/2)</f>
        <v/>
      </c>
      <c r="Y297" s="27">
        <f>IF(OR(NOT(ISNUMBER($W297)),$AO297=1),"",$W297-(COUNTIFS($A$14:$A$1213,$A297,$F$14:$F$1213,"&gt;=0")+1)/2)</f>
        <v/>
      </c>
      <c r="Z297" s="27">
        <f>IF(ISNUMBER($V297),$A297&amp;"|"&amp;$V297,"")</f>
        <v/>
      </c>
      <c r="AA297" s="27">
        <f>IF(ISNUMBER($W297),$A297&amp;"|"&amp;$W297,"")</f>
        <v/>
      </c>
      <c r="AB297" s="27">
        <f>IF(ISNUMBER($F297),$A297&amp;"|"&amp;$F297,"")</f>
        <v/>
      </c>
      <c r="AC297" s="27">
        <f>IF(ISNUMBER($P297),COUNTIFS($A$14:$A$1213,$A297,$P$14:$P$1213,"&gt;"&amp;$P297)+(COUNTIFS($A$14:$A$1213,$A297,$P$14:$P$1213,"="&amp;$P297)+1)/2,"")</f>
        <v/>
      </c>
      <c r="AD297" s="27">
        <f>IF(ISNUMBER($Q297),COUNTIFS($A$14:$A$1213,$A297,$Q$14:$Q$1213,"&gt;"&amp;$Q297)+(COUNTIFS($A$14:$A$1213,$A297,$Q$14:$Q$1213,"="&amp;$Q297)+1)/2,"")</f>
        <v/>
      </c>
      <c r="AE297" s="27">
        <f>IF(ISNUMBER($R297),COUNTIFS($A$14:$A$1213,$A297,$R$14:$R$1213,"&gt;"&amp;$R297)+(COUNTIFS($A$14:$A$1213,$A297,$R$14:$R$1213,"="&amp;$R297)+1)/2,"")</f>
        <v/>
      </c>
      <c r="AF297" s="27">
        <f>IF(ISNUMBER($S297),COUNTIFS($A$14:$A$1213,$A297,$S$14:$S$1213,"&gt;"&amp;$S297)+(COUNTIFS($A$14:$A$1213,$A297,$S$14:$S$1213,"="&amp;$S297)+1)/2,"")</f>
        <v/>
      </c>
      <c r="AG297" s="27">
        <f>IF(ISNUMBER($T297),COUNTIFS($A$14:$A$1213,$A297,$T$14:$T$1213,"&gt;"&amp;$T297)+(COUNTIFS($A$14:$A$1213,$A297,$T$14:$T$1213,"="&amp;$T297)+1)/2,"")</f>
        <v/>
      </c>
      <c r="AH297" s="27">
        <f>IF(COUNT($AC297:$AG297)&lt;2,"",IF(MAX($AC297:$AG297)=MIN($AC297:$AG297),0,1))</f>
        <v/>
      </c>
      <c r="AI297" s="27">
        <f>IF($A297="","",IF(COUNTIF($A$14:$A297,$A297)=1,COUNTIF($AI$13:AI296,"&gt;0")+1,""))</f>
        <v/>
      </c>
      <c r="AJ297" s="27">
        <f>IF(OR($H297="",COUNTIFS($A$14:$A$1213,$H297,$F$14:$F$1213,"&gt;=0")&lt;2,COUNTIFS($A$14:$A$1213,$H297,$F$14:$F$1213,_xlfn.MAXIFS($F$14:$F$1213,$A$14:$A$1213,$H297))&gt;1),"",IFERROR(INDEX($D$14:$D$1213,MATCH($H297&amp;"|"&amp;_xlfn.MAXIFS($F$14:$F$1213,$A$14:$A$1213,$H297),$AB$14:$AB$1213,0)),""))</f>
        <v/>
      </c>
      <c r="AK297" s="27">
        <f>IF(OR($H297="",COUNTIFS($A$14:$A$1213,$H297,$F$14:$F$1213,"&gt;=0")&lt;2,COUNTIFS($A$14:$A$1213,$H297,$F$14:$F$1213,_xlfn.MAXIFS($F$14:$F$1213,$A$14:$A$1213,$H297))&gt;1),"",IFERROR(INDEX($E$14:$E$1213,MATCH($H297&amp;"|"&amp;_xlfn.MAXIFS($F$14:$F$1213,$A$14:$A$1213,$H297),$AB$14:$AB$1213,0)),""))</f>
        <v/>
      </c>
      <c r="AL297" s="27">
        <f>IF(OR($H297="",COUNTIFS($A$14:$A$1213,$H297,$F$14:$F$1213,"&gt;=0")&lt;2,COUNTIFS($A$14:$A$1213,$H297,$F$14:$F$1213,_xlfn.MAXIFS($F$14:$F$1213,$A$14:$A$1213,$H297))&gt;1),"",IFERROR(INDEX($D$14:$D$1213,MATCH($H297&amp;"|"&amp;_xlfn.MAXIFS($F$14:$F$1213,$A$14:$A$1213,$H297,$F$14:$F$1213,"&lt;"&amp;_xlfn.MAXIFS($F$14:$F$1213,$A$14:$A$1213,$H297)),$AB$14:$AB$1213,0)),""))</f>
        <v/>
      </c>
      <c r="AM297" s="27">
        <f>IF(OR($H297="",COUNTIFS($A$14:$A$1213,$H297,$F$14:$F$1213,"&gt;=0")&lt;2,COUNTIFS($A$14:$A$1213,$H297,$F$14:$F$1213,_xlfn.MAXIFS($F$14:$F$1213,$A$14:$A$1213,$H297))&gt;1),"",IFERROR(INDEX($E$14:$E$1213,MATCH($H297&amp;"|"&amp;_xlfn.MAXIFS($F$14:$F$1213,$A$14:$A$1213,$H297,$F$14:$F$1213,"&lt;"&amp;_xlfn.MAXIFS($F$14:$F$1213,$A$14:$A$1213,$H297)),$AB$14:$AB$1213,0)),""))</f>
        <v/>
      </c>
      <c r="AN297" s="27">
        <f>IF(OR(NOT(ISNUMBER($AJ297)),NOT(ISNUMBER($AL297)),$AK297=0,$AM297=0),"",IF(OR((($AJ297+$AL297)/($AK297+$AM297))&lt;=0,(($AJ297+$AL297)/($AK297+$AM297))&gt;=1),"",($AJ297/$AK297-$AL297/$AM297)/SQRT((($AJ297+$AL297)/($AK297+$AM297))*(1-(($AJ297+$AL297)/($AK297+$AM297)))*(1/$AK297+1/$AM297))))</f>
        <v/>
      </c>
      <c r="AO297" s="27">
        <f>IF($A297="","",IF(AND(COUNTIFS($A$14:$A$1213,$A297,$F$14:$F$1213,"&gt;=0")=2,IFERROR(INDEX($M$14:$M$313,MATCH($A297,$H$14:$H$313,0)),"Yes")&lt;&gt;"Yes"),1,0))</f>
        <v/>
      </c>
    </row>
    <row r="298" ht="24" customHeight="1">
      <c r="A298" s="19">
        <f>IF('Enter messages'!A298="","",'Enter messages'!A298)</f>
        <v/>
      </c>
      <c r="B298" s="20">
        <f>IF('Enter messages'!B298="","",'Enter messages'!B298)</f>
        <v/>
      </c>
      <c r="C298" s="21">
        <f>IFERROR(AVERAGE(P298:T298),"")</f>
        <v/>
      </c>
      <c r="D298" s="29" t="n"/>
      <c r="E298" s="29" t="n"/>
      <c r="F298" s="30">
        <f>IF(AND(ISNUMBER($D298),ISNUMBER($E298),$E298&gt;0,$D298&lt;=$E298),$D298/$E298,"")</f>
        <v/>
      </c>
      <c r="H298" s="19">
        <f>IFERROR(INDEX($A$14:$A$1213,MATCH(285,$AI$14:$AI$1213,0)),"")</f>
        <v/>
      </c>
      <c r="I298" s="24">
        <f>IF($H298="","",IF(COUNTIFS($A$14:$A$1213,$H298,$C$14:$C$1213,"&gt;=0")=0,"—",IFERROR(INDEX($B$14:$B$1213,MATCH($H298&amp;"|1",$Z$14:$Z$1213,0)),"(tied)")))</f>
        <v/>
      </c>
      <c r="J298" s="25">
        <f>IF($H298="","",IF(OR(COUNTIFS($A$14:$A$1213,$H298,$C$14:$C$1213,"&gt;=0")=0,COUNTIFS($A$14:$A$1213,$H298,$F$14:$F$1213,"&gt;=0")=0),"—",IF(OR(ISERROR(MATCH($H298&amp;"|1",$Z$14:$Z$1213,0)),ISERROR(MATCH($H298&amp;"|1",$AA$14:$AA$1213,0))),"Tie",IF(MATCH($H298&amp;"|1",$Z$14:$Z$1213,0)=MATCH($H298&amp;"|1",$AA$14:$AA$1213,0),"Hit","Miss"))))</f>
        <v/>
      </c>
      <c r="K298" s="24">
        <f>IF($H298="","",IF(COUNTIFS($A$14:$A$1213,$H298,$F$14:$F$1213,"&gt;=0")=0,"—",IFERROR(INDEX($B$14:$B$1213,MATCH($H298&amp;"|1",$AA$14:$AA$1213,0)),"(tied)")))</f>
        <v/>
      </c>
      <c r="L298" s="25">
        <f>IF($H298="","",IF((--(COUNTIFS($A$14:$A$1213,$H298,$P$14:$P$1213,"&gt;=0")&gt;0)+--(COUNTIFS($A$14:$A$1213,$H298,$Q$14:$Q$1213,"&gt;=0")&gt;0)+--(COUNTIFS($A$14:$A$1213,$H298,$R$14:$R$1213,"&gt;=0")&gt;0)+--(COUNTIFS($A$14:$A$1213,$H298,$S$14:$S$1213,"&gt;=0")&gt;0)+--(COUNTIFS($A$14:$A$1213,$H298,$T$14:$T$1213,"&gt;=0")&gt;0))&lt;2,"—",IF(SUMIFS($AH$14:$AH$1213,$A$14:$A$1213,$H298)=0,"Yes","No")))</f>
        <v/>
      </c>
      <c r="M298" s="25">
        <f>IF($H298="","",IF(COUNTIFS($A$14:$A$1213,$H298,$F$14:$F$1213,"&gt;=0")&lt;2,"—",IF(COUNTIFS($A$14:$A$1213,$H298,$F$14:$F$1213,_xlfn.MAXIFS($F$14:$F$1213,$A$14:$A$1213,$H298))&gt;1,"No",IF(NOT(ISNUMBER($AN298)),"—",IF((2*(1-NORMSDIST(ABS($AN298))))&lt;0.05,"Yes","No")))))</f>
        <v/>
      </c>
      <c r="N298" s="21">
        <f>IF($H298="","",IF(NOT(ISNUMBER($AN298)),"—",IF((2*(1-NORMSDIST(ABS($AN298))))&lt;0.001,"&lt;0.001",TEXT((2*(1-NORMSDIST(ABS($AN298)))),"0.000"))))</f>
        <v/>
      </c>
      <c r="P298" s="26" t="n"/>
      <c r="Q298" s="26" t="n"/>
      <c r="R298" s="26" t="n"/>
      <c r="S298" s="26" t="n"/>
      <c r="T298" s="26" t="n"/>
      <c r="V298" s="27">
        <f>IF(ISNUMBER($C298),COUNTIFS($A$14:$A$1213,$A298,$C$14:$C$1213,"&gt;"&amp;$C298)+(COUNTIFS($A$14:$A$1213,$A298,$C$14:$C$1213,"="&amp;$C298)+1)/2,"")</f>
        <v/>
      </c>
      <c r="W298" s="27">
        <f>IF(ISNUMBER($F298),COUNTIFS($A$14:$A$1213,$A298,$F$14:$F$1213,"&gt;"&amp;$F298)+(COUNTIFS($A$14:$A$1213,$A298,$F$14:$F$1213,"="&amp;$F298)+1)/2,"")</f>
        <v/>
      </c>
      <c r="X298" s="27">
        <f>IF(OR(NOT(ISNUMBER($V298)),$AO298=1),"",$V298-(COUNTIFS($A$14:$A$1213,$A298,$C$14:$C$1213,"&gt;=0")+1)/2)</f>
        <v/>
      </c>
      <c r="Y298" s="27">
        <f>IF(OR(NOT(ISNUMBER($W298)),$AO298=1),"",$W298-(COUNTIFS($A$14:$A$1213,$A298,$F$14:$F$1213,"&gt;=0")+1)/2)</f>
        <v/>
      </c>
      <c r="Z298" s="27">
        <f>IF(ISNUMBER($V298),$A298&amp;"|"&amp;$V298,"")</f>
        <v/>
      </c>
      <c r="AA298" s="27">
        <f>IF(ISNUMBER($W298),$A298&amp;"|"&amp;$W298,"")</f>
        <v/>
      </c>
      <c r="AB298" s="27">
        <f>IF(ISNUMBER($F298),$A298&amp;"|"&amp;$F298,"")</f>
        <v/>
      </c>
      <c r="AC298" s="27">
        <f>IF(ISNUMBER($P298),COUNTIFS($A$14:$A$1213,$A298,$P$14:$P$1213,"&gt;"&amp;$P298)+(COUNTIFS($A$14:$A$1213,$A298,$P$14:$P$1213,"="&amp;$P298)+1)/2,"")</f>
        <v/>
      </c>
      <c r="AD298" s="27">
        <f>IF(ISNUMBER($Q298),COUNTIFS($A$14:$A$1213,$A298,$Q$14:$Q$1213,"&gt;"&amp;$Q298)+(COUNTIFS($A$14:$A$1213,$A298,$Q$14:$Q$1213,"="&amp;$Q298)+1)/2,"")</f>
        <v/>
      </c>
      <c r="AE298" s="27">
        <f>IF(ISNUMBER($R298),COUNTIFS($A$14:$A$1213,$A298,$R$14:$R$1213,"&gt;"&amp;$R298)+(COUNTIFS($A$14:$A$1213,$A298,$R$14:$R$1213,"="&amp;$R298)+1)/2,"")</f>
        <v/>
      </c>
      <c r="AF298" s="27">
        <f>IF(ISNUMBER($S298),COUNTIFS($A$14:$A$1213,$A298,$S$14:$S$1213,"&gt;"&amp;$S298)+(COUNTIFS($A$14:$A$1213,$A298,$S$14:$S$1213,"="&amp;$S298)+1)/2,"")</f>
        <v/>
      </c>
      <c r="AG298" s="27">
        <f>IF(ISNUMBER($T298),COUNTIFS($A$14:$A$1213,$A298,$T$14:$T$1213,"&gt;"&amp;$T298)+(COUNTIFS($A$14:$A$1213,$A298,$T$14:$T$1213,"="&amp;$T298)+1)/2,"")</f>
        <v/>
      </c>
      <c r="AH298" s="27">
        <f>IF(COUNT($AC298:$AG298)&lt;2,"",IF(MAX($AC298:$AG298)=MIN($AC298:$AG298),0,1))</f>
        <v/>
      </c>
      <c r="AI298" s="27">
        <f>IF($A298="","",IF(COUNTIF($A$14:$A298,$A298)=1,COUNTIF($AI$13:AI297,"&gt;0")+1,""))</f>
        <v/>
      </c>
      <c r="AJ298" s="27">
        <f>IF(OR($H298="",COUNTIFS($A$14:$A$1213,$H298,$F$14:$F$1213,"&gt;=0")&lt;2,COUNTIFS($A$14:$A$1213,$H298,$F$14:$F$1213,_xlfn.MAXIFS($F$14:$F$1213,$A$14:$A$1213,$H298))&gt;1),"",IFERROR(INDEX($D$14:$D$1213,MATCH($H298&amp;"|"&amp;_xlfn.MAXIFS($F$14:$F$1213,$A$14:$A$1213,$H298),$AB$14:$AB$1213,0)),""))</f>
        <v/>
      </c>
      <c r="AK298" s="27">
        <f>IF(OR($H298="",COUNTIFS($A$14:$A$1213,$H298,$F$14:$F$1213,"&gt;=0")&lt;2,COUNTIFS($A$14:$A$1213,$H298,$F$14:$F$1213,_xlfn.MAXIFS($F$14:$F$1213,$A$14:$A$1213,$H298))&gt;1),"",IFERROR(INDEX($E$14:$E$1213,MATCH($H298&amp;"|"&amp;_xlfn.MAXIFS($F$14:$F$1213,$A$14:$A$1213,$H298),$AB$14:$AB$1213,0)),""))</f>
        <v/>
      </c>
      <c r="AL298" s="27">
        <f>IF(OR($H298="",COUNTIFS($A$14:$A$1213,$H298,$F$14:$F$1213,"&gt;=0")&lt;2,COUNTIFS($A$14:$A$1213,$H298,$F$14:$F$1213,_xlfn.MAXIFS($F$14:$F$1213,$A$14:$A$1213,$H298))&gt;1),"",IFERROR(INDEX($D$14:$D$1213,MATCH($H298&amp;"|"&amp;_xlfn.MAXIFS($F$14:$F$1213,$A$14:$A$1213,$H298,$F$14:$F$1213,"&lt;"&amp;_xlfn.MAXIFS($F$14:$F$1213,$A$14:$A$1213,$H298)),$AB$14:$AB$1213,0)),""))</f>
        <v/>
      </c>
      <c r="AM298" s="27">
        <f>IF(OR($H298="",COUNTIFS($A$14:$A$1213,$H298,$F$14:$F$1213,"&gt;=0")&lt;2,COUNTIFS($A$14:$A$1213,$H298,$F$14:$F$1213,_xlfn.MAXIFS($F$14:$F$1213,$A$14:$A$1213,$H298))&gt;1),"",IFERROR(INDEX($E$14:$E$1213,MATCH($H298&amp;"|"&amp;_xlfn.MAXIFS($F$14:$F$1213,$A$14:$A$1213,$H298,$F$14:$F$1213,"&lt;"&amp;_xlfn.MAXIFS($F$14:$F$1213,$A$14:$A$1213,$H298)),$AB$14:$AB$1213,0)),""))</f>
        <v/>
      </c>
      <c r="AN298" s="27">
        <f>IF(OR(NOT(ISNUMBER($AJ298)),NOT(ISNUMBER($AL298)),$AK298=0,$AM298=0),"",IF(OR((($AJ298+$AL298)/($AK298+$AM298))&lt;=0,(($AJ298+$AL298)/($AK298+$AM298))&gt;=1),"",($AJ298/$AK298-$AL298/$AM298)/SQRT((($AJ298+$AL298)/($AK298+$AM298))*(1-(($AJ298+$AL298)/($AK298+$AM298)))*(1/$AK298+1/$AM298))))</f>
        <v/>
      </c>
      <c r="AO298" s="27">
        <f>IF($A298="","",IF(AND(COUNTIFS($A$14:$A$1213,$A298,$F$14:$F$1213,"&gt;=0")=2,IFERROR(INDEX($M$14:$M$313,MATCH($A298,$H$14:$H$313,0)),"Yes")&lt;&gt;"Yes"),1,0))</f>
        <v/>
      </c>
    </row>
    <row r="299" ht="24" customHeight="1">
      <c r="A299" s="19">
        <f>IF('Enter messages'!A299="","",'Enter messages'!A299)</f>
        <v/>
      </c>
      <c r="B299" s="20">
        <f>IF('Enter messages'!B299="","",'Enter messages'!B299)</f>
        <v/>
      </c>
      <c r="C299" s="21">
        <f>IFERROR(AVERAGE(P299:T299),"")</f>
        <v/>
      </c>
      <c r="D299" s="29" t="n"/>
      <c r="E299" s="29" t="n"/>
      <c r="F299" s="30">
        <f>IF(AND(ISNUMBER($D299),ISNUMBER($E299),$E299&gt;0,$D299&lt;=$E299),$D299/$E299,"")</f>
        <v/>
      </c>
      <c r="H299" s="19">
        <f>IFERROR(INDEX($A$14:$A$1213,MATCH(286,$AI$14:$AI$1213,0)),"")</f>
        <v/>
      </c>
      <c r="I299" s="24">
        <f>IF($H299="","",IF(COUNTIFS($A$14:$A$1213,$H299,$C$14:$C$1213,"&gt;=0")=0,"—",IFERROR(INDEX($B$14:$B$1213,MATCH($H299&amp;"|1",$Z$14:$Z$1213,0)),"(tied)")))</f>
        <v/>
      </c>
      <c r="J299" s="25">
        <f>IF($H299="","",IF(OR(COUNTIFS($A$14:$A$1213,$H299,$C$14:$C$1213,"&gt;=0")=0,COUNTIFS($A$14:$A$1213,$H299,$F$14:$F$1213,"&gt;=0")=0),"—",IF(OR(ISERROR(MATCH($H299&amp;"|1",$Z$14:$Z$1213,0)),ISERROR(MATCH($H299&amp;"|1",$AA$14:$AA$1213,0))),"Tie",IF(MATCH($H299&amp;"|1",$Z$14:$Z$1213,0)=MATCH($H299&amp;"|1",$AA$14:$AA$1213,0),"Hit","Miss"))))</f>
        <v/>
      </c>
      <c r="K299" s="24">
        <f>IF($H299="","",IF(COUNTIFS($A$14:$A$1213,$H299,$F$14:$F$1213,"&gt;=0")=0,"—",IFERROR(INDEX($B$14:$B$1213,MATCH($H299&amp;"|1",$AA$14:$AA$1213,0)),"(tied)")))</f>
        <v/>
      </c>
      <c r="L299" s="25">
        <f>IF($H299="","",IF((--(COUNTIFS($A$14:$A$1213,$H299,$P$14:$P$1213,"&gt;=0")&gt;0)+--(COUNTIFS($A$14:$A$1213,$H299,$Q$14:$Q$1213,"&gt;=0")&gt;0)+--(COUNTIFS($A$14:$A$1213,$H299,$R$14:$R$1213,"&gt;=0")&gt;0)+--(COUNTIFS($A$14:$A$1213,$H299,$S$14:$S$1213,"&gt;=0")&gt;0)+--(COUNTIFS($A$14:$A$1213,$H299,$T$14:$T$1213,"&gt;=0")&gt;0))&lt;2,"—",IF(SUMIFS($AH$14:$AH$1213,$A$14:$A$1213,$H299)=0,"Yes","No")))</f>
        <v/>
      </c>
      <c r="M299" s="25">
        <f>IF($H299="","",IF(COUNTIFS($A$14:$A$1213,$H299,$F$14:$F$1213,"&gt;=0")&lt;2,"—",IF(COUNTIFS($A$14:$A$1213,$H299,$F$14:$F$1213,_xlfn.MAXIFS($F$14:$F$1213,$A$14:$A$1213,$H299))&gt;1,"No",IF(NOT(ISNUMBER($AN299)),"—",IF((2*(1-NORMSDIST(ABS($AN299))))&lt;0.05,"Yes","No")))))</f>
        <v/>
      </c>
      <c r="N299" s="21">
        <f>IF($H299="","",IF(NOT(ISNUMBER($AN299)),"—",IF((2*(1-NORMSDIST(ABS($AN299))))&lt;0.001,"&lt;0.001",TEXT((2*(1-NORMSDIST(ABS($AN299)))),"0.000"))))</f>
        <v/>
      </c>
      <c r="P299" s="26" t="n"/>
      <c r="Q299" s="26" t="n"/>
      <c r="R299" s="26" t="n"/>
      <c r="S299" s="26" t="n"/>
      <c r="T299" s="26" t="n"/>
      <c r="V299" s="27">
        <f>IF(ISNUMBER($C299),COUNTIFS($A$14:$A$1213,$A299,$C$14:$C$1213,"&gt;"&amp;$C299)+(COUNTIFS($A$14:$A$1213,$A299,$C$14:$C$1213,"="&amp;$C299)+1)/2,"")</f>
        <v/>
      </c>
      <c r="W299" s="27">
        <f>IF(ISNUMBER($F299),COUNTIFS($A$14:$A$1213,$A299,$F$14:$F$1213,"&gt;"&amp;$F299)+(COUNTIFS($A$14:$A$1213,$A299,$F$14:$F$1213,"="&amp;$F299)+1)/2,"")</f>
        <v/>
      </c>
      <c r="X299" s="27">
        <f>IF(OR(NOT(ISNUMBER($V299)),$AO299=1),"",$V299-(COUNTIFS($A$14:$A$1213,$A299,$C$14:$C$1213,"&gt;=0")+1)/2)</f>
        <v/>
      </c>
      <c r="Y299" s="27">
        <f>IF(OR(NOT(ISNUMBER($W299)),$AO299=1),"",$W299-(COUNTIFS($A$14:$A$1213,$A299,$F$14:$F$1213,"&gt;=0")+1)/2)</f>
        <v/>
      </c>
      <c r="Z299" s="27">
        <f>IF(ISNUMBER($V299),$A299&amp;"|"&amp;$V299,"")</f>
        <v/>
      </c>
      <c r="AA299" s="27">
        <f>IF(ISNUMBER($W299),$A299&amp;"|"&amp;$W299,"")</f>
        <v/>
      </c>
      <c r="AB299" s="27">
        <f>IF(ISNUMBER($F299),$A299&amp;"|"&amp;$F299,"")</f>
        <v/>
      </c>
      <c r="AC299" s="27">
        <f>IF(ISNUMBER($P299),COUNTIFS($A$14:$A$1213,$A299,$P$14:$P$1213,"&gt;"&amp;$P299)+(COUNTIFS($A$14:$A$1213,$A299,$P$14:$P$1213,"="&amp;$P299)+1)/2,"")</f>
        <v/>
      </c>
      <c r="AD299" s="27">
        <f>IF(ISNUMBER($Q299),COUNTIFS($A$14:$A$1213,$A299,$Q$14:$Q$1213,"&gt;"&amp;$Q299)+(COUNTIFS($A$14:$A$1213,$A299,$Q$14:$Q$1213,"="&amp;$Q299)+1)/2,"")</f>
        <v/>
      </c>
      <c r="AE299" s="27">
        <f>IF(ISNUMBER($R299),COUNTIFS($A$14:$A$1213,$A299,$R$14:$R$1213,"&gt;"&amp;$R299)+(COUNTIFS($A$14:$A$1213,$A299,$R$14:$R$1213,"="&amp;$R299)+1)/2,"")</f>
        <v/>
      </c>
      <c r="AF299" s="27">
        <f>IF(ISNUMBER($S299),COUNTIFS($A$14:$A$1213,$A299,$S$14:$S$1213,"&gt;"&amp;$S299)+(COUNTIFS($A$14:$A$1213,$A299,$S$14:$S$1213,"="&amp;$S299)+1)/2,"")</f>
        <v/>
      </c>
      <c r="AG299" s="27">
        <f>IF(ISNUMBER($T299),COUNTIFS($A$14:$A$1213,$A299,$T$14:$T$1213,"&gt;"&amp;$T299)+(COUNTIFS($A$14:$A$1213,$A299,$T$14:$T$1213,"="&amp;$T299)+1)/2,"")</f>
        <v/>
      </c>
      <c r="AH299" s="27">
        <f>IF(COUNT($AC299:$AG299)&lt;2,"",IF(MAX($AC299:$AG299)=MIN($AC299:$AG299),0,1))</f>
        <v/>
      </c>
      <c r="AI299" s="27">
        <f>IF($A299="","",IF(COUNTIF($A$14:$A299,$A299)=1,COUNTIF($AI$13:AI298,"&gt;0")+1,""))</f>
        <v/>
      </c>
      <c r="AJ299" s="27">
        <f>IF(OR($H299="",COUNTIFS($A$14:$A$1213,$H299,$F$14:$F$1213,"&gt;=0")&lt;2,COUNTIFS($A$14:$A$1213,$H299,$F$14:$F$1213,_xlfn.MAXIFS($F$14:$F$1213,$A$14:$A$1213,$H299))&gt;1),"",IFERROR(INDEX($D$14:$D$1213,MATCH($H299&amp;"|"&amp;_xlfn.MAXIFS($F$14:$F$1213,$A$14:$A$1213,$H299),$AB$14:$AB$1213,0)),""))</f>
        <v/>
      </c>
      <c r="AK299" s="27">
        <f>IF(OR($H299="",COUNTIFS($A$14:$A$1213,$H299,$F$14:$F$1213,"&gt;=0")&lt;2,COUNTIFS($A$14:$A$1213,$H299,$F$14:$F$1213,_xlfn.MAXIFS($F$14:$F$1213,$A$14:$A$1213,$H299))&gt;1),"",IFERROR(INDEX($E$14:$E$1213,MATCH($H299&amp;"|"&amp;_xlfn.MAXIFS($F$14:$F$1213,$A$14:$A$1213,$H299),$AB$14:$AB$1213,0)),""))</f>
        <v/>
      </c>
      <c r="AL299" s="27">
        <f>IF(OR($H299="",COUNTIFS($A$14:$A$1213,$H299,$F$14:$F$1213,"&gt;=0")&lt;2,COUNTIFS($A$14:$A$1213,$H299,$F$14:$F$1213,_xlfn.MAXIFS($F$14:$F$1213,$A$14:$A$1213,$H299))&gt;1),"",IFERROR(INDEX($D$14:$D$1213,MATCH($H299&amp;"|"&amp;_xlfn.MAXIFS($F$14:$F$1213,$A$14:$A$1213,$H299,$F$14:$F$1213,"&lt;"&amp;_xlfn.MAXIFS($F$14:$F$1213,$A$14:$A$1213,$H299)),$AB$14:$AB$1213,0)),""))</f>
        <v/>
      </c>
      <c r="AM299" s="27">
        <f>IF(OR($H299="",COUNTIFS($A$14:$A$1213,$H299,$F$14:$F$1213,"&gt;=0")&lt;2,COUNTIFS($A$14:$A$1213,$H299,$F$14:$F$1213,_xlfn.MAXIFS($F$14:$F$1213,$A$14:$A$1213,$H299))&gt;1),"",IFERROR(INDEX($E$14:$E$1213,MATCH($H299&amp;"|"&amp;_xlfn.MAXIFS($F$14:$F$1213,$A$14:$A$1213,$H299,$F$14:$F$1213,"&lt;"&amp;_xlfn.MAXIFS($F$14:$F$1213,$A$14:$A$1213,$H299)),$AB$14:$AB$1213,0)),""))</f>
        <v/>
      </c>
      <c r="AN299" s="27">
        <f>IF(OR(NOT(ISNUMBER($AJ299)),NOT(ISNUMBER($AL299)),$AK299=0,$AM299=0),"",IF(OR((($AJ299+$AL299)/($AK299+$AM299))&lt;=0,(($AJ299+$AL299)/($AK299+$AM299))&gt;=1),"",($AJ299/$AK299-$AL299/$AM299)/SQRT((($AJ299+$AL299)/($AK299+$AM299))*(1-(($AJ299+$AL299)/($AK299+$AM299)))*(1/$AK299+1/$AM299))))</f>
        <v/>
      </c>
      <c r="AO299" s="27">
        <f>IF($A299="","",IF(AND(COUNTIFS($A$14:$A$1213,$A299,$F$14:$F$1213,"&gt;=0")=2,IFERROR(INDEX($M$14:$M$313,MATCH($A299,$H$14:$H$313,0)),"Yes")&lt;&gt;"Yes"),1,0))</f>
        <v/>
      </c>
    </row>
    <row r="300" ht="24" customHeight="1">
      <c r="A300" s="19">
        <f>IF('Enter messages'!A300="","",'Enter messages'!A300)</f>
        <v/>
      </c>
      <c r="B300" s="20">
        <f>IF('Enter messages'!B300="","",'Enter messages'!B300)</f>
        <v/>
      </c>
      <c r="C300" s="21">
        <f>IFERROR(AVERAGE(P300:T300),"")</f>
        <v/>
      </c>
      <c r="D300" s="29" t="n"/>
      <c r="E300" s="29" t="n"/>
      <c r="F300" s="30">
        <f>IF(AND(ISNUMBER($D300),ISNUMBER($E300),$E300&gt;0,$D300&lt;=$E300),$D300/$E300,"")</f>
        <v/>
      </c>
      <c r="H300" s="19">
        <f>IFERROR(INDEX($A$14:$A$1213,MATCH(287,$AI$14:$AI$1213,0)),"")</f>
        <v/>
      </c>
      <c r="I300" s="24">
        <f>IF($H300="","",IF(COUNTIFS($A$14:$A$1213,$H300,$C$14:$C$1213,"&gt;=0")=0,"—",IFERROR(INDEX($B$14:$B$1213,MATCH($H300&amp;"|1",$Z$14:$Z$1213,0)),"(tied)")))</f>
        <v/>
      </c>
      <c r="J300" s="25">
        <f>IF($H300="","",IF(OR(COUNTIFS($A$14:$A$1213,$H300,$C$14:$C$1213,"&gt;=0")=0,COUNTIFS($A$14:$A$1213,$H300,$F$14:$F$1213,"&gt;=0")=0),"—",IF(OR(ISERROR(MATCH($H300&amp;"|1",$Z$14:$Z$1213,0)),ISERROR(MATCH($H300&amp;"|1",$AA$14:$AA$1213,0))),"Tie",IF(MATCH($H300&amp;"|1",$Z$14:$Z$1213,0)=MATCH($H300&amp;"|1",$AA$14:$AA$1213,0),"Hit","Miss"))))</f>
        <v/>
      </c>
      <c r="K300" s="24">
        <f>IF($H300="","",IF(COUNTIFS($A$14:$A$1213,$H300,$F$14:$F$1213,"&gt;=0")=0,"—",IFERROR(INDEX($B$14:$B$1213,MATCH($H300&amp;"|1",$AA$14:$AA$1213,0)),"(tied)")))</f>
        <v/>
      </c>
      <c r="L300" s="25">
        <f>IF($H300="","",IF((--(COUNTIFS($A$14:$A$1213,$H300,$P$14:$P$1213,"&gt;=0")&gt;0)+--(COUNTIFS($A$14:$A$1213,$H300,$Q$14:$Q$1213,"&gt;=0")&gt;0)+--(COUNTIFS($A$14:$A$1213,$H300,$R$14:$R$1213,"&gt;=0")&gt;0)+--(COUNTIFS($A$14:$A$1213,$H300,$S$14:$S$1213,"&gt;=0")&gt;0)+--(COUNTIFS($A$14:$A$1213,$H300,$T$14:$T$1213,"&gt;=0")&gt;0))&lt;2,"—",IF(SUMIFS($AH$14:$AH$1213,$A$14:$A$1213,$H300)=0,"Yes","No")))</f>
        <v/>
      </c>
      <c r="M300" s="25">
        <f>IF($H300="","",IF(COUNTIFS($A$14:$A$1213,$H300,$F$14:$F$1213,"&gt;=0")&lt;2,"—",IF(COUNTIFS($A$14:$A$1213,$H300,$F$14:$F$1213,_xlfn.MAXIFS($F$14:$F$1213,$A$14:$A$1213,$H300))&gt;1,"No",IF(NOT(ISNUMBER($AN300)),"—",IF((2*(1-NORMSDIST(ABS($AN300))))&lt;0.05,"Yes","No")))))</f>
        <v/>
      </c>
      <c r="N300" s="21">
        <f>IF($H300="","",IF(NOT(ISNUMBER($AN300)),"—",IF((2*(1-NORMSDIST(ABS($AN300))))&lt;0.001,"&lt;0.001",TEXT((2*(1-NORMSDIST(ABS($AN300)))),"0.000"))))</f>
        <v/>
      </c>
      <c r="P300" s="26" t="n"/>
      <c r="Q300" s="26" t="n"/>
      <c r="R300" s="26" t="n"/>
      <c r="S300" s="26" t="n"/>
      <c r="T300" s="26" t="n"/>
      <c r="V300" s="27">
        <f>IF(ISNUMBER($C300),COUNTIFS($A$14:$A$1213,$A300,$C$14:$C$1213,"&gt;"&amp;$C300)+(COUNTIFS($A$14:$A$1213,$A300,$C$14:$C$1213,"="&amp;$C300)+1)/2,"")</f>
        <v/>
      </c>
      <c r="W300" s="27">
        <f>IF(ISNUMBER($F300),COUNTIFS($A$14:$A$1213,$A300,$F$14:$F$1213,"&gt;"&amp;$F300)+(COUNTIFS($A$14:$A$1213,$A300,$F$14:$F$1213,"="&amp;$F300)+1)/2,"")</f>
        <v/>
      </c>
      <c r="X300" s="27">
        <f>IF(OR(NOT(ISNUMBER($V300)),$AO300=1),"",$V300-(COUNTIFS($A$14:$A$1213,$A300,$C$14:$C$1213,"&gt;=0")+1)/2)</f>
        <v/>
      </c>
      <c r="Y300" s="27">
        <f>IF(OR(NOT(ISNUMBER($W300)),$AO300=1),"",$W300-(COUNTIFS($A$14:$A$1213,$A300,$F$14:$F$1213,"&gt;=0")+1)/2)</f>
        <v/>
      </c>
      <c r="Z300" s="27">
        <f>IF(ISNUMBER($V300),$A300&amp;"|"&amp;$V300,"")</f>
        <v/>
      </c>
      <c r="AA300" s="27">
        <f>IF(ISNUMBER($W300),$A300&amp;"|"&amp;$W300,"")</f>
        <v/>
      </c>
      <c r="AB300" s="27">
        <f>IF(ISNUMBER($F300),$A300&amp;"|"&amp;$F300,"")</f>
        <v/>
      </c>
      <c r="AC300" s="27">
        <f>IF(ISNUMBER($P300),COUNTIFS($A$14:$A$1213,$A300,$P$14:$P$1213,"&gt;"&amp;$P300)+(COUNTIFS($A$14:$A$1213,$A300,$P$14:$P$1213,"="&amp;$P300)+1)/2,"")</f>
        <v/>
      </c>
      <c r="AD300" s="27">
        <f>IF(ISNUMBER($Q300),COUNTIFS($A$14:$A$1213,$A300,$Q$14:$Q$1213,"&gt;"&amp;$Q300)+(COUNTIFS($A$14:$A$1213,$A300,$Q$14:$Q$1213,"="&amp;$Q300)+1)/2,"")</f>
        <v/>
      </c>
      <c r="AE300" s="27">
        <f>IF(ISNUMBER($R300),COUNTIFS($A$14:$A$1213,$A300,$R$14:$R$1213,"&gt;"&amp;$R300)+(COUNTIFS($A$14:$A$1213,$A300,$R$14:$R$1213,"="&amp;$R300)+1)/2,"")</f>
        <v/>
      </c>
      <c r="AF300" s="27">
        <f>IF(ISNUMBER($S300),COUNTIFS($A$14:$A$1213,$A300,$S$14:$S$1213,"&gt;"&amp;$S300)+(COUNTIFS($A$14:$A$1213,$A300,$S$14:$S$1213,"="&amp;$S300)+1)/2,"")</f>
        <v/>
      </c>
      <c r="AG300" s="27">
        <f>IF(ISNUMBER($T300),COUNTIFS($A$14:$A$1213,$A300,$T$14:$T$1213,"&gt;"&amp;$T300)+(COUNTIFS($A$14:$A$1213,$A300,$T$14:$T$1213,"="&amp;$T300)+1)/2,"")</f>
        <v/>
      </c>
      <c r="AH300" s="27">
        <f>IF(COUNT($AC300:$AG300)&lt;2,"",IF(MAX($AC300:$AG300)=MIN($AC300:$AG300),0,1))</f>
        <v/>
      </c>
      <c r="AI300" s="27">
        <f>IF($A300="","",IF(COUNTIF($A$14:$A300,$A300)=1,COUNTIF($AI$13:AI299,"&gt;0")+1,""))</f>
        <v/>
      </c>
      <c r="AJ300" s="27">
        <f>IF(OR($H300="",COUNTIFS($A$14:$A$1213,$H300,$F$14:$F$1213,"&gt;=0")&lt;2,COUNTIFS($A$14:$A$1213,$H300,$F$14:$F$1213,_xlfn.MAXIFS($F$14:$F$1213,$A$14:$A$1213,$H300))&gt;1),"",IFERROR(INDEX($D$14:$D$1213,MATCH($H300&amp;"|"&amp;_xlfn.MAXIFS($F$14:$F$1213,$A$14:$A$1213,$H300),$AB$14:$AB$1213,0)),""))</f>
        <v/>
      </c>
      <c r="AK300" s="27">
        <f>IF(OR($H300="",COUNTIFS($A$14:$A$1213,$H300,$F$14:$F$1213,"&gt;=0")&lt;2,COUNTIFS($A$14:$A$1213,$H300,$F$14:$F$1213,_xlfn.MAXIFS($F$14:$F$1213,$A$14:$A$1213,$H300))&gt;1),"",IFERROR(INDEX($E$14:$E$1213,MATCH($H300&amp;"|"&amp;_xlfn.MAXIFS($F$14:$F$1213,$A$14:$A$1213,$H300),$AB$14:$AB$1213,0)),""))</f>
        <v/>
      </c>
      <c r="AL300" s="27">
        <f>IF(OR($H300="",COUNTIFS($A$14:$A$1213,$H300,$F$14:$F$1213,"&gt;=0")&lt;2,COUNTIFS($A$14:$A$1213,$H300,$F$14:$F$1213,_xlfn.MAXIFS($F$14:$F$1213,$A$14:$A$1213,$H300))&gt;1),"",IFERROR(INDEX($D$14:$D$1213,MATCH($H300&amp;"|"&amp;_xlfn.MAXIFS($F$14:$F$1213,$A$14:$A$1213,$H300,$F$14:$F$1213,"&lt;"&amp;_xlfn.MAXIFS($F$14:$F$1213,$A$14:$A$1213,$H300)),$AB$14:$AB$1213,0)),""))</f>
        <v/>
      </c>
      <c r="AM300" s="27">
        <f>IF(OR($H300="",COUNTIFS($A$14:$A$1213,$H300,$F$14:$F$1213,"&gt;=0")&lt;2,COUNTIFS($A$14:$A$1213,$H300,$F$14:$F$1213,_xlfn.MAXIFS($F$14:$F$1213,$A$14:$A$1213,$H300))&gt;1),"",IFERROR(INDEX($E$14:$E$1213,MATCH($H300&amp;"|"&amp;_xlfn.MAXIFS($F$14:$F$1213,$A$14:$A$1213,$H300,$F$14:$F$1213,"&lt;"&amp;_xlfn.MAXIFS($F$14:$F$1213,$A$14:$A$1213,$H300)),$AB$14:$AB$1213,0)),""))</f>
        <v/>
      </c>
      <c r="AN300" s="27">
        <f>IF(OR(NOT(ISNUMBER($AJ300)),NOT(ISNUMBER($AL300)),$AK300=0,$AM300=0),"",IF(OR((($AJ300+$AL300)/($AK300+$AM300))&lt;=0,(($AJ300+$AL300)/($AK300+$AM300))&gt;=1),"",($AJ300/$AK300-$AL300/$AM300)/SQRT((($AJ300+$AL300)/($AK300+$AM300))*(1-(($AJ300+$AL300)/($AK300+$AM300)))*(1/$AK300+1/$AM300))))</f>
        <v/>
      </c>
      <c r="AO300" s="27">
        <f>IF($A300="","",IF(AND(COUNTIFS($A$14:$A$1213,$A300,$F$14:$F$1213,"&gt;=0")=2,IFERROR(INDEX($M$14:$M$313,MATCH($A300,$H$14:$H$313,0)),"Yes")&lt;&gt;"Yes"),1,0))</f>
        <v/>
      </c>
    </row>
    <row r="301" ht="24" customHeight="1">
      <c r="A301" s="19">
        <f>IF('Enter messages'!A301="","",'Enter messages'!A301)</f>
        <v/>
      </c>
      <c r="B301" s="20">
        <f>IF('Enter messages'!B301="","",'Enter messages'!B301)</f>
        <v/>
      </c>
      <c r="C301" s="21">
        <f>IFERROR(AVERAGE(P301:T301),"")</f>
        <v/>
      </c>
      <c r="D301" s="29" t="n"/>
      <c r="E301" s="29" t="n"/>
      <c r="F301" s="30">
        <f>IF(AND(ISNUMBER($D301),ISNUMBER($E301),$E301&gt;0,$D301&lt;=$E301),$D301/$E301,"")</f>
        <v/>
      </c>
      <c r="H301" s="19">
        <f>IFERROR(INDEX($A$14:$A$1213,MATCH(288,$AI$14:$AI$1213,0)),"")</f>
        <v/>
      </c>
      <c r="I301" s="24">
        <f>IF($H301="","",IF(COUNTIFS($A$14:$A$1213,$H301,$C$14:$C$1213,"&gt;=0")=0,"—",IFERROR(INDEX($B$14:$B$1213,MATCH($H301&amp;"|1",$Z$14:$Z$1213,0)),"(tied)")))</f>
        <v/>
      </c>
      <c r="J301" s="25">
        <f>IF($H301="","",IF(OR(COUNTIFS($A$14:$A$1213,$H301,$C$14:$C$1213,"&gt;=0")=0,COUNTIFS($A$14:$A$1213,$H301,$F$14:$F$1213,"&gt;=0")=0),"—",IF(OR(ISERROR(MATCH($H301&amp;"|1",$Z$14:$Z$1213,0)),ISERROR(MATCH($H301&amp;"|1",$AA$14:$AA$1213,0))),"Tie",IF(MATCH($H301&amp;"|1",$Z$14:$Z$1213,0)=MATCH($H301&amp;"|1",$AA$14:$AA$1213,0),"Hit","Miss"))))</f>
        <v/>
      </c>
      <c r="K301" s="24">
        <f>IF($H301="","",IF(COUNTIFS($A$14:$A$1213,$H301,$F$14:$F$1213,"&gt;=0")=0,"—",IFERROR(INDEX($B$14:$B$1213,MATCH($H301&amp;"|1",$AA$14:$AA$1213,0)),"(tied)")))</f>
        <v/>
      </c>
      <c r="L301" s="25">
        <f>IF($H301="","",IF((--(COUNTIFS($A$14:$A$1213,$H301,$P$14:$P$1213,"&gt;=0")&gt;0)+--(COUNTIFS($A$14:$A$1213,$H301,$Q$14:$Q$1213,"&gt;=0")&gt;0)+--(COUNTIFS($A$14:$A$1213,$H301,$R$14:$R$1213,"&gt;=0")&gt;0)+--(COUNTIFS($A$14:$A$1213,$H301,$S$14:$S$1213,"&gt;=0")&gt;0)+--(COUNTIFS($A$14:$A$1213,$H301,$T$14:$T$1213,"&gt;=0")&gt;0))&lt;2,"—",IF(SUMIFS($AH$14:$AH$1213,$A$14:$A$1213,$H301)=0,"Yes","No")))</f>
        <v/>
      </c>
      <c r="M301" s="25">
        <f>IF($H301="","",IF(COUNTIFS($A$14:$A$1213,$H301,$F$14:$F$1213,"&gt;=0")&lt;2,"—",IF(COUNTIFS($A$14:$A$1213,$H301,$F$14:$F$1213,_xlfn.MAXIFS($F$14:$F$1213,$A$14:$A$1213,$H301))&gt;1,"No",IF(NOT(ISNUMBER($AN301)),"—",IF((2*(1-NORMSDIST(ABS($AN301))))&lt;0.05,"Yes","No")))))</f>
        <v/>
      </c>
      <c r="N301" s="21">
        <f>IF($H301="","",IF(NOT(ISNUMBER($AN301)),"—",IF((2*(1-NORMSDIST(ABS($AN301))))&lt;0.001,"&lt;0.001",TEXT((2*(1-NORMSDIST(ABS($AN301)))),"0.000"))))</f>
        <v/>
      </c>
      <c r="P301" s="26" t="n"/>
      <c r="Q301" s="26" t="n"/>
      <c r="R301" s="26" t="n"/>
      <c r="S301" s="26" t="n"/>
      <c r="T301" s="26" t="n"/>
      <c r="V301" s="27">
        <f>IF(ISNUMBER($C301),COUNTIFS($A$14:$A$1213,$A301,$C$14:$C$1213,"&gt;"&amp;$C301)+(COUNTIFS($A$14:$A$1213,$A301,$C$14:$C$1213,"="&amp;$C301)+1)/2,"")</f>
        <v/>
      </c>
      <c r="W301" s="27">
        <f>IF(ISNUMBER($F301),COUNTIFS($A$14:$A$1213,$A301,$F$14:$F$1213,"&gt;"&amp;$F301)+(COUNTIFS($A$14:$A$1213,$A301,$F$14:$F$1213,"="&amp;$F301)+1)/2,"")</f>
        <v/>
      </c>
      <c r="X301" s="27">
        <f>IF(OR(NOT(ISNUMBER($V301)),$AO301=1),"",$V301-(COUNTIFS($A$14:$A$1213,$A301,$C$14:$C$1213,"&gt;=0")+1)/2)</f>
        <v/>
      </c>
      <c r="Y301" s="27">
        <f>IF(OR(NOT(ISNUMBER($W301)),$AO301=1),"",$W301-(COUNTIFS($A$14:$A$1213,$A301,$F$14:$F$1213,"&gt;=0")+1)/2)</f>
        <v/>
      </c>
      <c r="Z301" s="27">
        <f>IF(ISNUMBER($V301),$A301&amp;"|"&amp;$V301,"")</f>
        <v/>
      </c>
      <c r="AA301" s="27">
        <f>IF(ISNUMBER($W301),$A301&amp;"|"&amp;$W301,"")</f>
        <v/>
      </c>
      <c r="AB301" s="27">
        <f>IF(ISNUMBER($F301),$A301&amp;"|"&amp;$F301,"")</f>
        <v/>
      </c>
      <c r="AC301" s="27">
        <f>IF(ISNUMBER($P301),COUNTIFS($A$14:$A$1213,$A301,$P$14:$P$1213,"&gt;"&amp;$P301)+(COUNTIFS($A$14:$A$1213,$A301,$P$14:$P$1213,"="&amp;$P301)+1)/2,"")</f>
        <v/>
      </c>
      <c r="AD301" s="27">
        <f>IF(ISNUMBER($Q301),COUNTIFS($A$14:$A$1213,$A301,$Q$14:$Q$1213,"&gt;"&amp;$Q301)+(COUNTIFS($A$14:$A$1213,$A301,$Q$14:$Q$1213,"="&amp;$Q301)+1)/2,"")</f>
        <v/>
      </c>
      <c r="AE301" s="27">
        <f>IF(ISNUMBER($R301),COUNTIFS($A$14:$A$1213,$A301,$R$14:$R$1213,"&gt;"&amp;$R301)+(COUNTIFS($A$14:$A$1213,$A301,$R$14:$R$1213,"="&amp;$R301)+1)/2,"")</f>
        <v/>
      </c>
      <c r="AF301" s="27">
        <f>IF(ISNUMBER($S301),COUNTIFS($A$14:$A$1213,$A301,$S$14:$S$1213,"&gt;"&amp;$S301)+(COUNTIFS($A$14:$A$1213,$A301,$S$14:$S$1213,"="&amp;$S301)+1)/2,"")</f>
        <v/>
      </c>
      <c r="AG301" s="27">
        <f>IF(ISNUMBER($T301),COUNTIFS($A$14:$A$1213,$A301,$T$14:$T$1213,"&gt;"&amp;$T301)+(COUNTIFS($A$14:$A$1213,$A301,$T$14:$T$1213,"="&amp;$T301)+1)/2,"")</f>
        <v/>
      </c>
      <c r="AH301" s="27">
        <f>IF(COUNT($AC301:$AG301)&lt;2,"",IF(MAX($AC301:$AG301)=MIN($AC301:$AG301),0,1))</f>
        <v/>
      </c>
      <c r="AI301" s="27">
        <f>IF($A301="","",IF(COUNTIF($A$14:$A301,$A301)=1,COUNTIF($AI$13:AI300,"&gt;0")+1,""))</f>
        <v/>
      </c>
      <c r="AJ301" s="27">
        <f>IF(OR($H301="",COUNTIFS($A$14:$A$1213,$H301,$F$14:$F$1213,"&gt;=0")&lt;2,COUNTIFS($A$14:$A$1213,$H301,$F$14:$F$1213,_xlfn.MAXIFS($F$14:$F$1213,$A$14:$A$1213,$H301))&gt;1),"",IFERROR(INDEX($D$14:$D$1213,MATCH($H301&amp;"|"&amp;_xlfn.MAXIFS($F$14:$F$1213,$A$14:$A$1213,$H301),$AB$14:$AB$1213,0)),""))</f>
        <v/>
      </c>
      <c r="AK301" s="27">
        <f>IF(OR($H301="",COUNTIFS($A$14:$A$1213,$H301,$F$14:$F$1213,"&gt;=0")&lt;2,COUNTIFS($A$14:$A$1213,$H301,$F$14:$F$1213,_xlfn.MAXIFS($F$14:$F$1213,$A$14:$A$1213,$H301))&gt;1),"",IFERROR(INDEX($E$14:$E$1213,MATCH($H301&amp;"|"&amp;_xlfn.MAXIFS($F$14:$F$1213,$A$14:$A$1213,$H301),$AB$14:$AB$1213,0)),""))</f>
        <v/>
      </c>
      <c r="AL301" s="27">
        <f>IF(OR($H301="",COUNTIFS($A$14:$A$1213,$H301,$F$14:$F$1213,"&gt;=0")&lt;2,COUNTIFS($A$14:$A$1213,$H301,$F$14:$F$1213,_xlfn.MAXIFS($F$14:$F$1213,$A$14:$A$1213,$H301))&gt;1),"",IFERROR(INDEX($D$14:$D$1213,MATCH($H301&amp;"|"&amp;_xlfn.MAXIFS($F$14:$F$1213,$A$14:$A$1213,$H301,$F$14:$F$1213,"&lt;"&amp;_xlfn.MAXIFS($F$14:$F$1213,$A$14:$A$1213,$H301)),$AB$14:$AB$1213,0)),""))</f>
        <v/>
      </c>
      <c r="AM301" s="27">
        <f>IF(OR($H301="",COUNTIFS($A$14:$A$1213,$H301,$F$14:$F$1213,"&gt;=0")&lt;2,COUNTIFS($A$14:$A$1213,$H301,$F$14:$F$1213,_xlfn.MAXIFS($F$14:$F$1213,$A$14:$A$1213,$H301))&gt;1),"",IFERROR(INDEX($E$14:$E$1213,MATCH($H301&amp;"|"&amp;_xlfn.MAXIFS($F$14:$F$1213,$A$14:$A$1213,$H301,$F$14:$F$1213,"&lt;"&amp;_xlfn.MAXIFS($F$14:$F$1213,$A$14:$A$1213,$H301)),$AB$14:$AB$1213,0)),""))</f>
        <v/>
      </c>
      <c r="AN301" s="27">
        <f>IF(OR(NOT(ISNUMBER($AJ301)),NOT(ISNUMBER($AL301)),$AK301=0,$AM301=0),"",IF(OR((($AJ301+$AL301)/($AK301+$AM301))&lt;=0,(($AJ301+$AL301)/($AK301+$AM301))&gt;=1),"",($AJ301/$AK301-$AL301/$AM301)/SQRT((($AJ301+$AL301)/($AK301+$AM301))*(1-(($AJ301+$AL301)/($AK301+$AM301)))*(1/$AK301+1/$AM301))))</f>
        <v/>
      </c>
      <c r="AO301" s="27">
        <f>IF($A301="","",IF(AND(COUNTIFS($A$14:$A$1213,$A301,$F$14:$F$1213,"&gt;=0")=2,IFERROR(INDEX($M$14:$M$313,MATCH($A301,$H$14:$H$313,0)),"Yes")&lt;&gt;"Yes"),1,0))</f>
        <v/>
      </c>
    </row>
    <row r="302" ht="24" customHeight="1">
      <c r="A302" s="19">
        <f>IF('Enter messages'!A302="","",'Enter messages'!A302)</f>
        <v/>
      </c>
      <c r="B302" s="20">
        <f>IF('Enter messages'!B302="","",'Enter messages'!B302)</f>
        <v/>
      </c>
      <c r="C302" s="21">
        <f>IFERROR(AVERAGE(P302:T302),"")</f>
        <v/>
      </c>
      <c r="D302" s="29" t="n"/>
      <c r="E302" s="29" t="n"/>
      <c r="F302" s="30">
        <f>IF(AND(ISNUMBER($D302),ISNUMBER($E302),$E302&gt;0,$D302&lt;=$E302),$D302/$E302,"")</f>
        <v/>
      </c>
      <c r="H302" s="19">
        <f>IFERROR(INDEX($A$14:$A$1213,MATCH(289,$AI$14:$AI$1213,0)),"")</f>
        <v/>
      </c>
      <c r="I302" s="24">
        <f>IF($H302="","",IF(COUNTIFS($A$14:$A$1213,$H302,$C$14:$C$1213,"&gt;=0")=0,"—",IFERROR(INDEX($B$14:$B$1213,MATCH($H302&amp;"|1",$Z$14:$Z$1213,0)),"(tied)")))</f>
        <v/>
      </c>
      <c r="J302" s="25">
        <f>IF($H302="","",IF(OR(COUNTIFS($A$14:$A$1213,$H302,$C$14:$C$1213,"&gt;=0")=0,COUNTIFS($A$14:$A$1213,$H302,$F$14:$F$1213,"&gt;=0")=0),"—",IF(OR(ISERROR(MATCH($H302&amp;"|1",$Z$14:$Z$1213,0)),ISERROR(MATCH($H302&amp;"|1",$AA$14:$AA$1213,0))),"Tie",IF(MATCH($H302&amp;"|1",$Z$14:$Z$1213,0)=MATCH($H302&amp;"|1",$AA$14:$AA$1213,0),"Hit","Miss"))))</f>
        <v/>
      </c>
      <c r="K302" s="24">
        <f>IF($H302="","",IF(COUNTIFS($A$14:$A$1213,$H302,$F$14:$F$1213,"&gt;=0")=0,"—",IFERROR(INDEX($B$14:$B$1213,MATCH($H302&amp;"|1",$AA$14:$AA$1213,0)),"(tied)")))</f>
        <v/>
      </c>
      <c r="L302" s="25">
        <f>IF($H302="","",IF((--(COUNTIFS($A$14:$A$1213,$H302,$P$14:$P$1213,"&gt;=0")&gt;0)+--(COUNTIFS($A$14:$A$1213,$H302,$Q$14:$Q$1213,"&gt;=0")&gt;0)+--(COUNTIFS($A$14:$A$1213,$H302,$R$14:$R$1213,"&gt;=0")&gt;0)+--(COUNTIFS($A$14:$A$1213,$H302,$S$14:$S$1213,"&gt;=0")&gt;0)+--(COUNTIFS($A$14:$A$1213,$H302,$T$14:$T$1213,"&gt;=0")&gt;0))&lt;2,"—",IF(SUMIFS($AH$14:$AH$1213,$A$14:$A$1213,$H302)=0,"Yes","No")))</f>
        <v/>
      </c>
      <c r="M302" s="25">
        <f>IF($H302="","",IF(COUNTIFS($A$14:$A$1213,$H302,$F$14:$F$1213,"&gt;=0")&lt;2,"—",IF(COUNTIFS($A$14:$A$1213,$H302,$F$14:$F$1213,_xlfn.MAXIFS($F$14:$F$1213,$A$14:$A$1213,$H302))&gt;1,"No",IF(NOT(ISNUMBER($AN302)),"—",IF((2*(1-NORMSDIST(ABS($AN302))))&lt;0.05,"Yes","No")))))</f>
        <v/>
      </c>
      <c r="N302" s="21">
        <f>IF($H302="","",IF(NOT(ISNUMBER($AN302)),"—",IF((2*(1-NORMSDIST(ABS($AN302))))&lt;0.001,"&lt;0.001",TEXT((2*(1-NORMSDIST(ABS($AN302)))),"0.000"))))</f>
        <v/>
      </c>
      <c r="P302" s="26" t="n"/>
      <c r="Q302" s="26" t="n"/>
      <c r="R302" s="26" t="n"/>
      <c r="S302" s="26" t="n"/>
      <c r="T302" s="26" t="n"/>
      <c r="V302" s="27">
        <f>IF(ISNUMBER($C302),COUNTIFS($A$14:$A$1213,$A302,$C$14:$C$1213,"&gt;"&amp;$C302)+(COUNTIFS($A$14:$A$1213,$A302,$C$14:$C$1213,"="&amp;$C302)+1)/2,"")</f>
        <v/>
      </c>
      <c r="W302" s="27">
        <f>IF(ISNUMBER($F302),COUNTIFS($A$14:$A$1213,$A302,$F$14:$F$1213,"&gt;"&amp;$F302)+(COUNTIFS($A$14:$A$1213,$A302,$F$14:$F$1213,"="&amp;$F302)+1)/2,"")</f>
        <v/>
      </c>
      <c r="X302" s="27">
        <f>IF(OR(NOT(ISNUMBER($V302)),$AO302=1),"",$V302-(COUNTIFS($A$14:$A$1213,$A302,$C$14:$C$1213,"&gt;=0")+1)/2)</f>
        <v/>
      </c>
      <c r="Y302" s="27">
        <f>IF(OR(NOT(ISNUMBER($W302)),$AO302=1),"",$W302-(COUNTIFS($A$14:$A$1213,$A302,$F$14:$F$1213,"&gt;=0")+1)/2)</f>
        <v/>
      </c>
      <c r="Z302" s="27">
        <f>IF(ISNUMBER($V302),$A302&amp;"|"&amp;$V302,"")</f>
        <v/>
      </c>
      <c r="AA302" s="27">
        <f>IF(ISNUMBER($W302),$A302&amp;"|"&amp;$W302,"")</f>
        <v/>
      </c>
      <c r="AB302" s="27">
        <f>IF(ISNUMBER($F302),$A302&amp;"|"&amp;$F302,"")</f>
        <v/>
      </c>
      <c r="AC302" s="27">
        <f>IF(ISNUMBER($P302),COUNTIFS($A$14:$A$1213,$A302,$P$14:$P$1213,"&gt;"&amp;$P302)+(COUNTIFS($A$14:$A$1213,$A302,$P$14:$P$1213,"="&amp;$P302)+1)/2,"")</f>
        <v/>
      </c>
      <c r="AD302" s="27">
        <f>IF(ISNUMBER($Q302),COUNTIFS($A$14:$A$1213,$A302,$Q$14:$Q$1213,"&gt;"&amp;$Q302)+(COUNTIFS($A$14:$A$1213,$A302,$Q$14:$Q$1213,"="&amp;$Q302)+1)/2,"")</f>
        <v/>
      </c>
      <c r="AE302" s="27">
        <f>IF(ISNUMBER($R302),COUNTIFS($A$14:$A$1213,$A302,$R$14:$R$1213,"&gt;"&amp;$R302)+(COUNTIFS($A$14:$A$1213,$A302,$R$14:$R$1213,"="&amp;$R302)+1)/2,"")</f>
        <v/>
      </c>
      <c r="AF302" s="27">
        <f>IF(ISNUMBER($S302),COUNTIFS($A$14:$A$1213,$A302,$S$14:$S$1213,"&gt;"&amp;$S302)+(COUNTIFS($A$14:$A$1213,$A302,$S$14:$S$1213,"="&amp;$S302)+1)/2,"")</f>
        <v/>
      </c>
      <c r="AG302" s="27">
        <f>IF(ISNUMBER($T302),COUNTIFS($A$14:$A$1213,$A302,$T$14:$T$1213,"&gt;"&amp;$T302)+(COUNTIFS($A$14:$A$1213,$A302,$T$14:$T$1213,"="&amp;$T302)+1)/2,"")</f>
        <v/>
      </c>
      <c r="AH302" s="27">
        <f>IF(COUNT($AC302:$AG302)&lt;2,"",IF(MAX($AC302:$AG302)=MIN($AC302:$AG302),0,1))</f>
        <v/>
      </c>
      <c r="AI302" s="27">
        <f>IF($A302="","",IF(COUNTIF($A$14:$A302,$A302)=1,COUNTIF($AI$13:AI301,"&gt;0")+1,""))</f>
        <v/>
      </c>
      <c r="AJ302" s="27">
        <f>IF(OR($H302="",COUNTIFS($A$14:$A$1213,$H302,$F$14:$F$1213,"&gt;=0")&lt;2,COUNTIFS($A$14:$A$1213,$H302,$F$14:$F$1213,_xlfn.MAXIFS($F$14:$F$1213,$A$14:$A$1213,$H302))&gt;1),"",IFERROR(INDEX($D$14:$D$1213,MATCH($H302&amp;"|"&amp;_xlfn.MAXIFS($F$14:$F$1213,$A$14:$A$1213,$H302),$AB$14:$AB$1213,0)),""))</f>
        <v/>
      </c>
      <c r="AK302" s="27">
        <f>IF(OR($H302="",COUNTIFS($A$14:$A$1213,$H302,$F$14:$F$1213,"&gt;=0")&lt;2,COUNTIFS($A$14:$A$1213,$H302,$F$14:$F$1213,_xlfn.MAXIFS($F$14:$F$1213,$A$14:$A$1213,$H302))&gt;1),"",IFERROR(INDEX($E$14:$E$1213,MATCH($H302&amp;"|"&amp;_xlfn.MAXIFS($F$14:$F$1213,$A$14:$A$1213,$H302),$AB$14:$AB$1213,0)),""))</f>
        <v/>
      </c>
      <c r="AL302" s="27">
        <f>IF(OR($H302="",COUNTIFS($A$14:$A$1213,$H302,$F$14:$F$1213,"&gt;=0")&lt;2,COUNTIFS($A$14:$A$1213,$H302,$F$14:$F$1213,_xlfn.MAXIFS($F$14:$F$1213,$A$14:$A$1213,$H302))&gt;1),"",IFERROR(INDEX($D$14:$D$1213,MATCH($H302&amp;"|"&amp;_xlfn.MAXIFS($F$14:$F$1213,$A$14:$A$1213,$H302,$F$14:$F$1213,"&lt;"&amp;_xlfn.MAXIFS($F$14:$F$1213,$A$14:$A$1213,$H302)),$AB$14:$AB$1213,0)),""))</f>
        <v/>
      </c>
      <c r="AM302" s="27">
        <f>IF(OR($H302="",COUNTIFS($A$14:$A$1213,$H302,$F$14:$F$1213,"&gt;=0")&lt;2,COUNTIFS($A$14:$A$1213,$H302,$F$14:$F$1213,_xlfn.MAXIFS($F$14:$F$1213,$A$14:$A$1213,$H302))&gt;1),"",IFERROR(INDEX($E$14:$E$1213,MATCH($H302&amp;"|"&amp;_xlfn.MAXIFS($F$14:$F$1213,$A$14:$A$1213,$H302,$F$14:$F$1213,"&lt;"&amp;_xlfn.MAXIFS($F$14:$F$1213,$A$14:$A$1213,$H302)),$AB$14:$AB$1213,0)),""))</f>
        <v/>
      </c>
      <c r="AN302" s="27">
        <f>IF(OR(NOT(ISNUMBER($AJ302)),NOT(ISNUMBER($AL302)),$AK302=0,$AM302=0),"",IF(OR((($AJ302+$AL302)/($AK302+$AM302))&lt;=0,(($AJ302+$AL302)/($AK302+$AM302))&gt;=1),"",($AJ302/$AK302-$AL302/$AM302)/SQRT((($AJ302+$AL302)/($AK302+$AM302))*(1-(($AJ302+$AL302)/($AK302+$AM302)))*(1/$AK302+1/$AM302))))</f>
        <v/>
      </c>
      <c r="AO302" s="27">
        <f>IF($A302="","",IF(AND(COUNTIFS($A$14:$A$1213,$A302,$F$14:$F$1213,"&gt;=0")=2,IFERROR(INDEX($M$14:$M$313,MATCH($A302,$H$14:$H$313,0)),"Yes")&lt;&gt;"Yes"),1,0))</f>
        <v/>
      </c>
    </row>
    <row r="303" ht="24" customHeight="1">
      <c r="A303" s="19">
        <f>IF('Enter messages'!A303="","",'Enter messages'!A303)</f>
        <v/>
      </c>
      <c r="B303" s="20">
        <f>IF('Enter messages'!B303="","",'Enter messages'!B303)</f>
        <v/>
      </c>
      <c r="C303" s="21">
        <f>IFERROR(AVERAGE(P303:T303),"")</f>
        <v/>
      </c>
      <c r="D303" s="29" t="n"/>
      <c r="E303" s="29" t="n"/>
      <c r="F303" s="30">
        <f>IF(AND(ISNUMBER($D303),ISNUMBER($E303),$E303&gt;0,$D303&lt;=$E303),$D303/$E303,"")</f>
        <v/>
      </c>
      <c r="H303" s="19">
        <f>IFERROR(INDEX($A$14:$A$1213,MATCH(290,$AI$14:$AI$1213,0)),"")</f>
        <v/>
      </c>
      <c r="I303" s="24">
        <f>IF($H303="","",IF(COUNTIFS($A$14:$A$1213,$H303,$C$14:$C$1213,"&gt;=0")=0,"—",IFERROR(INDEX($B$14:$B$1213,MATCH($H303&amp;"|1",$Z$14:$Z$1213,0)),"(tied)")))</f>
        <v/>
      </c>
      <c r="J303" s="25">
        <f>IF($H303="","",IF(OR(COUNTIFS($A$14:$A$1213,$H303,$C$14:$C$1213,"&gt;=0")=0,COUNTIFS($A$14:$A$1213,$H303,$F$14:$F$1213,"&gt;=0")=0),"—",IF(OR(ISERROR(MATCH($H303&amp;"|1",$Z$14:$Z$1213,0)),ISERROR(MATCH($H303&amp;"|1",$AA$14:$AA$1213,0))),"Tie",IF(MATCH($H303&amp;"|1",$Z$14:$Z$1213,0)=MATCH($H303&amp;"|1",$AA$14:$AA$1213,0),"Hit","Miss"))))</f>
        <v/>
      </c>
      <c r="K303" s="24">
        <f>IF($H303="","",IF(COUNTIFS($A$14:$A$1213,$H303,$F$14:$F$1213,"&gt;=0")=0,"—",IFERROR(INDEX($B$14:$B$1213,MATCH($H303&amp;"|1",$AA$14:$AA$1213,0)),"(tied)")))</f>
        <v/>
      </c>
      <c r="L303" s="25">
        <f>IF($H303="","",IF((--(COUNTIFS($A$14:$A$1213,$H303,$P$14:$P$1213,"&gt;=0")&gt;0)+--(COUNTIFS($A$14:$A$1213,$H303,$Q$14:$Q$1213,"&gt;=0")&gt;0)+--(COUNTIFS($A$14:$A$1213,$H303,$R$14:$R$1213,"&gt;=0")&gt;0)+--(COUNTIFS($A$14:$A$1213,$H303,$S$14:$S$1213,"&gt;=0")&gt;0)+--(COUNTIFS($A$14:$A$1213,$H303,$T$14:$T$1213,"&gt;=0")&gt;0))&lt;2,"—",IF(SUMIFS($AH$14:$AH$1213,$A$14:$A$1213,$H303)=0,"Yes","No")))</f>
        <v/>
      </c>
      <c r="M303" s="25">
        <f>IF($H303="","",IF(COUNTIFS($A$14:$A$1213,$H303,$F$14:$F$1213,"&gt;=0")&lt;2,"—",IF(COUNTIFS($A$14:$A$1213,$H303,$F$14:$F$1213,_xlfn.MAXIFS($F$14:$F$1213,$A$14:$A$1213,$H303))&gt;1,"No",IF(NOT(ISNUMBER($AN303)),"—",IF((2*(1-NORMSDIST(ABS($AN303))))&lt;0.05,"Yes","No")))))</f>
        <v/>
      </c>
      <c r="N303" s="21">
        <f>IF($H303="","",IF(NOT(ISNUMBER($AN303)),"—",IF((2*(1-NORMSDIST(ABS($AN303))))&lt;0.001,"&lt;0.001",TEXT((2*(1-NORMSDIST(ABS($AN303)))),"0.000"))))</f>
        <v/>
      </c>
      <c r="P303" s="26" t="n"/>
      <c r="Q303" s="26" t="n"/>
      <c r="R303" s="26" t="n"/>
      <c r="S303" s="26" t="n"/>
      <c r="T303" s="26" t="n"/>
      <c r="V303" s="27">
        <f>IF(ISNUMBER($C303),COUNTIFS($A$14:$A$1213,$A303,$C$14:$C$1213,"&gt;"&amp;$C303)+(COUNTIFS($A$14:$A$1213,$A303,$C$14:$C$1213,"="&amp;$C303)+1)/2,"")</f>
        <v/>
      </c>
      <c r="W303" s="27">
        <f>IF(ISNUMBER($F303),COUNTIFS($A$14:$A$1213,$A303,$F$14:$F$1213,"&gt;"&amp;$F303)+(COUNTIFS($A$14:$A$1213,$A303,$F$14:$F$1213,"="&amp;$F303)+1)/2,"")</f>
        <v/>
      </c>
      <c r="X303" s="27">
        <f>IF(OR(NOT(ISNUMBER($V303)),$AO303=1),"",$V303-(COUNTIFS($A$14:$A$1213,$A303,$C$14:$C$1213,"&gt;=0")+1)/2)</f>
        <v/>
      </c>
      <c r="Y303" s="27">
        <f>IF(OR(NOT(ISNUMBER($W303)),$AO303=1),"",$W303-(COUNTIFS($A$14:$A$1213,$A303,$F$14:$F$1213,"&gt;=0")+1)/2)</f>
        <v/>
      </c>
      <c r="Z303" s="27">
        <f>IF(ISNUMBER($V303),$A303&amp;"|"&amp;$V303,"")</f>
        <v/>
      </c>
      <c r="AA303" s="27">
        <f>IF(ISNUMBER($W303),$A303&amp;"|"&amp;$W303,"")</f>
        <v/>
      </c>
      <c r="AB303" s="27">
        <f>IF(ISNUMBER($F303),$A303&amp;"|"&amp;$F303,"")</f>
        <v/>
      </c>
      <c r="AC303" s="27">
        <f>IF(ISNUMBER($P303),COUNTIFS($A$14:$A$1213,$A303,$P$14:$P$1213,"&gt;"&amp;$P303)+(COUNTIFS($A$14:$A$1213,$A303,$P$14:$P$1213,"="&amp;$P303)+1)/2,"")</f>
        <v/>
      </c>
      <c r="AD303" s="27">
        <f>IF(ISNUMBER($Q303),COUNTIFS($A$14:$A$1213,$A303,$Q$14:$Q$1213,"&gt;"&amp;$Q303)+(COUNTIFS($A$14:$A$1213,$A303,$Q$14:$Q$1213,"="&amp;$Q303)+1)/2,"")</f>
        <v/>
      </c>
      <c r="AE303" s="27">
        <f>IF(ISNUMBER($R303),COUNTIFS($A$14:$A$1213,$A303,$R$14:$R$1213,"&gt;"&amp;$R303)+(COUNTIFS($A$14:$A$1213,$A303,$R$14:$R$1213,"="&amp;$R303)+1)/2,"")</f>
        <v/>
      </c>
      <c r="AF303" s="27">
        <f>IF(ISNUMBER($S303),COUNTIFS($A$14:$A$1213,$A303,$S$14:$S$1213,"&gt;"&amp;$S303)+(COUNTIFS($A$14:$A$1213,$A303,$S$14:$S$1213,"="&amp;$S303)+1)/2,"")</f>
        <v/>
      </c>
      <c r="AG303" s="27">
        <f>IF(ISNUMBER($T303),COUNTIFS($A$14:$A$1213,$A303,$T$14:$T$1213,"&gt;"&amp;$T303)+(COUNTIFS($A$14:$A$1213,$A303,$T$14:$T$1213,"="&amp;$T303)+1)/2,"")</f>
        <v/>
      </c>
      <c r="AH303" s="27">
        <f>IF(COUNT($AC303:$AG303)&lt;2,"",IF(MAX($AC303:$AG303)=MIN($AC303:$AG303),0,1))</f>
        <v/>
      </c>
      <c r="AI303" s="27">
        <f>IF($A303="","",IF(COUNTIF($A$14:$A303,$A303)=1,COUNTIF($AI$13:AI302,"&gt;0")+1,""))</f>
        <v/>
      </c>
      <c r="AJ303" s="27">
        <f>IF(OR($H303="",COUNTIFS($A$14:$A$1213,$H303,$F$14:$F$1213,"&gt;=0")&lt;2,COUNTIFS($A$14:$A$1213,$H303,$F$14:$F$1213,_xlfn.MAXIFS($F$14:$F$1213,$A$14:$A$1213,$H303))&gt;1),"",IFERROR(INDEX($D$14:$D$1213,MATCH($H303&amp;"|"&amp;_xlfn.MAXIFS($F$14:$F$1213,$A$14:$A$1213,$H303),$AB$14:$AB$1213,0)),""))</f>
        <v/>
      </c>
      <c r="AK303" s="27">
        <f>IF(OR($H303="",COUNTIFS($A$14:$A$1213,$H303,$F$14:$F$1213,"&gt;=0")&lt;2,COUNTIFS($A$14:$A$1213,$H303,$F$14:$F$1213,_xlfn.MAXIFS($F$14:$F$1213,$A$14:$A$1213,$H303))&gt;1),"",IFERROR(INDEX($E$14:$E$1213,MATCH($H303&amp;"|"&amp;_xlfn.MAXIFS($F$14:$F$1213,$A$14:$A$1213,$H303),$AB$14:$AB$1213,0)),""))</f>
        <v/>
      </c>
      <c r="AL303" s="27">
        <f>IF(OR($H303="",COUNTIFS($A$14:$A$1213,$H303,$F$14:$F$1213,"&gt;=0")&lt;2,COUNTIFS($A$14:$A$1213,$H303,$F$14:$F$1213,_xlfn.MAXIFS($F$14:$F$1213,$A$14:$A$1213,$H303))&gt;1),"",IFERROR(INDEX($D$14:$D$1213,MATCH($H303&amp;"|"&amp;_xlfn.MAXIFS($F$14:$F$1213,$A$14:$A$1213,$H303,$F$14:$F$1213,"&lt;"&amp;_xlfn.MAXIFS($F$14:$F$1213,$A$14:$A$1213,$H303)),$AB$14:$AB$1213,0)),""))</f>
        <v/>
      </c>
      <c r="AM303" s="27">
        <f>IF(OR($H303="",COUNTIFS($A$14:$A$1213,$H303,$F$14:$F$1213,"&gt;=0")&lt;2,COUNTIFS($A$14:$A$1213,$H303,$F$14:$F$1213,_xlfn.MAXIFS($F$14:$F$1213,$A$14:$A$1213,$H303))&gt;1),"",IFERROR(INDEX($E$14:$E$1213,MATCH($H303&amp;"|"&amp;_xlfn.MAXIFS($F$14:$F$1213,$A$14:$A$1213,$H303,$F$14:$F$1213,"&lt;"&amp;_xlfn.MAXIFS($F$14:$F$1213,$A$14:$A$1213,$H303)),$AB$14:$AB$1213,0)),""))</f>
        <v/>
      </c>
      <c r="AN303" s="27">
        <f>IF(OR(NOT(ISNUMBER($AJ303)),NOT(ISNUMBER($AL303)),$AK303=0,$AM303=0),"",IF(OR((($AJ303+$AL303)/($AK303+$AM303))&lt;=0,(($AJ303+$AL303)/($AK303+$AM303))&gt;=1),"",($AJ303/$AK303-$AL303/$AM303)/SQRT((($AJ303+$AL303)/($AK303+$AM303))*(1-(($AJ303+$AL303)/($AK303+$AM303)))*(1/$AK303+1/$AM303))))</f>
        <v/>
      </c>
      <c r="AO303" s="27">
        <f>IF($A303="","",IF(AND(COUNTIFS($A$14:$A$1213,$A303,$F$14:$F$1213,"&gt;=0")=2,IFERROR(INDEX($M$14:$M$313,MATCH($A303,$H$14:$H$313,0)),"Yes")&lt;&gt;"Yes"),1,0))</f>
        <v/>
      </c>
    </row>
    <row r="304" ht="24" customHeight="1">
      <c r="A304" s="19">
        <f>IF('Enter messages'!A304="","",'Enter messages'!A304)</f>
        <v/>
      </c>
      <c r="B304" s="20">
        <f>IF('Enter messages'!B304="","",'Enter messages'!B304)</f>
        <v/>
      </c>
      <c r="C304" s="21">
        <f>IFERROR(AVERAGE(P304:T304),"")</f>
        <v/>
      </c>
      <c r="D304" s="29" t="n"/>
      <c r="E304" s="29" t="n"/>
      <c r="F304" s="30">
        <f>IF(AND(ISNUMBER($D304),ISNUMBER($E304),$E304&gt;0,$D304&lt;=$E304),$D304/$E304,"")</f>
        <v/>
      </c>
      <c r="H304" s="19">
        <f>IFERROR(INDEX($A$14:$A$1213,MATCH(291,$AI$14:$AI$1213,0)),"")</f>
        <v/>
      </c>
      <c r="I304" s="24">
        <f>IF($H304="","",IF(COUNTIFS($A$14:$A$1213,$H304,$C$14:$C$1213,"&gt;=0")=0,"—",IFERROR(INDEX($B$14:$B$1213,MATCH($H304&amp;"|1",$Z$14:$Z$1213,0)),"(tied)")))</f>
        <v/>
      </c>
      <c r="J304" s="25">
        <f>IF($H304="","",IF(OR(COUNTIFS($A$14:$A$1213,$H304,$C$14:$C$1213,"&gt;=0")=0,COUNTIFS($A$14:$A$1213,$H304,$F$14:$F$1213,"&gt;=0")=0),"—",IF(OR(ISERROR(MATCH($H304&amp;"|1",$Z$14:$Z$1213,0)),ISERROR(MATCH($H304&amp;"|1",$AA$14:$AA$1213,0))),"Tie",IF(MATCH($H304&amp;"|1",$Z$14:$Z$1213,0)=MATCH($H304&amp;"|1",$AA$14:$AA$1213,0),"Hit","Miss"))))</f>
        <v/>
      </c>
      <c r="K304" s="24">
        <f>IF($H304="","",IF(COUNTIFS($A$14:$A$1213,$H304,$F$14:$F$1213,"&gt;=0")=0,"—",IFERROR(INDEX($B$14:$B$1213,MATCH($H304&amp;"|1",$AA$14:$AA$1213,0)),"(tied)")))</f>
        <v/>
      </c>
      <c r="L304" s="25">
        <f>IF($H304="","",IF((--(COUNTIFS($A$14:$A$1213,$H304,$P$14:$P$1213,"&gt;=0")&gt;0)+--(COUNTIFS($A$14:$A$1213,$H304,$Q$14:$Q$1213,"&gt;=0")&gt;0)+--(COUNTIFS($A$14:$A$1213,$H304,$R$14:$R$1213,"&gt;=0")&gt;0)+--(COUNTIFS($A$14:$A$1213,$H304,$S$14:$S$1213,"&gt;=0")&gt;0)+--(COUNTIFS($A$14:$A$1213,$H304,$T$14:$T$1213,"&gt;=0")&gt;0))&lt;2,"—",IF(SUMIFS($AH$14:$AH$1213,$A$14:$A$1213,$H304)=0,"Yes","No")))</f>
        <v/>
      </c>
      <c r="M304" s="25">
        <f>IF($H304="","",IF(COUNTIFS($A$14:$A$1213,$H304,$F$14:$F$1213,"&gt;=0")&lt;2,"—",IF(COUNTIFS($A$14:$A$1213,$H304,$F$14:$F$1213,_xlfn.MAXIFS($F$14:$F$1213,$A$14:$A$1213,$H304))&gt;1,"No",IF(NOT(ISNUMBER($AN304)),"—",IF((2*(1-NORMSDIST(ABS($AN304))))&lt;0.05,"Yes","No")))))</f>
        <v/>
      </c>
      <c r="N304" s="21">
        <f>IF($H304="","",IF(NOT(ISNUMBER($AN304)),"—",IF((2*(1-NORMSDIST(ABS($AN304))))&lt;0.001,"&lt;0.001",TEXT((2*(1-NORMSDIST(ABS($AN304)))),"0.000"))))</f>
        <v/>
      </c>
      <c r="P304" s="26" t="n"/>
      <c r="Q304" s="26" t="n"/>
      <c r="R304" s="26" t="n"/>
      <c r="S304" s="26" t="n"/>
      <c r="T304" s="26" t="n"/>
      <c r="V304" s="27">
        <f>IF(ISNUMBER($C304),COUNTIFS($A$14:$A$1213,$A304,$C$14:$C$1213,"&gt;"&amp;$C304)+(COUNTIFS($A$14:$A$1213,$A304,$C$14:$C$1213,"="&amp;$C304)+1)/2,"")</f>
        <v/>
      </c>
      <c r="W304" s="27">
        <f>IF(ISNUMBER($F304),COUNTIFS($A$14:$A$1213,$A304,$F$14:$F$1213,"&gt;"&amp;$F304)+(COUNTIFS($A$14:$A$1213,$A304,$F$14:$F$1213,"="&amp;$F304)+1)/2,"")</f>
        <v/>
      </c>
      <c r="X304" s="27">
        <f>IF(OR(NOT(ISNUMBER($V304)),$AO304=1),"",$V304-(COUNTIFS($A$14:$A$1213,$A304,$C$14:$C$1213,"&gt;=0")+1)/2)</f>
        <v/>
      </c>
      <c r="Y304" s="27">
        <f>IF(OR(NOT(ISNUMBER($W304)),$AO304=1),"",$W304-(COUNTIFS($A$14:$A$1213,$A304,$F$14:$F$1213,"&gt;=0")+1)/2)</f>
        <v/>
      </c>
      <c r="Z304" s="27">
        <f>IF(ISNUMBER($V304),$A304&amp;"|"&amp;$V304,"")</f>
        <v/>
      </c>
      <c r="AA304" s="27">
        <f>IF(ISNUMBER($W304),$A304&amp;"|"&amp;$W304,"")</f>
        <v/>
      </c>
      <c r="AB304" s="27">
        <f>IF(ISNUMBER($F304),$A304&amp;"|"&amp;$F304,"")</f>
        <v/>
      </c>
      <c r="AC304" s="27">
        <f>IF(ISNUMBER($P304),COUNTIFS($A$14:$A$1213,$A304,$P$14:$P$1213,"&gt;"&amp;$P304)+(COUNTIFS($A$14:$A$1213,$A304,$P$14:$P$1213,"="&amp;$P304)+1)/2,"")</f>
        <v/>
      </c>
      <c r="AD304" s="27">
        <f>IF(ISNUMBER($Q304),COUNTIFS($A$14:$A$1213,$A304,$Q$14:$Q$1213,"&gt;"&amp;$Q304)+(COUNTIFS($A$14:$A$1213,$A304,$Q$14:$Q$1213,"="&amp;$Q304)+1)/2,"")</f>
        <v/>
      </c>
      <c r="AE304" s="27">
        <f>IF(ISNUMBER($R304),COUNTIFS($A$14:$A$1213,$A304,$R$14:$R$1213,"&gt;"&amp;$R304)+(COUNTIFS($A$14:$A$1213,$A304,$R$14:$R$1213,"="&amp;$R304)+1)/2,"")</f>
        <v/>
      </c>
      <c r="AF304" s="27">
        <f>IF(ISNUMBER($S304),COUNTIFS($A$14:$A$1213,$A304,$S$14:$S$1213,"&gt;"&amp;$S304)+(COUNTIFS($A$14:$A$1213,$A304,$S$14:$S$1213,"="&amp;$S304)+1)/2,"")</f>
        <v/>
      </c>
      <c r="AG304" s="27">
        <f>IF(ISNUMBER($T304),COUNTIFS($A$14:$A$1213,$A304,$T$14:$T$1213,"&gt;"&amp;$T304)+(COUNTIFS($A$14:$A$1213,$A304,$T$14:$T$1213,"="&amp;$T304)+1)/2,"")</f>
        <v/>
      </c>
      <c r="AH304" s="27">
        <f>IF(COUNT($AC304:$AG304)&lt;2,"",IF(MAX($AC304:$AG304)=MIN($AC304:$AG304),0,1))</f>
        <v/>
      </c>
      <c r="AI304" s="27">
        <f>IF($A304="","",IF(COUNTIF($A$14:$A304,$A304)=1,COUNTIF($AI$13:AI303,"&gt;0")+1,""))</f>
        <v/>
      </c>
      <c r="AJ304" s="27">
        <f>IF(OR($H304="",COUNTIFS($A$14:$A$1213,$H304,$F$14:$F$1213,"&gt;=0")&lt;2,COUNTIFS($A$14:$A$1213,$H304,$F$14:$F$1213,_xlfn.MAXIFS($F$14:$F$1213,$A$14:$A$1213,$H304))&gt;1),"",IFERROR(INDEX($D$14:$D$1213,MATCH($H304&amp;"|"&amp;_xlfn.MAXIFS($F$14:$F$1213,$A$14:$A$1213,$H304),$AB$14:$AB$1213,0)),""))</f>
        <v/>
      </c>
      <c r="AK304" s="27">
        <f>IF(OR($H304="",COUNTIFS($A$14:$A$1213,$H304,$F$14:$F$1213,"&gt;=0")&lt;2,COUNTIFS($A$14:$A$1213,$H304,$F$14:$F$1213,_xlfn.MAXIFS($F$14:$F$1213,$A$14:$A$1213,$H304))&gt;1),"",IFERROR(INDEX($E$14:$E$1213,MATCH($H304&amp;"|"&amp;_xlfn.MAXIFS($F$14:$F$1213,$A$14:$A$1213,$H304),$AB$14:$AB$1213,0)),""))</f>
        <v/>
      </c>
      <c r="AL304" s="27">
        <f>IF(OR($H304="",COUNTIFS($A$14:$A$1213,$H304,$F$14:$F$1213,"&gt;=0")&lt;2,COUNTIFS($A$14:$A$1213,$H304,$F$14:$F$1213,_xlfn.MAXIFS($F$14:$F$1213,$A$14:$A$1213,$H304))&gt;1),"",IFERROR(INDEX($D$14:$D$1213,MATCH($H304&amp;"|"&amp;_xlfn.MAXIFS($F$14:$F$1213,$A$14:$A$1213,$H304,$F$14:$F$1213,"&lt;"&amp;_xlfn.MAXIFS($F$14:$F$1213,$A$14:$A$1213,$H304)),$AB$14:$AB$1213,0)),""))</f>
        <v/>
      </c>
      <c r="AM304" s="27">
        <f>IF(OR($H304="",COUNTIFS($A$14:$A$1213,$H304,$F$14:$F$1213,"&gt;=0")&lt;2,COUNTIFS($A$14:$A$1213,$H304,$F$14:$F$1213,_xlfn.MAXIFS($F$14:$F$1213,$A$14:$A$1213,$H304))&gt;1),"",IFERROR(INDEX($E$14:$E$1213,MATCH($H304&amp;"|"&amp;_xlfn.MAXIFS($F$14:$F$1213,$A$14:$A$1213,$H304,$F$14:$F$1213,"&lt;"&amp;_xlfn.MAXIFS($F$14:$F$1213,$A$14:$A$1213,$H304)),$AB$14:$AB$1213,0)),""))</f>
        <v/>
      </c>
      <c r="AN304" s="27">
        <f>IF(OR(NOT(ISNUMBER($AJ304)),NOT(ISNUMBER($AL304)),$AK304=0,$AM304=0),"",IF(OR((($AJ304+$AL304)/($AK304+$AM304))&lt;=0,(($AJ304+$AL304)/($AK304+$AM304))&gt;=1),"",($AJ304/$AK304-$AL304/$AM304)/SQRT((($AJ304+$AL304)/($AK304+$AM304))*(1-(($AJ304+$AL304)/($AK304+$AM304)))*(1/$AK304+1/$AM304))))</f>
        <v/>
      </c>
      <c r="AO304" s="27">
        <f>IF($A304="","",IF(AND(COUNTIFS($A$14:$A$1213,$A304,$F$14:$F$1213,"&gt;=0")=2,IFERROR(INDEX($M$14:$M$313,MATCH($A304,$H$14:$H$313,0)),"Yes")&lt;&gt;"Yes"),1,0))</f>
        <v/>
      </c>
    </row>
    <row r="305" ht="24" customHeight="1">
      <c r="A305" s="19">
        <f>IF('Enter messages'!A305="","",'Enter messages'!A305)</f>
        <v/>
      </c>
      <c r="B305" s="20">
        <f>IF('Enter messages'!B305="","",'Enter messages'!B305)</f>
        <v/>
      </c>
      <c r="C305" s="21">
        <f>IFERROR(AVERAGE(P305:T305),"")</f>
        <v/>
      </c>
      <c r="D305" s="29" t="n"/>
      <c r="E305" s="29" t="n"/>
      <c r="F305" s="30">
        <f>IF(AND(ISNUMBER($D305),ISNUMBER($E305),$E305&gt;0,$D305&lt;=$E305),$D305/$E305,"")</f>
        <v/>
      </c>
      <c r="H305" s="19">
        <f>IFERROR(INDEX($A$14:$A$1213,MATCH(292,$AI$14:$AI$1213,0)),"")</f>
        <v/>
      </c>
      <c r="I305" s="24">
        <f>IF($H305="","",IF(COUNTIFS($A$14:$A$1213,$H305,$C$14:$C$1213,"&gt;=0")=0,"—",IFERROR(INDEX($B$14:$B$1213,MATCH($H305&amp;"|1",$Z$14:$Z$1213,0)),"(tied)")))</f>
        <v/>
      </c>
      <c r="J305" s="25">
        <f>IF($H305="","",IF(OR(COUNTIFS($A$14:$A$1213,$H305,$C$14:$C$1213,"&gt;=0")=0,COUNTIFS($A$14:$A$1213,$H305,$F$14:$F$1213,"&gt;=0")=0),"—",IF(OR(ISERROR(MATCH($H305&amp;"|1",$Z$14:$Z$1213,0)),ISERROR(MATCH($H305&amp;"|1",$AA$14:$AA$1213,0))),"Tie",IF(MATCH($H305&amp;"|1",$Z$14:$Z$1213,0)=MATCH($H305&amp;"|1",$AA$14:$AA$1213,0),"Hit","Miss"))))</f>
        <v/>
      </c>
      <c r="K305" s="24">
        <f>IF($H305="","",IF(COUNTIFS($A$14:$A$1213,$H305,$F$14:$F$1213,"&gt;=0")=0,"—",IFERROR(INDEX($B$14:$B$1213,MATCH($H305&amp;"|1",$AA$14:$AA$1213,0)),"(tied)")))</f>
        <v/>
      </c>
      <c r="L305" s="25">
        <f>IF($H305="","",IF((--(COUNTIFS($A$14:$A$1213,$H305,$P$14:$P$1213,"&gt;=0")&gt;0)+--(COUNTIFS($A$14:$A$1213,$H305,$Q$14:$Q$1213,"&gt;=0")&gt;0)+--(COUNTIFS($A$14:$A$1213,$H305,$R$14:$R$1213,"&gt;=0")&gt;0)+--(COUNTIFS($A$14:$A$1213,$H305,$S$14:$S$1213,"&gt;=0")&gt;0)+--(COUNTIFS($A$14:$A$1213,$H305,$T$14:$T$1213,"&gt;=0")&gt;0))&lt;2,"—",IF(SUMIFS($AH$14:$AH$1213,$A$14:$A$1213,$H305)=0,"Yes","No")))</f>
        <v/>
      </c>
      <c r="M305" s="25">
        <f>IF($H305="","",IF(COUNTIFS($A$14:$A$1213,$H305,$F$14:$F$1213,"&gt;=0")&lt;2,"—",IF(COUNTIFS($A$14:$A$1213,$H305,$F$14:$F$1213,_xlfn.MAXIFS($F$14:$F$1213,$A$14:$A$1213,$H305))&gt;1,"No",IF(NOT(ISNUMBER($AN305)),"—",IF((2*(1-NORMSDIST(ABS($AN305))))&lt;0.05,"Yes","No")))))</f>
        <v/>
      </c>
      <c r="N305" s="21">
        <f>IF($H305="","",IF(NOT(ISNUMBER($AN305)),"—",IF((2*(1-NORMSDIST(ABS($AN305))))&lt;0.001,"&lt;0.001",TEXT((2*(1-NORMSDIST(ABS($AN305)))),"0.000"))))</f>
        <v/>
      </c>
      <c r="P305" s="26" t="n"/>
      <c r="Q305" s="26" t="n"/>
      <c r="R305" s="26" t="n"/>
      <c r="S305" s="26" t="n"/>
      <c r="T305" s="26" t="n"/>
      <c r="V305" s="27">
        <f>IF(ISNUMBER($C305),COUNTIFS($A$14:$A$1213,$A305,$C$14:$C$1213,"&gt;"&amp;$C305)+(COUNTIFS($A$14:$A$1213,$A305,$C$14:$C$1213,"="&amp;$C305)+1)/2,"")</f>
        <v/>
      </c>
      <c r="W305" s="27">
        <f>IF(ISNUMBER($F305),COUNTIFS($A$14:$A$1213,$A305,$F$14:$F$1213,"&gt;"&amp;$F305)+(COUNTIFS($A$14:$A$1213,$A305,$F$14:$F$1213,"="&amp;$F305)+1)/2,"")</f>
        <v/>
      </c>
      <c r="X305" s="27">
        <f>IF(OR(NOT(ISNUMBER($V305)),$AO305=1),"",$V305-(COUNTIFS($A$14:$A$1213,$A305,$C$14:$C$1213,"&gt;=0")+1)/2)</f>
        <v/>
      </c>
      <c r="Y305" s="27">
        <f>IF(OR(NOT(ISNUMBER($W305)),$AO305=1),"",$W305-(COUNTIFS($A$14:$A$1213,$A305,$F$14:$F$1213,"&gt;=0")+1)/2)</f>
        <v/>
      </c>
      <c r="Z305" s="27">
        <f>IF(ISNUMBER($V305),$A305&amp;"|"&amp;$V305,"")</f>
        <v/>
      </c>
      <c r="AA305" s="27">
        <f>IF(ISNUMBER($W305),$A305&amp;"|"&amp;$W305,"")</f>
        <v/>
      </c>
      <c r="AB305" s="27">
        <f>IF(ISNUMBER($F305),$A305&amp;"|"&amp;$F305,"")</f>
        <v/>
      </c>
      <c r="AC305" s="27">
        <f>IF(ISNUMBER($P305),COUNTIFS($A$14:$A$1213,$A305,$P$14:$P$1213,"&gt;"&amp;$P305)+(COUNTIFS($A$14:$A$1213,$A305,$P$14:$P$1213,"="&amp;$P305)+1)/2,"")</f>
        <v/>
      </c>
      <c r="AD305" s="27">
        <f>IF(ISNUMBER($Q305),COUNTIFS($A$14:$A$1213,$A305,$Q$14:$Q$1213,"&gt;"&amp;$Q305)+(COUNTIFS($A$14:$A$1213,$A305,$Q$14:$Q$1213,"="&amp;$Q305)+1)/2,"")</f>
        <v/>
      </c>
      <c r="AE305" s="27">
        <f>IF(ISNUMBER($R305),COUNTIFS($A$14:$A$1213,$A305,$R$14:$R$1213,"&gt;"&amp;$R305)+(COUNTIFS($A$14:$A$1213,$A305,$R$14:$R$1213,"="&amp;$R305)+1)/2,"")</f>
        <v/>
      </c>
      <c r="AF305" s="27">
        <f>IF(ISNUMBER($S305),COUNTIFS($A$14:$A$1213,$A305,$S$14:$S$1213,"&gt;"&amp;$S305)+(COUNTIFS($A$14:$A$1213,$A305,$S$14:$S$1213,"="&amp;$S305)+1)/2,"")</f>
        <v/>
      </c>
      <c r="AG305" s="27">
        <f>IF(ISNUMBER($T305),COUNTIFS($A$14:$A$1213,$A305,$T$14:$T$1213,"&gt;"&amp;$T305)+(COUNTIFS($A$14:$A$1213,$A305,$T$14:$T$1213,"="&amp;$T305)+1)/2,"")</f>
        <v/>
      </c>
      <c r="AH305" s="27">
        <f>IF(COUNT($AC305:$AG305)&lt;2,"",IF(MAX($AC305:$AG305)=MIN($AC305:$AG305),0,1))</f>
        <v/>
      </c>
      <c r="AI305" s="27">
        <f>IF($A305="","",IF(COUNTIF($A$14:$A305,$A305)=1,COUNTIF($AI$13:AI304,"&gt;0")+1,""))</f>
        <v/>
      </c>
      <c r="AJ305" s="27">
        <f>IF(OR($H305="",COUNTIFS($A$14:$A$1213,$H305,$F$14:$F$1213,"&gt;=0")&lt;2,COUNTIFS($A$14:$A$1213,$H305,$F$14:$F$1213,_xlfn.MAXIFS($F$14:$F$1213,$A$14:$A$1213,$H305))&gt;1),"",IFERROR(INDEX($D$14:$D$1213,MATCH($H305&amp;"|"&amp;_xlfn.MAXIFS($F$14:$F$1213,$A$14:$A$1213,$H305),$AB$14:$AB$1213,0)),""))</f>
        <v/>
      </c>
      <c r="AK305" s="27">
        <f>IF(OR($H305="",COUNTIFS($A$14:$A$1213,$H305,$F$14:$F$1213,"&gt;=0")&lt;2,COUNTIFS($A$14:$A$1213,$H305,$F$14:$F$1213,_xlfn.MAXIFS($F$14:$F$1213,$A$14:$A$1213,$H305))&gt;1),"",IFERROR(INDEX($E$14:$E$1213,MATCH($H305&amp;"|"&amp;_xlfn.MAXIFS($F$14:$F$1213,$A$14:$A$1213,$H305),$AB$14:$AB$1213,0)),""))</f>
        <v/>
      </c>
      <c r="AL305" s="27">
        <f>IF(OR($H305="",COUNTIFS($A$14:$A$1213,$H305,$F$14:$F$1213,"&gt;=0")&lt;2,COUNTIFS($A$14:$A$1213,$H305,$F$14:$F$1213,_xlfn.MAXIFS($F$14:$F$1213,$A$14:$A$1213,$H305))&gt;1),"",IFERROR(INDEX($D$14:$D$1213,MATCH($H305&amp;"|"&amp;_xlfn.MAXIFS($F$14:$F$1213,$A$14:$A$1213,$H305,$F$14:$F$1213,"&lt;"&amp;_xlfn.MAXIFS($F$14:$F$1213,$A$14:$A$1213,$H305)),$AB$14:$AB$1213,0)),""))</f>
        <v/>
      </c>
      <c r="AM305" s="27">
        <f>IF(OR($H305="",COUNTIFS($A$14:$A$1213,$H305,$F$14:$F$1213,"&gt;=0")&lt;2,COUNTIFS($A$14:$A$1213,$H305,$F$14:$F$1213,_xlfn.MAXIFS($F$14:$F$1213,$A$14:$A$1213,$H305))&gt;1),"",IFERROR(INDEX($E$14:$E$1213,MATCH($H305&amp;"|"&amp;_xlfn.MAXIFS($F$14:$F$1213,$A$14:$A$1213,$H305,$F$14:$F$1213,"&lt;"&amp;_xlfn.MAXIFS($F$14:$F$1213,$A$14:$A$1213,$H305)),$AB$14:$AB$1213,0)),""))</f>
        <v/>
      </c>
      <c r="AN305" s="27">
        <f>IF(OR(NOT(ISNUMBER($AJ305)),NOT(ISNUMBER($AL305)),$AK305=0,$AM305=0),"",IF(OR((($AJ305+$AL305)/($AK305+$AM305))&lt;=0,(($AJ305+$AL305)/($AK305+$AM305))&gt;=1),"",($AJ305/$AK305-$AL305/$AM305)/SQRT((($AJ305+$AL305)/($AK305+$AM305))*(1-(($AJ305+$AL305)/($AK305+$AM305)))*(1/$AK305+1/$AM305))))</f>
        <v/>
      </c>
      <c r="AO305" s="27">
        <f>IF($A305="","",IF(AND(COUNTIFS($A$14:$A$1213,$A305,$F$14:$F$1213,"&gt;=0")=2,IFERROR(INDEX($M$14:$M$313,MATCH($A305,$H$14:$H$313,0)),"Yes")&lt;&gt;"Yes"),1,0))</f>
        <v/>
      </c>
    </row>
    <row r="306" ht="24" customHeight="1">
      <c r="A306" s="19">
        <f>IF('Enter messages'!A306="","",'Enter messages'!A306)</f>
        <v/>
      </c>
      <c r="B306" s="20">
        <f>IF('Enter messages'!B306="","",'Enter messages'!B306)</f>
        <v/>
      </c>
      <c r="C306" s="21">
        <f>IFERROR(AVERAGE(P306:T306),"")</f>
        <v/>
      </c>
      <c r="D306" s="29" t="n"/>
      <c r="E306" s="29" t="n"/>
      <c r="F306" s="30">
        <f>IF(AND(ISNUMBER($D306),ISNUMBER($E306),$E306&gt;0,$D306&lt;=$E306),$D306/$E306,"")</f>
        <v/>
      </c>
      <c r="H306" s="19">
        <f>IFERROR(INDEX($A$14:$A$1213,MATCH(293,$AI$14:$AI$1213,0)),"")</f>
        <v/>
      </c>
      <c r="I306" s="24">
        <f>IF($H306="","",IF(COUNTIFS($A$14:$A$1213,$H306,$C$14:$C$1213,"&gt;=0")=0,"—",IFERROR(INDEX($B$14:$B$1213,MATCH($H306&amp;"|1",$Z$14:$Z$1213,0)),"(tied)")))</f>
        <v/>
      </c>
      <c r="J306" s="25">
        <f>IF($H306="","",IF(OR(COUNTIFS($A$14:$A$1213,$H306,$C$14:$C$1213,"&gt;=0")=0,COUNTIFS($A$14:$A$1213,$H306,$F$14:$F$1213,"&gt;=0")=0),"—",IF(OR(ISERROR(MATCH($H306&amp;"|1",$Z$14:$Z$1213,0)),ISERROR(MATCH($H306&amp;"|1",$AA$14:$AA$1213,0))),"Tie",IF(MATCH($H306&amp;"|1",$Z$14:$Z$1213,0)=MATCH($H306&amp;"|1",$AA$14:$AA$1213,0),"Hit","Miss"))))</f>
        <v/>
      </c>
      <c r="K306" s="24">
        <f>IF($H306="","",IF(COUNTIFS($A$14:$A$1213,$H306,$F$14:$F$1213,"&gt;=0")=0,"—",IFERROR(INDEX($B$14:$B$1213,MATCH($H306&amp;"|1",$AA$14:$AA$1213,0)),"(tied)")))</f>
        <v/>
      </c>
      <c r="L306" s="25">
        <f>IF($H306="","",IF((--(COUNTIFS($A$14:$A$1213,$H306,$P$14:$P$1213,"&gt;=0")&gt;0)+--(COUNTIFS($A$14:$A$1213,$H306,$Q$14:$Q$1213,"&gt;=0")&gt;0)+--(COUNTIFS($A$14:$A$1213,$H306,$R$14:$R$1213,"&gt;=0")&gt;0)+--(COUNTIFS($A$14:$A$1213,$H306,$S$14:$S$1213,"&gt;=0")&gt;0)+--(COUNTIFS($A$14:$A$1213,$H306,$T$14:$T$1213,"&gt;=0")&gt;0))&lt;2,"—",IF(SUMIFS($AH$14:$AH$1213,$A$14:$A$1213,$H306)=0,"Yes","No")))</f>
        <v/>
      </c>
      <c r="M306" s="25">
        <f>IF($H306="","",IF(COUNTIFS($A$14:$A$1213,$H306,$F$14:$F$1213,"&gt;=0")&lt;2,"—",IF(COUNTIFS($A$14:$A$1213,$H306,$F$14:$F$1213,_xlfn.MAXIFS($F$14:$F$1213,$A$14:$A$1213,$H306))&gt;1,"No",IF(NOT(ISNUMBER($AN306)),"—",IF((2*(1-NORMSDIST(ABS($AN306))))&lt;0.05,"Yes","No")))))</f>
        <v/>
      </c>
      <c r="N306" s="21">
        <f>IF($H306="","",IF(NOT(ISNUMBER($AN306)),"—",IF((2*(1-NORMSDIST(ABS($AN306))))&lt;0.001,"&lt;0.001",TEXT((2*(1-NORMSDIST(ABS($AN306)))),"0.000"))))</f>
        <v/>
      </c>
      <c r="P306" s="26" t="n"/>
      <c r="Q306" s="26" t="n"/>
      <c r="R306" s="26" t="n"/>
      <c r="S306" s="26" t="n"/>
      <c r="T306" s="26" t="n"/>
      <c r="V306" s="27">
        <f>IF(ISNUMBER($C306),COUNTIFS($A$14:$A$1213,$A306,$C$14:$C$1213,"&gt;"&amp;$C306)+(COUNTIFS($A$14:$A$1213,$A306,$C$14:$C$1213,"="&amp;$C306)+1)/2,"")</f>
        <v/>
      </c>
      <c r="W306" s="27">
        <f>IF(ISNUMBER($F306),COUNTIFS($A$14:$A$1213,$A306,$F$14:$F$1213,"&gt;"&amp;$F306)+(COUNTIFS($A$14:$A$1213,$A306,$F$14:$F$1213,"="&amp;$F306)+1)/2,"")</f>
        <v/>
      </c>
      <c r="X306" s="27">
        <f>IF(OR(NOT(ISNUMBER($V306)),$AO306=1),"",$V306-(COUNTIFS($A$14:$A$1213,$A306,$C$14:$C$1213,"&gt;=0")+1)/2)</f>
        <v/>
      </c>
      <c r="Y306" s="27">
        <f>IF(OR(NOT(ISNUMBER($W306)),$AO306=1),"",$W306-(COUNTIFS($A$14:$A$1213,$A306,$F$14:$F$1213,"&gt;=0")+1)/2)</f>
        <v/>
      </c>
      <c r="Z306" s="27">
        <f>IF(ISNUMBER($V306),$A306&amp;"|"&amp;$V306,"")</f>
        <v/>
      </c>
      <c r="AA306" s="27">
        <f>IF(ISNUMBER($W306),$A306&amp;"|"&amp;$W306,"")</f>
        <v/>
      </c>
      <c r="AB306" s="27">
        <f>IF(ISNUMBER($F306),$A306&amp;"|"&amp;$F306,"")</f>
        <v/>
      </c>
      <c r="AC306" s="27">
        <f>IF(ISNUMBER($P306),COUNTIFS($A$14:$A$1213,$A306,$P$14:$P$1213,"&gt;"&amp;$P306)+(COUNTIFS($A$14:$A$1213,$A306,$P$14:$P$1213,"="&amp;$P306)+1)/2,"")</f>
        <v/>
      </c>
      <c r="AD306" s="27">
        <f>IF(ISNUMBER($Q306),COUNTIFS($A$14:$A$1213,$A306,$Q$14:$Q$1213,"&gt;"&amp;$Q306)+(COUNTIFS($A$14:$A$1213,$A306,$Q$14:$Q$1213,"="&amp;$Q306)+1)/2,"")</f>
        <v/>
      </c>
      <c r="AE306" s="27">
        <f>IF(ISNUMBER($R306),COUNTIFS($A$14:$A$1213,$A306,$R$14:$R$1213,"&gt;"&amp;$R306)+(COUNTIFS($A$14:$A$1213,$A306,$R$14:$R$1213,"="&amp;$R306)+1)/2,"")</f>
        <v/>
      </c>
      <c r="AF306" s="27">
        <f>IF(ISNUMBER($S306),COUNTIFS($A$14:$A$1213,$A306,$S$14:$S$1213,"&gt;"&amp;$S306)+(COUNTIFS($A$14:$A$1213,$A306,$S$14:$S$1213,"="&amp;$S306)+1)/2,"")</f>
        <v/>
      </c>
      <c r="AG306" s="27">
        <f>IF(ISNUMBER($T306),COUNTIFS($A$14:$A$1213,$A306,$T$14:$T$1213,"&gt;"&amp;$T306)+(COUNTIFS($A$14:$A$1213,$A306,$T$14:$T$1213,"="&amp;$T306)+1)/2,"")</f>
        <v/>
      </c>
      <c r="AH306" s="27">
        <f>IF(COUNT($AC306:$AG306)&lt;2,"",IF(MAX($AC306:$AG306)=MIN($AC306:$AG306),0,1))</f>
        <v/>
      </c>
      <c r="AI306" s="27">
        <f>IF($A306="","",IF(COUNTIF($A$14:$A306,$A306)=1,COUNTIF($AI$13:AI305,"&gt;0")+1,""))</f>
        <v/>
      </c>
      <c r="AJ306" s="27">
        <f>IF(OR($H306="",COUNTIFS($A$14:$A$1213,$H306,$F$14:$F$1213,"&gt;=0")&lt;2,COUNTIFS($A$14:$A$1213,$H306,$F$14:$F$1213,_xlfn.MAXIFS($F$14:$F$1213,$A$14:$A$1213,$H306))&gt;1),"",IFERROR(INDEX($D$14:$D$1213,MATCH($H306&amp;"|"&amp;_xlfn.MAXIFS($F$14:$F$1213,$A$14:$A$1213,$H306),$AB$14:$AB$1213,0)),""))</f>
        <v/>
      </c>
      <c r="AK306" s="27">
        <f>IF(OR($H306="",COUNTIFS($A$14:$A$1213,$H306,$F$14:$F$1213,"&gt;=0")&lt;2,COUNTIFS($A$14:$A$1213,$H306,$F$14:$F$1213,_xlfn.MAXIFS($F$14:$F$1213,$A$14:$A$1213,$H306))&gt;1),"",IFERROR(INDEX($E$14:$E$1213,MATCH($H306&amp;"|"&amp;_xlfn.MAXIFS($F$14:$F$1213,$A$14:$A$1213,$H306),$AB$14:$AB$1213,0)),""))</f>
        <v/>
      </c>
      <c r="AL306" s="27">
        <f>IF(OR($H306="",COUNTIFS($A$14:$A$1213,$H306,$F$14:$F$1213,"&gt;=0")&lt;2,COUNTIFS($A$14:$A$1213,$H306,$F$14:$F$1213,_xlfn.MAXIFS($F$14:$F$1213,$A$14:$A$1213,$H306))&gt;1),"",IFERROR(INDEX($D$14:$D$1213,MATCH($H306&amp;"|"&amp;_xlfn.MAXIFS($F$14:$F$1213,$A$14:$A$1213,$H306,$F$14:$F$1213,"&lt;"&amp;_xlfn.MAXIFS($F$14:$F$1213,$A$14:$A$1213,$H306)),$AB$14:$AB$1213,0)),""))</f>
        <v/>
      </c>
      <c r="AM306" s="27">
        <f>IF(OR($H306="",COUNTIFS($A$14:$A$1213,$H306,$F$14:$F$1213,"&gt;=0")&lt;2,COUNTIFS($A$14:$A$1213,$H306,$F$14:$F$1213,_xlfn.MAXIFS($F$14:$F$1213,$A$14:$A$1213,$H306))&gt;1),"",IFERROR(INDEX($E$14:$E$1213,MATCH($H306&amp;"|"&amp;_xlfn.MAXIFS($F$14:$F$1213,$A$14:$A$1213,$H306,$F$14:$F$1213,"&lt;"&amp;_xlfn.MAXIFS($F$14:$F$1213,$A$14:$A$1213,$H306)),$AB$14:$AB$1213,0)),""))</f>
        <v/>
      </c>
      <c r="AN306" s="27">
        <f>IF(OR(NOT(ISNUMBER($AJ306)),NOT(ISNUMBER($AL306)),$AK306=0,$AM306=0),"",IF(OR((($AJ306+$AL306)/($AK306+$AM306))&lt;=0,(($AJ306+$AL306)/($AK306+$AM306))&gt;=1),"",($AJ306/$AK306-$AL306/$AM306)/SQRT((($AJ306+$AL306)/($AK306+$AM306))*(1-(($AJ306+$AL306)/($AK306+$AM306)))*(1/$AK306+1/$AM306))))</f>
        <v/>
      </c>
      <c r="AO306" s="27">
        <f>IF($A306="","",IF(AND(COUNTIFS($A$14:$A$1213,$A306,$F$14:$F$1213,"&gt;=0")=2,IFERROR(INDEX($M$14:$M$313,MATCH($A306,$H$14:$H$313,0)),"Yes")&lt;&gt;"Yes"),1,0))</f>
        <v/>
      </c>
    </row>
    <row r="307" ht="24" customHeight="1">
      <c r="A307" s="19">
        <f>IF('Enter messages'!A307="","",'Enter messages'!A307)</f>
        <v/>
      </c>
      <c r="B307" s="20">
        <f>IF('Enter messages'!B307="","",'Enter messages'!B307)</f>
        <v/>
      </c>
      <c r="C307" s="21">
        <f>IFERROR(AVERAGE(P307:T307),"")</f>
        <v/>
      </c>
      <c r="D307" s="29" t="n"/>
      <c r="E307" s="29" t="n"/>
      <c r="F307" s="30">
        <f>IF(AND(ISNUMBER($D307),ISNUMBER($E307),$E307&gt;0,$D307&lt;=$E307),$D307/$E307,"")</f>
        <v/>
      </c>
      <c r="H307" s="19">
        <f>IFERROR(INDEX($A$14:$A$1213,MATCH(294,$AI$14:$AI$1213,0)),"")</f>
        <v/>
      </c>
      <c r="I307" s="24">
        <f>IF($H307="","",IF(COUNTIFS($A$14:$A$1213,$H307,$C$14:$C$1213,"&gt;=0")=0,"—",IFERROR(INDEX($B$14:$B$1213,MATCH($H307&amp;"|1",$Z$14:$Z$1213,0)),"(tied)")))</f>
        <v/>
      </c>
      <c r="J307" s="25">
        <f>IF($H307="","",IF(OR(COUNTIFS($A$14:$A$1213,$H307,$C$14:$C$1213,"&gt;=0")=0,COUNTIFS($A$14:$A$1213,$H307,$F$14:$F$1213,"&gt;=0")=0),"—",IF(OR(ISERROR(MATCH($H307&amp;"|1",$Z$14:$Z$1213,0)),ISERROR(MATCH($H307&amp;"|1",$AA$14:$AA$1213,0))),"Tie",IF(MATCH($H307&amp;"|1",$Z$14:$Z$1213,0)=MATCH($H307&amp;"|1",$AA$14:$AA$1213,0),"Hit","Miss"))))</f>
        <v/>
      </c>
      <c r="K307" s="24">
        <f>IF($H307="","",IF(COUNTIFS($A$14:$A$1213,$H307,$F$14:$F$1213,"&gt;=0")=0,"—",IFERROR(INDEX($B$14:$B$1213,MATCH($H307&amp;"|1",$AA$14:$AA$1213,0)),"(tied)")))</f>
        <v/>
      </c>
      <c r="L307" s="25">
        <f>IF($H307="","",IF((--(COUNTIFS($A$14:$A$1213,$H307,$P$14:$P$1213,"&gt;=0")&gt;0)+--(COUNTIFS($A$14:$A$1213,$H307,$Q$14:$Q$1213,"&gt;=0")&gt;0)+--(COUNTIFS($A$14:$A$1213,$H307,$R$14:$R$1213,"&gt;=0")&gt;0)+--(COUNTIFS($A$14:$A$1213,$H307,$S$14:$S$1213,"&gt;=0")&gt;0)+--(COUNTIFS($A$14:$A$1213,$H307,$T$14:$T$1213,"&gt;=0")&gt;0))&lt;2,"—",IF(SUMIFS($AH$14:$AH$1213,$A$14:$A$1213,$H307)=0,"Yes","No")))</f>
        <v/>
      </c>
      <c r="M307" s="25">
        <f>IF($H307="","",IF(COUNTIFS($A$14:$A$1213,$H307,$F$14:$F$1213,"&gt;=0")&lt;2,"—",IF(COUNTIFS($A$14:$A$1213,$H307,$F$14:$F$1213,_xlfn.MAXIFS($F$14:$F$1213,$A$14:$A$1213,$H307))&gt;1,"No",IF(NOT(ISNUMBER($AN307)),"—",IF((2*(1-NORMSDIST(ABS($AN307))))&lt;0.05,"Yes","No")))))</f>
        <v/>
      </c>
      <c r="N307" s="21">
        <f>IF($H307="","",IF(NOT(ISNUMBER($AN307)),"—",IF((2*(1-NORMSDIST(ABS($AN307))))&lt;0.001,"&lt;0.001",TEXT((2*(1-NORMSDIST(ABS($AN307)))),"0.000"))))</f>
        <v/>
      </c>
      <c r="P307" s="26" t="n"/>
      <c r="Q307" s="26" t="n"/>
      <c r="R307" s="26" t="n"/>
      <c r="S307" s="26" t="n"/>
      <c r="T307" s="26" t="n"/>
      <c r="V307" s="27">
        <f>IF(ISNUMBER($C307),COUNTIFS($A$14:$A$1213,$A307,$C$14:$C$1213,"&gt;"&amp;$C307)+(COUNTIFS($A$14:$A$1213,$A307,$C$14:$C$1213,"="&amp;$C307)+1)/2,"")</f>
        <v/>
      </c>
      <c r="W307" s="27">
        <f>IF(ISNUMBER($F307),COUNTIFS($A$14:$A$1213,$A307,$F$14:$F$1213,"&gt;"&amp;$F307)+(COUNTIFS($A$14:$A$1213,$A307,$F$14:$F$1213,"="&amp;$F307)+1)/2,"")</f>
        <v/>
      </c>
      <c r="X307" s="27">
        <f>IF(OR(NOT(ISNUMBER($V307)),$AO307=1),"",$V307-(COUNTIFS($A$14:$A$1213,$A307,$C$14:$C$1213,"&gt;=0")+1)/2)</f>
        <v/>
      </c>
      <c r="Y307" s="27">
        <f>IF(OR(NOT(ISNUMBER($W307)),$AO307=1),"",$W307-(COUNTIFS($A$14:$A$1213,$A307,$F$14:$F$1213,"&gt;=0")+1)/2)</f>
        <v/>
      </c>
      <c r="Z307" s="27">
        <f>IF(ISNUMBER($V307),$A307&amp;"|"&amp;$V307,"")</f>
        <v/>
      </c>
      <c r="AA307" s="27">
        <f>IF(ISNUMBER($W307),$A307&amp;"|"&amp;$W307,"")</f>
        <v/>
      </c>
      <c r="AB307" s="27">
        <f>IF(ISNUMBER($F307),$A307&amp;"|"&amp;$F307,"")</f>
        <v/>
      </c>
      <c r="AC307" s="27">
        <f>IF(ISNUMBER($P307),COUNTIFS($A$14:$A$1213,$A307,$P$14:$P$1213,"&gt;"&amp;$P307)+(COUNTIFS($A$14:$A$1213,$A307,$P$14:$P$1213,"="&amp;$P307)+1)/2,"")</f>
        <v/>
      </c>
      <c r="AD307" s="27">
        <f>IF(ISNUMBER($Q307),COUNTIFS($A$14:$A$1213,$A307,$Q$14:$Q$1213,"&gt;"&amp;$Q307)+(COUNTIFS($A$14:$A$1213,$A307,$Q$14:$Q$1213,"="&amp;$Q307)+1)/2,"")</f>
        <v/>
      </c>
      <c r="AE307" s="27">
        <f>IF(ISNUMBER($R307),COUNTIFS($A$14:$A$1213,$A307,$R$14:$R$1213,"&gt;"&amp;$R307)+(COUNTIFS($A$14:$A$1213,$A307,$R$14:$R$1213,"="&amp;$R307)+1)/2,"")</f>
        <v/>
      </c>
      <c r="AF307" s="27">
        <f>IF(ISNUMBER($S307),COUNTIFS($A$14:$A$1213,$A307,$S$14:$S$1213,"&gt;"&amp;$S307)+(COUNTIFS($A$14:$A$1213,$A307,$S$14:$S$1213,"="&amp;$S307)+1)/2,"")</f>
        <v/>
      </c>
      <c r="AG307" s="27">
        <f>IF(ISNUMBER($T307),COUNTIFS($A$14:$A$1213,$A307,$T$14:$T$1213,"&gt;"&amp;$T307)+(COUNTIFS($A$14:$A$1213,$A307,$T$14:$T$1213,"="&amp;$T307)+1)/2,"")</f>
        <v/>
      </c>
      <c r="AH307" s="27">
        <f>IF(COUNT($AC307:$AG307)&lt;2,"",IF(MAX($AC307:$AG307)=MIN($AC307:$AG307),0,1))</f>
        <v/>
      </c>
      <c r="AI307" s="27">
        <f>IF($A307="","",IF(COUNTIF($A$14:$A307,$A307)=1,COUNTIF($AI$13:AI306,"&gt;0")+1,""))</f>
        <v/>
      </c>
      <c r="AJ307" s="27">
        <f>IF(OR($H307="",COUNTIFS($A$14:$A$1213,$H307,$F$14:$F$1213,"&gt;=0")&lt;2,COUNTIFS($A$14:$A$1213,$H307,$F$14:$F$1213,_xlfn.MAXIFS($F$14:$F$1213,$A$14:$A$1213,$H307))&gt;1),"",IFERROR(INDEX($D$14:$D$1213,MATCH($H307&amp;"|"&amp;_xlfn.MAXIFS($F$14:$F$1213,$A$14:$A$1213,$H307),$AB$14:$AB$1213,0)),""))</f>
        <v/>
      </c>
      <c r="AK307" s="27">
        <f>IF(OR($H307="",COUNTIFS($A$14:$A$1213,$H307,$F$14:$F$1213,"&gt;=0")&lt;2,COUNTIFS($A$14:$A$1213,$H307,$F$14:$F$1213,_xlfn.MAXIFS($F$14:$F$1213,$A$14:$A$1213,$H307))&gt;1),"",IFERROR(INDEX($E$14:$E$1213,MATCH($H307&amp;"|"&amp;_xlfn.MAXIFS($F$14:$F$1213,$A$14:$A$1213,$H307),$AB$14:$AB$1213,0)),""))</f>
        <v/>
      </c>
      <c r="AL307" s="27">
        <f>IF(OR($H307="",COUNTIFS($A$14:$A$1213,$H307,$F$14:$F$1213,"&gt;=0")&lt;2,COUNTIFS($A$14:$A$1213,$H307,$F$14:$F$1213,_xlfn.MAXIFS($F$14:$F$1213,$A$14:$A$1213,$H307))&gt;1),"",IFERROR(INDEX($D$14:$D$1213,MATCH($H307&amp;"|"&amp;_xlfn.MAXIFS($F$14:$F$1213,$A$14:$A$1213,$H307,$F$14:$F$1213,"&lt;"&amp;_xlfn.MAXIFS($F$14:$F$1213,$A$14:$A$1213,$H307)),$AB$14:$AB$1213,0)),""))</f>
        <v/>
      </c>
      <c r="AM307" s="27">
        <f>IF(OR($H307="",COUNTIFS($A$14:$A$1213,$H307,$F$14:$F$1213,"&gt;=0")&lt;2,COUNTIFS($A$14:$A$1213,$H307,$F$14:$F$1213,_xlfn.MAXIFS($F$14:$F$1213,$A$14:$A$1213,$H307))&gt;1),"",IFERROR(INDEX($E$14:$E$1213,MATCH($H307&amp;"|"&amp;_xlfn.MAXIFS($F$14:$F$1213,$A$14:$A$1213,$H307,$F$14:$F$1213,"&lt;"&amp;_xlfn.MAXIFS($F$14:$F$1213,$A$14:$A$1213,$H307)),$AB$14:$AB$1213,0)),""))</f>
        <v/>
      </c>
      <c r="AN307" s="27">
        <f>IF(OR(NOT(ISNUMBER($AJ307)),NOT(ISNUMBER($AL307)),$AK307=0,$AM307=0),"",IF(OR((($AJ307+$AL307)/($AK307+$AM307))&lt;=0,(($AJ307+$AL307)/($AK307+$AM307))&gt;=1),"",($AJ307/$AK307-$AL307/$AM307)/SQRT((($AJ307+$AL307)/($AK307+$AM307))*(1-(($AJ307+$AL307)/($AK307+$AM307)))*(1/$AK307+1/$AM307))))</f>
        <v/>
      </c>
      <c r="AO307" s="27">
        <f>IF($A307="","",IF(AND(COUNTIFS($A$14:$A$1213,$A307,$F$14:$F$1213,"&gt;=0")=2,IFERROR(INDEX($M$14:$M$313,MATCH($A307,$H$14:$H$313,0)),"Yes")&lt;&gt;"Yes"),1,0))</f>
        <v/>
      </c>
    </row>
    <row r="308" ht="24" customHeight="1">
      <c r="A308" s="19">
        <f>IF('Enter messages'!A308="","",'Enter messages'!A308)</f>
        <v/>
      </c>
      <c r="B308" s="20">
        <f>IF('Enter messages'!B308="","",'Enter messages'!B308)</f>
        <v/>
      </c>
      <c r="C308" s="21">
        <f>IFERROR(AVERAGE(P308:T308),"")</f>
        <v/>
      </c>
      <c r="D308" s="29" t="n"/>
      <c r="E308" s="29" t="n"/>
      <c r="F308" s="30">
        <f>IF(AND(ISNUMBER($D308),ISNUMBER($E308),$E308&gt;0,$D308&lt;=$E308),$D308/$E308,"")</f>
        <v/>
      </c>
      <c r="H308" s="19">
        <f>IFERROR(INDEX($A$14:$A$1213,MATCH(295,$AI$14:$AI$1213,0)),"")</f>
        <v/>
      </c>
      <c r="I308" s="24">
        <f>IF($H308="","",IF(COUNTIFS($A$14:$A$1213,$H308,$C$14:$C$1213,"&gt;=0")=0,"—",IFERROR(INDEX($B$14:$B$1213,MATCH($H308&amp;"|1",$Z$14:$Z$1213,0)),"(tied)")))</f>
        <v/>
      </c>
      <c r="J308" s="25">
        <f>IF($H308="","",IF(OR(COUNTIFS($A$14:$A$1213,$H308,$C$14:$C$1213,"&gt;=0")=0,COUNTIFS($A$14:$A$1213,$H308,$F$14:$F$1213,"&gt;=0")=0),"—",IF(OR(ISERROR(MATCH($H308&amp;"|1",$Z$14:$Z$1213,0)),ISERROR(MATCH($H308&amp;"|1",$AA$14:$AA$1213,0))),"Tie",IF(MATCH($H308&amp;"|1",$Z$14:$Z$1213,0)=MATCH($H308&amp;"|1",$AA$14:$AA$1213,0),"Hit","Miss"))))</f>
        <v/>
      </c>
      <c r="K308" s="24">
        <f>IF($H308="","",IF(COUNTIFS($A$14:$A$1213,$H308,$F$14:$F$1213,"&gt;=0")=0,"—",IFERROR(INDEX($B$14:$B$1213,MATCH($H308&amp;"|1",$AA$14:$AA$1213,0)),"(tied)")))</f>
        <v/>
      </c>
      <c r="L308" s="25">
        <f>IF($H308="","",IF((--(COUNTIFS($A$14:$A$1213,$H308,$P$14:$P$1213,"&gt;=0")&gt;0)+--(COUNTIFS($A$14:$A$1213,$H308,$Q$14:$Q$1213,"&gt;=0")&gt;0)+--(COUNTIFS($A$14:$A$1213,$H308,$R$14:$R$1213,"&gt;=0")&gt;0)+--(COUNTIFS($A$14:$A$1213,$H308,$S$14:$S$1213,"&gt;=0")&gt;0)+--(COUNTIFS($A$14:$A$1213,$H308,$T$14:$T$1213,"&gt;=0")&gt;0))&lt;2,"—",IF(SUMIFS($AH$14:$AH$1213,$A$14:$A$1213,$H308)=0,"Yes","No")))</f>
        <v/>
      </c>
      <c r="M308" s="25">
        <f>IF($H308="","",IF(COUNTIFS($A$14:$A$1213,$H308,$F$14:$F$1213,"&gt;=0")&lt;2,"—",IF(COUNTIFS($A$14:$A$1213,$H308,$F$14:$F$1213,_xlfn.MAXIFS($F$14:$F$1213,$A$14:$A$1213,$H308))&gt;1,"No",IF(NOT(ISNUMBER($AN308)),"—",IF((2*(1-NORMSDIST(ABS($AN308))))&lt;0.05,"Yes","No")))))</f>
        <v/>
      </c>
      <c r="N308" s="21">
        <f>IF($H308="","",IF(NOT(ISNUMBER($AN308)),"—",IF((2*(1-NORMSDIST(ABS($AN308))))&lt;0.001,"&lt;0.001",TEXT((2*(1-NORMSDIST(ABS($AN308)))),"0.000"))))</f>
        <v/>
      </c>
      <c r="P308" s="26" t="n"/>
      <c r="Q308" s="26" t="n"/>
      <c r="R308" s="26" t="n"/>
      <c r="S308" s="26" t="n"/>
      <c r="T308" s="26" t="n"/>
      <c r="V308" s="27">
        <f>IF(ISNUMBER($C308),COUNTIFS($A$14:$A$1213,$A308,$C$14:$C$1213,"&gt;"&amp;$C308)+(COUNTIFS($A$14:$A$1213,$A308,$C$14:$C$1213,"="&amp;$C308)+1)/2,"")</f>
        <v/>
      </c>
      <c r="W308" s="27">
        <f>IF(ISNUMBER($F308),COUNTIFS($A$14:$A$1213,$A308,$F$14:$F$1213,"&gt;"&amp;$F308)+(COUNTIFS($A$14:$A$1213,$A308,$F$14:$F$1213,"="&amp;$F308)+1)/2,"")</f>
        <v/>
      </c>
      <c r="X308" s="27">
        <f>IF(OR(NOT(ISNUMBER($V308)),$AO308=1),"",$V308-(COUNTIFS($A$14:$A$1213,$A308,$C$14:$C$1213,"&gt;=0")+1)/2)</f>
        <v/>
      </c>
      <c r="Y308" s="27">
        <f>IF(OR(NOT(ISNUMBER($W308)),$AO308=1),"",$W308-(COUNTIFS($A$14:$A$1213,$A308,$F$14:$F$1213,"&gt;=0")+1)/2)</f>
        <v/>
      </c>
      <c r="Z308" s="27">
        <f>IF(ISNUMBER($V308),$A308&amp;"|"&amp;$V308,"")</f>
        <v/>
      </c>
      <c r="AA308" s="27">
        <f>IF(ISNUMBER($W308),$A308&amp;"|"&amp;$W308,"")</f>
        <v/>
      </c>
      <c r="AB308" s="27">
        <f>IF(ISNUMBER($F308),$A308&amp;"|"&amp;$F308,"")</f>
        <v/>
      </c>
      <c r="AC308" s="27">
        <f>IF(ISNUMBER($P308),COUNTIFS($A$14:$A$1213,$A308,$P$14:$P$1213,"&gt;"&amp;$P308)+(COUNTIFS($A$14:$A$1213,$A308,$P$14:$P$1213,"="&amp;$P308)+1)/2,"")</f>
        <v/>
      </c>
      <c r="AD308" s="27">
        <f>IF(ISNUMBER($Q308),COUNTIFS($A$14:$A$1213,$A308,$Q$14:$Q$1213,"&gt;"&amp;$Q308)+(COUNTIFS($A$14:$A$1213,$A308,$Q$14:$Q$1213,"="&amp;$Q308)+1)/2,"")</f>
        <v/>
      </c>
      <c r="AE308" s="27">
        <f>IF(ISNUMBER($R308),COUNTIFS($A$14:$A$1213,$A308,$R$14:$R$1213,"&gt;"&amp;$R308)+(COUNTIFS($A$14:$A$1213,$A308,$R$14:$R$1213,"="&amp;$R308)+1)/2,"")</f>
        <v/>
      </c>
      <c r="AF308" s="27">
        <f>IF(ISNUMBER($S308),COUNTIFS($A$14:$A$1213,$A308,$S$14:$S$1213,"&gt;"&amp;$S308)+(COUNTIFS($A$14:$A$1213,$A308,$S$14:$S$1213,"="&amp;$S308)+1)/2,"")</f>
        <v/>
      </c>
      <c r="AG308" s="27">
        <f>IF(ISNUMBER($T308),COUNTIFS($A$14:$A$1213,$A308,$T$14:$T$1213,"&gt;"&amp;$T308)+(COUNTIFS($A$14:$A$1213,$A308,$T$14:$T$1213,"="&amp;$T308)+1)/2,"")</f>
        <v/>
      </c>
      <c r="AH308" s="27">
        <f>IF(COUNT($AC308:$AG308)&lt;2,"",IF(MAX($AC308:$AG308)=MIN($AC308:$AG308),0,1))</f>
        <v/>
      </c>
      <c r="AI308" s="27">
        <f>IF($A308="","",IF(COUNTIF($A$14:$A308,$A308)=1,COUNTIF($AI$13:AI307,"&gt;0")+1,""))</f>
        <v/>
      </c>
      <c r="AJ308" s="27">
        <f>IF(OR($H308="",COUNTIFS($A$14:$A$1213,$H308,$F$14:$F$1213,"&gt;=0")&lt;2,COUNTIFS($A$14:$A$1213,$H308,$F$14:$F$1213,_xlfn.MAXIFS($F$14:$F$1213,$A$14:$A$1213,$H308))&gt;1),"",IFERROR(INDEX($D$14:$D$1213,MATCH($H308&amp;"|"&amp;_xlfn.MAXIFS($F$14:$F$1213,$A$14:$A$1213,$H308),$AB$14:$AB$1213,0)),""))</f>
        <v/>
      </c>
      <c r="AK308" s="27">
        <f>IF(OR($H308="",COUNTIFS($A$14:$A$1213,$H308,$F$14:$F$1213,"&gt;=0")&lt;2,COUNTIFS($A$14:$A$1213,$H308,$F$14:$F$1213,_xlfn.MAXIFS($F$14:$F$1213,$A$14:$A$1213,$H308))&gt;1),"",IFERROR(INDEX($E$14:$E$1213,MATCH($H308&amp;"|"&amp;_xlfn.MAXIFS($F$14:$F$1213,$A$14:$A$1213,$H308),$AB$14:$AB$1213,0)),""))</f>
        <v/>
      </c>
      <c r="AL308" s="27">
        <f>IF(OR($H308="",COUNTIFS($A$14:$A$1213,$H308,$F$14:$F$1213,"&gt;=0")&lt;2,COUNTIFS($A$14:$A$1213,$H308,$F$14:$F$1213,_xlfn.MAXIFS($F$14:$F$1213,$A$14:$A$1213,$H308))&gt;1),"",IFERROR(INDEX($D$14:$D$1213,MATCH($H308&amp;"|"&amp;_xlfn.MAXIFS($F$14:$F$1213,$A$14:$A$1213,$H308,$F$14:$F$1213,"&lt;"&amp;_xlfn.MAXIFS($F$14:$F$1213,$A$14:$A$1213,$H308)),$AB$14:$AB$1213,0)),""))</f>
        <v/>
      </c>
      <c r="AM308" s="27">
        <f>IF(OR($H308="",COUNTIFS($A$14:$A$1213,$H308,$F$14:$F$1213,"&gt;=0")&lt;2,COUNTIFS($A$14:$A$1213,$H308,$F$14:$F$1213,_xlfn.MAXIFS($F$14:$F$1213,$A$14:$A$1213,$H308))&gt;1),"",IFERROR(INDEX($E$14:$E$1213,MATCH($H308&amp;"|"&amp;_xlfn.MAXIFS($F$14:$F$1213,$A$14:$A$1213,$H308,$F$14:$F$1213,"&lt;"&amp;_xlfn.MAXIFS($F$14:$F$1213,$A$14:$A$1213,$H308)),$AB$14:$AB$1213,0)),""))</f>
        <v/>
      </c>
      <c r="AN308" s="27">
        <f>IF(OR(NOT(ISNUMBER($AJ308)),NOT(ISNUMBER($AL308)),$AK308=0,$AM308=0),"",IF(OR((($AJ308+$AL308)/($AK308+$AM308))&lt;=0,(($AJ308+$AL308)/($AK308+$AM308))&gt;=1),"",($AJ308/$AK308-$AL308/$AM308)/SQRT((($AJ308+$AL308)/($AK308+$AM308))*(1-(($AJ308+$AL308)/($AK308+$AM308)))*(1/$AK308+1/$AM308))))</f>
        <v/>
      </c>
      <c r="AO308" s="27">
        <f>IF($A308="","",IF(AND(COUNTIFS($A$14:$A$1213,$A308,$F$14:$F$1213,"&gt;=0")=2,IFERROR(INDEX($M$14:$M$313,MATCH($A308,$H$14:$H$313,0)),"Yes")&lt;&gt;"Yes"),1,0))</f>
        <v/>
      </c>
    </row>
    <row r="309" ht="24" customHeight="1">
      <c r="A309" s="19">
        <f>IF('Enter messages'!A309="","",'Enter messages'!A309)</f>
        <v/>
      </c>
      <c r="B309" s="20">
        <f>IF('Enter messages'!B309="","",'Enter messages'!B309)</f>
        <v/>
      </c>
      <c r="C309" s="21">
        <f>IFERROR(AVERAGE(P309:T309),"")</f>
        <v/>
      </c>
      <c r="D309" s="29" t="n"/>
      <c r="E309" s="29" t="n"/>
      <c r="F309" s="30">
        <f>IF(AND(ISNUMBER($D309),ISNUMBER($E309),$E309&gt;0,$D309&lt;=$E309),$D309/$E309,"")</f>
        <v/>
      </c>
      <c r="H309" s="19">
        <f>IFERROR(INDEX($A$14:$A$1213,MATCH(296,$AI$14:$AI$1213,0)),"")</f>
        <v/>
      </c>
      <c r="I309" s="24">
        <f>IF($H309="","",IF(COUNTIFS($A$14:$A$1213,$H309,$C$14:$C$1213,"&gt;=0")=0,"—",IFERROR(INDEX($B$14:$B$1213,MATCH($H309&amp;"|1",$Z$14:$Z$1213,0)),"(tied)")))</f>
        <v/>
      </c>
      <c r="J309" s="25">
        <f>IF($H309="","",IF(OR(COUNTIFS($A$14:$A$1213,$H309,$C$14:$C$1213,"&gt;=0")=0,COUNTIFS($A$14:$A$1213,$H309,$F$14:$F$1213,"&gt;=0")=0),"—",IF(OR(ISERROR(MATCH($H309&amp;"|1",$Z$14:$Z$1213,0)),ISERROR(MATCH($H309&amp;"|1",$AA$14:$AA$1213,0))),"Tie",IF(MATCH($H309&amp;"|1",$Z$14:$Z$1213,0)=MATCH($H309&amp;"|1",$AA$14:$AA$1213,0),"Hit","Miss"))))</f>
        <v/>
      </c>
      <c r="K309" s="24">
        <f>IF($H309="","",IF(COUNTIFS($A$14:$A$1213,$H309,$F$14:$F$1213,"&gt;=0")=0,"—",IFERROR(INDEX($B$14:$B$1213,MATCH($H309&amp;"|1",$AA$14:$AA$1213,0)),"(tied)")))</f>
        <v/>
      </c>
      <c r="L309" s="25">
        <f>IF($H309="","",IF((--(COUNTIFS($A$14:$A$1213,$H309,$P$14:$P$1213,"&gt;=0")&gt;0)+--(COUNTIFS($A$14:$A$1213,$H309,$Q$14:$Q$1213,"&gt;=0")&gt;0)+--(COUNTIFS($A$14:$A$1213,$H309,$R$14:$R$1213,"&gt;=0")&gt;0)+--(COUNTIFS($A$14:$A$1213,$H309,$S$14:$S$1213,"&gt;=0")&gt;0)+--(COUNTIFS($A$14:$A$1213,$H309,$T$14:$T$1213,"&gt;=0")&gt;0))&lt;2,"—",IF(SUMIFS($AH$14:$AH$1213,$A$14:$A$1213,$H309)=0,"Yes","No")))</f>
        <v/>
      </c>
      <c r="M309" s="25">
        <f>IF($H309="","",IF(COUNTIFS($A$14:$A$1213,$H309,$F$14:$F$1213,"&gt;=0")&lt;2,"—",IF(COUNTIFS($A$14:$A$1213,$H309,$F$14:$F$1213,_xlfn.MAXIFS($F$14:$F$1213,$A$14:$A$1213,$H309))&gt;1,"No",IF(NOT(ISNUMBER($AN309)),"—",IF((2*(1-NORMSDIST(ABS($AN309))))&lt;0.05,"Yes","No")))))</f>
        <v/>
      </c>
      <c r="N309" s="21">
        <f>IF($H309="","",IF(NOT(ISNUMBER($AN309)),"—",IF((2*(1-NORMSDIST(ABS($AN309))))&lt;0.001,"&lt;0.001",TEXT((2*(1-NORMSDIST(ABS($AN309)))),"0.000"))))</f>
        <v/>
      </c>
      <c r="P309" s="26" t="n"/>
      <c r="Q309" s="26" t="n"/>
      <c r="R309" s="26" t="n"/>
      <c r="S309" s="26" t="n"/>
      <c r="T309" s="26" t="n"/>
      <c r="V309" s="27">
        <f>IF(ISNUMBER($C309),COUNTIFS($A$14:$A$1213,$A309,$C$14:$C$1213,"&gt;"&amp;$C309)+(COUNTIFS($A$14:$A$1213,$A309,$C$14:$C$1213,"="&amp;$C309)+1)/2,"")</f>
        <v/>
      </c>
      <c r="W309" s="27">
        <f>IF(ISNUMBER($F309),COUNTIFS($A$14:$A$1213,$A309,$F$14:$F$1213,"&gt;"&amp;$F309)+(COUNTIFS($A$14:$A$1213,$A309,$F$14:$F$1213,"="&amp;$F309)+1)/2,"")</f>
        <v/>
      </c>
      <c r="X309" s="27">
        <f>IF(OR(NOT(ISNUMBER($V309)),$AO309=1),"",$V309-(COUNTIFS($A$14:$A$1213,$A309,$C$14:$C$1213,"&gt;=0")+1)/2)</f>
        <v/>
      </c>
      <c r="Y309" s="27">
        <f>IF(OR(NOT(ISNUMBER($W309)),$AO309=1),"",$W309-(COUNTIFS($A$14:$A$1213,$A309,$F$14:$F$1213,"&gt;=0")+1)/2)</f>
        <v/>
      </c>
      <c r="Z309" s="27">
        <f>IF(ISNUMBER($V309),$A309&amp;"|"&amp;$V309,"")</f>
        <v/>
      </c>
      <c r="AA309" s="27">
        <f>IF(ISNUMBER($W309),$A309&amp;"|"&amp;$W309,"")</f>
        <v/>
      </c>
      <c r="AB309" s="27">
        <f>IF(ISNUMBER($F309),$A309&amp;"|"&amp;$F309,"")</f>
        <v/>
      </c>
      <c r="AC309" s="27">
        <f>IF(ISNUMBER($P309),COUNTIFS($A$14:$A$1213,$A309,$P$14:$P$1213,"&gt;"&amp;$P309)+(COUNTIFS($A$14:$A$1213,$A309,$P$14:$P$1213,"="&amp;$P309)+1)/2,"")</f>
        <v/>
      </c>
      <c r="AD309" s="27">
        <f>IF(ISNUMBER($Q309),COUNTIFS($A$14:$A$1213,$A309,$Q$14:$Q$1213,"&gt;"&amp;$Q309)+(COUNTIFS($A$14:$A$1213,$A309,$Q$14:$Q$1213,"="&amp;$Q309)+1)/2,"")</f>
        <v/>
      </c>
      <c r="AE309" s="27">
        <f>IF(ISNUMBER($R309),COUNTIFS($A$14:$A$1213,$A309,$R$14:$R$1213,"&gt;"&amp;$R309)+(COUNTIFS($A$14:$A$1213,$A309,$R$14:$R$1213,"="&amp;$R309)+1)/2,"")</f>
        <v/>
      </c>
      <c r="AF309" s="27">
        <f>IF(ISNUMBER($S309),COUNTIFS($A$14:$A$1213,$A309,$S$14:$S$1213,"&gt;"&amp;$S309)+(COUNTIFS($A$14:$A$1213,$A309,$S$14:$S$1213,"="&amp;$S309)+1)/2,"")</f>
        <v/>
      </c>
      <c r="AG309" s="27">
        <f>IF(ISNUMBER($T309),COUNTIFS($A$14:$A$1213,$A309,$T$14:$T$1213,"&gt;"&amp;$T309)+(COUNTIFS($A$14:$A$1213,$A309,$T$14:$T$1213,"="&amp;$T309)+1)/2,"")</f>
        <v/>
      </c>
      <c r="AH309" s="27">
        <f>IF(COUNT($AC309:$AG309)&lt;2,"",IF(MAX($AC309:$AG309)=MIN($AC309:$AG309),0,1))</f>
        <v/>
      </c>
      <c r="AI309" s="27">
        <f>IF($A309="","",IF(COUNTIF($A$14:$A309,$A309)=1,COUNTIF($AI$13:AI308,"&gt;0")+1,""))</f>
        <v/>
      </c>
      <c r="AJ309" s="27">
        <f>IF(OR($H309="",COUNTIFS($A$14:$A$1213,$H309,$F$14:$F$1213,"&gt;=0")&lt;2,COUNTIFS($A$14:$A$1213,$H309,$F$14:$F$1213,_xlfn.MAXIFS($F$14:$F$1213,$A$14:$A$1213,$H309))&gt;1),"",IFERROR(INDEX($D$14:$D$1213,MATCH($H309&amp;"|"&amp;_xlfn.MAXIFS($F$14:$F$1213,$A$14:$A$1213,$H309),$AB$14:$AB$1213,0)),""))</f>
        <v/>
      </c>
      <c r="AK309" s="27">
        <f>IF(OR($H309="",COUNTIFS($A$14:$A$1213,$H309,$F$14:$F$1213,"&gt;=0")&lt;2,COUNTIFS($A$14:$A$1213,$H309,$F$14:$F$1213,_xlfn.MAXIFS($F$14:$F$1213,$A$14:$A$1213,$H309))&gt;1),"",IFERROR(INDEX($E$14:$E$1213,MATCH($H309&amp;"|"&amp;_xlfn.MAXIFS($F$14:$F$1213,$A$14:$A$1213,$H309),$AB$14:$AB$1213,0)),""))</f>
        <v/>
      </c>
      <c r="AL309" s="27">
        <f>IF(OR($H309="",COUNTIFS($A$14:$A$1213,$H309,$F$14:$F$1213,"&gt;=0")&lt;2,COUNTIFS($A$14:$A$1213,$H309,$F$14:$F$1213,_xlfn.MAXIFS($F$14:$F$1213,$A$14:$A$1213,$H309))&gt;1),"",IFERROR(INDEX($D$14:$D$1213,MATCH($H309&amp;"|"&amp;_xlfn.MAXIFS($F$14:$F$1213,$A$14:$A$1213,$H309,$F$14:$F$1213,"&lt;"&amp;_xlfn.MAXIFS($F$14:$F$1213,$A$14:$A$1213,$H309)),$AB$14:$AB$1213,0)),""))</f>
        <v/>
      </c>
      <c r="AM309" s="27">
        <f>IF(OR($H309="",COUNTIFS($A$14:$A$1213,$H309,$F$14:$F$1213,"&gt;=0")&lt;2,COUNTIFS($A$14:$A$1213,$H309,$F$14:$F$1213,_xlfn.MAXIFS($F$14:$F$1213,$A$14:$A$1213,$H309))&gt;1),"",IFERROR(INDEX($E$14:$E$1213,MATCH($H309&amp;"|"&amp;_xlfn.MAXIFS($F$14:$F$1213,$A$14:$A$1213,$H309,$F$14:$F$1213,"&lt;"&amp;_xlfn.MAXIFS($F$14:$F$1213,$A$14:$A$1213,$H309)),$AB$14:$AB$1213,0)),""))</f>
        <v/>
      </c>
      <c r="AN309" s="27">
        <f>IF(OR(NOT(ISNUMBER($AJ309)),NOT(ISNUMBER($AL309)),$AK309=0,$AM309=0),"",IF(OR((($AJ309+$AL309)/($AK309+$AM309))&lt;=0,(($AJ309+$AL309)/($AK309+$AM309))&gt;=1),"",($AJ309/$AK309-$AL309/$AM309)/SQRT((($AJ309+$AL309)/($AK309+$AM309))*(1-(($AJ309+$AL309)/($AK309+$AM309)))*(1/$AK309+1/$AM309))))</f>
        <v/>
      </c>
      <c r="AO309" s="27">
        <f>IF($A309="","",IF(AND(COUNTIFS($A$14:$A$1213,$A309,$F$14:$F$1213,"&gt;=0")=2,IFERROR(INDEX($M$14:$M$313,MATCH($A309,$H$14:$H$313,0)),"Yes")&lt;&gt;"Yes"),1,0))</f>
        <v/>
      </c>
    </row>
    <row r="310" ht="24" customHeight="1">
      <c r="A310" s="19">
        <f>IF('Enter messages'!A310="","",'Enter messages'!A310)</f>
        <v/>
      </c>
      <c r="B310" s="20">
        <f>IF('Enter messages'!B310="","",'Enter messages'!B310)</f>
        <v/>
      </c>
      <c r="C310" s="21">
        <f>IFERROR(AVERAGE(P310:T310),"")</f>
        <v/>
      </c>
      <c r="D310" s="29" t="n"/>
      <c r="E310" s="29" t="n"/>
      <c r="F310" s="30">
        <f>IF(AND(ISNUMBER($D310),ISNUMBER($E310),$E310&gt;0,$D310&lt;=$E310),$D310/$E310,"")</f>
        <v/>
      </c>
      <c r="H310" s="19">
        <f>IFERROR(INDEX($A$14:$A$1213,MATCH(297,$AI$14:$AI$1213,0)),"")</f>
        <v/>
      </c>
      <c r="I310" s="24">
        <f>IF($H310="","",IF(COUNTIFS($A$14:$A$1213,$H310,$C$14:$C$1213,"&gt;=0")=0,"—",IFERROR(INDEX($B$14:$B$1213,MATCH($H310&amp;"|1",$Z$14:$Z$1213,0)),"(tied)")))</f>
        <v/>
      </c>
      <c r="J310" s="25">
        <f>IF($H310="","",IF(OR(COUNTIFS($A$14:$A$1213,$H310,$C$14:$C$1213,"&gt;=0")=0,COUNTIFS($A$14:$A$1213,$H310,$F$14:$F$1213,"&gt;=0")=0),"—",IF(OR(ISERROR(MATCH($H310&amp;"|1",$Z$14:$Z$1213,0)),ISERROR(MATCH($H310&amp;"|1",$AA$14:$AA$1213,0))),"Tie",IF(MATCH($H310&amp;"|1",$Z$14:$Z$1213,0)=MATCH($H310&amp;"|1",$AA$14:$AA$1213,0),"Hit","Miss"))))</f>
        <v/>
      </c>
      <c r="K310" s="24">
        <f>IF($H310="","",IF(COUNTIFS($A$14:$A$1213,$H310,$F$14:$F$1213,"&gt;=0")=0,"—",IFERROR(INDEX($B$14:$B$1213,MATCH($H310&amp;"|1",$AA$14:$AA$1213,0)),"(tied)")))</f>
        <v/>
      </c>
      <c r="L310" s="25">
        <f>IF($H310="","",IF((--(COUNTIFS($A$14:$A$1213,$H310,$P$14:$P$1213,"&gt;=0")&gt;0)+--(COUNTIFS($A$14:$A$1213,$H310,$Q$14:$Q$1213,"&gt;=0")&gt;0)+--(COUNTIFS($A$14:$A$1213,$H310,$R$14:$R$1213,"&gt;=0")&gt;0)+--(COUNTIFS($A$14:$A$1213,$H310,$S$14:$S$1213,"&gt;=0")&gt;0)+--(COUNTIFS($A$14:$A$1213,$H310,$T$14:$T$1213,"&gt;=0")&gt;0))&lt;2,"—",IF(SUMIFS($AH$14:$AH$1213,$A$14:$A$1213,$H310)=0,"Yes","No")))</f>
        <v/>
      </c>
      <c r="M310" s="25">
        <f>IF($H310="","",IF(COUNTIFS($A$14:$A$1213,$H310,$F$14:$F$1213,"&gt;=0")&lt;2,"—",IF(COUNTIFS($A$14:$A$1213,$H310,$F$14:$F$1213,_xlfn.MAXIFS($F$14:$F$1213,$A$14:$A$1213,$H310))&gt;1,"No",IF(NOT(ISNUMBER($AN310)),"—",IF((2*(1-NORMSDIST(ABS($AN310))))&lt;0.05,"Yes","No")))))</f>
        <v/>
      </c>
      <c r="N310" s="21">
        <f>IF($H310="","",IF(NOT(ISNUMBER($AN310)),"—",IF((2*(1-NORMSDIST(ABS($AN310))))&lt;0.001,"&lt;0.001",TEXT((2*(1-NORMSDIST(ABS($AN310)))),"0.000"))))</f>
        <v/>
      </c>
      <c r="P310" s="26" t="n"/>
      <c r="Q310" s="26" t="n"/>
      <c r="R310" s="26" t="n"/>
      <c r="S310" s="26" t="n"/>
      <c r="T310" s="26" t="n"/>
      <c r="V310" s="27">
        <f>IF(ISNUMBER($C310),COUNTIFS($A$14:$A$1213,$A310,$C$14:$C$1213,"&gt;"&amp;$C310)+(COUNTIFS($A$14:$A$1213,$A310,$C$14:$C$1213,"="&amp;$C310)+1)/2,"")</f>
        <v/>
      </c>
      <c r="W310" s="27">
        <f>IF(ISNUMBER($F310),COUNTIFS($A$14:$A$1213,$A310,$F$14:$F$1213,"&gt;"&amp;$F310)+(COUNTIFS($A$14:$A$1213,$A310,$F$14:$F$1213,"="&amp;$F310)+1)/2,"")</f>
        <v/>
      </c>
      <c r="X310" s="27">
        <f>IF(OR(NOT(ISNUMBER($V310)),$AO310=1),"",$V310-(COUNTIFS($A$14:$A$1213,$A310,$C$14:$C$1213,"&gt;=0")+1)/2)</f>
        <v/>
      </c>
      <c r="Y310" s="27">
        <f>IF(OR(NOT(ISNUMBER($W310)),$AO310=1),"",$W310-(COUNTIFS($A$14:$A$1213,$A310,$F$14:$F$1213,"&gt;=0")+1)/2)</f>
        <v/>
      </c>
      <c r="Z310" s="27">
        <f>IF(ISNUMBER($V310),$A310&amp;"|"&amp;$V310,"")</f>
        <v/>
      </c>
      <c r="AA310" s="27">
        <f>IF(ISNUMBER($W310),$A310&amp;"|"&amp;$W310,"")</f>
        <v/>
      </c>
      <c r="AB310" s="27">
        <f>IF(ISNUMBER($F310),$A310&amp;"|"&amp;$F310,"")</f>
        <v/>
      </c>
      <c r="AC310" s="27">
        <f>IF(ISNUMBER($P310),COUNTIFS($A$14:$A$1213,$A310,$P$14:$P$1213,"&gt;"&amp;$P310)+(COUNTIFS($A$14:$A$1213,$A310,$P$14:$P$1213,"="&amp;$P310)+1)/2,"")</f>
        <v/>
      </c>
      <c r="AD310" s="27">
        <f>IF(ISNUMBER($Q310),COUNTIFS($A$14:$A$1213,$A310,$Q$14:$Q$1213,"&gt;"&amp;$Q310)+(COUNTIFS($A$14:$A$1213,$A310,$Q$14:$Q$1213,"="&amp;$Q310)+1)/2,"")</f>
        <v/>
      </c>
      <c r="AE310" s="27">
        <f>IF(ISNUMBER($R310),COUNTIFS($A$14:$A$1213,$A310,$R$14:$R$1213,"&gt;"&amp;$R310)+(COUNTIFS($A$14:$A$1213,$A310,$R$14:$R$1213,"="&amp;$R310)+1)/2,"")</f>
        <v/>
      </c>
      <c r="AF310" s="27">
        <f>IF(ISNUMBER($S310),COUNTIFS($A$14:$A$1213,$A310,$S$14:$S$1213,"&gt;"&amp;$S310)+(COUNTIFS($A$14:$A$1213,$A310,$S$14:$S$1213,"="&amp;$S310)+1)/2,"")</f>
        <v/>
      </c>
      <c r="AG310" s="27">
        <f>IF(ISNUMBER($T310),COUNTIFS($A$14:$A$1213,$A310,$T$14:$T$1213,"&gt;"&amp;$T310)+(COUNTIFS($A$14:$A$1213,$A310,$T$14:$T$1213,"="&amp;$T310)+1)/2,"")</f>
        <v/>
      </c>
      <c r="AH310" s="27">
        <f>IF(COUNT($AC310:$AG310)&lt;2,"",IF(MAX($AC310:$AG310)=MIN($AC310:$AG310),0,1))</f>
        <v/>
      </c>
      <c r="AI310" s="27">
        <f>IF($A310="","",IF(COUNTIF($A$14:$A310,$A310)=1,COUNTIF($AI$13:AI309,"&gt;0")+1,""))</f>
        <v/>
      </c>
      <c r="AJ310" s="27">
        <f>IF(OR($H310="",COUNTIFS($A$14:$A$1213,$H310,$F$14:$F$1213,"&gt;=0")&lt;2,COUNTIFS($A$14:$A$1213,$H310,$F$14:$F$1213,_xlfn.MAXIFS($F$14:$F$1213,$A$14:$A$1213,$H310))&gt;1),"",IFERROR(INDEX($D$14:$D$1213,MATCH($H310&amp;"|"&amp;_xlfn.MAXIFS($F$14:$F$1213,$A$14:$A$1213,$H310),$AB$14:$AB$1213,0)),""))</f>
        <v/>
      </c>
      <c r="AK310" s="27">
        <f>IF(OR($H310="",COUNTIFS($A$14:$A$1213,$H310,$F$14:$F$1213,"&gt;=0")&lt;2,COUNTIFS($A$14:$A$1213,$H310,$F$14:$F$1213,_xlfn.MAXIFS($F$14:$F$1213,$A$14:$A$1213,$H310))&gt;1),"",IFERROR(INDEX($E$14:$E$1213,MATCH($H310&amp;"|"&amp;_xlfn.MAXIFS($F$14:$F$1213,$A$14:$A$1213,$H310),$AB$14:$AB$1213,0)),""))</f>
        <v/>
      </c>
      <c r="AL310" s="27">
        <f>IF(OR($H310="",COUNTIFS($A$14:$A$1213,$H310,$F$14:$F$1213,"&gt;=0")&lt;2,COUNTIFS($A$14:$A$1213,$H310,$F$14:$F$1213,_xlfn.MAXIFS($F$14:$F$1213,$A$14:$A$1213,$H310))&gt;1),"",IFERROR(INDEX($D$14:$D$1213,MATCH($H310&amp;"|"&amp;_xlfn.MAXIFS($F$14:$F$1213,$A$14:$A$1213,$H310,$F$14:$F$1213,"&lt;"&amp;_xlfn.MAXIFS($F$14:$F$1213,$A$14:$A$1213,$H310)),$AB$14:$AB$1213,0)),""))</f>
        <v/>
      </c>
      <c r="AM310" s="27">
        <f>IF(OR($H310="",COUNTIFS($A$14:$A$1213,$H310,$F$14:$F$1213,"&gt;=0")&lt;2,COUNTIFS($A$14:$A$1213,$H310,$F$14:$F$1213,_xlfn.MAXIFS($F$14:$F$1213,$A$14:$A$1213,$H310))&gt;1),"",IFERROR(INDEX($E$14:$E$1213,MATCH($H310&amp;"|"&amp;_xlfn.MAXIFS($F$14:$F$1213,$A$14:$A$1213,$H310,$F$14:$F$1213,"&lt;"&amp;_xlfn.MAXIFS($F$14:$F$1213,$A$14:$A$1213,$H310)),$AB$14:$AB$1213,0)),""))</f>
        <v/>
      </c>
      <c r="AN310" s="27">
        <f>IF(OR(NOT(ISNUMBER($AJ310)),NOT(ISNUMBER($AL310)),$AK310=0,$AM310=0),"",IF(OR((($AJ310+$AL310)/($AK310+$AM310))&lt;=0,(($AJ310+$AL310)/($AK310+$AM310))&gt;=1),"",($AJ310/$AK310-$AL310/$AM310)/SQRT((($AJ310+$AL310)/($AK310+$AM310))*(1-(($AJ310+$AL310)/($AK310+$AM310)))*(1/$AK310+1/$AM310))))</f>
        <v/>
      </c>
      <c r="AO310" s="27">
        <f>IF($A310="","",IF(AND(COUNTIFS($A$14:$A$1213,$A310,$F$14:$F$1213,"&gt;=0")=2,IFERROR(INDEX($M$14:$M$313,MATCH($A310,$H$14:$H$313,0)),"Yes")&lt;&gt;"Yes"),1,0))</f>
        <v/>
      </c>
    </row>
    <row r="311" ht="24" customHeight="1">
      <c r="A311" s="19">
        <f>IF('Enter messages'!A311="","",'Enter messages'!A311)</f>
        <v/>
      </c>
      <c r="B311" s="20">
        <f>IF('Enter messages'!B311="","",'Enter messages'!B311)</f>
        <v/>
      </c>
      <c r="C311" s="21">
        <f>IFERROR(AVERAGE(P311:T311),"")</f>
        <v/>
      </c>
      <c r="D311" s="29" t="n"/>
      <c r="E311" s="29" t="n"/>
      <c r="F311" s="30">
        <f>IF(AND(ISNUMBER($D311),ISNUMBER($E311),$E311&gt;0,$D311&lt;=$E311),$D311/$E311,"")</f>
        <v/>
      </c>
      <c r="H311" s="19">
        <f>IFERROR(INDEX($A$14:$A$1213,MATCH(298,$AI$14:$AI$1213,0)),"")</f>
        <v/>
      </c>
      <c r="I311" s="24">
        <f>IF($H311="","",IF(COUNTIFS($A$14:$A$1213,$H311,$C$14:$C$1213,"&gt;=0")=0,"—",IFERROR(INDEX($B$14:$B$1213,MATCH($H311&amp;"|1",$Z$14:$Z$1213,0)),"(tied)")))</f>
        <v/>
      </c>
      <c r="J311" s="25">
        <f>IF($H311="","",IF(OR(COUNTIFS($A$14:$A$1213,$H311,$C$14:$C$1213,"&gt;=0")=0,COUNTIFS($A$14:$A$1213,$H311,$F$14:$F$1213,"&gt;=0")=0),"—",IF(OR(ISERROR(MATCH($H311&amp;"|1",$Z$14:$Z$1213,0)),ISERROR(MATCH($H311&amp;"|1",$AA$14:$AA$1213,0))),"Tie",IF(MATCH($H311&amp;"|1",$Z$14:$Z$1213,0)=MATCH($H311&amp;"|1",$AA$14:$AA$1213,0),"Hit","Miss"))))</f>
        <v/>
      </c>
      <c r="K311" s="24">
        <f>IF($H311="","",IF(COUNTIFS($A$14:$A$1213,$H311,$F$14:$F$1213,"&gt;=0")=0,"—",IFERROR(INDEX($B$14:$B$1213,MATCH($H311&amp;"|1",$AA$14:$AA$1213,0)),"(tied)")))</f>
        <v/>
      </c>
      <c r="L311" s="25">
        <f>IF($H311="","",IF((--(COUNTIFS($A$14:$A$1213,$H311,$P$14:$P$1213,"&gt;=0")&gt;0)+--(COUNTIFS($A$14:$A$1213,$H311,$Q$14:$Q$1213,"&gt;=0")&gt;0)+--(COUNTIFS($A$14:$A$1213,$H311,$R$14:$R$1213,"&gt;=0")&gt;0)+--(COUNTIFS($A$14:$A$1213,$H311,$S$14:$S$1213,"&gt;=0")&gt;0)+--(COUNTIFS($A$14:$A$1213,$H311,$T$14:$T$1213,"&gt;=0")&gt;0))&lt;2,"—",IF(SUMIFS($AH$14:$AH$1213,$A$14:$A$1213,$H311)=0,"Yes","No")))</f>
        <v/>
      </c>
      <c r="M311" s="25">
        <f>IF($H311="","",IF(COUNTIFS($A$14:$A$1213,$H311,$F$14:$F$1213,"&gt;=0")&lt;2,"—",IF(COUNTIFS($A$14:$A$1213,$H311,$F$14:$F$1213,_xlfn.MAXIFS($F$14:$F$1213,$A$14:$A$1213,$H311))&gt;1,"No",IF(NOT(ISNUMBER($AN311)),"—",IF((2*(1-NORMSDIST(ABS($AN311))))&lt;0.05,"Yes","No")))))</f>
        <v/>
      </c>
      <c r="N311" s="21">
        <f>IF($H311="","",IF(NOT(ISNUMBER($AN311)),"—",IF((2*(1-NORMSDIST(ABS($AN311))))&lt;0.001,"&lt;0.001",TEXT((2*(1-NORMSDIST(ABS($AN311)))),"0.000"))))</f>
        <v/>
      </c>
      <c r="P311" s="26" t="n"/>
      <c r="Q311" s="26" t="n"/>
      <c r="R311" s="26" t="n"/>
      <c r="S311" s="26" t="n"/>
      <c r="T311" s="26" t="n"/>
      <c r="V311" s="27">
        <f>IF(ISNUMBER($C311),COUNTIFS($A$14:$A$1213,$A311,$C$14:$C$1213,"&gt;"&amp;$C311)+(COUNTIFS($A$14:$A$1213,$A311,$C$14:$C$1213,"="&amp;$C311)+1)/2,"")</f>
        <v/>
      </c>
      <c r="W311" s="27">
        <f>IF(ISNUMBER($F311),COUNTIFS($A$14:$A$1213,$A311,$F$14:$F$1213,"&gt;"&amp;$F311)+(COUNTIFS($A$14:$A$1213,$A311,$F$14:$F$1213,"="&amp;$F311)+1)/2,"")</f>
        <v/>
      </c>
      <c r="X311" s="27">
        <f>IF(OR(NOT(ISNUMBER($V311)),$AO311=1),"",$V311-(COUNTIFS($A$14:$A$1213,$A311,$C$14:$C$1213,"&gt;=0")+1)/2)</f>
        <v/>
      </c>
      <c r="Y311" s="27">
        <f>IF(OR(NOT(ISNUMBER($W311)),$AO311=1),"",$W311-(COUNTIFS($A$14:$A$1213,$A311,$F$14:$F$1213,"&gt;=0")+1)/2)</f>
        <v/>
      </c>
      <c r="Z311" s="27">
        <f>IF(ISNUMBER($V311),$A311&amp;"|"&amp;$V311,"")</f>
        <v/>
      </c>
      <c r="AA311" s="27">
        <f>IF(ISNUMBER($W311),$A311&amp;"|"&amp;$W311,"")</f>
        <v/>
      </c>
      <c r="AB311" s="27">
        <f>IF(ISNUMBER($F311),$A311&amp;"|"&amp;$F311,"")</f>
        <v/>
      </c>
      <c r="AC311" s="27">
        <f>IF(ISNUMBER($P311),COUNTIFS($A$14:$A$1213,$A311,$P$14:$P$1213,"&gt;"&amp;$P311)+(COUNTIFS($A$14:$A$1213,$A311,$P$14:$P$1213,"="&amp;$P311)+1)/2,"")</f>
        <v/>
      </c>
      <c r="AD311" s="27">
        <f>IF(ISNUMBER($Q311),COUNTIFS($A$14:$A$1213,$A311,$Q$14:$Q$1213,"&gt;"&amp;$Q311)+(COUNTIFS($A$14:$A$1213,$A311,$Q$14:$Q$1213,"="&amp;$Q311)+1)/2,"")</f>
        <v/>
      </c>
      <c r="AE311" s="27">
        <f>IF(ISNUMBER($R311),COUNTIFS($A$14:$A$1213,$A311,$R$14:$R$1213,"&gt;"&amp;$R311)+(COUNTIFS($A$14:$A$1213,$A311,$R$14:$R$1213,"="&amp;$R311)+1)/2,"")</f>
        <v/>
      </c>
      <c r="AF311" s="27">
        <f>IF(ISNUMBER($S311),COUNTIFS($A$14:$A$1213,$A311,$S$14:$S$1213,"&gt;"&amp;$S311)+(COUNTIFS($A$14:$A$1213,$A311,$S$14:$S$1213,"="&amp;$S311)+1)/2,"")</f>
        <v/>
      </c>
      <c r="AG311" s="27">
        <f>IF(ISNUMBER($T311),COUNTIFS($A$14:$A$1213,$A311,$T$14:$T$1213,"&gt;"&amp;$T311)+(COUNTIFS($A$14:$A$1213,$A311,$T$14:$T$1213,"="&amp;$T311)+1)/2,"")</f>
        <v/>
      </c>
      <c r="AH311" s="27">
        <f>IF(COUNT($AC311:$AG311)&lt;2,"",IF(MAX($AC311:$AG311)=MIN($AC311:$AG311),0,1))</f>
        <v/>
      </c>
      <c r="AI311" s="27">
        <f>IF($A311="","",IF(COUNTIF($A$14:$A311,$A311)=1,COUNTIF($AI$13:AI310,"&gt;0")+1,""))</f>
        <v/>
      </c>
      <c r="AJ311" s="27">
        <f>IF(OR($H311="",COUNTIFS($A$14:$A$1213,$H311,$F$14:$F$1213,"&gt;=0")&lt;2,COUNTIFS($A$14:$A$1213,$H311,$F$14:$F$1213,_xlfn.MAXIFS($F$14:$F$1213,$A$14:$A$1213,$H311))&gt;1),"",IFERROR(INDEX($D$14:$D$1213,MATCH($H311&amp;"|"&amp;_xlfn.MAXIFS($F$14:$F$1213,$A$14:$A$1213,$H311),$AB$14:$AB$1213,0)),""))</f>
        <v/>
      </c>
      <c r="AK311" s="27">
        <f>IF(OR($H311="",COUNTIFS($A$14:$A$1213,$H311,$F$14:$F$1213,"&gt;=0")&lt;2,COUNTIFS($A$14:$A$1213,$H311,$F$14:$F$1213,_xlfn.MAXIFS($F$14:$F$1213,$A$14:$A$1213,$H311))&gt;1),"",IFERROR(INDEX($E$14:$E$1213,MATCH($H311&amp;"|"&amp;_xlfn.MAXIFS($F$14:$F$1213,$A$14:$A$1213,$H311),$AB$14:$AB$1213,0)),""))</f>
        <v/>
      </c>
      <c r="AL311" s="27">
        <f>IF(OR($H311="",COUNTIFS($A$14:$A$1213,$H311,$F$14:$F$1213,"&gt;=0")&lt;2,COUNTIFS($A$14:$A$1213,$H311,$F$14:$F$1213,_xlfn.MAXIFS($F$14:$F$1213,$A$14:$A$1213,$H311))&gt;1),"",IFERROR(INDEX($D$14:$D$1213,MATCH($H311&amp;"|"&amp;_xlfn.MAXIFS($F$14:$F$1213,$A$14:$A$1213,$H311,$F$14:$F$1213,"&lt;"&amp;_xlfn.MAXIFS($F$14:$F$1213,$A$14:$A$1213,$H311)),$AB$14:$AB$1213,0)),""))</f>
        <v/>
      </c>
      <c r="AM311" s="27">
        <f>IF(OR($H311="",COUNTIFS($A$14:$A$1213,$H311,$F$14:$F$1213,"&gt;=0")&lt;2,COUNTIFS($A$14:$A$1213,$H311,$F$14:$F$1213,_xlfn.MAXIFS($F$14:$F$1213,$A$14:$A$1213,$H311))&gt;1),"",IFERROR(INDEX($E$14:$E$1213,MATCH($H311&amp;"|"&amp;_xlfn.MAXIFS($F$14:$F$1213,$A$14:$A$1213,$H311,$F$14:$F$1213,"&lt;"&amp;_xlfn.MAXIFS($F$14:$F$1213,$A$14:$A$1213,$H311)),$AB$14:$AB$1213,0)),""))</f>
        <v/>
      </c>
      <c r="AN311" s="27">
        <f>IF(OR(NOT(ISNUMBER($AJ311)),NOT(ISNUMBER($AL311)),$AK311=0,$AM311=0),"",IF(OR((($AJ311+$AL311)/($AK311+$AM311))&lt;=0,(($AJ311+$AL311)/($AK311+$AM311))&gt;=1),"",($AJ311/$AK311-$AL311/$AM311)/SQRT((($AJ311+$AL311)/($AK311+$AM311))*(1-(($AJ311+$AL311)/($AK311+$AM311)))*(1/$AK311+1/$AM311))))</f>
        <v/>
      </c>
      <c r="AO311" s="27">
        <f>IF($A311="","",IF(AND(COUNTIFS($A$14:$A$1213,$A311,$F$14:$F$1213,"&gt;=0")=2,IFERROR(INDEX($M$14:$M$313,MATCH($A311,$H$14:$H$313,0)),"Yes")&lt;&gt;"Yes"),1,0))</f>
        <v/>
      </c>
    </row>
    <row r="312" ht="24" customHeight="1">
      <c r="A312" s="19">
        <f>IF('Enter messages'!A312="","",'Enter messages'!A312)</f>
        <v/>
      </c>
      <c r="B312" s="20">
        <f>IF('Enter messages'!B312="","",'Enter messages'!B312)</f>
        <v/>
      </c>
      <c r="C312" s="21">
        <f>IFERROR(AVERAGE(P312:T312),"")</f>
        <v/>
      </c>
      <c r="D312" s="29" t="n"/>
      <c r="E312" s="29" t="n"/>
      <c r="F312" s="30">
        <f>IF(AND(ISNUMBER($D312),ISNUMBER($E312),$E312&gt;0,$D312&lt;=$E312),$D312/$E312,"")</f>
        <v/>
      </c>
      <c r="H312" s="19">
        <f>IFERROR(INDEX($A$14:$A$1213,MATCH(299,$AI$14:$AI$1213,0)),"")</f>
        <v/>
      </c>
      <c r="I312" s="24">
        <f>IF($H312="","",IF(COUNTIFS($A$14:$A$1213,$H312,$C$14:$C$1213,"&gt;=0")=0,"—",IFERROR(INDEX($B$14:$B$1213,MATCH($H312&amp;"|1",$Z$14:$Z$1213,0)),"(tied)")))</f>
        <v/>
      </c>
      <c r="J312" s="25">
        <f>IF($H312="","",IF(OR(COUNTIFS($A$14:$A$1213,$H312,$C$14:$C$1213,"&gt;=0")=0,COUNTIFS($A$14:$A$1213,$H312,$F$14:$F$1213,"&gt;=0")=0),"—",IF(OR(ISERROR(MATCH($H312&amp;"|1",$Z$14:$Z$1213,0)),ISERROR(MATCH($H312&amp;"|1",$AA$14:$AA$1213,0))),"Tie",IF(MATCH($H312&amp;"|1",$Z$14:$Z$1213,0)=MATCH($H312&amp;"|1",$AA$14:$AA$1213,0),"Hit","Miss"))))</f>
        <v/>
      </c>
      <c r="K312" s="24">
        <f>IF($H312="","",IF(COUNTIFS($A$14:$A$1213,$H312,$F$14:$F$1213,"&gt;=0")=0,"—",IFERROR(INDEX($B$14:$B$1213,MATCH($H312&amp;"|1",$AA$14:$AA$1213,0)),"(tied)")))</f>
        <v/>
      </c>
      <c r="L312" s="25">
        <f>IF($H312="","",IF((--(COUNTIFS($A$14:$A$1213,$H312,$P$14:$P$1213,"&gt;=0")&gt;0)+--(COUNTIFS($A$14:$A$1213,$H312,$Q$14:$Q$1213,"&gt;=0")&gt;0)+--(COUNTIFS($A$14:$A$1213,$H312,$R$14:$R$1213,"&gt;=0")&gt;0)+--(COUNTIFS($A$14:$A$1213,$H312,$S$14:$S$1213,"&gt;=0")&gt;0)+--(COUNTIFS($A$14:$A$1213,$H312,$T$14:$T$1213,"&gt;=0")&gt;0))&lt;2,"—",IF(SUMIFS($AH$14:$AH$1213,$A$14:$A$1213,$H312)=0,"Yes","No")))</f>
        <v/>
      </c>
      <c r="M312" s="25">
        <f>IF($H312="","",IF(COUNTIFS($A$14:$A$1213,$H312,$F$14:$F$1213,"&gt;=0")&lt;2,"—",IF(COUNTIFS($A$14:$A$1213,$H312,$F$14:$F$1213,_xlfn.MAXIFS($F$14:$F$1213,$A$14:$A$1213,$H312))&gt;1,"No",IF(NOT(ISNUMBER($AN312)),"—",IF((2*(1-NORMSDIST(ABS($AN312))))&lt;0.05,"Yes","No")))))</f>
        <v/>
      </c>
      <c r="N312" s="21">
        <f>IF($H312="","",IF(NOT(ISNUMBER($AN312)),"—",IF((2*(1-NORMSDIST(ABS($AN312))))&lt;0.001,"&lt;0.001",TEXT((2*(1-NORMSDIST(ABS($AN312)))),"0.000"))))</f>
        <v/>
      </c>
      <c r="P312" s="26" t="n"/>
      <c r="Q312" s="26" t="n"/>
      <c r="R312" s="26" t="n"/>
      <c r="S312" s="26" t="n"/>
      <c r="T312" s="26" t="n"/>
      <c r="V312" s="27">
        <f>IF(ISNUMBER($C312),COUNTIFS($A$14:$A$1213,$A312,$C$14:$C$1213,"&gt;"&amp;$C312)+(COUNTIFS($A$14:$A$1213,$A312,$C$14:$C$1213,"="&amp;$C312)+1)/2,"")</f>
        <v/>
      </c>
      <c r="W312" s="27">
        <f>IF(ISNUMBER($F312),COUNTIFS($A$14:$A$1213,$A312,$F$14:$F$1213,"&gt;"&amp;$F312)+(COUNTIFS($A$14:$A$1213,$A312,$F$14:$F$1213,"="&amp;$F312)+1)/2,"")</f>
        <v/>
      </c>
      <c r="X312" s="27">
        <f>IF(OR(NOT(ISNUMBER($V312)),$AO312=1),"",$V312-(COUNTIFS($A$14:$A$1213,$A312,$C$14:$C$1213,"&gt;=0")+1)/2)</f>
        <v/>
      </c>
      <c r="Y312" s="27">
        <f>IF(OR(NOT(ISNUMBER($W312)),$AO312=1),"",$W312-(COUNTIFS($A$14:$A$1213,$A312,$F$14:$F$1213,"&gt;=0")+1)/2)</f>
        <v/>
      </c>
      <c r="Z312" s="27">
        <f>IF(ISNUMBER($V312),$A312&amp;"|"&amp;$V312,"")</f>
        <v/>
      </c>
      <c r="AA312" s="27">
        <f>IF(ISNUMBER($W312),$A312&amp;"|"&amp;$W312,"")</f>
        <v/>
      </c>
      <c r="AB312" s="27">
        <f>IF(ISNUMBER($F312),$A312&amp;"|"&amp;$F312,"")</f>
        <v/>
      </c>
      <c r="AC312" s="27">
        <f>IF(ISNUMBER($P312),COUNTIFS($A$14:$A$1213,$A312,$P$14:$P$1213,"&gt;"&amp;$P312)+(COUNTIFS($A$14:$A$1213,$A312,$P$14:$P$1213,"="&amp;$P312)+1)/2,"")</f>
        <v/>
      </c>
      <c r="AD312" s="27">
        <f>IF(ISNUMBER($Q312),COUNTIFS($A$14:$A$1213,$A312,$Q$14:$Q$1213,"&gt;"&amp;$Q312)+(COUNTIFS($A$14:$A$1213,$A312,$Q$14:$Q$1213,"="&amp;$Q312)+1)/2,"")</f>
        <v/>
      </c>
      <c r="AE312" s="27">
        <f>IF(ISNUMBER($R312),COUNTIFS($A$14:$A$1213,$A312,$R$14:$R$1213,"&gt;"&amp;$R312)+(COUNTIFS($A$14:$A$1213,$A312,$R$14:$R$1213,"="&amp;$R312)+1)/2,"")</f>
        <v/>
      </c>
      <c r="AF312" s="27">
        <f>IF(ISNUMBER($S312),COUNTIFS($A$14:$A$1213,$A312,$S$14:$S$1213,"&gt;"&amp;$S312)+(COUNTIFS($A$14:$A$1213,$A312,$S$14:$S$1213,"="&amp;$S312)+1)/2,"")</f>
        <v/>
      </c>
      <c r="AG312" s="27">
        <f>IF(ISNUMBER($T312),COUNTIFS($A$14:$A$1213,$A312,$T$14:$T$1213,"&gt;"&amp;$T312)+(COUNTIFS($A$14:$A$1213,$A312,$T$14:$T$1213,"="&amp;$T312)+1)/2,"")</f>
        <v/>
      </c>
      <c r="AH312" s="27">
        <f>IF(COUNT($AC312:$AG312)&lt;2,"",IF(MAX($AC312:$AG312)=MIN($AC312:$AG312),0,1))</f>
        <v/>
      </c>
      <c r="AI312" s="27">
        <f>IF($A312="","",IF(COUNTIF($A$14:$A312,$A312)=1,COUNTIF($AI$13:AI311,"&gt;0")+1,""))</f>
        <v/>
      </c>
      <c r="AJ312" s="27">
        <f>IF(OR($H312="",COUNTIFS($A$14:$A$1213,$H312,$F$14:$F$1213,"&gt;=0")&lt;2,COUNTIFS($A$14:$A$1213,$H312,$F$14:$F$1213,_xlfn.MAXIFS($F$14:$F$1213,$A$14:$A$1213,$H312))&gt;1),"",IFERROR(INDEX($D$14:$D$1213,MATCH($H312&amp;"|"&amp;_xlfn.MAXIFS($F$14:$F$1213,$A$14:$A$1213,$H312),$AB$14:$AB$1213,0)),""))</f>
        <v/>
      </c>
      <c r="AK312" s="27">
        <f>IF(OR($H312="",COUNTIFS($A$14:$A$1213,$H312,$F$14:$F$1213,"&gt;=0")&lt;2,COUNTIFS($A$14:$A$1213,$H312,$F$14:$F$1213,_xlfn.MAXIFS($F$14:$F$1213,$A$14:$A$1213,$H312))&gt;1),"",IFERROR(INDEX($E$14:$E$1213,MATCH($H312&amp;"|"&amp;_xlfn.MAXIFS($F$14:$F$1213,$A$14:$A$1213,$H312),$AB$14:$AB$1213,0)),""))</f>
        <v/>
      </c>
      <c r="AL312" s="27">
        <f>IF(OR($H312="",COUNTIFS($A$14:$A$1213,$H312,$F$14:$F$1213,"&gt;=0")&lt;2,COUNTIFS($A$14:$A$1213,$H312,$F$14:$F$1213,_xlfn.MAXIFS($F$14:$F$1213,$A$14:$A$1213,$H312))&gt;1),"",IFERROR(INDEX($D$14:$D$1213,MATCH($H312&amp;"|"&amp;_xlfn.MAXIFS($F$14:$F$1213,$A$14:$A$1213,$H312,$F$14:$F$1213,"&lt;"&amp;_xlfn.MAXIFS($F$14:$F$1213,$A$14:$A$1213,$H312)),$AB$14:$AB$1213,0)),""))</f>
        <v/>
      </c>
      <c r="AM312" s="27">
        <f>IF(OR($H312="",COUNTIFS($A$14:$A$1213,$H312,$F$14:$F$1213,"&gt;=0")&lt;2,COUNTIFS($A$14:$A$1213,$H312,$F$14:$F$1213,_xlfn.MAXIFS($F$14:$F$1213,$A$14:$A$1213,$H312))&gt;1),"",IFERROR(INDEX($E$14:$E$1213,MATCH($H312&amp;"|"&amp;_xlfn.MAXIFS($F$14:$F$1213,$A$14:$A$1213,$H312,$F$14:$F$1213,"&lt;"&amp;_xlfn.MAXIFS($F$14:$F$1213,$A$14:$A$1213,$H312)),$AB$14:$AB$1213,0)),""))</f>
        <v/>
      </c>
      <c r="AN312" s="27">
        <f>IF(OR(NOT(ISNUMBER($AJ312)),NOT(ISNUMBER($AL312)),$AK312=0,$AM312=0),"",IF(OR((($AJ312+$AL312)/($AK312+$AM312))&lt;=0,(($AJ312+$AL312)/($AK312+$AM312))&gt;=1),"",($AJ312/$AK312-$AL312/$AM312)/SQRT((($AJ312+$AL312)/($AK312+$AM312))*(1-(($AJ312+$AL312)/($AK312+$AM312)))*(1/$AK312+1/$AM312))))</f>
        <v/>
      </c>
      <c r="AO312" s="27">
        <f>IF($A312="","",IF(AND(COUNTIFS($A$14:$A$1213,$A312,$F$14:$F$1213,"&gt;=0")=2,IFERROR(INDEX($M$14:$M$313,MATCH($A312,$H$14:$H$313,0)),"Yes")&lt;&gt;"Yes"),1,0))</f>
        <v/>
      </c>
    </row>
    <row r="313" ht="24" customHeight="1">
      <c r="A313" s="19">
        <f>IF('Enter messages'!A313="","",'Enter messages'!A313)</f>
        <v/>
      </c>
      <c r="B313" s="20">
        <f>IF('Enter messages'!B313="","",'Enter messages'!B313)</f>
        <v/>
      </c>
      <c r="C313" s="21">
        <f>IFERROR(AVERAGE(P313:T313),"")</f>
        <v/>
      </c>
      <c r="D313" s="29" t="n"/>
      <c r="E313" s="29" t="n"/>
      <c r="F313" s="30">
        <f>IF(AND(ISNUMBER($D313),ISNUMBER($E313),$E313&gt;0,$D313&lt;=$E313),$D313/$E313,"")</f>
        <v/>
      </c>
      <c r="H313" s="19">
        <f>IFERROR(INDEX($A$14:$A$1213,MATCH(300,$AI$14:$AI$1213,0)),"")</f>
        <v/>
      </c>
      <c r="I313" s="24">
        <f>IF($H313="","",IF(COUNTIFS($A$14:$A$1213,$H313,$C$14:$C$1213,"&gt;=0")=0,"—",IFERROR(INDEX($B$14:$B$1213,MATCH($H313&amp;"|1",$Z$14:$Z$1213,0)),"(tied)")))</f>
        <v/>
      </c>
      <c r="J313" s="25">
        <f>IF($H313="","",IF(OR(COUNTIFS($A$14:$A$1213,$H313,$C$14:$C$1213,"&gt;=0")=0,COUNTIFS($A$14:$A$1213,$H313,$F$14:$F$1213,"&gt;=0")=0),"—",IF(OR(ISERROR(MATCH($H313&amp;"|1",$Z$14:$Z$1213,0)),ISERROR(MATCH($H313&amp;"|1",$AA$14:$AA$1213,0))),"Tie",IF(MATCH($H313&amp;"|1",$Z$14:$Z$1213,0)=MATCH($H313&amp;"|1",$AA$14:$AA$1213,0),"Hit","Miss"))))</f>
        <v/>
      </c>
      <c r="K313" s="24">
        <f>IF($H313="","",IF(COUNTIFS($A$14:$A$1213,$H313,$F$14:$F$1213,"&gt;=0")=0,"—",IFERROR(INDEX($B$14:$B$1213,MATCH($H313&amp;"|1",$AA$14:$AA$1213,0)),"(tied)")))</f>
        <v/>
      </c>
      <c r="L313" s="25">
        <f>IF($H313="","",IF((--(COUNTIFS($A$14:$A$1213,$H313,$P$14:$P$1213,"&gt;=0")&gt;0)+--(COUNTIFS($A$14:$A$1213,$H313,$Q$14:$Q$1213,"&gt;=0")&gt;0)+--(COUNTIFS($A$14:$A$1213,$H313,$R$14:$R$1213,"&gt;=0")&gt;0)+--(COUNTIFS($A$14:$A$1213,$H313,$S$14:$S$1213,"&gt;=0")&gt;0)+--(COUNTIFS($A$14:$A$1213,$H313,$T$14:$T$1213,"&gt;=0")&gt;0))&lt;2,"—",IF(SUMIFS($AH$14:$AH$1213,$A$14:$A$1213,$H313)=0,"Yes","No")))</f>
        <v/>
      </c>
      <c r="M313" s="25">
        <f>IF($H313="","",IF(COUNTIFS($A$14:$A$1213,$H313,$F$14:$F$1213,"&gt;=0")&lt;2,"—",IF(COUNTIFS($A$14:$A$1213,$H313,$F$14:$F$1213,_xlfn.MAXIFS($F$14:$F$1213,$A$14:$A$1213,$H313))&gt;1,"No",IF(NOT(ISNUMBER($AN313)),"—",IF((2*(1-NORMSDIST(ABS($AN313))))&lt;0.05,"Yes","No")))))</f>
        <v/>
      </c>
      <c r="N313" s="21">
        <f>IF($H313="","",IF(NOT(ISNUMBER($AN313)),"—",IF((2*(1-NORMSDIST(ABS($AN313))))&lt;0.001,"&lt;0.001",TEXT((2*(1-NORMSDIST(ABS($AN313)))),"0.000"))))</f>
        <v/>
      </c>
      <c r="P313" s="26" t="n"/>
      <c r="Q313" s="26" t="n"/>
      <c r="R313" s="26" t="n"/>
      <c r="S313" s="26" t="n"/>
      <c r="T313" s="26" t="n"/>
      <c r="V313" s="27">
        <f>IF(ISNUMBER($C313),COUNTIFS($A$14:$A$1213,$A313,$C$14:$C$1213,"&gt;"&amp;$C313)+(COUNTIFS($A$14:$A$1213,$A313,$C$14:$C$1213,"="&amp;$C313)+1)/2,"")</f>
        <v/>
      </c>
      <c r="W313" s="27">
        <f>IF(ISNUMBER($F313),COUNTIFS($A$14:$A$1213,$A313,$F$14:$F$1213,"&gt;"&amp;$F313)+(COUNTIFS($A$14:$A$1213,$A313,$F$14:$F$1213,"="&amp;$F313)+1)/2,"")</f>
        <v/>
      </c>
      <c r="X313" s="27">
        <f>IF(OR(NOT(ISNUMBER($V313)),$AO313=1),"",$V313-(COUNTIFS($A$14:$A$1213,$A313,$C$14:$C$1213,"&gt;=0")+1)/2)</f>
        <v/>
      </c>
      <c r="Y313" s="27">
        <f>IF(OR(NOT(ISNUMBER($W313)),$AO313=1),"",$W313-(COUNTIFS($A$14:$A$1213,$A313,$F$14:$F$1213,"&gt;=0")+1)/2)</f>
        <v/>
      </c>
      <c r="Z313" s="27">
        <f>IF(ISNUMBER($V313),$A313&amp;"|"&amp;$V313,"")</f>
        <v/>
      </c>
      <c r="AA313" s="27">
        <f>IF(ISNUMBER($W313),$A313&amp;"|"&amp;$W313,"")</f>
        <v/>
      </c>
      <c r="AB313" s="27">
        <f>IF(ISNUMBER($F313),$A313&amp;"|"&amp;$F313,"")</f>
        <v/>
      </c>
      <c r="AC313" s="27">
        <f>IF(ISNUMBER($P313),COUNTIFS($A$14:$A$1213,$A313,$P$14:$P$1213,"&gt;"&amp;$P313)+(COUNTIFS($A$14:$A$1213,$A313,$P$14:$P$1213,"="&amp;$P313)+1)/2,"")</f>
        <v/>
      </c>
      <c r="AD313" s="27">
        <f>IF(ISNUMBER($Q313),COUNTIFS($A$14:$A$1213,$A313,$Q$14:$Q$1213,"&gt;"&amp;$Q313)+(COUNTIFS($A$14:$A$1213,$A313,$Q$14:$Q$1213,"="&amp;$Q313)+1)/2,"")</f>
        <v/>
      </c>
      <c r="AE313" s="27">
        <f>IF(ISNUMBER($R313),COUNTIFS($A$14:$A$1213,$A313,$R$14:$R$1213,"&gt;"&amp;$R313)+(COUNTIFS($A$14:$A$1213,$A313,$R$14:$R$1213,"="&amp;$R313)+1)/2,"")</f>
        <v/>
      </c>
      <c r="AF313" s="27">
        <f>IF(ISNUMBER($S313),COUNTIFS($A$14:$A$1213,$A313,$S$14:$S$1213,"&gt;"&amp;$S313)+(COUNTIFS($A$14:$A$1213,$A313,$S$14:$S$1213,"="&amp;$S313)+1)/2,"")</f>
        <v/>
      </c>
      <c r="AG313" s="27">
        <f>IF(ISNUMBER($T313),COUNTIFS($A$14:$A$1213,$A313,$T$14:$T$1213,"&gt;"&amp;$T313)+(COUNTIFS($A$14:$A$1213,$A313,$T$14:$T$1213,"="&amp;$T313)+1)/2,"")</f>
        <v/>
      </c>
      <c r="AH313" s="27">
        <f>IF(COUNT($AC313:$AG313)&lt;2,"",IF(MAX($AC313:$AG313)=MIN($AC313:$AG313),0,1))</f>
        <v/>
      </c>
      <c r="AI313" s="27">
        <f>IF($A313="","",IF(COUNTIF($A$14:$A313,$A313)=1,COUNTIF($AI$13:AI312,"&gt;0")+1,""))</f>
        <v/>
      </c>
      <c r="AJ313" s="27">
        <f>IF(OR($H313="",COUNTIFS($A$14:$A$1213,$H313,$F$14:$F$1213,"&gt;=0")&lt;2,COUNTIFS($A$14:$A$1213,$H313,$F$14:$F$1213,_xlfn.MAXIFS($F$14:$F$1213,$A$14:$A$1213,$H313))&gt;1),"",IFERROR(INDEX($D$14:$D$1213,MATCH($H313&amp;"|"&amp;_xlfn.MAXIFS($F$14:$F$1213,$A$14:$A$1213,$H313),$AB$14:$AB$1213,0)),""))</f>
        <v/>
      </c>
      <c r="AK313" s="27">
        <f>IF(OR($H313="",COUNTIFS($A$14:$A$1213,$H313,$F$14:$F$1213,"&gt;=0")&lt;2,COUNTIFS($A$14:$A$1213,$H313,$F$14:$F$1213,_xlfn.MAXIFS($F$14:$F$1213,$A$14:$A$1213,$H313))&gt;1),"",IFERROR(INDEX($E$14:$E$1213,MATCH($H313&amp;"|"&amp;_xlfn.MAXIFS($F$14:$F$1213,$A$14:$A$1213,$H313),$AB$14:$AB$1213,0)),""))</f>
        <v/>
      </c>
      <c r="AL313" s="27">
        <f>IF(OR($H313="",COUNTIFS($A$14:$A$1213,$H313,$F$14:$F$1213,"&gt;=0")&lt;2,COUNTIFS($A$14:$A$1213,$H313,$F$14:$F$1213,_xlfn.MAXIFS($F$14:$F$1213,$A$14:$A$1213,$H313))&gt;1),"",IFERROR(INDEX($D$14:$D$1213,MATCH($H313&amp;"|"&amp;_xlfn.MAXIFS($F$14:$F$1213,$A$14:$A$1213,$H313,$F$14:$F$1213,"&lt;"&amp;_xlfn.MAXIFS($F$14:$F$1213,$A$14:$A$1213,$H313)),$AB$14:$AB$1213,0)),""))</f>
        <v/>
      </c>
      <c r="AM313" s="27">
        <f>IF(OR($H313="",COUNTIFS($A$14:$A$1213,$H313,$F$14:$F$1213,"&gt;=0")&lt;2,COUNTIFS($A$14:$A$1213,$H313,$F$14:$F$1213,_xlfn.MAXIFS($F$14:$F$1213,$A$14:$A$1213,$H313))&gt;1),"",IFERROR(INDEX($E$14:$E$1213,MATCH($H313&amp;"|"&amp;_xlfn.MAXIFS($F$14:$F$1213,$A$14:$A$1213,$H313,$F$14:$F$1213,"&lt;"&amp;_xlfn.MAXIFS($F$14:$F$1213,$A$14:$A$1213,$H313)),$AB$14:$AB$1213,0)),""))</f>
        <v/>
      </c>
      <c r="AN313" s="27">
        <f>IF(OR(NOT(ISNUMBER($AJ313)),NOT(ISNUMBER($AL313)),$AK313=0,$AM313=0),"",IF(OR((($AJ313+$AL313)/($AK313+$AM313))&lt;=0,(($AJ313+$AL313)/($AK313+$AM313))&gt;=1),"",($AJ313/$AK313-$AL313/$AM313)/SQRT((($AJ313+$AL313)/($AK313+$AM313))*(1-(($AJ313+$AL313)/($AK313+$AM313)))*(1/$AK313+1/$AM313))))</f>
        <v/>
      </c>
      <c r="AO313" s="27">
        <f>IF($A313="","",IF(AND(COUNTIFS($A$14:$A$1213,$A313,$F$14:$F$1213,"&gt;=0")=2,IFERROR(INDEX($M$14:$M$313,MATCH($A313,$H$14:$H$313,0)),"Yes")&lt;&gt;"Yes"),1,0))</f>
        <v/>
      </c>
    </row>
    <row r="314">
      <c r="A314" s="19">
        <f>IF('Enter messages'!A314="","",'Enter messages'!A314)</f>
        <v/>
      </c>
      <c r="B314" s="20">
        <f>IF('Enter messages'!B314="","",'Enter messages'!B314)</f>
        <v/>
      </c>
      <c r="C314" s="21">
        <f>IFERROR(AVERAGE(P314:T314),"")</f>
        <v/>
      </c>
      <c r="D314" s="29" t="n"/>
      <c r="E314" s="29" t="n"/>
      <c r="F314" s="30">
        <f>IF(AND(ISNUMBER($D314),ISNUMBER($E314),$E314&gt;0,$D314&lt;=$E314),$D314/$E314,"")</f>
        <v/>
      </c>
      <c r="P314" s="26" t="n"/>
      <c r="Q314" s="26" t="n"/>
      <c r="R314" s="26" t="n"/>
      <c r="S314" s="26" t="n"/>
      <c r="T314" s="26" t="n"/>
      <c r="V314" s="27">
        <f>IF(ISNUMBER($C314),COUNTIFS($A$14:$A$1213,$A314,$C$14:$C$1213,"&gt;"&amp;$C314)+(COUNTIFS($A$14:$A$1213,$A314,$C$14:$C$1213,"="&amp;$C314)+1)/2,"")</f>
        <v/>
      </c>
      <c r="W314" s="27">
        <f>IF(ISNUMBER($F314),COUNTIFS($A$14:$A$1213,$A314,$F$14:$F$1213,"&gt;"&amp;$F314)+(COUNTIFS($A$14:$A$1213,$A314,$F$14:$F$1213,"="&amp;$F314)+1)/2,"")</f>
        <v/>
      </c>
      <c r="X314" s="27">
        <f>IF(OR(NOT(ISNUMBER($V314)),$AO314=1),"",$V314-(COUNTIFS($A$14:$A$1213,$A314,$C$14:$C$1213,"&gt;=0")+1)/2)</f>
        <v/>
      </c>
      <c r="Y314" s="27">
        <f>IF(OR(NOT(ISNUMBER($W314)),$AO314=1),"",$W314-(COUNTIFS($A$14:$A$1213,$A314,$F$14:$F$1213,"&gt;=0")+1)/2)</f>
        <v/>
      </c>
      <c r="Z314" s="27">
        <f>IF(ISNUMBER($V314),$A314&amp;"|"&amp;$V314,"")</f>
        <v/>
      </c>
      <c r="AA314" s="27">
        <f>IF(ISNUMBER($W314),$A314&amp;"|"&amp;$W314,"")</f>
        <v/>
      </c>
      <c r="AB314" s="27">
        <f>IF(ISNUMBER($F314),$A314&amp;"|"&amp;$F314,"")</f>
        <v/>
      </c>
      <c r="AC314" s="27">
        <f>IF(ISNUMBER($P314),COUNTIFS($A$14:$A$1213,$A314,$P$14:$P$1213,"&gt;"&amp;$P314)+(COUNTIFS($A$14:$A$1213,$A314,$P$14:$P$1213,"="&amp;$P314)+1)/2,"")</f>
        <v/>
      </c>
      <c r="AD314" s="27">
        <f>IF(ISNUMBER($Q314),COUNTIFS($A$14:$A$1213,$A314,$Q$14:$Q$1213,"&gt;"&amp;$Q314)+(COUNTIFS($A$14:$A$1213,$A314,$Q$14:$Q$1213,"="&amp;$Q314)+1)/2,"")</f>
        <v/>
      </c>
      <c r="AE314" s="27">
        <f>IF(ISNUMBER($R314),COUNTIFS($A$14:$A$1213,$A314,$R$14:$R$1213,"&gt;"&amp;$R314)+(COUNTIFS($A$14:$A$1213,$A314,$R$14:$R$1213,"="&amp;$R314)+1)/2,"")</f>
        <v/>
      </c>
      <c r="AF314" s="27">
        <f>IF(ISNUMBER($S314),COUNTIFS($A$14:$A$1213,$A314,$S$14:$S$1213,"&gt;"&amp;$S314)+(COUNTIFS($A$14:$A$1213,$A314,$S$14:$S$1213,"="&amp;$S314)+1)/2,"")</f>
        <v/>
      </c>
      <c r="AG314" s="27">
        <f>IF(ISNUMBER($T314),COUNTIFS($A$14:$A$1213,$A314,$T$14:$T$1213,"&gt;"&amp;$T314)+(COUNTIFS($A$14:$A$1213,$A314,$T$14:$T$1213,"="&amp;$T314)+1)/2,"")</f>
        <v/>
      </c>
      <c r="AH314" s="27">
        <f>IF(COUNT($AC314:$AG314)&lt;2,"",IF(MAX($AC314:$AG314)=MIN($AC314:$AG314),0,1))</f>
        <v/>
      </c>
      <c r="AI314" s="27">
        <f>IF($A314="","",IF(COUNTIF($A$14:$A314,$A314)=1,COUNTIF($AI$13:AI313,"&gt;0")+1,""))</f>
        <v/>
      </c>
      <c r="AO314" s="27">
        <f>IF($A314="","",IF(AND(COUNTIFS($A$14:$A$1213,$A314,$F$14:$F$1213,"&gt;=0")=2,IFERROR(INDEX($M$14:$M$313,MATCH($A314,$H$14:$H$313,0)),"Yes")&lt;&gt;"Yes"),1,0))</f>
        <v/>
      </c>
    </row>
    <row r="315">
      <c r="A315" s="19">
        <f>IF('Enter messages'!A315="","",'Enter messages'!A315)</f>
        <v/>
      </c>
      <c r="B315" s="20">
        <f>IF('Enter messages'!B315="","",'Enter messages'!B315)</f>
        <v/>
      </c>
      <c r="C315" s="21">
        <f>IFERROR(AVERAGE(P315:T315),"")</f>
        <v/>
      </c>
      <c r="D315" s="29" t="n"/>
      <c r="E315" s="29" t="n"/>
      <c r="F315" s="30">
        <f>IF(AND(ISNUMBER($D315),ISNUMBER($E315),$E315&gt;0,$D315&lt;=$E315),$D315/$E315,"")</f>
        <v/>
      </c>
      <c r="P315" s="26" t="n"/>
      <c r="Q315" s="26" t="n"/>
      <c r="R315" s="26" t="n"/>
      <c r="S315" s="26" t="n"/>
      <c r="T315" s="26" t="n"/>
      <c r="V315" s="27">
        <f>IF(ISNUMBER($C315),COUNTIFS($A$14:$A$1213,$A315,$C$14:$C$1213,"&gt;"&amp;$C315)+(COUNTIFS($A$14:$A$1213,$A315,$C$14:$C$1213,"="&amp;$C315)+1)/2,"")</f>
        <v/>
      </c>
      <c r="W315" s="27">
        <f>IF(ISNUMBER($F315),COUNTIFS($A$14:$A$1213,$A315,$F$14:$F$1213,"&gt;"&amp;$F315)+(COUNTIFS($A$14:$A$1213,$A315,$F$14:$F$1213,"="&amp;$F315)+1)/2,"")</f>
        <v/>
      </c>
      <c r="X315" s="27">
        <f>IF(OR(NOT(ISNUMBER($V315)),$AO315=1),"",$V315-(COUNTIFS($A$14:$A$1213,$A315,$C$14:$C$1213,"&gt;=0")+1)/2)</f>
        <v/>
      </c>
      <c r="Y315" s="27">
        <f>IF(OR(NOT(ISNUMBER($W315)),$AO315=1),"",$W315-(COUNTIFS($A$14:$A$1213,$A315,$F$14:$F$1213,"&gt;=0")+1)/2)</f>
        <v/>
      </c>
      <c r="Z315" s="27">
        <f>IF(ISNUMBER($V315),$A315&amp;"|"&amp;$V315,"")</f>
        <v/>
      </c>
      <c r="AA315" s="27">
        <f>IF(ISNUMBER($W315),$A315&amp;"|"&amp;$W315,"")</f>
        <v/>
      </c>
      <c r="AB315" s="27">
        <f>IF(ISNUMBER($F315),$A315&amp;"|"&amp;$F315,"")</f>
        <v/>
      </c>
      <c r="AC315" s="27">
        <f>IF(ISNUMBER($P315),COUNTIFS($A$14:$A$1213,$A315,$P$14:$P$1213,"&gt;"&amp;$P315)+(COUNTIFS($A$14:$A$1213,$A315,$P$14:$P$1213,"="&amp;$P315)+1)/2,"")</f>
        <v/>
      </c>
      <c r="AD315" s="27">
        <f>IF(ISNUMBER($Q315),COUNTIFS($A$14:$A$1213,$A315,$Q$14:$Q$1213,"&gt;"&amp;$Q315)+(COUNTIFS($A$14:$A$1213,$A315,$Q$14:$Q$1213,"="&amp;$Q315)+1)/2,"")</f>
        <v/>
      </c>
      <c r="AE315" s="27">
        <f>IF(ISNUMBER($R315),COUNTIFS($A$14:$A$1213,$A315,$R$14:$R$1213,"&gt;"&amp;$R315)+(COUNTIFS($A$14:$A$1213,$A315,$R$14:$R$1213,"="&amp;$R315)+1)/2,"")</f>
        <v/>
      </c>
      <c r="AF315" s="27">
        <f>IF(ISNUMBER($S315),COUNTIFS($A$14:$A$1213,$A315,$S$14:$S$1213,"&gt;"&amp;$S315)+(COUNTIFS($A$14:$A$1213,$A315,$S$14:$S$1213,"="&amp;$S315)+1)/2,"")</f>
        <v/>
      </c>
      <c r="AG315" s="27">
        <f>IF(ISNUMBER($T315),COUNTIFS($A$14:$A$1213,$A315,$T$14:$T$1213,"&gt;"&amp;$T315)+(COUNTIFS($A$14:$A$1213,$A315,$T$14:$T$1213,"="&amp;$T315)+1)/2,"")</f>
        <v/>
      </c>
      <c r="AH315" s="27">
        <f>IF(COUNT($AC315:$AG315)&lt;2,"",IF(MAX($AC315:$AG315)=MIN($AC315:$AG315),0,1))</f>
        <v/>
      </c>
      <c r="AI315" s="27">
        <f>IF($A315="","",IF(COUNTIF($A$14:$A315,$A315)=1,COUNTIF($AI$13:AI314,"&gt;0")+1,""))</f>
        <v/>
      </c>
      <c r="AO315" s="27">
        <f>IF($A315="","",IF(AND(COUNTIFS($A$14:$A$1213,$A315,$F$14:$F$1213,"&gt;=0")=2,IFERROR(INDEX($M$14:$M$313,MATCH($A315,$H$14:$H$313,0)),"Yes")&lt;&gt;"Yes"),1,0))</f>
        <v/>
      </c>
    </row>
    <row r="316">
      <c r="A316" s="19">
        <f>IF('Enter messages'!A316="","",'Enter messages'!A316)</f>
        <v/>
      </c>
      <c r="B316" s="20">
        <f>IF('Enter messages'!B316="","",'Enter messages'!B316)</f>
        <v/>
      </c>
      <c r="C316" s="21">
        <f>IFERROR(AVERAGE(P316:T316),"")</f>
        <v/>
      </c>
      <c r="D316" s="29" t="n"/>
      <c r="E316" s="29" t="n"/>
      <c r="F316" s="30">
        <f>IF(AND(ISNUMBER($D316),ISNUMBER($E316),$E316&gt;0,$D316&lt;=$E316),$D316/$E316,"")</f>
        <v/>
      </c>
      <c r="P316" s="26" t="n"/>
      <c r="Q316" s="26" t="n"/>
      <c r="R316" s="26" t="n"/>
      <c r="S316" s="26" t="n"/>
      <c r="T316" s="26" t="n"/>
      <c r="V316" s="27">
        <f>IF(ISNUMBER($C316),COUNTIFS($A$14:$A$1213,$A316,$C$14:$C$1213,"&gt;"&amp;$C316)+(COUNTIFS($A$14:$A$1213,$A316,$C$14:$C$1213,"="&amp;$C316)+1)/2,"")</f>
        <v/>
      </c>
      <c r="W316" s="27">
        <f>IF(ISNUMBER($F316),COUNTIFS($A$14:$A$1213,$A316,$F$14:$F$1213,"&gt;"&amp;$F316)+(COUNTIFS($A$14:$A$1213,$A316,$F$14:$F$1213,"="&amp;$F316)+1)/2,"")</f>
        <v/>
      </c>
      <c r="X316" s="27">
        <f>IF(OR(NOT(ISNUMBER($V316)),$AO316=1),"",$V316-(COUNTIFS($A$14:$A$1213,$A316,$C$14:$C$1213,"&gt;=0")+1)/2)</f>
        <v/>
      </c>
      <c r="Y316" s="27">
        <f>IF(OR(NOT(ISNUMBER($W316)),$AO316=1),"",$W316-(COUNTIFS($A$14:$A$1213,$A316,$F$14:$F$1213,"&gt;=0")+1)/2)</f>
        <v/>
      </c>
      <c r="Z316" s="27">
        <f>IF(ISNUMBER($V316),$A316&amp;"|"&amp;$V316,"")</f>
        <v/>
      </c>
      <c r="AA316" s="27">
        <f>IF(ISNUMBER($W316),$A316&amp;"|"&amp;$W316,"")</f>
        <v/>
      </c>
      <c r="AB316" s="27">
        <f>IF(ISNUMBER($F316),$A316&amp;"|"&amp;$F316,"")</f>
        <v/>
      </c>
      <c r="AC316" s="27">
        <f>IF(ISNUMBER($P316),COUNTIFS($A$14:$A$1213,$A316,$P$14:$P$1213,"&gt;"&amp;$P316)+(COUNTIFS($A$14:$A$1213,$A316,$P$14:$P$1213,"="&amp;$P316)+1)/2,"")</f>
        <v/>
      </c>
      <c r="AD316" s="27">
        <f>IF(ISNUMBER($Q316),COUNTIFS($A$14:$A$1213,$A316,$Q$14:$Q$1213,"&gt;"&amp;$Q316)+(COUNTIFS($A$14:$A$1213,$A316,$Q$14:$Q$1213,"="&amp;$Q316)+1)/2,"")</f>
        <v/>
      </c>
      <c r="AE316" s="27">
        <f>IF(ISNUMBER($R316),COUNTIFS($A$14:$A$1213,$A316,$R$14:$R$1213,"&gt;"&amp;$R316)+(COUNTIFS($A$14:$A$1213,$A316,$R$14:$R$1213,"="&amp;$R316)+1)/2,"")</f>
        <v/>
      </c>
      <c r="AF316" s="27">
        <f>IF(ISNUMBER($S316),COUNTIFS($A$14:$A$1213,$A316,$S$14:$S$1213,"&gt;"&amp;$S316)+(COUNTIFS($A$14:$A$1213,$A316,$S$14:$S$1213,"="&amp;$S316)+1)/2,"")</f>
        <v/>
      </c>
      <c r="AG316" s="27">
        <f>IF(ISNUMBER($T316),COUNTIFS($A$14:$A$1213,$A316,$T$14:$T$1213,"&gt;"&amp;$T316)+(COUNTIFS($A$14:$A$1213,$A316,$T$14:$T$1213,"="&amp;$T316)+1)/2,"")</f>
        <v/>
      </c>
      <c r="AH316" s="27">
        <f>IF(COUNT($AC316:$AG316)&lt;2,"",IF(MAX($AC316:$AG316)=MIN($AC316:$AG316),0,1))</f>
        <v/>
      </c>
      <c r="AI316" s="27">
        <f>IF($A316="","",IF(COUNTIF($A$14:$A316,$A316)=1,COUNTIF($AI$13:AI315,"&gt;0")+1,""))</f>
        <v/>
      </c>
      <c r="AO316" s="27">
        <f>IF($A316="","",IF(AND(COUNTIFS($A$14:$A$1213,$A316,$F$14:$F$1213,"&gt;=0")=2,IFERROR(INDEX($M$14:$M$313,MATCH($A316,$H$14:$H$313,0)),"Yes")&lt;&gt;"Yes"),1,0))</f>
        <v/>
      </c>
    </row>
    <row r="317">
      <c r="A317" s="19">
        <f>IF('Enter messages'!A317="","",'Enter messages'!A317)</f>
        <v/>
      </c>
      <c r="B317" s="20">
        <f>IF('Enter messages'!B317="","",'Enter messages'!B317)</f>
        <v/>
      </c>
      <c r="C317" s="21">
        <f>IFERROR(AVERAGE(P317:T317),"")</f>
        <v/>
      </c>
      <c r="D317" s="29" t="n"/>
      <c r="E317" s="29" t="n"/>
      <c r="F317" s="30">
        <f>IF(AND(ISNUMBER($D317),ISNUMBER($E317),$E317&gt;0,$D317&lt;=$E317),$D317/$E317,"")</f>
        <v/>
      </c>
      <c r="P317" s="26" t="n"/>
      <c r="Q317" s="26" t="n"/>
      <c r="R317" s="26" t="n"/>
      <c r="S317" s="26" t="n"/>
      <c r="T317" s="26" t="n"/>
      <c r="V317" s="27">
        <f>IF(ISNUMBER($C317),COUNTIFS($A$14:$A$1213,$A317,$C$14:$C$1213,"&gt;"&amp;$C317)+(COUNTIFS($A$14:$A$1213,$A317,$C$14:$C$1213,"="&amp;$C317)+1)/2,"")</f>
        <v/>
      </c>
      <c r="W317" s="27">
        <f>IF(ISNUMBER($F317),COUNTIFS($A$14:$A$1213,$A317,$F$14:$F$1213,"&gt;"&amp;$F317)+(COUNTIFS($A$14:$A$1213,$A317,$F$14:$F$1213,"="&amp;$F317)+1)/2,"")</f>
        <v/>
      </c>
      <c r="X317" s="27">
        <f>IF(OR(NOT(ISNUMBER($V317)),$AO317=1),"",$V317-(COUNTIFS($A$14:$A$1213,$A317,$C$14:$C$1213,"&gt;=0")+1)/2)</f>
        <v/>
      </c>
      <c r="Y317" s="27">
        <f>IF(OR(NOT(ISNUMBER($W317)),$AO317=1),"",$W317-(COUNTIFS($A$14:$A$1213,$A317,$F$14:$F$1213,"&gt;=0")+1)/2)</f>
        <v/>
      </c>
      <c r="Z317" s="27">
        <f>IF(ISNUMBER($V317),$A317&amp;"|"&amp;$V317,"")</f>
        <v/>
      </c>
      <c r="AA317" s="27">
        <f>IF(ISNUMBER($W317),$A317&amp;"|"&amp;$W317,"")</f>
        <v/>
      </c>
      <c r="AB317" s="27">
        <f>IF(ISNUMBER($F317),$A317&amp;"|"&amp;$F317,"")</f>
        <v/>
      </c>
      <c r="AC317" s="27">
        <f>IF(ISNUMBER($P317),COUNTIFS($A$14:$A$1213,$A317,$P$14:$P$1213,"&gt;"&amp;$P317)+(COUNTIFS($A$14:$A$1213,$A317,$P$14:$P$1213,"="&amp;$P317)+1)/2,"")</f>
        <v/>
      </c>
      <c r="AD317" s="27">
        <f>IF(ISNUMBER($Q317),COUNTIFS($A$14:$A$1213,$A317,$Q$14:$Q$1213,"&gt;"&amp;$Q317)+(COUNTIFS($A$14:$A$1213,$A317,$Q$14:$Q$1213,"="&amp;$Q317)+1)/2,"")</f>
        <v/>
      </c>
      <c r="AE317" s="27">
        <f>IF(ISNUMBER($R317),COUNTIFS($A$14:$A$1213,$A317,$R$14:$R$1213,"&gt;"&amp;$R317)+(COUNTIFS($A$14:$A$1213,$A317,$R$14:$R$1213,"="&amp;$R317)+1)/2,"")</f>
        <v/>
      </c>
      <c r="AF317" s="27">
        <f>IF(ISNUMBER($S317),COUNTIFS($A$14:$A$1213,$A317,$S$14:$S$1213,"&gt;"&amp;$S317)+(COUNTIFS($A$14:$A$1213,$A317,$S$14:$S$1213,"="&amp;$S317)+1)/2,"")</f>
        <v/>
      </c>
      <c r="AG317" s="27">
        <f>IF(ISNUMBER($T317),COUNTIFS($A$14:$A$1213,$A317,$T$14:$T$1213,"&gt;"&amp;$T317)+(COUNTIFS($A$14:$A$1213,$A317,$T$14:$T$1213,"="&amp;$T317)+1)/2,"")</f>
        <v/>
      </c>
      <c r="AH317" s="27">
        <f>IF(COUNT($AC317:$AG317)&lt;2,"",IF(MAX($AC317:$AG317)=MIN($AC317:$AG317),0,1))</f>
        <v/>
      </c>
      <c r="AI317" s="27">
        <f>IF($A317="","",IF(COUNTIF($A$14:$A317,$A317)=1,COUNTIF($AI$13:AI316,"&gt;0")+1,""))</f>
        <v/>
      </c>
      <c r="AO317" s="27">
        <f>IF($A317="","",IF(AND(COUNTIFS($A$14:$A$1213,$A317,$F$14:$F$1213,"&gt;=0")=2,IFERROR(INDEX($M$14:$M$313,MATCH($A317,$H$14:$H$313,0)),"Yes")&lt;&gt;"Yes"),1,0))</f>
        <v/>
      </c>
    </row>
    <row r="318">
      <c r="A318" s="19">
        <f>IF('Enter messages'!A318="","",'Enter messages'!A318)</f>
        <v/>
      </c>
      <c r="B318" s="20">
        <f>IF('Enter messages'!B318="","",'Enter messages'!B318)</f>
        <v/>
      </c>
      <c r="C318" s="21">
        <f>IFERROR(AVERAGE(P318:T318),"")</f>
        <v/>
      </c>
      <c r="D318" s="29" t="n"/>
      <c r="E318" s="29" t="n"/>
      <c r="F318" s="30">
        <f>IF(AND(ISNUMBER($D318),ISNUMBER($E318),$E318&gt;0,$D318&lt;=$E318),$D318/$E318,"")</f>
        <v/>
      </c>
      <c r="P318" s="26" t="n"/>
      <c r="Q318" s="26" t="n"/>
      <c r="R318" s="26" t="n"/>
      <c r="S318" s="26" t="n"/>
      <c r="T318" s="26" t="n"/>
      <c r="V318" s="27">
        <f>IF(ISNUMBER($C318),COUNTIFS($A$14:$A$1213,$A318,$C$14:$C$1213,"&gt;"&amp;$C318)+(COUNTIFS($A$14:$A$1213,$A318,$C$14:$C$1213,"="&amp;$C318)+1)/2,"")</f>
        <v/>
      </c>
      <c r="W318" s="27">
        <f>IF(ISNUMBER($F318),COUNTIFS($A$14:$A$1213,$A318,$F$14:$F$1213,"&gt;"&amp;$F318)+(COUNTIFS($A$14:$A$1213,$A318,$F$14:$F$1213,"="&amp;$F318)+1)/2,"")</f>
        <v/>
      </c>
      <c r="X318" s="27">
        <f>IF(OR(NOT(ISNUMBER($V318)),$AO318=1),"",$V318-(COUNTIFS($A$14:$A$1213,$A318,$C$14:$C$1213,"&gt;=0")+1)/2)</f>
        <v/>
      </c>
      <c r="Y318" s="27">
        <f>IF(OR(NOT(ISNUMBER($W318)),$AO318=1),"",$W318-(COUNTIFS($A$14:$A$1213,$A318,$F$14:$F$1213,"&gt;=0")+1)/2)</f>
        <v/>
      </c>
      <c r="Z318" s="27">
        <f>IF(ISNUMBER($V318),$A318&amp;"|"&amp;$V318,"")</f>
        <v/>
      </c>
      <c r="AA318" s="27">
        <f>IF(ISNUMBER($W318),$A318&amp;"|"&amp;$W318,"")</f>
        <v/>
      </c>
      <c r="AB318" s="27">
        <f>IF(ISNUMBER($F318),$A318&amp;"|"&amp;$F318,"")</f>
        <v/>
      </c>
      <c r="AC318" s="27">
        <f>IF(ISNUMBER($P318),COUNTIFS($A$14:$A$1213,$A318,$P$14:$P$1213,"&gt;"&amp;$P318)+(COUNTIFS($A$14:$A$1213,$A318,$P$14:$P$1213,"="&amp;$P318)+1)/2,"")</f>
        <v/>
      </c>
      <c r="AD318" s="27">
        <f>IF(ISNUMBER($Q318),COUNTIFS($A$14:$A$1213,$A318,$Q$14:$Q$1213,"&gt;"&amp;$Q318)+(COUNTIFS($A$14:$A$1213,$A318,$Q$14:$Q$1213,"="&amp;$Q318)+1)/2,"")</f>
        <v/>
      </c>
      <c r="AE318" s="27">
        <f>IF(ISNUMBER($R318),COUNTIFS($A$14:$A$1213,$A318,$R$14:$R$1213,"&gt;"&amp;$R318)+(COUNTIFS($A$14:$A$1213,$A318,$R$14:$R$1213,"="&amp;$R318)+1)/2,"")</f>
        <v/>
      </c>
      <c r="AF318" s="27">
        <f>IF(ISNUMBER($S318),COUNTIFS($A$14:$A$1213,$A318,$S$14:$S$1213,"&gt;"&amp;$S318)+(COUNTIFS($A$14:$A$1213,$A318,$S$14:$S$1213,"="&amp;$S318)+1)/2,"")</f>
        <v/>
      </c>
      <c r="AG318" s="27">
        <f>IF(ISNUMBER($T318),COUNTIFS($A$14:$A$1213,$A318,$T$14:$T$1213,"&gt;"&amp;$T318)+(COUNTIFS($A$14:$A$1213,$A318,$T$14:$T$1213,"="&amp;$T318)+1)/2,"")</f>
        <v/>
      </c>
      <c r="AH318" s="27">
        <f>IF(COUNT($AC318:$AG318)&lt;2,"",IF(MAX($AC318:$AG318)=MIN($AC318:$AG318),0,1))</f>
        <v/>
      </c>
      <c r="AI318" s="27">
        <f>IF($A318="","",IF(COUNTIF($A$14:$A318,$A318)=1,COUNTIF($AI$13:AI317,"&gt;0")+1,""))</f>
        <v/>
      </c>
      <c r="AO318" s="27">
        <f>IF($A318="","",IF(AND(COUNTIFS($A$14:$A$1213,$A318,$F$14:$F$1213,"&gt;=0")=2,IFERROR(INDEX($M$14:$M$313,MATCH($A318,$H$14:$H$313,0)),"Yes")&lt;&gt;"Yes"),1,0))</f>
        <v/>
      </c>
    </row>
    <row r="319">
      <c r="A319" s="19">
        <f>IF('Enter messages'!A319="","",'Enter messages'!A319)</f>
        <v/>
      </c>
      <c r="B319" s="20">
        <f>IF('Enter messages'!B319="","",'Enter messages'!B319)</f>
        <v/>
      </c>
      <c r="C319" s="21">
        <f>IFERROR(AVERAGE(P319:T319),"")</f>
        <v/>
      </c>
      <c r="D319" s="29" t="n"/>
      <c r="E319" s="29" t="n"/>
      <c r="F319" s="30">
        <f>IF(AND(ISNUMBER($D319),ISNUMBER($E319),$E319&gt;0,$D319&lt;=$E319),$D319/$E319,"")</f>
        <v/>
      </c>
      <c r="P319" s="26" t="n"/>
      <c r="Q319" s="26" t="n"/>
      <c r="R319" s="26" t="n"/>
      <c r="S319" s="26" t="n"/>
      <c r="T319" s="26" t="n"/>
      <c r="V319" s="27">
        <f>IF(ISNUMBER($C319),COUNTIFS($A$14:$A$1213,$A319,$C$14:$C$1213,"&gt;"&amp;$C319)+(COUNTIFS($A$14:$A$1213,$A319,$C$14:$C$1213,"="&amp;$C319)+1)/2,"")</f>
        <v/>
      </c>
      <c r="W319" s="27">
        <f>IF(ISNUMBER($F319),COUNTIFS($A$14:$A$1213,$A319,$F$14:$F$1213,"&gt;"&amp;$F319)+(COUNTIFS($A$14:$A$1213,$A319,$F$14:$F$1213,"="&amp;$F319)+1)/2,"")</f>
        <v/>
      </c>
      <c r="X319" s="27">
        <f>IF(OR(NOT(ISNUMBER($V319)),$AO319=1),"",$V319-(COUNTIFS($A$14:$A$1213,$A319,$C$14:$C$1213,"&gt;=0")+1)/2)</f>
        <v/>
      </c>
      <c r="Y319" s="27">
        <f>IF(OR(NOT(ISNUMBER($W319)),$AO319=1),"",$W319-(COUNTIFS($A$14:$A$1213,$A319,$F$14:$F$1213,"&gt;=0")+1)/2)</f>
        <v/>
      </c>
      <c r="Z319" s="27">
        <f>IF(ISNUMBER($V319),$A319&amp;"|"&amp;$V319,"")</f>
        <v/>
      </c>
      <c r="AA319" s="27">
        <f>IF(ISNUMBER($W319),$A319&amp;"|"&amp;$W319,"")</f>
        <v/>
      </c>
      <c r="AB319" s="27">
        <f>IF(ISNUMBER($F319),$A319&amp;"|"&amp;$F319,"")</f>
        <v/>
      </c>
      <c r="AC319" s="27">
        <f>IF(ISNUMBER($P319),COUNTIFS($A$14:$A$1213,$A319,$P$14:$P$1213,"&gt;"&amp;$P319)+(COUNTIFS($A$14:$A$1213,$A319,$P$14:$P$1213,"="&amp;$P319)+1)/2,"")</f>
        <v/>
      </c>
      <c r="AD319" s="27">
        <f>IF(ISNUMBER($Q319),COUNTIFS($A$14:$A$1213,$A319,$Q$14:$Q$1213,"&gt;"&amp;$Q319)+(COUNTIFS($A$14:$A$1213,$A319,$Q$14:$Q$1213,"="&amp;$Q319)+1)/2,"")</f>
        <v/>
      </c>
      <c r="AE319" s="27">
        <f>IF(ISNUMBER($R319),COUNTIFS($A$14:$A$1213,$A319,$R$14:$R$1213,"&gt;"&amp;$R319)+(COUNTIFS($A$14:$A$1213,$A319,$R$14:$R$1213,"="&amp;$R319)+1)/2,"")</f>
        <v/>
      </c>
      <c r="AF319" s="27">
        <f>IF(ISNUMBER($S319),COUNTIFS($A$14:$A$1213,$A319,$S$14:$S$1213,"&gt;"&amp;$S319)+(COUNTIFS($A$14:$A$1213,$A319,$S$14:$S$1213,"="&amp;$S319)+1)/2,"")</f>
        <v/>
      </c>
      <c r="AG319" s="27">
        <f>IF(ISNUMBER($T319),COUNTIFS($A$14:$A$1213,$A319,$T$14:$T$1213,"&gt;"&amp;$T319)+(COUNTIFS($A$14:$A$1213,$A319,$T$14:$T$1213,"="&amp;$T319)+1)/2,"")</f>
        <v/>
      </c>
      <c r="AH319" s="27">
        <f>IF(COUNT($AC319:$AG319)&lt;2,"",IF(MAX($AC319:$AG319)=MIN($AC319:$AG319),0,1))</f>
        <v/>
      </c>
      <c r="AI319" s="27">
        <f>IF($A319="","",IF(COUNTIF($A$14:$A319,$A319)=1,COUNTIF($AI$13:AI318,"&gt;0")+1,""))</f>
        <v/>
      </c>
      <c r="AO319" s="27">
        <f>IF($A319="","",IF(AND(COUNTIFS($A$14:$A$1213,$A319,$F$14:$F$1213,"&gt;=0")=2,IFERROR(INDEX($M$14:$M$313,MATCH($A319,$H$14:$H$313,0)),"Yes")&lt;&gt;"Yes"),1,0))</f>
        <v/>
      </c>
    </row>
    <row r="320">
      <c r="A320" s="19">
        <f>IF('Enter messages'!A320="","",'Enter messages'!A320)</f>
        <v/>
      </c>
      <c r="B320" s="20">
        <f>IF('Enter messages'!B320="","",'Enter messages'!B320)</f>
        <v/>
      </c>
      <c r="C320" s="21">
        <f>IFERROR(AVERAGE(P320:T320),"")</f>
        <v/>
      </c>
      <c r="D320" s="29" t="n"/>
      <c r="E320" s="29" t="n"/>
      <c r="F320" s="30">
        <f>IF(AND(ISNUMBER($D320),ISNUMBER($E320),$E320&gt;0,$D320&lt;=$E320),$D320/$E320,"")</f>
        <v/>
      </c>
      <c r="P320" s="26" t="n"/>
      <c r="Q320" s="26" t="n"/>
      <c r="R320" s="26" t="n"/>
      <c r="S320" s="26" t="n"/>
      <c r="T320" s="26" t="n"/>
      <c r="V320" s="27">
        <f>IF(ISNUMBER($C320),COUNTIFS($A$14:$A$1213,$A320,$C$14:$C$1213,"&gt;"&amp;$C320)+(COUNTIFS($A$14:$A$1213,$A320,$C$14:$C$1213,"="&amp;$C320)+1)/2,"")</f>
        <v/>
      </c>
      <c r="W320" s="27">
        <f>IF(ISNUMBER($F320),COUNTIFS($A$14:$A$1213,$A320,$F$14:$F$1213,"&gt;"&amp;$F320)+(COUNTIFS($A$14:$A$1213,$A320,$F$14:$F$1213,"="&amp;$F320)+1)/2,"")</f>
        <v/>
      </c>
      <c r="X320" s="27">
        <f>IF(OR(NOT(ISNUMBER($V320)),$AO320=1),"",$V320-(COUNTIFS($A$14:$A$1213,$A320,$C$14:$C$1213,"&gt;=0")+1)/2)</f>
        <v/>
      </c>
      <c r="Y320" s="27">
        <f>IF(OR(NOT(ISNUMBER($W320)),$AO320=1),"",$W320-(COUNTIFS($A$14:$A$1213,$A320,$F$14:$F$1213,"&gt;=0")+1)/2)</f>
        <v/>
      </c>
      <c r="Z320" s="27">
        <f>IF(ISNUMBER($V320),$A320&amp;"|"&amp;$V320,"")</f>
        <v/>
      </c>
      <c r="AA320" s="27">
        <f>IF(ISNUMBER($W320),$A320&amp;"|"&amp;$W320,"")</f>
        <v/>
      </c>
      <c r="AB320" s="27">
        <f>IF(ISNUMBER($F320),$A320&amp;"|"&amp;$F320,"")</f>
        <v/>
      </c>
      <c r="AC320" s="27">
        <f>IF(ISNUMBER($P320),COUNTIFS($A$14:$A$1213,$A320,$P$14:$P$1213,"&gt;"&amp;$P320)+(COUNTIFS($A$14:$A$1213,$A320,$P$14:$P$1213,"="&amp;$P320)+1)/2,"")</f>
        <v/>
      </c>
      <c r="AD320" s="27">
        <f>IF(ISNUMBER($Q320),COUNTIFS($A$14:$A$1213,$A320,$Q$14:$Q$1213,"&gt;"&amp;$Q320)+(COUNTIFS($A$14:$A$1213,$A320,$Q$14:$Q$1213,"="&amp;$Q320)+1)/2,"")</f>
        <v/>
      </c>
      <c r="AE320" s="27">
        <f>IF(ISNUMBER($R320),COUNTIFS($A$14:$A$1213,$A320,$R$14:$R$1213,"&gt;"&amp;$R320)+(COUNTIFS($A$14:$A$1213,$A320,$R$14:$R$1213,"="&amp;$R320)+1)/2,"")</f>
        <v/>
      </c>
      <c r="AF320" s="27">
        <f>IF(ISNUMBER($S320),COUNTIFS($A$14:$A$1213,$A320,$S$14:$S$1213,"&gt;"&amp;$S320)+(COUNTIFS($A$14:$A$1213,$A320,$S$14:$S$1213,"="&amp;$S320)+1)/2,"")</f>
        <v/>
      </c>
      <c r="AG320" s="27">
        <f>IF(ISNUMBER($T320),COUNTIFS($A$14:$A$1213,$A320,$T$14:$T$1213,"&gt;"&amp;$T320)+(COUNTIFS($A$14:$A$1213,$A320,$T$14:$T$1213,"="&amp;$T320)+1)/2,"")</f>
        <v/>
      </c>
      <c r="AH320" s="27">
        <f>IF(COUNT($AC320:$AG320)&lt;2,"",IF(MAX($AC320:$AG320)=MIN($AC320:$AG320),0,1))</f>
        <v/>
      </c>
      <c r="AI320" s="27">
        <f>IF($A320="","",IF(COUNTIF($A$14:$A320,$A320)=1,COUNTIF($AI$13:AI319,"&gt;0")+1,""))</f>
        <v/>
      </c>
      <c r="AO320" s="27">
        <f>IF($A320="","",IF(AND(COUNTIFS($A$14:$A$1213,$A320,$F$14:$F$1213,"&gt;=0")=2,IFERROR(INDEX($M$14:$M$313,MATCH($A320,$H$14:$H$313,0)),"Yes")&lt;&gt;"Yes"),1,0))</f>
        <v/>
      </c>
    </row>
    <row r="321">
      <c r="A321" s="19">
        <f>IF('Enter messages'!A321="","",'Enter messages'!A321)</f>
        <v/>
      </c>
      <c r="B321" s="20">
        <f>IF('Enter messages'!B321="","",'Enter messages'!B321)</f>
        <v/>
      </c>
      <c r="C321" s="21">
        <f>IFERROR(AVERAGE(P321:T321),"")</f>
        <v/>
      </c>
      <c r="D321" s="29" t="n"/>
      <c r="E321" s="29" t="n"/>
      <c r="F321" s="30">
        <f>IF(AND(ISNUMBER($D321),ISNUMBER($E321),$E321&gt;0,$D321&lt;=$E321),$D321/$E321,"")</f>
        <v/>
      </c>
      <c r="P321" s="26" t="n"/>
      <c r="Q321" s="26" t="n"/>
      <c r="R321" s="26" t="n"/>
      <c r="S321" s="26" t="n"/>
      <c r="T321" s="26" t="n"/>
      <c r="V321" s="27">
        <f>IF(ISNUMBER($C321),COUNTIFS($A$14:$A$1213,$A321,$C$14:$C$1213,"&gt;"&amp;$C321)+(COUNTIFS($A$14:$A$1213,$A321,$C$14:$C$1213,"="&amp;$C321)+1)/2,"")</f>
        <v/>
      </c>
      <c r="W321" s="27">
        <f>IF(ISNUMBER($F321),COUNTIFS($A$14:$A$1213,$A321,$F$14:$F$1213,"&gt;"&amp;$F321)+(COUNTIFS($A$14:$A$1213,$A321,$F$14:$F$1213,"="&amp;$F321)+1)/2,"")</f>
        <v/>
      </c>
      <c r="X321" s="27">
        <f>IF(OR(NOT(ISNUMBER($V321)),$AO321=1),"",$V321-(COUNTIFS($A$14:$A$1213,$A321,$C$14:$C$1213,"&gt;=0")+1)/2)</f>
        <v/>
      </c>
      <c r="Y321" s="27">
        <f>IF(OR(NOT(ISNUMBER($W321)),$AO321=1),"",$W321-(COUNTIFS($A$14:$A$1213,$A321,$F$14:$F$1213,"&gt;=0")+1)/2)</f>
        <v/>
      </c>
      <c r="Z321" s="27">
        <f>IF(ISNUMBER($V321),$A321&amp;"|"&amp;$V321,"")</f>
        <v/>
      </c>
      <c r="AA321" s="27">
        <f>IF(ISNUMBER($W321),$A321&amp;"|"&amp;$W321,"")</f>
        <v/>
      </c>
      <c r="AB321" s="27">
        <f>IF(ISNUMBER($F321),$A321&amp;"|"&amp;$F321,"")</f>
        <v/>
      </c>
      <c r="AC321" s="27">
        <f>IF(ISNUMBER($P321),COUNTIFS($A$14:$A$1213,$A321,$P$14:$P$1213,"&gt;"&amp;$P321)+(COUNTIFS($A$14:$A$1213,$A321,$P$14:$P$1213,"="&amp;$P321)+1)/2,"")</f>
        <v/>
      </c>
      <c r="AD321" s="27">
        <f>IF(ISNUMBER($Q321),COUNTIFS($A$14:$A$1213,$A321,$Q$14:$Q$1213,"&gt;"&amp;$Q321)+(COUNTIFS($A$14:$A$1213,$A321,$Q$14:$Q$1213,"="&amp;$Q321)+1)/2,"")</f>
        <v/>
      </c>
      <c r="AE321" s="27">
        <f>IF(ISNUMBER($R321),COUNTIFS($A$14:$A$1213,$A321,$R$14:$R$1213,"&gt;"&amp;$R321)+(COUNTIFS($A$14:$A$1213,$A321,$R$14:$R$1213,"="&amp;$R321)+1)/2,"")</f>
        <v/>
      </c>
      <c r="AF321" s="27">
        <f>IF(ISNUMBER($S321),COUNTIFS($A$14:$A$1213,$A321,$S$14:$S$1213,"&gt;"&amp;$S321)+(COUNTIFS($A$14:$A$1213,$A321,$S$14:$S$1213,"="&amp;$S321)+1)/2,"")</f>
        <v/>
      </c>
      <c r="AG321" s="27">
        <f>IF(ISNUMBER($T321),COUNTIFS($A$14:$A$1213,$A321,$T$14:$T$1213,"&gt;"&amp;$T321)+(COUNTIFS($A$14:$A$1213,$A321,$T$14:$T$1213,"="&amp;$T321)+1)/2,"")</f>
        <v/>
      </c>
      <c r="AH321" s="27">
        <f>IF(COUNT($AC321:$AG321)&lt;2,"",IF(MAX($AC321:$AG321)=MIN($AC321:$AG321),0,1))</f>
        <v/>
      </c>
      <c r="AI321" s="27">
        <f>IF($A321="","",IF(COUNTIF($A$14:$A321,$A321)=1,COUNTIF($AI$13:AI320,"&gt;0")+1,""))</f>
        <v/>
      </c>
      <c r="AO321" s="27">
        <f>IF($A321="","",IF(AND(COUNTIFS($A$14:$A$1213,$A321,$F$14:$F$1213,"&gt;=0")=2,IFERROR(INDEX($M$14:$M$313,MATCH($A321,$H$14:$H$313,0)),"Yes")&lt;&gt;"Yes"),1,0))</f>
        <v/>
      </c>
    </row>
    <row r="322">
      <c r="A322" s="19">
        <f>IF('Enter messages'!A322="","",'Enter messages'!A322)</f>
        <v/>
      </c>
      <c r="B322" s="20">
        <f>IF('Enter messages'!B322="","",'Enter messages'!B322)</f>
        <v/>
      </c>
      <c r="C322" s="21">
        <f>IFERROR(AVERAGE(P322:T322),"")</f>
        <v/>
      </c>
      <c r="D322" s="29" t="n"/>
      <c r="E322" s="29" t="n"/>
      <c r="F322" s="30">
        <f>IF(AND(ISNUMBER($D322),ISNUMBER($E322),$E322&gt;0,$D322&lt;=$E322),$D322/$E322,"")</f>
        <v/>
      </c>
      <c r="P322" s="26" t="n"/>
      <c r="Q322" s="26" t="n"/>
      <c r="R322" s="26" t="n"/>
      <c r="S322" s="26" t="n"/>
      <c r="T322" s="26" t="n"/>
      <c r="V322" s="27">
        <f>IF(ISNUMBER($C322),COUNTIFS($A$14:$A$1213,$A322,$C$14:$C$1213,"&gt;"&amp;$C322)+(COUNTIFS($A$14:$A$1213,$A322,$C$14:$C$1213,"="&amp;$C322)+1)/2,"")</f>
        <v/>
      </c>
      <c r="W322" s="27">
        <f>IF(ISNUMBER($F322),COUNTIFS($A$14:$A$1213,$A322,$F$14:$F$1213,"&gt;"&amp;$F322)+(COUNTIFS($A$14:$A$1213,$A322,$F$14:$F$1213,"="&amp;$F322)+1)/2,"")</f>
        <v/>
      </c>
      <c r="X322" s="27">
        <f>IF(OR(NOT(ISNUMBER($V322)),$AO322=1),"",$V322-(COUNTIFS($A$14:$A$1213,$A322,$C$14:$C$1213,"&gt;=0")+1)/2)</f>
        <v/>
      </c>
      <c r="Y322" s="27">
        <f>IF(OR(NOT(ISNUMBER($W322)),$AO322=1),"",$W322-(COUNTIFS($A$14:$A$1213,$A322,$F$14:$F$1213,"&gt;=0")+1)/2)</f>
        <v/>
      </c>
      <c r="Z322" s="27">
        <f>IF(ISNUMBER($V322),$A322&amp;"|"&amp;$V322,"")</f>
        <v/>
      </c>
      <c r="AA322" s="27">
        <f>IF(ISNUMBER($W322),$A322&amp;"|"&amp;$W322,"")</f>
        <v/>
      </c>
      <c r="AB322" s="27">
        <f>IF(ISNUMBER($F322),$A322&amp;"|"&amp;$F322,"")</f>
        <v/>
      </c>
      <c r="AC322" s="27">
        <f>IF(ISNUMBER($P322),COUNTIFS($A$14:$A$1213,$A322,$P$14:$P$1213,"&gt;"&amp;$P322)+(COUNTIFS($A$14:$A$1213,$A322,$P$14:$P$1213,"="&amp;$P322)+1)/2,"")</f>
        <v/>
      </c>
      <c r="AD322" s="27">
        <f>IF(ISNUMBER($Q322),COUNTIFS($A$14:$A$1213,$A322,$Q$14:$Q$1213,"&gt;"&amp;$Q322)+(COUNTIFS($A$14:$A$1213,$A322,$Q$14:$Q$1213,"="&amp;$Q322)+1)/2,"")</f>
        <v/>
      </c>
      <c r="AE322" s="27">
        <f>IF(ISNUMBER($R322),COUNTIFS($A$14:$A$1213,$A322,$R$14:$R$1213,"&gt;"&amp;$R322)+(COUNTIFS($A$14:$A$1213,$A322,$R$14:$R$1213,"="&amp;$R322)+1)/2,"")</f>
        <v/>
      </c>
      <c r="AF322" s="27">
        <f>IF(ISNUMBER($S322),COUNTIFS($A$14:$A$1213,$A322,$S$14:$S$1213,"&gt;"&amp;$S322)+(COUNTIFS($A$14:$A$1213,$A322,$S$14:$S$1213,"="&amp;$S322)+1)/2,"")</f>
        <v/>
      </c>
      <c r="AG322" s="27">
        <f>IF(ISNUMBER($T322),COUNTIFS($A$14:$A$1213,$A322,$T$14:$T$1213,"&gt;"&amp;$T322)+(COUNTIFS($A$14:$A$1213,$A322,$T$14:$T$1213,"="&amp;$T322)+1)/2,"")</f>
        <v/>
      </c>
      <c r="AH322" s="27">
        <f>IF(COUNT($AC322:$AG322)&lt;2,"",IF(MAX($AC322:$AG322)=MIN($AC322:$AG322),0,1))</f>
        <v/>
      </c>
      <c r="AI322" s="27">
        <f>IF($A322="","",IF(COUNTIF($A$14:$A322,$A322)=1,COUNTIF($AI$13:AI321,"&gt;0")+1,""))</f>
        <v/>
      </c>
      <c r="AO322" s="27">
        <f>IF($A322="","",IF(AND(COUNTIFS($A$14:$A$1213,$A322,$F$14:$F$1213,"&gt;=0")=2,IFERROR(INDEX($M$14:$M$313,MATCH($A322,$H$14:$H$313,0)),"Yes")&lt;&gt;"Yes"),1,0))</f>
        <v/>
      </c>
    </row>
    <row r="323">
      <c r="A323" s="19">
        <f>IF('Enter messages'!A323="","",'Enter messages'!A323)</f>
        <v/>
      </c>
      <c r="B323" s="20">
        <f>IF('Enter messages'!B323="","",'Enter messages'!B323)</f>
        <v/>
      </c>
      <c r="C323" s="21">
        <f>IFERROR(AVERAGE(P323:T323),"")</f>
        <v/>
      </c>
      <c r="D323" s="29" t="n"/>
      <c r="E323" s="29" t="n"/>
      <c r="F323" s="30">
        <f>IF(AND(ISNUMBER($D323),ISNUMBER($E323),$E323&gt;0,$D323&lt;=$E323),$D323/$E323,"")</f>
        <v/>
      </c>
      <c r="P323" s="26" t="n"/>
      <c r="Q323" s="26" t="n"/>
      <c r="R323" s="26" t="n"/>
      <c r="S323" s="26" t="n"/>
      <c r="T323" s="26" t="n"/>
      <c r="V323" s="27">
        <f>IF(ISNUMBER($C323),COUNTIFS($A$14:$A$1213,$A323,$C$14:$C$1213,"&gt;"&amp;$C323)+(COUNTIFS($A$14:$A$1213,$A323,$C$14:$C$1213,"="&amp;$C323)+1)/2,"")</f>
        <v/>
      </c>
      <c r="W323" s="27">
        <f>IF(ISNUMBER($F323),COUNTIFS($A$14:$A$1213,$A323,$F$14:$F$1213,"&gt;"&amp;$F323)+(COUNTIFS($A$14:$A$1213,$A323,$F$14:$F$1213,"="&amp;$F323)+1)/2,"")</f>
        <v/>
      </c>
      <c r="X323" s="27">
        <f>IF(OR(NOT(ISNUMBER($V323)),$AO323=1),"",$V323-(COUNTIFS($A$14:$A$1213,$A323,$C$14:$C$1213,"&gt;=0")+1)/2)</f>
        <v/>
      </c>
      <c r="Y323" s="27">
        <f>IF(OR(NOT(ISNUMBER($W323)),$AO323=1),"",$W323-(COUNTIFS($A$14:$A$1213,$A323,$F$14:$F$1213,"&gt;=0")+1)/2)</f>
        <v/>
      </c>
      <c r="Z323" s="27">
        <f>IF(ISNUMBER($V323),$A323&amp;"|"&amp;$V323,"")</f>
        <v/>
      </c>
      <c r="AA323" s="27">
        <f>IF(ISNUMBER($W323),$A323&amp;"|"&amp;$W323,"")</f>
        <v/>
      </c>
      <c r="AB323" s="27">
        <f>IF(ISNUMBER($F323),$A323&amp;"|"&amp;$F323,"")</f>
        <v/>
      </c>
      <c r="AC323" s="27">
        <f>IF(ISNUMBER($P323),COUNTIFS($A$14:$A$1213,$A323,$P$14:$P$1213,"&gt;"&amp;$P323)+(COUNTIFS($A$14:$A$1213,$A323,$P$14:$P$1213,"="&amp;$P323)+1)/2,"")</f>
        <v/>
      </c>
      <c r="AD323" s="27">
        <f>IF(ISNUMBER($Q323),COUNTIFS($A$14:$A$1213,$A323,$Q$14:$Q$1213,"&gt;"&amp;$Q323)+(COUNTIFS($A$14:$A$1213,$A323,$Q$14:$Q$1213,"="&amp;$Q323)+1)/2,"")</f>
        <v/>
      </c>
      <c r="AE323" s="27">
        <f>IF(ISNUMBER($R323),COUNTIFS($A$14:$A$1213,$A323,$R$14:$R$1213,"&gt;"&amp;$R323)+(COUNTIFS($A$14:$A$1213,$A323,$R$14:$R$1213,"="&amp;$R323)+1)/2,"")</f>
        <v/>
      </c>
      <c r="AF323" s="27">
        <f>IF(ISNUMBER($S323),COUNTIFS($A$14:$A$1213,$A323,$S$14:$S$1213,"&gt;"&amp;$S323)+(COUNTIFS($A$14:$A$1213,$A323,$S$14:$S$1213,"="&amp;$S323)+1)/2,"")</f>
        <v/>
      </c>
      <c r="AG323" s="27">
        <f>IF(ISNUMBER($T323),COUNTIFS($A$14:$A$1213,$A323,$T$14:$T$1213,"&gt;"&amp;$T323)+(COUNTIFS($A$14:$A$1213,$A323,$T$14:$T$1213,"="&amp;$T323)+1)/2,"")</f>
        <v/>
      </c>
      <c r="AH323" s="27">
        <f>IF(COUNT($AC323:$AG323)&lt;2,"",IF(MAX($AC323:$AG323)=MIN($AC323:$AG323),0,1))</f>
        <v/>
      </c>
      <c r="AI323" s="27">
        <f>IF($A323="","",IF(COUNTIF($A$14:$A323,$A323)=1,COUNTIF($AI$13:AI322,"&gt;0")+1,""))</f>
        <v/>
      </c>
      <c r="AO323" s="27">
        <f>IF($A323="","",IF(AND(COUNTIFS($A$14:$A$1213,$A323,$F$14:$F$1213,"&gt;=0")=2,IFERROR(INDEX($M$14:$M$313,MATCH($A323,$H$14:$H$313,0)),"Yes")&lt;&gt;"Yes"),1,0))</f>
        <v/>
      </c>
    </row>
    <row r="324">
      <c r="A324" s="19">
        <f>IF('Enter messages'!A324="","",'Enter messages'!A324)</f>
        <v/>
      </c>
      <c r="B324" s="20">
        <f>IF('Enter messages'!B324="","",'Enter messages'!B324)</f>
        <v/>
      </c>
      <c r="C324" s="21">
        <f>IFERROR(AVERAGE(P324:T324),"")</f>
        <v/>
      </c>
      <c r="D324" s="29" t="n"/>
      <c r="E324" s="29" t="n"/>
      <c r="F324" s="30">
        <f>IF(AND(ISNUMBER($D324),ISNUMBER($E324),$E324&gt;0,$D324&lt;=$E324),$D324/$E324,"")</f>
        <v/>
      </c>
      <c r="P324" s="26" t="n"/>
      <c r="Q324" s="26" t="n"/>
      <c r="R324" s="26" t="n"/>
      <c r="S324" s="26" t="n"/>
      <c r="T324" s="26" t="n"/>
      <c r="V324" s="27">
        <f>IF(ISNUMBER($C324),COUNTIFS($A$14:$A$1213,$A324,$C$14:$C$1213,"&gt;"&amp;$C324)+(COUNTIFS($A$14:$A$1213,$A324,$C$14:$C$1213,"="&amp;$C324)+1)/2,"")</f>
        <v/>
      </c>
      <c r="W324" s="27">
        <f>IF(ISNUMBER($F324),COUNTIFS($A$14:$A$1213,$A324,$F$14:$F$1213,"&gt;"&amp;$F324)+(COUNTIFS($A$14:$A$1213,$A324,$F$14:$F$1213,"="&amp;$F324)+1)/2,"")</f>
        <v/>
      </c>
      <c r="X324" s="27">
        <f>IF(OR(NOT(ISNUMBER($V324)),$AO324=1),"",$V324-(COUNTIFS($A$14:$A$1213,$A324,$C$14:$C$1213,"&gt;=0")+1)/2)</f>
        <v/>
      </c>
      <c r="Y324" s="27">
        <f>IF(OR(NOT(ISNUMBER($W324)),$AO324=1),"",$W324-(COUNTIFS($A$14:$A$1213,$A324,$F$14:$F$1213,"&gt;=0")+1)/2)</f>
        <v/>
      </c>
      <c r="Z324" s="27">
        <f>IF(ISNUMBER($V324),$A324&amp;"|"&amp;$V324,"")</f>
        <v/>
      </c>
      <c r="AA324" s="27">
        <f>IF(ISNUMBER($W324),$A324&amp;"|"&amp;$W324,"")</f>
        <v/>
      </c>
      <c r="AB324" s="27">
        <f>IF(ISNUMBER($F324),$A324&amp;"|"&amp;$F324,"")</f>
        <v/>
      </c>
      <c r="AC324" s="27">
        <f>IF(ISNUMBER($P324),COUNTIFS($A$14:$A$1213,$A324,$P$14:$P$1213,"&gt;"&amp;$P324)+(COUNTIFS($A$14:$A$1213,$A324,$P$14:$P$1213,"="&amp;$P324)+1)/2,"")</f>
        <v/>
      </c>
      <c r="AD324" s="27">
        <f>IF(ISNUMBER($Q324),COUNTIFS($A$14:$A$1213,$A324,$Q$14:$Q$1213,"&gt;"&amp;$Q324)+(COUNTIFS($A$14:$A$1213,$A324,$Q$14:$Q$1213,"="&amp;$Q324)+1)/2,"")</f>
        <v/>
      </c>
      <c r="AE324" s="27">
        <f>IF(ISNUMBER($R324),COUNTIFS($A$14:$A$1213,$A324,$R$14:$R$1213,"&gt;"&amp;$R324)+(COUNTIFS($A$14:$A$1213,$A324,$R$14:$R$1213,"="&amp;$R324)+1)/2,"")</f>
        <v/>
      </c>
      <c r="AF324" s="27">
        <f>IF(ISNUMBER($S324),COUNTIFS($A$14:$A$1213,$A324,$S$14:$S$1213,"&gt;"&amp;$S324)+(COUNTIFS($A$14:$A$1213,$A324,$S$14:$S$1213,"="&amp;$S324)+1)/2,"")</f>
        <v/>
      </c>
      <c r="AG324" s="27">
        <f>IF(ISNUMBER($T324),COUNTIFS($A$14:$A$1213,$A324,$T$14:$T$1213,"&gt;"&amp;$T324)+(COUNTIFS($A$14:$A$1213,$A324,$T$14:$T$1213,"="&amp;$T324)+1)/2,"")</f>
        <v/>
      </c>
      <c r="AH324" s="27">
        <f>IF(COUNT($AC324:$AG324)&lt;2,"",IF(MAX($AC324:$AG324)=MIN($AC324:$AG324),0,1))</f>
        <v/>
      </c>
      <c r="AI324" s="27">
        <f>IF($A324="","",IF(COUNTIF($A$14:$A324,$A324)=1,COUNTIF($AI$13:AI323,"&gt;0")+1,""))</f>
        <v/>
      </c>
      <c r="AO324" s="27">
        <f>IF($A324="","",IF(AND(COUNTIFS($A$14:$A$1213,$A324,$F$14:$F$1213,"&gt;=0")=2,IFERROR(INDEX($M$14:$M$313,MATCH($A324,$H$14:$H$313,0)),"Yes")&lt;&gt;"Yes"),1,0))</f>
        <v/>
      </c>
    </row>
    <row r="325">
      <c r="A325" s="19">
        <f>IF('Enter messages'!A325="","",'Enter messages'!A325)</f>
        <v/>
      </c>
      <c r="B325" s="20">
        <f>IF('Enter messages'!B325="","",'Enter messages'!B325)</f>
        <v/>
      </c>
      <c r="C325" s="21">
        <f>IFERROR(AVERAGE(P325:T325),"")</f>
        <v/>
      </c>
      <c r="D325" s="29" t="n"/>
      <c r="E325" s="29" t="n"/>
      <c r="F325" s="30">
        <f>IF(AND(ISNUMBER($D325),ISNUMBER($E325),$E325&gt;0,$D325&lt;=$E325),$D325/$E325,"")</f>
        <v/>
      </c>
      <c r="P325" s="26" t="n"/>
      <c r="Q325" s="26" t="n"/>
      <c r="R325" s="26" t="n"/>
      <c r="S325" s="26" t="n"/>
      <c r="T325" s="26" t="n"/>
      <c r="V325" s="27">
        <f>IF(ISNUMBER($C325),COUNTIFS($A$14:$A$1213,$A325,$C$14:$C$1213,"&gt;"&amp;$C325)+(COUNTIFS($A$14:$A$1213,$A325,$C$14:$C$1213,"="&amp;$C325)+1)/2,"")</f>
        <v/>
      </c>
      <c r="W325" s="27">
        <f>IF(ISNUMBER($F325),COUNTIFS($A$14:$A$1213,$A325,$F$14:$F$1213,"&gt;"&amp;$F325)+(COUNTIFS($A$14:$A$1213,$A325,$F$14:$F$1213,"="&amp;$F325)+1)/2,"")</f>
        <v/>
      </c>
      <c r="X325" s="27">
        <f>IF(OR(NOT(ISNUMBER($V325)),$AO325=1),"",$V325-(COUNTIFS($A$14:$A$1213,$A325,$C$14:$C$1213,"&gt;=0")+1)/2)</f>
        <v/>
      </c>
      <c r="Y325" s="27">
        <f>IF(OR(NOT(ISNUMBER($W325)),$AO325=1),"",$W325-(COUNTIFS($A$14:$A$1213,$A325,$F$14:$F$1213,"&gt;=0")+1)/2)</f>
        <v/>
      </c>
      <c r="Z325" s="27">
        <f>IF(ISNUMBER($V325),$A325&amp;"|"&amp;$V325,"")</f>
        <v/>
      </c>
      <c r="AA325" s="27">
        <f>IF(ISNUMBER($W325),$A325&amp;"|"&amp;$W325,"")</f>
        <v/>
      </c>
      <c r="AB325" s="27">
        <f>IF(ISNUMBER($F325),$A325&amp;"|"&amp;$F325,"")</f>
        <v/>
      </c>
      <c r="AC325" s="27">
        <f>IF(ISNUMBER($P325),COUNTIFS($A$14:$A$1213,$A325,$P$14:$P$1213,"&gt;"&amp;$P325)+(COUNTIFS($A$14:$A$1213,$A325,$P$14:$P$1213,"="&amp;$P325)+1)/2,"")</f>
        <v/>
      </c>
      <c r="AD325" s="27">
        <f>IF(ISNUMBER($Q325),COUNTIFS($A$14:$A$1213,$A325,$Q$14:$Q$1213,"&gt;"&amp;$Q325)+(COUNTIFS($A$14:$A$1213,$A325,$Q$14:$Q$1213,"="&amp;$Q325)+1)/2,"")</f>
        <v/>
      </c>
      <c r="AE325" s="27">
        <f>IF(ISNUMBER($R325),COUNTIFS($A$14:$A$1213,$A325,$R$14:$R$1213,"&gt;"&amp;$R325)+(COUNTIFS($A$14:$A$1213,$A325,$R$14:$R$1213,"="&amp;$R325)+1)/2,"")</f>
        <v/>
      </c>
      <c r="AF325" s="27">
        <f>IF(ISNUMBER($S325),COUNTIFS($A$14:$A$1213,$A325,$S$14:$S$1213,"&gt;"&amp;$S325)+(COUNTIFS($A$14:$A$1213,$A325,$S$14:$S$1213,"="&amp;$S325)+1)/2,"")</f>
        <v/>
      </c>
      <c r="AG325" s="27">
        <f>IF(ISNUMBER($T325),COUNTIFS($A$14:$A$1213,$A325,$T$14:$T$1213,"&gt;"&amp;$T325)+(COUNTIFS($A$14:$A$1213,$A325,$T$14:$T$1213,"="&amp;$T325)+1)/2,"")</f>
        <v/>
      </c>
      <c r="AH325" s="27">
        <f>IF(COUNT($AC325:$AG325)&lt;2,"",IF(MAX($AC325:$AG325)=MIN($AC325:$AG325),0,1))</f>
        <v/>
      </c>
      <c r="AI325" s="27">
        <f>IF($A325="","",IF(COUNTIF($A$14:$A325,$A325)=1,COUNTIF($AI$13:AI324,"&gt;0")+1,""))</f>
        <v/>
      </c>
      <c r="AO325" s="27">
        <f>IF($A325="","",IF(AND(COUNTIFS($A$14:$A$1213,$A325,$F$14:$F$1213,"&gt;=0")=2,IFERROR(INDEX($M$14:$M$313,MATCH($A325,$H$14:$H$313,0)),"Yes")&lt;&gt;"Yes"),1,0))</f>
        <v/>
      </c>
    </row>
    <row r="326">
      <c r="A326" s="19">
        <f>IF('Enter messages'!A326="","",'Enter messages'!A326)</f>
        <v/>
      </c>
      <c r="B326" s="20">
        <f>IF('Enter messages'!B326="","",'Enter messages'!B326)</f>
        <v/>
      </c>
      <c r="C326" s="21">
        <f>IFERROR(AVERAGE(P326:T326),"")</f>
        <v/>
      </c>
      <c r="D326" s="29" t="n"/>
      <c r="E326" s="29" t="n"/>
      <c r="F326" s="30">
        <f>IF(AND(ISNUMBER($D326),ISNUMBER($E326),$E326&gt;0,$D326&lt;=$E326),$D326/$E326,"")</f>
        <v/>
      </c>
      <c r="P326" s="26" t="n"/>
      <c r="Q326" s="26" t="n"/>
      <c r="R326" s="26" t="n"/>
      <c r="S326" s="26" t="n"/>
      <c r="T326" s="26" t="n"/>
      <c r="V326" s="27">
        <f>IF(ISNUMBER($C326),COUNTIFS($A$14:$A$1213,$A326,$C$14:$C$1213,"&gt;"&amp;$C326)+(COUNTIFS($A$14:$A$1213,$A326,$C$14:$C$1213,"="&amp;$C326)+1)/2,"")</f>
        <v/>
      </c>
      <c r="W326" s="27">
        <f>IF(ISNUMBER($F326),COUNTIFS($A$14:$A$1213,$A326,$F$14:$F$1213,"&gt;"&amp;$F326)+(COUNTIFS($A$14:$A$1213,$A326,$F$14:$F$1213,"="&amp;$F326)+1)/2,"")</f>
        <v/>
      </c>
      <c r="X326" s="27">
        <f>IF(OR(NOT(ISNUMBER($V326)),$AO326=1),"",$V326-(COUNTIFS($A$14:$A$1213,$A326,$C$14:$C$1213,"&gt;=0")+1)/2)</f>
        <v/>
      </c>
      <c r="Y326" s="27">
        <f>IF(OR(NOT(ISNUMBER($W326)),$AO326=1),"",$W326-(COUNTIFS($A$14:$A$1213,$A326,$F$14:$F$1213,"&gt;=0")+1)/2)</f>
        <v/>
      </c>
      <c r="Z326" s="27">
        <f>IF(ISNUMBER($V326),$A326&amp;"|"&amp;$V326,"")</f>
        <v/>
      </c>
      <c r="AA326" s="27">
        <f>IF(ISNUMBER($W326),$A326&amp;"|"&amp;$W326,"")</f>
        <v/>
      </c>
      <c r="AB326" s="27">
        <f>IF(ISNUMBER($F326),$A326&amp;"|"&amp;$F326,"")</f>
        <v/>
      </c>
      <c r="AC326" s="27">
        <f>IF(ISNUMBER($P326),COUNTIFS($A$14:$A$1213,$A326,$P$14:$P$1213,"&gt;"&amp;$P326)+(COUNTIFS($A$14:$A$1213,$A326,$P$14:$P$1213,"="&amp;$P326)+1)/2,"")</f>
        <v/>
      </c>
      <c r="AD326" s="27">
        <f>IF(ISNUMBER($Q326),COUNTIFS($A$14:$A$1213,$A326,$Q$14:$Q$1213,"&gt;"&amp;$Q326)+(COUNTIFS($A$14:$A$1213,$A326,$Q$14:$Q$1213,"="&amp;$Q326)+1)/2,"")</f>
        <v/>
      </c>
      <c r="AE326" s="27">
        <f>IF(ISNUMBER($R326),COUNTIFS($A$14:$A$1213,$A326,$R$14:$R$1213,"&gt;"&amp;$R326)+(COUNTIFS($A$14:$A$1213,$A326,$R$14:$R$1213,"="&amp;$R326)+1)/2,"")</f>
        <v/>
      </c>
      <c r="AF326" s="27">
        <f>IF(ISNUMBER($S326),COUNTIFS($A$14:$A$1213,$A326,$S$14:$S$1213,"&gt;"&amp;$S326)+(COUNTIFS($A$14:$A$1213,$A326,$S$14:$S$1213,"="&amp;$S326)+1)/2,"")</f>
        <v/>
      </c>
      <c r="AG326" s="27">
        <f>IF(ISNUMBER($T326),COUNTIFS($A$14:$A$1213,$A326,$T$14:$T$1213,"&gt;"&amp;$T326)+(COUNTIFS($A$14:$A$1213,$A326,$T$14:$T$1213,"="&amp;$T326)+1)/2,"")</f>
        <v/>
      </c>
      <c r="AH326" s="27">
        <f>IF(COUNT($AC326:$AG326)&lt;2,"",IF(MAX($AC326:$AG326)=MIN($AC326:$AG326),0,1))</f>
        <v/>
      </c>
      <c r="AI326" s="27">
        <f>IF($A326="","",IF(COUNTIF($A$14:$A326,$A326)=1,COUNTIF($AI$13:AI325,"&gt;0")+1,""))</f>
        <v/>
      </c>
      <c r="AO326" s="27">
        <f>IF($A326="","",IF(AND(COUNTIFS($A$14:$A$1213,$A326,$F$14:$F$1213,"&gt;=0")=2,IFERROR(INDEX($M$14:$M$313,MATCH($A326,$H$14:$H$313,0)),"Yes")&lt;&gt;"Yes"),1,0))</f>
        <v/>
      </c>
    </row>
    <row r="327">
      <c r="A327" s="19">
        <f>IF('Enter messages'!A327="","",'Enter messages'!A327)</f>
        <v/>
      </c>
      <c r="B327" s="20">
        <f>IF('Enter messages'!B327="","",'Enter messages'!B327)</f>
        <v/>
      </c>
      <c r="C327" s="21">
        <f>IFERROR(AVERAGE(P327:T327),"")</f>
        <v/>
      </c>
      <c r="D327" s="29" t="n"/>
      <c r="E327" s="29" t="n"/>
      <c r="F327" s="30">
        <f>IF(AND(ISNUMBER($D327),ISNUMBER($E327),$E327&gt;0,$D327&lt;=$E327),$D327/$E327,"")</f>
        <v/>
      </c>
      <c r="P327" s="26" t="n"/>
      <c r="Q327" s="26" t="n"/>
      <c r="R327" s="26" t="n"/>
      <c r="S327" s="26" t="n"/>
      <c r="T327" s="26" t="n"/>
      <c r="V327" s="27">
        <f>IF(ISNUMBER($C327),COUNTIFS($A$14:$A$1213,$A327,$C$14:$C$1213,"&gt;"&amp;$C327)+(COUNTIFS($A$14:$A$1213,$A327,$C$14:$C$1213,"="&amp;$C327)+1)/2,"")</f>
        <v/>
      </c>
      <c r="W327" s="27">
        <f>IF(ISNUMBER($F327),COUNTIFS($A$14:$A$1213,$A327,$F$14:$F$1213,"&gt;"&amp;$F327)+(COUNTIFS($A$14:$A$1213,$A327,$F$14:$F$1213,"="&amp;$F327)+1)/2,"")</f>
        <v/>
      </c>
      <c r="X327" s="27">
        <f>IF(OR(NOT(ISNUMBER($V327)),$AO327=1),"",$V327-(COUNTIFS($A$14:$A$1213,$A327,$C$14:$C$1213,"&gt;=0")+1)/2)</f>
        <v/>
      </c>
      <c r="Y327" s="27">
        <f>IF(OR(NOT(ISNUMBER($W327)),$AO327=1),"",$W327-(COUNTIFS($A$14:$A$1213,$A327,$F$14:$F$1213,"&gt;=0")+1)/2)</f>
        <v/>
      </c>
      <c r="Z327" s="27">
        <f>IF(ISNUMBER($V327),$A327&amp;"|"&amp;$V327,"")</f>
        <v/>
      </c>
      <c r="AA327" s="27">
        <f>IF(ISNUMBER($W327),$A327&amp;"|"&amp;$W327,"")</f>
        <v/>
      </c>
      <c r="AB327" s="27">
        <f>IF(ISNUMBER($F327),$A327&amp;"|"&amp;$F327,"")</f>
        <v/>
      </c>
      <c r="AC327" s="27">
        <f>IF(ISNUMBER($P327),COUNTIFS($A$14:$A$1213,$A327,$P$14:$P$1213,"&gt;"&amp;$P327)+(COUNTIFS($A$14:$A$1213,$A327,$P$14:$P$1213,"="&amp;$P327)+1)/2,"")</f>
        <v/>
      </c>
      <c r="AD327" s="27">
        <f>IF(ISNUMBER($Q327),COUNTIFS($A$14:$A$1213,$A327,$Q$14:$Q$1213,"&gt;"&amp;$Q327)+(COUNTIFS($A$14:$A$1213,$A327,$Q$14:$Q$1213,"="&amp;$Q327)+1)/2,"")</f>
        <v/>
      </c>
      <c r="AE327" s="27">
        <f>IF(ISNUMBER($R327),COUNTIFS($A$14:$A$1213,$A327,$R$14:$R$1213,"&gt;"&amp;$R327)+(COUNTIFS($A$14:$A$1213,$A327,$R$14:$R$1213,"="&amp;$R327)+1)/2,"")</f>
        <v/>
      </c>
      <c r="AF327" s="27">
        <f>IF(ISNUMBER($S327),COUNTIFS($A$14:$A$1213,$A327,$S$14:$S$1213,"&gt;"&amp;$S327)+(COUNTIFS($A$14:$A$1213,$A327,$S$14:$S$1213,"="&amp;$S327)+1)/2,"")</f>
        <v/>
      </c>
      <c r="AG327" s="27">
        <f>IF(ISNUMBER($T327),COUNTIFS($A$14:$A$1213,$A327,$T$14:$T$1213,"&gt;"&amp;$T327)+(COUNTIFS($A$14:$A$1213,$A327,$T$14:$T$1213,"="&amp;$T327)+1)/2,"")</f>
        <v/>
      </c>
      <c r="AH327" s="27">
        <f>IF(COUNT($AC327:$AG327)&lt;2,"",IF(MAX($AC327:$AG327)=MIN($AC327:$AG327),0,1))</f>
        <v/>
      </c>
      <c r="AI327" s="27">
        <f>IF($A327="","",IF(COUNTIF($A$14:$A327,$A327)=1,COUNTIF($AI$13:AI326,"&gt;0")+1,""))</f>
        <v/>
      </c>
      <c r="AO327" s="27">
        <f>IF($A327="","",IF(AND(COUNTIFS($A$14:$A$1213,$A327,$F$14:$F$1213,"&gt;=0")=2,IFERROR(INDEX($M$14:$M$313,MATCH($A327,$H$14:$H$313,0)),"Yes")&lt;&gt;"Yes"),1,0))</f>
        <v/>
      </c>
    </row>
    <row r="328">
      <c r="A328" s="19">
        <f>IF('Enter messages'!A328="","",'Enter messages'!A328)</f>
        <v/>
      </c>
      <c r="B328" s="20">
        <f>IF('Enter messages'!B328="","",'Enter messages'!B328)</f>
        <v/>
      </c>
      <c r="C328" s="21">
        <f>IFERROR(AVERAGE(P328:T328),"")</f>
        <v/>
      </c>
      <c r="D328" s="29" t="n"/>
      <c r="E328" s="29" t="n"/>
      <c r="F328" s="30">
        <f>IF(AND(ISNUMBER($D328),ISNUMBER($E328),$E328&gt;0,$D328&lt;=$E328),$D328/$E328,"")</f>
        <v/>
      </c>
      <c r="P328" s="26" t="n"/>
      <c r="Q328" s="26" t="n"/>
      <c r="R328" s="26" t="n"/>
      <c r="S328" s="26" t="n"/>
      <c r="T328" s="26" t="n"/>
      <c r="V328" s="27">
        <f>IF(ISNUMBER($C328),COUNTIFS($A$14:$A$1213,$A328,$C$14:$C$1213,"&gt;"&amp;$C328)+(COUNTIFS($A$14:$A$1213,$A328,$C$14:$C$1213,"="&amp;$C328)+1)/2,"")</f>
        <v/>
      </c>
      <c r="W328" s="27">
        <f>IF(ISNUMBER($F328),COUNTIFS($A$14:$A$1213,$A328,$F$14:$F$1213,"&gt;"&amp;$F328)+(COUNTIFS($A$14:$A$1213,$A328,$F$14:$F$1213,"="&amp;$F328)+1)/2,"")</f>
        <v/>
      </c>
      <c r="X328" s="27">
        <f>IF(OR(NOT(ISNUMBER($V328)),$AO328=1),"",$V328-(COUNTIFS($A$14:$A$1213,$A328,$C$14:$C$1213,"&gt;=0")+1)/2)</f>
        <v/>
      </c>
      <c r="Y328" s="27">
        <f>IF(OR(NOT(ISNUMBER($W328)),$AO328=1),"",$W328-(COUNTIFS($A$14:$A$1213,$A328,$F$14:$F$1213,"&gt;=0")+1)/2)</f>
        <v/>
      </c>
      <c r="Z328" s="27">
        <f>IF(ISNUMBER($V328),$A328&amp;"|"&amp;$V328,"")</f>
        <v/>
      </c>
      <c r="AA328" s="27">
        <f>IF(ISNUMBER($W328),$A328&amp;"|"&amp;$W328,"")</f>
        <v/>
      </c>
      <c r="AB328" s="27">
        <f>IF(ISNUMBER($F328),$A328&amp;"|"&amp;$F328,"")</f>
        <v/>
      </c>
      <c r="AC328" s="27">
        <f>IF(ISNUMBER($P328),COUNTIFS($A$14:$A$1213,$A328,$P$14:$P$1213,"&gt;"&amp;$P328)+(COUNTIFS($A$14:$A$1213,$A328,$P$14:$P$1213,"="&amp;$P328)+1)/2,"")</f>
        <v/>
      </c>
      <c r="AD328" s="27">
        <f>IF(ISNUMBER($Q328),COUNTIFS($A$14:$A$1213,$A328,$Q$14:$Q$1213,"&gt;"&amp;$Q328)+(COUNTIFS($A$14:$A$1213,$A328,$Q$14:$Q$1213,"="&amp;$Q328)+1)/2,"")</f>
        <v/>
      </c>
      <c r="AE328" s="27">
        <f>IF(ISNUMBER($R328),COUNTIFS($A$14:$A$1213,$A328,$R$14:$R$1213,"&gt;"&amp;$R328)+(COUNTIFS($A$14:$A$1213,$A328,$R$14:$R$1213,"="&amp;$R328)+1)/2,"")</f>
        <v/>
      </c>
      <c r="AF328" s="27">
        <f>IF(ISNUMBER($S328),COUNTIFS($A$14:$A$1213,$A328,$S$14:$S$1213,"&gt;"&amp;$S328)+(COUNTIFS($A$14:$A$1213,$A328,$S$14:$S$1213,"="&amp;$S328)+1)/2,"")</f>
        <v/>
      </c>
      <c r="AG328" s="27">
        <f>IF(ISNUMBER($T328),COUNTIFS($A$14:$A$1213,$A328,$T$14:$T$1213,"&gt;"&amp;$T328)+(COUNTIFS($A$14:$A$1213,$A328,$T$14:$T$1213,"="&amp;$T328)+1)/2,"")</f>
        <v/>
      </c>
      <c r="AH328" s="27">
        <f>IF(COUNT($AC328:$AG328)&lt;2,"",IF(MAX($AC328:$AG328)=MIN($AC328:$AG328),0,1))</f>
        <v/>
      </c>
      <c r="AI328" s="27">
        <f>IF($A328="","",IF(COUNTIF($A$14:$A328,$A328)=1,COUNTIF($AI$13:AI327,"&gt;0")+1,""))</f>
        <v/>
      </c>
      <c r="AO328" s="27">
        <f>IF($A328="","",IF(AND(COUNTIFS($A$14:$A$1213,$A328,$F$14:$F$1213,"&gt;=0")=2,IFERROR(INDEX($M$14:$M$313,MATCH($A328,$H$14:$H$313,0)),"Yes")&lt;&gt;"Yes"),1,0))</f>
        <v/>
      </c>
    </row>
    <row r="329">
      <c r="A329" s="19">
        <f>IF('Enter messages'!A329="","",'Enter messages'!A329)</f>
        <v/>
      </c>
      <c r="B329" s="20">
        <f>IF('Enter messages'!B329="","",'Enter messages'!B329)</f>
        <v/>
      </c>
      <c r="C329" s="21">
        <f>IFERROR(AVERAGE(P329:T329),"")</f>
        <v/>
      </c>
      <c r="D329" s="29" t="n"/>
      <c r="E329" s="29" t="n"/>
      <c r="F329" s="30">
        <f>IF(AND(ISNUMBER($D329),ISNUMBER($E329),$E329&gt;0,$D329&lt;=$E329),$D329/$E329,"")</f>
        <v/>
      </c>
      <c r="P329" s="26" t="n"/>
      <c r="Q329" s="26" t="n"/>
      <c r="R329" s="26" t="n"/>
      <c r="S329" s="26" t="n"/>
      <c r="T329" s="26" t="n"/>
      <c r="V329" s="27">
        <f>IF(ISNUMBER($C329),COUNTIFS($A$14:$A$1213,$A329,$C$14:$C$1213,"&gt;"&amp;$C329)+(COUNTIFS($A$14:$A$1213,$A329,$C$14:$C$1213,"="&amp;$C329)+1)/2,"")</f>
        <v/>
      </c>
      <c r="W329" s="27">
        <f>IF(ISNUMBER($F329),COUNTIFS($A$14:$A$1213,$A329,$F$14:$F$1213,"&gt;"&amp;$F329)+(COUNTIFS($A$14:$A$1213,$A329,$F$14:$F$1213,"="&amp;$F329)+1)/2,"")</f>
        <v/>
      </c>
      <c r="X329" s="27">
        <f>IF(OR(NOT(ISNUMBER($V329)),$AO329=1),"",$V329-(COUNTIFS($A$14:$A$1213,$A329,$C$14:$C$1213,"&gt;=0")+1)/2)</f>
        <v/>
      </c>
      <c r="Y329" s="27">
        <f>IF(OR(NOT(ISNUMBER($W329)),$AO329=1),"",$W329-(COUNTIFS($A$14:$A$1213,$A329,$F$14:$F$1213,"&gt;=0")+1)/2)</f>
        <v/>
      </c>
      <c r="Z329" s="27">
        <f>IF(ISNUMBER($V329),$A329&amp;"|"&amp;$V329,"")</f>
        <v/>
      </c>
      <c r="AA329" s="27">
        <f>IF(ISNUMBER($W329),$A329&amp;"|"&amp;$W329,"")</f>
        <v/>
      </c>
      <c r="AB329" s="27">
        <f>IF(ISNUMBER($F329),$A329&amp;"|"&amp;$F329,"")</f>
        <v/>
      </c>
      <c r="AC329" s="27">
        <f>IF(ISNUMBER($P329),COUNTIFS($A$14:$A$1213,$A329,$P$14:$P$1213,"&gt;"&amp;$P329)+(COUNTIFS($A$14:$A$1213,$A329,$P$14:$P$1213,"="&amp;$P329)+1)/2,"")</f>
        <v/>
      </c>
      <c r="AD329" s="27">
        <f>IF(ISNUMBER($Q329),COUNTIFS($A$14:$A$1213,$A329,$Q$14:$Q$1213,"&gt;"&amp;$Q329)+(COUNTIFS($A$14:$A$1213,$A329,$Q$14:$Q$1213,"="&amp;$Q329)+1)/2,"")</f>
        <v/>
      </c>
      <c r="AE329" s="27">
        <f>IF(ISNUMBER($R329),COUNTIFS($A$14:$A$1213,$A329,$R$14:$R$1213,"&gt;"&amp;$R329)+(COUNTIFS($A$14:$A$1213,$A329,$R$14:$R$1213,"="&amp;$R329)+1)/2,"")</f>
        <v/>
      </c>
      <c r="AF329" s="27">
        <f>IF(ISNUMBER($S329),COUNTIFS($A$14:$A$1213,$A329,$S$14:$S$1213,"&gt;"&amp;$S329)+(COUNTIFS($A$14:$A$1213,$A329,$S$14:$S$1213,"="&amp;$S329)+1)/2,"")</f>
        <v/>
      </c>
      <c r="AG329" s="27">
        <f>IF(ISNUMBER($T329),COUNTIFS($A$14:$A$1213,$A329,$T$14:$T$1213,"&gt;"&amp;$T329)+(COUNTIFS($A$14:$A$1213,$A329,$T$14:$T$1213,"="&amp;$T329)+1)/2,"")</f>
        <v/>
      </c>
      <c r="AH329" s="27">
        <f>IF(COUNT($AC329:$AG329)&lt;2,"",IF(MAX($AC329:$AG329)=MIN($AC329:$AG329),0,1))</f>
        <v/>
      </c>
      <c r="AI329" s="27">
        <f>IF($A329="","",IF(COUNTIF($A$14:$A329,$A329)=1,COUNTIF($AI$13:AI328,"&gt;0")+1,""))</f>
        <v/>
      </c>
      <c r="AO329" s="27">
        <f>IF($A329="","",IF(AND(COUNTIFS($A$14:$A$1213,$A329,$F$14:$F$1213,"&gt;=0")=2,IFERROR(INDEX($M$14:$M$313,MATCH($A329,$H$14:$H$313,0)),"Yes")&lt;&gt;"Yes"),1,0))</f>
        <v/>
      </c>
    </row>
    <row r="330">
      <c r="A330" s="19">
        <f>IF('Enter messages'!A330="","",'Enter messages'!A330)</f>
        <v/>
      </c>
      <c r="B330" s="20">
        <f>IF('Enter messages'!B330="","",'Enter messages'!B330)</f>
        <v/>
      </c>
      <c r="C330" s="21">
        <f>IFERROR(AVERAGE(P330:T330),"")</f>
        <v/>
      </c>
      <c r="D330" s="29" t="n"/>
      <c r="E330" s="29" t="n"/>
      <c r="F330" s="30">
        <f>IF(AND(ISNUMBER($D330),ISNUMBER($E330),$E330&gt;0,$D330&lt;=$E330),$D330/$E330,"")</f>
        <v/>
      </c>
      <c r="P330" s="26" t="n"/>
      <c r="Q330" s="26" t="n"/>
      <c r="R330" s="26" t="n"/>
      <c r="S330" s="26" t="n"/>
      <c r="T330" s="26" t="n"/>
      <c r="V330" s="27">
        <f>IF(ISNUMBER($C330),COUNTIFS($A$14:$A$1213,$A330,$C$14:$C$1213,"&gt;"&amp;$C330)+(COUNTIFS($A$14:$A$1213,$A330,$C$14:$C$1213,"="&amp;$C330)+1)/2,"")</f>
        <v/>
      </c>
      <c r="W330" s="27">
        <f>IF(ISNUMBER($F330),COUNTIFS($A$14:$A$1213,$A330,$F$14:$F$1213,"&gt;"&amp;$F330)+(COUNTIFS($A$14:$A$1213,$A330,$F$14:$F$1213,"="&amp;$F330)+1)/2,"")</f>
        <v/>
      </c>
      <c r="X330" s="27">
        <f>IF(OR(NOT(ISNUMBER($V330)),$AO330=1),"",$V330-(COUNTIFS($A$14:$A$1213,$A330,$C$14:$C$1213,"&gt;=0")+1)/2)</f>
        <v/>
      </c>
      <c r="Y330" s="27">
        <f>IF(OR(NOT(ISNUMBER($W330)),$AO330=1),"",$W330-(COUNTIFS($A$14:$A$1213,$A330,$F$14:$F$1213,"&gt;=0")+1)/2)</f>
        <v/>
      </c>
      <c r="Z330" s="27">
        <f>IF(ISNUMBER($V330),$A330&amp;"|"&amp;$V330,"")</f>
        <v/>
      </c>
      <c r="AA330" s="27">
        <f>IF(ISNUMBER($W330),$A330&amp;"|"&amp;$W330,"")</f>
        <v/>
      </c>
      <c r="AB330" s="27">
        <f>IF(ISNUMBER($F330),$A330&amp;"|"&amp;$F330,"")</f>
        <v/>
      </c>
      <c r="AC330" s="27">
        <f>IF(ISNUMBER($P330),COUNTIFS($A$14:$A$1213,$A330,$P$14:$P$1213,"&gt;"&amp;$P330)+(COUNTIFS($A$14:$A$1213,$A330,$P$14:$P$1213,"="&amp;$P330)+1)/2,"")</f>
        <v/>
      </c>
      <c r="AD330" s="27">
        <f>IF(ISNUMBER($Q330),COUNTIFS($A$14:$A$1213,$A330,$Q$14:$Q$1213,"&gt;"&amp;$Q330)+(COUNTIFS($A$14:$A$1213,$A330,$Q$14:$Q$1213,"="&amp;$Q330)+1)/2,"")</f>
        <v/>
      </c>
      <c r="AE330" s="27">
        <f>IF(ISNUMBER($R330),COUNTIFS($A$14:$A$1213,$A330,$R$14:$R$1213,"&gt;"&amp;$R330)+(COUNTIFS($A$14:$A$1213,$A330,$R$14:$R$1213,"="&amp;$R330)+1)/2,"")</f>
        <v/>
      </c>
      <c r="AF330" s="27">
        <f>IF(ISNUMBER($S330),COUNTIFS($A$14:$A$1213,$A330,$S$14:$S$1213,"&gt;"&amp;$S330)+(COUNTIFS($A$14:$A$1213,$A330,$S$14:$S$1213,"="&amp;$S330)+1)/2,"")</f>
        <v/>
      </c>
      <c r="AG330" s="27">
        <f>IF(ISNUMBER($T330),COUNTIFS($A$14:$A$1213,$A330,$T$14:$T$1213,"&gt;"&amp;$T330)+(COUNTIFS($A$14:$A$1213,$A330,$T$14:$T$1213,"="&amp;$T330)+1)/2,"")</f>
        <v/>
      </c>
      <c r="AH330" s="27">
        <f>IF(COUNT($AC330:$AG330)&lt;2,"",IF(MAX($AC330:$AG330)=MIN($AC330:$AG330),0,1))</f>
        <v/>
      </c>
      <c r="AI330" s="27">
        <f>IF($A330="","",IF(COUNTIF($A$14:$A330,$A330)=1,COUNTIF($AI$13:AI329,"&gt;0")+1,""))</f>
        <v/>
      </c>
      <c r="AO330" s="27">
        <f>IF($A330="","",IF(AND(COUNTIFS($A$14:$A$1213,$A330,$F$14:$F$1213,"&gt;=0")=2,IFERROR(INDEX($M$14:$M$313,MATCH($A330,$H$14:$H$313,0)),"Yes")&lt;&gt;"Yes"),1,0))</f>
        <v/>
      </c>
    </row>
    <row r="331">
      <c r="A331" s="19">
        <f>IF('Enter messages'!A331="","",'Enter messages'!A331)</f>
        <v/>
      </c>
      <c r="B331" s="20">
        <f>IF('Enter messages'!B331="","",'Enter messages'!B331)</f>
        <v/>
      </c>
      <c r="C331" s="21">
        <f>IFERROR(AVERAGE(P331:T331),"")</f>
        <v/>
      </c>
      <c r="D331" s="29" t="n"/>
      <c r="E331" s="29" t="n"/>
      <c r="F331" s="30">
        <f>IF(AND(ISNUMBER($D331),ISNUMBER($E331),$E331&gt;0,$D331&lt;=$E331),$D331/$E331,"")</f>
        <v/>
      </c>
      <c r="P331" s="26" t="n"/>
      <c r="Q331" s="26" t="n"/>
      <c r="R331" s="26" t="n"/>
      <c r="S331" s="26" t="n"/>
      <c r="T331" s="26" t="n"/>
      <c r="V331" s="27">
        <f>IF(ISNUMBER($C331),COUNTIFS($A$14:$A$1213,$A331,$C$14:$C$1213,"&gt;"&amp;$C331)+(COUNTIFS($A$14:$A$1213,$A331,$C$14:$C$1213,"="&amp;$C331)+1)/2,"")</f>
        <v/>
      </c>
      <c r="W331" s="27">
        <f>IF(ISNUMBER($F331),COUNTIFS($A$14:$A$1213,$A331,$F$14:$F$1213,"&gt;"&amp;$F331)+(COUNTIFS($A$14:$A$1213,$A331,$F$14:$F$1213,"="&amp;$F331)+1)/2,"")</f>
        <v/>
      </c>
      <c r="X331" s="27">
        <f>IF(OR(NOT(ISNUMBER($V331)),$AO331=1),"",$V331-(COUNTIFS($A$14:$A$1213,$A331,$C$14:$C$1213,"&gt;=0")+1)/2)</f>
        <v/>
      </c>
      <c r="Y331" s="27">
        <f>IF(OR(NOT(ISNUMBER($W331)),$AO331=1),"",$W331-(COUNTIFS($A$14:$A$1213,$A331,$F$14:$F$1213,"&gt;=0")+1)/2)</f>
        <v/>
      </c>
      <c r="Z331" s="27">
        <f>IF(ISNUMBER($V331),$A331&amp;"|"&amp;$V331,"")</f>
        <v/>
      </c>
      <c r="AA331" s="27">
        <f>IF(ISNUMBER($W331),$A331&amp;"|"&amp;$W331,"")</f>
        <v/>
      </c>
      <c r="AB331" s="27">
        <f>IF(ISNUMBER($F331),$A331&amp;"|"&amp;$F331,"")</f>
        <v/>
      </c>
      <c r="AC331" s="27">
        <f>IF(ISNUMBER($P331),COUNTIFS($A$14:$A$1213,$A331,$P$14:$P$1213,"&gt;"&amp;$P331)+(COUNTIFS($A$14:$A$1213,$A331,$P$14:$P$1213,"="&amp;$P331)+1)/2,"")</f>
        <v/>
      </c>
      <c r="AD331" s="27">
        <f>IF(ISNUMBER($Q331),COUNTIFS($A$14:$A$1213,$A331,$Q$14:$Q$1213,"&gt;"&amp;$Q331)+(COUNTIFS($A$14:$A$1213,$A331,$Q$14:$Q$1213,"="&amp;$Q331)+1)/2,"")</f>
        <v/>
      </c>
      <c r="AE331" s="27">
        <f>IF(ISNUMBER($R331),COUNTIFS($A$14:$A$1213,$A331,$R$14:$R$1213,"&gt;"&amp;$R331)+(COUNTIFS($A$14:$A$1213,$A331,$R$14:$R$1213,"="&amp;$R331)+1)/2,"")</f>
        <v/>
      </c>
      <c r="AF331" s="27">
        <f>IF(ISNUMBER($S331),COUNTIFS($A$14:$A$1213,$A331,$S$14:$S$1213,"&gt;"&amp;$S331)+(COUNTIFS($A$14:$A$1213,$A331,$S$14:$S$1213,"="&amp;$S331)+1)/2,"")</f>
        <v/>
      </c>
      <c r="AG331" s="27">
        <f>IF(ISNUMBER($T331),COUNTIFS($A$14:$A$1213,$A331,$T$14:$T$1213,"&gt;"&amp;$T331)+(COUNTIFS($A$14:$A$1213,$A331,$T$14:$T$1213,"="&amp;$T331)+1)/2,"")</f>
        <v/>
      </c>
      <c r="AH331" s="27">
        <f>IF(COUNT($AC331:$AG331)&lt;2,"",IF(MAX($AC331:$AG331)=MIN($AC331:$AG331),0,1))</f>
        <v/>
      </c>
      <c r="AI331" s="27">
        <f>IF($A331="","",IF(COUNTIF($A$14:$A331,$A331)=1,COUNTIF($AI$13:AI330,"&gt;0")+1,""))</f>
        <v/>
      </c>
      <c r="AO331" s="27">
        <f>IF($A331="","",IF(AND(COUNTIFS($A$14:$A$1213,$A331,$F$14:$F$1213,"&gt;=0")=2,IFERROR(INDEX($M$14:$M$313,MATCH($A331,$H$14:$H$313,0)),"Yes")&lt;&gt;"Yes"),1,0))</f>
        <v/>
      </c>
    </row>
    <row r="332">
      <c r="A332" s="19">
        <f>IF('Enter messages'!A332="","",'Enter messages'!A332)</f>
        <v/>
      </c>
      <c r="B332" s="20">
        <f>IF('Enter messages'!B332="","",'Enter messages'!B332)</f>
        <v/>
      </c>
      <c r="C332" s="21">
        <f>IFERROR(AVERAGE(P332:T332),"")</f>
        <v/>
      </c>
      <c r="D332" s="29" t="n"/>
      <c r="E332" s="29" t="n"/>
      <c r="F332" s="30">
        <f>IF(AND(ISNUMBER($D332),ISNUMBER($E332),$E332&gt;0,$D332&lt;=$E332),$D332/$E332,"")</f>
        <v/>
      </c>
      <c r="P332" s="26" t="n"/>
      <c r="Q332" s="26" t="n"/>
      <c r="R332" s="26" t="n"/>
      <c r="S332" s="26" t="n"/>
      <c r="T332" s="26" t="n"/>
      <c r="V332" s="27">
        <f>IF(ISNUMBER($C332),COUNTIFS($A$14:$A$1213,$A332,$C$14:$C$1213,"&gt;"&amp;$C332)+(COUNTIFS($A$14:$A$1213,$A332,$C$14:$C$1213,"="&amp;$C332)+1)/2,"")</f>
        <v/>
      </c>
      <c r="W332" s="27">
        <f>IF(ISNUMBER($F332),COUNTIFS($A$14:$A$1213,$A332,$F$14:$F$1213,"&gt;"&amp;$F332)+(COUNTIFS($A$14:$A$1213,$A332,$F$14:$F$1213,"="&amp;$F332)+1)/2,"")</f>
        <v/>
      </c>
      <c r="X332" s="27">
        <f>IF(OR(NOT(ISNUMBER($V332)),$AO332=1),"",$V332-(COUNTIFS($A$14:$A$1213,$A332,$C$14:$C$1213,"&gt;=0")+1)/2)</f>
        <v/>
      </c>
      <c r="Y332" s="27">
        <f>IF(OR(NOT(ISNUMBER($W332)),$AO332=1),"",$W332-(COUNTIFS($A$14:$A$1213,$A332,$F$14:$F$1213,"&gt;=0")+1)/2)</f>
        <v/>
      </c>
      <c r="Z332" s="27">
        <f>IF(ISNUMBER($V332),$A332&amp;"|"&amp;$V332,"")</f>
        <v/>
      </c>
      <c r="AA332" s="27">
        <f>IF(ISNUMBER($W332),$A332&amp;"|"&amp;$W332,"")</f>
        <v/>
      </c>
      <c r="AB332" s="27">
        <f>IF(ISNUMBER($F332),$A332&amp;"|"&amp;$F332,"")</f>
        <v/>
      </c>
      <c r="AC332" s="27">
        <f>IF(ISNUMBER($P332),COUNTIFS($A$14:$A$1213,$A332,$P$14:$P$1213,"&gt;"&amp;$P332)+(COUNTIFS($A$14:$A$1213,$A332,$P$14:$P$1213,"="&amp;$P332)+1)/2,"")</f>
        <v/>
      </c>
      <c r="AD332" s="27">
        <f>IF(ISNUMBER($Q332),COUNTIFS($A$14:$A$1213,$A332,$Q$14:$Q$1213,"&gt;"&amp;$Q332)+(COUNTIFS($A$14:$A$1213,$A332,$Q$14:$Q$1213,"="&amp;$Q332)+1)/2,"")</f>
        <v/>
      </c>
      <c r="AE332" s="27">
        <f>IF(ISNUMBER($R332),COUNTIFS($A$14:$A$1213,$A332,$R$14:$R$1213,"&gt;"&amp;$R332)+(COUNTIFS($A$14:$A$1213,$A332,$R$14:$R$1213,"="&amp;$R332)+1)/2,"")</f>
        <v/>
      </c>
      <c r="AF332" s="27">
        <f>IF(ISNUMBER($S332),COUNTIFS($A$14:$A$1213,$A332,$S$14:$S$1213,"&gt;"&amp;$S332)+(COUNTIFS($A$14:$A$1213,$A332,$S$14:$S$1213,"="&amp;$S332)+1)/2,"")</f>
        <v/>
      </c>
      <c r="AG332" s="27">
        <f>IF(ISNUMBER($T332),COUNTIFS($A$14:$A$1213,$A332,$T$14:$T$1213,"&gt;"&amp;$T332)+(COUNTIFS($A$14:$A$1213,$A332,$T$14:$T$1213,"="&amp;$T332)+1)/2,"")</f>
        <v/>
      </c>
      <c r="AH332" s="27">
        <f>IF(COUNT($AC332:$AG332)&lt;2,"",IF(MAX($AC332:$AG332)=MIN($AC332:$AG332),0,1))</f>
        <v/>
      </c>
      <c r="AI332" s="27">
        <f>IF($A332="","",IF(COUNTIF($A$14:$A332,$A332)=1,COUNTIF($AI$13:AI331,"&gt;0")+1,""))</f>
        <v/>
      </c>
      <c r="AO332" s="27">
        <f>IF($A332="","",IF(AND(COUNTIFS($A$14:$A$1213,$A332,$F$14:$F$1213,"&gt;=0")=2,IFERROR(INDEX($M$14:$M$313,MATCH($A332,$H$14:$H$313,0)),"Yes")&lt;&gt;"Yes"),1,0))</f>
        <v/>
      </c>
    </row>
    <row r="333">
      <c r="A333" s="19">
        <f>IF('Enter messages'!A333="","",'Enter messages'!A333)</f>
        <v/>
      </c>
      <c r="B333" s="20">
        <f>IF('Enter messages'!B333="","",'Enter messages'!B333)</f>
        <v/>
      </c>
      <c r="C333" s="21">
        <f>IFERROR(AVERAGE(P333:T333),"")</f>
        <v/>
      </c>
      <c r="D333" s="29" t="n"/>
      <c r="E333" s="29" t="n"/>
      <c r="F333" s="30">
        <f>IF(AND(ISNUMBER($D333),ISNUMBER($E333),$E333&gt;0,$D333&lt;=$E333),$D333/$E333,"")</f>
        <v/>
      </c>
      <c r="P333" s="26" t="n"/>
      <c r="Q333" s="26" t="n"/>
      <c r="R333" s="26" t="n"/>
      <c r="S333" s="26" t="n"/>
      <c r="T333" s="26" t="n"/>
      <c r="V333" s="27">
        <f>IF(ISNUMBER($C333),COUNTIFS($A$14:$A$1213,$A333,$C$14:$C$1213,"&gt;"&amp;$C333)+(COUNTIFS($A$14:$A$1213,$A333,$C$14:$C$1213,"="&amp;$C333)+1)/2,"")</f>
        <v/>
      </c>
      <c r="W333" s="27">
        <f>IF(ISNUMBER($F333),COUNTIFS($A$14:$A$1213,$A333,$F$14:$F$1213,"&gt;"&amp;$F333)+(COUNTIFS($A$14:$A$1213,$A333,$F$14:$F$1213,"="&amp;$F333)+1)/2,"")</f>
        <v/>
      </c>
      <c r="X333" s="27">
        <f>IF(OR(NOT(ISNUMBER($V333)),$AO333=1),"",$V333-(COUNTIFS($A$14:$A$1213,$A333,$C$14:$C$1213,"&gt;=0")+1)/2)</f>
        <v/>
      </c>
      <c r="Y333" s="27">
        <f>IF(OR(NOT(ISNUMBER($W333)),$AO333=1),"",$W333-(COUNTIFS($A$14:$A$1213,$A333,$F$14:$F$1213,"&gt;=0")+1)/2)</f>
        <v/>
      </c>
      <c r="Z333" s="27">
        <f>IF(ISNUMBER($V333),$A333&amp;"|"&amp;$V333,"")</f>
        <v/>
      </c>
      <c r="AA333" s="27">
        <f>IF(ISNUMBER($W333),$A333&amp;"|"&amp;$W333,"")</f>
        <v/>
      </c>
      <c r="AB333" s="27">
        <f>IF(ISNUMBER($F333),$A333&amp;"|"&amp;$F333,"")</f>
        <v/>
      </c>
      <c r="AC333" s="27">
        <f>IF(ISNUMBER($P333),COUNTIFS($A$14:$A$1213,$A333,$P$14:$P$1213,"&gt;"&amp;$P333)+(COUNTIFS($A$14:$A$1213,$A333,$P$14:$P$1213,"="&amp;$P333)+1)/2,"")</f>
        <v/>
      </c>
      <c r="AD333" s="27">
        <f>IF(ISNUMBER($Q333),COUNTIFS($A$14:$A$1213,$A333,$Q$14:$Q$1213,"&gt;"&amp;$Q333)+(COUNTIFS($A$14:$A$1213,$A333,$Q$14:$Q$1213,"="&amp;$Q333)+1)/2,"")</f>
        <v/>
      </c>
      <c r="AE333" s="27">
        <f>IF(ISNUMBER($R333),COUNTIFS($A$14:$A$1213,$A333,$R$14:$R$1213,"&gt;"&amp;$R333)+(COUNTIFS($A$14:$A$1213,$A333,$R$14:$R$1213,"="&amp;$R333)+1)/2,"")</f>
        <v/>
      </c>
      <c r="AF333" s="27">
        <f>IF(ISNUMBER($S333),COUNTIFS($A$14:$A$1213,$A333,$S$14:$S$1213,"&gt;"&amp;$S333)+(COUNTIFS($A$14:$A$1213,$A333,$S$14:$S$1213,"="&amp;$S333)+1)/2,"")</f>
        <v/>
      </c>
      <c r="AG333" s="27">
        <f>IF(ISNUMBER($T333),COUNTIFS($A$14:$A$1213,$A333,$T$14:$T$1213,"&gt;"&amp;$T333)+(COUNTIFS($A$14:$A$1213,$A333,$T$14:$T$1213,"="&amp;$T333)+1)/2,"")</f>
        <v/>
      </c>
      <c r="AH333" s="27">
        <f>IF(COUNT($AC333:$AG333)&lt;2,"",IF(MAX($AC333:$AG333)=MIN($AC333:$AG333),0,1))</f>
        <v/>
      </c>
      <c r="AI333" s="27">
        <f>IF($A333="","",IF(COUNTIF($A$14:$A333,$A333)=1,COUNTIF($AI$13:AI332,"&gt;0")+1,""))</f>
        <v/>
      </c>
      <c r="AO333" s="27">
        <f>IF($A333="","",IF(AND(COUNTIFS($A$14:$A$1213,$A333,$F$14:$F$1213,"&gt;=0")=2,IFERROR(INDEX($M$14:$M$313,MATCH($A333,$H$14:$H$313,0)),"Yes")&lt;&gt;"Yes"),1,0))</f>
        <v/>
      </c>
    </row>
    <row r="334">
      <c r="A334" s="19">
        <f>IF('Enter messages'!A334="","",'Enter messages'!A334)</f>
        <v/>
      </c>
      <c r="B334" s="20">
        <f>IF('Enter messages'!B334="","",'Enter messages'!B334)</f>
        <v/>
      </c>
      <c r="C334" s="21">
        <f>IFERROR(AVERAGE(P334:T334),"")</f>
        <v/>
      </c>
      <c r="D334" s="29" t="n"/>
      <c r="E334" s="29" t="n"/>
      <c r="F334" s="30">
        <f>IF(AND(ISNUMBER($D334),ISNUMBER($E334),$E334&gt;0,$D334&lt;=$E334),$D334/$E334,"")</f>
        <v/>
      </c>
      <c r="P334" s="26" t="n"/>
      <c r="Q334" s="26" t="n"/>
      <c r="R334" s="26" t="n"/>
      <c r="S334" s="26" t="n"/>
      <c r="T334" s="26" t="n"/>
      <c r="V334" s="27">
        <f>IF(ISNUMBER($C334),COUNTIFS($A$14:$A$1213,$A334,$C$14:$C$1213,"&gt;"&amp;$C334)+(COUNTIFS($A$14:$A$1213,$A334,$C$14:$C$1213,"="&amp;$C334)+1)/2,"")</f>
        <v/>
      </c>
      <c r="W334" s="27">
        <f>IF(ISNUMBER($F334),COUNTIFS($A$14:$A$1213,$A334,$F$14:$F$1213,"&gt;"&amp;$F334)+(COUNTIFS($A$14:$A$1213,$A334,$F$14:$F$1213,"="&amp;$F334)+1)/2,"")</f>
        <v/>
      </c>
      <c r="X334" s="27">
        <f>IF(OR(NOT(ISNUMBER($V334)),$AO334=1),"",$V334-(COUNTIFS($A$14:$A$1213,$A334,$C$14:$C$1213,"&gt;=0")+1)/2)</f>
        <v/>
      </c>
      <c r="Y334" s="27">
        <f>IF(OR(NOT(ISNUMBER($W334)),$AO334=1),"",$W334-(COUNTIFS($A$14:$A$1213,$A334,$F$14:$F$1213,"&gt;=0")+1)/2)</f>
        <v/>
      </c>
      <c r="Z334" s="27">
        <f>IF(ISNUMBER($V334),$A334&amp;"|"&amp;$V334,"")</f>
        <v/>
      </c>
      <c r="AA334" s="27">
        <f>IF(ISNUMBER($W334),$A334&amp;"|"&amp;$W334,"")</f>
        <v/>
      </c>
      <c r="AB334" s="27">
        <f>IF(ISNUMBER($F334),$A334&amp;"|"&amp;$F334,"")</f>
        <v/>
      </c>
      <c r="AC334" s="27">
        <f>IF(ISNUMBER($P334),COUNTIFS($A$14:$A$1213,$A334,$P$14:$P$1213,"&gt;"&amp;$P334)+(COUNTIFS($A$14:$A$1213,$A334,$P$14:$P$1213,"="&amp;$P334)+1)/2,"")</f>
        <v/>
      </c>
      <c r="AD334" s="27">
        <f>IF(ISNUMBER($Q334),COUNTIFS($A$14:$A$1213,$A334,$Q$14:$Q$1213,"&gt;"&amp;$Q334)+(COUNTIFS($A$14:$A$1213,$A334,$Q$14:$Q$1213,"="&amp;$Q334)+1)/2,"")</f>
        <v/>
      </c>
      <c r="AE334" s="27">
        <f>IF(ISNUMBER($R334),COUNTIFS($A$14:$A$1213,$A334,$R$14:$R$1213,"&gt;"&amp;$R334)+(COUNTIFS($A$14:$A$1213,$A334,$R$14:$R$1213,"="&amp;$R334)+1)/2,"")</f>
        <v/>
      </c>
      <c r="AF334" s="27">
        <f>IF(ISNUMBER($S334),COUNTIFS($A$14:$A$1213,$A334,$S$14:$S$1213,"&gt;"&amp;$S334)+(COUNTIFS($A$14:$A$1213,$A334,$S$14:$S$1213,"="&amp;$S334)+1)/2,"")</f>
        <v/>
      </c>
      <c r="AG334" s="27">
        <f>IF(ISNUMBER($T334),COUNTIFS($A$14:$A$1213,$A334,$T$14:$T$1213,"&gt;"&amp;$T334)+(COUNTIFS($A$14:$A$1213,$A334,$T$14:$T$1213,"="&amp;$T334)+1)/2,"")</f>
        <v/>
      </c>
      <c r="AH334" s="27">
        <f>IF(COUNT($AC334:$AG334)&lt;2,"",IF(MAX($AC334:$AG334)=MIN($AC334:$AG334),0,1))</f>
        <v/>
      </c>
      <c r="AI334" s="27">
        <f>IF($A334="","",IF(COUNTIF($A$14:$A334,$A334)=1,COUNTIF($AI$13:AI333,"&gt;0")+1,""))</f>
        <v/>
      </c>
      <c r="AO334" s="27">
        <f>IF($A334="","",IF(AND(COUNTIFS($A$14:$A$1213,$A334,$F$14:$F$1213,"&gt;=0")=2,IFERROR(INDEX($M$14:$M$313,MATCH($A334,$H$14:$H$313,0)),"Yes")&lt;&gt;"Yes"),1,0))</f>
        <v/>
      </c>
    </row>
    <row r="335">
      <c r="A335" s="19">
        <f>IF('Enter messages'!A335="","",'Enter messages'!A335)</f>
        <v/>
      </c>
      <c r="B335" s="20">
        <f>IF('Enter messages'!B335="","",'Enter messages'!B335)</f>
        <v/>
      </c>
      <c r="C335" s="21">
        <f>IFERROR(AVERAGE(P335:T335),"")</f>
        <v/>
      </c>
      <c r="D335" s="29" t="n"/>
      <c r="E335" s="29" t="n"/>
      <c r="F335" s="30">
        <f>IF(AND(ISNUMBER($D335),ISNUMBER($E335),$E335&gt;0,$D335&lt;=$E335),$D335/$E335,"")</f>
        <v/>
      </c>
      <c r="P335" s="26" t="n"/>
      <c r="Q335" s="26" t="n"/>
      <c r="R335" s="26" t="n"/>
      <c r="S335" s="26" t="n"/>
      <c r="T335" s="26" t="n"/>
      <c r="V335" s="27">
        <f>IF(ISNUMBER($C335),COUNTIFS($A$14:$A$1213,$A335,$C$14:$C$1213,"&gt;"&amp;$C335)+(COUNTIFS($A$14:$A$1213,$A335,$C$14:$C$1213,"="&amp;$C335)+1)/2,"")</f>
        <v/>
      </c>
      <c r="W335" s="27">
        <f>IF(ISNUMBER($F335),COUNTIFS($A$14:$A$1213,$A335,$F$14:$F$1213,"&gt;"&amp;$F335)+(COUNTIFS($A$14:$A$1213,$A335,$F$14:$F$1213,"="&amp;$F335)+1)/2,"")</f>
        <v/>
      </c>
      <c r="X335" s="27">
        <f>IF(OR(NOT(ISNUMBER($V335)),$AO335=1),"",$V335-(COUNTIFS($A$14:$A$1213,$A335,$C$14:$C$1213,"&gt;=0")+1)/2)</f>
        <v/>
      </c>
      <c r="Y335" s="27">
        <f>IF(OR(NOT(ISNUMBER($W335)),$AO335=1),"",$W335-(COUNTIFS($A$14:$A$1213,$A335,$F$14:$F$1213,"&gt;=0")+1)/2)</f>
        <v/>
      </c>
      <c r="Z335" s="27">
        <f>IF(ISNUMBER($V335),$A335&amp;"|"&amp;$V335,"")</f>
        <v/>
      </c>
      <c r="AA335" s="27">
        <f>IF(ISNUMBER($W335),$A335&amp;"|"&amp;$W335,"")</f>
        <v/>
      </c>
      <c r="AB335" s="27">
        <f>IF(ISNUMBER($F335),$A335&amp;"|"&amp;$F335,"")</f>
        <v/>
      </c>
      <c r="AC335" s="27">
        <f>IF(ISNUMBER($P335),COUNTIFS($A$14:$A$1213,$A335,$P$14:$P$1213,"&gt;"&amp;$P335)+(COUNTIFS($A$14:$A$1213,$A335,$P$14:$P$1213,"="&amp;$P335)+1)/2,"")</f>
        <v/>
      </c>
      <c r="AD335" s="27">
        <f>IF(ISNUMBER($Q335),COUNTIFS($A$14:$A$1213,$A335,$Q$14:$Q$1213,"&gt;"&amp;$Q335)+(COUNTIFS($A$14:$A$1213,$A335,$Q$14:$Q$1213,"="&amp;$Q335)+1)/2,"")</f>
        <v/>
      </c>
      <c r="AE335" s="27">
        <f>IF(ISNUMBER($R335),COUNTIFS($A$14:$A$1213,$A335,$R$14:$R$1213,"&gt;"&amp;$R335)+(COUNTIFS($A$14:$A$1213,$A335,$R$14:$R$1213,"="&amp;$R335)+1)/2,"")</f>
        <v/>
      </c>
      <c r="AF335" s="27">
        <f>IF(ISNUMBER($S335),COUNTIFS($A$14:$A$1213,$A335,$S$14:$S$1213,"&gt;"&amp;$S335)+(COUNTIFS($A$14:$A$1213,$A335,$S$14:$S$1213,"="&amp;$S335)+1)/2,"")</f>
        <v/>
      </c>
      <c r="AG335" s="27">
        <f>IF(ISNUMBER($T335),COUNTIFS($A$14:$A$1213,$A335,$T$14:$T$1213,"&gt;"&amp;$T335)+(COUNTIFS($A$14:$A$1213,$A335,$T$14:$T$1213,"="&amp;$T335)+1)/2,"")</f>
        <v/>
      </c>
      <c r="AH335" s="27">
        <f>IF(COUNT($AC335:$AG335)&lt;2,"",IF(MAX($AC335:$AG335)=MIN($AC335:$AG335),0,1))</f>
        <v/>
      </c>
      <c r="AI335" s="27">
        <f>IF($A335="","",IF(COUNTIF($A$14:$A335,$A335)=1,COUNTIF($AI$13:AI334,"&gt;0")+1,""))</f>
        <v/>
      </c>
      <c r="AO335" s="27">
        <f>IF($A335="","",IF(AND(COUNTIFS($A$14:$A$1213,$A335,$F$14:$F$1213,"&gt;=0")=2,IFERROR(INDEX($M$14:$M$313,MATCH($A335,$H$14:$H$313,0)),"Yes")&lt;&gt;"Yes"),1,0))</f>
        <v/>
      </c>
    </row>
    <row r="336">
      <c r="A336" s="19">
        <f>IF('Enter messages'!A336="","",'Enter messages'!A336)</f>
        <v/>
      </c>
      <c r="B336" s="20">
        <f>IF('Enter messages'!B336="","",'Enter messages'!B336)</f>
        <v/>
      </c>
      <c r="C336" s="21">
        <f>IFERROR(AVERAGE(P336:T336),"")</f>
        <v/>
      </c>
      <c r="D336" s="29" t="n"/>
      <c r="E336" s="29" t="n"/>
      <c r="F336" s="30">
        <f>IF(AND(ISNUMBER($D336),ISNUMBER($E336),$E336&gt;0,$D336&lt;=$E336),$D336/$E336,"")</f>
        <v/>
      </c>
      <c r="P336" s="26" t="n"/>
      <c r="Q336" s="26" t="n"/>
      <c r="R336" s="26" t="n"/>
      <c r="S336" s="26" t="n"/>
      <c r="T336" s="26" t="n"/>
      <c r="V336" s="27">
        <f>IF(ISNUMBER($C336),COUNTIFS($A$14:$A$1213,$A336,$C$14:$C$1213,"&gt;"&amp;$C336)+(COUNTIFS($A$14:$A$1213,$A336,$C$14:$C$1213,"="&amp;$C336)+1)/2,"")</f>
        <v/>
      </c>
      <c r="W336" s="27">
        <f>IF(ISNUMBER($F336),COUNTIFS($A$14:$A$1213,$A336,$F$14:$F$1213,"&gt;"&amp;$F336)+(COUNTIFS($A$14:$A$1213,$A336,$F$14:$F$1213,"="&amp;$F336)+1)/2,"")</f>
        <v/>
      </c>
      <c r="X336" s="27">
        <f>IF(OR(NOT(ISNUMBER($V336)),$AO336=1),"",$V336-(COUNTIFS($A$14:$A$1213,$A336,$C$14:$C$1213,"&gt;=0")+1)/2)</f>
        <v/>
      </c>
      <c r="Y336" s="27">
        <f>IF(OR(NOT(ISNUMBER($W336)),$AO336=1),"",$W336-(COUNTIFS($A$14:$A$1213,$A336,$F$14:$F$1213,"&gt;=0")+1)/2)</f>
        <v/>
      </c>
      <c r="Z336" s="27">
        <f>IF(ISNUMBER($V336),$A336&amp;"|"&amp;$V336,"")</f>
        <v/>
      </c>
      <c r="AA336" s="27">
        <f>IF(ISNUMBER($W336),$A336&amp;"|"&amp;$W336,"")</f>
        <v/>
      </c>
      <c r="AB336" s="27">
        <f>IF(ISNUMBER($F336),$A336&amp;"|"&amp;$F336,"")</f>
        <v/>
      </c>
      <c r="AC336" s="27">
        <f>IF(ISNUMBER($P336),COUNTIFS($A$14:$A$1213,$A336,$P$14:$P$1213,"&gt;"&amp;$P336)+(COUNTIFS($A$14:$A$1213,$A336,$P$14:$P$1213,"="&amp;$P336)+1)/2,"")</f>
        <v/>
      </c>
      <c r="AD336" s="27">
        <f>IF(ISNUMBER($Q336),COUNTIFS($A$14:$A$1213,$A336,$Q$14:$Q$1213,"&gt;"&amp;$Q336)+(COUNTIFS($A$14:$A$1213,$A336,$Q$14:$Q$1213,"="&amp;$Q336)+1)/2,"")</f>
        <v/>
      </c>
      <c r="AE336" s="27">
        <f>IF(ISNUMBER($R336),COUNTIFS($A$14:$A$1213,$A336,$R$14:$R$1213,"&gt;"&amp;$R336)+(COUNTIFS($A$14:$A$1213,$A336,$R$14:$R$1213,"="&amp;$R336)+1)/2,"")</f>
        <v/>
      </c>
      <c r="AF336" s="27">
        <f>IF(ISNUMBER($S336),COUNTIFS($A$14:$A$1213,$A336,$S$14:$S$1213,"&gt;"&amp;$S336)+(COUNTIFS($A$14:$A$1213,$A336,$S$14:$S$1213,"="&amp;$S336)+1)/2,"")</f>
        <v/>
      </c>
      <c r="AG336" s="27">
        <f>IF(ISNUMBER($T336),COUNTIFS($A$14:$A$1213,$A336,$T$14:$T$1213,"&gt;"&amp;$T336)+(COUNTIFS($A$14:$A$1213,$A336,$T$14:$T$1213,"="&amp;$T336)+1)/2,"")</f>
        <v/>
      </c>
      <c r="AH336" s="27">
        <f>IF(COUNT($AC336:$AG336)&lt;2,"",IF(MAX($AC336:$AG336)=MIN($AC336:$AG336),0,1))</f>
        <v/>
      </c>
      <c r="AI336" s="27">
        <f>IF($A336="","",IF(COUNTIF($A$14:$A336,$A336)=1,COUNTIF($AI$13:AI335,"&gt;0")+1,""))</f>
        <v/>
      </c>
      <c r="AO336" s="27">
        <f>IF($A336="","",IF(AND(COUNTIFS($A$14:$A$1213,$A336,$F$14:$F$1213,"&gt;=0")=2,IFERROR(INDEX($M$14:$M$313,MATCH($A336,$H$14:$H$313,0)),"Yes")&lt;&gt;"Yes"),1,0))</f>
        <v/>
      </c>
    </row>
    <row r="337">
      <c r="A337" s="19">
        <f>IF('Enter messages'!A337="","",'Enter messages'!A337)</f>
        <v/>
      </c>
      <c r="B337" s="20">
        <f>IF('Enter messages'!B337="","",'Enter messages'!B337)</f>
        <v/>
      </c>
      <c r="C337" s="21">
        <f>IFERROR(AVERAGE(P337:T337),"")</f>
        <v/>
      </c>
      <c r="D337" s="29" t="n"/>
      <c r="E337" s="29" t="n"/>
      <c r="F337" s="30">
        <f>IF(AND(ISNUMBER($D337),ISNUMBER($E337),$E337&gt;0,$D337&lt;=$E337),$D337/$E337,"")</f>
        <v/>
      </c>
      <c r="P337" s="26" t="n"/>
      <c r="Q337" s="26" t="n"/>
      <c r="R337" s="26" t="n"/>
      <c r="S337" s="26" t="n"/>
      <c r="T337" s="26" t="n"/>
      <c r="V337" s="27">
        <f>IF(ISNUMBER($C337),COUNTIFS($A$14:$A$1213,$A337,$C$14:$C$1213,"&gt;"&amp;$C337)+(COUNTIFS($A$14:$A$1213,$A337,$C$14:$C$1213,"="&amp;$C337)+1)/2,"")</f>
        <v/>
      </c>
      <c r="W337" s="27">
        <f>IF(ISNUMBER($F337),COUNTIFS($A$14:$A$1213,$A337,$F$14:$F$1213,"&gt;"&amp;$F337)+(COUNTIFS($A$14:$A$1213,$A337,$F$14:$F$1213,"="&amp;$F337)+1)/2,"")</f>
        <v/>
      </c>
      <c r="X337" s="27">
        <f>IF(OR(NOT(ISNUMBER($V337)),$AO337=1),"",$V337-(COUNTIFS($A$14:$A$1213,$A337,$C$14:$C$1213,"&gt;=0")+1)/2)</f>
        <v/>
      </c>
      <c r="Y337" s="27">
        <f>IF(OR(NOT(ISNUMBER($W337)),$AO337=1),"",$W337-(COUNTIFS($A$14:$A$1213,$A337,$F$14:$F$1213,"&gt;=0")+1)/2)</f>
        <v/>
      </c>
      <c r="Z337" s="27">
        <f>IF(ISNUMBER($V337),$A337&amp;"|"&amp;$V337,"")</f>
        <v/>
      </c>
      <c r="AA337" s="27">
        <f>IF(ISNUMBER($W337),$A337&amp;"|"&amp;$W337,"")</f>
        <v/>
      </c>
      <c r="AB337" s="27">
        <f>IF(ISNUMBER($F337),$A337&amp;"|"&amp;$F337,"")</f>
        <v/>
      </c>
      <c r="AC337" s="27">
        <f>IF(ISNUMBER($P337),COUNTIFS($A$14:$A$1213,$A337,$P$14:$P$1213,"&gt;"&amp;$P337)+(COUNTIFS($A$14:$A$1213,$A337,$P$14:$P$1213,"="&amp;$P337)+1)/2,"")</f>
        <v/>
      </c>
      <c r="AD337" s="27">
        <f>IF(ISNUMBER($Q337),COUNTIFS($A$14:$A$1213,$A337,$Q$14:$Q$1213,"&gt;"&amp;$Q337)+(COUNTIFS($A$14:$A$1213,$A337,$Q$14:$Q$1213,"="&amp;$Q337)+1)/2,"")</f>
        <v/>
      </c>
      <c r="AE337" s="27">
        <f>IF(ISNUMBER($R337),COUNTIFS($A$14:$A$1213,$A337,$R$14:$R$1213,"&gt;"&amp;$R337)+(COUNTIFS($A$14:$A$1213,$A337,$R$14:$R$1213,"="&amp;$R337)+1)/2,"")</f>
        <v/>
      </c>
      <c r="AF337" s="27">
        <f>IF(ISNUMBER($S337),COUNTIFS($A$14:$A$1213,$A337,$S$14:$S$1213,"&gt;"&amp;$S337)+(COUNTIFS($A$14:$A$1213,$A337,$S$14:$S$1213,"="&amp;$S337)+1)/2,"")</f>
        <v/>
      </c>
      <c r="AG337" s="27">
        <f>IF(ISNUMBER($T337),COUNTIFS($A$14:$A$1213,$A337,$T$14:$T$1213,"&gt;"&amp;$T337)+(COUNTIFS($A$14:$A$1213,$A337,$T$14:$T$1213,"="&amp;$T337)+1)/2,"")</f>
        <v/>
      </c>
      <c r="AH337" s="27">
        <f>IF(COUNT($AC337:$AG337)&lt;2,"",IF(MAX($AC337:$AG337)=MIN($AC337:$AG337),0,1))</f>
        <v/>
      </c>
      <c r="AI337" s="27">
        <f>IF($A337="","",IF(COUNTIF($A$14:$A337,$A337)=1,COUNTIF($AI$13:AI336,"&gt;0")+1,""))</f>
        <v/>
      </c>
      <c r="AO337" s="27">
        <f>IF($A337="","",IF(AND(COUNTIFS($A$14:$A$1213,$A337,$F$14:$F$1213,"&gt;=0")=2,IFERROR(INDEX($M$14:$M$313,MATCH($A337,$H$14:$H$313,0)),"Yes")&lt;&gt;"Yes"),1,0))</f>
        <v/>
      </c>
    </row>
    <row r="338">
      <c r="A338" s="19">
        <f>IF('Enter messages'!A338="","",'Enter messages'!A338)</f>
        <v/>
      </c>
      <c r="B338" s="20">
        <f>IF('Enter messages'!B338="","",'Enter messages'!B338)</f>
        <v/>
      </c>
      <c r="C338" s="21">
        <f>IFERROR(AVERAGE(P338:T338),"")</f>
        <v/>
      </c>
      <c r="D338" s="29" t="n"/>
      <c r="E338" s="29" t="n"/>
      <c r="F338" s="30">
        <f>IF(AND(ISNUMBER($D338),ISNUMBER($E338),$E338&gt;0,$D338&lt;=$E338),$D338/$E338,"")</f>
        <v/>
      </c>
      <c r="P338" s="26" t="n"/>
      <c r="Q338" s="26" t="n"/>
      <c r="R338" s="26" t="n"/>
      <c r="S338" s="26" t="n"/>
      <c r="T338" s="26" t="n"/>
      <c r="V338" s="27">
        <f>IF(ISNUMBER($C338),COUNTIFS($A$14:$A$1213,$A338,$C$14:$C$1213,"&gt;"&amp;$C338)+(COUNTIFS($A$14:$A$1213,$A338,$C$14:$C$1213,"="&amp;$C338)+1)/2,"")</f>
        <v/>
      </c>
      <c r="W338" s="27">
        <f>IF(ISNUMBER($F338),COUNTIFS($A$14:$A$1213,$A338,$F$14:$F$1213,"&gt;"&amp;$F338)+(COUNTIFS($A$14:$A$1213,$A338,$F$14:$F$1213,"="&amp;$F338)+1)/2,"")</f>
        <v/>
      </c>
      <c r="X338" s="27">
        <f>IF(OR(NOT(ISNUMBER($V338)),$AO338=1),"",$V338-(COUNTIFS($A$14:$A$1213,$A338,$C$14:$C$1213,"&gt;=0")+1)/2)</f>
        <v/>
      </c>
      <c r="Y338" s="27">
        <f>IF(OR(NOT(ISNUMBER($W338)),$AO338=1),"",$W338-(COUNTIFS($A$14:$A$1213,$A338,$F$14:$F$1213,"&gt;=0")+1)/2)</f>
        <v/>
      </c>
      <c r="Z338" s="27">
        <f>IF(ISNUMBER($V338),$A338&amp;"|"&amp;$V338,"")</f>
        <v/>
      </c>
      <c r="AA338" s="27">
        <f>IF(ISNUMBER($W338),$A338&amp;"|"&amp;$W338,"")</f>
        <v/>
      </c>
      <c r="AB338" s="27">
        <f>IF(ISNUMBER($F338),$A338&amp;"|"&amp;$F338,"")</f>
        <v/>
      </c>
      <c r="AC338" s="27">
        <f>IF(ISNUMBER($P338),COUNTIFS($A$14:$A$1213,$A338,$P$14:$P$1213,"&gt;"&amp;$P338)+(COUNTIFS($A$14:$A$1213,$A338,$P$14:$P$1213,"="&amp;$P338)+1)/2,"")</f>
        <v/>
      </c>
      <c r="AD338" s="27">
        <f>IF(ISNUMBER($Q338),COUNTIFS($A$14:$A$1213,$A338,$Q$14:$Q$1213,"&gt;"&amp;$Q338)+(COUNTIFS($A$14:$A$1213,$A338,$Q$14:$Q$1213,"="&amp;$Q338)+1)/2,"")</f>
        <v/>
      </c>
      <c r="AE338" s="27">
        <f>IF(ISNUMBER($R338),COUNTIFS($A$14:$A$1213,$A338,$R$14:$R$1213,"&gt;"&amp;$R338)+(COUNTIFS($A$14:$A$1213,$A338,$R$14:$R$1213,"="&amp;$R338)+1)/2,"")</f>
        <v/>
      </c>
      <c r="AF338" s="27">
        <f>IF(ISNUMBER($S338),COUNTIFS($A$14:$A$1213,$A338,$S$14:$S$1213,"&gt;"&amp;$S338)+(COUNTIFS($A$14:$A$1213,$A338,$S$14:$S$1213,"="&amp;$S338)+1)/2,"")</f>
        <v/>
      </c>
      <c r="AG338" s="27">
        <f>IF(ISNUMBER($T338),COUNTIFS($A$14:$A$1213,$A338,$T$14:$T$1213,"&gt;"&amp;$T338)+(COUNTIFS($A$14:$A$1213,$A338,$T$14:$T$1213,"="&amp;$T338)+1)/2,"")</f>
        <v/>
      </c>
      <c r="AH338" s="27">
        <f>IF(COUNT($AC338:$AG338)&lt;2,"",IF(MAX($AC338:$AG338)=MIN($AC338:$AG338),0,1))</f>
        <v/>
      </c>
      <c r="AI338" s="27">
        <f>IF($A338="","",IF(COUNTIF($A$14:$A338,$A338)=1,COUNTIF($AI$13:AI337,"&gt;0")+1,""))</f>
        <v/>
      </c>
      <c r="AO338" s="27">
        <f>IF($A338="","",IF(AND(COUNTIFS($A$14:$A$1213,$A338,$F$14:$F$1213,"&gt;=0")=2,IFERROR(INDEX($M$14:$M$313,MATCH($A338,$H$14:$H$313,0)),"Yes")&lt;&gt;"Yes"),1,0))</f>
        <v/>
      </c>
    </row>
    <row r="339">
      <c r="A339" s="19">
        <f>IF('Enter messages'!A339="","",'Enter messages'!A339)</f>
        <v/>
      </c>
      <c r="B339" s="20">
        <f>IF('Enter messages'!B339="","",'Enter messages'!B339)</f>
        <v/>
      </c>
      <c r="C339" s="21">
        <f>IFERROR(AVERAGE(P339:T339),"")</f>
        <v/>
      </c>
      <c r="D339" s="29" t="n"/>
      <c r="E339" s="29" t="n"/>
      <c r="F339" s="30">
        <f>IF(AND(ISNUMBER($D339),ISNUMBER($E339),$E339&gt;0,$D339&lt;=$E339),$D339/$E339,"")</f>
        <v/>
      </c>
      <c r="P339" s="26" t="n"/>
      <c r="Q339" s="26" t="n"/>
      <c r="R339" s="26" t="n"/>
      <c r="S339" s="26" t="n"/>
      <c r="T339" s="26" t="n"/>
      <c r="V339" s="27">
        <f>IF(ISNUMBER($C339),COUNTIFS($A$14:$A$1213,$A339,$C$14:$C$1213,"&gt;"&amp;$C339)+(COUNTIFS($A$14:$A$1213,$A339,$C$14:$C$1213,"="&amp;$C339)+1)/2,"")</f>
        <v/>
      </c>
      <c r="W339" s="27">
        <f>IF(ISNUMBER($F339),COUNTIFS($A$14:$A$1213,$A339,$F$14:$F$1213,"&gt;"&amp;$F339)+(COUNTIFS($A$14:$A$1213,$A339,$F$14:$F$1213,"="&amp;$F339)+1)/2,"")</f>
        <v/>
      </c>
      <c r="X339" s="27">
        <f>IF(OR(NOT(ISNUMBER($V339)),$AO339=1),"",$V339-(COUNTIFS($A$14:$A$1213,$A339,$C$14:$C$1213,"&gt;=0")+1)/2)</f>
        <v/>
      </c>
      <c r="Y339" s="27">
        <f>IF(OR(NOT(ISNUMBER($W339)),$AO339=1),"",$W339-(COUNTIFS($A$14:$A$1213,$A339,$F$14:$F$1213,"&gt;=0")+1)/2)</f>
        <v/>
      </c>
      <c r="Z339" s="27">
        <f>IF(ISNUMBER($V339),$A339&amp;"|"&amp;$V339,"")</f>
        <v/>
      </c>
      <c r="AA339" s="27">
        <f>IF(ISNUMBER($W339),$A339&amp;"|"&amp;$W339,"")</f>
        <v/>
      </c>
      <c r="AB339" s="27">
        <f>IF(ISNUMBER($F339),$A339&amp;"|"&amp;$F339,"")</f>
        <v/>
      </c>
      <c r="AC339" s="27">
        <f>IF(ISNUMBER($P339),COUNTIFS($A$14:$A$1213,$A339,$P$14:$P$1213,"&gt;"&amp;$P339)+(COUNTIFS($A$14:$A$1213,$A339,$P$14:$P$1213,"="&amp;$P339)+1)/2,"")</f>
        <v/>
      </c>
      <c r="AD339" s="27">
        <f>IF(ISNUMBER($Q339),COUNTIFS($A$14:$A$1213,$A339,$Q$14:$Q$1213,"&gt;"&amp;$Q339)+(COUNTIFS($A$14:$A$1213,$A339,$Q$14:$Q$1213,"="&amp;$Q339)+1)/2,"")</f>
        <v/>
      </c>
      <c r="AE339" s="27">
        <f>IF(ISNUMBER($R339),COUNTIFS($A$14:$A$1213,$A339,$R$14:$R$1213,"&gt;"&amp;$R339)+(COUNTIFS($A$14:$A$1213,$A339,$R$14:$R$1213,"="&amp;$R339)+1)/2,"")</f>
        <v/>
      </c>
      <c r="AF339" s="27">
        <f>IF(ISNUMBER($S339),COUNTIFS($A$14:$A$1213,$A339,$S$14:$S$1213,"&gt;"&amp;$S339)+(COUNTIFS($A$14:$A$1213,$A339,$S$14:$S$1213,"="&amp;$S339)+1)/2,"")</f>
        <v/>
      </c>
      <c r="AG339" s="27">
        <f>IF(ISNUMBER($T339),COUNTIFS($A$14:$A$1213,$A339,$T$14:$T$1213,"&gt;"&amp;$T339)+(COUNTIFS($A$14:$A$1213,$A339,$T$14:$T$1213,"="&amp;$T339)+1)/2,"")</f>
        <v/>
      </c>
      <c r="AH339" s="27">
        <f>IF(COUNT($AC339:$AG339)&lt;2,"",IF(MAX($AC339:$AG339)=MIN($AC339:$AG339),0,1))</f>
        <v/>
      </c>
      <c r="AI339" s="27">
        <f>IF($A339="","",IF(COUNTIF($A$14:$A339,$A339)=1,COUNTIF($AI$13:AI338,"&gt;0")+1,""))</f>
        <v/>
      </c>
      <c r="AO339" s="27">
        <f>IF($A339="","",IF(AND(COUNTIFS($A$14:$A$1213,$A339,$F$14:$F$1213,"&gt;=0")=2,IFERROR(INDEX($M$14:$M$313,MATCH($A339,$H$14:$H$313,0)),"Yes")&lt;&gt;"Yes"),1,0))</f>
        <v/>
      </c>
    </row>
    <row r="340">
      <c r="A340" s="19">
        <f>IF('Enter messages'!A340="","",'Enter messages'!A340)</f>
        <v/>
      </c>
      <c r="B340" s="20">
        <f>IF('Enter messages'!B340="","",'Enter messages'!B340)</f>
        <v/>
      </c>
      <c r="C340" s="21">
        <f>IFERROR(AVERAGE(P340:T340),"")</f>
        <v/>
      </c>
      <c r="D340" s="29" t="n"/>
      <c r="E340" s="29" t="n"/>
      <c r="F340" s="30">
        <f>IF(AND(ISNUMBER($D340),ISNUMBER($E340),$E340&gt;0,$D340&lt;=$E340),$D340/$E340,"")</f>
        <v/>
      </c>
      <c r="P340" s="26" t="n"/>
      <c r="Q340" s="26" t="n"/>
      <c r="R340" s="26" t="n"/>
      <c r="S340" s="26" t="n"/>
      <c r="T340" s="26" t="n"/>
      <c r="V340" s="27">
        <f>IF(ISNUMBER($C340),COUNTIFS($A$14:$A$1213,$A340,$C$14:$C$1213,"&gt;"&amp;$C340)+(COUNTIFS($A$14:$A$1213,$A340,$C$14:$C$1213,"="&amp;$C340)+1)/2,"")</f>
        <v/>
      </c>
      <c r="W340" s="27">
        <f>IF(ISNUMBER($F340),COUNTIFS($A$14:$A$1213,$A340,$F$14:$F$1213,"&gt;"&amp;$F340)+(COUNTIFS($A$14:$A$1213,$A340,$F$14:$F$1213,"="&amp;$F340)+1)/2,"")</f>
        <v/>
      </c>
      <c r="X340" s="27">
        <f>IF(OR(NOT(ISNUMBER($V340)),$AO340=1),"",$V340-(COUNTIFS($A$14:$A$1213,$A340,$C$14:$C$1213,"&gt;=0")+1)/2)</f>
        <v/>
      </c>
      <c r="Y340" s="27">
        <f>IF(OR(NOT(ISNUMBER($W340)),$AO340=1),"",$W340-(COUNTIFS($A$14:$A$1213,$A340,$F$14:$F$1213,"&gt;=0")+1)/2)</f>
        <v/>
      </c>
      <c r="Z340" s="27">
        <f>IF(ISNUMBER($V340),$A340&amp;"|"&amp;$V340,"")</f>
        <v/>
      </c>
      <c r="AA340" s="27">
        <f>IF(ISNUMBER($W340),$A340&amp;"|"&amp;$W340,"")</f>
        <v/>
      </c>
      <c r="AB340" s="27">
        <f>IF(ISNUMBER($F340),$A340&amp;"|"&amp;$F340,"")</f>
        <v/>
      </c>
      <c r="AC340" s="27">
        <f>IF(ISNUMBER($P340),COUNTIFS($A$14:$A$1213,$A340,$P$14:$P$1213,"&gt;"&amp;$P340)+(COUNTIFS($A$14:$A$1213,$A340,$P$14:$P$1213,"="&amp;$P340)+1)/2,"")</f>
        <v/>
      </c>
      <c r="AD340" s="27">
        <f>IF(ISNUMBER($Q340),COUNTIFS($A$14:$A$1213,$A340,$Q$14:$Q$1213,"&gt;"&amp;$Q340)+(COUNTIFS($A$14:$A$1213,$A340,$Q$14:$Q$1213,"="&amp;$Q340)+1)/2,"")</f>
        <v/>
      </c>
      <c r="AE340" s="27">
        <f>IF(ISNUMBER($R340),COUNTIFS($A$14:$A$1213,$A340,$R$14:$R$1213,"&gt;"&amp;$R340)+(COUNTIFS($A$14:$A$1213,$A340,$R$14:$R$1213,"="&amp;$R340)+1)/2,"")</f>
        <v/>
      </c>
      <c r="AF340" s="27">
        <f>IF(ISNUMBER($S340),COUNTIFS($A$14:$A$1213,$A340,$S$14:$S$1213,"&gt;"&amp;$S340)+(COUNTIFS($A$14:$A$1213,$A340,$S$14:$S$1213,"="&amp;$S340)+1)/2,"")</f>
        <v/>
      </c>
      <c r="AG340" s="27">
        <f>IF(ISNUMBER($T340),COUNTIFS($A$14:$A$1213,$A340,$T$14:$T$1213,"&gt;"&amp;$T340)+(COUNTIFS($A$14:$A$1213,$A340,$T$14:$T$1213,"="&amp;$T340)+1)/2,"")</f>
        <v/>
      </c>
      <c r="AH340" s="27">
        <f>IF(COUNT($AC340:$AG340)&lt;2,"",IF(MAX($AC340:$AG340)=MIN($AC340:$AG340),0,1))</f>
        <v/>
      </c>
      <c r="AI340" s="27">
        <f>IF($A340="","",IF(COUNTIF($A$14:$A340,$A340)=1,COUNTIF($AI$13:AI339,"&gt;0")+1,""))</f>
        <v/>
      </c>
      <c r="AO340" s="27">
        <f>IF($A340="","",IF(AND(COUNTIFS($A$14:$A$1213,$A340,$F$14:$F$1213,"&gt;=0")=2,IFERROR(INDEX($M$14:$M$313,MATCH($A340,$H$14:$H$313,0)),"Yes")&lt;&gt;"Yes"),1,0))</f>
        <v/>
      </c>
    </row>
    <row r="341">
      <c r="A341" s="19">
        <f>IF('Enter messages'!A341="","",'Enter messages'!A341)</f>
        <v/>
      </c>
      <c r="B341" s="20">
        <f>IF('Enter messages'!B341="","",'Enter messages'!B341)</f>
        <v/>
      </c>
      <c r="C341" s="21">
        <f>IFERROR(AVERAGE(P341:T341),"")</f>
        <v/>
      </c>
      <c r="D341" s="29" t="n"/>
      <c r="E341" s="29" t="n"/>
      <c r="F341" s="30">
        <f>IF(AND(ISNUMBER($D341),ISNUMBER($E341),$E341&gt;0,$D341&lt;=$E341),$D341/$E341,"")</f>
        <v/>
      </c>
      <c r="P341" s="26" t="n"/>
      <c r="Q341" s="26" t="n"/>
      <c r="R341" s="26" t="n"/>
      <c r="S341" s="26" t="n"/>
      <c r="T341" s="26" t="n"/>
      <c r="V341" s="27">
        <f>IF(ISNUMBER($C341),COUNTIFS($A$14:$A$1213,$A341,$C$14:$C$1213,"&gt;"&amp;$C341)+(COUNTIFS($A$14:$A$1213,$A341,$C$14:$C$1213,"="&amp;$C341)+1)/2,"")</f>
        <v/>
      </c>
      <c r="W341" s="27">
        <f>IF(ISNUMBER($F341),COUNTIFS($A$14:$A$1213,$A341,$F$14:$F$1213,"&gt;"&amp;$F341)+(COUNTIFS($A$14:$A$1213,$A341,$F$14:$F$1213,"="&amp;$F341)+1)/2,"")</f>
        <v/>
      </c>
      <c r="X341" s="27">
        <f>IF(OR(NOT(ISNUMBER($V341)),$AO341=1),"",$V341-(COUNTIFS($A$14:$A$1213,$A341,$C$14:$C$1213,"&gt;=0")+1)/2)</f>
        <v/>
      </c>
      <c r="Y341" s="27">
        <f>IF(OR(NOT(ISNUMBER($W341)),$AO341=1),"",$W341-(COUNTIFS($A$14:$A$1213,$A341,$F$14:$F$1213,"&gt;=0")+1)/2)</f>
        <v/>
      </c>
      <c r="Z341" s="27">
        <f>IF(ISNUMBER($V341),$A341&amp;"|"&amp;$V341,"")</f>
        <v/>
      </c>
      <c r="AA341" s="27">
        <f>IF(ISNUMBER($W341),$A341&amp;"|"&amp;$W341,"")</f>
        <v/>
      </c>
      <c r="AB341" s="27">
        <f>IF(ISNUMBER($F341),$A341&amp;"|"&amp;$F341,"")</f>
        <v/>
      </c>
      <c r="AC341" s="27">
        <f>IF(ISNUMBER($P341),COUNTIFS($A$14:$A$1213,$A341,$P$14:$P$1213,"&gt;"&amp;$P341)+(COUNTIFS($A$14:$A$1213,$A341,$P$14:$P$1213,"="&amp;$P341)+1)/2,"")</f>
        <v/>
      </c>
      <c r="AD341" s="27">
        <f>IF(ISNUMBER($Q341),COUNTIFS($A$14:$A$1213,$A341,$Q$14:$Q$1213,"&gt;"&amp;$Q341)+(COUNTIFS($A$14:$A$1213,$A341,$Q$14:$Q$1213,"="&amp;$Q341)+1)/2,"")</f>
        <v/>
      </c>
      <c r="AE341" s="27">
        <f>IF(ISNUMBER($R341),COUNTIFS($A$14:$A$1213,$A341,$R$14:$R$1213,"&gt;"&amp;$R341)+(COUNTIFS($A$14:$A$1213,$A341,$R$14:$R$1213,"="&amp;$R341)+1)/2,"")</f>
        <v/>
      </c>
      <c r="AF341" s="27">
        <f>IF(ISNUMBER($S341),COUNTIFS($A$14:$A$1213,$A341,$S$14:$S$1213,"&gt;"&amp;$S341)+(COUNTIFS($A$14:$A$1213,$A341,$S$14:$S$1213,"="&amp;$S341)+1)/2,"")</f>
        <v/>
      </c>
      <c r="AG341" s="27">
        <f>IF(ISNUMBER($T341),COUNTIFS($A$14:$A$1213,$A341,$T$14:$T$1213,"&gt;"&amp;$T341)+(COUNTIFS($A$14:$A$1213,$A341,$T$14:$T$1213,"="&amp;$T341)+1)/2,"")</f>
        <v/>
      </c>
      <c r="AH341" s="27">
        <f>IF(COUNT($AC341:$AG341)&lt;2,"",IF(MAX($AC341:$AG341)=MIN($AC341:$AG341),0,1))</f>
        <v/>
      </c>
      <c r="AI341" s="27">
        <f>IF($A341="","",IF(COUNTIF($A$14:$A341,$A341)=1,COUNTIF($AI$13:AI340,"&gt;0")+1,""))</f>
        <v/>
      </c>
      <c r="AO341" s="27">
        <f>IF($A341="","",IF(AND(COUNTIFS($A$14:$A$1213,$A341,$F$14:$F$1213,"&gt;=0")=2,IFERROR(INDEX($M$14:$M$313,MATCH($A341,$H$14:$H$313,0)),"Yes")&lt;&gt;"Yes"),1,0))</f>
        <v/>
      </c>
    </row>
    <row r="342">
      <c r="A342" s="19">
        <f>IF('Enter messages'!A342="","",'Enter messages'!A342)</f>
        <v/>
      </c>
      <c r="B342" s="20">
        <f>IF('Enter messages'!B342="","",'Enter messages'!B342)</f>
        <v/>
      </c>
      <c r="C342" s="21">
        <f>IFERROR(AVERAGE(P342:T342),"")</f>
        <v/>
      </c>
      <c r="D342" s="29" t="n"/>
      <c r="E342" s="29" t="n"/>
      <c r="F342" s="30">
        <f>IF(AND(ISNUMBER($D342),ISNUMBER($E342),$E342&gt;0,$D342&lt;=$E342),$D342/$E342,"")</f>
        <v/>
      </c>
      <c r="P342" s="26" t="n"/>
      <c r="Q342" s="26" t="n"/>
      <c r="R342" s="26" t="n"/>
      <c r="S342" s="26" t="n"/>
      <c r="T342" s="26" t="n"/>
      <c r="V342" s="27">
        <f>IF(ISNUMBER($C342),COUNTIFS($A$14:$A$1213,$A342,$C$14:$C$1213,"&gt;"&amp;$C342)+(COUNTIFS($A$14:$A$1213,$A342,$C$14:$C$1213,"="&amp;$C342)+1)/2,"")</f>
        <v/>
      </c>
      <c r="W342" s="27">
        <f>IF(ISNUMBER($F342),COUNTIFS($A$14:$A$1213,$A342,$F$14:$F$1213,"&gt;"&amp;$F342)+(COUNTIFS($A$14:$A$1213,$A342,$F$14:$F$1213,"="&amp;$F342)+1)/2,"")</f>
        <v/>
      </c>
      <c r="X342" s="27">
        <f>IF(OR(NOT(ISNUMBER($V342)),$AO342=1),"",$V342-(COUNTIFS($A$14:$A$1213,$A342,$C$14:$C$1213,"&gt;=0")+1)/2)</f>
        <v/>
      </c>
      <c r="Y342" s="27">
        <f>IF(OR(NOT(ISNUMBER($W342)),$AO342=1),"",$W342-(COUNTIFS($A$14:$A$1213,$A342,$F$14:$F$1213,"&gt;=0")+1)/2)</f>
        <v/>
      </c>
      <c r="Z342" s="27">
        <f>IF(ISNUMBER($V342),$A342&amp;"|"&amp;$V342,"")</f>
        <v/>
      </c>
      <c r="AA342" s="27">
        <f>IF(ISNUMBER($W342),$A342&amp;"|"&amp;$W342,"")</f>
        <v/>
      </c>
      <c r="AB342" s="27">
        <f>IF(ISNUMBER($F342),$A342&amp;"|"&amp;$F342,"")</f>
        <v/>
      </c>
      <c r="AC342" s="27">
        <f>IF(ISNUMBER($P342),COUNTIFS($A$14:$A$1213,$A342,$P$14:$P$1213,"&gt;"&amp;$P342)+(COUNTIFS($A$14:$A$1213,$A342,$P$14:$P$1213,"="&amp;$P342)+1)/2,"")</f>
        <v/>
      </c>
      <c r="AD342" s="27">
        <f>IF(ISNUMBER($Q342),COUNTIFS($A$14:$A$1213,$A342,$Q$14:$Q$1213,"&gt;"&amp;$Q342)+(COUNTIFS($A$14:$A$1213,$A342,$Q$14:$Q$1213,"="&amp;$Q342)+1)/2,"")</f>
        <v/>
      </c>
      <c r="AE342" s="27">
        <f>IF(ISNUMBER($R342),COUNTIFS($A$14:$A$1213,$A342,$R$14:$R$1213,"&gt;"&amp;$R342)+(COUNTIFS($A$14:$A$1213,$A342,$R$14:$R$1213,"="&amp;$R342)+1)/2,"")</f>
        <v/>
      </c>
      <c r="AF342" s="27">
        <f>IF(ISNUMBER($S342),COUNTIFS($A$14:$A$1213,$A342,$S$14:$S$1213,"&gt;"&amp;$S342)+(COUNTIFS($A$14:$A$1213,$A342,$S$14:$S$1213,"="&amp;$S342)+1)/2,"")</f>
        <v/>
      </c>
      <c r="AG342" s="27">
        <f>IF(ISNUMBER($T342),COUNTIFS($A$14:$A$1213,$A342,$T$14:$T$1213,"&gt;"&amp;$T342)+(COUNTIFS($A$14:$A$1213,$A342,$T$14:$T$1213,"="&amp;$T342)+1)/2,"")</f>
        <v/>
      </c>
      <c r="AH342" s="27">
        <f>IF(COUNT($AC342:$AG342)&lt;2,"",IF(MAX($AC342:$AG342)=MIN($AC342:$AG342),0,1))</f>
        <v/>
      </c>
      <c r="AI342" s="27">
        <f>IF($A342="","",IF(COUNTIF($A$14:$A342,$A342)=1,COUNTIF($AI$13:AI341,"&gt;0")+1,""))</f>
        <v/>
      </c>
      <c r="AO342" s="27">
        <f>IF($A342="","",IF(AND(COUNTIFS($A$14:$A$1213,$A342,$F$14:$F$1213,"&gt;=0")=2,IFERROR(INDEX($M$14:$M$313,MATCH($A342,$H$14:$H$313,0)),"Yes")&lt;&gt;"Yes"),1,0))</f>
        <v/>
      </c>
    </row>
    <row r="343">
      <c r="A343" s="19">
        <f>IF('Enter messages'!A343="","",'Enter messages'!A343)</f>
        <v/>
      </c>
      <c r="B343" s="20">
        <f>IF('Enter messages'!B343="","",'Enter messages'!B343)</f>
        <v/>
      </c>
      <c r="C343" s="21">
        <f>IFERROR(AVERAGE(P343:T343),"")</f>
        <v/>
      </c>
      <c r="D343" s="29" t="n"/>
      <c r="E343" s="29" t="n"/>
      <c r="F343" s="30">
        <f>IF(AND(ISNUMBER($D343),ISNUMBER($E343),$E343&gt;0,$D343&lt;=$E343),$D343/$E343,"")</f>
        <v/>
      </c>
      <c r="P343" s="26" t="n"/>
      <c r="Q343" s="26" t="n"/>
      <c r="R343" s="26" t="n"/>
      <c r="S343" s="26" t="n"/>
      <c r="T343" s="26" t="n"/>
      <c r="V343" s="27">
        <f>IF(ISNUMBER($C343),COUNTIFS($A$14:$A$1213,$A343,$C$14:$C$1213,"&gt;"&amp;$C343)+(COUNTIFS($A$14:$A$1213,$A343,$C$14:$C$1213,"="&amp;$C343)+1)/2,"")</f>
        <v/>
      </c>
      <c r="W343" s="27">
        <f>IF(ISNUMBER($F343),COUNTIFS($A$14:$A$1213,$A343,$F$14:$F$1213,"&gt;"&amp;$F343)+(COUNTIFS($A$14:$A$1213,$A343,$F$14:$F$1213,"="&amp;$F343)+1)/2,"")</f>
        <v/>
      </c>
      <c r="X343" s="27">
        <f>IF(OR(NOT(ISNUMBER($V343)),$AO343=1),"",$V343-(COUNTIFS($A$14:$A$1213,$A343,$C$14:$C$1213,"&gt;=0")+1)/2)</f>
        <v/>
      </c>
      <c r="Y343" s="27">
        <f>IF(OR(NOT(ISNUMBER($W343)),$AO343=1),"",$W343-(COUNTIFS($A$14:$A$1213,$A343,$F$14:$F$1213,"&gt;=0")+1)/2)</f>
        <v/>
      </c>
      <c r="Z343" s="27">
        <f>IF(ISNUMBER($V343),$A343&amp;"|"&amp;$V343,"")</f>
        <v/>
      </c>
      <c r="AA343" s="27">
        <f>IF(ISNUMBER($W343),$A343&amp;"|"&amp;$W343,"")</f>
        <v/>
      </c>
      <c r="AB343" s="27">
        <f>IF(ISNUMBER($F343),$A343&amp;"|"&amp;$F343,"")</f>
        <v/>
      </c>
      <c r="AC343" s="27">
        <f>IF(ISNUMBER($P343),COUNTIFS($A$14:$A$1213,$A343,$P$14:$P$1213,"&gt;"&amp;$P343)+(COUNTIFS($A$14:$A$1213,$A343,$P$14:$P$1213,"="&amp;$P343)+1)/2,"")</f>
        <v/>
      </c>
      <c r="AD343" s="27">
        <f>IF(ISNUMBER($Q343),COUNTIFS($A$14:$A$1213,$A343,$Q$14:$Q$1213,"&gt;"&amp;$Q343)+(COUNTIFS($A$14:$A$1213,$A343,$Q$14:$Q$1213,"="&amp;$Q343)+1)/2,"")</f>
        <v/>
      </c>
      <c r="AE343" s="27">
        <f>IF(ISNUMBER($R343),COUNTIFS($A$14:$A$1213,$A343,$R$14:$R$1213,"&gt;"&amp;$R343)+(COUNTIFS($A$14:$A$1213,$A343,$R$14:$R$1213,"="&amp;$R343)+1)/2,"")</f>
        <v/>
      </c>
      <c r="AF343" s="27">
        <f>IF(ISNUMBER($S343),COUNTIFS($A$14:$A$1213,$A343,$S$14:$S$1213,"&gt;"&amp;$S343)+(COUNTIFS($A$14:$A$1213,$A343,$S$14:$S$1213,"="&amp;$S343)+1)/2,"")</f>
        <v/>
      </c>
      <c r="AG343" s="27">
        <f>IF(ISNUMBER($T343),COUNTIFS($A$14:$A$1213,$A343,$T$14:$T$1213,"&gt;"&amp;$T343)+(COUNTIFS($A$14:$A$1213,$A343,$T$14:$T$1213,"="&amp;$T343)+1)/2,"")</f>
        <v/>
      </c>
      <c r="AH343" s="27">
        <f>IF(COUNT($AC343:$AG343)&lt;2,"",IF(MAX($AC343:$AG343)=MIN($AC343:$AG343),0,1))</f>
        <v/>
      </c>
      <c r="AI343" s="27">
        <f>IF($A343="","",IF(COUNTIF($A$14:$A343,$A343)=1,COUNTIF($AI$13:AI342,"&gt;0")+1,""))</f>
        <v/>
      </c>
      <c r="AO343" s="27">
        <f>IF($A343="","",IF(AND(COUNTIFS($A$14:$A$1213,$A343,$F$14:$F$1213,"&gt;=0")=2,IFERROR(INDEX($M$14:$M$313,MATCH($A343,$H$14:$H$313,0)),"Yes")&lt;&gt;"Yes"),1,0))</f>
        <v/>
      </c>
    </row>
    <row r="344">
      <c r="A344" s="19">
        <f>IF('Enter messages'!A344="","",'Enter messages'!A344)</f>
        <v/>
      </c>
      <c r="B344" s="20">
        <f>IF('Enter messages'!B344="","",'Enter messages'!B344)</f>
        <v/>
      </c>
      <c r="C344" s="21">
        <f>IFERROR(AVERAGE(P344:T344),"")</f>
        <v/>
      </c>
      <c r="D344" s="29" t="n"/>
      <c r="E344" s="29" t="n"/>
      <c r="F344" s="30">
        <f>IF(AND(ISNUMBER($D344),ISNUMBER($E344),$E344&gt;0,$D344&lt;=$E344),$D344/$E344,"")</f>
        <v/>
      </c>
      <c r="P344" s="26" t="n"/>
      <c r="Q344" s="26" t="n"/>
      <c r="R344" s="26" t="n"/>
      <c r="S344" s="26" t="n"/>
      <c r="T344" s="26" t="n"/>
      <c r="V344" s="27">
        <f>IF(ISNUMBER($C344),COUNTIFS($A$14:$A$1213,$A344,$C$14:$C$1213,"&gt;"&amp;$C344)+(COUNTIFS($A$14:$A$1213,$A344,$C$14:$C$1213,"="&amp;$C344)+1)/2,"")</f>
        <v/>
      </c>
      <c r="W344" s="27">
        <f>IF(ISNUMBER($F344),COUNTIFS($A$14:$A$1213,$A344,$F$14:$F$1213,"&gt;"&amp;$F344)+(COUNTIFS($A$14:$A$1213,$A344,$F$14:$F$1213,"="&amp;$F344)+1)/2,"")</f>
        <v/>
      </c>
      <c r="X344" s="27">
        <f>IF(OR(NOT(ISNUMBER($V344)),$AO344=1),"",$V344-(COUNTIFS($A$14:$A$1213,$A344,$C$14:$C$1213,"&gt;=0")+1)/2)</f>
        <v/>
      </c>
      <c r="Y344" s="27">
        <f>IF(OR(NOT(ISNUMBER($W344)),$AO344=1),"",$W344-(COUNTIFS($A$14:$A$1213,$A344,$F$14:$F$1213,"&gt;=0")+1)/2)</f>
        <v/>
      </c>
      <c r="Z344" s="27">
        <f>IF(ISNUMBER($V344),$A344&amp;"|"&amp;$V344,"")</f>
        <v/>
      </c>
      <c r="AA344" s="27">
        <f>IF(ISNUMBER($W344),$A344&amp;"|"&amp;$W344,"")</f>
        <v/>
      </c>
      <c r="AB344" s="27">
        <f>IF(ISNUMBER($F344),$A344&amp;"|"&amp;$F344,"")</f>
        <v/>
      </c>
      <c r="AC344" s="27">
        <f>IF(ISNUMBER($P344),COUNTIFS($A$14:$A$1213,$A344,$P$14:$P$1213,"&gt;"&amp;$P344)+(COUNTIFS($A$14:$A$1213,$A344,$P$14:$P$1213,"="&amp;$P344)+1)/2,"")</f>
        <v/>
      </c>
      <c r="AD344" s="27">
        <f>IF(ISNUMBER($Q344),COUNTIFS($A$14:$A$1213,$A344,$Q$14:$Q$1213,"&gt;"&amp;$Q344)+(COUNTIFS($A$14:$A$1213,$A344,$Q$14:$Q$1213,"="&amp;$Q344)+1)/2,"")</f>
        <v/>
      </c>
      <c r="AE344" s="27">
        <f>IF(ISNUMBER($R344),COUNTIFS($A$14:$A$1213,$A344,$R$14:$R$1213,"&gt;"&amp;$R344)+(COUNTIFS($A$14:$A$1213,$A344,$R$14:$R$1213,"="&amp;$R344)+1)/2,"")</f>
        <v/>
      </c>
      <c r="AF344" s="27">
        <f>IF(ISNUMBER($S344),COUNTIFS($A$14:$A$1213,$A344,$S$14:$S$1213,"&gt;"&amp;$S344)+(COUNTIFS($A$14:$A$1213,$A344,$S$14:$S$1213,"="&amp;$S344)+1)/2,"")</f>
        <v/>
      </c>
      <c r="AG344" s="27">
        <f>IF(ISNUMBER($T344),COUNTIFS($A$14:$A$1213,$A344,$T$14:$T$1213,"&gt;"&amp;$T344)+(COUNTIFS($A$14:$A$1213,$A344,$T$14:$T$1213,"="&amp;$T344)+1)/2,"")</f>
        <v/>
      </c>
      <c r="AH344" s="27">
        <f>IF(COUNT($AC344:$AG344)&lt;2,"",IF(MAX($AC344:$AG344)=MIN($AC344:$AG344),0,1))</f>
        <v/>
      </c>
      <c r="AI344" s="27">
        <f>IF($A344="","",IF(COUNTIF($A$14:$A344,$A344)=1,COUNTIF($AI$13:AI343,"&gt;0")+1,""))</f>
        <v/>
      </c>
      <c r="AO344" s="27">
        <f>IF($A344="","",IF(AND(COUNTIFS($A$14:$A$1213,$A344,$F$14:$F$1213,"&gt;=0")=2,IFERROR(INDEX($M$14:$M$313,MATCH($A344,$H$14:$H$313,0)),"Yes")&lt;&gt;"Yes"),1,0))</f>
        <v/>
      </c>
    </row>
    <row r="345">
      <c r="A345" s="19">
        <f>IF('Enter messages'!A345="","",'Enter messages'!A345)</f>
        <v/>
      </c>
      <c r="B345" s="20">
        <f>IF('Enter messages'!B345="","",'Enter messages'!B345)</f>
        <v/>
      </c>
      <c r="C345" s="21">
        <f>IFERROR(AVERAGE(P345:T345),"")</f>
        <v/>
      </c>
      <c r="D345" s="29" t="n"/>
      <c r="E345" s="29" t="n"/>
      <c r="F345" s="30">
        <f>IF(AND(ISNUMBER($D345),ISNUMBER($E345),$E345&gt;0,$D345&lt;=$E345),$D345/$E345,"")</f>
        <v/>
      </c>
      <c r="P345" s="26" t="n"/>
      <c r="Q345" s="26" t="n"/>
      <c r="R345" s="26" t="n"/>
      <c r="S345" s="26" t="n"/>
      <c r="T345" s="26" t="n"/>
      <c r="V345" s="27">
        <f>IF(ISNUMBER($C345),COUNTIFS($A$14:$A$1213,$A345,$C$14:$C$1213,"&gt;"&amp;$C345)+(COUNTIFS($A$14:$A$1213,$A345,$C$14:$C$1213,"="&amp;$C345)+1)/2,"")</f>
        <v/>
      </c>
      <c r="W345" s="27">
        <f>IF(ISNUMBER($F345),COUNTIFS($A$14:$A$1213,$A345,$F$14:$F$1213,"&gt;"&amp;$F345)+(COUNTIFS($A$14:$A$1213,$A345,$F$14:$F$1213,"="&amp;$F345)+1)/2,"")</f>
        <v/>
      </c>
      <c r="X345" s="27">
        <f>IF(OR(NOT(ISNUMBER($V345)),$AO345=1),"",$V345-(COUNTIFS($A$14:$A$1213,$A345,$C$14:$C$1213,"&gt;=0")+1)/2)</f>
        <v/>
      </c>
      <c r="Y345" s="27">
        <f>IF(OR(NOT(ISNUMBER($W345)),$AO345=1),"",$W345-(COUNTIFS($A$14:$A$1213,$A345,$F$14:$F$1213,"&gt;=0")+1)/2)</f>
        <v/>
      </c>
      <c r="Z345" s="27">
        <f>IF(ISNUMBER($V345),$A345&amp;"|"&amp;$V345,"")</f>
        <v/>
      </c>
      <c r="AA345" s="27">
        <f>IF(ISNUMBER($W345),$A345&amp;"|"&amp;$W345,"")</f>
        <v/>
      </c>
      <c r="AB345" s="27">
        <f>IF(ISNUMBER($F345),$A345&amp;"|"&amp;$F345,"")</f>
        <v/>
      </c>
      <c r="AC345" s="27">
        <f>IF(ISNUMBER($P345),COUNTIFS($A$14:$A$1213,$A345,$P$14:$P$1213,"&gt;"&amp;$P345)+(COUNTIFS($A$14:$A$1213,$A345,$P$14:$P$1213,"="&amp;$P345)+1)/2,"")</f>
        <v/>
      </c>
      <c r="AD345" s="27">
        <f>IF(ISNUMBER($Q345),COUNTIFS($A$14:$A$1213,$A345,$Q$14:$Q$1213,"&gt;"&amp;$Q345)+(COUNTIFS($A$14:$A$1213,$A345,$Q$14:$Q$1213,"="&amp;$Q345)+1)/2,"")</f>
        <v/>
      </c>
      <c r="AE345" s="27">
        <f>IF(ISNUMBER($R345),COUNTIFS($A$14:$A$1213,$A345,$R$14:$R$1213,"&gt;"&amp;$R345)+(COUNTIFS($A$14:$A$1213,$A345,$R$14:$R$1213,"="&amp;$R345)+1)/2,"")</f>
        <v/>
      </c>
      <c r="AF345" s="27">
        <f>IF(ISNUMBER($S345),COUNTIFS($A$14:$A$1213,$A345,$S$14:$S$1213,"&gt;"&amp;$S345)+(COUNTIFS($A$14:$A$1213,$A345,$S$14:$S$1213,"="&amp;$S345)+1)/2,"")</f>
        <v/>
      </c>
      <c r="AG345" s="27">
        <f>IF(ISNUMBER($T345),COUNTIFS($A$14:$A$1213,$A345,$T$14:$T$1213,"&gt;"&amp;$T345)+(COUNTIFS($A$14:$A$1213,$A345,$T$14:$T$1213,"="&amp;$T345)+1)/2,"")</f>
        <v/>
      </c>
      <c r="AH345" s="27">
        <f>IF(COUNT($AC345:$AG345)&lt;2,"",IF(MAX($AC345:$AG345)=MIN($AC345:$AG345),0,1))</f>
        <v/>
      </c>
      <c r="AI345" s="27">
        <f>IF($A345="","",IF(COUNTIF($A$14:$A345,$A345)=1,COUNTIF($AI$13:AI344,"&gt;0")+1,""))</f>
        <v/>
      </c>
      <c r="AO345" s="27">
        <f>IF($A345="","",IF(AND(COUNTIFS($A$14:$A$1213,$A345,$F$14:$F$1213,"&gt;=0")=2,IFERROR(INDEX($M$14:$M$313,MATCH($A345,$H$14:$H$313,0)),"Yes")&lt;&gt;"Yes"),1,0))</f>
        <v/>
      </c>
    </row>
    <row r="346">
      <c r="A346" s="19">
        <f>IF('Enter messages'!A346="","",'Enter messages'!A346)</f>
        <v/>
      </c>
      <c r="B346" s="20">
        <f>IF('Enter messages'!B346="","",'Enter messages'!B346)</f>
        <v/>
      </c>
      <c r="C346" s="21">
        <f>IFERROR(AVERAGE(P346:T346),"")</f>
        <v/>
      </c>
      <c r="D346" s="29" t="n"/>
      <c r="E346" s="29" t="n"/>
      <c r="F346" s="30">
        <f>IF(AND(ISNUMBER($D346),ISNUMBER($E346),$E346&gt;0,$D346&lt;=$E346),$D346/$E346,"")</f>
        <v/>
      </c>
      <c r="P346" s="26" t="n"/>
      <c r="Q346" s="26" t="n"/>
      <c r="R346" s="26" t="n"/>
      <c r="S346" s="26" t="n"/>
      <c r="T346" s="26" t="n"/>
      <c r="V346" s="27">
        <f>IF(ISNUMBER($C346),COUNTIFS($A$14:$A$1213,$A346,$C$14:$C$1213,"&gt;"&amp;$C346)+(COUNTIFS($A$14:$A$1213,$A346,$C$14:$C$1213,"="&amp;$C346)+1)/2,"")</f>
        <v/>
      </c>
      <c r="W346" s="27">
        <f>IF(ISNUMBER($F346),COUNTIFS($A$14:$A$1213,$A346,$F$14:$F$1213,"&gt;"&amp;$F346)+(COUNTIFS($A$14:$A$1213,$A346,$F$14:$F$1213,"="&amp;$F346)+1)/2,"")</f>
        <v/>
      </c>
      <c r="X346" s="27">
        <f>IF(OR(NOT(ISNUMBER($V346)),$AO346=1),"",$V346-(COUNTIFS($A$14:$A$1213,$A346,$C$14:$C$1213,"&gt;=0")+1)/2)</f>
        <v/>
      </c>
      <c r="Y346" s="27">
        <f>IF(OR(NOT(ISNUMBER($W346)),$AO346=1),"",$W346-(COUNTIFS($A$14:$A$1213,$A346,$F$14:$F$1213,"&gt;=0")+1)/2)</f>
        <v/>
      </c>
      <c r="Z346" s="27">
        <f>IF(ISNUMBER($V346),$A346&amp;"|"&amp;$V346,"")</f>
        <v/>
      </c>
      <c r="AA346" s="27">
        <f>IF(ISNUMBER($W346),$A346&amp;"|"&amp;$W346,"")</f>
        <v/>
      </c>
      <c r="AB346" s="27">
        <f>IF(ISNUMBER($F346),$A346&amp;"|"&amp;$F346,"")</f>
        <v/>
      </c>
      <c r="AC346" s="27">
        <f>IF(ISNUMBER($P346),COUNTIFS($A$14:$A$1213,$A346,$P$14:$P$1213,"&gt;"&amp;$P346)+(COUNTIFS($A$14:$A$1213,$A346,$P$14:$P$1213,"="&amp;$P346)+1)/2,"")</f>
        <v/>
      </c>
      <c r="AD346" s="27">
        <f>IF(ISNUMBER($Q346),COUNTIFS($A$14:$A$1213,$A346,$Q$14:$Q$1213,"&gt;"&amp;$Q346)+(COUNTIFS($A$14:$A$1213,$A346,$Q$14:$Q$1213,"="&amp;$Q346)+1)/2,"")</f>
        <v/>
      </c>
      <c r="AE346" s="27">
        <f>IF(ISNUMBER($R346),COUNTIFS($A$14:$A$1213,$A346,$R$14:$R$1213,"&gt;"&amp;$R346)+(COUNTIFS($A$14:$A$1213,$A346,$R$14:$R$1213,"="&amp;$R346)+1)/2,"")</f>
        <v/>
      </c>
      <c r="AF346" s="27">
        <f>IF(ISNUMBER($S346),COUNTIFS($A$14:$A$1213,$A346,$S$14:$S$1213,"&gt;"&amp;$S346)+(COUNTIFS($A$14:$A$1213,$A346,$S$14:$S$1213,"="&amp;$S346)+1)/2,"")</f>
        <v/>
      </c>
      <c r="AG346" s="27">
        <f>IF(ISNUMBER($T346),COUNTIFS($A$14:$A$1213,$A346,$T$14:$T$1213,"&gt;"&amp;$T346)+(COUNTIFS($A$14:$A$1213,$A346,$T$14:$T$1213,"="&amp;$T346)+1)/2,"")</f>
        <v/>
      </c>
      <c r="AH346" s="27">
        <f>IF(COUNT($AC346:$AG346)&lt;2,"",IF(MAX($AC346:$AG346)=MIN($AC346:$AG346),0,1))</f>
        <v/>
      </c>
      <c r="AI346" s="27">
        <f>IF($A346="","",IF(COUNTIF($A$14:$A346,$A346)=1,COUNTIF($AI$13:AI345,"&gt;0")+1,""))</f>
        <v/>
      </c>
      <c r="AO346" s="27">
        <f>IF($A346="","",IF(AND(COUNTIFS($A$14:$A$1213,$A346,$F$14:$F$1213,"&gt;=0")=2,IFERROR(INDEX($M$14:$M$313,MATCH($A346,$H$14:$H$313,0)),"Yes")&lt;&gt;"Yes"),1,0))</f>
        <v/>
      </c>
    </row>
    <row r="347">
      <c r="A347" s="19">
        <f>IF('Enter messages'!A347="","",'Enter messages'!A347)</f>
        <v/>
      </c>
      <c r="B347" s="20">
        <f>IF('Enter messages'!B347="","",'Enter messages'!B347)</f>
        <v/>
      </c>
      <c r="C347" s="21">
        <f>IFERROR(AVERAGE(P347:T347),"")</f>
        <v/>
      </c>
      <c r="D347" s="29" t="n"/>
      <c r="E347" s="29" t="n"/>
      <c r="F347" s="30">
        <f>IF(AND(ISNUMBER($D347),ISNUMBER($E347),$E347&gt;0,$D347&lt;=$E347),$D347/$E347,"")</f>
        <v/>
      </c>
      <c r="P347" s="26" t="n"/>
      <c r="Q347" s="26" t="n"/>
      <c r="R347" s="26" t="n"/>
      <c r="S347" s="26" t="n"/>
      <c r="T347" s="26" t="n"/>
      <c r="V347" s="27">
        <f>IF(ISNUMBER($C347),COUNTIFS($A$14:$A$1213,$A347,$C$14:$C$1213,"&gt;"&amp;$C347)+(COUNTIFS($A$14:$A$1213,$A347,$C$14:$C$1213,"="&amp;$C347)+1)/2,"")</f>
        <v/>
      </c>
      <c r="W347" s="27">
        <f>IF(ISNUMBER($F347),COUNTIFS($A$14:$A$1213,$A347,$F$14:$F$1213,"&gt;"&amp;$F347)+(COUNTIFS($A$14:$A$1213,$A347,$F$14:$F$1213,"="&amp;$F347)+1)/2,"")</f>
        <v/>
      </c>
      <c r="X347" s="27">
        <f>IF(OR(NOT(ISNUMBER($V347)),$AO347=1),"",$V347-(COUNTIFS($A$14:$A$1213,$A347,$C$14:$C$1213,"&gt;=0")+1)/2)</f>
        <v/>
      </c>
      <c r="Y347" s="27">
        <f>IF(OR(NOT(ISNUMBER($W347)),$AO347=1),"",$W347-(COUNTIFS($A$14:$A$1213,$A347,$F$14:$F$1213,"&gt;=0")+1)/2)</f>
        <v/>
      </c>
      <c r="Z347" s="27">
        <f>IF(ISNUMBER($V347),$A347&amp;"|"&amp;$V347,"")</f>
        <v/>
      </c>
      <c r="AA347" s="27">
        <f>IF(ISNUMBER($W347),$A347&amp;"|"&amp;$W347,"")</f>
        <v/>
      </c>
      <c r="AB347" s="27">
        <f>IF(ISNUMBER($F347),$A347&amp;"|"&amp;$F347,"")</f>
        <v/>
      </c>
      <c r="AC347" s="27">
        <f>IF(ISNUMBER($P347),COUNTIFS($A$14:$A$1213,$A347,$P$14:$P$1213,"&gt;"&amp;$P347)+(COUNTIFS($A$14:$A$1213,$A347,$P$14:$P$1213,"="&amp;$P347)+1)/2,"")</f>
        <v/>
      </c>
      <c r="AD347" s="27">
        <f>IF(ISNUMBER($Q347),COUNTIFS($A$14:$A$1213,$A347,$Q$14:$Q$1213,"&gt;"&amp;$Q347)+(COUNTIFS($A$14:$A$1213,$A347,$Q$14:$Q$1213,"="&amp;$Q347)+1)/2,"")</f>
        <v/>
      </c>
      <c r="AE347" s="27">
        <f>IF(ISNUMBER($R347),COUNTIFS($A$14:$A$1213,$A347,$R$14:$R$1213,"&gt;"&amp;$R347)+(COUNTIFS($A$14:$A$1213,$A347,$R$14:$R$1213,"="&amp;$R347)+1)/2,"")</f>
        <v/>
      </c>
      <c r="AF347" s="27">
        <f>IF(ISNUMBER($S347),COUNTIFS($A$14:$A$1213,$A347,$S$14:$S$1213,"&gt;"&amp;$S347)+(COUNTIFS($A$14:$A$1213,$A347,$S$14:$S$1213,"="&amp;$S347)+1)/2,"")</f>
        <v/>
      </c>
      <c r="AG347" s="27">
        <f>IF(ISNUMBER($T347),COUNTIFS($A$14:$A$1213,$A347,$T$14:$T$1213,"&gt;"&amp;$T347)+(COUNTIFS($A$14:$A$1213,$A347,$T$14:$T$1213,"="&amp;$T347)+1)/2,"")</f>
        <v/>
      </c>
      <c r="AH347" s="27">
        <f>IF(COUNT($AC347:$AG347)&lt;2,"",IF(MAX($AC347:$AG347)=MIN($AC347:$AG347),0,1))</f>
        <v/>
      </c>
      <c r="AI347" s="27">
        <f>IF($A347="","",IF(COUNTIF($A$14:$A347,$A347)=1,COUNTIF($AI$13:AI346,"&gt;0")+1,""))</f>
        <v/>
      </c>
      <c r="AO347" s="27">
        <f>IF($A347="","",IF(AND(COUNTIFS($A$14:$A$1213,$A347,$F$14:$F$1213,"&gt;=0")=2,IFERROR(INDEX($M$14:$M$313,MATCH($A347,$H$14:$H$313,0)),"Yes")&lt;&gt;"Yes"),1,0))</f>
        <v/>
      </c>
    </row>
    <row r="348">
      <c r="A348" s="19">
        <f>IF('Enter messages'!A348="","",'Enter messages'!A348)</f>
        <v/>
      </c>
      <c r="B348" s="20">
        <f>IF('Enter messages'!B348="","",'Enter messages'!B348)</f>
        <v/>
      </c>
      <c r="C348" s="21">
        <f>IFERROR(AVERAGE(P348:T348),"")</f>
        <v/>
      </c>
      <c r="D348" s="29" t="n"/>
      <c r="E348" s="29" t="n"/>
      <c r="F348" s="30">
        <f>IF(AND(ISNUMBER($D348),ISNUMBER($E348),$E348&gt;0,$D348&lt;=$E348),$D348/$E348,"")</f>
        <v/>
      </c>
      <c r="P348" s="26" t="n"/>
      <c r="Q348" s="26" t="n"/>
      <c r="R348" s="26" t="n"/>
      <c r="S348" s="26" t="n"/>
      <c r="T348" s="26" t="n"/>
      <c r="V348" s="27">
        <f>IF(ISNUMBER($C348),COUNTIFS($A$14:$A$1213,$A348,$C$14:$C$1213,"&gt;"&amp;$C348)+(COUNTIFS($A$14:$A$1213,$A348,$C$14:$C$1213,"="&amp;$C348)+1)/2,"")</f>
        <v/>
      </c>
      <c r="W348" s="27">
        <f>IF(ISNUMBER($F348),COUNTIFS($A$14:$A$1213,$A348,$F$14:$F$1213,"&gt;"&amp;$F348)+(COUNTIFS($A$14:$A$1213,$A348,$F$14:$F$1213,"="&amp;$F348)+1)/2,"")</f>
        <v/>
      </c>
      <c r="X348" s="27">
        <f>IF(OR(NOT(ISNUMBER($V348)),$AO348=1),"",$V348-(COUNTIFS($A$14:$A$1213,$A348,$C$14:$C$1213,"&gt;=0")+1)/2)</f>
        <v/>
      </c>
      <c r="Y348" s="27">
        <f>IF(OR(NOT(ISNUMBER($W348)),$AO348=1),"",$W348-(COUNTIFS($A$14:$A$1213,$A348,$F$14:$F$1213,"&gt;=0")+1)/2)</f>
        <v/>
      </c>
      <c r="Z348" s="27">
        <f>IF(ISNUMBER($V348),$A348&amp;"|"&amp;$V348,"")</f>
        <v/>
      </c>
      <c r="AA348" s="27">
        <f>IF(ISNUMBER($W348),$A348&amp;"|"&amp;$W348,"")</f>
        <v/>
      </c>
      <c r="AB348" s="27">
        <f>IF(ISNUMBER($F348),$A348&amp;"|"&amp;$F348,"")</f>
        <v/>
      </c>
      <c r="AC348" s="27">
        <f>IF(ISNUMBER($P348),COUNTIFS($A$14:$A$1213,$A348,$P$14:$P$1213,"&gt;"&amp;$P348)+(COUNTIFS($A$14:$A$1213,$A348,$P$14:$P$1213,"="&amp;$P348)+1)/2,"")</f>
        <v/>
      </c>
      <c r="AD348" s="27">
        <f>IF(ISNUMBER($Q348),COUNTIFS($A$14:$A$1213,$A348,$Q$14:$Q$1213,"&gt;"&amp;$Q348)+(COUNTIFS($A$14:$A$1213,$A348,$Q$14:$Q$1213,"="&amp;$Q348)+1)/2,"")</f>
        <v/>
      </c>
      <c r="AE348" s="27">
        <f>IF(ISNUMBER($R348),COUNTIFS($A$14:$A$1213,$A348,$R$14:$R$1213,"&gt;"&amp;$R348)+(COUNTIFS($A$14:$A$1213,$A348,$R$14:$R$1213,"="&amp;$R348)+1)/2,"")</f>
        <v/>
      </c>
      <c r="AF348" s="27">
        <f>IF(ISNUMBER($S348),COUNTIFS($A$14:$A$1213,$A348,$S$14:$S$1213,"&gt;"&amp;$S348)+(COUNTIFS($A$14:$A$1213,$A348,$S$14:$S$1213,"="&amp;$S348)+1)/2,"")</f>
        <v/>
      </c>
      <c r="AG348" s="27">
        <f>IF(ISNUMBER($T348),COUNTIFS($A$14:$A$1213,$A348,$T$14:$T$1213,"&gt;"&amp;$T348)+(COUNTIFS($A$14:$A$1213,$A348,$T$14:$T$1213,"="&amp;$T348)+1)/2,"")</f>
        <v/>
      </c>
      <c r="AH348" s="27">
        <f>IF(COUNT($AC348:$AG348)&lt;2,"",IF(MAX($AC348:$AG348)=MIN($AC348:$AG348),0,1))</f>
        <v/>
      </c>
      <c r="AI348" s="27">
        <f>IF($A348="","",IF(COUNTIF($A$14:$A348,$A348)=1,COUNTIF($AI$13:AI347,"&gt;0")+1,""))</f>
        <v/>
      </c>
      <c r="AO348" s="27">
        <f>IF($A348="","",IF(AND(COUNTIFS($A$14:$A$1213,$A348,$F$14:$F$1213,"&gt;=0")=2,IFERROR(INDEX($M$14:$M$313,MATCH($A348,$H$14:$H$313,0)),"Yes")&lt;&gt;"Yes"),1,0))</f>
        <v/>
      </c>
    </row>
    <row r="349">
      <c r="A349" s="19">
        <f>IF('Enter messages'!A349="","",'Enter messages'!A349)</f>
        <v/>
      </c>
      <c r="B349" s="20">
        <f>IF('Enter messages'!B349="","",'Enter messages'!B349)</f>
        <v/>
      </c>
      <c r="C349" s="21">
        <f>IFERROR(AVERAGE(P349:T349),"")</f>
        <v/>
      </c>
      <c r="D349" s="29" t="n"/>
      <c r="E349" s="29" t="n"/>
      <c r="F349" s="30">
        <f>IF(AND(ISNUMBER($D349),ISNUMBER($E349),$E349&gt;0,$D349&lt;=$E349),$D349/$E349,"")</f>
        <v/>
      </c>
      <c r="P349" s="26" t="n"/>
      <c r="Q349" s="26" t="n"/>
      <c r="R349" s="26" t="n"/>
      <c r="S349" s="26" t="n"/>
      <c r="T349" s="26" t="n"/>
      <c r="V349" s="27">
        <f>IF(ISNUMBER($C349),COUNTIFS($A$14:$A$1213,$A349,$C$14:$C$1213,"&gt;"&amp;$C349)+(COUNTIFS($A$14:$A$1213,$A349,$C$14:$C$1213,"="&amp;$C349)+1)/2,"")</f>
        <v/>
      </c>
      <c r="W349" s="27">
        <f>IF(ISNUMBER($F349),COUNTIFS($A$14:$A$1213,$A349,$F$14:$F$1213,"&gt;"&amp;$F349)+(COUNTIFS($A$14:$A$1213,$A349,$F$14:$F$1213,"="&amp;$F349)+1)/2,"")</f>
        <v/>
      </c>
      <c r="X349" s="27">
        <f>IF(OR(NOT(ISNUMBER($V349)),$AO349=1),"",$V349-(COUNTIFS($A$14:$A$1213,$A349,$C$14:$C$1213,"&gt;=0")+1)/2)</f>
        <v/>
      </c>
      <c r="Y349" s="27">
        <f>IF(OR(NOT(ISNUMBER($W349)),$AO349=1),"",$W349-(COUNTIFS($A$14:$A$1213,$A349,$F$14:$F$1213,"&gt;=0")+1)/2)</f>
        <v/>
      </c>
      <c r="Z349" s="27">
        <f>IF(ISNUMBER($V349),$A349&amp;"|"&amp;$V349,"")</f>
        <v/>
      </c>
      <c r="AA349" s="27">
        <f>IF(ISNUMBER($W349),$A349&amp;"|"&amp;$W349,"")</f>
        <v/>
      </c>
      <c r="AB349" s="27">
        <f>IF(ISNUMBER($F349),$A349&amp;"|"&amp;$F349,"")</f>
        <v/>
      </c>
      <c r="AC349" s="27">
        <f>IF(ISNUMBER($P349),COUNTIFS($A$14:$A$1213,$A349,$P$14:$P$1213,"&gt;"&amp;$P349)+(COUNTIFS($A$14:$A$1213,$A349,$P$14:$P$1213,"="&amp;$P349)+1)/2,"")</f>
        <v/>
      </c>
      <c r="AD349" s="27">
        <f>IF(ISNUMBER($Q349),COUNTIFS($A$14:$A$1213,$A349,$Q$14:$Q$1213,"&gt;"&amp;$Q349)+(COUNTIFS($A$14:$A$1213,$A349,$Q$14:$Q$1213,"="&amp;$Q349)+1)/2,"")</f>
        <v/>
      </c>
      <c r="AE349" s="27">
        <f>IF(ISNUMBER($R349),COUNTIFS($A$14:$A$1213,$A349,$R$14:$R$1213,"&gt;"&amp;$R349)+(COUNTIFS($A$14:$A$1213,$A349,$R$14:$R$1213,"="&amp;$R349)+1)/2,"")</f>
        <v/>
      </c>
      <c r="AF349" s="27">
        <f>IF(ISNUMBER($S349),COUNTIFS($A$14:$A$1213,$A349,$S$14:$S$1213,"&gt;"&amp;$S349)+(COUNTIFS($A$14:$A$1213,$A349,$S$14:$S$1213,"="&amp;$S349)+1)/2,"")</f>
        <v/>
      </c>
      <c r="AG349" s="27">
        <f>IF(ISNUMBER($T349),COUNTIFS($A$14:$A$1213,$A349,$T$14:$T$1213,"&gt;"&amp;$T349)+(COUNTIFS($A$14:$A$1213,$A349,$T$14:$T$1213,"="&amp;$T349)+1)/2,"")</f>
        <v/>
      </c>
      <c r="AH349" s="27">
        <f>IF(COUNT($AC349:$AG349)&lt;2,"",IF(MAX($AC349:$AG349)=MIN($AC349:$AG349),0,1))</f>
        <v/>
      </c>
      <c r="AI349" s="27">
        <f>IF($A349="","",IF(COUNTIF($A$14:$A349,$A349)=1,COUNTIF($AI$13:AI348,"&gt;0")+1,""))</f>
        <v/>
      </c>
      <c r="AO349" s="27">
        <f>IF($A349="","",IF(AND(COUNTIFS($A$14:$A$1213,$A349,$F$14:$F$1213,"&gt;=0")=2,IFERROR(INDEX($M$14:$M$313,MATCH($A349,$H$14:$H$313,0)),"Yes")&lt;&gt;"Yes"),1,0))</f>
        <v/>
      </c>
    </row>
    <row r="350">
      <c r="A350" s="19">
        <f>IF('Enter messages'!A350="","",'Enter messages'!A350)</f>
        <v/>
      </c>
      <c r="B350" s="20">
        <f>IF('Enter messages'!B350="","",'Enter messages'!B350)</f>
        <v/>
      </c>
      <c r="C350" s="21">
        <f>IFERROR(AVERAGE(P350:T350),"")</f>
        <v/>
      </c>
      <c r="D350" s="29" t="n"/>
      <c r="E350" s="29" t="n"/>
      <c r="F350" s="30">
        <f>IF(AND(ISNUMBER($D350),ISNUMBER($E350),$E350&gt;0,$D350&lt;=$E350),$D350/$E350,"")</f>
        <v/>
      </c>
      <c r="P350" s="26" t="n"/>
      <c r="Q350" s="26" t="n"/>
      <c r="R350" s="26" t="n"/>
      <c r="S350" s="26" t="n"/>
      <c r="T350" s="26" t="n"/>
      <c r="V350" s="27">
        <f>IF(ISNUMBER($C350),COUNTIFS($A$14:$A$1213,$A350,$C$14:$C$1213,"&gt;"&amp;$C350)+(COUNTIFS($A$14:$A$1213,$A350,$C$14:$C$1213,"="&amp;$C350)+1)/2,"")</f>
        <v/>
      </c>
      <c r="W350" s="27">
        <f>IF(ISNUMBER($F350),COUNTIFS($A$14:$A$1213,$A350,$F$14:$F$1213,"&gt;"&amp;$F350)+(COUNTIFS($A$14:$A$1213,$A350,$F$14:$F$1213,"="&amp;$F350)+1)/2,"")</f>
        <v/>
      </c>
      <c r="X350" s="27">
        <f>IF(OR(NOT(ISNUMBER($V350)),$AO350=1),"",$V350-(COUNTIFS($A$14:$A$1213,$A350,$C$14:$C$1213,"&gt;=0")+1)/2)</f>
        <v/>
      </c>
      <c r="Y350" s="27">
        <f>IF(OR(NOT(ISNUMBER($W350)),$AO350=1),"",$W350-(COUNTIFS($A$14:$A$1213,$A350,$F$14:$F$1213,"&gt;=0")+1)/2)</f>
        <v/>
      </c>
      <c r="Z350" s="27">
        <f>IF(ISNUMBER($V350),$A350&amp;"|"&amp;$V350,"")</f>
        <v/>
      </c>
      <c r="AA350" s="27">
        <f>IF(ISNUMBER($W350),$A350&amp;"|"&amp;$W350,"")</f>
        <v/>
      </c>
      <c r="AB350" s="27">
        <f>IF(ISNUMBER($F350),$A350&amp;"|"&amp;$F350,"")</f>
        <v/>
      </c>
      <c r="AC350" s="27">
        <f>IF(ISNUMBER($P350),COUNTIFS($A$14:$A$1213,$A350,$P$14:$P$1213,"&gt;"&amp;$P350)+(COUNTIFS($A$14:$A$1213,$A350,$P$14:$P$1213,"="&amp;$P350)+1)/2,"")</f>
        <v/>
      </c>
      <c r="AD350" s="27">
        <f>IF(ISNUMBER($Q350),COUNTIFS($A$14:$A$1213,$A350,$Q$14:$Q$1213,"&gt;"&amp;$Q350)+(COUNTIFS($A$14:$A$1213,$A350,$Q$14:$Q$1213,"="&amp;$Q350)+1)/2,"")</f>
        <v/>
      </c>
      <c r="AE350" s="27">
        <f>IF(ISNUMBER($R350),COUNTIFS($A$14:$A$1213,$A350,$R$14:$R$1213,"&gt;"&amp;$R350)+(COUNTIFS($A$14:$A$1213,$A350,$R$14:$R$1213,"="&amp;$R350)+1)/2,"")</f>
        <v/>
      </c>
      <c r="AF350" s="27">
        <f>IF(ISNUMBER($S350),COUNTIFS($A$14:$A$1213,$A350,$S$14:$S$1213,"&gt;"&amp;$S350)+(COUNTIFS($A$14:$A$1213,$A350,$S$14:$S$1213,"="&amp;$S350)+1)/2,"")</f>
        <v/>
      </c>
      <c r="AG350" s="27">
        <f>IF(ISNUMBER($T350),COUNTIFS($A$14:$A$1213,$A350,$T$14:$T$1213,"&gt;"&amp;$T350)+(COUNTIFS($A$14:$A$1213,$A350,$T$14:$T$1213,"="&amp;$T350)+1)/2,"")</f>
        <v/>
      </c>
      <c r="AH350" s="27">
        <f>IF(COUNT($AC350:$AG350)&lt;2,"",IF(MAX($AC350:$AG350)=MIN($AC350:$AG350),0,1))</f>
        <v/>
      </c>
      <c r="AI350" s="27">
        <f>IF($A350="","",IF(COUNTIF($A$14:$A350,$A350)=1,COUNTIF($AI$13:AI349,"&gt;0")+1,""))</f>
        <v/>
      </c>
      <c r="AO350" s="27">
        <f>IF($A350="","",IF(AND(COUNTIFS($A$14:$A$1213,$A350,$F$14:$F$1213,"&gt;=0")=2,IFERROR(INDEX($M$14:$M$313,MATCH($A350,$H$14:$H$313,0)),"Yes")&lt;&gt;"Yes"),1,0))</f>
        <v/>
      </c>
    </row>
    <row r="351">
      <c r="A351" s="19">
        <f>IF('Enter messages'!A351="","",'Enter messages'!A351)</f>
        <v/>
      </c>
      <c r="B351" s="20">
        <f>IF('Enter messages'!B351="","",'Enter messages'!B351)</f>
        <v/>
      </c>
      <c r="C351" s="21">
        <f>IFERROR(AVERAGE(P351:T351),"")</f>
        <v/>
      </c>
      <c r="D351" s="29" t="n"/>
      <c r="E351" s="29" t="n"/>
      <c r="F351" s="30">
        <f>IF(AND(ISNUMBER($D351),ISNUMBER($E351),$E351&gt;0,$D351&lt;=$E351),$D351/$E351,"")</f>
        <v/>
      </c>
      <c r="P351" s="26" t="n"/>
      <c r="Q351" s="26" t="n"/>
      <c r="R351" s="26" t="n"/>
      <c r="S351" s="26" t="n"/>
      <c r="T351" s="26" t="n"/>
      <c r="V351" s="27">
        <f>IF(ISNUMBER($C351),COUNTIFS($A$14:$A$1213,$A351,$C$14:$C$1213,"&gt;"&amp;$C351)+(COUNTIFS($A$14:$A$1213,$A351,$C$14:$C$1213,"="&amp;$C351)+1)/2,"")</f>
        <v/>
      </c>
      <c r="W351" s="27">
        <f>IF(ISNUMBER($F351),COUNTIFS($A$14:$A$1213,$A351,$F$14:$F$1213,"&gt;"&amp;$F351)+(COUNTIFS($A$14:$A$1213,$A351,$F$14:$F$1213,"="&amp;$F351)+1)/2,"")</f>
        <v/>
      </c>
      <c r="X351" s="27">
        <f>IF(OR(NOT(ISNUMBER($V351)),$AO351=1),"",$V351-(COUNTIFS($A$14:$A$1213,$A351,$C$14:$C$1213,"&gt;=0")+1)/2)</f>
        <v/>
      </c>
      <c r="Y351" s="27">
        <f>IF(OR(NOT(ISNUMBER($W351)),$AO351=1),"",$W351-(COUNTIFS($A$14:$A$1213,$A351,$F$14:$F$1213,"&gt;=0")+1)/2)</f>
        <v/>
      </c>
      <c r="Z351" s="27">
        <f>IF(ISNUMBER($V351),$A351&amp;"|"&amp;$V351,"")</f>
        <v/>
      </c>
      <c r="AA351" s="27">
        <f>IF(ISNUMBER($W351),$A351&amp;"|"&amp;$W351,"")</f>
        <v/>
      </c>
      <c r="AB351" s="27">
        <f>IF(ISNUMBER($F351),$A351&amp;"|"&amp;$F351,"")</f>
        <v/>
      </c>
      <c r="AC351" s="27">
        <f>IF(ISNUMBER($P351),COUNTIFS($A$14:$A$1213,$A351,$P$14:$P$1213,"&gt;"&amp;$P351)+(COUNTIFS($A$14:$A$1213,$A351,$P$14:$P$1213,"="&amp;$P351)+1)/2,"")</f>
        <v/>
      </c>
      <c r="AD351" s="27">
        <f>IF(ISNUMBER($Q351),COUNTIFS($A$14:$A$1213,$A351,$Q$14:$Q$1213,"&gt;"&amp;$Q351)+(COUNTIFS($A$14:$A$1213,$A351,$Q$14:$Q$1213,"="&amp;$Q351)+1)/2,"")</f>
        <v/>
      </c>
      <c r="AE351" s="27">
        <f>IF(ISNUMBER($R351),COUNTIFS($A$14:$A$1213,$A351,$R$14:$R$1213,"&gt;"&amp;$R351)+(COUNTIFS($A$14:$A$1213,$A351,$R$14:$R$1213,"="&amp;$R351)+1)/2,"")</f>
        <v/>
      </c>
      <c r="AF351" s="27">
        <f>IF(ISNUMBER($S351),COUNTIFS($A$14:$A$1213,$A351,$S$14:$S$1213,"&gt;"&amp;$S351)+(COUNTIFS($A$14:$A$1213,$A351,$S$14:$S$1213,"="&amp;$S351)+1)/2,"")</f>
        <v/>
      </c>
      <c r="AG351" s="27">
        <f>IF(ISNUMBER($T351),COUNTIFS($A$14:$A$1213,$A351,$T$14:$T$1213,"&gt;"&amp;$T351)+(COUNTIFS($A$14:$A$1213,$A351,$T$14:$T$1213,"="&amp;$T351)+1)/2,"")</f>
        <v/>
      </c>
      <c r="AH351" s="27">
        <f>IF(COUNT($AC351:$AG351)&lt;2,"",IF(MAX($AC351:$AG351)=MIN($AC351:$AG351),0,1))</f>
        <v/>
      </c>
      <c r="AI351" s="27">
        <f>IF($A351="","",IF(COUNTIF($A$14:$A351,$A351)=1,COUNTIF($AI$13:AI350,"&gt;0")+1,""))</f>
        <v/>
      </c>
      <c r="AO351" s="27">
        <f>IF($A351="","",IF(AND(COUNTIFS($A$14:$A$1213,$A351,$F$14:$F$1213,"&gt;=0")=2,IFERROR(INDEX($M$14:$M$313,MATCH($A351,$H$14:$H$313,0)),"Yes")&lt;&gt;"Yes"),1,0))</f>
        <v/>
      </c>
    </row>
    <row r="352">
      <c r="A352" s="19">
        <f>IF('Enter messages'!A352="","",'Enter messages'!A352)</f>
        <v/>
      </c>
      <c r="B352" s="20">
        <f>IF('Enter messages'!B352="","",'Enter messages'!B352)</f>
        <v/>
      </c>
      <c r="C352" s="21">
        <f>IFERROR(AVERAGE(P352:T352),"")</f>
        <v/>
      </c>
      <c r="D352" s="29" t="n"/>
      <c r="E352" s="29" t="n"/>
      <c r="F352" s="30">
        <f>IF(AND(ISNUMBER($D352),ISNUMBER($E352),$E352&gt;0,$D352&lt;=$E352),$D352/$E352,"")</f>
        <v/>
      </c>
      <c r="P352" s="26" t="n"/>
      <c r="Q352" s="26" t="n"/>
      <c r="R352" s="26" t="n"/>
      <c r="S352" s="26" t="n"/>
      <c r="T352" s="26" t="n"/>
      <c r="V352" s="27">
        <f>IF(ISNUMBER($C352),COUNTIFS($A$14:$A$1213,$A352,$C$14:$C$1213,"&gt;"&amp;$C352)+(COUNTIFS($A$14:$A$1213,$A352,$C$14:$C$1213,"="&amp;$C352)+1)/2,"")</f>
        <v/>
      </c>
      <c r="W352" s="27">
        <f>IF(ISNUMBER($F352),COUNTIFS($A$14:$A$1213,$A352,$F$14:$F$1213,"&gt;"&amp;$F352)+(COUNTIFS($A$14:$A$1213,$A352,$F$14:$F$1213,"="&amp;$F352)+1)/2,"")</f>
        <v/>
      </c>
      <c r="X352" s="27">
        <f>IF(OR(NOT(ISNUMBER($V352)),$AO352=1),"",$V352-(COUNTIFS($A$14:$A$1213,$A352,$C$14:$C$1213,"&gt;=0")+1)/2)</f>
        <v/>
      </c>
      <c r="Y352" s="27">
        <f>IF(OR(NOT(ISNUMBER($W352)),$AO352=1),"",$W352-(COUNTIFS($A$14:$A$1213,$A352,$F$14:$F$1213,"&gt;=0")+1)/2)</f>
        <v/>
      </c>
      <c r="Z352" s="27">
        <f>IF(ISNUMBER($V352),$A352&amp;"|"&amp;$V352,"")</f>
        <v/>
      </c>
      <c r="AA352" s="27">
        <f>IF(ISNUMBER($W352),$A352&amp;"|"&amp;$W352,"")</f>
        <v/>
      </c>
      <c r="AB352" s="27">
        <f>IF(ISNUMBER($F352),$A352&amp;"|"&amp;$F352,"")</f>
        <v/>
      </c>
      <c r="AC352" s="27">
        <f>IF(ISNUMBER($P352),COUNTIFS($A$14:$A$1213,$A352,$P$14:$P$1213,"&gt;"&amp;$P352)+(COUNTIFS($A$14:$A$1213,$A352,$P$14:$P$1213,"="&amp;$P352)+1)/2,"")</f>
        <v/>
      </c>
      <c r="AD352" s="27">
        <f>IF(ISNUMBER($Q352),COUNTIFS($A$14:$A$1213,$A352,$Q$14:$Q$1213,"&gt;"&amp;$Q352)+(COUNTIFS($A$14:$A$1213,$A352,$Q$14:$Q$1213,"="&amp;$Q352)+1)/2,"")</f>
        <v/>
      </c>
      <c r="AE352" s="27">
        <f>IF(ISNUMBER($R352),COUNTIFS($A$14:$A$1213,$A352,$R$14:$R$1213,"&gt;"&amp;$R352)+(COUNTIFS($A$14:$A$1213,$A352,$R$14:$R$1213,"="&amp;$R352)+1)/2,"")</f>
        <v/>
      </c>
      <c r="AF352" s="27">
        <f>IF(ISNUMBER($S352),COUNTIFS($A$14:$A$1213,$A352,$S$14:$S$1213,"&gt;"&amp;$S352)+(COUNTIFS($A$14:$A$1213,$A352,$S$14:$S$1213,"="&amp;$S352)+1)/2,"")</f>
        <v/>
      </c>
      <c r="AG352" s="27">
        <f>IF(ISNUMBER($T352),COUNTIFS($A$14:$A$1213,$A352,$T$14:$T$1213,"&gt;"&amp;$T352)+(COUNTIFS($A$14:$A$1213,$A352,$T$14:$T$1213,"="&amp;$T352)+1)/2,"")</f>
        <v/>
      </c>
      <c r="AH352" s="27">
        <f>IF(COUNT($AC352:$AG352)&lt;2,"",IF(MAX($AC352:$AG352)=MIN($AC352:$AG352),0,1))</f>
        <v/>
      </c>
      <c r="AI352" s="27">
        <f>IF($A352="","",IF(COUNTIF($A$14:$A352,$A352)=1,COUNTIF($AI$13:AI351,"&gt;0")+1,""))</f>
        <v/>
      </c>
      <c r="AO352" s="27">
        <f>IF($A352="","",IF(AND(COUNTIFS($A$14:$A$1213,$A352,$F$14:$F$1213,"&gt;=0")=2,IFERROR(INDEX($M$14:$M$313,MATCH($A352,$H$14:$H$313,0)),"Yes")&lt;&gt;"Yes"),1,0))</f>
        <v/>
      </c>
    </row>
    <row r="353">
      <c r="A353" s="19">
        <f>IF('Enter messages'!A353="","",'Enter messages'!A353)</f>
        <v/>
      </c>
      <c r="B353" s="20">
        <f>IF('Enter messages'!B353="","",'Enter messages'!B353)</f>
        <v/>
      </c>
      <c r="C353" s="21">
        <f>IFERROR(AVERAGE(P353:T353),"")</f>
        <v/>
      </c>
      <c r="D353" s="29" t="n"/>
      <c r="E353" s="29" t="n"/>
      <c r="F353" s="30">
        <f>IF(AND(ISNUMBER($D353),ISNUMBER($E353),$E353&gt;0,$D353&lt;=$E353),$D353/$E353,"")</f>
        <v/>
      </c>
      <c r="P353" s="26" t="n"/>
      <c r="Q353" s="26" t="n"/>
      <c r="R353" s="26" t="n"/>
      <c r="S353" s="26" t="n"/>
      <c r="T353" s="26" t="n"/>
      <c r="V353" s="27">
        <f>IF(ISNUMBER($C353),COUNTIFS($A$14:$A$1213,$A353,$C$14:$C$1213,"&gt;"&amp;$C353)+(COUNTIFS($A$14:$A$1213,$A353,$C$14:$C$1213,"="&amp;$C353)+1)/2,"")</f>
        <v/>
      </c>
      <c r="W353" s="27">
        <f>IF(ISNUMBER($F353),COUNTIFS($A$14:$A$1213,$A353,$F$14:$F$1213,"&gt;"&amp;$F353)+(COUNTIFS($A$14:$A$1213,$A353,$F$14:$F$1213,"="&amp;$F353)+1)/2,"")</f>
        <v/>
      </c>
      <c r="X353" s="27">
        <f>IF(OR(NOT(ISNUMBER($V353)),$AO353=1),"",$V353-(COUNTIFS($A$14:$A$1213,$A353,$C$14:$C$1213,"&gt;=0")+1)/2)</f>
        <v/>
      </c>
      <c r="Y353" s="27">
        <f>IF(OR(NOT(ISNUMBER($W353)),$AO353=1),"",$W353-(COUNTIFS($A$14:$A$1213,$A353,$F$14:$F$1213,"&gt;=0")+1)/2)</f>
        <v/>
      </c>
      <c r="Z353" s="27">
        <f>IF(ISNUMBER($V353),$A353&amp;"|"&amp;$V353,"")</f>
        <v/>
      </c>
      <c r="AA353" s="27">
        <f>IF(ISNUMBER($W353),$A353&amp;"|"&amp;$W353,"")</f>
        <v/>
      </c>
      <c r="AB353" s="27">
        <f>IF(ISNUMBER($F353),$A353&amp;"|"&amp;$F353,"")</f>
        <v/>
      </c>
      <c r="AC353" s="27">
        <f>IF(ISNUMBER($P353),COUNTIFS($A$14:$A$1213,$A353,$P$14:$P$1213,"&gt;"&amp;$P353)+(COUNTIFS($A$14:$A$1213,$A353,$P$14:$P$1213,"="&amp;$P353)+1)/2,"")</f>
        <v/>
      </c>
      <c r="AD353" s="27">
        <f>IF(ISNUMBER($Q353),COUNTIFS($A$14:$A$1213,$A353,$Q$14:$Q$1213,"&gt;"&amp;$Q353)+(COUNTIFS($A$14:$A$1213,$A353,$Q$14:$Q$1213,"="&amp;$Q353)+1)/2,"")</f>
        <v/>
      </c>
      <c r="AE353" s="27">
        <f>IF(ISNUMBER($R353),COUNTIFS($A$14:$A$1213,$A353,$R$14:$R$1213,"&gt;"&amp;$R353)+(COUNTIFS($A$14:$A$1213,$A353,$R$14:$R$1213,"="&amp;$R353)+1)/2,"")</f>
        <v/>
      </c>
      <c r="AF353" s="27">
        <f>IF(ISNUMBER($S353),COUNTIFS($A$14:$A$1213,$A353,$S$14:$S$1213,"&gt;"&amp;$S353)+(COUNTIFS($A$14:$A$1213,$A353,$S$14:$S$1213,"="&amp;$S353)+1)/2,"")</f>
        <v/>
      </c>
      <c r="AG353" s="27">
        <f>IF(ISNUMBER($T353),COUNTIFS($A$14:$A$1213,$A353,$T$14:$T$1213,"&gt;"&amp;$T353)+(COUNTIFS($A$14:$A$1213,$A353,$T$14:$T$1213,"="&amp;$T353)+1)/2,"")</f>
        <v/>
      </c>
      <c r="AH353" s="27">
        <f>IF(COUNT($AC353:$AG353)&lt;2,"",IF(MAX($AC353:$AG353)=MIN($AC353:$AG353),0,1))</f>
        <v/>
      </c>
      <c r="AI353" s="27">
        <f>IF($A353="","",IF(COUNTIF($A$14:$A353,$A353)=1,COUNTIF($AI$13:AI352,"&gt;0")+1,""))</f>
        <v/>
      </c>
      <c r="AO353" s="27">
        <f>IF($A353="","",IF(AND(COUNTIFS($A$14:$A$1213,$A353,$F$14:$F$1213,"&gt;=0")=2,IFERROR(INDEX($M$14:$M$313,MATCH($A353,$H$14:$H$313,0)),"Yes")&lt;&gt;"Yes"),1,0))</f>
        <v/>
      </c>
    </row>
    <row r="354">
      <c r="A354" s="19">
        <f>IF('Enter messages'!A354="","",'Enter messages'!A354)</f>
        <v/>
      </c>
      <c r="B354" s="20">
        <f>IF('Enter messages'!B354="","",'Enter messages'!B354)</f>
        <v/>
      </c>
      <c r="C354" s="21">
        <f>IFERROR(AVERAGE(P354:T354),"")</f>
        <v/>
      </c>
      <c r="D354" s="29" t="n"/>
      <c r="E354" s="29" t="n"/>
      <c r="F354" s="30">
        <f>IF(AND(ISNUMBER($D354),ISNUMBER($E354),$E354&gt;0,$D354&lt;=$E354),$D354/$E354,"")</f>
        <v/>
      </c>
      <c r="P354" s="26" t="n"/>
      <c r="Q354" s="26" t="n"/>
      <c r="R354" s="26" t="n"/>
      <c r="S354" s="26" t="n"/>
      <c r="T354" s="26" t="n"/>
      <c r="V354" s="27">
        <f>IF(ISNUMBER($C354),COUNTIFS($A$14:$A$1213,$A354,$C$14:$C$1213,"&gt;"&amp;$C354)+(COUNTIFS($A$14:$A$1213,$A354,$C$14:$C$1213,"="&amp;$C354)+1)/2,"")</f>
        <v/>
      </c>
      <c r="W354" s="27">
        <f>IF(ISNUMBER($F354),COUNTIFS($A$14:$A$1213,$A354,$F$14:$F$1213,"&gt;"&amp;$F354)+(COUNTIFS($A$14:$A$1213,$A354,$F$14:$F$1213,"="&amp;$F354)+1)/2,"")</f>
        <v/>
      </c>
      <c r="X354" s="27">
        <f>IF(OR(NOT(ISNUMBER($V354)),$AO354=1),"",$V354-(COUNTIFS($A$14:$A$1213,$A354,$C$14:$C$1213,"&gt;=0")+1)/2)</f>
        <v/>
      </c>
      <c r="Y354" s="27">
        <f>IF(OR(NOT(ISNUMBER($W354)),$AO354=1),"",$W354-(COUNTIFS($A$14:$A$1213,$A354,$F$14:$F$1213,"&gt;=0")+1)/2)</f>
        <v/>
      </c>
      <c r="Z354" s="27">
        <f>IF(ISNUMBER($V354),$A354&amp;"|"&amp;$V354,"")</f>
        <v/>
      </c>
      <c r="AA354" s="27">
        <f>IF(ISNUMBER($W354),$A354&amp;"|"&amp;$W354,"")</f>
        <v/>
      </c>
      <c r="AB354" s="27">
        <f>IF(ISNUMBER($F354),$A354&amp;"|"&amp;$F354,"")</f>
        <v/>
      </c>
      <c r="AC354" s="27">
        <f>IF(ISNUMBER($P354),COUNTIFS($A$14:$A$1213,$A354,$P$14:$P$1213,"&gt;"&amp;$P354)+(COUNTIFS($A$14:$A$1213,$A354,$P$14:$P$1213,"="&amp;$P354)+1)/2,"")</f>
        <v/>
      </c>
      <c r="AD354" s="27">
        <f>IF(ISNUMBER($Q354),COUNTIFS($A$14:$A$1213,$A354,$Q$14:$Q$1213,"&gt;"&amp;$Q354)+(COUNTIFS($A$14:$A$1213,$A354,$Q$14:$Q$1213,"="&amp;$Q354)+1)/2,"")</f>
        <v/>
      </c>
      <c r="AE354" s="27">
        <f>IF(ISNUMBER($R354),COUNTIFS($A$14:$A$1213,$A354,$R$14:$R$1213,"&gt;"&amp;$R354)+(COUNTIFS($A$14:$A$1213,$A354,$R$14:$R$1213,"="&amp;$R354)+1)/2,"")</f>
        <v/>
      </c>
      <c r="AF354" s="27">
        <f>IF(ISNUMBER($S354),COUNTIFS($A$14:$A$1213,$A354,$S$14:$S$1213,"&gt;"&amp;$S354)+(COUNTIFS($A$14:$A$1213,$A354,$S$14:$S$1213,"="&amp;$S354)+1)/2,"")</f>
        <v/>
      </c>
      <c r="AG354" s="27">
        <f>IF(ISNUMBER($T354),COUNTIFS($A$14:$A$1213,$A354,$T$14:$T$1213,"&gt;"&amp;$T354)+(COUNTIFS($A$14:$A$1213,$A354,$T$14:$T$1213,"="&amp;$T354)+1)/2,"")</f>
        <v/>
      </c>
      <c r="AH354" s="27">
        <f>IF(COUNT($AC354:$AG354)&lt;2,"",IF(MAX($AC354:$AG354)=MIN($AC354:$AG354),0,1))</f>
        <v/>
      </c>
      <c r="AI354" s="27">
        <f>IF($A354="","",IF(COUNTIF($A$14:$A354,$A354)=1,COUNTIF($AI$13:AI353,"&gt;0")+1,""))</f>
        <v/>
      </c>
      <c r="AO354" s="27">
        <f>IF($A354="","",IF(AND(COUNTIFS($A$14:$A$1213,$A354,$F$14:$F$1213,"&gt;=0")=2,IFERROR(INDEX($M$14:$M$313,MATCH($A354,$H$14:$H$313,0)),"Yes")&lt;&gt;"Yes"),1,0))</f>
        <v/>
      </c>
    </row>
    <row r="355">
      <c r="A355" s="19">
        <f>IF('Enter messages'!A355="","",'Enter messages'!A355)</f>
        <v/>
      </c>
      <c r="B355" s="20">
        <f>IF('Enter messages'!B355="","",'Enter messages'!B355)</f>
        <v/>
      </c>
      <c r="C355" s="21">
        <f>IFERROR(AVERAGE(P355:T355),"")</f>
        <v/>
      </c>
      <c r="D355" s="29" t="n"/>
      <c r="E355" s="29" t="n"/>
      <c r="F355" s="30">
        <f>IF(AND(ISNUMBER($D355),ISNUMBER($E355),$E355&gt;0,$D355&lt;=$E355),$D355/$E355,"")</f>
        <v/>
      </c>
      <c r="P355" s="26" t="n"/>
      <c r="Q355" s="26" t="n"/>
      <c r="R355" s="26" t="n"/>
      <c r="S355" s="26" t="n"/>
      <c r="T355" s="26" t="n"/>
      <c r="V355" s="27">
        <f>IF(ISNUMBER($C355),COUNTIFS($A$14:$A$1213,$A355,$C$14:$C$1213,"&gt;"&amp;$C355)+(COUNTIFS($A$14:$A$1213,$A355,$C$14:$C$1213,"="&amp;$C355)+1)/2,"")</f>
        <v/>
      </c>
      <c r="W355" s="27">
        <f>IF(ISNUMBER($F355),COUNTIFS($A$14:$A$1213,$A355,$F$14:$F$1213,"&gt;"&amp;$F355)+(COUNTIFS($A$14:$A$1213,$A355,$F$14:$F$1213,"="&amp;$F355)+1)/2,"")</f>
        <v/>
      </c>
      <c r="X355" s="27">
        <f>IF(OR(NOT(ISNUMBER($V355)),$AO355=1),"",$V355-(COUNTIFS($A$14:$A$1213,$A355,$C$14:$C$1213,"&gt;=0")+1)/2)</f>
        <v/>
      </c>
      <c r="Y355" s="27">
        <f>IF(OR(NOT(ISNUMBER($W355)),$AO355=1),"",$W355-(COUNTIFS($A$14:$A$1213,$A355,$F$14:$F$1213,"&gt;=0")+1)/2)</f>
        <v/>
      </c>
      <c r="Z355" s="27">
        <f>IF(ISNUMBER($V355),$A355&amp;"|"&amp;$V355,"")</f>
        <v/>
      </c>
      <c r="AA355" s="27">
        <f>IF(ISNUMBER($W355),$A355&amp;"|"&amp;$W355,"")</f>
        <v/>
      </c>
      <c r="AB355" s="27">
        <f>IF(ISNUMBER($F355),$A355&amp;"|"&amp;$F355,"")</f>
        <v/>
      </c>
      <c r="AC355" s="27">
        <f>IF(ISNUMBER($P355),COUNTIFS($A$14:$A$1213,$A355,$P$14:$P$1213,"&gt;"&amp;$P355)+(COUNTIFS($A$14:$A$1213,$A355,$P$14:$P$1213,"="&amp;$P355)+1)/2,"")</f>
        <v/>
      </c>
      <c r="AD355" s="27">
        <f>IF(ISNUMBER($Q355),COUNTIFS($A$14:$A$1213,$A355,$Q$14:$Q$1213,"&gt;"&amp;$Q355)+(COUNTIFS($A$14:$A$1213,$A355,$Q$14:$Q$1213,"="&amp;$Q355)+1)/2,"")</f>
        <v/>
      </c>
      <c r="AE355" s="27">
        <f>IF(ISNUMBER($R355),COUNTIFS($A$14:$A$1213,$A355,$R$14:$R$1213,"&gt;"&amp;$R355)+(COUNTIFS($A$14:$A$1213,$A355,$R$14:$R$1213,"="&amp;$R355)+1)/2,"")</f>
        <v/>
      </c>
      <c r="AF355" s="27">
        <f>IF(ISNUMBER($S355),COUNTIFS($A$14:$A$1213,$A355,$S$14:$S$1213,"&gt;"&amp;$S355)+(COUNTIFS($A$14:$A$1213,$A355,$S$14:$S$1213,"="&amp;$S355)+1)/2,"")</f>
        <v/>
      </c>
      <c r="AG355" s="27">
        <f>IF(ISNUMBER($T355),COUNTIFS($A$14:$A$1213,$A355,$T$14:$T$1213,"&gt;"&amp;$T355)+(COUNTIFS($A$14:$A$1213,$A355,$T$14:$T$1213,"="&amp;$T355)+1)/2,"")</f>
        <v/>
      </c>
      <c r="AH355" s="27">
        <f>IF(COUNT($AC355:$AG355)&lt;2,"",IF(MAX($AC355:$AG355)=MIN($AC355:$AG355),0,1))</f>
        <v/>
      </c>
      <c r="AI355" s="27">
        <f>IF($A355="","",IF(COUNTIF($A$14:$A355,$A355)=1,COUNTIF($AI$13:AI354,"&gt;0")+1,""))</f>
        <v/>
      </c>
      <c r="AO355" s="27">
        <f>IF($A355="","",IF(AND(COUNTIFS($A$14:$A$1213,$A355,$F$14:$F$1213,"&gt;=0")=2,IFERROR(INDEX($M$14:$M$313,MATCH($A355,$H$14:$H$313,0)),"Yes")&lt;&gt;"Yes"),1,0))</f>
        <v/>
      </c>
    </row>
    <row r="356">
      <c r="A356" s="19">
        <f>IF('Enter messages'!A356="","",'Enter messages'!A356)</f>
        <v/>
      </c>
      <c r="B356" s="20">
        <f>IF('Enter messages'!B356="","",'Enter messages'!B356)</f>
        <v/>
      </c>
      <c r="C356" s="21">
        <f>IFERROR(AVERAGE(P356:T356),"")</f>
        <v/>
      </c>
      <c r="D356" s="29" t="n"/>
      <c r="E356" s="29" t="n"/>
      <c r="F356" s="30">
        <f>IF(AND(ISNUMBER($D356),ISNUMBER($E356),$E356&gt;0,$D356&lt;=$E356),$D356/$E356,"")</f>
        <v/>
      </c>
      <c r="P356" s="26" t="n"/>
      <c r="Q356" s="26" t="n"/>
      <c r="R356" s="26" t="n"/>
      <c r="S356" s="26" t="n"/>
      <c r="T356" s="26" t="n"/>
      <c r="V356" s="27">
        <f>IF(ISNUMBER($C356),COUNTIFS($A$14:$A$1213,$A356,$C$14:$C$1213,"&gt;"&amp;$C356)+(COUNTIFS($A$14:$A$1213,$A356,$C$14:$C$1213,"="&amp;$C356)+1)/2,"")</f>
        <v/>
      </c>
      <c r="W356" s="27">
        <f>IF(ISNUMBER($F356),COUNTIFS($A$14:$A$1213,$A356,$F$14:$F$1213,"&gt;"&amp;$F356)+(COUNTIFS($A$14:$A$1213,$A356,$F$14:$F$1213,"="&amp;$F356)+1)/2,"")</f>
        <v/>
      </c>
      <c r="X356" s="27">
        <f>IF(OR(NOT(ISNUMBER($V356)),$AO356=1),"",$V356-(COUNTIFS($A$14:$A$1213,$A356,$C$14:$C$1213,"&gt;=0")+1)/2)</f>
        <v/>
      </c>
      <c r="Y356" s="27">
        <f>IF(OR(NOT(ISNUMBER($W356)),$AO356=1),"",$W356-(COUNTIFS($A$14:$A$1213,$A356,$F$14:$F$1213,"&gt;=0")+1)/2)</f>
        <v/>
      </c>
      <c r="Z356" s="27">
        <f>IF(ISNUMBER($V356),$A356&amp;"|"&amp;$V356,"")</f>
        <v/>
      </c>
      <c r="AA356" s="27">
        <f>IF(ISNUMBER($W356),$A356&amp;"|"&amp;$W356,"")</f>
        <v/>
      </c>
      <c r="AB356" s="27">
        <f>IF(ISNUMBER($F356),$A356&amp;"|"&amp;$F356,"")</f>
        <v/>
      </c>
      <c r="AC356" s="27">
        <f>IF(ISNUMBER($P356),COUNTIFS($A$14:$A$1213,$A356,$P$14:$P$1213,"&gt;"&amp;$P356)+(COUNTIFS($A$14:$A$1213,$A356,$P$14:$P$1213,"="&amp;$P356)+1)/2,"")</f>
        <v/>
      </c>
      <c r="AD356" s="27">
        <f>IF(ISNUMBER($Q356),COUNTIFS($A$14:$A$1213,$A356,$Q$14:$Q$1213,"&gt;"&amp;$Q356)+(COUNTIFS($A$14:$A$1213,$A356,$Q$14:$Q$1213,"="&amp;$Q356)+1)/2,"")</f>
        <v/>
      </c>
      <c r="AE356" s="27">
        <f>IF(ISNUMBER($R356),COUNTIFS($A$14:$A$1213,$A356,$R$14:$R$1213,"&gt;"&amp;$R356)+(COUNTIFS($A$14:$A$1213,$A356,$R$14:$R$1213,"="&amp;$R356)+1)/2,"")</f>
        <v/>
      </c>
      <c r="AF356" s="27">
        <f>IF(ISNUMBER($S356),COUNTIFS($A$14:$A$1213,$A356,$S$14:$S$1213,"&gt;"&amp;$S356)+(COUNTIFS($A$14:$A$1213,$A356,$S$14:$S$1213,"="&amp;$S356)+1)/2,"")</f>
        <v/>
      </c>
      <c r="AG356" s="27">
        <f>IF(ISNUMBER($T356),COUNTIFS($A$14:$A$1213,$A356,$T$14:$T$1213,"&gt;"&amp;$T356)+(COUNTIFS($A$14:$A$1213,$A356,$T$14:$T$1213,"="&amp;$T356)+1)/2,"")</f>
        <v/>
      </c>
      <c r="AH356" s="27">
        <f>IF(COUNT($AC356:$AG356)&lt;2,"",IF(MAX($AC356:$AG356)=MIN($AC356:$AG356),0,1))</f>
        <v/>
      </c>
      <c r="AI356" s="27">
        <f>IF($A356="","",IF(COUNTIF($A$14:$A356,$A356)=1,COUNTIF($AI$13:AI355,"&gt;0")+1,""))</f>
        <v/>
      </c>
      <c r="AO356" s="27">
        <f>IF($A356="","",IF(AND(COUNTIFS($A$14:$A$1213,$A356,$F$14:$F$1213,"&gt;=0")=2,IFERROR(INDEX($M$14:$M$313,MATCH($A356,$H$14:$H$313,0)),"Yes")&lt;&gt;"Yes"),1,0))</f>
        <v/>
      </c>
    </row>
    <row r="357">
      <c r="A357" s="19">
        <f>IF('Enter messages'!A357="","",'Enter messages'!A357)</f>
        <v/>
      </c>
      <c r="B357" s="20">
        <f>IF('Enter messages'!B357="","",'Enter messages'!B357)</f>
        <v/>
      </c>
      <c r="C357" s="21">
        <f>IFERROR(AVERAGE(P357:T357),"")</f>
        <v/>
      </c>
      <c r="D357" s="29" t="n"/>
      <c r="E357" s="29" t="n"/>
      <c r="F357" s="30">
        <f>IF(AND(ISNUMBER($D357),ISNUMBER($E357),$E357&gt;0,$D357&lt;=$E357),$D357/$E357,"")</f>
        <v/>
      </c>
      <c r="P357" s="26" t="n"/>
      <c r="Q357" s="26" t="n"/>
      <c r="R357" s="26" t="n"/>
      <c r="S357" s="26" t="n"/>
      <c r="T357" s="26" t="n"/>
      <c r="V357" s="27">
        <f>IF(ISNUMBER($C357),COUNTIFS($A$14:$A$1213,$A357,$C$14:$C$1213,"&gt;"&amp;$C357)+(COUNTIFS($A$14:$A$1213,$A357,$C$14:$C$1213,"="&amp;$C357)+1)/2,"")</f>
        <v/>
      </c>
      <c r="W357" s="27">
        <f>IF(ISNUMBER($F357),COUNTIFS($A$14:$A$1213,$A357,$F$14:$F$1213,"&gt;"&amp;$F357)+(COUNTIFS($A$14:$A$1213,$A357,$F$14:$F$1213,"="&amp;$F357)+1)/2,"")</f>
        <v/>
      </c>
      <c r="X357" s="27">
        <f>IF(OR(NOT(ISNUMBER($V357)),$AO357=1),"",$V357-(COUNTIFS($A$14:$A$1213,$A357,$C$14:$C$1213,"&gt;=0")+1)/2)</f>
        <v/>
      </c>
      <c r="Y357" s="27">
        <f>IF(OR(NOT(ISNUMBER($W357)),$AO357=1),"",$W357-(COUNTIFS($A$14:$A$1213,$A357,$F$14:$F$1213,"&gt;=0")+1)/2)</f>
        <v/>
      </c>
      <c r="Z357" s="27">
        <f>IF(ISNUMBER($V357),$A357&amp;"|"&amp;$V357,"")</f>
        <v/>
      </c>
      <c r="AA357" s="27">
        <f>IF(ISNUMBER($W357),$A357&amp;"|"&amp;$W357,"")</f>
        <v/>
      </c>
      <c r="AB357" s="27">
        <f>IF(ISNUMBER($F357),$A357&amp;"|"&amp;$F357,"")</f>
        <v/>
      </c>
      <c r="AC357" s="27">
        <f>IF(ISNUMBER($P357),COUNTIFS($A$14:$A$1213,$A357,$P$14:$P$1213,"&gt;"&amp;$P357)+(COUNTIFS($A$14:$A$1213,$A357,$P$14:$P$1213,"="&amp;$P357)+1)/2,"")</f>
        <v/>
      </c>
      <c r="AD357" s="27">
        <f>IF(ISNUMBER($Q357),COUNTIFS($A$14:$A$1213,$A357,$Q$14:$Q$1213,"&gt;"&amp;$Q357)+(COUNTIFS($A$14:$A$1213,$A357,$Q$14:$Q$1213,"="&amp;$Q357)+1)/2,"")</f>
        <v/>
      </c>
      <c r="AE357" s="27">
        <f>IF(ISNUMBER($R357),COUNTIFS($A$14:$A$1213,$A357,$R$14:$R$1213,"&gt;"&amp;$R357)+(COUNTIFS($A$14:$A$1213,$A357,$R$14:$R$1213,"="&amp;$R357)+1)/2,"")</f>
        <v/>
      </c>
      <c r="AF357" s="27">
        <f>IF(ISNUMBER($S357),COUNTIFS($A$14:$A$1213,$A357,$S$14:$S$1213,"&gt;"&amp;$S357)+(COUNTIFS($A$14:$A$1213,$A357,$S$14:$S$1213,"="&amp;$S357)+1)/2,"")</f>
        <v/>
      </c>
      <c r="AG357" s="27">
        <f>IF(ISNUMBER($T357),COUNTIFS($A$14:$A$1213,$A357,$T$14:$T$1213,"&gt;"&amp;$T357)+(COUNTIFS($A$14:$A$1213,$A357,$T$14:$T$1213,"="&amp;$T357)+1)/2,"")</f>
        <v/>
      </c>
      <c r="AH357" s="27">
        <f>IF(COUNT($AC357:$AG357)&lt;2,"",IF(MAX($AC357:$AG357)=MIN($AC357:$AG357),0,1))</f>
        <v/>
      </c>
      <c r="AI357" s="27">
        <f>IF($A357="","",IF(COUNTIF($A$14:$A357,$A357)=1,COUNTIF($AI$13:AI356,"&gt;0")+1,""))</f>
        <v/>
      </c>
      <c r="AO357" s="27">
        <f>IF($A357="","",IF(AND(COUNTIFS($A$14:$A$1213,$A357,$F$14:$F$1213,"&gt;=0")=2,IFERROR(INDEX($M$14:$M$313,MATCH($A357,$H$14:$H$313,0)),"Yes")&lt;&gt;"Yes"),1,0))</f>
        <v/>
      </c>
    </row>
    <row r="358">
      <c r="A358" s="19">
        <f>IF('Enter messages'!A358="","",'Enter messages'!A358)</f>
        <v/>
      </c>
      <c r="B358" s="20">
        <f>IF('Enter messages'!B358="","",'Enter messages'!B358)</f>
        <v/>
      </c>
      <c r="C358" s="21">
        <f>IFERROR(AVERAGE(P358:T358),"")</f>
        <v/>
      </c>
      <c r="D358" s="29" t="n"/>
      <c r="E358" s="29" t="n"/>
      <c r="F358" s="30">
        <f>IF(AND(ISNUMBER($D358),ISNUMBER($E358),$E358&gt;0,$D358&lt;=$E358),$D358/$E358,"")</f>
        <v/>
      </c>
      <c r="P358" s="26" t="n"/>
      <c r="Q358" s="26" t="n"/>
      <c r="R358" s="26" t="n"/>
      <c r="S358" s="26" t="n"/>
      <c r="T358" s="26" t="n"/>
      <c r="V358" s="27">
        <f>IF(ISNUMBER($C358),COUNTIFS($A$14:$A$1213,$A358,$C$14:$C$1213,"&gt;"&amp;$C358)+(COUNTIFS($A$14:$A$1213,$A358,$C$14:$C$1213,"="&amp;$C358)+1)/2,"")</f>
        <v/>
      </c>
      <c r="W358" s="27">
        <f>IF(ISNUMBER($F358),COUNTIFS($A$14:$A$1213,$A358,$F$14:$F$1213,"&gt;"&amp;$F358)+(COUNTIFS($A$14:$A$1213,$A358,$F$14:$F$1213,"="&amp;$F358)+1)/2,"")</f>
        <v/>
      </c>
      <c r="X358" s="27">
        <f>IF(OR(NOT(ISNUMBER($V358)),$AO358=1),"",$V358-(COUNTIFS($A$14:$A$1213,$A358,$C$14:$C$1213,"&gt;=0")+1)/2)</f>
        <v/>
      </c>
      <c r="Y358" s="27">
        <f>IF(OR(NOT(ISNUMBER($W358)),$AO358=1),"",$W358-(COUNTIFS($A$14:$A$1213,$A358,$F$14:$F$1213,"&gt;=0")+1)/2)</f>
        <v/>
      </c>
      <c r="Z358" s="27">
        <f>IF(ISNUMBER($V358),$A358&amp;"|"&amp;$V358,"")</f>
        <v/>
      </c>
      <c r="AA358" s="27">
        <f>IF(ISNUMBER($W358),$A358&amp;"|"&amp;$W358,"")</f>
        <v/>
      </c>
      <c r="AB358" s="27">
        <f>IF(ISNUMBER($F358),$A358&amp;"|"&amp;$F358,"")</f>
        <v/>
      </c>
      <c r="AC358" s="27">
        <f>IF(ISNUMBER($P358),COUNTIFS($A$14:$A$1213,$A358,$P$14:$P$1213,"&gt;"&amp;$P358)+(COUNTIFS($A$14:$A$1213,$A358,$P$14:$P$1213,"="&amp;$P358)+1)/2,"")</f>
        <v/>
      </c>
      <c r="AD358" s="27">
        <f>IF(ISNUMBER($Q358),COUNTIFS($A$14:$A$1213,$A358,$Q$14:$Q$1213,"&gt;"&amp;$Q358)+(COUNTIFS($A$14:$A$1213,$A358,$Q$14:$Q$1213,"="&amp;$Q358)+1)/2,"")</f>
        <v/>
      </c>
      <c r="AE358" s="27">
        <f>IF(ISNUMBER($R358),COUNTIFS($A$14:$A$1213,$A358,$R$14:$R$1213,"&gt;"&amp;$R358)+(COUNTIFS($A$14:$A$1213,$A358,$R$14:$R$1213,"="&amp;$R358)+1)/2,"")</f>
        <v/>
      </c>
      <c r="AF358" s="27">
        <f>IF(ISNUMBER($S358),COUNTIFS($A$14:$A$1213,$A358,$S$14:$S$1213,"&gt;"&amp;$S358)+(COUNTIFS($A$14:$A$1213,$A358,$S$14:$S$1213,"="&amp;$S358)+1)/2,"")</f>
        <v/>
      </c>
      <c r="AG358" s="27">
        <f>IF(ISNUMBER($T358),COUNTIFS($A$14:$A$1213,$A358,$T$14:$T$1213,"&gt;"&amp;$T358)+(COUNTIFS($A$14:$A$1213,$A358,$T$14:$T$1213,"="&amp;$T358)+1)/2,"")</f>
        <v/>
      </c>
      <c r="AH358" s="27">
        <f>IF(COUNT($AC358:$AG358)&lt;2,"",IF(MAX($AC358:$AG358)=MIN($AC358:$AG358),0,1))</f>
        <v/>
      </c>
      <c r="AI358" s="27">
        <f>IF($A358="","",IF(COUNTIF($A$14:$A358,$A358)=1,COUNTIF($AI$13:AI357,"&gt;0")+1,""))</f>
        <v/>
      </c>
      <c r="AO358" s="27">
        <f>IF($A358="","",IF(AND(COUNTIFS($A$14:$A$1213,$A358,$F$14:$F$1213,"&gt;=0")=2,IFERROR(INDEX($M$14:$M$313,MATCH($A358,$H$14:$H$313,0)),"Yes")&lt;&gt;"Yes"),1,0))</f>
        <v/>
      </c>
    </row>
    <row r="359">
      <c r="A359" s="19">
        <f>IF('Enter messages'!A359="","",'Enter messages'!A359)</f>
        <v/>
      </c>
      <c r="B359" s="20">
        <f>IF('Enter messages'!B359="","",'Enter messages'!B359)</f>
        <v/>
      </c>
      <c r="C359" s="21">
        <f>IFERROR(AVERAGE(P359:T359),"")</f>
        <v/>
      </c>
      <c r="D359" s="29" t="n"/>
      <c r="E359" s="29" t="n"/>
      <c r="F359" s="30">
        <f>IF(AND(ISNUMBER($D359),ISNUMBER($E359),$E359&gt;0,$D359&lt;=$E359),$D359/$E359,"")</f>
        <v/>
      </c>
      <c r="P359" s="26" t="n"/>
      <c r="Q359" s="26" t="n"/>
      <c r="R359" s="26" t="n"/>
      <c r="S359" s="26" t="n"/>
      <c r="T359" s="26" t="n"/>
      <c r="V359" s="27">
        <f>IF(ISNUMBER($C359),COUNTIFS($A$14:$A$1213,$A359,$C$14:$C$1213,"&gt;"&amp;$C359)+(COUNTIFS($A$14:$A$1213,$A359,$C$14:$C$1213,"="&amp;$C359)+1)/2,"")</f>
        <v/>
      </c>
      <c r="W359" s="27">
        <f>IF(ISNUMBER($F359),COUNTIFS($A$14:$A$1213,$A359,$F$14:$F$1213,"&gt;"&amp;$F359)+(COUNTIFS($A$14:$A$1213,$A359,$F$14:$F$1213,"="&amp;$F359)+1)/2,"")</f>
        <v/>
      </c>
      <c r="X359" s="27">
        <f>IF(OR(NOT(ISNUMBER($V359)),$AO359=1),"",$V359-(COUNTIFS($A$14:$A$1213,$A359,$C$14:$C$1213,"&gt;=0")+1)/2)</f>
        <v/>
      </c>
      <c r="Y359" s="27">
        <f>IF(OR(NOT(ISNUMBER($W359)),$AO359=1),"",$W359-(COUNTIFS($A$14:$A$1213,$A359,$F$14:$F$1213,"&gt;=0")+1)/2)</f>
        <v/>
      </c>
      <c r="Z359" s="27">
        <f>IF(ISNUMBER($V359),$A359&amp;"|"&amp;$V359,"")</f>
        <v/>
      </c>
      <c r="AA359" s="27">
        <f>IF(ISNUMBER($W359),$A359&amp;"|"&amp;$W359,"")</f>
        <v/>
      </c>
      <c r="AB359" s="27">
        <f>IF(ISNUMBER($F359),$A359&amp;"|"&amp;$F359,"")</f>
        <v/>
      </c>
      <c r="AC359" s="27">
        <f>IF(ISNUMBER($P359),COUNTIFS($A$14:$A$1213,$A359,$P$14:$P$1213,"&gt;"&amp;$P359)+(COUNTIFS($A$14:$A$1213,$A359,$P$14:$P$1213,"="&amp;$P359)+1)/2,"")</f>
        <v/>
      </c>
      <c r="AD359" s="27">
        <f>IF(ISNUMBER($Q359),COUNTIFS($A$14:$A$1213,$A359,$Q$14:$Q$1213,"&gt;"&amp;$Q359)+(COUNTIFS($A$14:$A$1213,$A359,$Q$14:$Q$1213,"="&amp;$Q359)+1)/2,"")</f>
        <v/>
      </c>
      <c r="AE359" s="27">
        <f>IF(ISNUMBER($R359),COUNTIFS($A$14:$A$1213,$A359,$R$14:$R$1213,"&gt;"&amp;$R359)+(COUNTIFS($A$14:$A$1213,$A359,$R$14:$R$1213,"="&amp;$R359)+1)/2,"")</f>
        <v/>
      </c>
      <c r="AF359" s="27">
        <f>IF(ISNUMBER($S359),COUNTIFS($A$14:$A$1213,$A359,$S$14:$S$1213,"&gt;"&amp;$S359)+(COUNTIFS($A$14:$A$1213,$A359,$S$14:$S$1213,"="&amp;$S359)+1)/2,"")</f>
        <v/>
      </c>
      <c r="AG359" s="27">
        <f>IF(ISNUMBER($T359),COUNTIFS($A$14:$A$1213,$A359,$T$14:$T$1213,"&gt;"&amp;$T359)+(COUNTIFS($A$14:$A$1213,$A359,$T$14:$T$1213,"="&amp;$T359)+1)/2,"")</f>
        <v/>
      </c>
      <c r="AH359" s="27">
        <f>IF(COUNT($AC359:$AG359)&lt;2,"",IF(MAX($AC359:$AG359)=MIN($AC359:$AG359),0,1))</f>
        <v/>
      </c>
      <c r="AI359" s="27">
        <f>IF($A359="","",IF(COUNTIF($A$14:$A359,$A359)=1,COUNTIF($AI$13:AI358,"&gt;0")+1,""))</f>
        <v/>
      </c>
      <c r="AO359" s="27">
        <f>IF($A359="","",IF(AND(COUNTIFS($A$14:$A$1213,$A359,$F$14:$F$1213,"&gt;=0")=2,IFERROR(INDEX($M$14:$M$313,MATCH($A359,$H$14:$H$313,0)),"Yes")&lt;&gt;"Yes"),1,0))</f>
        <v/>
      </c>
    </row>
    <row r="360">
      <c r="A360" s="19">
        <f>IF('Enter messages'!A360="","",'Enter messages'!A360)</f>
        <v/>
      </c>
      <c r="B360" s="20">
        <f>IF('Enter messages'!B360="","",'Enter messages'!B360)</f>
        <v/>
      </c>
      <c r="C360" s="21">
        <f>IFERROR(AVERAGE(P360:T360),"")</f>
        <v/>
      </c>
      <c r="D360" s="29" t="n"/>
      <c r="E360" s="29" t="n"/>
      <c r="F360" s="30">
        <f>IF(AND(ISNUMBER($D360),ISNUMBER($E360),$E360&gt;0,$D360&lt;=$E360),$D360/$E360,"")</f>
        <v/>
      </c>
      <c r="P360" s="26" t="n"/>
      <c r="Q360" s="26" t="n"/>
      <c r="R360" s="26" t="n"/>
      <c r="S360" s="26" t="n"/>
      <c r="T360" s="26" t="n"/>
      <c r="V360" s="27">
        <f>IF(ISNUMBER($C360),COUNTIFS($A$14:$A$1213,$A360,$C$14:$C$1213,"&gt;"&amp;$C360)+(COUNTIFS($A$14:$A$1213,$A360,$C$14:$C$1213,"="&amp;$C360)+1)/2,"")</f>
        <v/>
      </c>
      <c r="W360" s="27">
        <f>IF(ISNUMBER($F360),COUNTIFS($A$14:$A$1213,$A360,$F$14:$F$1213,"&gt;"&amp;$F360)+(COUNTIFS($A$14:$A$1213,$A360,$F$14:$F$1213,"="&amp;$F360)+1)/2,"")</f>
        <v/>
      </c>
      <c r="X360" s="27">
        <f>IF(OR(NOT(ISNUMBER($V360)),$AO360=1),"",$V360-(COUNTIFS($A$14:$A$1213,$A360,$C$14:$C$1213,"&gt;=0")+1)/2)</f>
        <v/>
      </c>
      <c r="Y360" s="27">
        <f>IF(OR(NOT(ISNUMBER($W360)),$AO360=1),"",$W360-(COUNTIFS($A$14:$A$1213,$A360,$F$14:$F$1213,"&gt;=0")+1)/2)</f>
        <v/>
      </c>
      <c r="Z360" s="27">
        <f>IF(ISNUMBER($V360),$A360&amp;"|"&amp;$V360,"")</f>
        <v/>
      </c>
      <c r="AA360" s="27">
        <f>IF(ISNUMBER($W360),$A360&amp;"|"&amp;$W360,"")</f>
        <v/>
      </c>
      <c r="AB360" s="27">
        <f>IF(ISNUMBER($F360),$A360&amp;"|"&amp;$F360,"")</f>
        <v/>
      </c>
      <c r="AC360" s="27">
        <f>IF(ISNUMBER($P360),COUNTIFS($A$14:$A$1213,$A360,$P$14:$P$1213,"&gt;"&amp;$P360)+(COUNTIFS($A$14:$A$1213,$A360,$P$14:$P$1213,"="&amp;$P360)+1)/2,"")</f>
        <v/>
      </c>
      <c r="AD360" s="27">
        <f>IF(ISNUMBER($Q360),COUNTIFS($A$14:$A$1213,$A360,$Q$14:$Q$1213,"&gt;"&amp;$Q360)+(COUNTIFS($A$14:$A$1213,$A360,$Q$14:$Q$1213,"="&amp;$Q360)+1)/2,"")</f>
        <v/>
      </c>
      <c r="AE360" s="27">
        <f>IF(ISNUMBER($R360),COUNTIFS($A$14:$A$1213,$A360,$R$14:$R$1213,"&gt;"&amp;$R360)+(COUNTIFS($A$14:$A$1213,$A360,$R$14:$R$1213,"="&amp;$R360)+1)/2,"")</f>
        <v/>
      </c>
      <c r="AF360" s="27">
        <f>IF(ISNUMBER($S360),COUNTIFS($A$14:$A$1213,$A360,$S$14:$S$1213,"&gt;"&amp;$S360)+(COUNTIFS($A$14:$A$1213,$A360,$S$14:$S$1213,"="&amp;$S360)+1)/2,"")</f>
        <v/>
      </c>
      <c r="AG360" s="27">
        <f>IF(ISNUMBER($T360),COUNTIFS($A$14:$A$1213,$A360,$T$14:$T$1213,"&gt;"&amp;$T360)+(COUNTIFS($A$14:$A$1213,$A360,$T$14:$T$1213,"="&amp;$T360)+1)/2,"")</f>
        <v/>
      </c>
      <c r="AH360" s="27">
        <f>IF(COUNT($AC360:$AG360)&lt;2,"",IF(MAX($AC360:$AG360)=MIN($AC360:$AG360),0,1))</f>
        <v/>
      </c>
      <c r="AI360" s="27">
        <f>IF($A360="","",IF(COUNTIF($A$14:$A360,$A360)=1,COUNTIF($AI$13:AI359,"&gt;0")+1,""))</f>
        <v/>
      </c>
      <c r="AO360" s="27">
        <f>IF($A360="","",IF(AND(COUNTIFS($A$14:$A$1213,$A360,$F$14:$F$1213,"&gt;=0")=2,IFERROR(INDEX($M$14:$M$313,MATCH($A360,$H$14:$H$313,0)),"Yes")&lt;&gt;"Yes"),1,0))</f>
        <v/>
      </c>
    </row>
    <row r="361">
      <c r="A361" s="19">
        <f>IF('Enter messages'!A361="","",'Enter messages'!A361)</f>
        <v/>
      </c>
      <c r="B361" s="20">
        <f>IF('Enter messages'!B361="","",'Enter messages'!B361)</f>
        <v/>
      </c>
      <c r="C361" s="21">
        <f>IFERROR(AVERAGE(P361:T361),"")</f>
        <v/>
      </c>
      <c r="D361" s="29" t="n"/>
      <c r="E361" s="29" t="n"/>
      <c r="F361" s="30">
        <f>IF(AND(ISNUMBER($D361),ISNUMBER($E361),$E361&gt;0,$D361&lt;=$E361),$D361/$E361,"")</f>
        <v/>
      </c>
      <c r="P361" s="26" t="n"/>
      <c r="Q361" s="26" t="n"/>
      <c r="R361" s="26" t="n"/>
      <c r="S361" s="26" t="n"/>
      <c r="T361" s="26" t="n"/>
      <c r="V361" s="27">
        <f>IF(ISNUMBER($C361),COUNTIFS($A$14:$A$1213,$A361,$C$14:$C$1213,"&gt;"&amp;$C361)+(COUNTIFS($A$14:$A$1213,$A361,$C$14:$C$1213,"="&amp;$C361)+1)/2,"")</f>
        <v/>
      </c>
      <c r="W361" s="27">
        <f>IF(ISNUMBER($F361),COUNTIFS($A$14:$A$1213,$A361,$F$14:$F$1213,"&gt;"&amp;$F361)+(COUNTIFS($A$14:$A$1213,$A361,$F$14:$F$1213,"="&amp;$F361)+1)/2,"")</f>
        <v/>
      </c>
      <c r="X361" s="27">
        <f>IF(OR(NOT(ISNUMBER($V361)),$AO361=1),"",$V361-(COUNTIFS($A$14:$A$1213,$A361,$C$14:$C$1213,"&gt;=0")+1)/2)</f>
        <v/>
      </c>
      <c r="Y361" s="27">
        <f>IF(OR(NOT(ISNUMBER($W361)),$AO361=1),"",$W361-(COUNTIFS($A$14:$A$1213,$A361,$F$14:$F$1213,"&gt;=0")+1)/2)</f>
        <v/>
      </c>
      <c r="Z361" s="27">
        <f>IF(ISNUMBER($V361),$A361&amp;"|"&amp;$V361,"")</f>
        <v/>
      </c>
      <c r="AA361" s="27">
        <f>IF(ISNUMBER($W361),$A361&amp;"|"&amp;$W361,"")</f>
        <v/>
      </c>
      <c r="AB361" s="27">
        <f>IF(ISNUMBER($F361),$A361&amp;"|"&amp;$F361,"")</f>
        <v/>
      </c>
      <c r="AC361" s="27">
        <f>IF(ISNUMBER($P361),COUNTIFS($A$14:$A$1213,$A361,$P$14:$P$1213,"&gt;"&amp;$P361)+(COUNTIFS($A$14:$A$1213,$A361,$P$14:$P$1213,"="&amp;$P361)+1)/2,"")</f>
        <v/>
      </c>
      <c r="AD361" s="27">
        <f>IF(ISNUMBER($Q361),COUNTIFS($A$14:$A$1213,$A361,$Q$14:$Q$1213,"&gt;"&amp;$Q361)+(COUNTIFS($A$14:$A$1213,$A361,$Q$14:$Q$1213,"="&amp;$Q361)+1)/2,"")</f>
        <v/>
      </c>
      <c r="AE361" s="27">
        <f>IF(ISNUMBER($R361),COUNTIFS($A$14:$A$1213,$A361,$R$14:$R$1213,"&gt;"&amp;$R361)+(COUNTIFS($A$14:$A$1213,$A361,$R$14:$R$1213,"="&amp;$R361)+1)/2,"")</f>
        <v/>
      </c>
      <c r="AF361" s="27">
        <f>IF(ISNUMBER($S361),COUNTIFS($A$14:$A$1213,$A361,$S$14:$S$1213,"&gt;"&amp;$S361)+(COUNTIFS($A$14:$A$1213,$A361,$S$14:$S$1213,"="&amp;$S361)+1)/2,"")</f>
        <v/>
      </c>
      <c r="AG361" s="27">
        <f>IF(ISNUMBER($T361),COUNTIFS($A$14:$A$1213,$A361,$T$14:$T$1213,"&gt;"&amp;$T361)+(COUNTIFS($A$14:$A$1213,$A361,$T$14:$T$1213,"="&amp;$T361)+1)/2,"")</f>
        <v/>
      </c>
      <c r="AH361" s="27">
        <f>IF(COUNT($AC361:$AG361)&lt;2,"",IF(MAX($AC361:$AG361)=MIN($AC361:$AG361),0,1))</f>
        <v/>
      </c>
      <c r="AI361" s="27">
        <f>IF($A361="","",IF(COUNTIF($A$14:$A361,$A361)=1,COUNTIF($AI$13:AI360,"&gt;0")+1,""))</f>
        <v/>
      </c>
      <c r="AO361" s="27">
        <f>IF($A361="","",IF(AND(COUNTIFS($A$14:$A$1213,$A361,$F$14:$F$1213,"&gt;=0")=2,IFERROR(INDEX($M$14:$M$313,MATCH($A361,$H$14:$H$313,0)),"Yes")&lt;&gt;"Yes"),1,0))</f>
        <v/>
      </c>
    </row>
    <row r="362">
      <c r="A362" s="19">
        <f>IF('Enter messages'!A362="","",'Enter messages'!A362)</f>
        <v/>
      </c>
      <c r="B362" s="20">
        <f>IF('Enter messages'!B362="","",'Enter messages'!B362)</f>
        <v/>
      </c>
      <c r="C362" s="21">
        <f>IFERROR(AVERAGE(P362:T362),"")</f>
        <v/>
      </c>
      <c r="D362" s="29" t="n"/>
      <c r="E362" s="29" t="n"/>
      <c r="F362" s="30">
        <f>IF(AND(ISNUMBER($D362),ISNUMBER($E362),$E362&gt;0,$D362&lt;=$E362),$D362/$E362,"")</f>
        <v/>
      </c>
      <c r="P362" s="26" t="n"/>
      <c r="Q362" s="26" t="n"/>
      <c r="R362" s="26" t="n"/>
      <c r="S362" s="26" t="n"/>
      <c r="T362" s="26" t="n"/>
      <c r="V362" s="27">
        <f>IF(ISNUMBER($C362),COUNTIFS($A$14:$A$1213,$A362,$C$14:$C$1213,"&gt;"&amp;$C362)+(COUNTIFS($A$14:$A$1213,$A362,$C$14:$C$1213,"="&amp;$C362)+1)/2,"")</f>
        <v/>
      </c>
      <c r="W362" s="27">
        <f>IF(ISNUMBER($F362),COUNTIFS($A$14:$A$1213,$A362,$F$14:$F$1213,"&gt;"&amp;$F362)+(COUNTIFS($A$14:$A$1213,$A362,$F$14:$F$1213,"="&amp;$F362)+1)/2,"")</f>
        <v/>
      </c>
      <c r="X362" s="27">
        <f>IF(OR(NOT(ISNUMBER($V362)),$AO362=1),"",$V362-(COUNTIFS($A$14:$A$1213,$A362,$C$14:$C$1213,"&gt;=0")+1)/2)</f>
        <v/>
      </c>
      <c r="Y362" s="27">
        <f>IF(OR(NOT(ISNUMBER($W362)),$AO362=1),"",$W362-(COUNTIFS($A$14:$A$1213,$A362,$F$14:$F$1213,"&gt;=0")+1)/2)</f>
        <v/>
      </c>
      <c r="Z362" s="27">
        <f>IF(ISNUMBER($V362),$A362&amp;"|"&amp;$V362,"")</f>
        <v/>
      </c>
      <c r="AA362" s="27">
        <f>IF(ISNUMBER($W362),$A362&amp;"|"&amp;$W362,"")</f>
        <v/>
      </c>
      <c r="AB362" s="27">
        <f>IF(ISNUMBER($F362),$A362&amp;"|"&amp;$F362,"")</f>
        <v/>
      </c>
      <c r="AC362" s="27">
        <f>IF(ISNUMBER($P362),COUNTIFS($A$14:$A$1213,$A362,$P$14:$P$1213,"&gt;"&amp;$P362)+(COUNTIFS($A$14:$A$1213,$A362,$P$14:$P$1213,"="&amp;$P362)+1)/2,"")</f>
        <v/>
      </c>
      <c r="AD362" s="27">
        <f>IF(ISNUMBER($Q362),COUNTIFS($A$14:$A$1213,$A362,$Q$14:$Q$1213,"&gt;"&amp;$Q362)+(COUNTIFS($A$14:$A$1213,$A362,$Q$14:$Q$1213,"="&amp;$Q362)+1)/2,"")</f>
        <v/>
      </c>
      <c r="AE362" s="27">
        <f>IF(ISNUMBER($R362),COUNTIFS($A$14:$A$1213,$A362,$R$14:$R$1213,"&gt;"&amp;$R362)+(COUNTIFS($A$14:$A$1213,$A362,$R$14:$R$1213,"="&amp;$R362)+1)/2,"")</f>
        <v/>
      </c>
      <c r="AF362" s="27">
        <f>IF(ISNUMBER($S362),COUNTIFS($A$14:$A$1213,$A362,$S$14:$S$1213,"&gt;"&amp;$S362)+(COUNTIFS($A$14:$A$1213,$A362,$S$14:$S$1213,"="&amp;$S362)+1)/2,"")</f>
        <v/>
      </c>
      <c r="AG362" s="27">
        <f>IF(ISNUMBER($T362),COUNTIFS($A$14:$A$1213,$A362,$T$14:$T$1213,"&gt;"&amp;$T362)+(COUNTIFS($A$14:$A$1213,$A362,$T$14:$T$1213,"="&amp;$T362)+1)/2,"")</f>
        <v/>
      </c>
      <c r="AH362" s="27">
        <f>IF(COUNT($AC362:$AG362)&lt;2,"",IF(MAX($AC362:$AG362)=MIN($AC362:$AG362),0,1))</f>
        <v/>
      </c>
      <c r="AI362" s="27">
        <f>IF($A362="","",IF(COUNTIF($A$14:$A362,$A362)=1,COUNTIF($AI$13:AI361,"&gt;0")+1,""))</f>
        <v/>
      </c>
      <c r="AO362" s="27">
        <f>IF($A362="","",IF(AND(COUNTIFS($A$14:$A$1213,$A362,$F$14:$F$1213,"&gt;=0")=2,IFERROR(INDEX($M$14:$M$313,MATCH($A362,$H$14:$H$313,0)),"Yes")&lt;&gt;"Yes"),1,0))</f>
        <v/>
      </c>
    </row>
    <row r="363">
      <c r="A363" s="19">
        <f>IF('Enter messages'!A363="","",'Enter messages'!A363)</f>
        <v/>
      </c>
      <c r="B363" s="20">
        <f>IF('Enter messages'!B363="","",'Enter messages'!B363)</f>
        <v/>
      </c>
      <c r="C363" s="21">
        <f>IFERROR(AVERAGE(P363:T363),"")</f>
        <v/>
      </c>
      <c r="D363" s="29" t="n"/>
      <c r="E363" s="29" t="n"/>
      <c r="F363" s="30">
        <f>IF(AND(ISNUMBER($D363),ISNUMBER($E363),$E363&gt;0,$D363&lt;=$E363),$D363/$E363,"")</f>
        <v/>
      </c>
      <c r="P363" s="26" t="n"/>
      <c r="Q363" s="26" t="n"/>
      <c r="R363" s="26" t="n"/>
      <c r="S363" s="26" t="n"/>
      <c r="T363" s="26" t="n"/>
      <c r="V363" s="27">
        <f>IF(ISNUMBER($C363),COUNTIFS($A$14:$A$1213,$A363,$C$14:$C$1213,"&gt;"&amp;$C363)+(COUNTIFS($A$14:$A$1213,$A363,$C$14:$C$1213,"="&amp;$C363)+1)/2,"")</f>
        <v/>
      </c>
      <c r="W363" s="27">
        <f>IF(ISNUMBER($F363),COUNTIFS($A$14:$A$1213,$A363,$F$14:$F$1213,"&gt;"&amp;$F363)+(COUNTIFS($A$14:$A$1213,$A363,$F$14:$F$1213,"="&amp;$F363)+1)/2,"")</f>
        <v/>
      </c>
      <c r="X363" s="27">
        <f>IF(OR(NOT(ISNUMBER($V363)),$AO363=1),"",$V363-(COUNTIFS($A$14:$A$1213,$A363,$C$14:$C$1213,"&gt;=0")+1)/2)</f>
        <v/>
      </c>
      <c r="Y363" s="27">
        <f>IF(OR(NOT(ISNUMBER($W363)),$AO363=1),"",$W363-(COUNTIFS($A$14:$A$1213,$A363,$F$14:$F$1213,"&gt;=0")+1)/2)</f>
        <v/>
      </c>
      <c r="Z363" s="27">
        <f>IF(ISNUMBER($V363),$A363&amp;"|"&amp;$V363,"")</f>
        <v/>
      </c>
      <c r="AA363" s="27">
        <f>IF(ISNUMBER($W363),$A363&amp;"|"&amp;$W363,"")</f>
        <v/>
      </c>
      <c r="AB363" s="27">
        <f>IF(ISNUMBER($F363),$A363&amp;"|"&amp;$F363,"")</f>
        <v/>
      </c>
      <c r="AC363" s="27">
        <f>IF(ISNUMBER($P363),COUNTIFS($A$14:$A$1213,$A363,$P$14:$P$1213,"&gt;"&amp;$P363)+(COUNTIFS($A$14:$A$1213,$A363,$P$14:$P$1213,"="&amp;$P363)+1)/2,"")</f>
        <v/>
      </c>
      <c r="AD363" s="27">
        <f>IF(ISNUMBER($Q363),COUNTIFS($A$14:$A$1213,$A363,$Q$14:$Q$1213,"&gt;"&amp;$Q363)+(COUNTIFS($A$14:$A$1213,$A363,$Q$14:$Q$1213,"="&amp;$Q363)+1)/2,"")</f>
        <v/>
      </c>
      <c r="AE363" s="27">
        <f>IF(ISNUMBER($R363),COUNTIFS($A$14:$A$1213,$A363,$R$14:$R$1213,"&gt;"&amp;$R363)+(COUNTIFS($A$14:$A$1213,$A363,$R$14:$R$1213,"="&amp;$R363)+1)/2,"")</f>
        <v/>
      </c>
      <c r="AF363" s="27">
        <f>IF(ISNUMBER($S363),COUNTIFS($A$14:$A$1213,$A363,$S$14:$S$1213,"&gt;"&amp;$S363)+(COUNTIFS($A$14:$A$1213,$A363,$S$14:$S$1213,"="&amp;$S363)+1)/2,"")</f>
        <v/>
      </c>
      <c r="AG363" s="27">
        <f>IF(ISNUMBER($T363),COUNTIFS($A$14:$A$1213,$A363,$T$14:$T$1213,"&gt;"&amp;$T363)+(COUNTIFS($A$14:$A$1213,$A363,$T$14:$T$1213,"="&amp;$T363)+1)/2,"")</f>
        <v/>
      </c>
      <c r="AH363" s="27">
        <f>IF(COUNT($AC363:$AG363)&lt;2,"",IF(MAX($AC363:$AG363)=MIN($AC363:$AG363),0,1))</f>
        <v/>
      </c>
      <c r="AI363" s="27">
        <f>IF($A363="","",IF(COUNTIF($A$14:$A363,$A363)=1,COUNTIF($AI$13:AI362,"&gt;0")+1,""))</f>
        <v/>
      </c>
      <c r="AO363" s="27">
        <f>IF($A363="","",IF(AND(COUNTIFS($A$14:$A$1213,$A363,$F$14:$F$1213,"&gt;=0")=2,IFERROR(INDEX($M$14:$M$313,MATCH($A363,$H$14:$H$313,0)),"Yes")&lt;&gt;"Yes"),1,0))</f>
        <v/>
      </c>
    </row>
    <row r="364">
      <c r="A364" s="19">
        <f>IF('Enter messages'!A364="","",'Enter messages'!A364)</f>
        <v/>
      </c>
      <c r="B364" s="20">
        <f>IF('Enter messages'!B364="","",'Enter messages'!B364)</f>
        <v/>
      </c>
      <c r="C364" s="21">
        <f>IFERROR(AVERAGE(P364:T364),"")</f>
        <v/>
      </c>
      <c r="D364" s="29" t="n"/>
      <c r="E364" s="29" t="n"/>
      <c r="F364" s="30">
        <f>IF(AND(ISNUMBER($D364),ISNUMBER($E364),$E364&gt;0,$D364&lt;=$E364),$D364/$E364,"")</f>
        <v/>
      </c>
      <c r="P364" s="26" t="n"/>
      <c r="Q364" s="26" t="n"/>
      <c r="R364" s="26" t="n"/>
      <c r="S364" s="26" t="n"/>
      <c r="T364" s="26" t="n"/>
      <c r="V364" s="27">
        <f>IF(ISNUMBER($C364),COUNTIFS($A$14:$A$1213,$A364,$C$14:$C$1213,"&gt;"&amp;$C364)+(COUNTIFS($A$14:$A$1213,$A364,$C$14:$C$1213,"="&amp;$C364)+1)/2,"")</f>
        <v/>
      </c>
      <c r="W364" s="27">
        <f>IF(ISNUMBER($F364),COUNTIFS($A$14:$A$1213,$A364,$F$14:$F$1213,"&gt;"&amp;$F364)+(COUNTIFS($A$14:$A$1213,$A364,$F$14:$F$1213,"="&amp;$F364)+1)/2,"")</f>
        <v/>
      </c>
      <c r="X364" s="27">
        <f>IF(OR(NOT(ISNUMBER($V364)),$AO364=1),"",$V364-(COUNTIFS($A$14:$A$1213,$A364,$C$14:$C$1213,"&gt;=0")+1)/2)</f>
        <v/>
      </c>
      <c r="Y364" s="27">
        <f>IF(OR(NOT(ISNUMBER($W364)),$AO364=1),"",$W364-(COUNTIFS($A$14:$A$1213,$A364,$F$14:$F$1213,"&gt;=0")+1)/2)</f>
        <v/>
      </c>
      <c r="Z364" s="27">
        <f>IF(ISNUMBER($V364),$A364&amp;"|"&amp;$V364,"")</f>
        <v/>
      </c>
      <c r="AA364" s="27">
        <f>IF(ISNUMBER($W364),$A364&amp;"|"&amp;$W364,"")</f>
        <v/>
      </c>
      <c r="AB364" s="27">
        <f>IF(ISNUMBER($F364),$A364&amp;"|"&amp;$F364,"")</f>
        <v/>
      </c>
      <c r="AC364" s="27">
        <f>IF(ISNUMBER($P364),COUNTIFS($A$14:$A$1213,$A364,$P$14:$P$1213,"&gt;"&amp;$P364)+(COUNTIFS($A$14:$A$1213,$A364,$P$14:$P$1213,"="&amp;$P364)+1)/2,"")</f>
        <v/>
      </c>
      <c r="AD364" s="27">
        <f>IF(ISNUMBER($Q364),COUNTIFS($A$14:$A$1213,$A364,$Q$14:$Q$1213,"&gt;"&amp;$Q364)+(COUNTIFS($A$14:$A$1213,$A364,$Q$14:$Q$1213,"="&amp;$Q364)+1)/2,"")</f>
        <v/>
      </c>
      <c r="AE364" s="27">
        <f>IF(ISNUMBER($R364),COUNTIFS($A$14:$A$1213,$A364,$R$14:$R$1213,"&gt;"&amp;$R364)+(COUNTIFS($A$14:$A$1213,$A364,$R$14:$R$1213,"="&amp;$R364)+1)/2,"")</f>
        <v/>
      </c>
      <c r="AF364" s="27">
        <f>IF(ISNUMBER($S364),COUNTIFS($A$14:$A$1213,$A364,$S$14:$S$1213,"&gt;"&amp;$S364)+(COUNTIFS($A$14:$A$1213,$A364,$S$14:$S$1213,"="&amp;$S364)+1)/2,"")</f>
        <v/>
      </c>
      <c r="AG364" s="27">
        <f>IF(ISNUMBER($T364),COUNTIFS($A$14:$A$1213,$A364,$T$14:$T$1213,"&gt;"&amp;$T364)+(COUNTIFS($A$14:$A$1213,$A364,$T$14:$T$1213,"="&amp;$T364)+1)/2,"")</f>
        <v/>
      </c>
      <c r="AH364" s="27">
        <f>IF(COUNT($AC364:$AG364)&lt;2,"",IF(MAX($AC364:$AG364)=MIN($AC364:$AG364),0,1))</f>
        <v/>
      </c>
      <c r="AI364" s="27">
        <f>IF($A364="","",IF(COUNTIF($A$14:$A364,$A364)=1,COUNTIF($AI$13:AI363,"&gt;0")+1,""))</f>
        <v/>
      </c>
      <c r="AO364" s="27">
        <f>IF($A364="","",IF(AND(COUNTIFS($A$14:$A$1213,$A364,$F$14:$F$1213,"&gt;=0")=2,IFERROR(INDEX($M$14:$M$313,MATCH($A364,$H$14:$H$313,0)),"Yes")&lt;&gt;"Yes"),1,0))</f>
        <v/>
      </c>
    </row>
    <row r="365">
      <c r="A365" s="19">
        <f>IF('Enter messages'!A365="","",'Enter messages'!A365)</f>
        <v/>
      </c>
      <c r="B365" s="20">
        <f>IF('Enter messages'!B365="","",'Enter messages'!B365)</f>
        <v/>
      </c>
      <c r="C365" s="21">
        <f>IFERROR(AVERAGE(P365:T365),"")</f>
        <v/>
      </c>
      <c r="D365" s="29" t="n"/>
      <c r="E365" s="29" t="n"/>
      <c r="F365" s="30">
        <f>IF(AND(ISNUMBER($D365),ISNUMBER($E365),$E365&gt;0,$D365&lt;=$E365),$D365/$E365,"")</f>
        <v/>
      </c>
      <c r="P365" s="26" t="n"/>
      <c r="Q365" s="26" t="n"/>
      <c r="R365" s="26" t="n"/>
      <c r="S365" s="26" t="n"/>
      <c r="T365" s="26" t="n"/>
      <c r="V365" s="27">
        <f>IF(ISNUMBER($C365),COUNTIFS($A$14:$A$1213,$A365,$C$14:$C$1213,"&gt;"&amp;$C365)+(COUNTIFS($A$14:$A$1213,$A365,$C$14:$C$1213,"="&amp;$C365)+1)/2,"")</f>
        <v/>
      </c>
      <c r="W365" s="27">
        <f>IF(ISNUMBER($F365),COUNTIFS($A$14:$A$1213,$A365,$F$14:$F$1213,"&gt;"&amp;$F365)+(COUNTIFS($A$14:$A$1213,$A365,$F$14:$F$1213,"="&amp;$F365)+1)/2,"")</f>
        <v/>
      </c>
      <c r="X365" s="27">
        <f>IF(OR(NOT(ISNUMBER($V365)),$AO365=1),"",$V365-(COUNTIFS($A$14:$A$1213,$A365,$C$14:$C$1213,"&gt;=0")+1)/2)</f>
        <v/>
      </c>
      <c r="Y365" s="27">
        <f>IF(OR(NOT(ISNUMBER($W365)),$AO365=1),"",$W365-(COUNTIFS($A$14:$A$1213,$A365,$F$14:$F$1213,"&gt;=0")+1)/2)</f>
        <v/>
      </c>
      <c r="Z365" s="27">
        <f>IF(ISNUMBER($V365),$A365&amp;"|"&amp;$V365,"")</f>
        <v/>
      </c>
      <c r="AA365" s="27">
        <f>IF(ISNUMBER($W365),$A365&amp;"|"&amp;$W365,"")</f>
        <v/>
      </c>
      <c r="AB365" s="27">
        <f>IF(ISNUMBER($F365),$A365&amp;"|"&amp;$F365,"")</f>
        <v/>
      </c>
      <c r="AC365" s="27">
        <f>IF(ISNUMBER($P365),COUNTIFS($A$14:$A$1213,$A365,$P$14:$P$1213,"&gt;"&amp;$P365)+(COUNTIFS($A$14:$A$1213,$A365,$P$14:$P$1213,"="&amp;$P365)+1)/2,"")</f>
        <v/>
      </c>
      <c r="AD365" s="27">
        <f>IF(ISNUMBER($Q365),COUNTIFS($A$14:$A$1213,$A365,$Q$14:$Q$1213,"&gt;"&amp;$Q365)+(COUNTIFS($A$14:$A$1213,$A365,$Q$14:$Q$1213,"="&amp;$Q365)+1)/2,"")</f>
        <v/>
      </c>
      <c r="AE365" s="27">
        <f>IF(ISNUMBER($R365),COUNTIFS($A$14:$A$1213,$A365,$R$14:$R$1213,"&gt;"&amp;$R365)+(COUNTIFS($A$14:$A$1213,$A365,$R$14:$R$1213,"="&amp;$R365)+1)/2,"")</f>
        <v/>
      </c>
      <c r="AF365" s="27">
        <f>IF(ISNUMBER($S365),COUNTIFS($A$14:$A$1213,$A365,$S$14:$S$1213,"&gt;"&amp;$S365)+(COUNTIFS($A$14:$A$1213,$A365,$S$14:$S$1213,"="&amp;$S365)+1)/2,"")</f>
        <v/>
      </c>
      <c r="AG365" s="27">
        <f>IF(ISNUMBER($T365),COUNTIFS($A$14:$A$1213,$A365,$T$14:$T$1213,"&gt;"&amp;$T365)+(COUNTIFS($A$14:$A$1213,$A365,$T$14:$T$1213,"="&amp;$T365)+1)/2,"")</f>
        <v/>
      </c>
      <c r="AH365" s="27">
        <f>IF(COUNT($AC365:$AG365)&lt;2,"",IF(MAX($AC365:$AG365)=MIN($AC365:$AG365),0,1))</f>
        <v/>
      </c>
      <c r="AI365" s="27">
        <f>IF($A365="","",IF(COUNTIF($A$14:$A365,$A365)=1,COUNTIF($AI$13:AI364,"&gt;0")+1,""))</f>
        <v/>
      </c>
      <c r="AO365" s="27">
        <f>IF($A365="","",IF(AND(COUNTIFS($A$14:$A$1213,$A365,$F$14:$F$1213,"&gt;=0")=2,IFERROR(INDEX($M$14:$M$313,MATCH($A365,$H$14:$H$313,0)),"Yes")&lt;&gt;"Yes"),1,0))</f>
        <v/>
      </c>
    </row>
    <row r="366">
      <c r="A366" s="19">
        <f>IF('Enter messages'!A366="","",'Enter messages'!A366)</f>
        <v/>
      </c>
      <c r="B366" s="20">
        <f>IF('Enter messages'!B366="","",'Enter messages'!B366)</f>
        <v/>
      </c>
      <c r="C366" s="21">
        <f>IFERROR(AVERAGE(P366:T366),"")</f>
        <v/>
      </c>
      <c r="D366" s="29" t="n"/>
      <c r="E366" s="29" t="n"/>
      <c r="F366" s="30">
        <f>IF(AND(ISNUMBER($D366),ISNUMBER($E366),$E366&gt;0,$D366&lt;=$E366),$D366/$E366,"")</f>
        <v/>
      </c>
      <c r="P366" s="26" t="n"/>
      <c r="Q366" s="26" t="n"/>
      <c r="R366" s="26" t="n"/>
      <c r="S366" s="26" t="n"/>
      <c r="T366" s="26" t="n"/>
      <c r="V366" s="27">
        <f>IF(ISNUMBER($C366),COUNTIFS($A$14:$A$1213,$A366,$C$14:$C$1213,"&gt;"&amp;$C366)+(COUNTIFS($A$14:$A$1213,$A366,$C$14:$C$1213,"="&amp;$C366)+1)/2,"")</f>
        <v/>
      </c>
      <c r="W366" s="27">
        <f>IF(ISNUMBER($F366),COUNTIFS($A$14:$A$1213,$A366,$F$14:$F$1213,"&gt;"&amp;$F366)+(COUNTIFS($A$14:$A$1213,$A366,$F$14:$F$1213,"="&amp;$F366)+1)/2,"")</f>
        <v/>
      </c>
      <c r="X366" s="27">
        <f>IF(OR(NOT(ISNUMBER($V366)),$AO366=1),"",$V366-(COUNTIFS($A$14:$A$1213,$A366,$C$14:$C$1213,"&gt;=0")+1)/2)</f>
        <v/>
      </c>
      <c r="Y366" s="27">
        <f>IF(OR(NOT(ISNUMBER($W366)),$AO366=1),"",$W366-(COUNTIFS($A$14:$A$1213,$A366,$F$14:$F$1213,"&gt;=0")+1)/2)</f>
        <v/>
      </c>
      <c r="Z366" s="27">
        <f>IF(ISNUMBER($V366),$A366&amp;"|"&amp;$V366,"")</f>
        <v/>
      </c>
      <c r="AA366" s="27">
        <f>IF(ISNUMBER($W366),$A366&amp;"|"&amp;$W366,"")</f>
        <v/>
      </c>
      <c r="AB366" s="27">
        <f>IF(ISNUMBER($F366),$A366&amp;"|"&amp;$F366,"")</f>
        <v/>
      </c>
      <c r="AC366" s="27">
        <f>IF(ISNUMBER($P366),COUNTIFS($A$14:$A$1213,$A366,$P$14:$P$1213,"&gt;"&amp;$P366)+(COUNTIFS($A$14:$A$1213,$A366,$P$14:$P$1213,"="&amp;$P366)+1)/2,"")</f>
        <v/>
      </c>
      <c r="AD366" s="27">
        <f>IF(ISNUMBER($Q366),COUNTIFS($A$14:$A$1213,$A366,$Q$14:$Q$1213,"&gt;"&amp;$Q366)+(COUNTIFS($A$14:$A$1213,$A366,$Q$14:$Q$1213,"="&amp;$Q366)+1)/2,"")</f>
        <v/>
      </c>
      <c r="AE366" s="27">
        <f>IF(ISNUMBER($R366),COUNTIFS($A$14:$A$1213,$A366,$R$14:$R$1213,"&gt;"&amp;$R366)+(COUNTIFS($A$14:$A$1213,$A366,$R$14:$R$1213,"="&amp;$R366)+1)/2,"")</f>
        <v/>
      </c>
      <c r="AF366" s="27">
        <f>IF(ISNUMBER($S366),COUNTIFS($A$14:$A$1213,$A366,$S$14:$S$1213,"&gt;"&amp;$S366)+(COUNTIFS($A$14:$A$1213,$A366,$S$14:$S$1213,"="&amp;$S366)+1)/2,"")</f>
        <v/>
      </c>
      <c r="AG366" s="27">
        <f>IF(ISNUMBER($T366),COUNTIFS($A$14:$A$1213,$A366,$T$14:$T$1213,"&gt;"&amp;$T366)+(COUNTIFS($A$14:$A$1213,$A366,$T$14:$T$1213,"="&amp;$T366)+1)/2,"")</f>
        <v/>
      </c>
      <c r="AH366" s="27">
        <f>IF(COUNT($AC366:$AG366)&lt;2,"",IF(MAX($AC366:$AG366)=MIN($AC366:$AG366),0,1))</f>
        <v/>
      </c>
      <c r="AI366" s="27">
        <f>IF($A366="","",IF(COUNTIF($A$14:$A366,$A366)=1,COUNTIF($AI$13:AI365,"&gt;0")+1,""))</f>
        <v/>
      </c>
      <c r="AO366" s="27">
        <f>IF($A366="","",IF(AND(COUNTIFS($A$14:$A$1213,$A366,$F$14:$F$1213,"&gt;=0")=2,IFERROR(INDEX($M$14:$M$313,MATCH($A366,$H$14:$H$313,0)),"Yes")&lt;&gt;"Yes"),1,0))</f>
        <v/>
      </c>
    </row>
    <row r="367">
      <c r="A367" s="19">
        <f>IF('Enter messages'!A367="","",'Enter messages'!A367)</f>
        <v/>
      </c>
      <c r="B367" s="20">
        <f>IF('Enter messages'!B367="","",'Enter messages'!B367)</f>
        <v/>
      </c>
      <c r="C367" s="21">
        <f>IFERROR(AVERAGE(P367:T367),"")</f>
        <v/>
      </c>
      <c r="D367" s="29" t="n"/>
      <c r="E367" s="29" t="n"/>
      <c r="F367" s="30">
        <f>IF(AND(ISNUMBER($D367),ISNUMBER($E367),$E367&gt;0,$D367&lt;=$E367),$D367/$E367,"")</f>
        <v/>
      </c>
      <c r="P367" s="26" t="n"/>
      <c r="Q367" s="26" t="n"/>
      <c r="R367" s="26" t="n"/>
      <c r="S367" s="26" t="n"/>
      <c r="T367" s="26" t="n"/>
      <c r="V367" s="27">
        <f>IF(ISNUMBER($C367),COUNTIFS($A$14:$A$1213,$A367,$C$14:$C$1213,"&gt;"&amp;$C367)+(COUNTIFS($A$14:$A$1213,$A367,$C$14:$C$1213,"="&amp;$C367)+1)/2,"")</f>
        <v/>
      </c>
      <c r="W367" s="27">
        <f>IF(ISNUMBER($F367),COUNTIFS($A$14:$A$1213,$A367,$F$14:$F$1213,"&gt;"&amp;$F367)+(COUNTIFS($A$14:$A$1213,$A367,$F$14:$F$1213,"="&amp;$F367)+1)/2,"")</f>
        <v/>
      </c>
      <c r="X367" s="27">
        <f>IF(OR(NOT(ISNUMBER($V367)),$AO367=1),"",$V367-(COUNTIFS($A$14:$A$1213,$A367,$C$14:$C$1213,"&gt;=0")+1)/2)</f>
        <v/>
      </c>
      <c r="Y367" s="27">
        <f>IF(OR(NOT(ISNUMBER($W367)),$AO367=1),"",$W367-(COUNTIFS($A$14:$A$1213,$A367,$F$14:$F$1213,"&gt;=0")+1)/2)</f>
        <v/>
      </c>
      <c r="Z367" s="27">
        <f>IF(ISNUMBER($V367),$A367&amp;"|"&amp;$V367,"")</f>
        <v/>
      </c>
      <c r="AA367" s="27">
        <f>IF(ISNUMBER($W367),$A367&amp;"|"&amp;$W367,"")</f>
        <v/>
      </c>
      <c r="AB367" s="27">
        <f>IF(ISNUMBER($F367),$A367&amp;"|"&amp;$F367,"")</f>
        <v/>
      </c>
      <c r="AC367" s="27">
        <f>IF(ISNUMBER($P367),COUNTIFS($A$14:$A$1213,$A367,$P$14:$P$1213,"&gt;"&amp;$P367)+(COUNTIFS($A$14:$A$1213,$A367,$P$14:$P$1213,"="&amp;$P367)+1)/2,"")</f>
        <v/>
      </c>
      <c r="AD367" s="27">
        <f>IF(ISNUMBER($Q367),COUNTIFS($A$14:$A$1213,$A367,$Q$14:$Q$1213,"&gt;"&amp;$Q367)+(COUNTIFS($A$14:$A$1213,$A367,$Q$14:$Q$1213,"="&amp;$Q367)+1)/2,"")</f>
        <v/>
      </c>
      <c r="AE367" s="27">
        <f>IF(ISNUMBER($R367),COUNTIFS($A$14:$A$1213,$A367,$R$14:$R$1213,"&gt;"&amp;$R367)+(COUNTIFS($A$14:$A$1213,$A367,$R$14:$R$1213,"="&amp;$R367)+1)/2,"")</f>
        <v/>
      </c>
      <c r="AF367" s="27">
        <f>IF(ISNUMBER($S367),COUNTIFS($A$14:$A$1213,$A367,$S$14:$S$1213,"&gt;"&amp;$S367)+(COUNTIFS($A$14:$A$1213,$A367,$S$14:$S$1213,"="&amp;$S367)+1)/2,"")</f>
        <v/>
      </c>
      <c r="AG367" s="27">
        <f>IF(ISNUMBER($T367),COUNTIFS($A$14:$A$1213,$A367,$T$14:$T$1213,"&gt;"&amp;$T367)+(COUNTIFS($A$14:$A$1213,$A367,$T$14:$T$1213,"="&amp;$T367)+1)/2,"")</f>
        <v/>
      </c>
      <c r="AH367" s="27">
        <f>IF(COUNT($AC367:$AG367)&lt;2,"",IF(MAX($AC367:$AG367)=MIN($AC367:$AG367),0,1))</f>
        <v/>
      </c>
      <c r="AI367" s="27">
        <f>IF($A367="","",IF(COUNTIF($A$14:$A367,$A367)=1,COUNTIF($AI$13:AI366,"&gt;0")+1,""))</f>
        <v/>
      </c>
      <c r="AO367" s="27">
        <f>IF($A367="","",IF(AND(COUNTIFS($A$14:$A$1213,$A367,$F$14:$F$1213,"&gt;=0")=2,IFERROR(INDEX($M$14:$M$313,MATCH($A367,$H$14:$H$313,0)),"Yes")&lt;&gt;"Yes"),1,0))</f>
        <v/>
      </c>
    </row>
    <row r="368">
      <c r="A368" s="19">
        <f>IF('Enter messages'!A368="","",'Enter messages'!A368)</f>
        <v/>
      </c>
      <c r="B368" s="20">
        <f>IF('Enter messages'!B368="","",'Enter messages'!B368)</f>
        <v/>
      </c>
      <c r="C368" s="21">
        <f>IFERROR(AVERAGE(P368:T368),"")</f>
        <v/>
      </c>
      <c r="D368" s="29" t="n"/>
      <c r="E368" s="29" t="n"/>
      <c r="F368" s="30">
        <f>IF(AND(ISNUMBER($D368),ISNUMBER($E368),$E368&gt;0,$D368&lt;=$E368),$D368/$E368,"")</f>
        <v/>
      </c>
      <c r="P368" s="26" t="n"/>
      <c r="Q368" s="26" t="n"/>
      <c r="R368" s="26" t="n"/>
      <c r="S368" s="26" t="n"/>
      <c r="T368" s="26" t="n"/>
      <c r="V368" s="27">
        <f>IF(ISNUMBER($C368),COUNTIFS($A$14:$A$1213,$A368,$C$14:$C$1213,"&gt;"&amp;$C368)+(COUNTIFS($A$14:$A$1213,$A368,$C$14:$C$1213,"="&amp;$C368)+1)/2,"")</f>
        <v/>
      </c>
      <c r="W368" s="27">
        <f>IF(ISNUMBER($F368),COUNTIFS($A$14:$A$1213,$A368,$F$14:$F$1213,"&gt;"&amp;$F368)+(COUNTIFS($A$14:$A$1213,$A368,$F$14:$F$1213,"="&amp;$F368)+1)/2,"")</f>
        <v/>
      </c>
      <c r="X368" s="27">
        <f>IF(OR(NOT(ISNUMBER($V368)),$AO368=1),"",$V368-(COUNTIFS($A$14:$A$1213,$A368,$C$14:$C$1213,"&gt;=0")+1)/2)</f>
        <v/>
      </c>
      <c r="Y368" s="27">
        <f>IF(OR(NOT(ISNUMBER($W368)),$AO368=1),"",$W368-(COUNTIFS($A$14:$A$1213,$A368,$F$14:$F$1213,"&gt;=0")+1)/2)</f>
        <v/>
      </c>
      <c r="Z368" s="27">
        <f>IF(ISNUMBER($V368),$A368&amp;"|"&amp;$V368,"")</f>
        <v/>
      </c>
      <c r="AA368" s="27">
        <f>IF(ISNUMBER($W368),$A368&amp;"|"&amp;$W368,"")</f>
        <v/>
      </c>
      <c r="AB368" s="27">
        <f>IF(ISNUMBER($F368),$A368&amp;"|"&amp;$F368,"")</f>
        <v/>
      </c>
      <c r="AC368" s="27">
        <f>IF(ISNUMBER($P368),COUNTIFS($A$14:$A$1213,$A368,$P$14:$P$1213,"&gt;"&amp;$P368)+(COUNTIFS($A$14:$A$1213,$A368,$P$14:$P$1213,"="&amp;$P368)+1)/2,"")</f>
        <v/>
      </c>
      <c r="AD368" s="27">
        <f>IF(ISNUMBER($Q368),COUNTIFS($A$14:$A$1213,$A368,$Q$14:$Q$1213,"&gt;"&amp;$Q368)+(COUNTIFS($A$14:$A$1213,$A368,$Q$14:$Q$1213,"="&amp;$Q368)+1)/2,"")</f>
        <v/>
      </c>
      <c r="AE368" s="27">
        <f>IF(ISNUMBER($R368),COUNTIFS($A$14:$A$1213,$A368,$R$14:$R$1213,"&gt;"&amp;$R368)+(COUNTIFS($A$14:$A$1213,$A368,$R$14:$R$1213,"="&amp;$R368)+1)/2,"")</f>
        <v/>
      </c>
      <c r="AF368" s="27">
        <f>IF(ISNUMBER($S368),COUNTIFS($A$14:$A$1213,$A368,$S$14:$S$1213,"&gt;"&amp;$S368)+(COUNTIFS($A$14:$A$1213,$A368,$S$14:$S$1213,"="&amp;$S368)+1)/2,"")</f>
        <v/>
      </c>
      <c r="AG368" s="27">
        <f>IF(ISNUMBER($T368),COUNTIFS($A$14:$A$1213,$A368,$T$14:$T$1213,"&gt;"&amp;$T368)+(COUNTIFS($A$14:$A$1213,$A368,$T$14:$T$1213,"="&amp;$T368)+1)/2,"")</f>
        <v/>
      </c>
      <c r="AH368" s="27">
        <f>IF(COUNT($AC368:$AG368)&lt;2,"",IF(MAX($AC368:$AG368)=MIN($AC368:$AG368),0,1))</f>
        <v/>
      </c>
      <c r="AI368" s="27">
        <f>IF($A368="","",IF(COUNTIF($A$14:$A368,$A368)=1,COUNTIF($AI$13:AI367,"&gt;0")+1,""))</f>
        <v/>
      </c>
      <c r="AO368" s="27">
        <f>IF($A368="","",IF(AND(COUNTIFS($A$14:$A$1213,$A368,$F$14:$F$1213,"&gt;=0")=2,IFERROR(INDEX($M$14:$M$313,MATCH($A368,$H$14:$H$313,0)),"Yes")&lt;&gt;"Yes"),1,0))</f>
        <v/>
      </c>
    </row>
    <row r="369">
      <c r="A369" s="19">
        <f>IF('Enter messages'!A369="","",'Enter messages'!A369)</f>
        <v/>
      </c>
      <c r="B369" s="20">
        <f>IF('Enter messages'!B369="","",'Enter messages'!B369)</f>
        <v/>
      </c>
      <c r="C369" s="21">
        <f>IFERROR(AVERAGE(P369:T369),"")</f>
        <v/>
      </c>
      <c r="D369" s="29" t="n"/>
      <c r="E369" s="29" t="n"/>
      <c r="F369" s="30">
        <f>IF(AND(ISNUMBER($D369),ISNUMBER($E369),$E369&gt;0,$D369&lt;=$E369),$D369/$E369,"")</f>
        <v/>
      </c>
      <c r="P369" s="26" t="n"/>
      <c r="Q369" s="26" t="n"/>
      <c r="R369" s="26" t="n"/>
      <c r="S369" s="26" t="n"/>
      <c r="T369" s="26" t="n"/>
      <c r="V369" s="27">
        <f>IF(ISNUMBER($C369),COUNTIFS($A$14:$A$1213,$A369,$C$14:$C$1213,"&gt;"&amp;$C369)+(COUNTIFS($A$14:$A$1213,$A369,$C$14:$C$1213,"="&amp;$C369)+1)/2,"")</f>
        <v/>
      </c>
      <c r="W369" s="27">
        <f>IF(ISNUMBER($F369),COUNTIFS($A$14:$A$1213,$A369,$F$14:$F$1213,"&gt;"&amp;$F369)+(COUNTIFS($A$14:$A$1213,$A369,$F$14:$F$1213,"="&amp;$F369)+1)/2,"")</f>
        <v/>
      </c>
      <c r="X369" s="27">
        <f>IF(OR(NOT(ISNUMBER($V369)),$AO369=1),"",$V369-(COUNTIFS($A$14:$A$1213,$A369,$C$14:$C$1213,"&gt;=0")+1)/2)</f>
        <v/>
      </c>
      <c r="Y369" s="27">
        <f>IF(OR(NOT(ISNUMBER($W369)),$AO369=1),"",$W369-(COUNTIFS($A$14:$A$1213,$A369,$F$14:$F$1213,"&gt;=0")+1)/2)</f>
        <v/>
      </c>
      <c r="Z369" s="27">
        <f>IF(ISNUMBER($V369),$A369&amp;"|"&amp;$V369,"")</f>
        <v/>
      </c>
      <c r="AA369" s="27">
        <f>IF(ISNUMBER($W369),$A369&amp;"|"&amp;$W369,"")</f>
        <v/>
      </c>
      <c r="AB369" s="27">
        <f>IF(ISNUMBER($F369),$A369&amp;"|"&amp;$F369,"")</f>
        <v/>
      </c>
      <c r="AC369" s="27">
        <f>IF(ISNUMBER($P369),COUNTIFS($A$14:$A$1213,$A369,$P$14:$P$1213,"&gt;"&amp;$P369)+(COUNTIFS($A$14:$A$1213,$A369,$P$14:$P$1213,"="&amp;$P369)+1)/2,"")</f>
        <v/>
      </c>
      <c r="AD369" s="27">
        <f>IF(ISNUMBER($Q369),COUNTIFS($A$14:$A$1213,$A369,$Q$14:$Q$1213,"&gt;"&amp;$Q369)+(COUNTIFS($A$14:$A$1213,$A369,$Q$14:$Q$1213,"="&amp;$Q369)+1)/2,"")</f>
        <v/>
      </c>
      <c r="AE369" s="27">
        <f>IF(ISNUMBER($R369),COUNTIFS($A$14:$A$1213,$A369,$R$14:$R$1213,"&gt;"&amp;$R369)+(COUNTIFS($A$14:$A$1213,$A369,$R$14:$R$1213,"="&amp;$R369)+1)/2,"")</f>
        <v/>
      </c>
      <c r="AF369" s="27">
        <f>IF(ISNUMBER($S369),COUNTIFS($A$14:$A$1213,$A369,$S$14:$S$1213,"&gt;"&amp;$S369)+(COUNTIFS($A$14:$A$1213,$A369,$S$14:$S$1213,"="&amp;$S369)+1)/2,"")</f>
        <v/>
      </c>
      <c r="AG369" s="27">
        <f>IF(ISNUMBER($T369),COUNTIFS($A$14:$A$1213,$A369,$T$14:$T$1213,"&gt;"&amp;$T369)+(COUNTIFS($A$14:$A$1213,$A369,$T$14:$T$1213,"="&amp;$T369)+1)/2,"")</f>
        <v/>
      </c>
      <c r="AH369" s="27">
        <f>IF(COUNT($AC369:$AG369)&lt;2,"",IF(MAX($AC369:$AG369)=MIN($AC369:$AG369),0,1))</f>
        <v/>
      </c>
      <c r="AI369" s="27">
        <f>IF($A369="","",IF(COUNTIF($A$14:$A369,$A369)=1,COUNTIF($AI$13:AI368,"&gt;0")+1,""))</f>
        <v/>
      </c>
      <c r="AO369" s="27">
        <f>IF($A369="","",IF(AND(COUNTIFS($A$14:$A$1213,$A369,$F$14:$F$1213,"&gt;=0")=2,IFERROR(INDEX($M$14:$M$313,MATCH($A369,$H$14:$H$313,0)),"Yes")&lt;&gt;"Yes"),1,0))</f>
        <v/>
      </c>
    </row>
    <row r="370">
      <c r="A370" s="19">
        <f>IF('Enter messages'!A370="","",'Enter messages'!A370)</f>
        <v/>
      </c>
      <c r="B370" s="20">
        <f>IF('Enter messages'!B370="","",'Enter messages'!B370)</f>
        <v/>
      </c>
      <c r="C370" s="21">
        <f>IFERROR(AVERAGE(P370:T370),"")</f>
        <v/>
      </c>
      <c r="D370" s="29" t="n"/>
      <c r="E370" s="29" t="n"/>
      <c r="F370" s="30">
        <f>IF(AND(ISNUMBER($D370),ISNUMBER($E370),$E370&gt;0,$D370&lt;=$E370),$D370/$E370,"")</f>
        <v/>
      </c>
      <c r="P370" s="26" t="n"/>
      <c r="Q370" s="26" t="n"/>
      <c r="R370" s="26" t="n"/>
      <c r="S370" s="26" t="n"/>
      <c r="T370" s="26" t="n"/>
      <c r="V370" s="27">
        <f>IF(ISNUMBER($C370),COUNTIFS($A$14:$A$1213,$A370,$C$14:$C$1213,"&gt;"&amp;$C370)+(COUNTIFS($A$14:$A$1213,$A370,$C$14:$C$1213,"="&amp;$C370)+1)/2,"")</f>
        <v/>
      </c>
      <c r="W370" s="27">
        <f>IF(ISNUMBER($F370),COUNTIFS($A$14:$A$1213,$A370,$F$14:$F$1213,"&gt;"&amp;$F370)+(COUNTIFS($A$14:$A$1213,$A370,$F$14:$F$1213,"="&amp;$F370)+1)/2,"")</f>
        <v/>
      </c>
      <c r="X370" s="27">
        <f>IF(OR(NOT(ISNUMBER($V370)),$AO370=1),"",$V370-(COUNTIFS($A$14:$A$1213,$A370,$C$14:$C$1213,"&gt;=0")+1)/2)</f>
        <v/>
      </c>
      <c r="Y370" s="27">
        <f>IF(OR(NOT(ISNUMBER($W370)),$AO370=1),"",$W370-(COUNTIFS($A$14:$A$1213,$A370,$F$14:$F$1213,"&gt;=0")+1)/2)</f>
        <v/>
      </c>
      <c r="Z370" s="27">
        <f>IF(ISNUMBER($V370),$A370&amp;"|"&amp;$V370,"")</f>
        <v/>
      </c>
      <c r="AA370" s="27">
        <f>IF(ISNUMBER($W370),$A370&amp;"|"&amp;$W370,"")</f>
        <v/>
      </c>
      <c r="AB370" s="27">
        <f>IF(ISNUMBER($F370),$A370&amp;"|"&amp;$F370,"")</f>
        <v/>
      </c>
      <c r="AC370" s="27">
        <f>IF(ISNUMBER($P370),COUNTIFS($A$14:$A$1213,$A370,$P$14:$P$1213,"&gt;"&amp;$P370)+(COUNTIFS($A$14:$A$1213,$A370,$P$14:$P$1213,"="&amp;$P370)+1)/2,"")</f>
        <v/>
      </c>
      <c r="AD370" s="27">
        <f>IF(ISNUMBER($Q370),COUNTIFS($A$14:$A$1213,$A370,$Q$14:$Q$1213,"&gt;"&amp;$Q370)+(COUNTIFS($A$14:$A$1213,$A370,$Q$14:$Q$1213,"="&amp;$Q370)+1)/2,"")</f>
        <v/>
      </c>
      <c r="AE370" s="27">
        <f>IF(ISNUMBER($R370),COUNTIFS($A$14:$A$1213,$A370,$R$14:$R$1213,"&gt;"&amp;$R370)+(COUNTIFS($A$14:$A$1213,$A370,$R$14:$R$1213,"="&amp;$R370)+1)/2,"")</f>
        <v/>
      </c>
      <c r="AF370" s="27">
        <f>IF(ISNUMBER($S370),COUNTIFS($A$14:$A$1213,$A370,$S$14:$S$1213,"&gt;"&amp;$S370)+(COUNTIFS($A$14:$A$1213,$A370,$S$14:$S$1213,"="&amp;$S370)+1)/2,"")</f>
        <v/>
      </c>
      <c r="AG370" s="27">
        <f>IF(ISNUMBER($T370),COUNTIFS($A$14:$A$1213,$A370,$T$14:$T$1213,"&gt;"&amp;$T370)+(COUNTIFS($A$14:$A$1213,$A370,$T$14:$T$1213,"="&amp;$T370)+1)/2,"")</f>
        <v/>
      </c>
      <c r="AH370" s="27">
        <f>IF(COUNT($AC370:$AG370)&lt;2,"",IF(MAX($AC370:$AG370)=MIN($AC370:$AG370),0,1))</f>
        <v/>
      </c>
      <c r="AI370" s="27">
        <f>IF($A370="","",IF(COUNTIF($A$14:$A370,$A370)=1,COUNTIF($AI$13:AI369,"&gt;0")+1,""))</f>
        <v/>
      </c>
      <c r="AO370" s="27">
        <f>IF($A370="","",IF(AND(COUNTIFS($A$14:$A$1213,$A370,$F$14:$F$1213,"&gt;=0")=2,IFERROR(INDEX($M$14:$M$313,MATCH($A370,$H$14:$H$313,0)),"Yes")&lt;&gt;"Yes"),1,0))</f>
        <v/>
      </c>
    </row>
    <row r="371">
      <c r="A371" s="19">
        <f>IF('Enter messages'!A371="","",'Enter messages'!A371)</f>
        <v/>
      </c>
      <c r="B371" s="20">
        <f>IF('Enter messages'!B371="","",'Enter messages'!B371)</f>
        <v/>
      </c>
      <c r="C371" s="21">
        <f>IFERROR(AVERAGE(P371:T371),"")</f>
        <v/>
      </c>
      <c r="D371" s="29" t="n"/>
      <c r="E371" s="29" t="n"/>
      <c r="F371" s="30">
        <f>IF(AND(ISNUMBER($D371),ISNUMBER($E371),$E371&gt;0,$D371&lt;=$E371),$D371/$E371,"")</f>
        <v/>
      </c>
      <c r="P371" s="26" t="n"/>
      <c r="Q371" s="26" t="n"/>
      <c r="R371" s="26" t="n"/>
      <c r="S371" s="26" t="n"/>
      <c r="T371" s="26" t="n"/>
      <c r="V371" s="27">
        <f>IF(ISNUMBER($C371),COUNTIFS($A$14:$A$1213,$A371,$C$14:$C$1213,"&gt;"&amp;$C371)+(COUNTIFS($A$14:$A$1213,$A371,$C$14:$C$1213,"="&amp;$C371)+1)/2,"")</f>
        <v/>
      </c>
      <c r="W371" s="27">
        <f>IF(ISNUMBER($F371),COUNTIFS($A$14:$A$1213,$A371,$F$14:$F$1213,"&gt;"&amp;$F371)+(COUNTIFS($A$14:$A$1213,$A371,$F$14:$F$1213,"="&amp;$F371)+1)/2,"")</f>
        <v/>
      </c>
      <c r="X371" s="27">
        <f>IF(OR(NOT(ISNUMBER($V371)),$AO371=1),"",$V371-(COUNTIFS($A$14:$A$1213,$A371,$C$14:$C$1213,"&gt;=0")+1)/2)</f>
        <v/>
      </c>
      <c r="Y371" s="27">
        <f>IF(OR(NOT(ISNUMBER($W371)),$AO371=1),"",$W371-(COUNTIFS($A$14:$A$1213,$A371,$F$14:$F$1213,"&gt;=0")+1)/2)</f>
        <v/>
      </c>
      <c r="Z371" s="27">
        <f>IF(ISNUMBER($V371),$A371&amp;"|"&amp;$V371,"")</f>
        <v/>
      </c>
      <c r="AA371" s="27">
        <f>IF(ISNUMBER($W371),$A371&amp;"|"&amp;$W371,"")</f>
        <v/>
      </c>
      <c r="AB371" s="27">
        <f>IF(ISNUMBER($F371),$A371&amp;"|"&amp;$F371,"")</f>
        <v/>
      </c>
      <c r="AC371" s="27">
        <f>IF(ISNUMBER($P371),COUNTIFS($A$14:$A$1213,$A371,$P$14:$P$1213,"&gt;"&amp;$P371)+(COUNTIFS($A$14:$A$1213,$A371,$P$14:$P$1213,"="&amp;$P371)+1)/2,"")</f>
        <v/>
      </c>
      <c r="AD371" s="27">
        <f>IF(ISNUMBER($Q371),COUNTIFS($A$14:$A$1213,$A371,$Q$14:$Q$1213,"&gt;"&amp;$Q371)+(COUNTIFS($A$14:$A$1213,$A371,$Q$14:$Q$1213,"="&amp;$Q371)+1)/2,"")</f>
        <v/>
      </c>
      <c r="AE371" s="27">
        <f>IF(ISNUMBER($R371),COUNTIFS($A$14:$A$1213,$A371,$R$14:$R$1213,"&gt;"&amp;$R371)+(COUNTIFS($A$14:$A$1213,$A371,$R$14:$R$1213,"="&amp;$R371)+1)/2,"")</f>
        <v/>
      </c>
      <c r="AF371" s="27">
        <f>IF(ISNUMBER($S371),COUNTIFS($A$14:$A$1213,$A371,$S$14:$S$1213,"&gt;"&amp;$S371)+(COUNTIFS($A$14:$A$1213,$A371,$S$14:$S$1213,"="&amp;$S371)+1)/2,"")</f>
        <v/>
      </c>
      <c r="AG371" s="27">
        <f>IF(ISNUMBER($T371),COUNTIFS($A$14:$A$1213,$A371,$T$14:$T$1213,"&gt;"&amp;$T371)+(COUNTIFS($A$14:$A$1213,$A371,$T$14:$T$1213,"="&amp;$T371)+1)/2,"")</f>
        <v/>
      </c>
      <c r="AH371" s="27">
        <f>IF(COUNT($AC371:$AG371)&lt;2,"",IF(MAX($AC371:$AG371)=MIN($AC371:$AG371),0,1))</f>
        <v/>
      </c>
      <c r="AI371" s="27">
        <f>IF($A371="","",IF(COUNTIF($A$14:$A371,$A371)=1,COUNTIF($AI$13:AI370,"&gt;0")+1,""))</f>
        <v/>
      </c>
      <c r="AO371" s="27">
        <f>IF($A371="","",IF(AND(COUNTIFS($A$14:$A$1213,$A371,$F$14:$F$1213,"&gt;=0")=2,IFERROR(INDEX($M$14:$M$313,MATCH($A371,$H$14:$H$313,0)),"Yes")&lt;&gt;"Yes"),1,0))</f>
        <v/>
      </c>
    </row>
    <row r="372">
      <c r="A372" s="19">
        <f>IF('Enter messages'!A372="","",'Enter messages'!A372)</f>
        <v/>
      </c>
      <c r="B372" s="20">
        <f>IF('Enter messages'!B372="","",'Enter messages'!B372)</f>
        <v/>
      </c>
      <c r="C372" s="21">
        <f>IFERROR(AVERAGE(P372:T372),"")</f>
        <v/>
      </c>
      <c r="D372" s="29" t="n"/>
      <c r="E372" s="29" t="n"/>
      <c r="F372" s="30">
        <f>IF(AND(ISNUMBER($D372),ISNUMBER($E372),$E372&gt;0,$D372&lt;=$E372),$D372/$E372,"")</f>
        <v/>
      </c>
      <c r="P372" s="26" t="n"/>
      <c r="Q372" s="26" t="n"/>
      <c r="R372" s="26" t="n"/>
      <c r="S372" s="26" t="n"/>
      <c r="T372" s="26" t="n"/>
      <c r="V372" s="27">
        <f>IF(ISNUMBER($C372),COUNTIFS($A$14:$A$1213,$A372,$C$14:$C$1213,"&gt;"&amp;$C372)+(COUNTIFS($A$14:$A$1213,$A372,$C$14:$C$1213,"="&amp;$C372)+1)/2,"")</f>
        <v/>
      </c>
      <c r="W372" s="27">
        <f>IF(ISNUMBER($F372),COUNTIFS($A$14:$A$1213,$A372,$F$14:$F$1213,"&gt;"&amp;$F372)+(COUNTIFS($A$14:$A$1213,$A372,$F$14:$F$1213,"="&amp;$F372)+1)/2,"")</f>
        <v/>
      </c>
      <c r="X372" s="27">
        <f>IF(OR(NOT(ISNUMBER($V372)),$AO372=1),"",$V372-(COUNTIFS($A$14:$A$1213,$A372,$C$14:$C$1213,"&gt;=0")+1)/2)</f>
        <v/>
      </c>
      <c r="Y372" s="27">
        <f>IF(OR(NOT(ISNUMBER($W372)),$AO372=1),"",$W372-(COUNTIFS($A$14:$A$1213,$A372,$F$14:$F$1213,"&gt;=0")+1)/2)</f>
        <v/>
      </c>
      <c r="Z372" s="27">
        <f>IF(ISNUMBER($V372),$A372&amp;"|"&amp;$V372,"")</f>
        <v/>
      </c>
      <c r="AA372" s="27">
        <f>IF(ISNUMBER($W372),$A372&amp;"|"&amp;$W372,"")</f>
        <v/>
      </c>
      <c r="AB372" s="27">
        <f>IF(ISNUMBER($F372),$A372&amp;"|"&amp;$F372,"")</f>
        <v/>
      </c>
      <c r="AC372" s="27">
        <f>IF(ISNUMBER($P372),COUNTIFS($A$14:$A$1213,$A372,$P$14:$P$1213,"&gt;"&amp;$P372)+(COUNTIFS($A$14:$A$1213,$A372,$P$14:$P$1213,"="&amp;$P372)+1)/2,"")</f>
        <v/>
      </c>
      <c r="AD372" s="27">
        <f>IF(ISNUMBER($Q372),COUNTIFS($A$14:$A$1213,$A372,$Q$14:$Q$1213,"&gt;"&amp;$Q372)+(COUNTIFS($A$14:$A$1213,$A372,$Q$14:$Q$1213,"="&amp;$Q372)+1)/2,"")</f>
        <v/>
      </c>
      <c r="AE372" s="27">
        <f>IF(ISNUMBER($R372),COUNTIFS($A$14:$A$1213,$A372,$R$14:$R$1213,"&gt;"&amp;$R372)+(COUNTIFS($A$14:$A$1213,$A372,$R$14:$R$1213,"="&amp;$R372)+1)/2,"")</f>
        <v/>
      </c>
      <c r="AF372" s="27">
        <f>IF(ISNUMBER($S372),COUNTIFS($A$14:$A$1213,$A372,$S$14:$S$1213,"&gt;"&amp;$S372)+(COUNTIFS($A$14:$A$1213,$A372,$S$14:$S$1213,"="&amp;$S372)+1)/2,"")</f>
        <v/>
      </c>
      <c r="AG372" s="27">
        <f>IF(ISNUMBER($T372),COUNTIFS($A$14:$A$1213,$A372,$T$14:$T$1213,"&gt;"&amp;$T372)+(COUNTIFS($A$14:$A$1213,$A372,$T$14:$T$1213,"="&amp;$T372)+1)/2,"")</f>
        <v/>
      </c>
      <c r="AH372" s="27">
        <f>IF(COUNT($AC372:$AG372)&lt;2,"",IF(MAX($AC372:$AG372)=MIN($AC372:$AG372),0,1))</f>
        <v/>
      </c>
      <c r="AI372" s="27">
        <f>IF($A372="","",IF(COUNTIF($A$14:$A372,$A372)=1,COUNTIF($AI$13:AI371,"&gt;0")+1,""))</f>
        <v/>
      </c>
      <c r="AO372" s="27">
        <f>IF($A372="","",IF(AND(COUNTIFS($A$14:$A$1213,$A372,$F$14:$F$1213,"&gt;=0")=2,IFERROR(INDEX($M$14:$M$313,MATCH($A372,$H$14:$H$313,0)),"Yes")&lt;&gt;"Yes"),1,0))</f>
        <v/>
      </c>
    </row>
    <row r="373">
      <c r="A373" s="19">
        <f>IF('Enter messages'!A373="","",'Enter messages'!A373)</f>
        <v/>
      </c>
      <c r="B373" s="20">
        <f>IF('Enter messages'!B373="","",'Enter messages'!B373)</f>
        <v/>
      </c>
      <c r="C373" s="21">
        <f>IFERROR(AVERAGE(P373:T373),"")</f>
        <v/>
      </c>
      <c r="D373" s="29" t="n"/>
      <c r="E373" s="29" t="n"/>
      <c r="F373" s="30">
        <f>IF(AND(ISNUMBER($D373),ISNUMBER($E373),$E373&gt;0,$D373&lt;=$E373),$D373/$E373,"")</f>
        <v/>
      </c>
      <c r="P373" s="26" t="n"/>
      <c r="Q373" s="26" t="n"/>
      <c r="R373" s="26" t="n"/>
      <c r="S373" s="26" t="n"/>
      <c r="T373" s="26" t="n"/>
      <c r="V373" s="27">
        <f>IF(ISNUMBER($C373),COUNTIFS($A$14:$A$1213,$A373,$C$14:$C$1213,"&gt;"&amp;$C373)+(COUNTIFS($A$14:$A$1213,$A373,$C$14:$C$1213,"="&amp;$C373)+1)/2,"")</f>
        <v/>
      </c>
      <c r="W373" s="27">
        <f>IF(ISNUMBER($F373),COUNTIFS($A$14:$A$1213,$A373,$F$14:$F$1213,"&gt;"&amp;$F373)+(COUNTIFS($A$14:$A$1213,$A373,$F$14:$F$1213,"="&amp;$F373)+1)/2,"")</f>
        <v/>
      </c>
      <c r="X373" s="27">
        <f>IF(OR(NOT(ISNUMBER($V373)),$AO373=1),"",$V373-(COUNTIFS($A$14:$A$1213,$A373,$C$14:$C$1213,"&gt;=0")+1)/2)</f>
        <v/>
      </c>
      <c r="Y373" s="27">
        <f>IF(OR(NOT(ISNUMBER($W373)),$AO373=1),"",$W373-(COUNTIFS($A$14:$A$1213,$A373,$F$14:$F$1213,"&gt;=0")+1)/2)</f>
        <v/>
      </c>
      <c r="Z373" s="27">
        <f>IF(ISNUMBER($V373),$A373&amp;"|"&amp;$V373,"")</f>
        <v/>
      </c>
      <c r="AA373" s="27">
        <f>IF(ISNUMBER($W373),$A373&amp;"|"&amp;$W373,"")</f>
        <v/>
      </c>
      <c r="AB373" s="27">
        <f>IF(ISNUMBER($F373),$A373&amp;"|"&amp;$F373,"")</f>
        <v/>
      </c>
      <c r="AC373" s="27">
        <f>IF(ISNUMBER($P373),COUNTIFS($A$14:$A$1213,$A373,$P$14:$P$1213,"&gt;"&amp;$P373)+(COUNTIFS($A$14:$A$1213,$A373,$P$14:$P$1213,"="&amp;$P373)+1)/2,"")</f>
        <v/>
      </c>
      <c r="AD373" s="27">
        <f>IF(ISNUMBER($Q373),COUNTIFS($A$14:$A$1213,$A373,$Q$14:$Q$1213,"&gt;"&amp;$Q373)+(COUNTIFS($A$14:$A$1213,$A373,$Q$14:$Q$1213,"="&amp;$Q373)+1)/2,"")</f>
        <v/>
      </c>
      <c r="AE373" s="27">
        <f>IF(ISNUMBER($R373),COUNTIFS($A$14:$A$1213,$A373,$R$14:$R$1213,"&gt;"&amp;$R373)+(COUNTIFS($A$14:$A$1213,$A373,$R$14:$R$1213,"="&amp;$R373)+1)/2,"")</f>
        <v/>
      </c>
      <c r="AF373" s="27">
        <f>IF(ISNUMBER($S373),COUNTIFS($A$14:$A$1213,$A373,$S$14:$S$1213,"&gt;"&amp;$S373)+(COUNTIFS($A$14:$A$1213,$A373,$S$14:$S$1213,"="&amp;$S373)+1)/2,"")</f>
        <v/>
      </c>
      <c r="AG373" s="27">
        <f>IF(ISNUMBER($T373),COUNTIFS($A$14:$A$1213,$A373,$T$14:$T$1213,"&gt;"&amp;$T373)+(COUNTIFS($A$14:$A$1213,$A373,$T$14:$T$1213,"="&amp;$T373)+1)/2,"")</f>
        <v/>
      </c>
      <c r="AH373" s="27">
        <f>IF(COUNT($AC373:$AG373)&lt;2,"",IF(MAX($AC373:$AG373)=MIN($AC373:$AG373),0,1))</f>
        <v/>
      </c>
      <c r="AI373" s="27">
        <f>IF($A373="","",IF(COUNTIF($A$14:$A373,$A373)=1,COUNTIF($AI$13:AI372,"&gt;0")+1,""))</f>
        <v/>
      </c>
      <c r="AO373" s="27">
        <f>IF($A373="","",IF(AND(COUNTIFS($A$14:$A$1213,$A373,$F$14:$F$1213,"&gt;=0")=2,IFERROR(INDEX($M$14:$M$313,MATCH($A373,$H$14:$H$313,0)),"Yes")&lt;&gt;"Yes"),1,0))</f>
        <v/>
      </c>
    </row>
    <row r="374">
      <c r="A374" s="19">
        <f>IF('Enter messages'!A374="","",'Enter messages'!A374)</f>
        <v/>
      </c>
      <c r="B374" s="20">
        <f>IF('Enter messages'!B374="","",'Enter messages'!B374)</f>
        <v/>
      </c>
      <c r="C374" s="21">
        <f>IFERROR(AVERAGE(P374:T374),"")</f>
        <v/>
      </c>
      <c r="D374" s="29" t="n"/>
      <c r="E374" s="29" t="n"/>
      <c r="F374" s="30">
        <f>IF(AND(ISNUMBER($D374),ISNUMBER($E374),$E374&gt;0,$D374&lt;=$E374),$D374/$E374,"")</f>
        <v/>
      </c>
      <c r="P374" s="26" t="n"/>
      <c r="Q374" s="26" t="n"/>
      <c r="R374" s="26" t="n"/>
      <c r="S374" s="26" t="n"/>
      <c r="T374" s="26" t="n"/>
      <c r="V374" s="27">
        <f>IF(ISNUMBER($C374),COUNTIFS($A$14:$A$1213,$A374,$C$14:$C$1213,"&gt;"&amp;$C374)+(COUNTIFS($A$14:$A$1213,$A374,$C$14:$C$1213,"="&amp;$C374)+1)/2,"")</f>
        <v/>
      </c>
      <c r="W374" s="27">
        <f>IF(ISNUMBER($F374),COUNTIFS($A$14:$A$1213,$A374,$F$14:$F$1213,"&gt;"&amp;$F374)+(COUNTIFS($A$14:$A$1213,$A374,$F$14:$F$1213,"="&amp;$F374)+1)/2,"")</f>
        <v/>
      </c>
      <c r="X374" s="27">
        <f>IF(OR(NOT(ISNUMBER($V374)),$AO374=1),"",$V374-(COUNTIFS($A$14:$A$1213,$A374,$C$14:$C$1213,"&gt;=0")+1)/2)</f>
        <v/>
      </c>
      <c r="Y374" s="27">
        <f>IF(OR(NOT(ISNUMBER($W374)),$AO374=1),"",$W374-(COUNTIFS($A$14:$A$1213,$A374,$F$14:$F$1213,"&gt;=0")+1)/2)</f>
        <v/>
      </c>
      <c r="Z374" s="27">
        <f>IF(ISNUMBER($V374),$A374&amp;"|"&amp;$V374,"")</f>
        <v/>
      </c>
      <c r="AA374" s="27">
        <f>IF(ISNUMBER($W374),$A374&amp;"|"&amp;$W374,"")</f>
        <v/>
      </c>
      <c r="AB374" s="27">
        <f>IF(ISNUMBER($F374),$A374&amp;"|"&amp;$F374,"")</f>
        <v/>
      </c>
      <c r="AC374" s="27">
        <f>IF(ISNUMBER($P374),COUNTIFS($A$14:$A$1213,$A374,$P$14:$P$1213,"&gt;"&amp;$P374)+(COUNTIFS($A$14:$A$1213,$A374,$P$14:$P$1213,"="&amp;$P374)+1)/2,"")</f>
        <v/>
      </c>
      <c r="AD374" s="27">
        <f>IF(ISNUMBER($Q374),COUNTIFS($A$14:$A$1213,$A374,$Q$14:$Q$1213,"&gt;"&amp;$Q374)+(COUNTIFS($A$14:$A$1213,$A374,$Q$14:$Q$1213,"="&amp;$Q374)+1)/2,"")</f>
        <v/>
      </c>
      <c r="AE374" s="27">
        <f>IF(ISNUMBER($R374),COUNTIFS($A$14:$A$1213,$A374,$R$14:$R$1213,"&gt;"&amp;$R374)+(COUNTIFS($A$14:$A$1213,$A374,$R$14:$R$1213,"="&amp;$R374)+1)/2,"")</f>
        <v/>
      </c>
      <c r="AF374" s="27">
        <f>IF(ISNUMBER($S374),COUNTIFS($A$14:$A$1213,$A374,$S$14:$S$1213,"&gt;"&amp;$S374)+(COUNTIFS($A$14:$A$1213,$A374,$S$14:$S$1213,"="&amp;$S374)+1)/2,"")</f>
        <v/>
      </c>
      <c r="AG374" s="27">
        <f>IF(ISNUMBER($T374),COUNTIFS($A$14:$A$1213,$A374,$T$14:$T$1213,"&gt;"&amp;$T374)+(COUNTIFS($A$14:$A$1213,$A374,$T$14:$T$1213,"="&amp;$T374)+1)/2,"")</f>
        <v/>
      </c>
      <c r="AH374" s="27">
        <f>IF(COUNT($AC374:$AG374)&lt;2,"",IF(MAX($AC374:$AG374)=MIN($AC374:$AG374),0,1))</f>
        <v/>
      </c>
      <c r="AI374" s="27">
        <f>IF($A374="","",IF(COUNTIF($A$14:$A374,$A374)=1,COUNTIF($AI$13:AI373,"&gt;0")+1,""))</f>
        <v/>
      </c>
      <c r="AO374" s="27">
        <f>IF($A374="","",IF(AND(COUNTIFS($A$14:$A$1213,$A374,$F$14:$F$1213,"&gt;=0")=2,IFERROR(INDEX($M$14:$M$313,MATCH($A374,$H$14:$H$313,0)),"Yes")&lt;&gt;"Yes"),1,0))</f>
        <v/>
      </c>
    </row>
    <row r="375">
      <c r="A375" s="19">
        <f>IF('Enter messages'!A375="","",'Enter messages'!A375)</f>
        <v/>
      </c>
      <c r="B375" s="20">
        <f>IF('Enter messages'!B375="","",'Enter messages'!B375)</f>
        <v/>
      </c>
      <c r="C375" s="21">
        <f>IFERROR(AVERAGE(P375:T375),"")</f>
        <v/>
      </c>
      <c r="D375" s="29" t="n"/>
      <c r="E375" s="29" t="n"/>
      <c r="F375" s="30">
        <f>IF(AND(ISNUMBER($D375),ISNUMBER($E375),$E375&gt;0,$D375&lt;=$E375),$D375/$E375,"")</f>
        <v/>
      </c>
      <c r="P375" s="26" t="n"/>
      <c r="Q375" s="26" t="n"/>
      <c r="R375" s="26" t="n"/>
      <c r="S375" s="26" t="n"/>
      <c r="T375" s="26" t="n"/>
      <c r="V375" s="27">
        <f>IF(ISNUMBER($C375),COUNTIFS($A$14:$A$1213,$A375,$C$14:$C$1213,"&gt;"&amp;$C375)+(COUNTIFS($A$14:$A$1213,$A375,$C$14:$C$1213,"="&amp;$C375)+1)/2,"")</f>
        <v/>
      </c>
      <c r="W375" s="27">
        <f>IF(ISNUMBER($F375),COUNTIFS($A$14:$A$1213,$A375,$F$14:$F$1213,"&gt;"&amp;$F375)+(COUNTIFS($A$14:$A$1213,$A375,$F$14:$F$1213,"="&amp;$F375)+1)/2,"")</f>
        <v/>
      </c>
      <c r="X375" s="27">
        <f>IF(OR(NOT(ISNUMBER($V375)),$AO375=1),"",$V375-(COUNTIFS($A$14:$A$1213,$A375,$C$14:$C$1213,"&gt;=0")+1)/2)</f>
        <v/>
      </c>
      <c r="Y375" s="27">
        <f>IF(OR(NOT(ISNUMBER($W375)),$AO375=1),"",$W375-(COUNTIFS($A$14:$A$1213,$A375,$F$14:$F$1213,"&gt;=0")+1)/2)</f>
        <v/>
      </c>
      <c r="Z375" s="27">
        <f>IF(ISNUMBER($V375),$A375&amp;"|"&amp;$V375,"")</f>
        <v/>
      </c>
      <c r="AA375" s="27">
        <f>IF(ISNUMBER($W375),$A375&amp;"|"&amp;$W375,"")</f>
        <v/>
      </c>
      <c r="AB375" s="27">
        <f>IF(ISNUMBER($F375),$A375&amp;"|"&amp;$F375,"")</f>
        <v/>
      </c>
      <c r="AC375" s="27">
        <f>IF(ISNUMBER($P375),COUNTIFS($A$14:$A$1213,$A375,$P$14:$P$1213,"&gt;"&amp;$P375)+(COUNTIFS($A$14:$A$1213,$A375,$P$14:$P$1213,"="&amp;$P375)+1)/2,"")</f>
        <v/>
      </c>
      <c r="AD375" s="27">
        <f>IF(ISNUMBER($Q375),COUNTIFS($A$14:$A$1213,$A375,$Q$14:$Q$1213,"&gt;"&amp;$Q375)+(COUNTIFS($A$14:$A$1213,$A375,$Q$14:$Q$1213,"="&amp;$Q375)+1)/2,"")</f>
        <v/>
      </c>
      <c r="AE375" s="27">
        <f>IF(ISNUMBER($R375),COUNTIFS($A$14:$A$1213,$A375,$R$14:$R$1213,"&gt;"&amp;$R375)+(COUNTIFS($A$14:$A$1213,$A375,$R$14:$R$1213,"="&amp;$R375)+1)/2,"")</f>
        <v/>
      </c>
      <c r="AF375" s="27">
        <f>IF(ISNUMBER($S375),COUNTIFS($A$14:$A$1213,$A375,$S$14:$S$1213,"&gt;"&amp;$S375)+(COUNTIFS($A$14:$A$1213,$A375,$S$14:$S$1213,"="&amp;$S375)+1)/2,"")</f>
        <v/>
      </c>
      <c r="AG375" s="27">
        <f>IF(ISNUMBER($T375),COUNTIFS($A$14:$A$1213,$A375,$T$14:$T$1213,"&gt;"&amp;$T375)+(COUNTIFS($A$14:$A$1213,$A375,$T$14:$T$1213,"="&amp;$T375)+1)/2,"")</f>
        <v/>
      </c>
      <c r="AH375" s="27">
        <f>IF(COUNT($AC375:$AG375)&lt;2,"",IF(MAX($AC375:$AG375)=MIN($AC375:$AG375),0,1))</f>
        <v/>
      </c>
      <c r="AI375" s="27">
        <f>IF($A375="","",IF(COUNTIF($A$14:$A375,$A375)=1,COUNTIF($AI$13:AI374,"&gt;0")+1,""))</f>
        <v/>
      </c>
      <c r="AO375" s="27">
        <f>IF($A375="","",IF(AND(COUNTIFS($A$14:$A$1213,$A375,$F$14:$F$1213,"&gt;=0")=2,IFERROR(INDEX($M$14:$M$313,MATCH($A375,$H$14:$H$313,0)),"Yes")&lt;&gt;"Yes"),1,0))</f>
        <v/>
      </c>
    </row>
    <row r="376">
      <c r="A376" s="19">
        <f>IF('Enter messages'!A376="","",'Enter messages'!A376)</f>
        <v/>
      </c>
      <c r="B376" s="20">
        <f>IF('Enter messages'!B376="","",'Enter messages'!B376)</f>
        <v/>
      </c>
      <c r="C376" s="21">
        <f>IFERROR(AVERAGE(P376:T376),"")</f>
        <v/>
      </c>
      <c r="D376" s="29" t="n"/>
      <c r="E376" s="29" t="n"/>
      <c r="F376" s="30">
        <f>IF(AND(ISNUMBER($D376),ISNUMBER($E376),$E376&gt;0,$D376&lt;=$E376),$D376/$E376,"")</f>
        <v/>
      </c>
      <c r="P376" s="26" t="n"/>
      <c r="Q376" s="26" t="n"/>
      <c r="R376" s="26" t="n"/>
      <c r="S376" s="26" t="n"/>
      <c r="T376" s="26" t="n"/>
      <c r="V376" s="27">
        <f>IF(ISNUMBER($C376),COUNTIFS($A$14:$A$1213,$A376,$C$14:$C$1213,"&gt;"&amp;$C376)+(COUNTIFS($A$14:$A$1213,$A376,$C$14:$C$1213,"="&amp;$C376)+1)/2,"")</f>
        <v/>
      </c>
      <c r="W376" s="27">
        <f>IF(ISNUMBER($F376),COUNTIFS($A$14:$A$1213,$A376,$F$14:$F$1213,"&gt;"&amp;$F376)+(COUNTIFS($A$14:$A$1213,$A376,$F$14:$F$1213,"="&amp;$F376)+1)/2,"")</f>
        <v/>
      </c>
      <c r="X376" s="27">
        <f>IF(OR(NOT(ISNUMBER($V376)),$AO376=1),"",$V376-(COUNTIFS($A$14:$A$1213,$A376,$C$14:$C$1213,"&gt;=0")+1)/2)</f>
        <v/>
      </c>
      <c r="Y376" s="27">
        <f>IF(OR(NOT(ISNUMBER($W376)),$AO376=1),"",$W376-(COUNTIFS($A$14:$A$1213,$A376,$F$14:$F$1213,"&gt;=0")+1)/2)</f>
        <v/>
      </c>
      <c r="Z376" s="27">
        <f>IF(ISNUMBER($V376),$A376&amp;"|"&amp;$V376,"")</f>
        <v/>
      </c>
      <c r="AA376" s="27">
        <f>IF(ISNUMBER($W376),$A376&amp;"|"&amp;$W376,"")</f>
        <v/>
      </c>
      <c r="AB376" s="27">
        <f>IF(ISNUMBER($F376),$A376&amp;"|"&amp;$F376,"")</f>
        <v/>
      </c>
      <c r="AC376" s="27">
        <f>IF(ISNUMBER($P376),COUNTIFS($A$14:$A$1213,$A376,$P$14:$P$1213,"&gt;"&amp;$P376)+(COUNTIFS($A$14:$A$1213,$A376,$P$14:$P$1213,"="&amp;$P376)+1)/2,"")</f>
        <v/>
      </c>
      <c r="AD376" s="27">
        <f>IF(ISNUMBER($Q376),COUNTIFS($A$14:$A$1213,$A376,$Q$14:$Q$1213,"&gt;"&amp;$Q376)+(COUNTIFS($A$14:$A$1213,$A376,$Q$14:$Q$1213,"="&amp;$Q376)+1)/2,"")</f>
        <v/>
      </c>
      <c r="AE376" s="27">
        <f>IF(ISNUMBER($R376),COUNTIFS($A$14:$A$1213,$A376,$R$14:$R$1213,"&gt;"&amp;$R376)+(COUNTIFS($A$14:$A$1213,$A376,$R$14:$R$1213,"="&amp;$R376)+1)/2,"")</f>
        <v/>
      </c>
      <c r="AF376" s="27">
        <f>IF(ISNUMBER($S376),COUNTIFS($A$14:$A$1213,$A376,$S$14:$S$1213,"&gt;"&amp;$S376)+(COUNTIFS($A$14:$A$1213,$A376,$S$14:$S$1213,"="&amp;$S376)+1)/2,"")</f>
        <v/>
      </c>
      <c r="AG376" s="27">
        <f>IF(ISNUMBER($T376),COUNTIFS($A$14:$A$1213,$A376,$T$14:$T$1213,"&gt;"&amp;$T376)+(COUNTIFS($A$14:$A$1213,$A376,$T$14:$T$1213,"="&amp;$T376)+1)/2,"")</f>
        <v/>
      </c>
      <c r="AH376" s="27">
        <f>IF(COUNT($AC376:$AG376)&lt;2,"",IF(MAX($AC376:$AG376)=MIN($AC376:$AG376),0,1))</f>
        <v/>
      </c>
      <c r="AI376" s="27">
        <f>IF($A376="","",IF(COUNTIF($A$14:$A376,$A376)=1,COUNTIF($AI$13:AI375,"&gt;0")+1,""))</f>
        <v/>
      </c>
      <c r="AO376" s="27">
        <f>IF($A376="","",IF(AND(COUNTIFS($A$14:$A$1213,$A376,$F$14:$F$1213,"&gt;=0")=2,IFERROR(INDEX($M$14:$M$313,MATCH($A376,$H$14:$H$313,0)),"Yes")&lt;&gt;"Yes"),1,0))</f>
        <v/>
      </c>
    </row>
    <row r="377">
      <c r="A377" s="19">
        <f>IF('Enter messages'!A377="","",'Enter messages'!A377)</f>
        <v/>
      </c>
      <c r="B377" s="20">
        <f>IF('Enter messages'!B377="","",'Enter messages'!B377)</f>
        <v/>
      </c>
      <c r="C377" s="21">
        <f>IFERROR(AVERAGE(P377:T377),"")</f>
        <v/>
      </c>
      <c r="D377" s="29" t="n"/>
      <c r="E377" s="29" t="n"/>
      <c r="F377" s="30">
        <f>IF(AND(ISNUMBER($D377),ISNUMBER($E377),$E377&gt;0,$D377&lt;=$E377),$D377/$E377,"")</f>
        <v/>
      </c>
      <c r="P377" s="26" t="n"/>
      <c r="Q377" s="26" t="n"/>
      <c r="R377" s="26" t="n"/>
      <c r="S377" s="26" t="n"/>
      <c r="T377" s="26" t="n"/>
      <c r="V377" s="27">
        <f>IF(ISNUMBER($C377),COUNTIFS($A$14:$A$1213,$A377,$C$14:$C$1213,"&gt;"&amp;$C377)+(COUNTIFS($A$14:$A$1213,$A377,$C$14:$C$1213,"="&amp;$C377)+1)/2,"")</f>
        <v/>
      </c>
      <c r="W377" s="27">
        <f>IF(ISNUMBER($F377),COUNTIFS($A$14:$A$1213,$A377,$F$14:$F$1213,"&gt;"&amp;$F377)+(COUNTIFS($A$14:$A$1213,$A377,$F$14:$F$1213,"="&amp;$F377)+1)/2,"")</f>
        <v/>
      </c>
      <c r="X377" s="27">
        <f>IF(OR(NOT(ISNUMBER($V377)),$AO377=1),"",$V377-(COUNTIFS($A$14:$A$1213,$A377,$C$14:$C$1213,"&gt;=0")+1)/2)</f>
        <v/>
      </c>
      <c r="Y377" s="27">
        <f>IF(OR(NOT(ISNUMBER($W377)),$AO377=1),"",$W377-(COUNTIFS($A$14:$A$1213,$A377,$F$14:$F$1213,"&gt;=0")+1)/2)</f>
        <v/>
      </c>
      <c r="Z377" s="27">
        <f>IF(ISNUMBER($V377),$A377&amp;"|"&amp;$V377,"")</f>
        <v/>
      </c>
      <c r="AA377" s="27">
        <f>IF(ISNUMBER($W377),$A377&amp;"|"&amp;$W377,"")</f>
        <v/>
      </c>
      <c r="AB377" s="27">
        <f>IF(ISNUMBER($F377),$A377&amp;"|"&amp;$F377,"")</f>
        <v/>
      </c>
      <c r="AC377" s="27">
        <f>IF(ISNUMBER($P377),COUNTIFS($A$14:$A$1213,$A377,$P$14:$P$1213,"&gt;"&amp;$P377)+(COUNTIFS($A$14:$A$1213,$A377,$P$14:$P$1213,"="&amp;$P377)+1)/2,"")</f>
        <v/>
      </c>
      <c r="AD377" s="27">
        <f>IF(ISNUMBER($Q377),COUNTIFS($A$14:$A$1213,$A377,$Q$14:$Q$1213,"&gt;"&amp;$Q377)+(COUNTIFS($A$14:$A$1213,$A377,$Q$14:$Q$1213,"="&amp;$Q377)+1)/2,"")</f>
        <v/>
      </c>
      <c r="AE377" s="27">
        <f>IF(ISNUMBER($R377),COUNTIFS($A$14:$A$1213,$A377,$R$14:$R$1213,"&gt;"&amp;$R377)+(COUNTIFS($A$14:$A$1213,$A377,$R$14:$R$1213,"="&amp;$R377)+1)/2,"")</f>
        <v/>
      </c>
      <c r="AF377" s="27">
        <f>IF(ISNUMBER($S377),COUNTIFS($A$14:$A$1213,$A377,$S$14:$S$1213,"&gt;"&amp;$S377)+(COUNTIFS($A$14:$A$1213,$A377,$S$14:$S$1213,"="&amp;$S377)+1)/2,"")</f>
        <v/>
      </c>
      <c r="AG377" s="27">
        <f>IF(ISNUMBER($T377),COUNTIFS($A$14:$A$1213,$A377,$T$14:$T$1213,"&gt;"&amp;$T377)+(COUNTIFS($A$14:$A$1213,$A377,$T$14:$T$1213,"="&amp;$T377)+1)/2,"")</f>
        <v/>
      </c>
      <c r="AH377" s="27">
        <f>IF(COUNT($AC377:$AG377)&lt;2,"",IF(MAX($AC377:$AG377)=MIN($AC377:$AG377),0,1))</f>
        <v/>
      </c>
      <c r="AI377" s="27">
        <f>IF($A377="","",IF(COUNTIF($A$14:$A377,$A377)=1,COUNTIF($AI$13:AI376,"&gt;0")+1,""))</f>
        <v/>
      </c>
      <c r="AO377" s="27">
        <f>IF($A377="","",IF(AND(COUNTIFS($A$14:$A$1213,$A377,$F$14:$F$1213,"&gt;=0")=2,IFERROR(INDEX($M$14:$M$313,MATCH($A377,$H$14:$H$313,0)),"Yes")&lt;&gt;"Yes"),1,0))</f>
        <v/>
      </c>
    </row>
    <row r="378">
      <c r="A378" s="19">
        <f>IF('Enter messages'!A378="","",'Enter messages'!A378)</f>
        <v/>
      </c>
      <c r="B378" s="20">
        <f>IF('Enter messages'!B378="","",'Enter messages'!B378)</f>
        <v/>
      </c>
      <c r="C378" s="21">
        <f>IFERROR(AVERAGE(P378:T378),"")</f>
        <v/>
      </c>
      <c r="D378" s="29" t="n"/>
      <c r="E378" s="29" t="n"/>
      <c r="F378" s="30">
        <f>IF(AND(ISNUMBER($D378),ISNUMBER($E378),$E378&gt;0,$D378&lt;=$E378),$D378/$E378,"")</f>
        <v/>
      </c>
      <c r="P378" s="26" t="n"/>
      <c r="Q378" s="26" t="n"/>
      <c r="R378" s="26" t="n"/>
      <c r="S378" s="26" t="n"/>
      <c r="T378" s="26" t="n"/>
      <c r="V378" s="27">
        <f>IF(ISNUMBER($C378),COUNTIFS($A$14:$A$1213,$A378,$C$14:$C$1213,"&gt;"&amp;$C378)+(COUNTIFS($A$14:$A$1213,$A378,$C$14:$C$1213,"="&amp;$C378)+1)/2,"")</f>
        <v/>
      </c>
      <c r="W378" s="27">
        <f>IF(ISNUMBER($F378),COUNTIFS($A$14:$A$1213,$A378,$F$14:$F$1213,"&gt;"&amp;$F378)+(COUNTIFS($A$14:$A$1213,$A378,$F$14:$F$1213,"="&amp;$F378)+1)/2,"")</f>
        <v/>
      </c>
      <c r="X378" s="27">
        <f>IF(OR(NOT(ISNUMBER($V378)),$AO378=1),"",$V378-(COUNTIFS($A$14:$A$1213,$A378,$C$14:$C$1213,"&gt;=0")+1)/2)</f>
        <v/>
      </c>
      <c r="Y378" s="27">
        <f>IF(OR(NOT(ISNUMBER($W378)),$AO378=1),"",$W378-(COUNTIFS($A$14:$A$1213,$A378,$F$14:$F$1213,"&gt;=0")+1)/2)</f>
        <v/>
      </c>
      <c r="Z378" s="27">
        <f>IF(ISNUMBER($V378),$A378&amp;"|"&amp;$V378,"")</f>
        <v/>
      </c>
      <c r="AA378" s="27">
        <f>IF(ISNUMBER($W378),$A378&amp;"|"&amp;$W378,"")</f>
        <v/>
      </c>
      <c r="AB378" s="27">
        <f>IF(ISNUMBER($F378),$A378&amp;"|"&amp;$F378,"")</f>
        <v/>
      </c>
      <c r="AC378" s="27">
        <f>IF(ISNUMBER($P378),COUNTIFS($A$14:$A$1213,$A378,$P$14:$P$1213,"&gt;"&amp;$P378)+(COUNTIFS($A$14:$A$1213,$A378,$P$14:$P$1213,"="&amp;$P378)+1)/2,"")</f>
        <v/>
      </c>
      <c r="AD378" s="27">
        <f>IF(ISNUMBER($Q378),COUNTIFS($A$14:$A$1213,$A378,$Q$14:$Q$1213,"&gt;"&amp;$Q378)+(COUNTIFS($A$14:$A$1213,$A378,$Q$14:$Q$1213,"="&amp;$Q378)+1)/2,"")</f>
        <v/>
      </c>
      <c r="AE378" s="27">
        <f>IF(ISNUMBER($R378),COUNTIFS($A$14:$A$1213,$A378,$R$14:$R$1213,"&gt;"&amp;$R378)+(COUNTIFS($A$14:$A$1213,$A378,$R$14:$R$1213,"="&amp;$R378)+1)/2,"")</f>
        <v/>
      </c>
      <c r="AF378" s="27">
        <f>IF(ISNUMBER($S378),COUNTIFS($A$14:$A$1213,$A378,$S$14:$S$1213,"&gt;"&amp;$S378)+(COUNTIFS($A$14:$A$1213,$A378,$S$14:$S$1213,"="&amp;$S378)+1)/2,"")</f>
        <v/>
      </c>
      <c r="AG378" s="27">
        <f>IF(ISNUMBER($T378),COUNTIFS($A$14:$A$1213,$A378,$T$14:$T$1213,"&gt;"&amp;$T378)+(COUNTIFS($A$14:$A$1213,$A378,$T$14:$T$1213,"="&amp;$T378)+1)/2,"")</f>
        <v/>
      </c>
      <c r="AH378" s="27">
        <f>IF(COUNT($AC378:$AG378)&lt;2,"",IF(MAX($AC378:$AG378)=MIN($AC378:$AG378),0,1))</f>
        <v/>
      </c>
      <c r="AI378" s="27">
        <f>IF($A378="","",IF(COUNTIF($A$14:$A378,$A378)=1,COUNTIF($AI$13:AI377,"&gt;0")+1,""))</f>
        <v/>
      </c>
      <c r="AO378" s="27">
        <f>IF($A378="","",IF(AND(COUNTIFS($A$14:$A$1213,$A378,$F$14:$F$1213,"&gt;=0")=2,IFERROR(INDEX($M$14:$M$313,MATCH($A378,$H$14:$H$313,0)),"Yes")&lt;&gt;"Yes"),1,0))</f>
        <v/>
      </c>
    </row>
    <row r="379">
      <c r="A379" s="19">
        <f>IF('Enter messages'!A379="","",'Enter messages'!A379)</f>
        <v/>
      </c>
      <c r="B379" s="20">
        <f>IF('Enter messages'!B379="","",'Enter messages'!B379)</f>
        <v/>
      </c>
      <c r="C379" s="21">
        <f>IFERROR(AVERAGE(P379:T379),"")</f>
        <v/>
      </c>
      <c r="D379" s="29" t="n"/>
      <c r="E379" s="29" t="n"/>
      <c r="F379" s="30">
        <f>IF(AND(ISNUMBER($D379),ISNUMBER($E379),$E379&gt;0,$D379&lt;=$E379),$D379/$E379,"")</f>
        <v/>
      </c>
      <c r="P379" s="26" t="n"/>
      <c r="Q379" s="26" t="n"/>
      <c r="R379" s="26" t="n"/>
      <c r="S379" s="26" t="n"/>
      <c r="T379" s="26" t="n"/>
      <c r="V379" s="27">
        <f>IF(ISNUMBER($C379),COUNTIFS($A$14:$A$1213,$A379,$C$14:$C$1213,"&gt;"&amp;$C379)+(COUNTIFS($A$14:$A$1213,$A379,$C$14:$C$1213,"="&amp;$C379)+1)/2,"")</f>
        <v/>
      </c>
      <c r="W379" s="27">
        <f>IF(ISNUMBER($F379),COUNTIFS($A$14:$A$1213,$A379,$F$14:$F$1213,"&gt;"&amp;$F379)+(COUNTIFS($A$14:$A$1213,$A379,$F$14:$F$1213,"="&amp;$F379)+1)/2,"")</f>
        <v/>
      </c>
      <c r="X379" s="27">
        <f>IF(OR(NOT(ISNUMBER($V379)),$AO379=1),"",$V379-(COUNTIFS($A$14:$A$1213,$A379,$C$14:$C$1213,"&gt;=0")+1)/2)</f>
        <v/>
      </c>
      <c r="Y379" s="27">
        <f>IF(OR(NOT(ISNUMBER($W379)),$AO379=1),"",$W379-(COUNTIFS($A$14:$A$1213,$A379,$F$14:$F$1213,"&gt;=0")+1)/2)</f>
        <v/>
      </c>
      <c r="Z379" s="27">
        <f>IF(ISNUMBER($V379),$A379&amp;"|"&amp;$V379,"")</f>
        <v/>
      </c>
      <c r="AA379" s="27">
        <f>IF(ISNUMBER($W379),$A379&amp;"|"&amp;$W379,"")</f>
        <v/>
      </c>
      <c r="AB379" s="27">
        <f>IF(ISNUMBER($F379),$A379&amp;"|"&amp;$F379,"")</f>
        <v/>
      </c>
      <c r="AC379" s="27">
        <f>IF(ISNUMBER($P379),COUNTIFS($A$14:$A$1213,$A379,$P$14:$P$1213,"&gt;"&amp;$P379)+(COUNTIFS($A$14:$A$1213,$A379,$P$14:$P$1213,"="&amp;$P379)+1)/2,"")</f>
        <v/>
      </c>
      <c r="AD379" s="27">
        <f>IF(ISNUMBER($Q379),COUNTIFS($A$14:$A$1213,$A379,$Q$14:$Q$1213,"&gt;"&amp;$Q379)+(COUNTIFS($A$14:$A$1213,$A379,$Q$14:$Q$1213,"="&amp;$Q379)+1)/2,"")</f>
        <v/>
      </c>
      <c r="AE379" s="27">
        <f>IF(ISNUMBER($R379),COUNTIFS($A$14:$A$1213,$A379,$R$14:$R$1213,"&gt;"&amp;$R379)+(COUNTIFS($A$14:$A$1213,$A379,$R$14:$R$1213,"="&amp;$R379)+1)/2,"")</f>
        <v/>
      </c>
      <c r="AF379" s="27">
        <f>IF(ISNUMBER($S379),COUNTIFS($A$14:$A$1213,$A379,$S$14:$S$1213,"&gt;"&amp;$S379)+(COUNTIFS($A$14:$A$1213,$A379,$S$14:$S$1213,"="&amp;$S379)+1)/2,"")</f>
        <v/>
      </c>
      <c r="AG379" s="27">
        <f>IF(ISNUMBER($T379),COUNTIFS($A$14:$A$1213,$A379,$T$14:$T$1213,"&gt;"&amp;$T379)+(COUNTIFS($A$14:$A$1213,$A379,$T$14:$T$1213,"="&amp;$T379)+1)/2,"")</f>
        <v/>
      </c>
      <c r="AH379" s="27">
        <f>IF(COUNT($AC379:$AG379)&lt;2,"",IF(MAX($AC379:$AG379)=MIN($AC379:$AG379),0,1))</f>
        <v/>
      </c>
      <c r="AI379" s="27">
        <f>IF($A379="","",IF(COUNTIF($A$14:$A379,$A379)=1,COUNTIF($AI$13:AI378,"&gt;0")+1,""))</f>
        <v/>
      </c>
      <c r="AO379" s="27">
        <f>IF($A379="","",IF(AND(COUNTIFS($A$14:$A$1213,$A379,$F$14:$F$1213,"&gt;=0")=2,IFERROR(INDEX($M$14:$M$313,MATCH($A379,$H$14:$H$313,0)),"Yes")&lt;&gt;"Yes"),1,0))</f>
        <v/>
      </c>
    </row>
    <row r="380">
      <c r="A380" s="19">
        <f>IF('Enter messages'!A380="","",'Enter messages'!A380)</f>
        <v/>
      </c>
      <c r="B380" s="20">
        <f>IF('Enter messages'!B380="","",'Enter messages'!B380)</f>
        <v/>
      </c>
      <c r="C380" s="21">
        <f>IFERROR(AVERAGE(P380:T380),"")</f>
        <v/>
      </c>
      <c r="D380" s="29" t="n"/>
      <c r="E380" s="29" t="n"/>
      <c r="F380" s="30">
        <f>IF(AND(ISNUMBER($D380),ISNUMBER($E380),$E380&gt;0,$D380&lt;=$E380),$D380/$E380,"")</f>
        <v/>
      </c>
      <c r="P380" s="26" t="n"/>
      <c r="Q380" s="26" t="n"/>
      <c r="R380" s="26" t="n"/>
      <c r="S380" s="26" t="n"/>
      <c r="T380" s="26" t="n"/>
      <c r="V380" s="27">
        <f>IF(ISNUMBER($C380),COUNTIFS($A$14:$A$1213,$A380,$C$14:$C$1213,"&gt;"&amp;$C380)+(COUNTIFS($A$14:$A$1213,$A380,$C$14:$C$1213,"="&amp;$C380)+1)/2,"")</f>
        <v/>
      </c>
      <c r="W380" s="27">
        <f>IF(ISNUMBER($F380),COUNTIFS($A$14:$A$1213,$A380,$F$14:$F$1213,"&gt;"&amp;$F380)+(COUNTIFS($A$14:$A$1213,$A380,$F$14:$F$1213,"="&amp;$F380)+1)/2,"")</f>
        <v/>
      </c>
      <c r="X380" s="27">
        <f>IF(OR(NOT(ISNUMBER($V380)),$AO380=1),"",$V380-(COUNTIFS($A$14:$A$1213,$A380,$C$14:$C$1213,"&gt;=0")+1)/2)</f>
        <v/>
      </c>
      <c r="Y380" s="27">
        <f>IF(OR(NOT(ISNUMBER($W380)),$AO380=1),"",$W380-(COUNTIFS($A$14:$A$1213,$A380,$F$14:$F$1213,"&gt;=0")+1)/2)</f>
        <v/>
      </c>
      <c r="Z380" s="27">
        <f>IF(ISNUMBER($V380),$A380&amp;"|"&amp;$V380,"")</f>
        <v/>
      </c>
      <c r="AA380" s="27">
        <f>IF(ISNUMBER($W380),$A380&amp;"|"&amp;$W380,"")</f>
        <v/>
      </c>
      <c r="AB380" s="27">
        <f>IF(ISNUMBER($F380),$A380&amp;"|"&amp;$F380,"")</f>
        <v/>
      </c>
      <c r="AC380" s="27">
        <f>IF(ISNUMBER($P380),COUNTIFS($A$14:$A$1213,$A380,$P$14:$P$1213,"&gt;"&amp;$P380)+(COUNTIFS($A$14:$A$1213,$A380,$P$14:$P$1213,"="&amp;$P380)+1)/2,"")</f>
        <v/>
      </c>
      <c r="AD380" s="27">
        <f>IF(ISNUMBER($Q380),COUNTIFS($A$14:$A$1213,$A380,$Q$14:$Q$1213,"&gt;"&amp;$Q380)+(COUNTIFS($A$14:$A$1213,$A380,$Q$14:$Q$1213,"="&amp;$Q380)+1)/2,"")</f>
        <v/>
      </c>
      <c r="AE380" s="27">
        <f>IF(ISNUMBER($R380),COUNTIFS($A$14:$A$1213,$A380,$R$14:$R$1213,"&gt;"&amp;$R380)+(COUNTIFS($A$14:$A$1213,$A380,$R$14:$R$1213,"="&amp;$R380)+1)/2,"")</f>
        <v/>
      </c>
      <c r="AF380" s="27">
        <f>IF(ISNUMBER($S380),COUNTIFS($A$14:$A$1213,$A380,$S$14:$S$1213,"&gt;"&amp;$S380)+(COUNTIFS($A$14:$A$1213,$A380,$S$14:$S$1213,"="&amp;$S380)+1)/2,"")</f>
        <v/>
      </c>
      <c r="AG380" s="27">
        <f>IF(ISNUMBER($T380),COUNTIFS($A$14:$A$1213,$A380,$T$14:$T$1213,"&gt;"&amp;$T380)+(COUNTIFS($A$14:$A$1213,$A380,$T$14:$T$1213,"="&amp;$T380)+1)/2,"")</f>
        <v/>
      </c>
      <c r="AH380" s="27">
        <f>IF(COUNT($AC380:$AG380)&lt;2,"",IF(MAX($AC380:$AG380)=MIN($AC380:$AG380),0,1))</f>
        <v/>
      </c>
      <c r="AI380" s="27">
        <f>IF($A380="","",IF(COUNTIF($A$14:$A380,$A380)=1,COUNTIF($AI$13:AI379,"&gt;0")+1,""))</f>
        <v/>
      </c>
      <c r="AO380" s="27">
        <f>IF($A380="","",IF(AND(COUNTIFS($A$14:$A$1213,$A380,$F$14:$F$1213,"&gt;=0")=2,IFERROR(INDEX($M$14:$M$313,MATCH($A380,$H$14:$H$313,0)),"Yes")&lt;&gt;"Yes"),1,0))</f>
        <v/>
      </c>
    </row>
    <row r="381">
      <c r="A381" s="19">
        <f>IF('Enter messages'!A381="","",'Enter messages'!A381)</f>
        <v/>
      </c>
      <c r="B381" s="20">
        <f>IF('Enter messages'!B381="","",'Enter messages'!B381)</f>
        <v/>
      </c>
      <c r="C381" s="21">
        <f>IFERROR(AVERAGE(P381:T381),"")</f>
        <v/>
      </c>
      <c r="D381" s="29" t="n"/>
      <c r="E381" s="29" t="n"/>
      <c r="F381" s="30">
        <f>IF(AND(ISNUMBER($D381),ISNUMBER($E381),$E381&gt;0,$D381&lt;=$E381),$D381/$E381,"")</f>
        <v/>
      </c>
      <c r="P381" s="26" t="n"/>
      <c r="Q381" s="26" t="n"/>
      <c r="R381" s="26" t="n"/>
      <c r="S381" s="26" t="n"/>
      <c r="T381" s="26" t="n"/>
      <c r="V381" s="27">
        <f>IF(ISNUMBER($C381),COUNTIFS($A$14:$A$1213,$A381,$C$14:$C$1213,"&gt;"&amp;$C381)+(COUNTIFS($A$14:$A$1213,$A381,$C$14:$C$1213,"="&amp;$C381)+1)/2,"")</f>
        <v/>
      </c>
      <c r="W381" s="27">
        <f>IF(ISNUMBER($F381),COUNTIFS($A$14:$A$1213,$A381,$F$14:$F$1213,"&gt;"&amp;$F381)+(COUNTIFS($A$14:$A$1213,$A381,$F$14:$F$1213,"="&amp;$F381)+1)/2,"")</f>
        <v/>
      </c>
      <c r="X381" s="27">
        <f>IF(OR(NOT(ISNUMBER($V381)),$AO381=1),"",$V381-(COUNTIFS($A$14:$A$1213,$A381,$C$14:$C$1213,"&gt;=0")+1)/2)</f>
        <v/>
      </c>
      <c r="Y381" s="27">
        <f>IF(OR(NOT(ISNUMBER($W381)),$AO381=1),"",$W381-(COUNTIFS($A$14:$A$1213,$A381,$F$14:$F$1213,"&gt;=0")+1)/2)</f>
        <v/>
      </c>
      <c r="Z381" s="27">
        <f>IF(ISNUMBER($V381),$A381&amp;"|"&amp;$V381,"")</f>
        <v/>
      </c>
      <c r="AA381" s="27">
        <f>IF(ISNUMBER($W381),$A381&amp;"|"&amp;$W381,"")</f>
        <v/>
      </c>
      <c r="AB381" s="27">
        <f>IF(ISNUMBER($F381),$A381&amp;"|"&amp;$F381,"")</f>
        <v/>
      </c>
      <c r="AC381" s="27">
        <f>IF(ISNUMBER($P381),COUNTIFS($A$14:$A$1213,$A381,$P$14:$P$1213,"&gt;"&amp;$P381)+(COUNTIFS($A$14:$A$1213,$A381,$P$14:$P$1213,"="&amp;$P381)+1)/2,"")</f>
        <v/>
      </c>
      <c r="AD381" s="27">
        <f>IF(ISNUMBER($Q381),COUNTIFS($A$14:$A$1213,$A381,$Q$14:$Q$1213,"&gt;"&amp;$Q381)+(COUNTIFS($A$14:$A$1213,$A381,$Q$14:$Q$1213,"="&amp;$Q381)+1)/2,"")</f>
        <v/>
      </c>
      <c r="AE381" s="27">
        <f>IF(ISNUMBER($R381),COUNTIFS($A$14:$A$1213,$A381,$R$14:$R$1213,"&gt;"&amp;$R381)+(COUNTIFS($A$14:$A$1213,$A381,$R$14:$R$1213,"="&amp;$R381)+1)/2,"")</f>
        <v/>
      </c>
      <c r="AF381" s="27">
        <f>IF(ISNUMBER($S381),COUNTIFS($A$14:$A$1213,$A381,$S$14:$S$1213,"&gt;"&amp;$S381)+(COUNTIFS($A$14:$A$1213,$A381,$S$14:$S$1213,"="&amp;$S381)+1)/2,"")</f>
        <v/>
      </c>
      <c r="AG381" s="27">
        <f>IF(ISNUMBER($T381),COUNTIFS($A$14:$A$1213,$A381,$T$14:$T$1213,"&gt;"&amp;$T381)+(COUNTIFS($A$14:$A$1213,$A381,$T$14:$T$1213,"="&amp;$T381)+1)/2,"")</f>
        <v/>
      </c>
      <c r="AH381" s="27">
        <f>IF(COUNT($AC381:$AG381)&lt;2,"",IF(MAX($AC381:$AG381)=MIN($AC381:$AG381),0,1))</f>
        <v/>
      </c>
      <c r="AI381" s="27">
        <f>IF($A381="","",IF(COUNTIF($A$14:$A381,$A381)=1,COUNTIF($AI$13:AI380,"&gt;0")+1,""))</f>
        <v/>
      </c>
      <c r="AO381" s="27">
        <f>IF($A381="","",IF(AND(COUNTIFS($A$14:$A$1213,$A381,$F$14:$F$1213,"&gt;=0")=2,IFERROR(INDEX($M$14:$M$313,MATCH($A381,$H$14:$H$313,0)),"Yes")&lt;&gt;"Yes"),1,0))</f>
        <v/>
      </c>
    </row>
    <row r="382">
      <c r="A382" s="19">
        <f>IF('Enter messages'!A382="","",'Enter messages'!A382)</f>
        <v/>
      </c>
      <c r="B382" s="20">
        <f>IF('Enter messages'!B382="","",'Enter messages'!B382)</f>
        <v/>
      </c>
      <c r="C382" s="21">
        <f>IFERROR(AVERAGE(P382:T382),"")</f>
        <v/>
      </c>
      <c r="D382" s="29" t="n"/>
      <c r="E382" s="29" t="n"/>
      <c r="F382" s="30">
        <f>IF(AND(ISNUMBER($D382),ISNUMBER($E382),$E382&gt;0,$D382&lt;=$E382),$D382/$E382,"")</f>
        <v/>
      </c>
      <c r="P382" s="26" t="n"/>
      <c r="Q382" s="26" t="n"/>
      <c r="R382" s="26" t="n"/>
      <c r="S382" s="26" t="n"/>
      <c r="T382" s="26" t="n"/>
      <c r="V382" s="27">
        <f>IF(ISNUMBER($C382),COUNTIFS($A$14:$A$1213,$A382,$C$14:$C$1213,"&gt;"&amp;$C382)+(COUNTIFS($A$14:$A$1213,$A382,$C$14:$C$1213,"="&amp;$C382)+1)/2,"")</f>
        <v/>
      </c>
      <c r="W382" s="27">
        <f>IF(ISNUMBER($F382),COUNTIFS($A$14:$A$1213,$A382,$F$14:$F$1213,"&gt;"&amp;$F382)+(COUNTIFS($A$14:$A$1213,$A382,$F$14:$F$1213,"="&amp;$F382)+1)/2,"")</f>
        <v/>
      </c>
      <c r="X382" s="27">
        <f>IF(OR(NOT(ISNUMBER($V382)),$AO382=1),"",$V382-(COUNTIFS($A$14:$A$1213,$A382,$C$14:$C$1213,"&gt;=0")+1)/2)</f>
        <v/>
      </c>
      <c r="Y382" s="27">
        <f>IF(OR(NOT(ISNUMBER($W382)),$AO382=1),"",$W382-(COUNTIFS($A$14:$A$1213,$A382,$F$14:$F$1213,"&gt;=0")+1)/2)</f>
        <v/>
      </c>
      <c r="Z382" s="27">
        <f>IF(ISNUMBER($V382),$A382&amp;"|"&amp;$V382,"")</f>
        <v/>
      </c>
      <c r="AA382" s="27">
        <f>IF(ISNUMBER($W382),$A382&amp;"|"&amp;$W382,"")</f>
        <v/>
      </c>
      <c r="AB382" s="27">
        <f>IF(ISNUMBER($F382),$A382&amp;"|"&amp;$F382,"")</f>
        <v/>
      </c>
      <c r="AC382" s="27">
        <f>IF(ISNUMBER($P382),COUNTIFS($A$14:$A$1213,$A382,$P$14:$P$1213,"&gt;"&amp;$P382)+(COUNTIFS($A$14:$A$1213,$A382,$P$14:$P$1213,"="&amp;$P382)+1)/2,"")</f>
        <v/>
      </c>
      <c r="AD382" s="27">
        <f>IF(ISNUMBER($Q382),COUNTIFS($A$14:$A$1213,$A382,$Q$14:$Q$1213,"&gt;"&amp;$Q382)+(COUNTIFS($A$14:$A$1213,$A382,$Q$14:$Q$1213,"="&amp;$Q382)+1)/2,"")</f>
        <v/>
      </c>
      <c r="AE382" s="27">
        <f>IF(ISNUMBER($R382),COUNTIFS($A$14:$A$1213,$A382,$R$14:$R$1213,"&gt;"&amp;$R382)+(COUNTIFS($A$14:$A$1213,$A382,$R$14:$R$1213,"="&amp;$R382)+1)/2,"")</f>
        <v/>
      </c>
      <c r="AF382" s="27">
        <f>IF(ISNUMBER($S382),COUNTIFS($A$14:$A$1213,$A382,$S$14:$S$1213,"&gt;"&amp;$S382)+(COUNTIFS($A$14:$A$1213,$A382,$S$14:$S$1213,"="&amp;$S382)+1)/2,"")</f>
        <v/>
      </c>
      <c r="AG382" s="27">
        <f>IF(ISNUMBER($T382),COUNTIFS($A$14:$A$1213,$A382,$T$14:$T$1213,"&gt;"&amp;$T382)+(COUNTIFS($A$14:$A$1213,$A382,$T$14:$T$1213,"="&amp;$T382)+1)/2,"")</f>
        <v/>
      </c>
      <c r="AH382" s="27">
        <f>IF(COUNT($AC382:$AG382)&lt;2,"",IF(MAX($AC382:$AG382)=MIN($AC382:$AG382),0,1))</f>
        <v/>
      </c>
      <c r="AI382" s="27">
        <f>IF($A382="","",IF(COUNTIF($A$14:$A382,$A382)=1,COUNTIF($AI$13:AI381,"&gt;0")+1,""))</f>
        <v/>
      </c>
      <c r="AO382" s="27">
        <f>IF($A382="","",IF(AND(COUNTIFS($A$14:$A$1213,$A382,$F$14:$F$1213,"&gt;=0")=2,IFERROR(INDEX($M$14:$M$313,MATCH($A382,$H$14:$H$313,0)),"Yes")&lt;&gt;"Yes"),1,0))</f>
        <v/>
      </c>
    </row>
    <row r="383">
      <c r="A383" s="19">
        <f>IF('Enter messages'!A383="","",'Enter messages'!A383)</f>
        <v/>
      </c>
      <c r="B383" s="20">
        <f>IF('Enter messages'!B383="","",'Enter messages'!B383)</f>
        <v/>
      </c>
      <c r="C383" s="21">
        <f>IFERROR(AVERAGE(P383:T383),"")</f>
        <v/>
      </c>
      <c r="D383" s="29" t="n"/>
      <c r="E383" s="29" t="n"/>
      <c r="F383" s="30">
        <f>IF(AND(ISNUMBER($D383),ISNUMBER($E383),$E383&gt;0,$D383&lt;=$E383),$D383/$E383,"")</f>
        <v/>
      </c>
      <c r="P383" s="26" t="n"/>
      <c r="Q383" s="26" t="n"/>
      <c r="R383" s="26" t="n"/>
      <c r="S383" s="26" t="n"/>
      <c r="T383" s="26" t="n"/>
      <c r="V383" s="27">
        <f>IF(ISNUMBER($C383),COUNTIFS($A$14:$A$1213,$A383,$C$14:$C$1213,"&gt;"&amp;$C383)+(COUNTIFS($A$14:$A$1213,$A383,$C$14:$C$1213,"="&amp;$C383)+1)/2,"")</f>
        <v/>
      </c>
      <c r="W383" s="27">
        <f>IF(ISNUMBER($F383),COUNTIFS($A$14:$A$1213,$A383,$F$14:$F$1213,"&gt;"&amp;$F383)+(COUNTIFS($A$14:$A$1213,$A383,$F$14:$F$1213,"="&amp;$F383)+1)/2,"")</f>
        <v/>
      </c>
      <c r="X383" s="27">
        <f>IF(OR(NOT(ISNUMBER($V383)),$AO383=1),"",$V383-(COUNTIFS($A$14:$A$1213,$A383,$C$14:$C$1213,"&gt;=0")+1)/2)</f>
        <v/>
      </c>
      <c r="Y383" s="27">
        <f>IF(OR(NOT(ISNUMBER($W383)),$AO383=1),"",$W383-(COUNTIFS($A$14:$A$1213,$A383,$F$14:$F$1213,"&gt;=0")+1)/2)</f>
        <v/>
      </c>
      <c r="Z383" s="27">
        <f>IF(ISNUMBER($V383),$A383&amp;"|"&amp;$V383,"")</f>
        <v/>
      </c>
      <c r="AA383" s="27">
        <f>IF(ISNUMBER($W383),$A383&amp;"|"&amp;$W383,"")</f>
        <v/>
      </c>
      <c r="AB383" s="27">
        <f>IF(ISNUMBER($F383),$A383&amp;"|"&amp;$F383,"")</f>
        <v/>
      </c>
      <c r="AC383" s="27">
        <f>IF(ISNUMBER($P383),COUNTIFS($A$14:$A$1213,$A383,$P$14:$P$1213,"&gt;"&amp;$P383)+(COUNTIFS($A$14:$A$1213,$A383,$P$14:$P$1213,"="&amp;$P383)+1)/2,"")</f>
        <v/>
      </c>
      <c r="AD383" s="27">
        <f>IF(ISNUMBER($Q383),COUNTIFS($A$14:$A$1213,$A383,$Q$14:$Q$1213,"&gt;"&amp;$Q383)+(COUNTIFS($A$14:$A$1213,$A383,$Q$14:$Q$1213,"="&amp;$Q383)+1)/2,"")</f>
        <v/>
      </c>
      <c r="AE383" s="27">
        <f>IF(ISNUMBER($R383),COUNTIFS($A$14:$A$1213,$A383,$R$14:$R$1213,"&gt;"&amp;$R383)+(COUNTIFS($A$14:$A$1213,$A383,$R$14:$R$1213,"="&amp;$R383)+1)/2,"")</f>
        <v/>
      </c>
      <c r="AF383" s="27">
        <f>IF(ISNUMBER($S383),COUNTIFS($A$14:$A$1213,$A383,$S$14:$S$1213,"&gt;"&amp;$S383)+(COUNTIFS($A$14:$A$1213,$A383,$S$14:$S$1213,"="&amp;$S383)+1)/2,"")</f>
        <v/>
      </c>
      <c r="AG383" s="27">
        <f>IF(ISNUMBER($T383),COUNTIFS($A$14:$A$1213,$A383,$T$14:$T$1213,"&gt;"&amp;$T383)+(COUNTIFS($A$14:$A$1213,$A383,$T$14:$T$1213,"="&amp;$T383)+1)/2,"")</f>
        <v/>
      </c>
      <c r="AH383" s="27">
        <f>IF(COUNT($AC383:$AG383)&lt;2,"",IF(MAX($AC383:$AG383)=MIN($AC383:$AG383),0,1))</f>
        <v/>
      </c>
      <c r="AI383" s="27">
        <f>IF($A383="","",IF(COUNTIF($A$14:$A383,$A383)=1,COUNTIF($AI$13:AI382,"&gt;0")+1,""))</f>
        <v/>
      </c>
      <c r="AO383" s="27">
        <f>IF($A383="","",IF(AND(COUNTIFS($A$14:$A$1213,$A383,$F$14:$F$1213,"&gt;=0")=2,IFERROR(INDEX($M$14:$M$313,MATCH($A383,$H$14:$H$313,0)),"Yes")&lt;&gt;"Yes"),1,0))</f>
        <v/>
      </c>
    </row>
    <row r="384">
      <c r="A384" s="19">
        <f>IF('Enter messages'!A384="","",'Enter messages'!A384)</f>
        <v/>
      </c>
      <c r="B384" s="20">
        <f>IF('Enter messages'!B384="","",'Enter messages'!B384)</f>
        <v/>
      </c>
      <c r="C384" s="21">
        <f>IFERROR(AVERAGE(P384:T384),"")</f>
        <v/>
      </c>
      <c r="D384" s="29" t="n"/>
      <c r="E384" s="29" t="n"/>
      <c r="F384" s="30">
        <f>IF(AND(ISNUMBER($D384),ISNUMBER($E384),$E384&gt;0,$D384&lt;=$E384),$D384/$E384,"")</f>
        <v/>
      </c>
      <c r="P384" s="26" t="n"/>
      <c r="Q384" s="26" t="n"/>
      <c r="R384" s="26" t="n"/>
      <c r="S384" s="26" t="n"/>
      <c r="T384" s="26" t="n"/>
      <c r="V384" s="27">
        <f>IF(ISNUMBER($C384),COUNTIFS($A$14:$A$1213,$A384,$C$14:$C$1213,"&gt;"&amp;$C384)+(COUNTIFS($A$14:$A$1213,$A384,$C$14:$C$1213,"="&amp;$C384)+1)/2,"")</f>
        <v/>
      </c>
      <c r="W384" s="27">
        <f>IF(ISNUMBER($F384),COUNTIFS($A$14:$A$1213,$A384,$F$14:$F$1213,"&gt;"&amp;$F384)+(COUNTIFS($A$14:$A$1213,$A384,$F$14:$F$1213,"="&amp;$F384)+1)/2,"")</f>
        <v/>
      </c>
      <c r="X384" s="27">
        <f>IF(OR(NOT(ISNUMBER($V384)),$AO384=1),"",$V384-(COUNTIFS($A$14:$A$1213,$A384,$C$14:$C$1213,"&gt;=0")+1)/2)</f>
        <v/>
      </c>
      <c r="Y384" s="27">
        <f>IF(OR(NOT(ISNUMBER($W384)),$AO384=1),"",$W384-(COUNTIFS($A$14:$A$1213,$A384,$F$14:$F$1213,"&gt;=0")+1)/2)</f>
        <v/>
      </c>
      <c r="Z384" s="27">
        <f>IF(ISNUMBER($V384),$A384&amp;"|"&amp;$V384,"")</f>
        <v/>
      </c>
      <c r="AA384" s="27">
        <f>IF(ISNUMBER($W384),$A384&amp;"|"&amp;$W384,"")</f>
        <v/>
      </c>
      <c r="AB384" s="27">
        <f>IF(ISNUMBER($F384),$A384&amp;"|"&amp;$F384,"")</f>
        <v/>
      </c>
      <c r="AC384" s="27">
        <f>IF(ISNUMBER($P384),COUNTIFS($A$14:$A$1213,$A384,$P$14:$P$1213,"&gt;"&amp;$P384)+(COUNTIFS($A$14:$A$1213,$A384,$P$14:$P$1213,"="&amp;$P384)+1)/2,"")</f>
        <v/>
      </c>
      <c r="AD384" s="27">
        <f>IF(ISNUMBER($Q384),COUNTIFS($A$14:$A$1213,$A384,$Q$14:$Q$1213,"&gt;"&amp;$Q384)+(COUNTIFS($A$14:$A$1213,$A384,$Q$14:$Q$1213,"="&amp;$Q384)+1)/2,"")</f>
        <v/>
      </c>
      <c r="AE384" s="27">
        <f>IF(ISNUMBER($R384),COUNTIFS($A$14:$A$1213,$A384,$R$14:$R$1213,"&gt;"&amp;$R384)+(COUNTIFS($A$14:$A$1213,$A384,$R$14:$R$1213,"="&amp;$R384)+1)/2,"")</f>
        <v/>
      </c>
      <c r="AF384" s="27">
        <f>IF(ISNUMBER($S384),COUNTIFS($A$14:$A$1213,$A384,$S$14:$S$1213,"&gt;"&amp;$S384)+(COUNTIFS($A$14:$A$1213,$A384,$S$14:$S$1213,"="&amp;$S384)+1)/2,"")</f>
        <v/>
      </c>
      <c r="AG384" s="27">
        <f>IF(ISNUMBER($T384),COUNTIFS($A$14:$A$1213,$A384,$T$14:$T$1213,"&gt;"&amp;$T384)+(COUNTIFS($A$14:$A$1213,$A384,$T$14:$T$1213,"="&amp;$T384)+1)/2,"")</f>
        <v/>
      </c>
      <c r="AH384" s="27">
        <f>IF(COUNT($AC384:$AG384)&lt;2,"",IF(MAX($AC384:$AG384)=MIN($AC384:$AG384),0,1))</f>
        <v/>
      </c>
      <c r="AI384" s="27">
        <f>IF($A384="","",IF(COUNTIF($A$14:$A384,$A384)=1,COUNTIF($AI$13:AI383,"&gt;0")+1,""))</f>
        <v/>
      </c>
      <c r="AO384" s="27">
        <f>IF($A384="","",IF(AND(COUNTIFS($A$14:$A$1213,$A384,$F$14:$F$1213,"&gt;=0")=2,IFERROR(INDEX($M$14:$M$313,MATCH($A384,$H$14:$H$313,0)),"Yes")&lt;&gt;"Yes"),1,0))</f>
        <v/>
      </c>
    </row>
    <row r="385">
      <c r="A385" s="19">
        <f>IF('Enter messages'!A385="","",'Enter messages'!A385)</f>
        <v/>
      </c>
      <c r="B385" s="20">
        <f>IF('Enter messages'!B385="","",'Enter messages'!B385)</f>
        <v/>
      </c>
      <c r="C385" s="21">
        <f>IFERROR(AVERAGE(P385:T385),"")</f>
        <v/>
      </c>
      <c r="D385" s="29" t="n"/>
      <c r="E385" s="29" t="n"/>
      <c r="F385" s="30">
        <f>IF(AND(ISNUMBER($D385),ISNUMBER($E385),$E385&gt;0,$D385&lt;=$E385),$D385/$E385,"")</f>
        <v/>
      </c>
      <c r="P385" s="26" t="n"/>
      <c r="Q385" s="26" t="n"/>
      <c r="R385" s="26" t="n"/>
      <c r="S385" s="26" t="n"/>
      <c r="T385" s="26" t="n"/>
      <c r="V385" s="27">
        <f>IF(ISNUMBER($C385),COUNTIFS($A$14:$A$1213,$A385,$C$14:$C$1213,"&gt;"&amp;$C385)+(COUNTIFS($A$14:$A$1213,$A385,$C$14:$C$1213,"="&amp;$C385)+1)/2,"")</f>
        <v/>
      </c>
      <c r="W385" s="27">
        <f>IF(ISNUMBER($F385),COUNTIFS($A$14:$A$1213,$A385,$F$14:$F$1213,"&gt;"&amp;$F385)+(COUNTIFS($A$14:$A$1213,$A385,$F$14:$F$1213,"="&amp;$F385)+1)/2,"")</f>
        <v/>
      </c>
      <c r="X385" s="27">
        <f>IF(OR(NOT(ISNUMBER($V385)),$AO385=1),"",$V385-(COUNTIFS($A$14:$A$1213,$A385,$C$14:$C$1213,"&gt;=0")+1)/2)</f>
        <v/>
      </c>
      <c r="Y385" s="27">
        <f>IF(OR(NOT(ISNUMBER($W385)),$AO385=1),"",$W385-(COUNTIFS($A$14:$A$1213,$A385,$F$14:$F$1213,"&gt;=0")+1)/2)</f>
        <v/>
      </c>
      <c r="Z385" s="27">
        <f>IF(ISNUMBER($V385),$A385&amp;"|"&amp;$V385,"")</f>
        <v/>
      </c>
      <c r="AA385" s="27">
        <f>IF(ISNUMBER($W385),$A385&amp;"|"&amp;$W385,"")</f>
        <v/>
      </c>
      <c r="AB385" s="27">
        <f>IF(ISNUMBER($F385),$A385&amp;"|"&amp;$F385,"")</f>
        <v/>
      </c>
      <c r="AC385" s="27">
        <f>IF(ISNUMBER($P385),COUNTIFS($A$14:$A$1213,$A385,$P$14:$P$1213,"&gt;"&amp;$P385)+(COUNTIFS($A$14:$A$1213,$A385,$P$14:$P$1213,"="&amp;$P385)+1)/2,"")</f>
        <v/>
      </c>
      <c r="AD385" s="27">
        <f>IF(ISNUMBER($Q385),COUNTIFS($A$14:$A$1213,$A385,$Q$14:$Q$1213,"&gt;"&amp;$Q385)+(COUNTIFS($A$14:$A$1213,$A385,$Q$14:$Q$1213,"="&amp;$Q385)+1)/2,"")</f>
        <v/>
      </c>
      <c r="AE385" s="27">
        <f>IF(ISNUMBER($R385),COUNTIFS($A$14:$A$1213,$A385,$R$14:$R$1213,"&gt;"&amp;$R385)+(COUNTIFS($A$14:$A$1213,$A385,$R$14:$R$1213,"="&amp;$R385)+1)/2,"")</f>
        <v/>
      </c>
      <c r="AF385" s="27">
        <f>IF(ISNUMBER($S385),COUNTIFS($A$14:$A$1213,$A385,$S$14:$S$1213,"&gt;"&amp;$S385)+(COUNTIFS($A$14:$A$1213,$A385,$S$14:$S$1213,"="&amp;$S385)+1)/2,"")</f>
        <v/>
      </c>
      <c r="AG385" s="27">
        <f>IF(ISNUMBER($T385),COUNTIFS($A$14:$A$1213,$A385,$T$14:$T$1213,"&gt;"&amp;$T385)+(COUNTIFS($A$14:$A$1213,$A385,$T$14:$T$1213,"="&amp;$T385)+1)/2,"")</f>
        <v/>
      </c>
      <c r="AH385" s="27">
        <f>IF(COUNT($AC385:$AG385)&lt;2,"",IF(MAX($AC385:$AG385)=MIN($AC385:$AG385),0,1))</f>
        <v/>
      </c>
      <c r="AI385" s="27">
        <f>IF($A385="","",IF(COUNTIF($A$14:$A385,$A385)=1,COUNTIF($AI$13:AI384,"&gt;0")+1,""))</f>
        <v/>
      </c>
      <c r="AO385" s="27">
        <f>IF($A385="","",IF(AND(COUNTIFS($A$14:$A$1213,$A385,$F$14:$F$1213,"&gt;=0")=2,IFERROR(INDEX($M$14:$M$313,MATCH($A385,$H$14:$H$313,0)),"Yes")&lt;&gt;"Yes"),1,0))</f>
        <v/>
      </c>
    </row>
    <row r="386">
      <c r="A386" s="19">
        <f>IF('Enter messages'!A386="","",'Enter messages'!A386)</f>
        <v/>
      </c>
      <c r="B386" s="20">
        <f>IF('Enter messages'!B386="","",'Enter messages'!B386)</f>
        <v/>
      </c>
      <c r="C386" s="21">
        <f>IFERROR(AVERAGE(P386:T386),"")</f>
        <v/>
      </c>
      <c r="D386" s="29" t="n"/>
      <c r="E386" s="29" t="n"/>
      <c r="F386" s="30">
        <f>IF(AND(ISNUMBER($D386),ISNUMBER($E386),$E386&gt;0,$D386&lt;=$E386),$D386/$E386,"")</f>
        <v/>
      </c>
      <c r="P386" s="26" t="n"/>
      <c r="Q386" s="26" t="n"/>
      <c r="R386" s="26" t="n"/>
      <c r="S386" s="26" t="n"/>
      <c r="T386" s="26" t="n"/>
      <c r="V386" s="27">
        <f>IF(ISNUMBER($C386),COUNTIFS($A$14:$A$1213,$A386,$C$14:$C$1213,"&gt;"&amp;$C386)+(COUNTIFS($A$14:$A$1213,$A386,$C$14:$C$1213,"="&amp;$C386)+1)/2,"")</f>
        <v/>
      </c>
      <c r="W386" s="27">
        <f>IF(ISNUMBER($F386),COUNTIFS($A$14:$A$1213,$A386,$F$14:$F$1213,"&gt;"&amp;$F386)+(COUNTIFS($A$14:$A$1213,$A386,$F$14:$F$1213,"="&amp;$F386)+1)/2,"")</f>
        <v/>
      </c>
      <c r="X386" s="27">
        <f>IF(OR(NOT(ISNUMBER($V386)),$AO386=1),"",$V386-(COUNTIFS($A$14:$A$1213,$A386,$C$14:$C$1213,"&gt;=0")+1)/2)</f>
        <v/>
      </c>
      <c r="Y386" s="27">
        <f>IF(OR(NOT(ISNUMBER($W386)),$AO386=1),"",$W386-(COUNTIFS($A$14:$A$1213,$A386,$F$14:$F$1213,"&gt;=0")+1)/2)</f>
        <v/>
      </c>
      <c r="Z386" s="27">
        <f>IF(ISNUMBER($V386),$A386&amp;"|"&amp;$V386,"")</f>
        <v/>
      </c>
      <c r="AA386" s="27">
        <f>IF(ISNUMBER($W386),$A386&amp;"|"&amp;$W386,"")</f>
        <v/>
      </c>
      <c r="AB386" s="27">
        <f>IF(ISNUMBER($F386),$A386&amp;"|"&amp;$F386,"")</f>
        <v/>
      </c>
      <c r="AC386" s="27">
        <f>IF(ISNUMBER($P386),COUNTIFS($A$14:$A$1213,$A386,$P$14:$P$1213,"&gt;"&amp;$P386)+(COUNTIFS($A$14:$A$1213,$A386,$P$14:$P$1213,"="&amp;$P386)+1)/2,"")</f>
        <v/>
      </c>
      <c r="AD386" s="27">
        <f>IF(ISNUMBER($Q386),COUNTIFS($A$14:$A$1213,$A386,$Q$14:$Q$1213,"&gt;"&amp;$Q386)+(COUNTIFS($A$14:$A$1213,$A386,$Q$14:$Q$1213,"="&amp;$Q386)+1)/2,"")</f>
        <v/>
      </c>
      <c r="AE386" s="27">
        <f>IF(ISNUMBER($R386),COUNTIFS($A$14:$A$1213,$A386,$R$14:$R$1213,"&gt;"&amp;$R386)+(COUNTIFS($A$14:$A$1213,$A386,$R$14:$R$1213,"="&amp;$R386)+1)/2,"")</f>
        <v/>
      </c>
      <c r="AF386" s="27">
        <f>IF(ISNUMBER($S386),COUNTIFS($A$14:$A$1213,$A386,$S$14:$S$1213,"&gt;"&amp;$S386)+(COUNTIFS($A$14:$A$1213,$A386,$S$14:$S$1213,"="&amp;$S386)+1)/2,"")</f>
        <v/>
      </c>
      <c r="AG386" s="27">
        <f>IF(ISNUMBER($T386),COUNTIFS($A$14:$A$1213,$A386,$T$14:$T$1213,"&gt;"&amp;$T386)+(COUNTIFS($A$14:$A$1213,$A386,$T$14:$T$1213,"="&amp;$T386)+1)/2,"")</f>
        <v/>
      </c>
      <c r="AH386" s="27">
        <f>IF(COUNT($AC386:$AG386)&lt;2,"",IF(MAX($AC386:$AG386)=MIN($AC386:$AG386),0,1))</f>
        <v/>
      </c>
      <c r="AI386" s="27">
        <f>IF($A386="","",IF(COUNTIF($A$14:$A386,$A386)=1,COUNTIF($AI$13:AI385,"&gt;0")+1,""))</f>
        <v/>
      </c>
      <c r="AO386" s="27">
        <f>IF($A386="","",IF(AND(COUNTIFS($A$14:$A$1213,$A386,$F$14:$F$1213,"&gt;=0")=2,IFERROR(INDEX($M$14:$M$313,MATCH($A386,$H$14:$H$313,0)),"Yes")&lt;&gt;"Yes"),1,0))</f>
        <v/>
      </c>
    </row>
    <row r="387">
      <c r="A387" s="19">
        <f>IF('Enter messages'!A387="","",'Enter messages'!A387)</f>
        <v/>
      </c>
      <c r="B387" s="20">
        <f>IF('Enter messages'!B387="","",'Enter messages'!B387)</f>
        <v/>
      </c>
      <c r="C387" s="21">
        <f>IFERROR(AVERAGE(P387:T387),"")</f>
        <v/>
      </c>
      <c r="D387" s="29" t="n"/>
      <c r="E387" s="29" t="n"/>
      <c r="F387" s="30">
        <f>IF(AND(ISNUMBER($D387),ISNUMBER($E387),$E387&gt;0,$D387&lt;=$E387),$D387/$E387,"")</f>
        <v/>
      </c>
      <c r="P387" s="26" t="n"/>
      <c r="Q387" s="26" t="n"/>
      <c r="R387" s="26" t="n"/>
      <c r="S387" s="26" t="n"/>
      <c r="T387" s="26" t="n"/>
      <c r="V387" s="27">
        <f>IF(ISNUMBER($C387),COUNTIFS($A$14:$A$1213,$A387,$C$14:$C$1213,"&gt;"&amp;$C387)+(COUNTIFS($A$14:$A$1213,$A387,$C$14:$C$1213,"="&amp;$C387)+1)/2,"")</f>
        <v/>
      </c>
      <c r="W387" s="27">
        <f>IF(ISNUMBER($F387),COUNTIFS($A$14:$A$1213,$A387,$F$14:$F$1213,"&gt;"&amp;$F387)+(COUNTIFS($A$14:$A$1213,$A387,$F$14:$F$1213,"="&amp;$F387)+1)/2,"")</f>
        <v/>
      </c>
      <c r="X387" s="27">
        <f>IF(OR(NOT(ISNUMBER($V387)),$AO387=1),"",$V387-(COUNTIFS($A$14:$A$1213,$A387,$C$14:$C$1213,"&gt;=0")+1)/2)</f>
        <v/>
      </c>
      <c r="Y387" s="27">
        <f>IF(OR(NOT(ISNUMBER($W387)),$AO387=1),"",$W387-(COUNTIFS($A$14:$A$1213,$A387,$F$14:$F$1213,"&gt;=0")+1)/2)</f>
        <v/>
      </c>
      <c r="Z387" s="27">
        <f>IF(ISNUMBER($V387),$A387&amp;"|"&amp;$V387,"")</f>
        <v/>
      </c>
      <c r="AA387" s="27">
        <f>IF(ISNUMBER($W387),$A387&amp;"|"&amp;$W387,"")</f>
        <v/>
      </c>
      <c r="AB387" s="27">
        <f>IF(ISNUMBER($F387),$A387&amp;"|"&amp;$F387,"")</f>
        <v/>
      </c>
      <c r="AC387" s="27">
        <f>IF(ISNUMBER($P387),COUNTIFS($A$14:$A$1213,$A387,$P$14:$P$1213,"&gt;"&amp;$P387)+(COUNTIFS($A$14:$A$1213,$A387,$P$14:$P$1213,"="&amp;$P387)+1)/2,"")</f>
        <v/>
      </c>
      <c r="AD387" s="27">
        <f>IF(ISNUMBER($Q387),COUNTIFS($A$14:$A$1213,$A387,$Q$14:$Q$1213,"&gt;"&amp;$Q387)+(COUNTIFS($A$14:$A$1213,$A387,$Q$14:$Q$1213,"="&amp;$Q387)+1)/2,"")</f>
        <v/>
      </c>
      <c r="AE387" s="27">
        <f>IF(ISNUMBER($R387),COUNTIFS($A$14:$A$1213,$A387,$R$14:$R$1213,"&gt;"&amp;$R387)+(COUNTIFS($A$14:$A$1213,$A387,$R$14:$R$1213,"="&amp;$R387)+1)/2,"")</f>
        <v/>
      </c>
      <c r="AF387" s="27">
        <f>IF(ISNUMBER($S387),COUNTIFS($A$14:$A$1213,$A387,$S$14:$S$1213,"&gt;"&amp;$S387)+(COUNTIFS($A$14:$A$1213,$A387,$S$14:$S$1213,"="&amp;$S387)+1)/2,"")</f>
        <v/>
      </c>
      <c r="AG387" s="27">
        <f>IF(ISNUMBER($T387),COUNTIFS($A$14:$A$1213,$A387,$T$14:$T$1213,"&gt;"&amp;$T387)+(COUNTIFS($A$14:$A$1213,$A387,$T$14:$T$1213,"="&amp;$T387)+1)/2,"")</f>
        <v/>
      </c>
      <c r="AH387" s="27">
        <f>IF(COUNT($AC387:$AG387)&lt;2,"",IF(MAX($AC387:$AG387)=MIN($AC387:$AG387),0,1))</f>
        <v/>
      </c>
      <c r="AI387" s="27">
        <f>IF($A387="","",IF(COUNTIF($A$14:$A387,$A387)=1,COUNTIF($AI$13:AI386,"&gt;0")+1,""))</f>
        <v/>
      </c>
      <c r="AO387" s="27">
        <f>IF($A387="","",IF(AND(COUNTIFS($A$14:$A$1213,$A387,$F$14:$F$1213,"&gt;=0")=2,IFERROR(INDEX($M$14:$M$313,MATCH($A387,$H$14:$H$313,0)),"Yes")&lt;&gt;"Yes"),1,0))</f>
        <v/>
      </c>
    </row>
    <row r="388">
      <c r="A388" s="19">
        <f>IF('Enter messages'!A388="","",'Enter messages'!A388)</f>
        <v/>
      </c>
      <c r="B388" s="20">
        <f>IF('Enter messages'!B388="","",'Enter messages'!B388)</f>
        <v/>
      </c>
      <c r="C388" s="21">
        <f>IFERROR(AVERAGE(P388:T388),"")</f>
        <v/>
      </c>
      <c r="D388" s="29" t="n"/>
      <c r="E388" s="29" t="n"/>
      <c r="F388" s="30">
        <f>IF(AND(ISNUMBER($D388),ISNUMBER($E388),$E388&gt;0,$D388&lt;=$E388),$D388/$E388,"")</f>
        <v/>
      </c>
      <c r="P388" s="26" t="n"/>
      <c r="Q388" s="26" t="n"/>
      <c r="R388" s="26" t="n"/>
      <c r="S388" s="26" t="n"/>
      <c r="T388" s="26" t="n"/>
      <c r="V388" s="27">
        <f>IF(ISNUMBER($C388),COUNTIFS($A$14:$A$1213,$A388,$C$14:$C$1213,"&gt;"&amp;$C388)+(COUNTIFS($A$14:$A$1213,$A388,$C$14:$C$1213,"="&amp;$C388)+1)/2,"")</f>
        <v/>
      </c>
      <c r="W388" s="27">
        <f>IF(ISNUMBER($F388),COUNTIFS($A$14:$A$1213,$A388,$F$14:$F$1213,"&gt;"&amp;$F388)+(COUNTIFS($A$14:$A$1213,$A388,$F$14:$F$1213,"="&amp;$F388)+1)/2,"")</f>
        <v/>
      </c>
      <c r="X388" s="27">
        <f>IF(OR(NOT(ISNUMBER($V388)),$AO388=1),"",$V388-(COUNTIFS($A$14:$A$1213,$A388,$C$14:$C$1213,"&gt;=0")+1)/2)</f>
        <v/>
      </c>
      <c r="Y388" s="27">
        <f>IF(OR(NOT(ISNUMBER($W388)),$AO388=1),"",$W388-(COUNTIFS($A$14:$A$1213,$A388,$F$14:$F$1213,"&gt;=0")+1)/2)</f>
        <v/>
      </c>
      <c r="Z388" s="27">
        <f>IF(ISNUMBER($V388),$A388&amp;"|"&amp;$V388,"")</f>
        <v/>
      </c>
      <c r="AA388" s="27">
        <f>IF(ISNUMBER($W388),$A388&amp;"|"&amp;$W388,"")</f>
        <v/>
      </c>
      <c r="AB388" s="27">
        <f>IF(ISNUMBER($F388),$A388&amp;"|"&amp;$F388,"")</f>
        <v/>
      </c>
      <c r="AC388" s="27">
        <f>IF(ISNUMBER($P388),COUNTIFS($A$14:$A$1213,$A388,$P$14:$P$1213,"&gt;"&amp;$P388)+(COUNTIFS($A$14:$A$1213,$A388,$P$14:$P$1213,"="&amp;$P388)+1)/2,"")</f>
        <v/>
      </c>
      <c r="AD388" s="27">
        <f>IF(ISNUMBER($Q388),COUNTIFS($A$14:$A$1213,$A388,$Q$14:$Q$1213,"&gt;"&amp;$Q388)+(COUNTIFS($A$14:$A$1213,$A388,$Q$14:$Q$1213,"="&amp;$Q388)+1)/2,"")</f>
        <v/>
      </c>
      <c r="AE388" s="27">
        <f>IF(ISNUMBER($R388),COUNTIFS($A$14:$A$1213,$A388,$R$14:$R$1213,"&gt;"&amp;$R388)+(COUNTIFS($A$14:$A$1213,$A388,$R$14:$R$1213,"="&amp;$R388)+1)/2,"")</f>
        <v/>
      </c>
      <c r="AF388" s="27">
        <f>IF(ISNUMBER($S388),COUNTIFS($A$14:$A$1213,$A388,$S$14:$S$1213,"&gt;"&amp;$S388)+(COUNTIFS($A$14:$A$1213,$A388,$S$14:$S$1213,"="&amp;$S388)+1)/2,"")</f>
        <v/>
      </c>
      <c r="AG388" s="27">
        <f>IF(ISNUMBER($T388),COUNTIFS($A$14:$A$1213,$A388,$T$14:$T$1213,"&gt;"&amp;$T388)+(COUNTIFS($A$14:$A$1213,$A388,$T$14:$T$1213,"="&amp;$T388)+1)/2,"")</f>
        <v/>
      </c>
      <c r="AH388" s="27">
        <f>IF(COUNT($AC388:$AG388)&lt;2,"",IF(MAX($AC388:$AG388)=MIN($AC388:$AG388),0,1))</f>
        <v/>
      </c>
      <c r="AI388" s="27">
        <f>IF($A388="","",IF(COUNTIF($A$14:$A388,$A388)=1,COUNTIF($AI$13:AI387,"&gt;0")+1,""))</f>
        <v/>
      </c>
      <c r="AO388" s="27">
        <f>IF($A388="","",IF(AND(COUNTIFS($A$14:$A$1213,$A388,$F$14:$F$1213,"&gt;=0")=2,IFERROR(INDEX($M$14:$M$313,MATCH($A388,$H$14:$H$313,0)),"Yes")&lt;&gt;"Yes"),1,0))</f>
        <v/>
      </c>
    </row>
    <row r="389">
      <c r="A389" s="19">
        <f>IF('Enter messages'!A389="","",'Enter messages'!A389)</f>
        <v/>
      </c>
      <c r="B389" s="20">
        <f>IF('Enter messages'!B389="","",'Enter messages'!B389)</f>
        <v/>
      </c>
      <c r="C389" s="21">
        <f>IFERROR(AVERAGE(P389:T389),"")</f>
        <v/>
      </c>
      <c r="D389" s="29" t="n"/>
      <c r="E389" s="29" t="n"/>
      <c r="F389" s="30">
        <f>IF(AND(ISNUMBER($D389),ISNUMBER($E389),$E389&gt;0,$D389&lt;=$E389),$D389/$E389,"")</f>
        <v/>
      </c>
      <c r="P389" s="26" t="n"/>
      <c r="Q389" s="26" t="n"/>
      <c r="R389" s="26" t="n"/>
      <c r="S389" s="26" t="n"/>
      <c r="T389" s="26" t="n"/>
      <c r="V389" s="27">
        <f>IF(ISNUMBER($C389),COUNTIFS($A$14:$A$1213,$A389,$C$14:$C$1213,"&gt;"&amp;$C389)+(COUNTIFS($A$14:$A$1213,$A389,$C$14:$C$1213,"="&amp;$C389)+1)/2,"")</f>
        <v/>
      </c>
      <c r="W389" s="27">
        <f>IF(ISNUMBER($F389),COUNTIFS($A$14:$A$1213,$A389,$F$14:$F$1213,"&gt;"&amp;$F389)+(COUNTIFS($A$14:$A$1213,$A389,$F$14:$F$1213,"="&amp;$F389)+1)/2,"")</f>
        <v/>
      </c>
      <c r="X389" s="27">
        <f>IF(OR(NOT(ISNUMBER($V389)),$AO389=1),"",$V389-(COUNTIFS($A$14:$A$1213,$A389,$C$14:$C$1213,"&gt;=0")+1)/2)</f>
        <v/>
      </c>
      <c r="Y389" s="27">
        <f>IF(OR(NOT(ISNUMBER($W389)),$AO389=1),"",$W389-(COUNTIFS($A$14:$A$1213,$A389,$F$14:$F$1213,"&gt;=0")+1)/2)</f>
        <v/>
      </c>
      <c r="Z389" s="27">
        <f>IF(ISNUMBER($V389),$A389&amp;"|"&amp;$V389,"")</f>
        <v/>
      </c>
      <c r="AA389" s="27">
        <f>IF(ISNUMBER($W389),$A389&amp;"|"&amp;$W389,"")</f>
        <v/>
      </c>
      <c r="AB389" s="27">
        <f>IF(ISNUMBER($F389),$A389&amp;"|"&amp;$F389,"")</f>
        <v/>
      </c>
      <c r="AC389" s="27">
        <f>IF(ISNUMBER($P389),COUNTIFS($A$14:$A$1213,$A389,$P$14:$P$1213,"&gt;"&amp;$P389)+(COUNTIFS($A$14:$A$1213,$A389,$P$14:$P$1213,"="&amp;$P389)+1)/2,"")</f>
        <v/>
      </c>
      <c r="AD389" s="27">
        <f>IF(ISNUMBER($Q389),COUNTIFS($A$14:$A$1213,$A389,$Q$14:$Q$1213,"&gt;"&amp;$Q389)+(COUNTIFS($A$14:$A$1213,$A389,$Q$14:$Q$1213,"="&amp;$Q389)+1)/2,"")</f>
        <v/>
      </c>
      <c r="AE389" s="27">
        <f>IF(ISNUMBER($R389),COUNTIFS($A$14:$A$1213,$A389,$R$14:$R$1213,"&gt;"&amp;$R389)+(COUNTIFS($A$14:$A$1213,$A389,$R$14:$R$1213,"="&amp;$R389)+1)/2,"")</f>
        <v/>
      </c>
      <c r="AF389" s="27">
        <f>IF(ISNUMBER($S389),COUNTIFS($A$14:$A$1213,$A389,$S$14:$S$1213,"&gt;"&amp;$S389)+(COUNTIFS($A$14:$A$1213,$A389,$S$14:$S$1213,"="&amp;$S389)+1)/2,"")</f>
        <v/>
      </c>
      <c r="AG389" s="27">
        <f>IF(ISNUMBER($T389),COUNTIFS($A$14:$A$1213,$A389,$T$14:$T$1213,"&gt;"&amp;$T389)+(COUNTIFS($A$14:$A$1213,$A389,$T$14:$T$1213,"="&amp;$T389)+1)/2,"")</f>
        <v/>
      </c>
      <c r="AH389" s="27">
        <f>IF(COUNT($AC389:$AG389)&lt;2,"",IF(MAX($AC389:$AG389)=MIN($AC389:$AG389),0,1))</f>
        <v/>
      </c>
      <c r="AI389" s="27">
        <f>IF($A389="","",IF(COUNTIF($A$14:$A389,$A389)=1,COUNTIF($AI$13:AI388,"&gt;0")+1,""))</f>
        <v/>
      </c>
      <c r="AO389" s="27">
        <f>IF($A389="","",IF(AND(COUNTIFS($A$14:$A$1213,$A389,$F$14:$F$1213,"&gt;=0")=2,IFERROR(INDEX($M$14:$M$313,MATCH($A389,$H$14:$H$313,0)),"Yes")&lt;&gt;"Yes"),1,0))</f>
        <v/>
      </c>
    </row>
    <row r="390">
      <c r="A390" s="19">
        <f>IF('Enter messages'!A390="","",'Enter messages'!A390)</f>
        <v/>
      </c>
      <c r="B390" s="20">
        <f>IF('Enter messages'!B390="","",'Enter messages'!B390)</f>
        <v/>
      </c>
      <c r="C390" s="21">
        <f>IFERROR(AVERAGE(P390:T390),"")</f>
        <v/>
      </c>
      <c r="D390" s="29" t="n"/>
      <c r="E390" s="29" t="n"/>
      <c r="F390" s="30">
        <f>IF(AND(ISNUMBER($D390),ISNUMBER($E390),$E390&gt;0,$D390&lt;=$E390),$D390/$E390,"")</f>
        <v/>
      </c>
      <c r="P390" s="26" t="n"/>
      <c r="Q390" s="26" t="n"/>
      <c r="R390" s="26" t="n"/>
      <c r="S390" s="26" t="n"/>
      <c r="T390" s="26" t="n"/>
      <c r="V390" s="27">
        <f>IF(ISNUMBER($C390),COUNTIFS($A$14:$A$1213,$A390,$C$14:$C$1213,"&gt;"&amp;$C390)+(COUNTIFS($A$14:$A$1213,$A390,$C$14:$C$1213,"="&amp;$C390)+1)/2,"")</f>
        <v/>
      </c>
      <c r="W390" s="27">
        <f>IF(ISNUMBER($F390),COUNTIFS($A$14:$A$1213,$A390,$F$14:$F$1213,"&gt;"&amp;$F390)+(COUNTIFS($A$14:$A$1213,$A390,$F$14:$F$1213,"="&amp;$F390)+1)/2,"")</f>
        <v/>
      </c>
      <c r="X390" s="27">
        <f>IF(OR(NOT(ISNUMBER($V390)),$AO390=1),"",$V390-(COUNTIFS($A$14:$A$1213,$A390,$C$14:$C$1213,"&gt;=0")+1)/2)</f>
        <v/>
      </c>
      <c r="Y390" s="27">
        <f>IF(OR(NOT(ISNUMBER($W390)),$AO390=1),"",$W390-(COUNTIFS($A$14:$A$1213,$A390,$F$14:$F$1213,"&gt;=0")+1)/2)</f>
        <v/>
      </c>
      <c r="Z390" s="27">
        <f>IF(ISNUMBER($V390),$A390&amp;"|"&amp;$V390,"")</f>
        <v/>
      </c>
      <c r="AA390" s="27">
        <f>IF(ISNUMBER($W390),$A390&amp;"|"&amp;$W390,"")</f>
        <v/>
      </c>
      <c r="AB390" s="27">
        <f>IF(ISNUMBER($F390),$A390&amp;"|"&amp;$F390,"")</f>
        <v/>
      </c>
      <c r="AC390" s="27">
        <f>IF(ISNUMBER($P390),COUNTIFS($A$14:$A$1213,$A390,$P$14:$P$1213,"&gt;"&amp;$P390)+(COUNTIFS($A$14:$A$1213,$A390,$P$14:$P$1213,"="&amp;$P390)+1)/2,"")</f>
        <v/>
      </c>
      <c r="AD390" s="27">
        <f>IF(ISNUMBER($Q390),COUNTIFS($A$14:$A$1213,$A390,$Q$14:$Q$1213,"&gt;"&amp;$Q390)+(COUNTIFS($A$14:$A$1213,$A390,$Q$14:$Q$1213,"="&amp;$Q390)+1)/2,"")</f>
        <v/>
      </c>
      <c r="AE390" s="27">
        <f>IF(ISNUMBER($R390),COUNTIFS($A$14:$A$1213,$A390,$R$14:$R$1213,"&gt;"&amp;$R390)+(COUNTIFS($A$14:$A$1213,$A390,$R$14:$R$1213,"="&amp;$R390)+1)/2,"")</f>
        <v/>
      </c>
      <c r="AF390" s="27">
        <f>IF(ISNUMBER($S390),COUNTIFS($A$14:$A$1213,$A390,$S$14:$S$1213,"&gt;"&amp;$S390)+(COUNTIFS($A$14:$A$1213,$A390,$S$14:$S$1213,"="&amp;$S390)+1)/2,"")</f>
        <v/>
      </c>
      <c r="AG390" s="27">
        <f>IF(ISNUMBER($T390),COUNTIFS($A$14:$A$1213,$A390,$T$14:$T$1213,"&gt;"&amp;$T390)+(COUNTIFS($A$14:$A$1213,$A390,$T$14:$T$1213,"="&amp;$T390)+1)/2,"")</f>
        <v/>
      </c>
      <c r="AH390" s="27">
        <f>IF(COUNT($AC390:$AG390)&lt;2,"",IF(MAX($AC390:$AG390)=MIN($AC390:$AG390),0,1))</f>
        <v/>
      </c>
      <c r="AI390" s="27">
        <f>IF($A390="","",IF(COUNTIF($A$14:$A390,$A390)=1,COUNTIF($AI$13:AI389,"&gt;0")+1,""))</f>
        <v/>
      </c>
      <c r="AO390" s="27">
        <f>IF($A390="","",IF(AND(COUNTIFS($A$14:$A$1213,$A390,$F$14:$F$1213,"&gt;=0")=2,IFERROR(INDEX($M$14:$M$313,MATCH($A390,$H$14:$H$313,0)),"Yes")&lt;&gt;"Yes"),1,0))</f>
        <v/>
      </c>
    </row>
    <row r="391">
      <c r="A391" s="19">
        <f>IF('Enter messages'!A391="","",'Enter messages'!A391)</f>
        <v/>
      </c>
      <c r="B391" s="20">
        <f>IF('Enter messages'!B391="","",'Enter messages'!B391)</f>
        <v/>
      </c>
      <c r="C391" s="21">
        <f>IFERROR(AVERAGE(P391:T391),"")</f>
        <v/>
      </c>
      <c r="D391" s="29" t="n"/>
      <c r="E391" s="29" t="n"/>
      <c r="F391" s="30">
        <f>IF(AND(ISNUMBER($D391),ISNUMBER($E391),$E391&gt;0,$D391&lt;=$E391),$D391/$E391,"")</f>
        <v/>
      </c>
      <c r="P391" s="26" t="n"/>
      <c r="Q391" s="26" t="n"/>
      <c r="R391" s="26" t="n"/>
      <c r="S391" s="26" t="n"/>
      <c r="T391" s="26" t="n"/>
      <c r="V391" s="27">
        <f>IF(ISNUMBER($C391),COUNTIFS($A$14:$A$1213,$A391,$C$14:$C$1213,"&gt;"&amp;$C391)+(COUNTIFS($A$14:$A$1213,$A391,$C$14:$C$1213,"="&amp;$C391)+1)/2,"")</f>
        <v/>
      </c>
      <c r="W391" s="27">
        <f>IF(ISNUMBER($F391),COUNTIFS($A$14:$A$1213,$A391,$F$14:$F$1213,"&gt;"&amp;$F391)+(COUNTIFS($A$14:$A$1213,$A391,$F$14:$F$1213,"="&amp;$F391)+1)/2,"")</f>
        <v/>
      </c>
      <c r="X391" s="27">
        <f>IF(OR(NOT(ISNUMBER($V391)),$AO391=1),"",$V391-(COUNTIFS($A$14:$A$1213,$A391,$C$14:$C$1213,"&gt;=0")+1)/2)</f>
        <v/>
      </c>
      <c r="Y391" s="27">
        <f>IF(OR(NOT(ISNUMBER($W391)),$AO391=1),"",$W391-(COUNTIFS($A$14:$A$1213,$A391,$F$14:$F$1213,"&gt;=0")+1)/2)</f>
        <v/>
      </c>
      <c r="Z391" s="27">
        <f>IF(ISNUMBER($V391),$A391&amp;"|"&amp;$V391,"")</f>
        <v/>
      </c>
      <c r="AA391" s="27">
        <f>IF(ISNUMBER($W391),$A391&amp;"|"&amp;$W391,"")</f>
        <v/>
      </c>
      <c r="AB391" s="27">
        <f>IF(ISNUMBER($F391),$A391&amp;"|"&amp;$F391,"")</f>
        <v/>
      </c>
      <c r="AC391" s="27">
        <f>IF(ISNUMBER($P391),COUNTIFS($A$14:$A$1213,$A391,$P$14:$P$1213,"&gt;"&amp;$P391)+(COUNTIFS($A$14:$A$1213,$A391,$P$14:$P$1213,"="&amp;$P391)+1)/2,"")</f>
        <v/>
      </c>
      <c r="AD391" s="27">
        <f>IF(ISNUMBER($Q391),COUNTIFS($A$14:$A$1213,$A391,$Q$14:$Q$1213,"&gt;"&amp;$Q391)+(COUNTIFS($A$14:$A$1213,$A391,$Q$14:$Q$1213,"="&amp;$Q391)+1)/2,"")</f>
        <v/>
      </c>
      <c r="AE391" s="27">
        <f>IF(ISNUMBER($R391),COUNTIFS($A$14:$A$1213,$A391,$R$14:$R$1213,"&gt;"&amp;$R391)+(COUNTIFS($A$14:$A$1213,$A391,$R$14:$R$1213,"="&amp;$R391)+1)/2,"")</f>
        <v/>
      </c>
      <c r="AF391" s="27">
        <f>IF(ISNUMBER($S391),COUNTIFS($A$14:$A$1213,$A391,$S$14:$S$1213,"&gt;"&amp;$S391)+(COUNTIFS($A$14:$A$1213,$A391,$S$14:$S$1213,"="&amp;$S391)+1)/2,"")</f>
        <v/>
      </c>
      <c r="AG391" s="27">
        <f>IF(ISNUMBER($T391),COUNTIFS($A$14:$A$1213,$A391,$T$14:$T$1213,"&gt;"&amp;$T391)+(COUNTIFS($A$14:$A$1213,$A391,$T$14:$T$1213,"="&amp;$T391)+1)/2,"")</f>
        <v/>
      </c>
      <c r="AH391" s="27">
        <f>IF(COUNT($AC391:$AG391)&lt;2,"",IF(MAX($AC391:$AG391)=MIN($AC391:$AG391),0,1))</f>
        <v/>
      </c>
      <c r="AI391" s="27">
        <f>IF($A391="","",IF(COUNTIF($A$14:$A391,$A391)=1,COUNTIF($AI$13:AI390,"&gt;0")+1,""))</f>
        <v/>
      </c>
      <c r="AO391" s="27">
        <f>IF($A391="","",IF(AND(COUNTIFS($A$14:$A$1213,$A391,$F$14:$F$1213,"&gt;=0")=2,IFERROR(INDEX($M$14:$M$313,MATCH($A391,$H$14:$H$313,0)),"Yes")&lt;&gt;"Yes"),1,0))</f>
        <v/>
      </c>
    </row>
    <row r="392">
      <c r="A392" s="19">
        <f>IF('Enter messages'!A392="","",'Enter messages'!A392)</f>
        <v/>
      </c>
      <c r="B392" s="20">
        <f>IF('Enter messages'!B392="","",'Enter messages'!B392)</f>
        <v/>
      </c>
      <c r="C392" s="21">
        <f>IFERROR(AVERAGE(P392:T392),"")</f>
        <v/>
      </c>
      <c r="D392" s="29" t="n"/>
      <c r="E392" s="29" t="n"/>
      <c r="F392" s="30">
        <f>IF(AND(ISNUMBER($D392),ISNUMBER($E392),$E392&gt;0,$D392&lt;=$E392),$D392/$E392,"")</f>
        <v/>
      </c>
      <c r="P392" s="26" t="n"/>
      <c r="Q392" s="26" t="n"/>
      <c r="R392" s="26" t="n"/>
      <c r="S392" s="26" t="n"/>
      <c r="T392" s="26" t="n"/>
      <c r="V392" s="27">
        <f>IF(ISNUMBER($C392),COUNTIFS($A$14:$A$1213,$A392,$C$14:$C$1213,"&gt;"&amp;$C392)+(COUNTIFS($A$14:$A$1213,$A392,$C$14:$C$1213,"="&amp;$C392)+1)/2,"")</f>
        <v/>
      </c>
      <c r="W392" s="27">
        <f>IF(ISNUMBER($F392),COUNTIFS($A$14:$A$1213,$A392,$F$14:$F$1213,"&gt;"&amp;$F392)+(COUNTIFS($A$14:$A$1213,$A392,$F$14:$F$1213,"="&amp;$F392)+1)/2,"")</f>
        <v/>
      </c>
      <c r="X392" s="27">
        <f>IF(OR(NOT(ISNUMBER($V392)),$AO392=1),"",$V392-(COUNTIFS($A$14:$A$1213,$A392,$C$14:$C$1213,"&gt;=0")+1)/2)</f>
        <v/>
      </c>
      <c r="Y392" s="27">
        <f>IF(OR(NOT(ISNUMBER($W392)),$AO392=1),"",$W392-(COUNTIFS($A$14:$A$1213,$A392,$F$14:$F$1213,"&gt;=0")+1)/2)</f>
        <v/>
      </c>
      <c r="Z392" s="27">
        <f>IF(ISNUMBER($V392),$A392&amp;"|"&amp;$V392,"")</f>
        <v/>
      </c>
      <c r="AA392" s="27">
        <f>IF(ISNUMBER($W392),$A392&amp;"|"&amp;$W392,"")</f>
        <v/>
      </c>
      <c r="AB392" s="27">
        <f>IF(ISNUMBER($F392),$A392&amp;"|"&amp;$F392,"")</f>
        <v/>
      </c>
      <c r="AC392" s="27">
        <f>IF(ISNUMBER($P392),COUNTIFS($A$14:$A$1213,$A392,$P$14:$P$1213,"&gt;"&amp;$P392)+(COUNTIFS($A$14:$A$1213,$A392,$P$14:$P$1213,"="&amp;$P392)+1)/2,"")</f>
        <v/>
      </c>
      <c r="AD392" s="27">
        <f>IF(ISNUMBER($Q392),COUNTIFS($A$14:$A$1213,$A392,$Q$14:$Q$1213,"&gt;"&amp;$Q392)+(COUNTIFS($A$14:$A$1213,$A392,$Q$14:$Q$1213,"="&amp;$Q392)+1)/2,"")</f>
        <v/>
      </c>
      <c r="AE392" s="27">
        <f>IF(ISNUMBER($R392),COUNTIFS($A$14:$A$1213,$A392,$R$14:$R$1213,"&gt;"&amp;$R392)+(COUNTIFS($A$14:$A$1213,$A392,$R$14:$R$1213,"="&amp;$R392)+1)/2,"")</f>
        <v/>
      </c>
      <c r="AF392" s="27">
        <f>IF(ISNUMBER($S392),COUNTIFS($A$14:$A$1213,$A392,$S$14:$S$1213,"&gt;"&amp;$S392)+(COUNTIFS($A$14:$A$1213,$A392,$S$14:$S$1213,"="&amp;$S392)+1)/2,"")</f>
        <v/>
      </c>
      <c r="AG392" s="27">
        <f>IF(ISNUMBER($T392),COUNTIFS($A$14:$A$1213,$A392,$T$14:$T$1213,"&gt;"&amp;$T392)+(COUNTIFS($A$14:$A$1213,$A392,$T$14:$T$1213,"="&amp;$T392)+1)/2,"")</f>
        <v/>
      </c>
      <c r="AH392" s="27">
        <f>IF(COUNT($AC392:$AG392)&lt;2,"",IF(MAX($AC392:$AG392)=MIN($AC392:$AG392),0,1))</f>
        <v/>
      </c>
      <c r="AI392" s="27">
        <f>IF($A392="","",IF(COUNTIF($A$14:$A392,$A392)=1,COUNTIF($AI$13:AI391,"&gt;0")+1,""))</f>
        <v/>
      </c>
      <c r="AO392" s="27">
        <f>IF($A392="","",IF(AND(COUNTIFS($A$14:$A$1213,$A392,$F$14:$F$1213,"&gt;=0")=2,IFERROR(INDEX($M$14:$M$313,MATCH($A392,$H$14:$H$313,0)),"Yes")&lt;&gt;"Yes"),1,0))</f>
        <v/>
      </c>
    </row>
    <row r="393">
      <c r="A393" s="19">
        <f>IF('Enter messages'!A393="","",'Enter messages'!A393)</f>
        <v/>
      </c>
      <c r="B393" s="20">
        <f>IF('Enter messages'!B393="","",'Enter messages'!B393)</f>
        <v/>
      </c>
      <c r="C393" s="21">
        <f>IFERROR(AVERAGE(P393:T393),"")</f>
        <v/>
      </c>
      <c r="D393" s="29" t="n"/>
      <c r="E393" s="29" t="n"/>
      <c r="F393" s="30">
        <f>IF(AND(ISNUMBER($D393),ISNUMBER($E393),$E393&gt;0,$D393&lt;=$E393),$D393/$E393,"")</f>
        <v/>
      </c>
      <c r="P393" s="26" t="n"/>
      <c r="Q393" s="26" t="n"/>
      <c r="R393" s="26" t="n"/>
      <c r="S393" s="26" t="n"/>
      <c r="T393" s="26" t="n"/>
      <c r="V393" s="27">
        <f>IF(ISNUMBER($C393),COUNTIFS($A$14:$A$1213,$A393,$C$14:$C$1213,"&gt;"&amp;$C393)+(COUNTIFS($A$14:$A$1213,$A393,$C$14:$C$1213,"="&amp;$C393)+1)/2,"")</f>
        <v/>
      </c>
      <c r="W393" s="27">
        <f>IF(ISNUMBER($F393),COUNTIFS($A$14:$A$1213,$A393,$F$14:$F$1213,"&gt;"&amp;$F393)+(COUNTIFS($A$14:$A$1213,$A393,$F$14:$F$1213,"="&amp;$F393)+1)/2,"")</f>
        <v/>
      </c>
      <c r="X393" s="27">
        <f>IF(OR(NOT(ISNUMBER($V393)),$AO393=1),"",$V393-(COUNTIFS($A$14:$A$1213,$A393,$C$14:$C$1213,"&gt;=0")+1)/2)</f>
        <v/>
      </c>
      <c r="Y393" s="27">
        <f>IF(OR(NOT(ISNUMBER($W393)),$AO393=1),"",$W393-(COUNTIFS($A$14:$A$1213,$A393,$F$14:$F$1213,"&gt;=0")+1)/2)</f>
        <v/>
      </c>
      <c r="Z393" s="27">
        <f>IF(ISNUMBER($V393),$A393&amp;"|"&amp;$V393,"")</f>
        <v/>
      </c>
      <c r="AA393" s="27">
        <f>IF(ISNUMBER($W393),$A393&amp;"|"&amp;$W393,"")</f>
        <v/>
      </c>
      <c r="AB393" s="27">
        <f>IF(ISNUMBER($F393),$A393&amp;"|"&amp;$F393,"")</f>
        <v/>
      </c>
      <c r="AC393" s="27">
        <f>IF(ISNUMBER($P393),COUNTIFS($A$14:$A$1213,$A393,$P$14:$P$1213,"&gt;"&amp;$P393)+(COUNTIFS($A$14:$A$1213,$A393,$P$14:$P$1213,"="&amp;$P393)+1)/2,"")</f>
        <v/>
      </c>
      <c r="AD393" s="27">
        <f>IF(ISNUMBER($Q393),COUNTIFS($A$14:$A$1213,$A393,$Q$14:$Q$1213,"&gt;"&amp;$Q393)+(COUNTIFS($A$14:$A$1213,$A393,$Q$14:$Q$1213,"="&amp;$Q393)+1)/2,"")</f>
        <v/>
      </c>
      <c r="AE393" s="27">
        <f>IF(ISNUMBER($R393),COUNTIFS($A$14:$A$1213,$A393,$R$14:$R$1213,"&gt;"&amp;$R393)+(COUNTIFS($A$14:$A$1213,$A393,$R$14:$R$1213,"="&amp;$R393)+1)/2,"")</f>
        <v/>
      </c>
      <c r="AF393" s="27">
        <f>IF(ISNUMBER($S393),COUNTIFS($A$14:$A$1213,$A393,$S$14:$S$1213,"&gt;"&amp;$S393)+(COUNTIFS($A$14:$A$1213,$A393,$S$14:$S$1213,"="&amp;$S393)+1)/2,"")</f>
        <v/>
      </c>
      <c r="AG393" s="27">
        <f>IF(ISNUMBER($T393),COUNTIFS($A$14:$A$1213,$A393,$T$14:$T$1213,"&gt;"&amp;$T393)+(COUNTIFS($A$14:$A$1213,$A393,$T$14:$T$1213,"="&amp;$T393)+1)/2,"")</f>
        <v/>
      </c>
      <c r="AH393" s="27">
        <f>IF(COUNT($AC393:$AG393)&lt;2,"",IF(MAX($AC393:$AG393)=MIN($AC393:$AG393),0,1))</f>
        <v/>
      </c>
      <c r="AI393" s="27">
        <f>IF($A393="","",IF(COUNTIF($A$14:$A393,$A393)=1,COUNTIF($AI$13:AI392,"&gt;0")+1,""))</f>
        <v/>
      </c>
      <c r="AO393" s="27">
        <f>IF($A393="","",IF(AND(COUNTIFS($A$14:$A$1213,$A393,$F$14:$F$1213,"&gt;=0")=2,IFERROR(INDEX($M$14:$M$313,MATCH($A393,$H$14:$H$313,0)),"Yes")&lt;&gt;"Yes"),1,0))</f>
        <v/>
      </c>
    </row>
    <row r="394">
      <c r="A394" s="19">
        <f>IF('Enter messages'!A394="","",'Enter messages'!A394)</f>
        <v/>
      </c>
      <c r="B394" s="20">
        <f>IF('Enter messages'!B394="","",'Enter messages'!B394)</f>
        <v/>
      </c>
      <c r="C394" s="21">
        <f>IFERROR(AVERAGE(P394:T394),"")</f>
        <v/>
      </c>
      <c r="D394" s="29" t="n"/>
      <c r="E394" s="29" t="n"/>
      <c r="F394" s="30">
        <f>IF(AND(ISNUMBER($D394),ISNUMBER($E394),$E394&gt;0,$D394&lt;=$E394),$D394/$E394,"")</f>
        <v/>
      </c>
      <c r="P394" s="26" t="n"/>
      <c r="Q394" s="26" t="n"/>
      <c r="R394" s="26" t="n"/>
      <c r="S394" s="26" t="n"/>
      <c r="T394" s="26" t="n"/>
      <c r="V394" s="27">
        <f>IF(ISNUMBER($C394),COUNTIFS($A$14:$A$1213,$A394,$C$14:$C$1213,"&gt;"&amp;$C394)+(COUNTIFS($A$14:$A$1213,$A394,$C$14:$C$1213,"="&amp;$C394)+1)/2,"")</f>
        <v/>
      </c>
      <c r="W394" s="27">
        <f>IF(ISNUMBER($F394),COUNTIFS($A$14:$A$1213,$A394,$F$14:$F$1213,"&gt;"&amp;$F394)+(COUNTIFS($A$14:$A$1213,$A394,$F$14:$F$1213,"="&amp;$F394)+1)/2,"")</f>
        <v/>
      </c>
      <c r="X394" s="27">
        <f>IF(OR(NOT(ISNUMBER($V394)),$AO394=1),"",$V394-(COUNTIFS($A$14:$A$1213,$A394,$C$14:$C$1213,"&gt;=0")+1)/2)</f>
        <v/>
      </c>
      <c r="Y394" s="27">
        <f>IF(OR(NOT(ISNUMBER($W394)),$AO394=1),"",$W394-(COUNTIFS($A$14:$A$1213,$A394,$F$14:$F$1213,"&gt;=0")+1)/2)</f>
        <v/>
      </c>
      <c r="Z394" s="27">
        <f>IF(ISNUMBER($V394),$A394&amp;"|"&amp;$V394,"")</f>
        <v/>
      </c>
      <c r="AA394" s="27">
        <f>IF(ISNUMBER($W394),$A394&amp;"|"&amp;$W394,"")</f>
        <v/>
      </c>
      <c r="AB394" s="27">
        <f>IF(ISNUMBER($F394),$A394&amp;"|"&amp;$F394,"")</f>
        <v/>
      </c>
      <c r="AC394" s="27">
        <f>IF(ISNUMBER($P394),COUNTIFS($A$14:$A$1213,$A394,$P$14:$P$1213,"&gt;"&amp;$P394)+(COUNTIFS($A$14:$A$1213,$A394,$P$14:$P$1213,"="&amp;$P394)+1)/2,"")</f>
        <v/>
      </c>
      <c r="AD394" s="27">
        <f>IF(ISNUMBER($Q394),COUNTIFS($A$14:$A$1213,$A394,$Q$14:$Q$1213,"&gt;"&amp;$Q394)+(COUNTIFS($A$14:$A$1213,$A394,$Q$14:$Q$1213,"="&amp;$Q394)+1)/2,"")</f>
        <v/>
      </c>
      <c r="AE394" s="27">
        <f>IF(ISNUMBER($R394),COUNTIFS($A$14:$A$1213,$A394,$R$14:$R$1213,"&gt;"&amp;$R394)+(COUNTIFS($A$14:$A$1213,$A394,$R$14:$R$1213,"="&amp;$R394)+1)/2,"")</f>
        <v/>
      </c>
      <c r="AF394" s="27">
        <f>IF(ISNUMBER($S394),COUNTIFS($A$14:$A$1213,$A394,$S$14:$S$1213,"&gt;"&amp;$S394)+(COUNTIFS($A$14:$A$1213,$A394,$S$14:$S$1213,"="&amp;$S394)+1)/2,"")</f>
        <v/>
      </c>
      <c r="AG394" s="27">
        <f>IF(ISNUMBER($T394),COUNTIFS($A$14:$A$1213,$A394,$T$14:$T$1213,"&gt;"&amp;$T394)+(COUNTIFS($A$14:$A$1213,$A394,$T$14:$T$1213,"="&amp;$T394)+1)/2,"")</f>
        <v/>
      </c>
      <c r="AH394" s="27">
        <f>IF(COUNT($AC394:$AG394)&lt;2,"",IF(MAX($AC394:$AG394)=MIN($AC394:$AG394),0,1))</f>
        <v/>
      </c>
      <c r="AI394" s="27">
        <f>IF($A394="","",IF(COUNTIF($A$14:$A394,$A394)=1,COUNTIF($AI$13:AI393,"&gt;0")+1,""))</f>
        <v/>
      </c>
      <c r="AO394" s="27">
        <f>IF($A394="","",IF(AND(COUNTIFS($A$14:$A$1213,$A394,$F$14:$F$1213,"&gt;=0")=2,IFERROR(INDEX($M$14:$M$313,MATCH($A394,$H$14:$H$313,0)),"Yes")&lt;&gt;"Yes"),1,0))</f>
        <v/>
      </c>
    </row>
    <row r="395">
      <c r="A395" s="19">
        <f>IF('Enter messages'!A395="","",'Enter messages'!A395)</f>
        <v/>
      </c>
      <c r="B395" s="20">
        <f>IF('Enter messages'!B395="","",'Enter messages'!B395)</f>
        <v/>
      </c>
      <c r="C395" s="21">
        <f>IFERROR(AVERAGE(P395:T395),"")</f>
        <v/>
      </c>
      <c r="D395" s="29" t="n"/>
      <c r="E395" s="29" t="n"/>
      <c r="F395" s="30">
        <f>IF(AND(ISNUMBER($D395),ISNUMBER($E395),$E395&gt;0,$D395&lt;=$E395),$D395/$E395,"")</f>
        <v/>
      </c>
      <c r="P395" s="26" t="n"/>
      <c r="Q395" s="26" t="n"/>
      <c r="R395" s="26" t="n"/>
      <c r="S395" s="26" t="n"/>
      <c r="T395" s="26" t="n"/>
      <c r="V395" s="27">
        <f>IF(ISNUMBER($C395),COUNTIFS($A$14:$A$1213,$A395,$C$14:$C$1213,"&gt;"&amp;$C395)+(COUNTIFS($A$14:$A$1213,$A395,$C$14:$C$1213,"="&amp;$C395)+1)/2,"")</f>
        <v/>
      </c>
      <c r="W395" s="27">
        <f>IF(ISNUMBER($F395),COUNTIFS($A$14:$A$1213,$A395,$F$14:$F$1213,"&gt;"&amp;$F395)+(COUNTIFS($A$14:$A$1213,$A395,$F$14:$F$1213,"="&amp;$F395)+1)/2,"")</f>
        <v/>
      </c>
      <c r="X395" s="27">
        <f>IF(OR(NOT(ISNUMBER($V395)),$AO395=1),"",$V395-(COUNTIFS($A$14:$A$1213,$A395,$C$14:$C$1213,"&gt;=0")+1)/2)</f>
        <v/>
      </c>
      <c r="Y395" s="27">
        <f>IF(OR(NOT(ISNUMBER($W395)),$AO395=1),"",$W395-(COUNTIFS($A$14:$A$1213,$A395,$F$14:$F$1213,"&gt;=0")+1)/2)</f>
        <v/>
      </c>
      <c r="Z395" s="27">
        <f>IF(ISNUMBER($V395),$A395&amp;"|"&amp;$V395,"")</f>
        <v/>
      </c>
      <c r="AA395" s="27">
        <f>IF(ISNUMBER($W395),$A395&amp;"|"&amp;$W395,"")</f>
        <v/>
      </c>
      <c r="AB395" s="27">
        <f>IF(ISNUMBER($F395),$A395&amp;"|"&amp;$F395,"")</f>
        <v/>
      </c>
      <c r="AC395" s="27">
        <f>IF(ISNUMBER($P395),COUNTIFS($A$14:$A$1213,$A395,$P$14:$P$1213,"&gt;"&amp;$P395)+(COUNTIFS($A$14:$A$1213,$A395,$P$14:$P$1213,"="&amp;$P395)+1)/2,"")</f>
        <v/>
      </c>
      <c r="AD395" s="27">
        <f>IF(ISNUMBER($Q395),COUNTIFS($A$14:$A$1213,$A395,$Q$14:$Q$1213,"&gt;"&amp;$Q395)+(COUNTIFS($A$14:$A$1213,$A395,$Q$14:$Q$1213,"="&amp;$Q395)+1)/2,"")</f>
        <v/>
      </c>
      <c r="AE395" s="27">
        <f>IF(ISNUMBER($R395),COUNTIFS($A$14:$A$1213,$A395,$R$14:$R$1213,"&gt;"&amp;$R395)+(COUNTIFS($A$14:$A$1213,$A395,$R$14:$R$1213,"="&amp;$R395)+1)/2,"")</f>
        <v/>
      </c>
      <c r="AF395" s="27">
        <f>IF(ISNUMBER($S395),COUNTIFS($A$14:$A$1213,$A395,$S$14:$S$1213,"&gt;"&amp;$S395)+(COUNTIFS($A$14:$A$1213,$A395,$S$14:$S$1213,"="&amp;$S395)+1)/2,"")</f>
        <v/>
      </c>
      <c r="AG395" s="27">
        <f>IF(ISNUMBER($T395),COUNTIFS($A$14:$A$1213,$A395,$T$14:$T$1213,"&gt;"&amp;$T395)+(COUNTIFS($A$14:$A$1213,$A395,$T$14:$T$1213,"="&amp;$T395)+1)/2,"")</f>
        <v/>
      </c>
      <c r="AH395" s="27">
        <f>IF(COUNT($AC395:$AG395)&lt;2,"",IF(MAX($AC395:$AG395)=MIN($AC395:$AG395),0,1))</f>
        <v/>
      </c>
      <c r="AI395" s="27">
        <f>IF($A395="","",IF(COUNTIF($A$14:$A395,$A395)=1,COUNTIF($AI$13:AI394,"&gt;0")+1,""))</f>
        <v/>
      </c>
      <c r="AO395" s="27">
        <f>IF($A395="","",IF(AND(COUNTIFS($A$14:$A$1213,$A395,$F$14:$F$1213,"&gt;=0")=2,IFERROR(INDEX($M$14:$M$313,MATCH($A395,$H$14:$H$313,0)),"Yes")&lt;&gt;"Yes"),1,0))</f>
        <v/>
      </c>
    </row>
    <row r="396">
      <c r="A396" s="19">
        <f>IF('Enter messages'!A396="","",'Enter messages'!A396)</f>
        <v/>
      </c>
      <c r="B396" s="20">
        <f>IF('Enter messages'!B396="","",'Enter messages'!B396)</f>
        <v/>
      </c>
      <c r="C396" s="21">
        <f>IFERROR(AVERAGE(P396:T396),"")</f>
        <v/>
      </c>
      <c r="D396" s="29" t="n"/>
      <c r="E396" s="29" t="n"/>
      <c r="F396" s="30">
        <f>IF(AND(ISNUMBER($D396),ISNUMBER($E396),$E396&gt;0,$D396&lt;=$E396),$D396/$E396,"")</f>
        <v/>
      </c>
      <c r="P396" s="26" t="n"/>
      <c r="Q396" s="26" t="n"/>
      <c r="R396" s="26" t="n"/>
      <c r="S396" s="26" t="n"/>
      <c r="T396" s="26" t="n"/>
      <c r="V396" s="27">
        <f>IF(ISNUMBER($C396),COUNTIFS($A$14:$A$1213,$A396,$C$14:$C$1213,"&gt;"&amp;$C396)+(COUNTIFS($A$14:$A$1213,$A396,$C$14:$C$1213,"="&amp;$C396)+1)/2,"")</f>
        <v/>
      </c>
      <c r="W396" s="27">
        <f>IF(ISNUMBER($F396),COUNTIFS($A$14:$A$1213,$A396,$F$14:$F$1213,"&gt;"&amp;$F396)+(COUNTIFS($A$14:$A$1213,$A396,$F$14:$F$1213,"="&amp;$F396)+1)/2,"")</f>
        <v/>
      </c>
      <c r="X396" s="27">
        <f>IF(OR(NOT(ISNUMBER($V396)),$AO396=1),"",$V396-(COUNTIFS($A$14:$A$1213,$A396,$C$14:$C$1213,"&gt;=0")+1)/2)</f>
        <v/>
      </c>
      <c r="Y396" s="27">
        <f>IF(OR(NOT(ISNUMBER($W396)),$AO396=1),"",$W396-(COUNTIFS($A$14:$A$1213,$A396,$F$14:$F$1213,"&gt;=0")+1)/2)</f>
        <v/>
      </c>
      <c r="Z396" s="27">
        <f>IF(ISNUMBER($V396),$A396&amp;"|"&amp;$V396,"")</f>
        <v/>
      </c>
      <c r="AA396" s="27">
        <f>IF(ISNUMBER($W396),$A396&amp;"|"&amp;$W396,"")</f>
        <v/>
      </c>
      <c r="AB396" s="27">
        <f>IF(ISNUMBER($F396),$A396&amp;"|"&amp;$F396,"")</f>
        <v/>
      </c>
      <c r="AC396" s="27">
        <f>IF(ISNUMBER($P396),COUNTIFS($A$14:$A$1213,$A396,$P$14:$P$1213,"&gt;"&amp;$P396)+(COUNTIFS($A$14:$A$1213,$A396,$P$14:$P$1213,"="&amp;$P396)+1)/2,"")</f>
        <v/>
      </c>
      <c r="AD396" s="27">
        <f>IF(ISNUMBER($Q396),COUNTIFS($A$14:$A$1213,$A396,$Q$14:$Q$1213,"&gt;"&amp;$Q396)+(COUNTIFS($A$14:$A$1213,$A396,$Q$14:$Q$1213,"="&amp;$Q396)+1)/2,"")</f>
        <v/>
      </c>
      <c r="AE396" s="27">
        <f>IF(ISNUMBER($R396),COUNTIFS($A$14:$A$1213,$A396,$R$14:$R$1213,"&gt;"&amp;$R396)+(COUNTIFS($A$14:$A$1213,$A396,$R$14:$R$1213,"="&amp;$R396)+1)/2,"")</f>
        <v/>
      </c>
      <c r="AF396" s="27">
        <f>IF(ISNUMBER($S396),COUNTIFS($A$14:$A$1213,$A396,$S$14:$S$1213,"&gt;"&amp;$S396)+(COUNTIFS($A$14:$A$1213,$A396,$S$14:$S$1213,"="&amp;$S396)+1)/2,"")</f>
        <v/>
      </c>
      <c r="AG396" s="27">
        <f>IF(ISNUMBER($T396),COUNTIFS($A$14:$A$1213,$A396,$T$14:$T$1213,"&gt;"&amp;$T396)+(COUNTIFS($A$14:$A$1213,$A396,$T$14:$T$1213,"="&amp;$T396)+1)/2,"")</f>
        <v/>
      </c>
      <c r="AH396" s="27">
        <f>IF(COUNT($AC396:$AG396)&lt;2,"",IF(MAX($AC396:$AG396)=MIN($AC396:$AG396),0,1))</f>
        <v/>
      </c>
      <c r="AI396" s="27">
        <f>IF($A396="","",IF(COUNTIF($A$14:$A396,$A396)=1,COUNTIF($AI$13:AI395,"&gt;0")+1,""))</f>
        <v/>
      </c>
      <c r="AO396" s="27">
        <f>IF($A396="","",IF(AND(COUNTIFS($A$14:$A$1213,$A396,$F$14:$F$1213,"&gt;=0")=2,IFERROR(INDEX($M$14:$M$313,MATCH($A396,$H$14:$H$313,0)),"Yes")&lt;&gt;"Yes"),1,0))</f>
        <v/>
      </c>
    </row>
    <row r="397">
      <c r="A397" s="19">
        <f>IF('Enter messages'!A397="","",'Enter messages'!A397)</f>
        <v/>
      </c>
      <c r="B397" s="20">
        <f>IF('Enter messages'!B397="","",'Enter messages'!B397)</f>
        <v/>
      </c>
      <c r="C397" s="21">
        <f>IFERROR(AVERAGE(P397:T397),"")</f>
        <v/>
      </c>
      <c r="D397" s="29" t="n"/>
      <c r="E397" s="29" t="n"/>
      <c r="F397" s="30">
        <f>IF(AND(ISNUMBER($D397),ISNUMBER($E397),$E397&gt;0,$D397&lt;=$E397),$D397/$E397,"")</f>
        <v/>
      </c>
      <c r="P397" s="26" t="n"/>
      <c r="Q397" s="26" t="n"/>
      <c r="R397" s="26" t="n"/>
      <c r="S397" s="26" t="n"/>
      <c r="T397" s="26" t="n"/>
      <c r="V397" s="27">
        <f>IF(ISNUMBER($C397),COUNTIFS($A$14:$A$1213,$A397,$C$14:$C$1213,"&gt;"&amp;$C397)+(COUNTIFS($A$14:$A$1213,$A397,$C$14:$C$1213,"="&amp;$C397)+1)/2,"")</f>
        <v/>
      </c>
      <c r="W397" s="27">
        <f>IF(ISNUMBER($F397),COUNTIFS($A$14:$A$1213,$A397,$F$14:$F$1213,"&gt;"&amp;$F397)+(COUNTIFS($A$14:$A$1213,$A397,$F$14:$F$1213,"="&amp;$F397)+1)/2,"")</f>
        <v/>
      </c>
      <c r="X397" s="27">
        <f>IF(OR(NOT(ISNUMBER($V397)),$AO397=1),"",$V397-(COUNTIFS($A$14:$A$1213,$A397,$C$14:$C$1213,"&gt;=0")+1)/2)</f>
        <v/>
      </c>
      <c r="Y397" s="27">
        <f>IF(OR(NOT(ISNUMBER($W397)),$AO397=1),"",$W397-(COUNTIFS($A$14:$A$1213,$A397,$F$14:$F$1213,"&gt;=0")+1)/2)</f>
        <v/>
      </c>
      <c r="Z397" s="27">
        <f>IF(ISNUMBER($V397),$A397&amp;"|"&amp;$V397,"")</f>
        <v/>
      </c>
      <c r="AA397" s="27">
        <f>IF(ISNUMBER($W397),$A397&amp;"|"&amp;$W397,"")</f>
        <v/>
      </c>
      <c r="AB397" s="27">
        <f>IF(ISNUMBER($F397),$A397&amp;"|"&amp;$F397,"")</f>
        <v/>
      </c>
      <c r="AC397" s="27">
        <f>IF(ISNUMBER($P397),COUNTIFS($A$14:$A$1213,$A397,$P$14:$P$1213,"&gt;"&amp;$P397)+(COUNTIFS($A$14:$A$1213,$A397,$P$14:$P$1213,"="&amp;$P397)+1)/2,"")</f>
        <v/>
      </c>
      <c r="AD397" s="27">
        <f>IF(ISNUMBER($Q397),COUNTIFS($A$14:$A$1213,$A397,$Q$14:$Q$1213,"&gt;"&amp;$Q397)+(COUNTIFS($A$14:$A$1213,$A397,$Q$14:$Q$1213,"="&amp;$Q397)+1)/2,"")</f>
        <v/>
      </c>
      <c r="AE397" s="27">
        <f>IF(ISNUMBER($R397),COUNTIFS($A$14:$A$1213,$A397,$R$14:$R$1213,"&gt;"&amp;$R397)+(COUNTIFS($A$14:$A$1213,$A397,$R$14:$R$1213,"="&amp;$R397)+1)/2,"")</f>
        <v/>
      </c>
      <c r="AF397" s="27">
        <f>IF(ISNUMBER($S397),COUNTIFS($A$14:$A$1213,$A397,$S$14:$S$1213,"&gt;"&amp;$S397)+(COUNTIFS($A$14:$A$1213,$A397,$S$14:$S$1213,"="&amp;$S397)+1)/2,"")</f>
        <v/>
      </c>
      <c r="AG397" s="27">
        <f>IF(ISNUMBER($T397),COUNTIFS($A$14:$A$1213,$A397,$T$14:$T$1213,"&gt;"&amp;$T397)+(COUNTIFS($A$14:$A$1213,$A397,$T$14:$T$1213,"="&amp;$T397)+1)/2,"")</f>
        <v/>
      </c>
      <c r="AH397" s="27">
        <f>IF(COUNT($AC397:$AG397)&lt;2,"",IF(MAX($AC397:$AG397)=MIN($AC397:$AG397),0,1))</f>
        <v/>
      </c>
      <c r="AI397" s="27">
        <f>IF($A397="","",IF(COUNTIF($A$14:$A397,$A397)=1,COUNTIF($AI$13:AI396,"&gt;0")+1,""))</f>
        <v/>
      </c>
      <c r="AO397" s="27">
        <f>IF($A397="","",IF(AND(COUNTIFS($A$14:$A$1213,$A397,$F$14:$F$1213,"&gt;=0")=2,IFERROR(INDEX($M$14:$M$313,MATCH($A397,$H$14:$H$313,0)),"Yes")&lt;&gt;"Yes"),1,0))</f>
        <v/>
      </c>
    </row>
    <row r="398">
      <c r="A398" s="19">
        <f>IF('Enter messages'!A398="","",'Enter messages'!A398)</f>
        <v/>
      </c>
      <c r="B398" s="20">
        <f>IF('Enter messages'!B398="","",'Enter messages'!B398)</f>
        <v/>
      </c>
      <c r="C398" s="21">
        <f>IFERROR(AVERAGE(P398:T398),"")</f>
        <v/>
      </c>
      <c r="D398" s="29" t="n"/>
      <c r="E398" s="29" t="n"/>
      <c r="F398" s="30">
        <f>IF(AND(ISNUMBER($D398),ISNUMBER($E398),$E398&gt;0,$D398&lt;=$E398),$D398/$E398,"")</f>
        <v/>
      </c>
      <c r="P398" s="26" t="n"/>
      <c r="Q398" s="26" t="n"/>
      <c r="R398" s="26" t="n"/>
      <c r="S398" s="26" t="n"/>
      <c r="T398" s="26" t="n"/>
      <c r="V398" s="27">
        <f>IF(ISNUMBER($C398),COUNTIFS($A$14:$A$1213,$A398,$C$14:$C$1213,"&gt;"&amp;$C398)+(COUNTIFS($A$14:$A$1213,$A398,$C$14:$C$1213,"="&amp;$C398)+1)/2,"")</f>
        <v/>
      </c>
      <c r="W398" s="27">
        <f>IF(ISNUMBER($F398),COUNTIFS($A$14:$A$1213,$A398,$F$14:$F$1213,"&gt;"&amp;$F398)+(COUNTIFS($A$14:$A$1213,$A398,$F$14:$F$1213,"="&amp;$F398)+1)/2,"")</f>
        <v/>
      </c>
      <c r="X398" s="27">
        <f>IF(OR(NOT(ISNUMBER($V398)),$AO398=1),"",$V398-(COUNTIFS($A$14:$A$1213,$A398,$C$14:$C$1213,"&gt;=0")+1)/2)</f>
        <v/>
      </c>
      <c r="Y398" s="27">
        <f>IF(OR(NOT(ISNUMBER($W398)),$AO398=1),"",$W398-(COUNTIFS($A$14:$A$1213,$A398,$F$14:$F$1213,"&gt;=0")+1)/2)</f>
        <v/>
      </c>
      <c r="Z398" s="27">
        <f>IF(ISNUMBER($V398),$A398&amp;"|"&amp;$V398,"")</f>
        <v/>
      </c>
      <c r="AA398" s="27">
        <f>IF(ISNUMBER($W398),$A398&amp;"|"&amp;$W398,"")</f>
        <v/>
      </c>
      <c r="AB398" s="27">
        <f>IF(ISNUMBER($F398),$A398&amp;"|"&amp;$F398,"")</f>
        <v/>
      </c>
      <c r="AC398" s="27">
        <f>IF(ISNUMBER($P398),COUNTIFS($A$14:$A$1213,$A398,$P$14:$P$1213,"&gt;"&amp;$P398)+(COUNTIFS($A$14:$A$1213,$A398,$P$14:$P$1213,"="&amp;$P398)+1)/2,"")</f>
        <v/>
      </c>
      <c r="AD398" s="27">
        <f>IF(ISNUMBER($Q398),COUNTIFS($A$14:$A$1213,$A398,$Q$14:$Q$1213,"&gt;"&amp;$Q398)+(COUNTIFS($A$14:$A$1213,$A398,$Q$14:$Q$1213,"="&amp;$Q398)+1)/2,"")</f>
        <v/>
      </c>
      <c r="AE398" s="27">
        <f>IF(ISNUMBER($R398),COUNTIFS($A$14:$A$1213,$A398,$R$14:$R$1213,"&gt;"&amp;$R398)+(COUNTIFS($A$14:$A$1213,$A398,$R$14:$R$1213,"="&amp;$R398)+1)/2,"")</f>
        <v/>
      </c>
      <c r="AF398" s="27">
        <f>IF(ISNUMBER($S398),COUNTIFS($A$14:$A$1213,$A398,$S$14:$S$1213,"&gt;"&amp;$S398)+(COUNTIFS($A$14:$A$1213,$A398,$S$14:$S$1213,"="&amp;$S398)+1)/2,"")</f>
        <v/>
      </c>
      <c r="AG398" s="27">
        <f>IF(ISNUMBER($T398),COUNTIFS($A$14:$A$1213,$A398,$T$14:$T$1213,"&gt;"&amp;$T398)+(COUNTIFS($A$14:$A$1213,$A398,$T$14:$T$1213,"="&amp;$T398)+1)/2,"")</f>
        <v/>
      </c>
      <c r="AH398" s="27">
        <f>IF(COUNT($AC398:$AG398)&lt;2,"",IF(MAX($AC398:$AG398)=MIN($AC398:$AG398),0,1))</f>
        <v/>
      </c>
      <c r="AI398" s="27">
        <f>IF($A398="","",IF(COUNTIF($A$14:$A398,$A398)=1,COUNTIF($AI$13:AI397,"&gt;0")+1,""))</f>
        <v/>
      </c>
      <c r="AO398" s="27">
        <f>IF($A398="","",IF(AND(COUNTIFS($A$14:$A$1213,$A398,$F$14:$F$1213,"&gt;=0")=2,IFERROR(INDEX($M$14:$M$313,MATCH($A398,$H$14:$H$313,0)),"Yes")&lt;&gt;"Yes"),1,0))</f>
        <v/>
      </c>
    </row>
    <row r="399">
      <c r="A399" s="19">
        <f>IF('Enter messages'!A399="","",'Enter messages'!A399)</f>
        <v/>
      </c>
      <c r="B399" s="20">
        <f>IF('Enter messages'!B399="","",'Enter messages'!B399)</f>
        <v/>
      </c>
      <c r="C399" s="21">
        <f>IFERROR(AVERAGE(P399:T399),"")</f>
        <v/>
      </c>
      <c r="D399" s="29" t="n"/>
      <c r="E399" s="29" t="n"/>
      <c r="F399" s="30">
        <f>IF(AND(ISNUMBER($D399),ISNUMBER($E399),$E399&gt;0,$D399&lt;=$E399),$D399/$E399,"")</f>
        <v/>
      </c>
      <c r="P399" s="26" t="n"/>
      <c r="Q399" s="26" t="n"/>
      <c r="R399" s="26" t="n"/>
      <c r="S399" s="26" t="n"/>
      <c r="T399" s="26" t="n"/>
      <c r="V399" s="27">
        <f>IF(ISNUMBER($C399),COUNTIFS($A$14:$A$1213,$A399,$C$14:$C$1213,"&gt;"&amp;$C399)+(COUNTIFS($A$14:$A$1213,$A399,$C$14:$C$1213,"="&amp;$C399)+1)/2,"")</f>
        <v/>
      </c>
      <c r="W399" s="27">
        <f>IF(ISNUMBER($F399),COUNTIFS($A$14:$A$1213,$A399,$F$14:$F$1213,"&gt;"&amp;$F399)+(COUNTIFS($A$14:$A$1213,$A399,$F$14:$F$1213,"="&amp;$F399)+1)/2,"")</f>
        <v/>
      </c>
      <c r="X399" s="27">
        <f>IF(OR(NOT(ISNUMBER($V399)),$AO399=1),"",$V399-(COUNTIFS($A$14:$A$1213,$A399,$C$14:$C$1213,"&gt;=0")+1)/2)</f>
        <v/>
      </c>
      <c r="Y399" s="27">
        <f>IF(OR(NOT(ISNUMBER($W399)),$AO399=1),"",$W399-(COUNTIFS($A$14:$A$1213,$A399,$F$14:$F$1213,"&gt;=0")+1)/2)</f>
        <v/>
      </c>
      <c r="Z399" s="27">
        <f>IF(ISNUMBER($V399),$A399&amp;"|"&amp;$V399,"")</f>
        <v/>
      </c>
      <c r="AA399" s="27">
        <f>IF(ISNUMBER($W399),$A399&amp;"|"&amp;$W399,"")</f>
        <v/>
      </c>
      <c r="AB399" s="27">
        <f>IF(ISNUMBER($F399),$A399&amp;"|"&amp;$F399,"")</f>
        <v/>
      </c>
      <c r="AC399" s="27">
        <f>IF(ISNUMBER($P399),COUNTIFS($A$14:$A$1213,$A399,$P$14:$P$1213,"&gt;"&amp;$P399)+(COUNTIFS($A$14:$A$1213,$A399,$P$14:$P$1213,"="&amp;$P399)+1)/2,"")</f>
        <v/>
      </c>
      <c r="AD399" s="27">
        <f>IF(ISNUMBER($Q399),COUNTIFS($A$14:$A$1213,$A399,$Q$14:$Q$1213,"&gt;"&amp;$Q399)+(COUNTIFS($A$14:$A$1213,$A399,$Q$14:$Q$1213,"="&amp;$Q399)+1)/2,"")</f>
        <v/>
      </c>
      <c r="AE399" s="27">
        <f>IF(ISNUMBER($R399),COUNTIFS($A$14:$A$1213,$A399,$R$14:$R$1213,"&gt;"&amp;$R399)+(COUNTIFS($A$14:$A$1213,$A399,$R$14:$R$1213,"="&amp;$R399)+1)/2,"")</f>
        <v/>
      </c>
      <c r="AF399" s="27">
        <f>IF(ISNUMBER($S399),COUNTIFS($A$14:$A$1213,$A399,$S$14:$S$1213,"&gt;"&amp;$S399)+(COUNTIFS($A$14:$A$1213,$A399,$S$14:$S$1213,"="&amp;$S399)+1)/2,"")</f>
        <v/>
      </c>
      <c r="AG399" s="27">
        <f>IF(ISNUMBER($T399),COUNTIFS($A$14:$A$1213,$A399,$T$14:$T$1213,"&gt;"&amp;$T399)+(COUNTIFS($A$14:$A$1213,$A399,$T$14:$T$1213,"="&amp;$T399)+1)/2,"")</f>
        <v/>
      </c>
      <c r="AH399" s="27">
        <f>IF(COUNT($AC399:$AG399)&lt;2,"",IF(MAX($AC399:$AG399)=MIN($AC399:$AG399),0,1))</f>
        <v/>
      </c>
      <c r="AI399" s="27">
        <f>IF($A399="","",IF(COUNTIF($A$14:$A399,$A399)=1,COUNTIF($AI$13:AI398,"&gt;0")+1,""))</f>
        <v/>
      </c>
      <c r="AO399" s="27">
        <f>IF($A399="","",IF(AND(COUNTIFS($A$14:$A$1213,$A399,$F$14:$F$1213,"&gt;=0")=2,IFERROR(INDEX($M$14:$M$313,MATCH($A399,$H$14:$H$313,0)),"Yes")&lt;&gt;"Yes"),1,0))</f>
        <v/>
      </c>
    </row>
    <row r="400">
      <c r="A400" s="19">
        <f>IF('Enter messages'!A400="","",'Enter messages'!A400)</f>
        <v/>
      </c>
      <c r="B400" s="20">
        <f>IF('Enter messages'!B400="","",'Enter messages'!B400)</f>
        <v/>
      </c>
      <c r="C400" s="21">
        <f>IFERROR(AVERAGE(P400:T400),"")</f>
        <v/>
      </c>
      <c r="D400" s="29" t="n"/>
      <c r="E400" s="29" t="n"/>
      <c r="F400" s="30">
        <f>IF(AND(ISNUMBER($D400),ISNUMBER($E400),$E400&gt;0,$D400&lt;=$E400),$D400/$E400,"")</f>
        <v/>
      </c>
      <c r="P400" s="26" t="n"/>
      <c r="Q400" s="26" t="n"/>
      <c r="R400" s="26" t="n"/>
      <c r="S400" s="26" t="n"/>
      <c r="T400" s="26" t="n"/>
      <c r="V400" s="27">
        <f>IF(ISNUMBER($C400),COUNTIFS($A$14:$A$1213,$A400,$C$14:$C$1213,"&gt;"&amp;$C400)+(COUNTIFS($A$14:$A$1213,$A400,$C$14:$C$1213,"="&amp;$C400)+1)/2,"")</f>
        <v/>
      </c>
      <c r="W400" s="27">
        <f>IF(ISNUMBER($F400),COUNTIFS($A$14:$A$1213,$A400,$F$14:$F$1213,"&gt;"&amp;$F400)+(COUNTIFS($A$14:$A$1213,$A400,$F$14:$F$1213,"="&amp;$F400)+1)/2,"")</f>
        <v/>
      </c>
      <c r="X400" s="27">
        <f>IF(OR(NOT(ISNUMBER($V400)),$AO400=1),"",$V400-(COUNTIFS($A$14:$A$1213,$A400,$C$14:$C$1213,"&gt;=0")+1)/2)</f>
        <v/>
      </c>
      <c r="Y400" s="27">
        <f>IF(OR(NOT(ISNUMBER($W400)),$AO400=1),"",$W400-(COUNTIFS($A$14:$A$1213,$A400,$F$14:$F$1213,"&gt;=0")+1)/2)</f>
        <v/>
      </c>
      <c r="Z400" s="27">
        <f>IF(ISNUMBER($V400),$A400&amp;"|"&amp;$V400,"")</f>
        <v/>
      </c>
      <c r="AA400" s="27">
        <f>IF(ISNUMBER($W400),$A400&amp;"|"&amp;$W400,"")</f>
        <v/>
      </c>
      <c r="AB400" s="27">
        <f>IF(ISNUMBER($F400),$A400&amp;"|"&amp;$F400,"")</f>
        <v/>
      </c>
      <c r="AC400" s="27">
        <f>IF(ISNUMBER($P400),COUNTIFS($A$14:$A$1213,$A400,$P$14:$P$1213,"&gt;"&amp;$P400)+(COUNTIFS($A$14:$A$1213,$A400,$P$14:$P$1213,"="&amp;$P400)+1)/2,"")</f>
        <v/>
      </c>
      <c r="AD400" s="27">
        <f>IF(ISNUMBER($Q400),COUNTIFS($A$14:$A$1213,$A400,$Q$14:$Q$1213,"&gt;"&amp;$Q400)+(COUNTIFS($A$14:$A$1213,$A400,$Q$14:$Q$1213,"="&amp;$Q400)+1)/2,"")</f>
        <v/>
      </c>
      <c r="AE400" s="27">
        <f>IF(ISNUMBER($R400),COUNTIFS($A$14:$A$1213,$A400,$R$14:$R$1213,"&gt;"&amp;$R400)+(COUNTIFS($A$14:$A$1213,$A400,$R$14:$R$1213,"="&amp;$R400)+1)/2,"")</f>
        <v/>
      </c>
      <c r="AF400" s="27">
        <f>IF(ISNUMBER($S400),COUNTIFS($A$14:$A$1213,$A400,$S$14:$S$1213,"&gt;"&amp;$S400)+(COUNTIFS($A$14:$A$1213,$A400,$S$14:$S$1213,"="&amp;$S400)+1)/2,"")</f>
        <v/>
      </c>
      <c r="AG400" s="27">
        <f>IF(ISNUMBER($T400),COUNTIFS($A$14:$A$1213,$A400,$T$14:$T$1213,"&gt;"&amp;$T400)+(COUNTIFS($A$14:$A$1213,$A400,$T$14:$T$1213,"="&amp;$T400)+1)/2,"")</f>
        <v/>
      </c>
      <c r="AH400" s="27">
        <f>IF(COUNT($AC400:$AG400)&lt;2,"",IF(MAX($AC400:$AG400)=MIN($AC400:$AG400),0,1))</f>
        <v/>
      </c>
      <c r="AI400" s="27">
        <f>IF($A400="","",IF(COUNTIF($A$14:$A400,$A400)=1,COUNTIF($AI$13:AI399,"&gt;0")+1,""))</f>
        <v/>
      </c>
      <c r="AO400" s="27">
        <f>IF($A400="","",IF(AND(COUNTIFS($A$14:$A$1213,$A400,$F$14:$F$1213,"&gt;=0")=2,IFERROR(INDEX($M$14:$M$313,MATCH($A400,$H$14:$H$313,0)),"Yes")&lt;&gt;"Yes"),1,0))</f>
        <v/>
      </c>
    </row>
    <row r="401">
      <c r="A401" s="19">
        <f>IF('Enter messages'!A401="","",'Enter messages'!A401)</f>
        <v/>
      </c>
      <c r="B401" s="20">
        <f>IF('Enter messages'!B401="","",'Enter messages'!B401)</f>
        <v/>
      </c>
      <c r="C401" s="21">
        <f>IFERROR(AVERAGE(P401:T401),"")</f>
        <v/>
      </c>
      <c r="D401" s="29" t="n"/>
      <c r="E401" s="29" t="n"/>
      <c r="F401" s="30">
        <f>IF(AND(ISNUMBER($D401),ISNUMBER($E401),$E401&gt;0,$D401&lt;=$E401),$D401/$E401,"")</f>
        <v/>
      </c>
      <c r="P401" s="26" t="n"/>
      <c r="Q401" s="26" t="n"/>
      <c r="R401" s="26" t="n"/>
      <c r="S401" s="26" t="n"/>
      <c r="T401" s="26" t="n"/>
      <c r="V401" s="27">
        <f>IF(ISNUMBER($C401),COUNTIFS($A$14:$A$1213,$A401,$C$14:$C$1213,"&gt;"&amp;$C401)+(COUNTIFS($A$14:$A$1213,$A401,$C$14:$C$1213,"="&amp;$C401)+1)/2,"")</f>
        <v/>
      </c>
      <c r="W401" s="27">
        <f>IF(ISNUMBER($F401),COUNTIFS($A$14:$A$1213,$A401,$F$14:$F$1213,"&gt;"&amp;$F401)+(COUNTIFS($A$14:$A$1213,$A401,$F$14:$F$1213,"="&amp;$F401)+1)/2,"")</f>
        <v/>
      </c>
      <c r="X401" s="27">
        <f>IF(OR(NOT(ISNUMBER($V401)),$AO401=1),"",$V401-(COUNTIFS($A$14:$A$1213,$A401,$C$14:$C$1213,"&gt;=0")+1)/2)</f>
        <v/>
      </c>
      <c r="Y401" s="27">
        <f>IF(OR(NOT(ISNUMBER($W401)),$AO401=1),"",$W401-(COUNTIFS($A$14:$A$1213,$A401,$F$14:$F$1213,"&gt;=0")+1)/2)</f>
        <v/>
      </c>
      <c r="Z401" s="27">
        <f>IF(ISNUMBER($V401),$A401&amp;"|"&amp;$V401,"")</f>
        <v/>
      </c>
      <c r="AA401" s="27">
        <f>IF(ISNUMBER($W401),$A401&amp;"|"&amp;$W401,"")</f>
        <v/>
      </c>
      <c r="AB401" s="27">
        <f>IF(ISNUMBER($F401),$A401&amp;"|"&amp;$F401,"")</f>
        <v/>
      </c>
      <c r="AC401" s="27">
        <f>IF(ISNUMBER($P401),COUNTIFS($A$14:$A$1213,$A401,$P$14:$P$1213,"&gt;"&amp;$P401)+(COUNTIFS($A$14:$A$1213,$A401,$P$14:$P$1213,"="&amp;$P401)+1)/2,"")</f>
        <v/>
      </c>
      <c r="AD401" s="27">
        <f>IF(ISNUMBER($Q401),COUNTIFS($A$14:$A$1213,$A401,$Q$14:$Q$1213,"&gt;"&amp;$Q401)+(COUNTIFS($A$14:$A$1213,$A401,$Q$14:$Q$1213,"="&amp;$Q401)+1)/2,"")</f>
        <v/>
      </c>
      <c r="AE401" s="27">
        <f>IF(ISNUMBER($R401),COUNTIFS($A$14:$A$1213,$A401,$R$14:$R$1213,"&gt;"&amp;$R401)+(COUNTIFS($A$14:$A$1213,$A401,$R$14:$R$1213,"="&amp;$R401)+1)/2,"")</f>
        <v/>
      </c>
      <c r="AF401" s="27">
        <f>IF(ISNUMBER($S401),COUNTIFS($A$14:$A$1213,$A401,$S$14:$S$1213,"&gt;"&amp;$S401)+(COUNTIFS($A$14:$A$1213,$A401,$S$14:$S$1213,"="&amp;$S401)+1)/2,"")</f>
        <v/>
      </c>
      <c r="AG401" s="27">
        <f>IF(ISNUMBER($T401),COUNTIFS($A$14:$A$1213,$A401,$T$14:$T$1213,"&gt;"&amp;$T401)+(COUNTIFS($A$14:$A$1213,$A401,$T$14:$T$1213,"="&amp;$T401)+1)/2,"")</f>
        <v/>
      </c>
      <c r="AH401" s="27">
        <f>IF(COUNT($AC401:$AG401)&lt;2,"",IF(MAX($AC401:$AG401)=MIN($AC401:$AG401),0,1))</f>
        <v/>
      </c>
      <c r="AI401" s="27">
        <f>IF($A401="","",IF(COUNTIF($A$14:$A401,$A401)=1,COUNTIF($AI$13:AI400,"&gt;0")+1,""))</f>
        <v/>
      </c>
      <c r="AO401" s="27">
        <f>IF($A401="","",IF(AND(COUNTIFS($A$14:$A$1213,$A401,$F$14:$F$1213,"&gt;=0")=2,IFERROR(INDEX($M$14:$M$313,MATCH($A401,$H$14:$H$313,0)),"Yes")&lt;&gt;"Yes"),1,0))</f>
        <v/>
      </c>
    </row>
    <row r="402">
      <c r="A402" s="19">
        <f>IF('Enter messages'!A402="","",'Enter messages'!A402)</f>
        <v/>
      </c>
      <c r="B402" s="20">
        <f>IF('Enter messages'!B402="","",'Enter messages'!B402)</f>
        <v/>
      </c>
      <c r="C402" s="21">
        <f>IFERROR(AVERAGE(P402:T402),"")</f>
        <v/>
      </c>
      <c r="D402" s="29" t="n"/>
      <c r="E402" s="29" t="n"/>
      <c r="F402" s="30">
        <f>IF(AND(ISNUMBER($D402),ISNUMBER($E402),$E402&gt;0,$D402&lt;=$E402),$D402/$E402,"")</f>
        <v/>
      </c>
      <c r="P402" s="26" t="n"/>
      <c r="Q402" s="26" t="n"/>
      <c r="R402" s="26" t="n"/>
      <c r="S402" s="26" t="n"/>
      <c r="T402" s="26" t="n"/>
      <c r="V402" s="27">
        <f>IF(ISNUMBER($C402),COUNTIFS($A$14:$A$1213,$A402,$C$14:$C$1213,"&gt;"&amp;$C402)+(COUNTIFS($A$14:$A$1213,$A402,$C$14:$C$1213,"="&amp;$C402)+1)/2,"")</f>
        <v/>
      </c>
      <c r="W402" s="27">
        <f>IF(ISNUMBER($F402),COUNTIFS($A$14:$A$1213,$A402,$F$14:$F$1213,"&gt;"&amp;$F402)+(COUNTIFS($A$14:$A$1213,$A402,$F$14:$F$1213,"="&amp;$F402)+1)/2,"")</f>
        <v/>
      </c>
      <c r="X402" s="27">
        <f>IF(OR(NOT(ISNUMBER($V402)),$AO402=1),"",$V402-(COUNTIFS($A$14:$A$1213,$A402,$C$14:$C$1213,"&gt;=0")+1)/2)</f>
        <v/>
      </c>
      <c r="Y402" s="27">
        <f>IF(OR(NOT(ISNUMBER($W402)),$AO402=1),"",$W402-(COUNTIFS($A$14:$A$1213,$A402,$F$14:$F$1213,"&gt;=0")+1)/2)</f>
        <v/>
      </c>
      <c r="Z402" s="27">
        <f>IF(ISNUMBER($V402),$A402&amp;"|"&amp;$V402,"")</f>
        <v/>
      </c>
      <c r="AA402" s="27">
        <f>IF(ISNUMBER($W402),$A402&amp;"|"&amp;$W402,"")</f>
        <v/>
      </c>
      <c r="AB402" s="27">
        <f>IF(ISNUMBER($F402),$A402&amp;"|"&amp;$F402,"")</f>
        <v/>
      </c>
      <c r="AC402" s="27">
        <f>IF(ISNUMBER($P402),COUNTIFS($A$14:$A$1213,$A402,$P$14:$P$1213,"&gt;"&amp;$P402)+(COUNTIFS($A$14:$A$1213,$A402,$P$14:$P$1213,"="&amp;$P402)+1)/2,"")</f>
        <v/>
      </c>
      <c r="AD402" s="27">
        <f>IF(ISNUMBER($Q402),COUNTIFS($A$14:$A$1213,$A402,$Q$14:$Q$1213,"&gt;"&amp;$Q402)+(COUNTIFS($A$14:$A$1213,$A402,$Q$14:$Q$1213,"="&amp;$Q402)+1)/2,"")</f>
        <v/>
      </c>
      <c r="AE402" s="27">
        <f>IF(ISNUMBER($R402),COUNTIFS($A$14:$A$1213,$A402,$R$14:$R$1213,"&gt;"&amp;$R402)+(COUNTIFS($A$14:$A$1213,$A402,$R$14:$R$1213,"="&amp;$R402)+1)/2,"")</f>
        <v/>
      </c>
      <c r="AF402" s="27">
        <f>IF(ISNUMBER($S402),COUNTIFS($A$14:$A$1213,$A402,$S$14:$S$1213,"&gt;"&amp;$S402)+(COUNTIFS($A$14:$A$1213,$A402,$S$14:$S$1213,"="&amp;$S402)+1)/2,"")</f>
        <v/>
      </c>
      <c r="AG402" s="27">
        <f>IF(ISNUMBER($T402),COUNTIFS($A$14:$A$1213,$A402,$T$14:$T$1213,"&gt;"&amp;$T402)+(COUNTIFS($A$14:$A$1213,$A402,$T$14:$T$1213,"="&amp;$T402)+1)/2,"")</f>
        <v/>
      </c>
      <c r="AH402" s="27">
        <f>IF(COUNT($AC402:$AG402)&lt;2,"",IF(MAX($AC402:$AG402)=MIN($AC402:$AG402),0,1))</f>
        <v/>
      </c>
      <c r="AI402" s="27">
        <f>IF($A402="","",IF(COUNTIF($A$14:$A402,$A402)=1,COUNTIF($AI$13:AI401,"&gt;0")+1,""))</f>
        <v/>
      </c>
      <c r="AO402" s="27">
        <f>IF($A402="","",IF(AND(COUNTIFS($A$14:$A$1213,$A402,$F$14:$F$1213,"&gt;=0")=2,IFERROR(INDEX($M$14:$M$313,MATCH($A402,$H$14:$H$313,0)),"Yes")&lt;&gt;"Yes"),1,0))</f>
        <v/>
      </c>
    </row>
    <row r="403">
      <c r="A403" s="19">
        <f>IF('Enter messages'!A403="","",'Enter messages'!A403)</f>
        <v/>
      </c>
      <c r="B403" s="20">
        <f>IF('Enter messages'!B403="","",'Enter messages'!B403)</f>
        <v/>
      </c>
      <c r="C403" s="21">
        <f>IFERROR(AVERAGE(P403:T403),"")</f>
        <v/>
      </c>
      <c r="D403" s="29" t="n"/>
      <c r="E403" s="29" t="n"/>
      <c r="F403" s="30">
        <f>IF(AND(ISNUMBER($D403),ISNUMBER($E403),$E403&gt;0,$D403&lt;=$E403),$D403/$E403,"")</f>
        <v/>
      </c>
      <c r="P403" s="26" t="n"/>
      <c r="Q403" s="26" t="n"/>
      <c r="R403" s="26" t="n"/>
      <c r="S403" s="26" t="n"/>
      <c r="T403" s="26" t="n"/>
      <c r="V403" s="27">
        <f>IF(ISNUMBER($C403),COUNTIFS($A$14:$A$1213,$A403,$C$14:$C$1213,"&gt;"&amp;$C403)+(COUNTIFS($A$14:$A$1213,$A403,$C$14:$C$1213,"="&amp;$C403)+1)/2,"")</f>
        <v/>
      </c>
      <c r="W403" s="27">
        <f>IF(ISNUMBER($F403),COUNTIFS($A$14:$A$1213,$A403,$F$14:$F$1213,"&gt;"&amp;$F403)+(COUNTIFS($A$14:$A$1213,$A403,$F$14:$F$1213,"="&amp;$F403)+1)/2,"")</f>
        <v/>
      </c>
      <c r="X403" s="27">
        <f>IF(OR(NOT(ISNUMBER($V403)),$AO403=1),"",$V403-(COUNTIFS($A$14:$A$1213,$A403,$C$14:$C$1213,"&gt;=0")+1)/2)</f>
        <v/>
      </c>
      <c r="Y403" s="27">
        <f>IF(OR(NOT(ISNUMBER($W403)),$AO403=1),"",$W403-(COUNTIFS($A$14:$A$1213,$A403,$F$14:$F$1213,"&gt;=0")+1)/2)</f>
        <v/>
      </c>
      <c r="Z403" s="27">
        <f>IF(ISNUMBER($V403),$A403&amp;"|"&amp;$V403,"")</f>
        <v/>
      </c>
      <c r="AA403" s="27">
        <f>IF(ISNUMBER($W403),$A403&amp;"|"&amp;$W403,"")</f>
        <v/>
      </c>
      <c r="AB403" s="27">
        <f>IF(ISNUMBER($F403),$A403&amp;"|"&amp;$F403,"")</f>
        <v/>
      </c>
      <c r="AC403" s="27">
        <f>IF(ISNUMBER($P403),COUNTIFS($A$14:$A$1213,$A403,$P$14:$P$1213,"&gt;"&amp;$P403)+(COUNTIFS($A$14:$A$1213,$A403,$P$14:$P$1213,"="&amp;$P403)+1)/2,"")</f>
        <v/>
      </c>
      <c r="AD403" s="27">
        <f>IF(ISNUMBER($Q403),COUNTIFS($A$14:$A$1213,$A403,$Q$14:$Q$1213,"&gt;"&amp;$Q403)+(COUNTIFS($A$14:$A$1213,$A403,$Q$14:$Q$1213,"="&amp;$Q403)+1)/2,"")</f>
        <v/>
      </c>
      <c r="AE403" s="27">
        <f>IF(ISNUMBER($R403),COUNTIFS($A$14:$A$1213,$A403,$R$14:$R$1213,"&gt;"&amp;$R403)+(COUNTIFS($A$14:$A$1213,$A403,$R$14:$R$1213,"="&amp;$R403)+1)/2,"")</f>
        <v/>
      </c>
      <c r="AF403" s="27">
        <f>IF(ISNUMBER($S403),COUNTIFS($A$14:$A$1213,$A403,$S$14:$S$1213,"&gt;"&amp;$S403)+(COUNTIFS($A$14:$A$1213,$A403,$S$14:$S$1213,"="&amp;$S403)+1)/2,"")</f>
        <v/>
      </c>
      <c r="AG403" s="27">
        <f>IF(ISNUMBER($T403),COUNTIFS($A$14:$A$1213,$A403,$T$14:$T$1213,"&gt;"&amp;$T403)+(COUNTIFS($A$14:$A$1213,$A403,$T$14:$T$1213,"="&amp;$T403)+1)/2,"")</f>
        <v/>
      </c>
      <c r="AH403" s="27">
        <f>IF(COUNT($AC403:$AG403)&lt;2,"",IF(MAX($AC403:$AG403)=MIN($AC403:$AG403),0,1))</f>
        <v/>
      </c>
      <c r="AI403" s="27">
        <f>IF($A403="","",IF(COUNTIF($A$14:$A403,$A403)=1,COUNTIF($AI$13:AI402,"&gt;0")+1,""))</f>
        <v/>
      </c>
      <c r="AO403" s="27">
        <f>IF($A403="","",IF(AND(COUNTIFS($A$14:$A$1213,$A403,$F$14:$F$1213,"&gt;=0")=2,IFERROR(INDEX($M$14:$M$313,MATCH($A403,$H$14:$H$313,0)),"Yes")&lt;&gt;"Yes"),1,0))</f>
        <v/>
      </c>
    </row>
    <row r="404">
      <c r="A404" s="19">
        <f>IF('Enter messages'!A404="","",'Enter messages'!A404)</f>
        <v/>
      </c>
      <c r="B404" s="20">
        <f>IF('Enter messages'!B404="","",'Enter messages'!B404)</f>
        <v/>
      </c>
      <c r="C404" s="21">
        <f>IFERROR(AVERAGE(P404:T404),"")</f>
        <v/>
      </c>
      <c r="D404" s="29" t="n"/>
      <c r="E404" s="29" t="n"/>
      <c r="F404" s="30">
        <f>IF(AND(ISNUMBER($D404),ISNUMBER($E404),$E404&gt;0,$D404&lt;=$E404),$D404/$E404,"")</f>
        <v/>
      </c>
      <c r="P404" s="26" t="n"/>
      <c r="Q404" s="26" t="n"/>
      <c r="R404" s="26" t="n"/>
      <c r="S404" s="26" t="n"/>
      <c r="T404" s="26" t="n"/>
      <c r="V404" s="27">
        <f>IF(ISNUMBER($C404),COUNTIFS($A$14:$A$1213,$A404,$C$14:$C$1213,"&gt;"&amp;$C404)+(COUNTIFS($A$14:$A$1213,$A404,$C$14:$C$1213,"="&amp;$C404)+1)/2,"")</f>
        <v/>
      </c>
      <c r="W404" s="27">
        <f>IF(ISNUMBER($F404),COUNTIFS($A$14:$A$1213,$A404,$F$14:$F$1213,"&gt;"&amp;$F404)+(COUNTIFS($A$14:$A$1213,$A404,$F$14:$F$1213,"="&amp;$F404)+1)/2,"")</f>
        <v/>
      </c>
      <c r="X404" s="27">
        <f>IF(OR(NOT(ISNUMBER($V404)),$AO404=1),"",$V404-(COUNTIFS($A$14:$A$1213,$A404,$C$14:$C$1213,"&gt;=0")+1)/2)</f>
        <v/>
      </c>
      <c r="Y404" s="27">
        <f>IF(OR(NOT(ISNUMBER($W404)),$AO404=1),"",$W404-(COUNTIFS($A$14:$A$1213,$A404,$F$14:$F$1213,"&gt;=0")+1)/2)</f>
        <v/>
      </c>
      <c r="Z404" s="27">
        <f>IF(ISNUMBER($V404),$A404&amp;"|"&amp;$V404,"")</f>
        <v/>
      </c>
      <c r="AA404" s="27">
        <f>IF(ISNUMBER($W404),$A404&amp;"|"&amp;$W404,"")</f>
        <v/>
      </c>
      <c r="AB404" s="27">
        <f>IF(ISNUMBER($F404),$A404&amp;"|"&amp;$F404,"")</f>
        <v/>
      </c>
      <c r="AC404" s="27">
        <f>IF(ISNUMBER($P404),COUNTIFS($A$14:$A$1213,$A404,$P$14:$P$1213,"&gt;"&amp;$P404)+(COUNTIFS($A$14:$A$1213,$A404,$P$14:$P$1213,"="&amp;$P404)+1)/2,"")</f>
        <v/>
      </c>
      <c r="AD404" s="27">
        <f>IF(ISNUMBER($Q404),COUNTIFS($A$14:$A$1213,$A404,$Q$14:$Q$1213,"&gt;"&amp;$Q404)+(COUNTIFS($A$14:$A$1213,$A404,$Q$14:$Q$1213,"="&amp;$Q404)+1)/2,"")</f>
        <v/>
      </c>
      <c r="AE404" s="27">
        <f>IF(ISNUMBER($R404),COUNTIFS($A$14:$A$1213,$A404,$R$14:$R$1213,"&gt;"&amp;$R404)+(COUNTIFS($A$14:$A$1213,$A404,$R$14:$R$1213,"="&amp;$R404)+1)/2,"")</f>
        <v/>
      </c>
      <c r="AF404" s="27">
        <f>IF(ISNUMBER($S404),COUNTIFS($A$14:$A$1213,$A404,$S$14:$S$1213,"&gt;"&amp;$S404)+(COUNTIFS($A$14:$A$1213,$A404,$S$14:$S$1213,"="&amp;$S404)+1)/2,"")</f>
        <v/>
      </c>
      <c r="AG404" s="27">
        <f>IF(ISNUMBER($T404),COUNTIFS($A$14:$A$1213,$A404,$T$14:$T$1213,"&gt;"&amp;$T404)+(COUNTIFS($A$14:$A$1213,$A404,$T$14:$T$1213,"="&amp;$T404)+1)/2,"")</f>
        <v/>
      </c>
      <c r="AH404" s="27">
        <f>IF(COUNT($AC404:$AG404)&lt;2,"",IF(MAX($AC404:$AG404)=MIN($AC404:$AG404),0,1))</f>
        <v/>
      </c>
      <c r="AI404" s="27">
        <f>IF($A404="","",IF(COUNTIF($A$14:$A404,$A404)=1,COUNTIF($AI$13:AI403,"&gt;0")+1,""))</f>
        <v/>
      </c>
      <c r="AO404" s="27">
        <f>IF($A404="","",IF(AND(COUNTIFS($A$14:$A$1213,$A404,$F$14:$F$1213,"&gt;=0")=2,IFERROR(INDEX($M$14:$M$313,MATCH($A404,$H$14:$H$313,0)),"Yes")&lt;&gt;"Yes"),1,0))</f>
        <v/>
      </c>
    </row>
    <row r="405">
      <c r="A405" s="19">
        <f>IF('Enter messages'!A405="","",'Enter messages'!A405)</f>
        <v/>
      </c>
      <c r="B405" s="20">
        <f>IF('Enter messages'!B405="","",'Enter messages'!B405)</f>
        <v/>
      </c>
      <c r="C405" s="21">
        <f>IFERROR(AVERAGE(P405:T405),"")</f>
        <v/>
      </c>
      <c r="D405" s="29" t="n"/>
      <c r="E405" s="29" t="n"/>
      <c r="F405" s="30">
        <f>IF(AND(ISNUMBER($D405),ISNUMBER($E405),$E405&gt;0,$D405&lt;=$E405),$D405/$E405,"")</f>
        <v/>
      </c>
      <c r="P405" s="26" t="n"/>
      <c r="Q405" s="26" t="n"/>
      <c r="R405" s="26" t="n"/>
      <c r="S405" s="26" t="n"/>
      <c r="T405" s="26" t="n"/>
      <c r="V405" s="27">
        <f>IF(ISNUMBER($C405),COUNTIFS($A$14:$A$1213,$A405,$C$14:$C$1213,"&gt;"&amp;$C405)+(COUNTIFS($A$14:$A$1213,$A405,$C$14:$C$1213,"="&amp;$C405)+1)/2,"")</f>
        <v/>
      </c>
      <c r="W405" s="27">
        <f>IF(ISNUMBER($F405),COUNTIFS($A$14:$A$1213,$A405,$F$14:$F$1213,"&gt;"&amp;$F405)+(COUNTIFS($A$14:$A$1213,$A405,$F$14:$F$1213,"="&amp;$F405)+1)/2,"")</f>
        <v/>
      </c>
      <c r="X405" s="27">
        <f>IF(OR(NOT(ISNUMBER($V405)),$AO405=1),"",$V405-(COUNTIFS($A$14:$A$1213,$A405,$C$14:$C$1213,"&gt;=0")+1)/2)</f>
        <v/>
      </c>
      <c r="Y405" s="27">
        <f>IF(OR(NOT(ISNUMBER($W405)),$AO405=1),"",$W405-(COUNTIFS($A$14:$A$1213,$A405,$F$14:$F$1213,"&gt;=0")+1)/2)</f>
        <v/>
      </c>
      <c r="Z405" s="27">
        <f>IF(ISNUMBER($V405),$A405&amp;"|"&amp;$V405,"")</f>
        <v/>
      </c>
      <c r="AA405" s="27">
        <f>IF(ISNUMBER($W405),$A405&amp;"|"&amp;$W405,"")</f>
        <v/>
      </c>
      <c r="AB405" s="27">
        <f>IF(ISNUMBER($F405),$A405&amp;"|"&amp;$F405,"")</f>
        <v/>
      </c>
      <c r="AC405" s="27">
        <f>IF(ISNUMBER($P405),COUNTIFS($A$14:$A$1213,$A405,$P$14:$P$1213,"&gt;"&amp;$P405)+(COUNTIFS($A$14:$A$1213,$A405,$P$14:$P$1213,"="&amp;$P405)+1)/2,"")</f>
        <v/>
      </c>
      <c r="AD405" s="27">
        <f>IF(ISNUMBER($Q405),COUNTIFS($A$14:$A$1213,$A405,$Q$14:$Q$1213,"&gt;"&amp;$Q405)+(COUNTIFS($A$14:$A$1213,$A405,$Q$14:$Q$1213,"="&amp;$Q405)+1)/2,"")</f>
        <v/>
      </c>
      <c r="AE405" s="27">
        <f>IF(ISNUMBER($R405),COUNTIFS($A$14:$A$1213,$A405,$R$14:$R$1213,"&gt;"&amp;$R405)+(COUNTIFS($A$14:$A$1213,$A405,$R$14:$R$1213,"="&amp;$R405)+1)/2,"")</f>
        <v/>
      </c>
      <c r="AF405" s="27">
        <f>IF(ISNUMBER($S405),COUNTIFS($A$14:$A$1213,$A405,$S$14:$S$1213,"&gt;"&amp;$S405)+(COUNTIFS($A$14:$A$1213,$A405,$S$14:$S$1213,"="&amp;$S405)+1)/2,"")</f>
        <v/>
      </c>
      <c r="AG405" s="27">
        <f>IF(ISNUMBER($T405),COUNTIFS($A$14:$A$1213,$A405,$T$14:$T$1213,"&gt;"&amp;$T405)+(COUNTIFS($A$14:$A$1213,$A405,$T$14:$T$1213,"="&amp;$T405)+1)/2,"")</f>
        <v/>
      </c>
      <c r="AH405" s="27">
        <f>IF(COUNT($AC405:$AG405)&lt;2,"",IF(MAX($AC405:$AG405)=MIN($AC405:$AG405),0,1))</f>
        <v/>
      </c>
      <c r="AI405" s="27">
        <f>IF($A405="","",IF(COUNTIF($A$14:$A405,$A405)=1,COUNTIF($AI$13:AI404,"&gt;0")+1,""))</f>
        <v/>
      </c>
      <c r="AO405" s="27">
        <f>IF($A405="","",IF(AND(COUNTIFS($A$14:$A$1213,$A405,$F$14:$F$1213,"&gt;=0")=2,IFERROR(INDEX($M$14:$M$313,MATCH($A405,$H$14:$H$313,0)),"Yes")&lt;&gt;"Yes"),1,0))</f>
        <v/>
      </c>
    </row>
    <row r="406">
      <c r="A406" s="19">
        <f>IF('Enter messages'!A406="","",'Enter messages'!A406)</f>
        <v/>
      </c>
      <c r="B406" s="20">
        <f>IF('Enter messages'!B406="","",'Enter messages'!B406)</f>
        <v/>
      </c>
      <c r="C406" s="21">
        <f>IFERROR(AVERAGE(P406:T406),"")</f>
        <v/>
      </c>
      <c r="D406" s="29" t="n"/>
      <c r="E406" s="29" t="n"/>
      <c r="F406" s="30">
        <f>IF(AND(ISNUMBER($D406),ISNUMBER($E406),$E406&gt;0,$D406&lt;=$E406),$D406/$E406,"")</f>
        <v/>
      </c>
      <c r="P406" s="26" t="n"/>
      <c r="Q406" s="26" t="n"/>
      <c r="R406" s="26" t="n"/>
      <c r="S406" s="26" t="n"/>
      <c r="T406" s="26" t="n"/>
      <c r="V406" s="27">
        <f>IF(ISNUMBER($C406),COUNTIFS($A$14:$A$1213,$A406,$C$14:$C$1213,"&gt;"&amp;$C406)+(COUNTIFS($A$14:$A$1213,$A406,$C$14:$C$1213,"="&amp;$C406)+1)/2,"")</f>
        <v/>
      </c>
      <c r="W406" s="27">
        <f>IF(ISNUMBER($F406),COUNTIFS($A$14:$A$1213,$A406,$F$14:$F$1213,"&gt;"&amp;$F406)+(COUNTIFS($A$14:$A$1213,$A406,$F$14:$F$1213,"="&amp;$F406)+1)/2,"")</f>
        <v/>
      </c>
      <c r="X406" s="27">
        <f>IF(OR(NOT(ISNUMBER($V406)),$AO406=1),"",$V406-(COUNTIFS($A$14:$A$1213,$A406,$C$14:$C$1213,"&gt;=0")+1)/2)</f>
        <v/>
      </c>
      <c r="Y406" s="27">
        <f>IF(OR(NOT(ISNUMBER($W406)),$AO406=1),"",$W406-(COUNTIFS($A$14:$A$1213,$A406,$F$14:$F$1213,"&gt;=0")+1)/2)</f>
        <v/>
      </c>
      <c r="Z406" s="27">
        <f>IF(ISNUMBER($V406),$A406&amp;"|"&amp;$V406,"")</f>
        <v/>
      </c>
      <c r="AA406" s="27">
        <f>IF(ISNUMBER($W406),$A406&amp;"|"&amp;$W406,"")</f>
        <v/>
      </c>
      <c r="AB406" s="27">
        <f>IF(ISNUMBER($F406),$A406&amp;"|"&amp;$F406,"")</f>
        <v/>
      </c>
      <c r="AC406" s="27">
        <f>IF(ISNUMBER($P406),COUNTIFS($A$14:$A$1213,$A406,$P$14:$P$1213,"&gt;"&amp;$P406)+(COUNTIFS($A$14:$A$1213,$A406,$P$14:$P$1213,"="&amp;$P406)+1)/2,"")</f>
        <v/>
      </c>
      <c r="AD406" s="27">
        <f>IF(ISNUMBER($Q406),COUNTIFS($A$14:$A$1213,$A406,$Q$14:$Q$1213,"&gt;"&amp;$Q406)+(COUNTIFS($A$14:$A$1213,$A406,$Q$14:$Q$1213,"="&amp;$Q406)+1)/2,"")</f>
        <v/>
      </c>
      <c r="AE406" s="27">
        <f>IF(ISNUMBER($R406),COUNTIFS($A$14:$A$1213,$A406,$R$14:$R$1213,"&gt;"&amp;$R406)+(COUNTIFS($A$14:$A$1213,$A406,$R$14:$R$1213,"="&amp;$R406)+1)/2,"")</f>
        <v/>
      </c>
      <c r="AF406" s="27">
        <f>IF(ISNUMBER($S406),COUNTIFS($A$14:$A$1213,$A406,$S$14:$S$1213,"&gt;"&amp;$S406)+(COUNTIFS($A$14:$A$1213,$A406,$S$14:$S$1213,"="&amp;$S406)+1)/2,"")</f>
        <v/>
      </c>
      <c r="AG406" s="27">
        <f>IF(ISNUMBER($T406),COUNTIFS($A$14:$A$1213,$A406,$T$14:$T$1213,"&gt;"&amp;$T406)+(COUNTIFS($A$14:$A$1213,$A406,$T$14:$T$1213,"="&amp;$T406)+1)/2,"")</f>
        <v/>
      </c>
      <c r="AH406" s="27">
        <f>IF(COUNT($AC406:$AG406)&lt;2,"",IF(MAX($AC406:$AG406)=MIN($AC406:$AG406),0,1))</f>
        <v/>
      </c>
      <c r="AI406" s="27">
        <f>IF($A406="","",IF(COUNTIF($A$14:$A406,$A406)=1,COUNTIF($AI$13:AI405,"&gt;0")+1,""))</f>
        <v/>
      </c>
      <c r="AO406" s="27">
        <f>IF($A406="","",IF(AND(COUNTIFS($A$14:$A$1213,$A406,$F$14:$F$1213,"&gt;=0")=2,IFERROR(INDEX($M$14:$M$313,MATCH($A406,$H$14:$H$313,0)),"Yes")&lt;&gt;"Yes"),1,0))</f>
        <v/>
      </c>
    </row>
    <row r="407">
      <c r="A407" s="19">
        <f>IF('Enter messages'!A407="","",'Enter messages'!A407)</f>
        <v/>
      </c>
      <c r="B407" s="20">
        <f>IF('Enter messages'!B407="","",'Enter messages'!B407)</f>
        <v/>
      </c>
      <c r="C407" s="21">
        <f>IFERROR(AVERAGE(P407:T407),"")</f>
        <v/>
      </c>
      <c r="D407" s="29" t="n"/>
      <c r="E407" s="29" t="n"/>
      <c r="F407" s="30">
        <f>IF(AND(ISNUMBER($D407),ISNUMBER($E407),$E407&gt;0,$D407&lt;=$E407),$D407/$E407,"")</f>
        <v/>
      </c>
      <c r="P407" s="26" t="n"/>
      <c r="Q407" s="26" t="n"/>
      <c r="R407" s="26" t="n"/>
      <c r="S407" s="26" t="n"/>
      <c r="T407" s="26" t="n"/>
      <c r="V407" s="27">
        <f>IF(ISNUMBER($C407),COUNTIFS($A$14:$A$1213,$A407,$C$14:$C$1213,"&gt;"&amp;$C407)+(COUNTIFS($A$14:$A$1213,$A407,$C$14:$C$1213,"="&amp;$C407)+1)/2,"")</f>
        <v/>
      </c>
      <c r="W407" s="27">
        <f>IF(ISNUMBER($F407),COUNTIFS($A$14:$A$1213,$A407,$F$14:$F$1213,"&gt;"&amp;$F407)+(COUNTIFS($A$14:$A$1213,$A407,$F$14:$F$1213,"="&amp;$F407)+1)/2,"")</f>
        <v/>
      </c>
      <c r="X407" s="27">
        <f>IF(OR(NOT(ISNUMBER($V407)),$AO407=1),"",$V407-(COUNTIFS($A$14:$A$1213,$A407,$C$14:$C$1213,"&gt;=0")+1)/2)</f>
        <v/>
      </c>
      <c r="Y407" s="27">
        <f>IF(OR(NOT(ISNUMBER($W407)),$AO407=1),"",$W407-(COUNTIFS($A$14:$A$1213,$A407,$F$14:$F$1213,"&gt;=0")+1)/2)</f>
        <v/>
      </c>
      <c r="Z407" s="27">
        <f>IF(ISNUMBER($V407),$A407&amp;"|"&amp;$V407,"")</f>
        <v/>
      </c>
      <c r="AA407" s="27">
        <f>IF(ISNUMBER($W407),$A407&amp;"|"&amp;$W407,"")</f>
        <v/>
      </c>
      <c r="AB407" s="27">
        <f>IF(ISNUMBER($F407),$A407&amp;"|"&amp;$F407,"")</f>
        <v/>
      </c>
      <c r="AC407" s="27">
        <f>IF(ISNUMBER($P407),COUNTIFS($A$14:$A$1213,$A407,$P$14:$P$1213,"&gt;"&amp;$P407)+(COUNTIFS($A$14:$A$1213,$A407,$P$14:$P$1213,"="&amp;$P407)+1)/2,"")</f>
        <v/>
      </c>
      <c r="AD407" s="27">
        <f>IF(ISNUMBER($Q407),COUNTIFS($A$14:$A$1213,$A407,$Q$14:$Q$1213,"&gt;"&amp;$Q407)+(COUNTIFS($A$14:$A$1213,$A407,$Q$14:$Q$1213,"="&amp;$Q407)+1)/2,"")</f>
        <v/>
      </c>
      <c r="AE407" s="27">
        <f>IF(ISNUMBER($R407),COUNTIFS($A$14:$A$1213,$A407,$R$14:$R$1213,"&gt;"&amp;$R407)+(COUNTIFS($A$14:$A$1213,$A407,$R$14:$R$1213,"="&amp;$R407)+1)/2,"")</f>
        <v/>
      </c>
      <c r="AF407" s="27">
        <f>IF(ISNUMBER($S407),COUNTIFS($A$14:$A$1213,$A407,$S$14:$S$1213,"&gt;"&amp;$S407)+(COUNTIFS($A$14:$A$1213,$A407,$S$14:$S$1213,"="&amp;$S407)+1)/2,"")</f>
        <v/>
      </c>
      <c r="AG407" s="27">
        <f>IF(ISNUMBER($T407),COUNTIFS($A$14:$A$1213,$A407,$T$14:$T$1213,"&gt;"&amp;$T407)+(COUNTIFS($A$14:$A$1213,$A407,$T$14:$T$1213,"="&amp;$T407)+1)/2,"")</f>
        <v/>
      </c>
      <c r="AH407" s="27">
        <f>IF(COUNT($AC407:$AG407)&lt;2,"",IF(MAX($AC407:$AG407)=MIN($AC407:$AG407),0,1))</f>
        <v/>
      </c>
      <c r="AI407" s="27">
        <f>IF($A407="","",IF(COUNTIF($A$14:$A407,$A407)=1,COUNTIF($AI$13:AI406,"&gt;0")+1,""))</f>
        <v/>
      </c>
      <c r="AO407" s="27">
        <f>IF($A407="","",IF(AND(COUNTIFS($A$14:$A$1213,$A407,$F$14:$F$1213,"&gt;=0")=2,IFERROR(INDEX($M$14:$M$313,MATCH($A407,$H$14:$H$313,0)),"Yes")&lt;&gt;"Yes"),1,0))</f>
        <v/>
      </c>
    </row>
    <row r="408">
      <c r="A408" s="19">
        <f>IF('Enter messages'!A408="","",'Enter messages'!A408)</f>
        <v/>
      </c>
      <c r="B408" s="20">
        <f>IF('Enter messages'!B408="","",'Enter messages'!B408)</f>
        <v/>
      </c>
      <c r="C408" s="21">
        <f>IFERROR(AVERAGE(P408:T408),"")</f>
        <v/>
      </c>
      <c r="D408" s="29" t="n"/>
      <c r="E408" s="29" t="n"/>
      <c r="F408" s="30">
        <f>IF(AND(ISNUMBER($D408),ISNUMBER($E408),$E408&gt;0,$D408&lt;=$E408),$D408/$E408,"")</f>
        <v/>
      </c>
      <c r="P408" s="26" t="n"/>
      <c r="Q408" s="26" t="n"/>
      <c r="R408" s="26" t="n"/>
      <c r="S408" s="26" t="n"/>
      <c r="T408" s="26" t="n"/>
      <c r="V408" s="27">
        <f>IF(ISNUMBER($C408),COUNTIFS($A$14:$A$1213,$A408,$C$14:$C$1213,"&gt;"&amp;$C408)+(COUNTIFS($A$14:$A$1213,$A408,$C$14:$C$1213,"="&amp;$C408)+1)/2,"")</f>
        <v/>
      </c>
      <c r="W408" s="27">
        <f>IF(ISNUMBER($F408),COUNTIFS($A$14:$A$1213,$A408,$F$14:$F$1213,"&gt;"&amp;$F408)+(COUNTIFS($A$14:$A$1213,$A408,$F$14:$F$1213,"="&amp;$F408)+1)/2,"")</f>
        <v/>
      </c>
      <c r="X408" s="27">
        <f>IF(OR(NOT(ISNUMBER($V408)),$AO408=1),"",$V408-(COUNTIFS($A$14:$A$1213,$A408,$C$14:$C$1213,"&gt;=0")+1)/2)</f>
        <v/>
      </c>
      <c r="Y408" s="27">
        <f>IF(OR(NOT(ISNUMBER($W408)),$AO408=1),"",$W408-(COUNTIFS($A$14:$A$1213,$A408,$F$14:$F$1213,"&gt;=0")+1)/2)</f>
        <v/>
      </c>
      <c r="Z408" s="27">
        <f>IF(ISNUMBER($V408),$A408&amp;"|"&amp;$V408,"")</f>
        <v/>
      </c>
      <c r="AA408" s="27">
        <f>IF(ISNUMBER($W408),$A408&amp;"|"&amp;$W408,"")</f>
        <v/>
      </c>
      <c r="AB408" s="27">
        <f>IF(ISNUMBER($F408),$A408&amp;"|"&amp;$F408,"")</f>
        <v/>
      </c>
      <c r="AC408" s="27">
        <f>IF(ISNUMBER($P408),COUNTIFS($A$14:$A$1213,$A408,$P$14:$P$1213,"&gt;"&amp;$P408)+(COUNTIFS($A$14:$A$1213,$A408,$P$14:$P$1213,"="&amp;$P408)+1)/2,"")</f>
        <v/>
      </c>
      <c r="AD408" s="27">
        <f>IF(ISNUMBER($Q408),COUNTIFS($A$14:$A$1213,$A408,$Q$14:$Q$1213,"&gt;"&amp;$Q408)+(COUNTIFS($A$14:$A$1213,$A408,$Q$14:$Q$1213,"="&amp;$Q408)+1)/2,"")</f>
        <v/>
      </c>
      <c r="AE408" s="27">
        <f>IF(ISNUMBER($R408),COUNTIFS($A$14:$A$1213,$A408,$R$14:$R$1213,"&gt;"&amp;$R408)+(COUNTIFS($A$14:$A$1213,$A408,$R$14:$R$1213,"="&amp;$R408)+1)/2,"")</f>
        <v/>
      </c>
      <c r="AF408" s="27">
        <f>IF(ISNUMBER($S408),COUNTIFS($A$14:$A$1213,$A408,$S$14:$S$1213,"&gt;"&amp;$S408)+(COUNTIFS($A$14:$A$1213,$A408,$S$14:$S$1213,"="&amp;$S408)+1)/2,"")</f>
        <v/>
      </c>
      <c r="AG408" s="27">
        <f>IF(ISNUMBER($T408),COUNTIFS($A$14:$A$1213,$A408,$T$14:$T$1213,"&gt;"&amp;$T408)+(COUNTIFS($A$14:$A$1213,$A408,$T$14:$T$1213,"="&amp;$T408)+1)/2,"")</f>
        <v/>
      </c>
      <c r="AH408" s="27">
        <f>IF(COUNT($AC408:$AG408)&lt;2,"",IF(MAX($AC408:$AG408)=MIN($AC408:$AG408),0,1))</f>
        <v/>
      </c>
      <c r="AI408" s="27">
        <f>IF($A408="","",IF(COUNTIF($A$14:$A408,$A408)=1,COUNTIF($AI$13:AI407,"&gt;0")+1,""))</f>
        <v/>
      </c>
      <c r="AO408" s="27">
        <f>IF($A408="","",IF(AND(COUNTIFS($A$14:$A$1213,$A408,$F$14:$F$1213,"&gt;=0")=2,IFERROR(INDEX($M$14:$M$313,MATCH($A408,$H$14:$H$313,0)),"Yes")&lt;&gt;"Yes"),1,0))</f>
        <v/>
      </c>
    </row>
    <row r="409">
      <c r="A409" s="19">
        <f>IF('Enter messages'!A409="","",'Enter messages'!A409)</f>
        <v/>
      </c>
      <c r="B409" s="20">
        <f>IF('Enter messages'!B409="","",'Enter messages'!B409)</f>
        <v/>
      </c>
      <c r="C409" s="21">
        <f>IFERROR(AVERAGE(P409:T409),"")</f>
        <v/>
      </c>
      <c r="D409" s="29" t="n"/>
      <c r="E409" s="29" t="n"/>
      <c r="F409" s="30">
        <f>IF(AND(ISNUMBER($D409),ISNUMBER($E409),$E409&gt;0,$D409&lt;=$E409),$D409/$E409,"")</f>
        <v/>
      </c>
      <c r="P409" s="26" t="n"/>
      <c r="Q409" s="26" t="n"/>
      <c r="R409" s="26" t="n"/>
      <c r="S409" s="26" t="n"/>
      <c r="T409" s="26" t="n"/>
      <c r="V409" s="27">
        <f>IF(ISNUMBER($C409),COUNTIFS($A$14:$A$1213,$A409,$C$14:$C$1213,"&gt;"&amp;$C409)+(COUNTIFS($A$14:$A$1213,$A409,$C$14:$C$1213,"="&amp;$C409)+1)/2,"")</f>
        <v/>
      </c>
      <c r="W409" s="27">
        <f>IF(ISNUMBER($F409),COUNTIFS($A$14:$A$1213,$A409,$F$14:$F$1213,"&gt;"&amp;$F409)+(COUNTIFS($A$14:$A$1213,$A409,$F$14:$F$1213,"="&amp;$F409)+1)/2,"")</f>
        <v/>
      </c>
      <c r="X409" s="27">
        <f>IF(OR(NOT(ISNUMBER($V409)),$AO409=1),"",$V409-(COUNTIFS($A$14:$A$1213,$A409,$C$14:$C$1213,"&gt;=0")+1)/2)</f>
        <v/>
      </c>
      <c r="Y409" s="27">
        <f>IF(OR(NOT(ISNUMBER($W409)),$AO409=1),"",$W409-(COUNTIFS($A$14:$A$1213,$A409,$F$14:$F$1213,"&gt;=0")+1)/2)</f>
        <v/>
      </c>
      <c r="Z409" s="27">
        <f>IF(ISNUMBER($V409),$A409&amp;"|"&amp;$V409,"")</f>
        <v/>
      </c>
      <c r="AA409" s="27">
        <f>IF(ISNUMBER($W409),$A409&amp;"|"&amp;$W409,"")</f>
        <v/>
      </c>
      <c r="AB409" s="27">
        <f>IF(ISNUMBER($F409),$A409&amp;"|"&amp;$F409,"")</f>
        <v/>
      </c>
      <c r="AC409" s="27">
        <f>IF(ISNUMBER($P409),COUNTIFS($A$14:$A$1213,$A409,$P$14:$P$1213,"&gt;"&amp;$P409)+(COUNTIFS($A$14:$A$1213,$A409,$P$14:$P$1213,"="&amp;$P409)+1)/2,"")</f>
        <v/>
      </c>
      <c r="AD409" s="27">
        <f>IF(ISNUMBER($Q409),COUNTIFS($A$14:$A$1213,$A409,$Q$14:$Q$1213,"&gt;"&amp;$Q409)+(COUNTIFS($A$14:$A$1213,$A409,$Q$14:$Q$1213,"="&amp;$Q409)+1)/2,"")</f>
        <v/>
      </c>
      <c r="AE409" s="27">
        <f>IF(ISNUMBER($R409),COUNTIFS($A$14:$A$1213,$A409,$R$14:$R$1213,"&gt;"&amp;$R409)+(COUNTIFS($A$14:$A$1213,$A409,$R$14:$R$1213,"="&amp;$R409)+1)/2,"")</f>
        <v/>
      </c>
      <c r="AF409" s="27">
        <f>IF(ISNUMBER($S409),COUNTIFS($A$14:$A$1213,$A409,$S$14:$S$1213,"&gt;"&amp;$S409)+(COUNTIFS($A$14:$A$1213,$A409,$S$14:$S$1213,"="&amp;$S409)+1)/2,"")</f>
        <v/>
      </c>
      <c r="AG409" s="27">
        <f>IF(ISNUMBER($T409),COUNTIFS($A$14:$A$1213,$A409,$T$14:$T$1213,"&gt;"&amp;$T409)+(COUNTIFS($A$14:$A$1213,$A409,$T$14:$T$1213,"="&amp;$T409)+1)/2,"")</f>
        <v/>
      </c>
      <c r="AH409" s="27">
        <f>IF(COUNT($AC409:$AG409)&lt;2,"",IF(MAX($AC409:$AG409)=MIN($AC409:$AG409),0,1))</f>
        <v/>
      </c>
      <c r="AI409" s="27">
        <f>IF($A409="","",IF(COUNTIF($A$14:$A409,$A409)=1,COUNTIF($AI$13:AI408,"&gt;0")+1,""))</f>
        <v/>
      </c>
      <c r="AO409" s="27">
        <f>IF($A409="","",IF(AND(COUNTIFS($A$14:$A$1213,$A409,$F$14:$F$1213,"&gt;=0")=2,IFERROR(INDEX($M$14:$M$313,MATCH($A409,$H$14:$H$313,0)),"Yes")&lt;&gt;"Yes"),1,0))</f>
        <v/>
      </c>
    </row>
    <row r="410">
      <c r="A410" s="19">
        <f>IF('Enter messages'!A410="","",'Enter messages'!A410)</f>
        <v/>
      </c>
      <c r="B410" s="20">
        <f>IF('Enter messages'!B410="","",'Enter messages'!B410)</f>
        <v/>
      </c>
      <c r="C410" s="21">
        <f>IFERROR(AVERAGE(P410:T410),"")</f>
        <v/>
      </c>
      <c r="D410" s="29" t="n"/>
      <c r="E410" s="29" t="n"/>
      <c r="F410" s="30">
        <f>IF(AND(ISNUMBER($D410),ISNUMBER($E410),$E410&gt;0,$D410&lt;=$E410),$D410/$E410,"")</f>
        <v/>
      </c>
      <c r="P410" s="26" t="n"/>
      <c r="Q410" s="26" t="n"/>
      <c r="R410" s="26" t="n"/>
      <c r="S410" s="26" t="n"/>
      <c r="T410" s="26" t="n"/>
      <c r="V410" s="27">
        <f>IF(ISNUMBER($C410),COUNTIFS($A$14:$A$1213,$A410,$C$14:$C$1213,"&gt;"&amp;$C410)+(COUNTIFS($A$14:$A$1213,$A410,$C$14:$C$1213,"="&amp;$C410)+1)/2,"")</f>
        <v/>
      </c>
      <c r="W410" s="27">
        <f>IF(ISNUMBER($F410),COUNTIFS($A$14:$A$1213,$A410,$F$14:$F$1213,"&gt;"&amp;$F410)+(COUNTIFS($A$14:$A$1213,$A410,$F$14:$F$1213,"="&amp;$F410)+1)/2,"")</f>
        <v/>
      </c>
      <c r="X410" s="27">
        <f>IF(OR(NOT(ISNUMBER($V410)),$AO410=1),"",$V410-(COUNTIFS($A$14:$A$1213,$A410,$C$14:$C$1213,"&gt;=0")+1)/2)</f>
        <v/>
      </c>
      <c r="Y410" s="27">
        <f>IF(OR(NOT(ISNUMBER($W410)),$AO410=1),"",$W410-(COUNTIFS($A$14:$A$1213,$A410,$F$14:$F$1213,"&gt;=0")+1)/2)</f>
        <v/>
      </c>
      <c r="Z410" s="27">
        <f>IF(ISNUMBER($V410),$A410&amp;"|"&amp;$V410,"")</f>
        <v/>
      </c>
      <c r="AA410" s="27">
        <f>IF(ISNUMBER($W410),$A410&amp;"|"&amp;$W410,"")</f>
        <v/>
      </c>
      <c r="AB410" s="27">
        <f>IF(ISNUMBER($F410),$A410&amp;"|"&amp;$F410,"")</f>
        <v/>
      </c>
      <c r="AC410" s="27">
        <f>IF(ISNUMBER($P410),COUNTIFS($A$14:$A$1213,$A410,$P$14:$P$1213,"&gt;"&amp;$P410)+(COUNTIFS($A$14:$A$1213,$A410,$P$14:$P$1213,"="&amp;$P410)+1)/2,"")</f>
        <v/>
      </c>
      <c r="AD410" s="27">
        <f>IF(ISNUMBER($Q410),COUNTIFS($A$14:$A$1213,$A410,$Q$14:$Q$1213,"&gt;"&amp;$Q410)+(COUNTIFS($A$14:$A$1213,$A410,$Q$14:$Q$1213,"="&amp;$Q410)+1)/2,"")</f>
        <v/>
      </c>
      <c r="AE410" s="27">
        <f>IF(ISNUMBER($R410),COUNTIFS($A$14:$A$1213,$A410,$R$14:$R$1213,"&gt;"&amp;$R410)+(COUNTIFS($A$14:$A$1213,$A410,$R$14:$R$1213,"="&amp;$R410)+1)/2,"")</f>
        <v/>
      </c>
      <c r="AF410" s="27">
        <f>IF(ISNUMBER($S410),COUNTIFS($A$14:$A$1213,$A410,$S$14:$S$1213,"&gt;"&amp;$S410)+(COUNTIFS($A$14:$A$1213,$A410,$S$14:$S$1213,"="&amp;$S410)+1)/2,"")</f>
        <v/>
      </c>
      <c r="AG410" s="27">
        <f>IF(ISNUMBER($T410),COUNTIFS($A$14:$A$1213,$A410,$T$14:$T$1213,"&gt;"&amp;$T410)+(COUNTIFS($A$14:$A$1213,$A410,$T$14:$T$1213,"="&amp;$T410)+1)/2,"")</f>
        <v/>
      </c>
      <c r="AH410" s="27">
        <f>IF(COUNT($AC410:$AG410)&lt;2,"",IF(MAX($AC410:$AG410)=MIN($AC410:$AG410),0,1))</f>
        <v/>
      </c>
      <c r="AI410" s="27">
        <f>IF($A410="","",IF(COUNTIF($A$14:$A410,$A410)=1,COUNTIF($AI$13:AI409,"&gt;0")+1,""))</f>
        <v/>
      </c>
      <c r="AO410" s="27">
        <f>IF($A410="","",IF(AND(COUNTIFS($A$14:$A$1213,$A410,$F$14:$F$1213,"&gt;=0")=2,IFERROR(INDEX($M$14:$M$313,MATCH($A410,$H$14:$H$313,0)),"Yes")&lt;&gt;"Yes"),1,0))</f>
        <v/>
      </c>
    </row>
    <row r="411">
      <c r="A411" s="19">
        <f>IF('Enter messages'!A411="","",'Enter messages'!A411)</f>
        <v/>
      </c>
      <c r="B411" s="20">
        <f>IF('Enter messages'!B411="","",'Enter messages'!B411)</f>
        <v/>
      </c>
      <c r="C411" s="21">
        <f>IFERROR(AVERAGE(P411:T411),"")</f>
        <v/>
      </c>
      <c r="D411" s="29" t="n"/>
      <c r="E411" s="29" t="n"/>
      <c r="F411" s="30">
        <f>IF(AND(ISNUMBER($D411),ISNUMBER($E411),$E411&gt;0,$D411&lt;=$E411),$D411/$E411,"")</f>
        <v/>
      </c>
      <c r="P411" s="26" t="n"/>
      <c r="Q411" s="26" t="n"/>
      <c r="R411" s="26" t="n"/>
      <c r="S411" s="26" t="n"/>
      <c r="T411" s="26" t="n"/>
      <c r="V411" s="27">
        <f>IF(ISNUMBER($C411),COUNTIFS($A$14:$A$1213,$A411,$C$14:$C$1213,"&gt;"&amp;$C411)+(COUNTIFS($A$14:$A$1213,$A411,$C$14:$C$1213,"="&amp;$C411)+1)/2,"")</f>
        <v/>
      </c>
      <c r="W411" s="27">
        <f>IF(ISNUMBER($F411),COUNTIFS($A$14:$A$1213,$A411,$F$14:$F$1213,"&gt;"&amp;$F411)+(COUNTIFS($A$14:$A$1213,$A411,$F$14:$F$1213,"="&amp;$F411)+1)/2,"")</f>
        <v/>
      </c>
      <c r="X411" s="27">
        <f>IF(OR(NOT(ISNUMBER($V411)),$AO411=1),"",$V411-(COUNTIFS($A$14:$A$1213,$A411,$C$14:$C$1213,"&gt;=0")+1)/2)</f>
        <v/>
      </c>
      <c r="Y411" s="27">
        <f>IF(OR(NOT(ISNUMBER($W411)),$AO411=1),"",$W411-(COUNTIFS($A$14:$A$1213,$A411,$F$14:$F$1213,"&gt;=0")+1)/2)</f>
        <v/>
      </c>
      <c r="Z411" s="27">
        <f>IF(ISNUMBER($V411),$A411&amp;"|"&amp;$V411,"")</f>
        <v/>
      </c>
      <c r="AA411" s="27">
        <f>IF(ISNUMBER($W411),$A411&amp;"|"&amp;$W411,"")</f>
        <v/>
      </c>
      <c r="AB411" s="27">
        <f>IF(ISNUMBER($F411),$A411&amp;"|"&amp;$F411,"")</f>
        <v/>
      </c>
      <c r="AC411" s="27">
        <f>IF(ISNUMBER($P411),COUNTIFS($A$14:$A$1213,$A411,$P$14:$P$1213,"&gt;"&amp;$P411)+(COUNTIFS($A$14:$A$1213,$A411,$P$14:$P$1213,"="&amp;$P411)+1)/2,"")</f>
        <v/>
      </c>
      <c r="AD411" s="27">
        <f>IF(ISNUMBER($Q411),COUNTIFS($A$14:$A$1213,$A411,$Q$14:$Q$1213,"&gt;"&amp;$Q411)+(COUNTIFS($A$14:$A$1213,$A411,$Q$14:$Q$1213,"="&amp;$Q411)+1)/2,"")</f>
        <v/>
      </c>
      <c r="AE411" s="27">
        <f>IF(ISNUMBER($R411),COUNTIFS($A$14:$A$1213,$A411,$R$14:$R$1213,"&gt;"&amp;$R411)+(COUNTIFS($A$14:$A$1213,$A411,$R$14:$R$1213,"="&amp;$R411)+1)/2,"")</f>
        <v/>
      </c>
      <c r="AF411" s="27">
        <f>IF(ISNUMBER($S411),COUNTIFS($A$14:$A$1213,$A411,$S$14:$S$1213,"&gt;"&amp;$S411)+(COUNTIFS($A$14:$A$1213,$A411,$S$14:$S$1213,"="&amp;$S411)+1)/2,"")</f>
        <v/>
      </c>
      <c r="AG411" s="27">
        <f>IF(ISNUMBER($T411),COUNTIFS($A$14:$A$1213,$A411,$T$14:$T$1213,"&gt;"&amp;$T411)+(COUNTIFS($A$14:$A$1213,$A411,$T$14:$T$1213,"="&amp;$T411)+1)/2,"")</f>
        <v/>
      </c>
      <c r="AH411" s="27">
        <f>IF(COUNT($AC411:$AG411)&lt;2,"",IF(MAX($AC411:$AG411)=MIN($AC411:$AG411),0,1))</f>
        <v/>
      </c>
      <c r="AI411" s="27">
        <f>IF($A411="","",IF(COUNTIF($A$14:$A411,$A411)=1,COUNTIF($AI$13:AI410,"&gt;0")+1,""))</f>
        <v/>
      </c>
      <c r="AO411" s="27">
        <f>IF($A411="","",IF(AND(COUNTIFS($A$14:$A$1213,$A411,$F$14:$F$1213,"&gt;=0")=2,IFERROR(INDEX($M$14:$M$313,MATCH($A411,$H$14:$H$313,0)),"Yes")&lt;&gt;"Yes"),1,0))</f>
        <v/>
      </c>
    </row>
    <row r="412">
      <c r="A412" s="19">
        <f>IF('Enter messages'!A412="","",'Enter messages'!A412)</f>
        <v/>
      </c>
      <c r="B412" s="20">
        <f>IF('Enter messages'!B412="","",'Enter messages'!B412)</f>
        <v/>
      </c>
      <c r="C412" s="21">
        <f>IFERROR(AVERAGE(P412:T412),"")</f>
        <v/>
      </c>
      <c r="D412" s="29" t="n"/>
      <c r="E412" s="29" t="n"/>
      <c r="F412" s="30">
        <f>IF(AND(ISNUMBER($D412),ISNUMBER($E412),$E412&gt;0,$D412&lt;=$E412),$D412/$E412,"")</f>
        <v/>
      </c>
      <c r="P412" s="26" t="n"/>
      <c r="Q412" s="26" t="n"/>
      <c r="R412" s="26" t="n"/>
      <c r="S412" s="26" t="n"/>
      <c r="T412" s="26" t="n"/>
      <c r="V412" s="27">
        <f>IF(ISNUMBER($C412),COUNTIFS($A$14:$A$1213,$A412,$C$14:$C$1213,"&gt;"&amp;$C412)+(COUNTIFS($A$14:$A$1213,$A412,$C$14:$C$1213,"="&amp;$C412)+1)/2,"")</f>
        <v/>
      </c>
      <c r="W412" s="27">
        <f>IF(ISNUMBER($F412),COUNTIFS($A$14:$A$1213,$A412,$F$14:$F$1213,"&gt;"&amp;$F412)+(COUNTIFS($A$14:$A$1213,$A412,$F$14:$F$1213,"="&amp;$F412)+1)/2,"")</f>
        <v/>
      </c>
      <c r="X412" s="27">
        <f>IF(OR(NOT(ISNUMBER($V412)),$AO412=1),"",$V412-(COUNTIFS($A$14:$A$1213,$A412,$C$14:$C$1213,"&gt;=0")+1)/2)</f>
        <v/>
      </c>
      <c r="Y412" s="27">
        <f>IF(OR(NOT(ISNUMBER($W412)),$AO412=1),"",$W412-(COUNTIFS($A$14:$A$1213,$A412,$F$14:$F$1213,"&gt;=0")+1)/2)</f>
        <v/>
      </c>
      <c r="Z412" s="27">
        <f>IF(ISNUMBER($V412),$A412&amp;"|"&amp;$V412,"")</f>
        <v/>
      </c>
      <c r="AA412" s="27">
        <f>IF(ISNUMBER($W412),$A412&amp;"|"&amp;$W412,"")</f>
        <v/>
      </c>
      <c r="AB412" s="27">
        <f>IF(ISNUMBER($F412),$A412&amp;"|"&amp;$F412,"")</f>
        <v/>
      </c>
      <c r="AC412" s="27">
        <f>IF(ISNUMBER($P412),COUNTIFS($A$14:$A$1213,$A412,$P$14:$P$1213,"&gt;"&amp;$P412)+(COUNTIFS($A$14:$A$1213,$A412,$P$14:$P$1213,"="&amp;$P412)+1)/2,"")</f>
        <v/>
      </c>
      <c r="AD412" s="27">
        <f>IF(ISNUMBER($Q412),COUNTIFS($A$14:$A$1213,$A412,$Q$14:$Q$1213,"&gt;"&amp;$Q412)+(COUNTIFS($A$14:$A$1213,$A412,$Q$14:$Q$1213,"="&amp;$Q412)+1)/2,"")</f>
        <v/>
      </c>
      <c r="AE412" s="27">
        <f>IF(ISNUMBER($R412),COUNTIFS($A$14:$A$1213,$A412,$R$14:$R$1213,"&gt;"&amp;$R412)+(COUNTIFS($A$14:$A$1213,$A412,$R$14:$R$1213,"="&amp;$R412)+1)/2,"")</f>
        <v/>
      </c>
      <c r="AF412" s="27">
        <f>IF(ISNUMBER($S412),COUNTIFS($A$14:$A$1213,$A412,$S$14:$S$1213,"&gt;"&amp;$S412)+(COUNTIFS($A$14:$A$1213,$A412,$S$14:$S$1213,"="&amp;$S412)+1)/2,"")</f>
        <v/>
      </c>
      <c r="AG412" s="27">
        <f>IF(ISNUMBER($T412),COUNTIFS($A$14:$A$1213,$A412,$T$14:$T$1213,"&gt;"&amp;$T412)+(COUNTIFS($A$14:$A$1213,$A412,$T$14:$T$1213,"="&amp;$T412)+1)/2,"")</f>
        <v/>
      </c>
      <c r="AH412" s="27">
        <f>IF(COUNT($AC412:$AG412)&lt;2,"",IF(MAX($AC412:$AG412)=MIN($AC412:$AG412),0,1))</f>
        <v/>
      </c>
      <c r="AI412" s="27">
        <f>IF($A412="","",IF(COUNTIF($A$14:$A412,$A412)=1,COUNTIF($AI$13:AI411,"&gt;0")+1,""))</f>
        <v/>
      </c>
      <c r="AO412" s="27">
        <f>IF($A412="","",IF(AND(COUNTIFS($A$14:$A$1213,$A412,$F$14:$F$1213,"&gt;=0")=2,IFERROR(INDEX($M$14:$M$313,MATCH($A412,$H$14:$H$313,0)),"Yes")&lt;&gt;"Yes"),1,0))</f>
        <v/>
      </c>
    </row>
    <row r="413">
      <c r="A413" s="19">
        <f>IF('Enter messages'!A413="","",'Enter messages'!A413)</f>
        <v/>
      </c>
      <c r="B413" s="20">
        <f>IF('Enter messages'!B413="","",'Enter messages'!B413)</f>
        <v/>
      </c>
      <c r="C413" s="21">
        <f>IFERROR(AVERAGE(P413:T413),"")</f>
        <v/>
      </c>
      <c r="D413" s="29" t="n"/>
      <c r="E413" s="29" t="n"/>
      <c r="F413" s="30">
        <f>IF(AND(ISNUMBER($D413),ISNUMBER($E413),$E413&gt;0,$D413&lt;=$E413),$D413/$E413,"")</f>
        <v/>
      </c>
      <c r="P413" s="26" t="n"/>
      <c r="Q413" s="26" t="n"/>
      <c r="R413" s="26" t="n"/>
      <c r="S413" s="26" t="n"/>
      <c r="T413" s="26" t="n"/>
      <c r="V413" s="27">
        <f>IF(ISNUMBER($C413),COUNTIFS($A$14:$A$1213,$A413,$C$14:$C$1213,"&gt;"&amp;$C413)+(COUNTIFS($A$14:$A$1213,$A413,$C$14:$C$1213,"="&amp;$C413)+1)/2,"")</f>
        <v/>
      </c>
      <c r="W413" s="27">
        <f>IF(ISNUMBER($F413),COUNTIFS($A$14:$A$1213,$A413,$F$14:$F$1213,"&gt;"&amp;$F413)+(COUNTIFS($A$14:$A$1213,$A413,$F$14:$F$1213,"="&amp;$F413)+1)/2,"")</f>
        <v/>
      </c>
      <c r="X413" s="27">
        <f>IF(OR(NOT(ISNUMBER($V413)),$AO413=1),"",$V413-(COUNTIFS($A$14:$A$1213,$A413,$C$14:$C$1213,"&gt;=0")+1)/2)</f>
        <v/>
      </c>
      <c r="Y413" s="27">
        <f>IF(OR(NOT(ISNUMBER($W413)),$AO413=1),"",$W413-(COUNTIFS($A$14:$A$1213,$A413,$F$14:$F$1213,"&gt;=0")+1)/2)</f>
        <v/>
      </c>
      <c r="Z413" s="27">
        <f>IF(ISNUMBER($V413),$A413&amp;"|"&amp;$V413,"")</f>
        <v/>
      </c>
      <c r="AA413" s="27">
        <f>IF(ISNUMBER($W413),$A413&amp;"|"&amp;$W413,"")</f>
        <v/>
      </c>
      <c r="AB413" s="27">
        <f>IF(ISNUMBER($F413),$A413&amp;"|"&amp;$F413,"")</f>
        <v/>
      </c>
      <c r="AC413" s="27">
        <f>IF(ISNUMBER($P413),COUNTIFS($A$14:$A$1213,$A413,$P$14:$P$1213,"&gt;"&amp;$P413)+(COUNTIFS($A$14:$A$1213,$A413,$P$14:$P$1213,"="&amp;$P413)+1)/2,"")</f>
        <v/>
      </c>
      <c r="AD413" s="27">
        <f>IF(ISNUMBER($Q413),COUNTIFS($A$14:$A$1213,$A413,$Q$14:$Q$1213,"&gt;"&amp;$Q413)+(COUNTIFS($A$14:$A$1213,$A413,$Q$14:$Q$1213,"="&amp;$Q413)+1)/2,"")</f>
        <v/>
      </c>
      <c r="AE413" s="27">
        <f>IF(ISNUMBER($R413),COUNTIFS($A$14:$A$1213,$A413,$R$14:$R$1213,"&gt;"&amp;$R413)+(COUNTIFS($A$14:$A$1213,$A413,$R$14:$R$1213,"="&amp;$R413)+1)/2,"")</f>
        <v/>
      </c>
      <c r="AF413" s="27">
        <f>IF(ISNUMBER($S413),COUNTIFS($A$14:$A$1213,$A413,$S$14:$S$1213,"&gt;"&amp;$S413)+(COUNTIFS($A$14:$A$1213,$A413,$S$14:$S$1213,"="&amp;$S413)+1)/2,"")</f>
        <v/>
      </c>
      <c r="AG413" s="27">
        <f>IF(ISNUMBER($T413),COUNTIFS($A$14:$A$1213,$A413,$T$14:$T$1213,"&gt;"&amp;$T413)+(COUNTIFS($A$14:$A$1213,$A413,$T$14:$T$1213,"="&amp;$T413)+1)/2,"")</f>
        <v/>
      </c>
      <c r="AH413" s="27">
        <f>IF(COUNT($AC413:$AG413)&lt;2,"",IF(MAX($AC413:$AG413)=MIN($AC413:$AG413),0,1))</f>
        <v/>
      </c>
      <c r="AI413" s="27">
        <f>IF($A413="","",IF(COUNTIF($A$14:$A413,$A413)=1,COUNTIF($AI$13:AI412,"&gt;0")+1,""))</f>
        <v/>
      </c>
      <c r="AO413" s="27">
        <f>IF($A413="","",IF(AND(COUNTIFS($A$14:$A$1213,$A413,$F$14:$F$1213,"&gt;=0")=2,IFERROR(INDEX($M$14:$M$313,MATCH($A413,$H$14:$H$313,0)),"Yes")&lt;&gt;"Yes"),1,0))</f>
        <v/>
      </c>
    </row>
    <row r="414">
      <c r="A414" s="19">
        <f>IF('Enter messages'!A414="","",'Enter messages'!A414)</f>
        <v/>
      </c>
      <c r="B414" s="20">
        <f>IF('Enter messages'!B414="","",'Enter messages'!B414)</f>
        <v/>
      </c>
      <c r="C414" s="21">
        <f>IFERROR(AVERAGE(P414:T414),"")</f>
        <v/>
      </c>
      <c r="D414" s="29" t="n"/>
      <c r="E414" s="29" t="n"/>
      <c r="F414" s="30">
        <f>IF(AND(ISNUMBER($D414),ISNUMBER($E414),$E414&gt;0,$D414&lt;=$E414),$D414/$E414,"")</f>
        <v/>
      </c>
      <c r="P414" s="26" t="n"/>
      <c r="Q414" s="26" t="n"/>
      <c r="R414" s="26" t="n"/>
      <c r="S414" s="26" t="n"/>
      <c r="T414" s="26" t="n"/>
      <c r="V414" s="27">
        <f>IF(ISNUMBER($C414),COUNTIFS($A$14:$A$1213,$A414,$C$14:$C$1213,"&gt;"&amp;$C414)+(COUNTIFS($A$14:$A$1213,$A414,$C$14:$C$1213,"="&amp;$C414)+1)/2,"")</f>
        <v/>
      </c>
      <c r="W414" s="27">
        <f>IF(ISNUMBER($F414),COUNTIFS($A$14:$A$1213,$A414,$F$14:$F$1213,"&gt;"&amp;$F414)+(COUNTIFS($A$14:$A$1213,$A414,$F$14:$F$1213,"="&amp;$F414)+1)/2,"")</f>
        <v/>
      </c>
      <c r="X414" s="27">
        <f>IF(OR(NOT(ISNUMBER($V414)),$AO414=1),"",$V414-(COUNTIFS($A$14:$A$1213,$A414,$C$14:$C$1213,"&gt;=0")+1)/2)</f>
        <v/>
      </c>
      <c r="Y414" s="27">
        <f>IF(OR(NOT(ISNUMBER($W414)),$AO414=1),"",$W414-(COUNTIFS($A$14:$A$1213,$A414,$F$14:$F$1213,"&gt;=0")+1)/2)</f>
        <v/>
      </c>
      <c r="Z414" s="27">
        <f>IF(ISNUMBER($V414),$A414&amp;"|"&amp;$V414,"")</f>
        <v/>
      </c>
      <c r="AA414" s="27">
        <f>IF(ISNUMBER($W414),$A414&amp;"|"&amp;$W414,"")</f>
        <v/>
      </c>
      <c r="AB414" s="27">
        <f>IF(ISNUMBER($F414),$A414&amp;"|"&amp;$F414,"")</f>
        <v/>
      </c>
      <c r="AC414" s="27">
        <f>IF(ISNUMBER($P414),COUNTIFS($A$14:$A$1213,$A414,$P$14:$P$1213,"&gt;"&amp;$P414)+(COUNTIFS($A$14:$A$1213,$A414,$P$14:$P$1213,"="&amp;$P414)+1)/2,"")</f>
        <v/>
      </c>
      <c r="AD414" s="27">
        <f>IF(ISNUMBER($Q414),COUNTIFS($A$14:$A$1213,$A414,$Q$14:$Q$1213,"&gt;"&amp;$Q414)+(COUNTIFS($A$14:$A$1213,$A414,$Q$14:$Q$1213,"="&amp;$Q414)+1)/2,"")</f>
        <v/>
      </c>
      <c r="AE414" s="27">
        <f>IF(ISNUMBER($R414),COUNTIFS($A$14:$A$1213,$A414,$R$14:$R$1213,"&gt;"&amp;$R414)+(COUNTIFS($A$14:$A$1213,$A414,$R$14:$R$1213,"="&amp;$R414)+1)/2,"")</f>
        <v/>
      </c>
      <c r="AF414" s="27">
        <f>IF(ISNUMBER($S414),COUNTIFS($A$14:$A$1213,$A414,$S$14:$S$1213,"&gt;"&amp;$S414)+(COUNTIFS($A$14:$A$1213,$A414,$S$14:$S$1213,"="&amp;$S414)+1)/2,"")</f>
        <v/>
      </c>
      <c r="AG414" s="27">
        <f>IF(ISNUMBER($T414),COUNTIFS($A$14:$A$1213,$A414,$T$14:$T$1213,"&gt;"&amp;$T414)+(COUNTIFS($A$14:$A$1213,$A414,$T$14:$T$1213,"="&amp;$T414)+1)/2,"")</f>
        <v/>
      </c>
      <c r="AH414" s="27">
        <f>IF(COUNT($AC414:$AG414)&lt;2,"",IF(MAX($AC414:$AG414)=MIN($AC414:$AG414),0,1))</f>
        <v/>
      </c>
      <c r="AI414" s="27">
        <f>IF($A414="","",IF(COUNTIF($A$14:$A414,$A414)=1,COUNTIF($AI$13:AI413,"&gt;0")+1,""))</f>
        <v/>
      </c>
      <c r="AO414" s="27">
        <f>IF($A414="","",IF(AND(COUNTIFS($A$14:$A$1213,$A414,$F$14:$F$1213,"&gt;=0")=2,IFERROR(INDEX($M$14:$M$313,MATCH($A414,$H$14:$H$313,0)),"Yes")&lt;&gt;"Yes"),1,0))</f>
        <v/>
      </c>
    </row>
    <row r="415">
      <c r="A415" s="19">
        <f>IF('Enter messages'!A415="","",'Enter messages'!A415)</f>
        <v/>
      </c>
      <c r="B415" s="20">
        <f>IF('Enter messages'!B415="","",'Enter messages'!B415)</f>
        <v/>
      </c>
      <c r="C415" s="21">
        <f>IFERROR(AVERAGE(P415:T415),"")</f>
        <v/>
      </c>
      <c r="D415" s="29" t="n"/>
      <c r="E415" s="29" t="n"/>
      <c r="F415" s="30">
        <f>IF(AND(ISNUMBER($D415),ISNUMBER($E415),$E415&gt;0,$D415&lt;=$E415),$D415/$E415,"")</f>
        <v/>
      </c>
      <c r="P415" s="26" t="n"/>
      <c r="Q415" s="26" t="n"/>
      <c r="R415" s="26" t="n"/>
      <c r="S415" s="26" t="n"/>
      <c r="T415" s="26" t="n"/>
      <c r="V415" s="27">
        <f>IF(ISNUMBER($C415),COUNTIFS($A$14:$A$1213,$A415,$C$14:$C$1213,"&gt;"&amp;$C415)+(COUNTIFS($A$14:$A$1213,$A415,$C$14:$C$1213,"="&amp;$C415)+1)/2,"")</f>
        <v/>
      </c>
      <c r="W415" s="27">
        <f>IF(ISNUMBER($F415),COUNTIFS($A$14:$A$1213,$A415,$F$14:$F$1213,"&gt;"&amp;$F415)+(COUNTIFS($A$14:$A$1213,$A415,$F$14:$F$1213,"="&amp;$F415)+1)/2,"")</f>
        <v/>
      </c>
      <c r="X415" s="27">
        <f>IF(OR(NOT(ISNUMBER($V415)),$AO415=1),"",$V415-(COUNTIFS($A$14:$A$1213,$A415,$C$14:$C$1213,"&gt;=0")+1)/2)</f>
        <v/>
      </c>
      <c r="Y415" s="27">
        <f>IF(OR(NOT(ISNUMBER($W415)),$AO415=1),"",$W415-(COUNTIFS($A$14:$A$1213,$A415,$F$14:$F$1213,"&gt;=0")+1)/2)</f>
        <v/>
      </c>
      <c r="Z415" s="27">
        <f>IF(ISNUMBER($V415),$A415&amp;"|"&amp;$V415,"")</f>
        <v/>
      </c>
      <c r="AA415" s="27">
        <f>IF(ISNUMBER($W415),$A415&amp;"|"&amp;$W415,"")</f>
        <v/>
      </c>
      <c r="AB415" s="27">
        <f>IF(ISNUMBER($F415),$A415&amp;"|"&amp;$F415,"")</f>
        <v/>
      </c>
      <c r="AC415" s="27">
        <f>IF(ISNUMBER($P415),COUNTIFS($A$14:$A$1213,$A415,$P$14:$P$1213,"&gt;"&amp;$P415)+(COUNTIFS($A$14:$A$1213,$A415,$P$14:$P$1213,"="&amp;$P415)+1)/2,"")</f>
        <v/>
      </c>
      <c r="AD415" s="27">
        <f>IF(ISNUMBER($Q415),COUNTIFS($A$14:$A$1213,$A415,$Q$14:$Q$1213,"&gt;"&amp;$Q415)+(COUNTIFS($A$14:$A$1213,$A415,$Q$14:$Q$1213,"="&amp;$Q415)+1)/2,"")</f>
        <v/>
      </c>
      <c r="AE415" s="27">
        <f>IF(ISNUMBER($R415),COUNTIFS($A$14:$A$1213,$A415,$R$14:$R$1213,"&gt;"&amp;$R415)+(COUNTIFS($A$14:$A$1213,$A415,$R$14:$R$1213,"="&amp;$R415)+1)/2,"")</f>
        <v/>
      </c>
      <c r="AF415" s="27">
        <f>IF(ISNUMBER($S415),COUNTIFS($A$14:$A$1213,$A415,$S$14:$S$1213,"&gt;"&amp;$S415)+(COUNTIFS($A$14:$A$1213,$A415,$S$14:$S$1213,"="&amp;$S415)+1)/2,"")</f>
        <v/>
      </c>
      <c r="AG415" s="27">
        <f>IF(ISNUMBER($T415),COUNTIFS($A$14:$A$1213,$A415,$T$14:$T$1213,"&gt;"&amp;$T415)+(COUNTIFS($A$14:$A$1213,$A415,$T$14:$T$1213,"="&amp;$T415)+1)/2,"")</f>
        <v/>
      </c>
      <c r="AH415" s="27">
        <f>IF(COUNT($AC415:$AG415)&lt;2,"",IF(MAX($AC415:$AG415)=MIN($AC415:$AG415),0,1))</f>
        <v/>
      </c>
      <c r="AI415" s="27">
        <f>IF($A415="","",IF(COUNTIF($A$14:$A415,$A415)=1,COUNTIF($AI$13:AI414,"&gt;0")+1,""))</f>
        <v/>
      </c>
      <c r="AO415" s="27">
        <f>IF($A415="","",IF(AND(COUNTIFS($A$14:$A$1213,$A415,$F$14:$F$1213,"&gt;=0")=2,IFERROR(INDEX($M$14:$M$313,MATCH($A415,$H$14:$H$313,0)),"Yes")&lt;&gt;"Yes"),1,0))</f>
        <v/>
      </c>
    </row>
    <row r="416">
      <c r="A416" s="19">
        <f>IF('Enter messages'!A416="","",'Enter messages'!A416)</f>
        <v/>
      </c>
      <c r="B416" s="20">
        <f>IF('Enter messages'!B416="","",'Enter messages'!B416)</f>
        <v/>
      </c>
      <c r="C416" s="21">
        <f>IFERROR(AVERAGE(P416:T416),"")</f>
        <v/>
      </c>
      <c r="D416" s="29" t="n"/>
      <c r="E416" s="29" t="n"/>
      <c r="F416" s="30">
        <f>IF(AND(ISNUMBER($D416),ISNUMBER($E416),$E416&gt;0,$D416&lt;=$E416),$D416/$E416,"")</f>
        <v/>
      </c>
      <c r="P416" s="26" t="n"/>
      <c r="Q416" s="26" t="n"/>
      <c r="R416" s="26" t="n"/>
      <c r="S416" s="26" t="n"/>
      <c r="T416" s="26" t="n"/>
      <c r="V416" s="27">
        <f>IF(ISNUMBER($C416),COUNTIFS($A$14:$A$1213,$A416,$C$14:$C$1213,"&gt;"&amp;$C416)+(COUNTIFS($A$14:$A$1213,$A416,$C$14:$C$1213,"="&amp;$C416)+1)/2,"")</f>
        <v/>
      </c>
      <c r="W416" s="27">
        <f>IF(ISNUMBER($F416),COUNTIFS($A$14:$A$1213,$A416,$F$14:$F$1213,"&gt;"&amp;$F416)+(COUNTIFS($A$14:$A$1213,$A416,$F$14:$F$1213,"="&amp;$F416)+1)/2,"")</f>
        <v/>
      </c>
      <c r="X416" s="27">
        <f>IF(OR(NOT(ISNUMBER($V416)),$AO416=1),"",$V416-(COUNTIFS($A$14:$A$1213,$A416,$C$14:$C$1213,"&gt;=0")+1)/2)</f>
        <v/>
      </c>
      <c r="Y416" s="27">
        <f>IF(OR(NOT(ISNUMBER($W416)),$AO416=1),"",$W416-(COUNTIFS($A$14:$A$1213,$A416,$F$14:$F$1213,"&gt;=0")+1)/2)</f>
        <v/>
      </c>
      <c r="Z416" s="27">
        <f>IF(ISNUMBER($V416),$A416&amp;"|"&amp;$V416,"")</f>
        <v/>
      </c>
      <c r="AA416" s="27">
        <f>IF(ISNUMBER($W416),$A416&amp;"|"&amp;$W416,"")</f>
        <v/>
      </c>
      <c r="AB416" s="27">
        <f>IF(ISNUMBER($F416),$A416&amp;"|"&amp;$F416,"")</f>
        <v/>
      </c>
      <c r="AC416" s="27">
        <f>IF(ISNUMBER($P416),COUNTIFS($A$14:$A$1213,$A416,$P$14:$P$1213,"&gt;"&amp;$P416)+(COUNTIFS($A$14:$A$1213,$A416,$P$14:$P$1213,"="&amp;$P416)+1)/2,"")</f>
        <v/>
      </c>
      <c r="AD416" s="27">
        <f>IF(ISNUMBER($Q416),COUNTIFS($A$14:$A$1213,$A416,$Q$14:$Q$1213,"&gt;"&amp;$Q416)+(COUNTIFS($A$14:$A$1213,$A416,$Q$14:$Q$1213,"="&amp;$Q416)+1)/2,"")</f>
        <v/>
      </c>
      <c r="AE416" s="27">
        <f>IF(ISNUMBER($R416),COUNTIFS($A$14:$A$1213,$A416,$R$14:$R$1213,"&gt;"&amp;$R416)+(COUNTIFS($A$14:$A$1213,$A416,$R$14:$R$1213,"="&amp;$R416)+1)/2,"")</f>
        <v/>
      </c>
      <c r="AF416" s="27">
        <f>IF(ISNUMBER($S416),COUNTIFS($A$14:$A$1213,$A416,$S$14:$S$1213,"&gt;"&amp;$S416)+(COUNTIFS($A$14:$A$1213,$A416,$S$14:$S$1213,"="&amp;$S416)+1)/2,"")</f>
        <v/>
      </c>
      <c r="AG416" s="27">
        <f>IF(ISNUMBER($T416),COUNTIFS($A$14:$A$1213,$A416,$T$14:$T$1213,"&gt;"&amp;$T416)+(COUNTIFS($A$14:$A$1213,$A416,$T$14:$T$1213,"="&amp;$T416)+1)/2,"")</f>
        <v/>
      </c>
      <c r="AH416" s="27">
        <f>IF(COUNT($AC416:$AG416)&lt;2,"",IF(MAX($AC416:$AG416)=MIN($AC416:$AG416),0,1))</f>
        <v/>
      </c>
      <c r="AI416" s="27">
        <f>IF($A416="","",IF(COUNTIF($A$14:$A416,$A416)=1,COUNTIF($AI$13:AI415,"&gt;0")+1,""))</f>
        <v/>
      </c>
      <c r="AO416" s="27">
        <f>IF($A416="","",IF(AND(COUNTIFS($A$14:$A$1213,$A416,$F$14:$F$1213,"&gt;=0")=2,IFERROR(INDEX($M$14:$M$313,MATCH($A416,$H$14:$H$313,0)),"Yes")&lt;&gt;"Yes"),1,0))</f>
        <v/>
      </c>
    </row>
    <row r="417">
      <c r="A417" s="19">
        <f>IF('Enter messages'!A417="","",'Enter messages'!A417)</f>
        <v/>
      </c>
      <c r="B417" s="20">
        <f>IF('Enter messages'!B417="","",'Enter messages'!B417)</f>
        <v/>
      </c>
      <c r="C417" s="21">
        <f>IFERROR(AVERAGE(P417:T417),"")</f>
        <v/>
      </c>
      <c r="D417" s="29" t="n"/>
      <c r="E417" s="29" t="n"/>
      <c r="F417" s="30">
        <f>IF(AND(ISNUMBER($D417),ISNUMBER($E417),$E417&gt;0,$D417&lt;=$E417),$D417/$E417,"")</f>
        <v/>
      </c>
      <c r="P417" s="26" t="n"/>
      <c r="Q417" s="26" t="n"/>
      <c r="R417" s="26" t="n"/>
      <c r="S417" s="26" t="n"/>
      <c r="T417" s="26" t="n"/>
      <c r="V417" s="27">
        <f>IF(ISNUMBER($C417),COUNTIFS($A$14:$A$1213,$A417,$C$14:$C$1213,"&gt;"&amp;$C417)+(COUNTIFS($A$14:$A$1213,$A417,$C$14:$C$1213,"="&amp;$C417)+1)/2,"")</f>
        <v/>
      </c>
      <c r="W417" s="27">
        <f>IF(ISNUMBER($F417),COUNTIFS($A$14:$A$1213,$A417,$F$14:$F$1213,"&gt;"&amp;$F417)+(COUNTIFS($A$14:$A$1213,$A417,$F$14:$F$1213,"="&amp;$F417)+1)/2,"")</f>
        <v/>
      </c>
      <c r="X417" s="27">
        <f>IF(OR(NOT(ISNUMBER($V417)),$AO417=1),"",$V417-(COUNTIFS($A$14:$A$1213,$A417,$C$14:$C$1213,"&gt;=0")+1)/2)</f>
        <v/>
      </c>
      <c r="Y417" s="27">
        <f>IF(OR(NOT(ISNUMBER($W417)),$AO417=1),"",$W417-(COUNTIFS($A$14:$A$1213,$A417,$F$14:$F$1213,"&gt;=0")+1)/2)</f>
        <v/>
      </c>
      <c r="Z417" s="27">
        <f>IF(ISNUMBER($V417),$A417&amp;"|"&amp;$V417,"")</f>
        <v/>
      </c>
      <c r="AA417" s="27">
        <f>IF(ISNUMBER($W417),$A417&amp;"|"&amp;$W417,"")</f>
        <v/>
      </c>
      <c r="AB417" s="27">
        <f>IF(ISNUMBER($F417),$A417&amp;"|"&amp;$F417,"")</f>
        <v/>
      </c>
      <c r="AC417" s="27">
        <f>IF(ISNUMBER($P417),COUNTIFS($A$14:$A$1213,$A417,$P$14:$P$1213,"&gt;"&amp;$P417)+(COUNTIFS($A$14:$A$1213,$A417,$P$14:$P$1213,"="&amp;$P417)+1)/2,"")</f>
        <v/>
      </c>
      <c r="AD417" s="27">
        <f>IF(ISNUMBER($Q417),COUNTIFS($A$14:$A$1213,$A417,$Q$14:$Q$1213,"&gt;"&amp;$Q417)+(COUNTIFS($A$14:$A$1213,$A417,$Q$14:$Q$1213,"="&amp;$Q417)+1)/2,"")</f>
        <v/>
      </c>
      <c r="AE417" s="27">
        <f>IF(ISNUMBER($R417),COUNTIFS($A$14:$A$1213,$A417,$R$14:$R$1213,"&gt;"&amp;$R417)+(COUNTIFS($A$14:$A$1213,$A417,$R$14:$R$1213,"="&amp;$R417)+1)/2,"")</f>
        <v/>
      </c>
      <c r="AF417" s="27">
        <f>IF(ISNUMBER($S417),COUNTIFS($A$14:$A$1213,$A417,$S$14:$S$1213,"&gt;"&amp;$S417)+(COUNTIFS($A$14:$A$1213,$A417,$S$14:$S$1213,"="&amp;$S417)+1)/2,"")</f>
        <v/>
      </c>
      <c r="AG417" s="27">
        <f>IF(ISNUMBER($T417),COUNTIFS($A$14:$A$1213,$A417,$T$14:$T$1213,"&gt;"&amp;$T417)+(COUNTIFS($A$14:$A$1213,$A417,$T$14:$T$1213,"="&amp;$T417)+1)/2,"")</f>
        <v/>
      </c>
      <c r="AH417" s="27">
        <f>IF(COUNT($AC417:$AG417)&lt;2,"",IF(MAX($AC417:$AG417)=MIN($AC417:$AG417),0,1))</f>
        <v/>
      </c>
      <c r="AI417" s="27">
        <f>IF($A417="","",IF(COUNTIF($A$14:$A417,$A417)=1,COUNTIF($AI$13:AI416,"&gt;0")+1,""))</f>
        <v/>
      </c>
      <c r="AO417" s="27">
        <f>IF($A417="","",IF(AND(COUNTIFS($A$14:$A$1213,$A417,$F$14:$F$1213,"&gt;=0")=2,IFERROR(INDEX($M$14:$M$313,MATCH($A417,$H$14:$H$313,0)),"Yes")&lt;&gt;"Yes"),1,0))</f>
        <v/>
      </c>
    </row>
    <row r="418">
      <c r="A418" s="19">
        <f>IF('Enter messages'!A418="","",'Enter messages'!A418)</f>
        <v/>
      </c>
      <c r="B418" s="20">
        <f>IF('Enter messages'!B418="","",'Enter messages'!B418)</f>
        <v/>
      </c>
      <c r="C418" s="21">
        <f>IFERROR(AVERAGE(P418:T418),"")</f>
        <v/>
      </c>
      <c r="D418" s="29" t="n"/>
      <c r="E418" s="29" t="n"/>
      <c r="F418" s="30">
        <f>IF(AND(ISNUMBER($D418),ISNUMBER($E418),$E418&gt;0,$D418&lt;=$E418),$D418/$E418,"")</f>
        <v/>
      </c>
      <c r="P418" s="26" t="n"/>
      <c r="Q418" s="26" t="n"/>
      <c r="R418" s="26" t="n"/>
      <c r="S418" s="26" t="n"/>
      <c r="T418" s="26" t="n"/>
      <c r="V418" s="27">
        <f>IF(ISNUMBER($C418),COUNTIFS($A$14:$A$1213,$A418,$C$14:$C$1213,"&gt;"&amp;$C418)+(COUNTIFS($A$14:$A$1213,$A418,$C$14:$C$1213,"="&amp;$C418)+1)/2,"")</f>
        <v/>
      </c>
      <c r="W418" s="27">
        <f>IF(ISNUMBER($F418),COUNTIFS($A$14:$A$1213,$A418,$F$14:$F$1213,"&gt;"&amp;$F418)+(COUNTIFS($A$14:$A$1213,$A418,$F$14:$F$1213,"="&amp;$F418)+1)/2,"")</f>
        <v/>
      </c>
      <c r="X418" s="27">
        <f>IF(OR(NOT(ISNUMBER($V418)),$AO418=1),"",$V418-(COUNTIFS($A$14:$A$1213,$A418,$C$14:$C$1213,"&gt;=0")+1)/2)</f>
        <v/>
      </c>
      <c r="Y418" s="27">
        <f>IF(OR(NOT(ISNUMBER($W418)),$AO418=1),"",$W418-(COUNTIFS($A$14:$A$1213,$A418,$F$14:$F$1213,"&gt;=0")+1)/2)</f>
        <v/>
      </c>
      <c r="Z418" s="27">
        <f>IF(ISNUMBER($V418),$A418&amp;"|"&amp;$V418,"")</f>
        <v/>
      </c>
      <c r="AA418" s="27">
        <f>IF(ISNUMBER($W418),$A418&amp;"|"&amp;$W418,"")</f>
        <v/>
      </c>
      <c r="AB418" s="27">
        <f>IF(ISNUMBER($F418),$A418&amp;"|"&amp;$F418,"")</f>
        <v/>
      </c>
      <c r="AC418" s="27">
        <f>IF(ISNUMBER($P418),COUNTIFS($A$14:$A$1213,$A418,$P$14:$P$1213,"&gt;"&amp;$P418)+(COUNTIFS($A$14:$A$1213,$A418,$P$14:$P$1213,"="&amp;$P418)+1)/2,"")</f>
        <v/>
      </c>
      <c r="AD418" s="27">
        <f>IF(ISNUMBER($Q418),COUNTIFS($A$14:$A$1213,$A418,$Q$14:$Q$1213,"&gt;"&amp;$Q418)+(COUNTIFS($A$14:$A$1213,$A418,$Q$14:$Q$1213,"="&amp;$Q418)+1)/2,"")</f>
        <v/>
      </c>
      <c r="AE418" s="27">
        <f>IF(ISNUMBER($R418),COUNTIFS($A$14:$A$1213,$A418,$R$14:$R$1213,"&gt;"&amp;$R418)+(COUNTIFS($A$14:$A$1213,$A418,$R$14:$R$1213,"="&amp;$R418)+1)/2,"")</f>
        <v/>
      </c>
      <c r="AF418" s="27">
        <f>IF(ISNUMBER($S418),COUNTIFS($A$14:$A$1213,$A418,$S$14:$S$1213,"&gt;"&amp;$S418)+(COUNTIFS($A$14:$A$1213,$A418,$S$14:$S$1213,"="&amp;$S418)+1)/2,"")</f>
        <v/>
      </c>
      <c r="AG418" s="27">
        <f>IF(ISNUMBER($T418),COUNTIFS($A$14:$A$1213,$A418,$T$14:$T$1213,"&gt;"&amp;$T418)+(COUNTIFS($A$14:$A$1213,$A418,$T$14:$T$1213,"="&amp;$T418)+1)/2,"")</f>
        <v/>
      </c>
      <c r="AH418" s="27">
        <f>IF(COUNT($AC418:$AG418)&lt;2,"",IF(MAX($AC418:$AG418)=MIN($AC418:$AG418),0,1))</f>
        <v/>
      </c>
      <c r="AI418" s="27">
        <f>IF($A418="","",IF(COUNTIF($A$14:$A418,$A418)=1,COUNTIF($AI$13:AI417,"&gt;0")+1,""))</f>
        <v/>
      </c>
      <c r="AO418" s="27">
        <f>IF($A418="","",IF(AND(COUNTIFS($A$14:$A$1213,$A418,$F$14:$F$1213,"&gt;=0")=2,IFERROR(INDEX($M$14:$M$313,MATCH($A418,$H$14:$H$313,0)),"Yes")&lt;&gt;"Yes"),1,0))</f>
        <v/>
      </c>
    </row>
    <row r="419">
      <c r="A419" s="19">
        <f>IF('Enter messages'!A419="","",'Enter messages'!A419)</f>
        <v/>
      </c>
      <c r="B419" s="20">
        <f>IF('Enter messages'!B419="","",'Enter messages'!B419)</f>
        <v/>
      </c>
      <c r="C419" s="21">
        <f>IFERROR(AVERAGE(P419:T419),"")</f>
        <v/>
      </c>
      <c r="D419" s="29" t="n"/>
      <c r="E419" s="29" t="n"/>
      <c r="F419" s="30">
        <f>IF(AND(ISNUMBER($D419),ISNUMBER($E419),$E419&gt;0,$D419&lt;=$E419),$D419/$E419,"")</f>
        <v/>
      </c>
      <c r="P419" s="26" t="n"/>
      <c r="Q419" s="26" t="n"/>
      <c r="R419" s="26" t="n"/>
      <c r="S419" s="26" t="n"/>
      <c r="T419" s="26" t="n"/>
      <c r="V419" s="27">
        <f>IF(ISNUMBER($C419),COUNTIFS($A$14:$A$1213,$A419,$C$14:$C$1213,"&gt;"&amp;$C419)+(COUNTIFS($A$14:$A$1213,$A419,$C$14:$C$1213,"="&amp;$C419)+1)/2,"")</f>
        <v/>
      </c>
      <c r="W419" s="27">
        <f>IF(ISNUMBER($F419),COUNTIFS($A$14:$A$1213,$A419,$F$14:$F$1213,"&gt;"&amp;$F419)+(COUNTIFS($A$14:$A$1213,$A419,$F$14:$F$1213,"="&amp;$F419)+1)/2,"")</f>
        <v/>
      </c>
      <c r="X419" s="27">
        <f>IF(OR(NOT(ISNUMBER($V419)),$AO419=1),"",$V419-(COUNTIFS($A$14:$A$1213,$A419,$C$14:$C$1213,"&gt;=0")+1)/2)</f>
        <v/>
      </c>
      <c r="Y419" s="27">
        <f>IF(OR(NOT(ISNUMBER($W419)),$AO419=1),"",$W419-(COUNTIFS($A$14:$A$1213,$A419,$F$14:$F$1213,"&gt;=0")+1)/2)</f>
        <v/>
      </c>
      <c r="Z419" s="27">
        <f>IF(ISNUMBER($V419),$A419&amp;"|"&amp;$V419,"")</f>
        <v/>
      </c>
      <c r="AA419" s="27">
        <f>IF(ISNUMBER($W419),$A419&amp;"|"&amp;$W419,"")</f>
        <v/>
      </c>
      <c r="AB419" s="27">
        <f>IF(ISNUMBER($F419),$A419&amp;"|"&amp;$F419,"")</f>
        <v/>
      </c>
      <c r="AC419" s="27">
        <f>IF(ISNUMBER($P419),COUNTIFS($A$14:$A$1213,$A419,$P$14:$P$1213,"&gt;"&amp;$P419)+(COUNTIFS($A$14:$A$1213,$A419,$P$14:$P$1213,"="&amp;$P419)+1)/2,"")</f>
        <v/>
      </c>
      <c r="AD419" s="27">
        <f>IF(ISNUMBER($Q419),COUNTIFS($A$14:$A$1213,$A419,$Q$14:$Q$1213,"&gt;"&amp;$Q419)+(COUNTIFS($A$14:$A$1213,$A419,$Q$14:$Q$1213,"="&amp;$Q419)+1)/2,"")</f>
        <v/>
      </c>
      <c r="AE419" s="27">
        <f>IF(ISNUMBER($R419),COUNTIFS($A$14:$A$1213,$A419,$R$14:$R$1213,"&gt;"&amp;$R419)+(COUNTIFS($A$14:$A$1213,$A419,$R$14:$R$1213,"="&amp;$R419)+1)/2,"")</f>
        <v/>
      </c>
      <c r="AF419" s="27">
        <f>IF(ISNUMBER($S419),COUNTIFS($A$14:$A$1213,$A419,$S$14:$S$1213,"&gt;"&amp;$S419)+(COUNTIFS($A$14:$A$1213,$A419,$S$14:$S$1213,"="&amp;$S419)+1)/2,"")</f>
        <v/>
      </c>
      <c r="AG419" s="27">
        <f>IF(ISNUMBER($T419),COUNTIFS($A$14:$A$1213,$A419,$T$14:$T$1213,"&gt;"&amp;$T419)+(COUNTIFS($A$14:$A$1213,$A419,$T$14:$T$1213,"="&amp;$T419)+1)/2,"")</f>
        <v/>
      </c>
      <c r="AH419" s="27">
        <f>IF(COUNT($AC419:$AG419)&lt;2,"",IF(MAX($AC419:$AG419)=MIN($AC419:$AG419),0,1))</f>
        <v/>
      </c>
      <c r="AI419" s="27">
        <f>IF($A419="","",IF(COUNTIF($A$14:$A419,$A419)=1,COUNTIF($AI$13:AI418,"&gt;0")+1,""))</f>
        <v/>
      </c>
      <c r="AO419" s="27">
        <f>IF($A419="","",IF(AND(COUNTIFS($A$14:$A$1213,$A419,$F$14:$F$1213,"&gt;=0")=2,IFERROR(INDEX($M$14:$M$313,MATCH($A419,$H$14:$H$313,0)),"Yes")&lt;&gt;"Yes"),1,0))</f>
        <v/>
      </c>
    </row>
    <row r="420">
      <c r="A420" s="19">
        <f>IF('Enter messages'!A420="","",'Enter messages'!A420)</f>
        <v/>
      </c>
      <c r="B420" s="20">
        <f>IF('Enter messages'!B420="","",'Enter messages'!B420)</f>
        <v/>
      </c>
      <c r="C420" s="21">
        <f>IFERROR(AVERAGE(P420:T420),"")</f>
        <v/>
      </c>
      <c r="D420" s="29" t="n"/>
      <c r="E420" s="29" t="n"/>
      <c r="F420" s="30">
        <f>IF(AND(ISNUMBER($D420),ISNUMBER($E420),$E420&gt;0,$D420&lt;=$E420),$D420/$E420,"")</f>
        <v/>
      </c>
      <c r="P420" s="26" t="n"/>
      <c r="Q420" s="26" t="n"/>
      <c r="R420" s="26" t="n"/>
      <c r="S420" s="26" t="n"/>
      <c r="T420" s="26" t="n"/>
      <c r="V420" s="27">
        <f>IF(ISNUMBER($C420),COUNTIFS($A$14:$A$1213,$A420,$C$14:$C$1213,"&gt;"&amp;$C420)+(COUNTIFS($A$14:$A$1213,$A420,$C$14:$C$1213,"="&amp;$C420)+1)/2,"")</f>
        <v/>
      </c>
      <c r="W420" s="27">
        <f>IF(ISNUMBER($F420),COUNTIFS($A$14:$A$1213,$A420,$F$14:$F$1213,"&gt;"&amp;$F420)+(COUNTIFS($A$14:$A$1213,$A420,$F$14:$F$1213,"="&amp;$F420)+1)/2,"")</f>
        <v/>
      </c>
      <c r="X420" s="27">
        <f>IF(OR(NOT(ISNUMBER($V420)),$AO420=1),"",$V420-(COUNTIFS($A$14:$A$1213,$A420,$C$14:$C$1213,"&gt;=0")+1)/2)</f>
        <v/>
      </c>
      <c r="Y420" s="27">
        <f>IF(OR(NOT(ISNUMBER($W420)),$AO420=1),"",$W420-(COUNTIFS($A$14:$A$1213,$A420,$F$14:$F$1213,"&gt;=0")+1)/2)</f>
        <v/>
      </c>
      <c r="Z420" s="27">
        <f>IF(ISNUMBER($V420),$A420&amp;"|"&amp;$V420,"")</f>
        <v/>
      </c>
      <c r="AA420" s="27">
        <f>IF(ISNUMBER($W420),$A420&amp;"|"&amp;$W420,"")</f>
        <v/>
      </c>
      <c r="AB420" s="27">
        <f>IF(ISNUMBER($F420),$A420&amp;"|"&amp;$F420,"")</f>
        <v/>
      </c>
      <c r="AC420" s="27">
        <f>IF(ISNUMBER($P420),COUNTIFS($A$14:$A$1213,$A420,$P$14:$P$1213,"&gt;"&amp;$P420)+(COUNTIFS($A$14:$A$1213,$A420,$P$14:$P$1213,"="&amp;$P420)+1)/2,"")</f>
        <v/>
      </c>
      <c r="AD420" s="27">
        <f>IF(ISNUMBER($Q420),COUNTIFS($A$14:$A$1213,$A420,$Q$14:$Q$1213,"&gt;"&amp;$Q420)+(COUNTIFS($A$14:$A$1213,$A420,$Q$14:$Q$1213,"="&amp;$Q420)+1)/2,"")</f>
        <v/>
      </c>
      <c r="AE420" s="27">
        <f>IF(ISNUMBER($R420),COUNTIFS($A$14:$A$1213,$A420,$R$14:$R$1213,"&gt;"&amp;$R420)+(COUNTIFS($A$14:$A$1213,$A420,$R$14:$R$1213,"="&amp;$R420)+1)/2,"")</f>
        <v/>
      </c>
      <c r="AF420" s="27">
        <f>IF(ISNUMBER($S420),COUNTIFS($A$14:$A$1213,$A420,$S$14:$S$1213,"&gt;"&amp;$S420)+(COUNTIFS($A$14:$A$1213,$A420,$S$14:$S$1213,"="&amp;$S420)+1)/2,"")</f>
        <v/>
      </c>
      <c r="AG420" s="27">
        <f>IF(ISNUMBER($T420),COUNTIFS($A$14:$A$1213,$A420,$T$14:$T$1213,"&gt;"&amp;$T420)+(COUNTIFS($A$14:$A$1213,$A420,$T$14:$T$1213,"="&amp;$T420)+1)/2,"")</f>
        <v/>
      </c>
      <c r="AH420" s="27">
        <f>IF(COUNT($AC420:$AG420)&lt;2,"",IF(MAX($AC420:$AG420)=MIN($AC420:$AG420),0,1))</f>
        <v/>
      </c>
      <c r="AI420" s="27">
        <f>IF($A420="","",IF(COUNTIF($A$14:$A420,$A420)=1,COUNTIF($AI$13:AI419,"&gt;0")+1,""))</f>
        <v/>
      </c>
      <c r="AO420" s="27">
        <f>IF($A420="","",IF(AND(COUNTIFS($A$14:$A$1213,$A420,$F$14:$F$1213,"&gt;=0")=2,IFERROR(INDEX($M$14:$M$313,MATCH($A420,$H$14:$H$313,0)),"Yes")&lt;&gt;"Yes"),1,0))</f>
        <v/>
      </c>
    </row>
    <row r="421">
      <c r="A421" s="19">
        <f>IF('Enter messages'!A421="","",'Enter messages'!A421)</f>
        <v/>
      </c>
      <c r="B421" s="20">
        <f>IF('Enter messages'!B421="","",'Enter messages'!B421)</f>
        <v/>
      </c>
      <c r="C421" s="21">
        <f>IFERROR(AVERAGE(P421:T421),"")</f>
        <v/>
      </c>
      <c r="D421" s="29" t="n"/>
      <c r="E421" s="29" t="n"/>
      <c r="F421" s="30">
        <f>IF(AND(ISNUMBER($D421),ISNUMBER($E421),$E421&gt;0,$D421&lt;=$E421),$D421/$E421,"")</f>
        <v/>
      </c>
      <c r="P421" s="26" t="n"/>
      <c r="Q421" s="26" t="n"/>
      <c r="R421" s="26" t="n"/>
      <c r="S421" s="26" t="n"/>
      <c r="T421" s="26" t="n"/>
      <c r="V421" s="27">
        <f>IF(ISNUMBER($C421),COUNTIFS($A$14:$A$1213,$A421,$C$14:$C$1213,"&gt;"&amp;$C421)+(COUNTIFS($A$14:$A$1213,$A421,$C$14:$C$1213,"="&amp;$C421)+1)/2,"")</f>
        <v/>
      </c>
      <c r="W421" s="27">
        <f>IF(ISNUMBER($F421),COUNTIFS($A$14:$A$1213,$A421,$F$14:$F$1213,"&gt;"&amp;$F421)+(COUNTIFS($A$14:$A$1213,$A421,$F$14:$F$1213,"="&amp;$F421)+1)/2,"")</f>
        <v/>
      </c>
      <c r="X421" s="27">
        <f>IF(OR(NOT(ISNUMBER($V421)),$AO421=1),"",$V421-(COUNTIFS($A$14:$A$1213,$A421,$C$14:$C$1213,"&gt;=0")+1)/2)</f>
        <v/>
      </c>
      <c r="Y421" s="27">
        <f>IF(OR(NOT(ISNUMBER($W421)),$AO421=1),"",$W421-(COUNTIFS($A$14:$A$1213,$A421,$F$14:$F$1213,"&gt;=0")+1)/2)</f>
        <v/>
      </c>
      <c r="Z421" s="27">
        <f>IF(ISNUMBER($V421),$A421&amp;"|"&amp;$V421,"")</f>
        <v/>
      </c>
      <c r="AA421" s="27">
        <f>IF(ISNUMBER($W421),$A421&amp;"|"&amp;$W421,"")</f>
        <v/>
      </c>
      <c r="AB421" s="27">
        <f>IF(ISNUMBER($F421),$A421&amp;"|"&amp;$F421,"")</f>
        <v/>
      </c>
      <c r="AC421" s="27">
        <f>IF(ISNUMBER($P421),COUNTIFS($A$14:$A$1213,$A421,$P$14:$P$1213,"&gt;"&amp;$P421)+(COUNTIFS($A$14:$A$1213,$A421,$P$14:$P$1213,"="&amp;$P421)+1)/2,"")</f>
        <v/>
      </c>
      <c r="AD421" s="27">
        <f>IF(ISNUMBER($Q421),COUNTIFS($A$14:$A$1213,$A421,$Q$14:$Q$1213,"&gt;"&amp;$Q421)+(COUNTIFS($A$14:$A$1213,$A421,$Q$14:$Q$1213,"="&amp;$Q421)+1)/2,"")</f>
        <v/>
      </c>
      <c r="AE421" s="27">
        <f>IF(ISNUMBER($R421),COUNTIFS($A$14:$A$1213,$A421,$R$14:$R$1213,"&gt;"&amp;$R421)+(COUNTIFS($A$14:$A$1213,$A421,$R$14:$R$1213,"="&amp;$R421)+1)/2,"")</f>
        <v/>
      </c>
      <c r="AF421" s="27">
        <f>IF(ISNUMBER($S421),COUNTIFS($A$14:$A$1213,$A421,$S$14:$S$1213,"&gt;"&amp;$S421)+(COUNTIFS($A$14:$A$1213,$A421,$S$14:$S$1213,"="&amp;$S421)+1)/2,"")</f>
        <v/>
      </c>
      <c r="AG421" s="27">
        <f>IF(ISNUMBER($T421),COUNTIFS($A$14:$A$1213,$A421,$T$14:$T$1213,"&gt;"&amp;$T421)+(COUNTIFS($A$14:$A$1213,$A421,$T$14:$T$1213,"="&amp;$T421)+1)/2,"")</f>
        <v/>
      </c>
      <c r="AH421" s="27">
        <f>IF(COUNT($AC421:$AG421)&lt;2,"",IF(MAX($AC421:$AG421)=MIN($AC421:$AG421),0,1))</f>
        <v/>
      </c>
      <c r="AI421" s="27">
        <f>IF($A421="","",IF(COUNTIF($A$14:$A421,$A421)=1,COUNTIF($AI$13:AI420,"&gt;0")+1,""))</f>
        <v/>
      </c>
      <c r="AO421" s="27">
        <f>IF($A421="","",IF(AND(COUNTIFS($A$14:$A$1213,$A421,$F$14:$F$1213,"&gt;=0")=2,IFERROR(INDEX($M$14:$M$313,MATCH($A421,$H$14:$H$313,0)),"Yes")&lt;&gt;"Yes"),1,0))</f>
        <v/>
      </c>
    </row>
    <row r="422">
      <c r="A422" s="19">
        <f>IF('Enter messages'!A422="","",'Enter messages'!A422)</f>
        <v/>
      </c>
      <c r="B422" s="20">
        <f>IF('Enter messages'!B422="","",'Enter messages'!B422)</f>
        <v/>
      </c>
      <c r="C422" s="21">
        <f>IFERROR(AVERAGE(P422:T422),"")</f>
        <v/>
      </c>
      <c r="D422" s="29" t="n"/>
      <c r="E422" s="29" t="n"/>
      <c r="F422" s="30">
        <f>IF(AND(ISNUMBER($D422),ISNUMBER($E422),$E422&gt;0,$D422&lt;=$E422),$D422/$E422,"")</f>
        <v/>
      </c>
      <c r="P422" s="26" t="n"/>
      <c r="Q422" s="26" t="n"/>
      <c r="R422" s="26" t="n"/>
      <c r="S422" s="26" t="n"/>
      <c r="T422" s="26" t="n"/>
      <c r="V422" s="27">
        <f>IF(ISNUMBER($C422),COUNTIFS($A$14:$A$1213,$A422,$C$14:$C$1213,"&gt;"&amp;$C422)+(COUNTIFS($A$14:$A$1213,$A422,$C$14:$C$1213,"="&amp;$C422)+1)/2,"")</f>
        <v/>
      </c>
      <c r="W422" s="27">
        <f>IF(ISNUMBER($F422),COUNTIFS($A$14:$A$1213,$A422,$F$14:$F$1213,"&gt;"&amp;$F422)+(COUNTIFS($A$14:$A$1213,$A422,$F$14:$F$1213,"="&amp;$F422)+1)/2,"")</f>
        <v/>
      </c>
      <c r="X422" s="27">
        <f>IF(OR(NOT(ISNUMBER($V422)),$AO422=1),"",$V422-(COUNTIFS($A$14:$A$1213,$A422,$C$14:$C$1213,"&gt;=0")+1)/2)</f>
        <v/>
      </c>
      <c r="Y422" s="27">
        <f>IF(OR(NOT(ISNUMBER($W422)),$AO422=1),"",$W422-(COUNTIFS($A$14:$A$1213,$A422,$F$14:$F$1213,"&gt;=0")+1)/2)</f>
        <v/>
      </c>
      <c r="Z422" s="27">
        <f>IF(ISNUMBER($V422),$A422&amp;"|"&amp;$V422,"")</f>
        <v/>
      </c>
      <c r="AA422" s="27">
        <f>IF(ISNUMBER($W422),$A422&amp;"|"&amp;$W422,"")</f>
        <v/>
      </c>
      <c r="AB422" s="27">
        <f>IF(ISNUMBER($F422),$A422&amp;"|"&amp;$F422,"")</f>
        <v/>
      </c>
      <c r="AC422" s="27">
        <f>IF(ISNUMBER($P422),COUNTIFS($A$14:$A$1213,$A422,$P$14:$P$1213,"&gt;"&amp;$P422)+(COUNTIFS($A$14:$A$1213,$A422,$P$14:$P$1213,"="&amp;$P422)+1)/2,"")</f>
        <v/>
      </c>
      <c r="AD422" s="27">
        <f>IF(ISNUMBER($Q422),COUNTIFS($A$14:$A$1213,$A422,$Q$14:$Q$1213,"&gt;"&amp;$Q422)+(COUNTIFS($A$14:$A$1213,$A422,$Q$14:$Q$1213,"="&amp;$Q422)+1)/2,"")</f>
        <v/>
      </c>
      <c r="AE422" s="27">
        <f>IF(ISNUMBER($R422),COUNTIFS($A$14:$A$1213,$A422,$R$14:$R$1213,"&gt;"&amp;$R422)+(COUNTIFS($A$14:$A$1213,$A422,$R$14:$R$1213,"="&amp;$R422)+1)/2,"")</f>
        <v/>
      </c>
      <c r="AF422" s="27">
        <f>IF(ISNUMBER($S422),COUNTIFS($A$14:$A$1213,$A422,$S$14:$S$1213,"&gt;"&amp;$S422)+(COUNTIFS($A$14:$A$1213,$A422,$S$14:$S$1213,"="&amp;$S422)+1)/2,"")</f>
        <v/>
      </c>
      <c r="AG422" s="27">
        <f>IF(ISNUMBER($T422),COUNTIFS($A$14:$A$1213,$A422,$T$14:$T$1213,"&gt;"&amp;$T422)+(COUNTIFS($A$14:$A$1213,$A422,$T$14:$T$1213,"="&amp;$T422)+1)/2,"")</f>
        <v/>
      </c>
      <c r="AH422" s="27">
        <f>IF(COUNT($AC422:$AG422)&lt;2,"",IF(MAX($AC422:$AG422)=MIN($AC422:$AG422),0,1))</f>
        <v/>
      </c>
      <c r="AI422" s="27">
        <f>IF($A422="","",IF(COUNTIF($A$14:$A422,$A422)=1,COUNTIF($AI$13:AI421,"&gt;0")+1,""))</f>
        <v/>
      </c>
      <c r="AO422" s="27">
        <f>IF($A422="","",IF(AND(COUNTIFS($A$14:$A$1213,$A422,$F$14:$F$1213,"&gt;=0")=2,IFERROR(INDEX($M$14:$M$313,MATCH($A422,$H$14:$H$313,0)),"Yes")&lt;&gt;"Yes"),1,0))</f>
        <v/>
      </c>
    </row>
    <row r="423">
      <c r="A423" s="19">
        <f>IF('Enter messages'!A423="","",'Enter messages'!A423)</f>
        <v/>
      </c>
      <c r="B423" s="20">
        <f>IF('Enter messages'!B423="","",'Enter messages'!B423)</f>
        <v/>
      </c>
      <c r="C423" s="21">
        <f>IFERROR(AVERAGE(P423:T423),"")</f>
        <v/>
      </c>
      <c r="D423" s="29" t="n"/>
      <c r="E423" s="29" t="n"/>
      <c r="F423" s="30">
        <f>IF(AND(ISNUMBER($D423),ISNUMBER($E423),$E423&gt;0,$D423&lt;=$E423),$D423/$E423,"")</f>
        <v/>
      </c>
      <c r="P423" s="26" t="n"/>
      <c r="Q423" s="26" t="n"/>
      <c r="R423" s="26" t="n"/>
      <c r="S423" s="26" t="n"/>
      <c r="T423" s="26" t="n"/>
      <c r="V423" s="27">
        <f>IF(ISNUMBER($C423),COUNTIFS($A$14:$A$1213,$A423,$C$14:$C$1213,"&gt;"&amp;$C423)+(COUNTIFS($A$14:$A$1213,$A423,$C$14:$C$1213,"="&amp;$C423)+1)/2,"")</f>
        <v/>
      </c>
      <c r="W423" s="27">
        <f>IF(ISNUMBER($F423),COUNTIFS($A$14:$A$1213,$A423,$F$14:$F$1213,"&gt;"&amp;$F423)+(COUNTIFS($A$14:$A$1213,$A423,$F$14:$F$1213,"="&amp;$F423)+1)/2,"")</f>
        <v/>
      </c>
      <c r="X423" s="27">
        <f>IF(OR(NOT(ISNUMBER($V423)),$AO423=1),"",$V423-(COUNTIFS($A$14:$A$1213,$A423,$C$14:$C$1213,"&gt;=0")+1)/2)</f>
        <v/>
      </c>
      <c r="Y423" s="27">
        <f>IF(OR(NOT(ISNUMBER($W423)),$AO423=1),"",$W423-(COUNTIFS($A$14:$A$1213,$A423,$F$14:$F$1213,"&gt;=0")+1)/2)</f>
        <v/>
      </c>
      <c r="Z423" s="27">
        <f>IF(ISNUMBER($V423),$A423&amp;"|"&amp;$V423,"")</f>
        <v/>
      </c>
      <c r="AA423" s="27">
        <f>IF(ISNUMBER($W423),$A423&amp;"|"&amp;$W423,"")</f>
        <v/>
      </c>
      <c r="AB423" s="27">
        <f>IF(ISNUMBER($F423),$A423&amp;"|"&amp;$F423,"")</f>
        <v/>
      </c>
      <c r="AC423" s="27">
        <f>IF(ISNUMBER($P423),COUNTIFS($A$14:$A$1213,$A423,$P$14:$P$1213,"&gt;"&amp;$P423)+(COUNTIFS($A$14:$A$1213,$A423,$P$14:$P$1213,"="&amp;$P423)+1)/2,"")</f>
        <v/>
      </c>
      <c r="AD423" s="27">
        <f>IF(ISNUMBER($Q423),COUNTIFS($A$14:$A$1213,$A423,$Q$14:$Q$1213,"&gt;"&amp;$Q423)+(COUNTIFS($A$14:$A$1213,$A423,$Q$14:$Q$1213,"="&amp;$Q423)+1)/2,"")</f>
        <v/>
      </c>
      <c r="AE423" s="27">
        <f>IF(ISNUMBER($R423),COUNTIFS($A$14:$A$1213,$A423,$R$14:$R$1213,"&gt;"&amp;$R423)+(COUNTIFS($A$14:$A$1213,$A423,$R$14:$R$1213,"="&amp;$R423)+1)/2,"")</f>
        <v/>
      </c>
      <c r="AF423" s="27">
        <f>IF(ISNUMBER($S423),COUNTIFS($A$14:$A$1213,$A423,$S$14:$S$1213,"&gt;"&amp;$S423)+(COUNTIFS($A$14:$A$1213,$A423,$S$14:$S$1213,"="&amp;$S423)+1)/2,"")</f>
        <v/>
      </c>
      <c r="AG423" s="27">
        <f>IF(ISNUMBER($T423),COUNTIFS($A$14:$A$1213,$A423,$T$14:$T$1213,"&gt;"&amp;$T423)+(COUNTIFS($A$14:$A$1213,$A423,$T$14:$T$1213,"="&amp;$T423)+1)/2,"")</f>
        <v/>
      </c>
      <c r="AH423" s="27">
        <f>IF(COUNT($AC423:$AG423)&lt;2,"",IF(MAX($AC423:$AG423)=MIN($AC423:$AG423),0,1))</f>
        <v/>
      </c>
      <c r="AI423" s="27">
        <f>IF($A423="","",IF(COUNTIF($A$14:$A423,$A423)=1,COUNTIF($AI$13:AI422,"&gt;0")+1,""))</f>
        <v/>
      </c>
      <c r="AO423" s="27">
        <f>IF($A423="","",IF(AND(COUNTIFS($A$14:$A$1213,$A423,$F$14:$F$1213,"&gt;=0")=2,IFERROR(INDEX($M$14:$M$313,MATCH($A423,$H$14:$H$313,0)),"Yes")&lt;&gt;"Yes"),1,0))</f>
        <v/>
      </c>
    </row>
    <row r="424">
      <c r="A424" s="19">
        <f>IF('Enter messages'!A424="","",'Enter messages'!A424)</f>
        <v/>
      </c>
      <c r="B424" s="20">
        <f>IF('Enter messages'!B424="","",'Enter messages'!B424)</f>
        <v/>
      </c>
      <c r="C424" s="21">
        <f>IFERROR(AVERAGE(P424:T424),"")</f>
        <v/>
      </c>
      <c r="D424" s="29" t="n"/>
      <c r="E424" s="29" t="n"/>
      <c r="F424" s="30">
        <f>IF(AND(ISNUMBER($D424),ISNUMBER($E424),$E424&gt;0,$D424&lt;=$E424),$D424/$E424,"")</f>
        <v/>
      </c>
      <c r="P424" s="26" t="n"/>
      <c r="Q424" s="26" t="n"/>
      <c r="R424" s="26" t="n"/>
      <c r="S424" s="26" t="n"/>
      <c r="T424" s="26" t="n"/>
      <c r="V424" s="27">
        <f>IF(ISNUMBER($C424),COUNTIFS($A$14:$A$1213,$A424,$C$14:$C$1213,"&gt;"&amp;$C424)+(COUNTIFS($A$14:$A$1213,$A424,$C$14:$C$1213,"="&amp;$C424)+1)/2,"")</f>
        <v/>
      </c>
      <c r="W424" s="27">
        <f>IF(ISNUMBER($F424),COUNTIFS($A$14:$A$1213,$A424,$F$14:$F$1213,"&gt;"&amp;$F424)+(COUNTIFS($A$14:$A$1213,$A424,$F$14:$F$1213,"="&amp;$F424)+1)/2,"")</f>
        <v/>
      </c>
      <c r="X424" s="27">
        <f>IF(OR(NOT(ISNUMBER($V424)),$AO424=1),"",$V424-(COUNTIFS($A$14:$A$1213,$A424,$C$14:$C$1213,"&gt;=0")+1)/2)</f>
        <v/>
      </c>
      <c r="Y424" s="27">
        <f>IF(OR(NOT(ISNUMBER($W424)),$AO424=1),"",$W424-(COUNTIFS($A$14:$A$1213,$A424,$F$14:$F$1213,"&gt;=0")+1)/2)</f>
        <v/>
      </c>
      <c r="Z424" s="27">
        <f>IF(ISNUMBER($V424),$A424&amp;"|"&amp;$V424,"")</f>
        <v/>
      </c>
      <c r="AA424" s="27">
        <f>IF(ISNUMBER($W424),$A424&amp;"|"&amp;$W424,"")</f>
        <v/>
      </c>
      <c r="AB424" s="27">
        <f>IF(ISNUMBER($F424),$A424&amp;"|"&amp;$F424,"")</f>
        <v/>
      </c>
      <c r="AC424" s="27">
        <f>IF(ISNUMBER($P424),COUNTIFS($A$14:$A$1213,$A424,$P$14:$P$1213,"&gt;"&amp;$P424)+(COUNTIFS($A$14:$A$1213,$A424,$P$14:$P$1213,"="&amp;$P424)+1)/2,"")</f>
        <v/>
      </c>
      <c r="AD424" s="27">
        <f>IF(ISNUMBER($Q424),COUNTIFS($A$14:$A$1213,$A424,$Q$14:$Q$1213,"&gt;"&amp;$Q424)+(COUNTIFS($A$14:$A$1213,$A424,$Q$14:$Q$1213,"="&amp;$Q424)+1)/2,"")</f>
        <v/>
      </c>
      <c r="AE424" s="27">
        <f>IF(ISNUMBER($R424),COUNTIFS($A$14:$A$1213,$A424,$R$14:$R$1213,"&gt;"&amp;$R424)+(COUNTIFS($A$14:$A$1213,$A424,$R$14:$R$1213,"="&amp;$R424)+1)/2,"")</f>
        <v/>
      </c>
      <c r="AF424" s="27">
        <f>IF(ISNUMBER($S424),COUNTIFS($A$14:$A$1213,$A424,$S$14:$S$1213,"&gt;"&amp;$S424)+(COUNTIFS($A$14:$A$1213,$A424,$S$14:$S$1213,"="&amp;$S424)+1)/2,"")</f>
        <v/>
      </c>
      <c r="AG424" s="27">
        <f>IF(ISNUMBER($T424),COUNTIFS($A$14:$A$1213,$A424,$T$14:$T$1213,"&gt;"&amp;$T424)+(COUNTIFS($A$14:$A$1213,$A424,$T$14:$T$1213,"="&amp;$T424)+1)/2,"")</f>
        <v/>
      </c>
      <c r="AH424" s="27">
        <f>IF(COUNT($AC424:$AG424)&lt;2,"",IF(MAX($AC424:$AG424)=MIN($AC424:$AG424),0,1))</f>
        <v/>
      </c>
      <c r="AI424" s="27">
        <f>IF($A424="","",IF(COUNTIF($A$14:$A424,$A424)=1,COUNTIF($AI$13:AI423,"&gt;0")+1,""))</f>
        <v/>
      </c>
      <c r="AO424" s="27">
        <f>IF($A424="","",IF(AND(COUNTIFS($A$14:$A$1213,$A424,$F$14:$F$1213,"&gt;=0")=2,IFERROR(INDEX($M$14:$M$313,MATCH($A424,$H$14:$H$313,0)),"Yes")&lt;&gt;"Yes"),1,0))</f>
        <v/>
      </c>
    </row>
    <row r="425">
      <c r="A425" s="19">
        <f>IF('Enter messages'!A425="","",'Enter messages'!A425)</f>
        <v/>
      </c>
      <c r="B425" s="20">
        <f>IF('Enter messages'!B425="","",'Enter messages'!B425)</f>
        <v/>
      </c>
      <c r="C425" s="21">
        <f>IFERROR(AVERAGE(P425:T425),"")</f>
        <v/>
      </c>
      <c r="D425" s="29" t="n"/>
      <c r="E425" s="29" t="n"/>
      <c r="F425" s="30">
        <f>IF(AND(ISNUMBER($D425),ISNUMBER($E425),$E425&gt;0,$D425&lt;=$E425),$D425/$E425,"")</f>
        <v/>
      </c>
      <c r="P425" s="26" t="n"/>
      <c r="Q425" s="26" t="n"/>
      <c r="R425" s="26" t="n"/>
      <c r="S425" s="26" t="n"/>
      <c r="T425" s="26" t="n"/>
      <c r="V425" s="27">
        <f>IF(ISNUMBER($C425),COUNTIFS($A$14:$A$1213,$A425,$C$14:$C$1213,"&gt;"&amp;$C425)+(COUNTIFS($A$14:$A$1213,$A425,$C$14:$C$1213,"="&amp;$C425)+1)/2,"")</f>
        <v/>
      </c>
      <c r="W425" s="27">
        <f>IF(ISNUMBER($F425),COUNTIFS($A$14:$A$1213,$A425,$F$14:$F$1213,"&gt;"&amp;$F425)+(COUNTIFS($A$14:$A$1213,$A425,$F$14:$F$1213,"="&amp;$F425)+1)/2,"")</f>
        <v/>
      </c>
      <c r="X425" s="27">
        <f>IF(OR(NOT(ISNUMBER($V425)),$AO425=1),"",$V425-(COUNTIFS($A$14:$A$1213,$A425,$C$14:$C$1213,"&gt;=0")+1)/2)</f>
        <v/>
      </c>
      <c r="Y425" s="27">
        <f>IF(OR(NOT(ISNUMBER($W425)),$AO425=1),"",$W425-(COUNTIFS($A$14:$A$1213,$A425,$F$14:$F$1213,"&gt;=0")+1)/2)</f>
        <v/>
      </c>
      <c r="Z425" s="27">
        <f>IF(ISNUMBER($V425),$A425&amp;"|"&amp;$V425,"")</f>
        <v/>
      </c>
      <c r="AA425" s="27">
        <f>IF(ISNUMBER($W425),$A425&amp;"|"&amp;$W425,"")</f>
        <v/>
      </c>
      <c r="AB425" s="27">
        <f>IF(ISNUMBER($F425),$A425&amp;"|"&amp;$F425,"")</f>
        <v/>
      </c>
      <c r="AC425" s="27">
        <f>IF(ISNUMBER($P425),COUNTIFS($A$14:$A$1213,$A425,$P$14:$P$1213,"&gt;"&amp;$P425)+(COUNTIFS($A$14:$A$1213,$A425,$P$14:$P$1213,"="&amp;$P425)+1)/2,"")</f>
        <v/>
      </c>
      <c r="AD425" s="27">
        <f>IF(ISNUMBER($Q425),COUNTIFS($A$14:$A$1213,$A425,$Q$14:$Q$1213,"&gt;"&amp;$Q425)+(COUNTIFS($A$14:$A$1213,$A425,$Q$14:$Q$1213,"="&amp;$Q425)+1)/2,"")</f>
        <v/>
      </c>
      <c r="AE425" s="27">
        <f>IF(ISNUMBER($R425),COUNTIFS($A$14:$A$1213,$A425,$R$14:$R$1213,"&gt;"&amp;$R425)+(COUNTIFS($A$14:$A$1213,$A425,$R$14:$R$1213,"="&amp;$R425)+1)/2,"")</f>
        <v/>
      </c>
      <c r="AF425" s="27">
        <f>IF(ISNUMBER($S425),COUNTIFS($A$14:$A$1213,$A425,$S$14:$S$1213,"&gt;"&amp;$S425)+(COUNTIFS($A$14:$A$1213,$A425,$S$14:$S$1213,"="&amp;$S425)+1)/2,"")</f>
        <v/>
      </c>
      <c r="AG425" s="27">
        <f>IF(ISNUMBER($T425),COUNTIFS($A$14:$A$1213,$A425,$T$14:$T$1213,"&gt;"&amp;$T425)+(COUNTIFS($A$14:$A$1213,$A425,$T$14:$T$1213,"="&amp;$T425)+1)/2,"")</f>
        <v/>
      </c>
      <c r="AH425" s="27">
        <f>IF(COUNT($AC425:$AG425)&lt;2,"",IF(MAX($AC425:$AG425)=MIN($AC425:$AG425),0,1))</f>
        <v/>
      </c>
      <c r="AI425" s="27">
        <f>IF($A425="","",IF(COUNTIF($A$14:$A425,$A425)=1,COUNTIF($AI$13:AI424,"&gt;0")+1,""))</f>
        <v/>
      </c>
      <c r="AO425" s="27">
        <f>IF($A425="","",IF(AND(COUNTIFS($A$14:$A$1213,$A425,$F$14:$F$1213,"&gt;=0")=2,IFERROR(INDEX($M$14:$M$313,MATCH($A425,$H$14:$H$313,0)),"Yes")&lt;&gt;"Yes"),1,0))</f>
        <v/>
      </c>
    </row>
    <row r="426">
      <c r="A426" s="19">
        <f>IF('Enter messages'!A426="","",'Enter messages'!A426)</f>
        <v/>
      </c>
      <c r="B426" s="20">
        <f>IF('Enter messages'!B426="","",'Enter messages'!B426)</f>
        <v/>
      </c>
      <c r="C426" s="21">
        <f>IFERROR(AVERAGE(P426:T426),"")</f>
        <v/>
      </c>
      <c r="D426" s="29" t="n"/>
      <c r="E426" s="29" t="n"/>
      <c r="F426" s="30">
        <f>IF(AND(ISNUMBER($D426),ISNUMBER($E426),$E426&gt;0,$D426&lt;=$E426),$D426/$E426,"")</f>
        <v/>
      </c>
      <c r="P426" s="26" t="n"/>
      <c r="Q426" s="26" t="n"/>
      <c r="R426" s="26" t="n"/>
      <c r="S426" s="26" t="n"/>
      <c r="T426" s="26" t="n"/>
      <c r="V426" s="27">
        <f>IF(ISNUMBER($C426),COUNTIFS($A$14:$A$1213,$A426,$C$14:$C$1213,"&gt;"&amp;$C426)+(COUNTIFS($A$14:$A$1213,$A426,$C$14:$C$1213,"="&amp;$C426)+1)/2,"")</f>
        <v/>
      </c>
      <c r="W426" s="27">
        <f>IF(ISNUMBER($F426),COUNTIFS($A$14:$A$1213,$A426,$F$14:$F$1213,"&gt;"&amp;$F426)+(COUNTIFS($A$14:$A$1213,$A426,$F$14:$F$1213,"="&amp;$F426)+1)/2,"")</f>
        <v/>
      </c>
      <c r="X426" s="27">
        <f>IF(OR(NOT(ISNUMBER($V426)),$AO426=1),"",$V426-(COUNTIFS($A$14:$A$1213,$A426,$C$14:$C$1213,"&gt;=0")+1)/2)</f>
        <v/>
      </c>
      <c r="Y426" s="27">
        <f>IF(OR(NOT(ISNUMBER($W426)),$AO426=1),"",$W426-(COUNTIFS($A$14:$A$1213,$A426,$F$14:$F$1213,"&gt;=0")+1)/2)</f>
        <v/>
      </c>
      <c r="Z426" s="27">
        <f>IF(ISNUMBER($V426),$A426&amp;"|"&amp;$V426,"")</f>
        <v/>
      </c>
      <c r="AA426" s="27">
        <f>IF(ISNUMBER($W426),$A426&amp;"|"&amp;$W426,"")</f>
        <v/>
      </c>
      <c r="AB426" s="27">
        <f>IF(ISNUMBER($F426),$A426&amp;"|"&amp;$F426,"")</f>
        <v/>
      </c>
      <c r="AC426" s="27">
        <f>IF(ISNUMBER($P426),COUNTIFS($A$14:$A$1213,$A426,$P$14:$P$1213,"&gt;"&amp;$P426)+(COUNTIFS($A$14:$A$1213,$A426,$P$14:$P$1213,"="&amp;$P426)+1)/2,"")</f>
        <v/>
      </c>
      <c r="AD426" s="27">
        <f>IF(ISNUMBER($Q426),COUNTIFS($A$14:$A$1213,$A426,$Q$14:$Q$1213,"&gt;"&amp;$Q426)+(COUNTIFS($A$14:$A$1213,$A426,$Q$14:$Q$1213,"="&amp;$Q426)+1)/2,"")</f>
        <v/>
      </c>
      <c r="AE426" s="27">
        <f>IF(ISNUMBER($R426),COUNTIFS($A$14:$A$1213,$A426,$R$14:$R$1213,"&gt;"&amp;$R426)+(COUNTIFS($A$14:$A$1213,$A426,$R$14:$R$1213,"="&amp;$R426)+1)/2,"")</f>
        <v/>
      </c>
      <c r="AF426" s="27">
        <f>IF(ISNUMBER($S426),COUNTIFS($A$14:$A$1213,$A426,$S$14:$S$1213,"&gt;"&amp;$S426)+(COUNTIFS($A$14:$A$1213,$A426,$S$14:$S$1213,"="&amp;$S426)+1)/2,"")</f>
        <v/>
      </c>
      <c r="AG426" s="27">
        <f>IF(ISNUMBER($T426),COUNTIFS($A$14:$A$1213,$A426,$T$14:$T$1213,"&gt;"&amp;$T426)+(COUNTIFS($A$14:$A$1213,$A426,$T$14:$T$1213,"="&amp;$T426)+1)/2,"")</f>
        <v/>
      </c>
      <c r="AH426" s="27">
        <f>IF(COUNT($AC426:$AG426)&lt;2,"",IF(MAX($AC426:$AG426)=MIN($AC426:$AG426),0,1))</f>
        <v/>
      </c>
      <c r="AI426" s="27">
        <f>IF($A426="","",IF(COUNTIF($A$14:$A426,$A426)=1,COUNTIF($AI$13:AI425,"&gt;0")+1,""))</f>
        <v/>
      </c>
      <c r="AO426" s="27">
        <f>IF($A426="","",IF(AND(COUNTIFS($A$14:$A$1213,$A426,$F$14:$F$1213,"&gt;=0")=2,IFERROR(INDEX($M$14:$M$313,MATCH($A426,$H$14:$H$313,0)),"Yes")&lt;&gt;"Yes"),1,0))</f>
        <v/>
      </c>
    </row>
    <row r="427">
      <c r="A427" s="19">
        <f>IF('Enter messages'!A427="","",'Enter messages'!A427)</f>
        <v/>
      </c>
      <c r="B427" s="20">
        <f>IF('Enter messages'!B427="","",'Enter messages'!B427)</f>
        <v/>
      </c>
      <c r="C427" s="21">
        <f>IFERROR(AVERAGE(P427:T427),"")</f>
        <v/>
      </c>
      <c r="D427" s="29" t="n"/>
      <c r="E427" s="29" t="n"/>
      <c r="F427" s="30">
        <f>IF(AND(ISNUMBER($D427),ISNUMBER($E427),$E427&gt;0,$D427&lt;=$E427),$D427/$E427,"")</f>
        <v/>
      </c>
      <c r="P427" s="26" t="n"/>
      <c r="Q427" s="26" t="n"/>
      <c r="R427" s="26" t="n"/>
      <c r="S427" s="26" t="n"/>
      <c r="T427" s="26" t="n"/>
      <c r="V427" s="27">
        <f>IF(ISNUMBER($C427),COUNTIFS($A$14:$A$1213,$A427,$C$14:$C$1213,"&gt;"&amp;$C427)+(COUNTIFS($A$14:$A$1213,$A427,$C$14:$C$1213,"="&amp;$C427)+1)/2,"")</f>
        <v/>
      </c>
      <c r="W427" s="27">
        <f>IF(ISNUMBER($F427),COUNTIFS($A$14:$A$1213,$A427,$F$14:$F$1213,"&gt;"&amp;$F427)+(COUNTIFS($A$14:$A$1213,$A427,$F$14:$F$1213,"="&amp;$F427)+1)/2,"")</f>
        <v/>
      </c>
      <c r="X427" s="27">
        <f>IF(OR(NOT(ISNUMBER($V427)),$AO427=1),"",$V427-(COUNTIFS($A$14:$A$1213,$A427,$C$14:$C$1213,"&gt;=0")+1)/2)</f>
        <v/>
      </c>
      <c r="Y427" s="27">
        <f>IF(OR(NOT(ISNUMBER($W427)),$AO427=1),"",$W427-(COUNTIFS($A$14:$A$1213,$A427,$F$14:$F$1213,"&gt;=0")+1)/2)</f>
        <v/>
      </c>
      <c r="Z427" s="27">
        <f>IF(ISNUMBER($V427),$A427&amp;"|"&amp;$V427,"")</f>
        <v/>
      </c>
      <c r="AA427" s="27">
        <f>IF(ISNUMBER($W427),$A427&amp;"|"&amp;$W427,"")</f>
        <v/>
      </c>
      <c r="AB427" s="27">
        <f>IF(ISNUMBER($F427),$A427&amp;"|"&amp;$F427,"")</f>
        <v/>
      </c>
      <c r="AC427" s="27">
        <f>IF(ISNUMBER($P427),COUNTIFS($A$14:$A$1213,$A427,$P$14:$P$1213,"&gt;"&amp;$P427)+(COUNTIFS($A$14:$A$1213,$A427,$P$14:$P$1213,"="&amp;$P427)+1)/2,"")</f>
        <v/>
      </c>
      <c r="AD427" s="27">
        <f>IF(ISNUMBER($Q427),COUNTIFS($A$14:$A$1213,$A427,$Q$14:$Q$1213,"&gt;"&amp;$Q427)+(COUNTIFS($A$14:$A$1213,$A427,$Q$14:$Q$1213,"="&amp;$Q427)+1)/2,"")</f>
        <v/>
      </c>
      <c r="AE427" s="27">
        <f>IF(ISNUMBER($R427),COUNTIFS($A$14:$A$1213,$A427,$R$14:$R$1213,"&gt;"&amp;$R427)+(COUNTIFS($A$14:$A$1213,$A427,$R$14:$R$1213,"="&amp;$R427)+1)/2,"")</f>
        <v/>
      </c>
      <c r="AF427" s="27">
        <f>IF(ISNUMBER($S427),COUNTIFS($A$14:$A$1213,$A427,$S$14:$S$1213,"&gt;"&amp;$S427)+(COUNTIFS($A$14:$A$1213,$A427,$S$14:$S$1213,"="&amp;$S427)+1)/2,"")</f>
        <v/>
      </c>
      <c r="AG427" s="27">
        <f>IF(ISNUMBER($T427),COUNTIFS($A$14:$A$1213,$A427,$T$14:$T$1213,"&gt;"&amp;$T427)+(COUNTIFS($A$14:$A$1213,$A427,$T$14:$T$1213,"="&amp;$T427)+1)/2,"")</f>
        <v/>
      </c>
      <c r="AH427" s="27">
        <f>IF(COUNT($AC427:$AG427)&lt;2,"",IF(MAX($AC427:$AG427)=MIN($AC427:$AG427),0,1))</f>
        <v/>
      </c>
      <c r="AI427" s="27">
        <f>IF($A427="","",IF(COUNTIF($A$14:$A427,$A427)=1,COUNTIF($AI$13:AI426,"&gt;0")+1,""))</f>
        <v/>
      </c>
      <c r="AO427" s="27">
        <f>IF($A427="","",IF(AND(COUNTIFS($A$14:$A$1213,$A427,$F$14:$F$1213,"&gt;=0")=2,IFERROR(INDEX($M$14:$M$313,MATCH($A427,$H$14:$H$313,0)),"Yes")&lt;&gt;"Yes"),1,0))</f>
        <v/>
      </c>
    </row>
    <row r="428">
      <c r="A428" s="19">
        <f>IF('Enter messages'!A428="","",'Enter messages'!A428)</f>
        <v/>
      </c>
      <c r="B428" s="20">
        <f>IF('Enter messages'!B428="","",'Enter messages'!B428)</f>
        <v/>
      </c>
      <c r="C428" s="21">
        <f>IFERROR(AVERAGE(P428:T428),"")</f>
        <v/>
      </c>
      <c r="D428" s="29" t="n"/>
      <c r="E428" s="29" t="n"/>
      <c r="F428" s="30">
        <f>IF(AND(ISNUMBER($D428),ISNUMBER($E428),$E428&gt;0,$D428&lt;=$E428),$D428/$E428,"")</f>
        <v/>
      </c>
      <c r="P428" s="26" t="n"/>
      <c r="Q428" s="26" t="n"/>
      <c r="R428" s="26" t="n"/>
      <c r="S428" s="26" t="n"/>
      <c r="T428" s="26" t="n"/>
      <c r="V428" s="27">
        <f>IF(ISNUMBER($C428),COUNTIFS($A$14:$A$1213,$A428,$C$14:$C$1213,"&gt;"&amp;$C428)+(COUNTIFS($A$14:$A$1213,$A428,$C$14:$C$1213,"="&amp;$C428)+1)/2,"")</f>
        <v/>
      </c>
      <c r="W428" s="27">
        <f>IF(ISNUMBER($F428),COUNTIFS($A$14:$A$1213,$A428,$F$14:$F$1213,"&gt;"&amp;$F428)+(COUNTIFS($A$14:$A$1213,$A428,$F$14:$F$1213,"="&amp;$F428)+1)/2,"")</f>
        <v/>
      </c>
      <c r="X428" s="27">
        <f>IF(OR(NOT(ISNUMBER($V428)),$AO428=1),"",$V428-(COUNTIFS($A$14:$A$1213,$A428,$C$14:$C$1213,"&gt;=0")+1)/2)</f>
        <v/>
      </c>
      <c r="Y428" s="27">
        <f>IF(OR(NOT(ISNUMBER($W428)),$AO428=1),"",$W428-(COUNTIFS($A$14:$A$1213,$A428,$F$14:$F$1213,"&gt;=0")+1)/2)</f>
        <v/>
      </c>
      <c r="Z428" s="27">
        <f>IF(ISNUMBER($V428),$A428&amp;"|"&amp;$V428,"")</f>
        <v/>
      </c>
      <c r="AA428" s="27">
        <f>IF(ISNUMBER($W428),$A428&amp;"|"&amp;$W428,"")</f>
        <v/>
      </c>
      <c r="AB428" s="27">
        <f>IF(ISNUMBER($F428),$A428&amp;"|"&amp;$F428,"")</f>
        <v/>
      </c>
      <c r="AC428" s="27">
        <f>IF(ISNUMBER($P428),COUNTIFS($A$14:$A$1213,$A428,$P$14:$P$1213,"&gt;"&amp;$P428)+(COUNTIFS($A$14:$A$1213,$A428,$P$14:$P$1213,"="&amp;$P428)+1)/2,"")</f>
        <v/>
      </c>
      <c r="AD428" s="27">
        <f>IF(ISNUMBER($Q428),COUNTIFS($A$14:$A$1213,$A428,$Q$14:$Q$1213,"&gt;"&amp;$Q428)+(COUNTIFS($A$14:$A$1213,$A428,$Q$14:$Q$1213,"="&amp;$Q428)+1)/2,"")</f>
        <v/>
      </c>
      <c r="AE428" s="27">
        <f>IF(ISNUMBER($R428),COUNTIFS($A$14:$A$1213,$A428,$R$14:$R$1213,"&gt;"&amp;$R428)+(COUNTIFS($A$14:$A$1213,$A428,$R$14:$R$1213,"="&amp;$R428)+1)/2,"")</f>
        <v/>
      </c>
      <c r="AF428" s="27">
        <f>IF(ISNUMBER($S428),COUNTIFS($A$14:$A$1213,$A428,$S$14:$S$1213,"&gt;"&amp;$S428)+(COUNTIFS($A$14:$A$1213,$A428,$S$14:$S$1213,"="&amp;$S428)+1)/2,"")</f>
        <v/>
      </c>
      <c r="AG428" s="27">
        <f>IF(ISNUMBER($T428),COUNTIFS($A$14:$A$1213,$A428,$T$14:$T$1213,"&gt;"&amp;$T428)+(COUNTIFS($A$14:$A$1213,$A428,$T$14:$T$1213,"="&amp;$T428)+1)/2,"")</f>
        <v/>
      </c>
      <c r="AH428" s="27">
        <f>IF(COUNT($AC428:$AG428)&lt;2,"",IF(MAX($AC428:$AG428)=MIN($AC428:$AG428),0,1))</f>
        <v/>
      </c>
      <c r="AI428" s="27">
        <f>IF($A428="","",IF(COUNTIF($A$14:$A428,$A428)=1,COUNTIF($AI$13:AI427,"&gt;0")+1,""))</f>
        <v/>
      </c>
      <c r="AO428" s="27">
        <f>IF($A428="","",IF(AND(COUNTIFS($A$14:$A$1213,$A428,$F$14:$F$1213,"&gt;=0")=2,IFERROR(INDEX($M$14:$M$313,MATCH($A428,$H$14:$H$313,0)),"Yes")&lt;&gt;"Yes"),1,0))</f>
        <v/>
      </c>
    </row>
    <row r="429">
      <c r="A429" s="19">
        <f>IF('Enter messages'!A429="","",'Enter messages'!A429)</f>
        <v/>
      </c>
      <c r="B429" s="20">
        <f>IF('Enter messages'!B429="","",'Enter messages'!B429)</f>
        <v/>
      </c>
      <c r="C429" s="21">
        <f>IFERROR(AVERAGE(P429:T429),"")</f>
        <v/>
      </c>
      <c r="D429" s="29" t="n"/>
      <c r="E429" s="29" t="n"/>
      <c r="F429" s="30">
        <f>IF(AND(ISNUMBER($D429),ISNUMBER($E429),$E429&gt;0,$D429&lt;=$E429),$D429/$E429,"")</f>
        <v/>
      </c>
      <c r="P429" s="26" t="n"/>
      <c r="Q429" s="26" t="n"/>
      <c r="R429" s="26" t="n"/>
      <c r="S429" s="26" t="n"/>
      <c r="T429" s="26" t="n"/>
      <c r="V429" s="27">
        <f>IF(ISNUMBER($C429),COUNTIFS($A$14:$A$1213,$A429,$C$14:$C$1213,"&gt;"&amp;$C429)+(COUNTIFS($A$14:$A$1213,$A429,$C$14:$C$1213,"="&amp;$C429)+1)/2,"")</f>
        <v/>
      </c>
      <c r="W429" s="27">
        <f>IF(ISNUMBER($F429),COUNTIFS($A$14:$A$1213,$A429,$F$14:$F$1213,"&gt;"&amp;$F429)+(COUNTIFS($A$14:$A$1213,$A429,$F$14:$F$1213,"="&amp;$F429)+1)/2,"")</f>
        <v/>
      </c>
      <c r="X429" s="27">
        <f>IF(OR(NOT(ISNUMBER($V429)),$AO429=1),"",$V429-(COUNTIFS($A$14:$A$1213,$A429,$C$14:$C$1213,"&gt;=0")+1)/2)</f>
        <v/>
      </c>
      <c r="Y429" s="27">
        <f>IF(OR(NOT(ISNUMBER($W429)),$AO429=1),"",$W429-(COUNTIFS($A$14:$A$1213,$A429,$F$14:$F$1213,"&gt;=0")+1)/2)</f>
        <v/>
      </c>
      <c r="Z429" s="27">
        <f>IF(ISNUMBER($V429),$A429&amp;"|"&amp;$V429,"")</f>
        <v/>
      </c>
      <c r="AA429" s="27">
        <f>IF(ISNUMBER($W429),$A429&amp;"|"&amp;$W429,"")</f>
        <v/>
      </c>
      <c r="AB429" s="27">
        <f>IF(ISNUMBER($F429),$A429&amp;"|"&amp;$F429,"")</f>
        <v/>
      </c>
      <c r="AC429" s="27">
        <f>IF(ISNUMBER($P429),COUNTIFS($A$14:$A$1213,$A429,$P$14:$P$1213,"&gt;"&amp;$P429)+(COUNTIFS($A$14:$A$1213,$A429,$P$14:$P$1213,"="&amp;$P429)+1)/2,"")</f>
        <v/>
      </c>
      <c r="AD429" s="27">
        <f>IF(ISNUMBER($Q429),COUNTIFS($A$14:$A$1213,$A429,$Q$14:$Q$1213,"&gt;"&amp;$Q429)+(COUNTIFS($A$14:$A$1213,$A429,$Q$14:$Q$1213,"="&amp;$Q429)+1)/2,"")</f>
        <v/>
      </c>
      <c r="AE429" s="27">
        <f>IF(ISNUMBER($R429),COUNTIFS($A$14:$A$1213,$A429,$R$14:$R$1213,"&gt;"&amp;$R429)+(COUNTIFS($A$14:$A$1213,$A429,$R$14:$R$1213,"="&amp;$R429)+1)/2,"")</f>
        <v/>
      </c>
      <c r="AF429" s="27">
        <f>IF(ISNUMBER($S429),COUNTIFS($A$14:$A$1213,$A429,$S$14:$S$1213,"&gt;"&amp;$S429)+(COUNTIFS($A$14:$A$1213,$A429,$S$14:$S$1213,"="&amp;$S429)+1)/2,"")</f>
        <v/>
      </c>
      <c r="AG429" s="27">
        <f>IF(ISNUMBER($T429),COUNTIFS($A$14:$A$1213,$A429,$T$14:$T$1213,"&gt;"&amp;$T429)+(COUNTIFS($A$14:$A$1213,$A429,$T$14:$T$1213,"="&amp;$T429)+1)/2,"")</f>
        <v/>
      </c>
      <c r="AH429" s="27">
        <f>IF(COUNT($AC429:$AG429)&lt;2,"",IF(MAX($AC429:$AG429)=MIN($AC429:$AG429),0,1))</f>
        <v/>
      </c>
      <c r="AI429" s="27">
        <f>IF($A429="","",IF(COUNTIF($A$14:$A429,$A429)=1,COUNTIF($AI$13:AI428,"&gt;0")+1,""))</f>
        <v/>
      </c>
      <c r="AO429" s="27">
        <f>IF($A429="","",IF(AND(COUNTIFS($A$14:$A$1213,$A429,$F$14:$F$1213,"&gt;=0")=2,IFERROR(INDEX($M$14:$M$313,MATCH($A429,$H$14:$H$313,0)),"Yes")&lt;&gt;"Yes"),1,0))</f>
        <v/>
      </c>
    </row>
    <row r="430">
      <c r="A430" s="19">
        <f>IF('Enter messages'!A430="","",'Enter messages'!A430)</f>
        <v/>
      </c>
      <c r="B430" s="20">
        <f>IF('Enter messages'!B430="","",'Enter messages'!B430)</f>
        <v/>
      </c>
      <c r="C430" s="21">
        <f>IFERROR(AVERAGE(P430:T430),"")</f>
        <v/>
      </c>
      <c r="D430" s="29" t="n"/>
      <c r="E430" s="29" t="n"/>
      <c r="F430" s="30">
        <f>IF(AND(ISNUMBER($D430),ISNUMBER($E430),$E430&gt;0,$D430&lt;=$E430),$D430/$E430,"")</f>
        <v/>
      </c>
      <c r="P430" s="26" t="n"/>
      <c r="Q430" s="26" t="n"/>
      <c r="R430" s="26" t="n"/>
      <c r="S430" s="26" t="n"/>
      <c r="T430" s="26" t="n"/>
      <c r="V430" s="27">
        <f>IF(ISNUMBER($C430),COUNTIFS($A$14:$A$1213,$A430,$C$14:$C$1213,"&gt;"&amp;$C430)+(COUNTIFS($A$14:$A$1213,$A430,$C$14:$C$1213,"="&amp;$C430)+1)/2,"")</f>
        <v/>
      </c>
      <c r="W430" s="27">
        <f>IF(ISNUMBER($F430),COUNTIFS($A$14:$A$1213,$A430,$F$14:$F$1213,"&gt;"&amp;$F430)+(COUNTIFS($A$14:$A$1213,$A430,$F$14:$F$1213,"="&amp;$F430)+1)/2,"")</f>
        <v/>
      </c>
      <c r="X430" s="27">
        <f>IF(OR(NOT(ISNUMBER($V430)),$AO430=1),"",$V430-(COUNTIFS($A$14:$A$1213,$A430,$C$14:$C$1213,"&gt;=0")+1)/2)</f>
        <v/>
      </c>
      <c r="Y430" s="27">
        <f>IF(OR(NOT(ISNUMBER($W430)),$AO430=1),"",$W430-(COUNTIFS($A$14:$A$1213,$A430,$F$14:$F$1213,"&gt;=0")+1)/2)</f>
        <v/>
      </c>
      <c r="Z430" s="27">
        <f>IF(ISNUMBER($V430),$A430&amp;"|"&amp;$V430,"")</f>
        <v/>
      </c>
      <c r="AA430" s="27">
        <f>IF(ISNUMBER($W430),$A430&amp;"|"&amp;$W430,"")</f>
        <v/>
      </c>
      <c r="AB430" s="27">
        <f>IF(ISNUMBER($F430),$A430&amp;"|"&amp;$F430,"")</f>
        <v/>
      </c>
      <c r="AC430" s="27">
        <f>IF(ISNUMBER($P430),COUNTIFS($A$14:$A$1213,$A430,$P$14:$P$1213,"&gt;"&amp;$P430)+(COUNTIFS($A$14:$A$1213,$A430,$P$14:$P$1213,"="&amp;$P430)+1)/2,"")</f>
        <v/>
      </c>
      <c r="AD430" s="27">
        <f>IF(ISNUMBER($Q430),COUNTIFS($A$14:$A$1213,$A430,$Q$14:$Q$1213,"&gt;"&amp;$Q430)+(COUNTIFS($A$14:$A$1213,$A430,$Q$14:$Q$1213,"="&amp;$Q430)+1)/2,"")</f>
        <v/>
      </c>
      <c r="AE430" s="27">
        <f>IF(ISNUMBER($R430),COUNTIFS($A$14:$A$1213,$A430,$R$14:$R$1213,"&gt;"&amp;$R430)+(COUNTIFS($A$14:$A$1213,$A430,$R$14:$R$1213,"="&amp;$R430)+1)/2,"")</f>
        <v/>
      </c>
      <c r="AF430" s="27">
        <f>IF(ISNUMBER($S430),COUNTIFS($A$14:$A$1213,$A430,$S$14:$S$1213,"&gt;"&amp;$S430)+(COUNTIFS($A$14:$A$1213,$A430,$S$14:$S$1213,"="&amp;$S430)+1)/2,"")</f>
        <v/>
      </c>
      <c r="AG430" s="27">
        <f>IF(ISNUMBER($T430),COUNTIFS($A$14:$A$1213,$A430,$T$14:$T$1213,"&gt;"&amp;$T430)+(COUNTIFS($A$14:$A$1213,$A430,$T$14:$T$1213,"="&amp;$T430)+1)/2,"")</f>
        <v/>
      </c>
      <c r="AH430" s="27">
        <f>IF(COUNT($AC430:$AG430)&lt;2,"",IF(MAX($AC430:$AG430)=MIN($AC430:$AG430),0,1))</f>
        <v/>
      </c>
      <c r="AI430" s="27">
        <f>IF($A430="","",IF(COUNTIF($A$14:$A430,$A430)=1,COUNTIF($AI$13:AI429,"&gt;0")+1,""))</f>
        <v/>
      </c>
      <c r="AO430" s="27">
        <f>IF($A430="","",IF(AND(COUNTIFS($A$14:$A$1213,$A430,$F$14:$F$1213,"&gt;=0")=2,IFERROR(INDEX($M$14:$M$313,MATCH($A430,$H$14:$H$313,0)),"Yes")&lt;&gt;"Yes"),1,0))</f>
        <v/>
      </c>
    </row>
    <row r="431">
      <c r="A431" s="19">
        <f>IF('Enter messages'!A431="","",'Enter messages'!A431)</f>
        <v/>
      </c>
      <c r="B431" s="20">
        <f>IF('Enter messages'!B431="","",'Enter messages'!B431)</f>
        <v/>
      </c>
      <c r="C431" s="21">
        <f>IFERROR(AVERAGE(P431:T431),"")</f>
        <v/>
      </c>
      <c r="D431" s="29" t="n"/>
      <c r="E431" s="29" t="n"/>
      <c r="F431" s="30">
        <f>IF(AND(ISNUMBER($D431),ISNUMBER($E431),$E431&gt;0,$D431&lt;=$E431),$D431/$E431,"")</f>
        <v/>
      </c>
      <c r="P431" s="26" t="n"/>
      <c r="Q431" s="26" t="n"/>
      <c r="R431" s="26" t="n"/>
      <c r="S431" s="26" t="n"/>
      <c r="T431" s="26" t="n"/>
      <c r="V431" s="27">
        <f>IF(ISNUMBER($C431),COUNTIFS($A$14:$A$1213,$A431,$C$14:$C$1213,"&gt;"&amp;$C431)+(COUNTIFS($A$14:$A$1213,$A431,$C$14:$C$1213,"="&amp;$C431)+1)/2,"")</f>
        <v/>
      </c>
      <c r="W431" s="27">
        <f>IF(ISNUMBER($F431),COUNTIFS($A$14:$A$1213,$A431,$F$14:$F$1213,"&gt;"&amp;$F431)+(COUNTIFS($A$14:$A$1213,$A431,$F$14:$F$1213,"="&amp;$F431)+1)/2,"")</f>
        <v/>
      </c>
      <c r="X431" s="27">
        <f>IF(OR(NOT(ISNUMBER($V431)),$AO431=1),"",$V431-(COUNTIFS($A$14:$A$1213,$A431,$C$14:$C$1213,"&gt;=0")+1)/2)</f>
        <v/>
      </c>
      <c r="Y431" s="27">
        <f>IF(OR(NOT(ISNUMBER($W431)),$AO431=1),"",$W431-(COUNTIFS($A$14:$A$1213,$A431,$F$14:$F$1213,"&gt;=0")+1)/2)</f>
        <v/>
      </c>
      <c r="Z431" s="27">
        <f>IF(ISNUMBER($V431),$A431&amp;"|"&amp;$V431,"")</f>
        <v/>
      </c>
      <c r="AA431" s="27">
        <f>IF(ISNUMBER($W431),$A431&amp;"|"&amp;$W431,"")</f>
        <v/>
      </c>
      <c r="AB431" s="27">
        <f>IF(ISNUMBER($F431),$A431&amp;"|"&amp;$F431,"")</f>
        <v/>
      </c>
      <c r="AC431" s="27">
        <f>IF(ISNUMBER($P431),COUNTIFS($A$14:$A$1213,$A431,$P$14:$P$1213,"&gt;"&amp;$P431)+(COUNTIFS($A$14:$A$1213,$A431,$P$14:$P$1213,"="&amp;$P431)+1)/2,"")</f>
        <v/>
      </c>
      <c r="AD431" s="27">
        <f>IF(ISNUMBER($Q431),COUNTIFS($A$14:$A$1213,$A431,$Q$14:$Q$1213,"&gt;"&amp;$Q431)+(COUNTIFS($A$14:$A$1213,$A431,$Q$14:$Q$1213,"="&amp;$Q431)+1)/2,"")</f>
        <v/>
      </c>
      <c r="AE431" s="27">
        <f>IF(ISNUMBER($R431),COUNTIFS($A$14:$A$1213,$A431,$R$14:$R$1213,"&gt;"&amp;$R431)+(COUNTIFS($A$14:$A$1213,$A431,$R$14:$R$1213,"="&amp;$R431)+1)/2,"")</f>
        <v/>
      </c>
      <c r="AF431" s="27">
        <f>IF(ISNUMBER($S431),COUNTIFS($A$14:$A$1213,$A431,$S$14:$S$1213,"&gt;"&amp;$S431)+(COUNTIFS($A$14:$A$1213,$A431,$S$14:$S$1213,"="&amp;$S431)+1)/2,"")</f>
        <v/>
      </c>
      <c r="AG431" s="27">
        <f>IF(ISNUMBER($T431),COUNTIFS($A$14:$A$1213,$A431,$T$14:$T$1213,"&gt;"&amp;$T431)+(COUNTIFS($A$14:$A$1213,$A431,$T$14:$T$1213,"="&amp;$T431)+1)/2,"")</f>
        <v/>
      </c>
      <c r="AH431" s="27">
        <f>IF(COUNT($AC431:$AG431)&lt;2,"",IF(MAX($AC431:$AG431)=MIN($AC431:$AG431),0,1))</f>
        <v/>
      </c>
      <c r="AI431" s="27">
        <f>IF($A431="","",IF(COUNTIF($A$14:$A431,$A431)=1,COUNTIF($AI$13:AI430,"&gt;0")+1,""))</f>
        <v/>
      </c>
      <c r="AO431" s="27">
        <f>IF($A431="","",IF(AND(COUNTIFS($A$14:$A$1213,$A431,$F$14:$F$1213,"&gt;=0")=2,IFERROR(INDEX($M$14:$M$313,MATCH($A431,$H$14:$H$313,0)),"Yes")&lt;&gt;"Yes"),1,0))</f>
        <v/>
      </c>
    </row>
    <row r="432">
      <c r="A432" s="19">
        <f>IF('Enter messages'!A432="","",'Enter messages'!A432)</f>
        <v/>
      </c>
      <c r="B432" s="20">
        <f>IF('Enter messages'!B432="","",'Enter messages'!B432)</f>
        <v/>
      </c>
      <c r="C432" s="21">
        <f>IFERROR(AVERAGE(P432:T432),"")</f>
        <v/>
      </c>
      <c r="D432" s="29" t="n"/>
      <c r="E432" s="29" t="n"/>
      <c r="F432" s="30">
        <f>IF(AND(ISNUMBER($D432),ISNUMBER($E432),$E432&gt;0,$D432&lt;=$E432),$D432/$E432,"")</f>
        <v/>
      </c>
      <c r="P432" s="26" t="n"/>
      <c r="Q432" s="26" t="n"/>
      <c r="R432" s="26" t="n"/>
      <c r="S432" s="26" t="n"/>
      <c r="T432" s="26" t="n"/>
      <c r="V432" s="27">
        <f>IF(ISNUMBER($C432),COUNTIFS($A$14:$A$1213,$A432,$C$14:$C$1213,"&gt;"&amp;$C432)+(COUNTIFS($A$14:$A$1213,$A432,$C$14:$C$1213,"="&amp;$C432)+1)/2,"")</f>
        <v/>
      </c>
      <c r="W432" s="27">
        <f>IF(ISNUMBER($F432),COUNTIFS($A$14:$A$1213,$A432,$F$14:$F$1213,"&gt;"&amp;$F432)+(COUNTIFS($A$14:$A$1213,$A432,$F$14:$F$1213,"="&amp;$F432)+1)/2,"")</f>
        <v/>
      </c>
      <c r="X432" s="27">
        <f>IF(OR(NOT(ISNUMBER($V432)),$AO432=1),"",$V432-(COUNTIFS($A$14:$A$1213,$A432,$C$14:$C$1213,"&gt;=0")+1)/2)</f>
        <v/>
      </c>
      <c r="Y432" s="27">
        <f>IF(OR(NOT(ISNUMBER($W432)),$AO432=1),"",$W432-(COUNTIFS($A$14:$A$1213,$A432,$F$14:$F$1213,"&gt;=0")+1)/2)</f>
        <v/>
      </c>
      <c r="Z432" s="27">
        <f>IF(ISNUMBER($V432),$A432&amp;"|"&amp;$V432,"")</f>
        <v/>
      </c>
      <c r="AA432" s="27">
        <f>IF(ISNUMBER($W432),$A432&amp;"|"&amp;$W432,"")</f>
        <v/>
      </c>
      <c r="AB432" s="27">
        <f>IF(ISNUMBER($F432),$A432&amp;"|"&amp;$F432,"")</f>
        <v/>
      </c>
      <c r="AC432" s="27">
        <f>IF(ISNUMBER($P432),COUNTIFS($A$14:$A$1213,$A432,$P$14:$P$1213,"&gt;"&amp;$P432)+(COUNTIFS($A$14:$A$1213,$A432,$P$14:$P$1213,"="&amp;$P432)+1)/2,"")</f>
        <v/>
      </c>
      <c r="AD432" s="27">
        <f>IF(ISNUMBER($Q432),COUNTIFS($A$14:$A$1213,$A432,$Q$14:$Q$1213,"&gt;"&amp;$Q432)+(COUNTIFS($A$14:$A$1213,$A432,$Q$14:$Q$1213,"="&amp;$Q432)+1)/2,"")</f>
        <v/>
      </c>
      <c r="AE432" s="27">
        <f>IF(ISNUMBER($R432),COUNTIFS($A$14:$A$1213,$A432,$R$14:$R$1213,"&gt;"&amp;$R432)+(COUNTIFS($A$14:$A$1213,$A432,$R$14:$R$1213,"="&amp;$R432)+1)/2,"")</f>
        <v/>
      </c>
      <c r="AF432" s="27">
        <f>IF(ISNUMBER($S432),COUNTIFS($A$14:$A$1213,$A432,$S$14:$S$1213,"&gt;"&amp;$S432)+(COUNTIFS($A$14:$A$1213,$A432,$S$14:$S$1213,"="&amp;$S432)+1)/2,"")</f>
        <v/>
      </c>
      <c r="AG432" s="27">
        <f>IF(ISNUMBER($T432),COUNTIFS($A$14:$A$1213,$A432,$T$14:$T$1213,"&gt;"&amp;$T432)+(COUNTIFS($A$14:$A$1213,$A432,$T$14:$T$1213,"="&amp;$T432)+1)/2,"")</f>
        <v/>
      </c>
      <c r="AH432" s="27">
        <f>IF(COUNT($AC432:$AG432)&lt;2,"",IF(MAX($AC432:$AG432)=MIN($AC432:$AG432),0,1))</f>
        <v/>
      </c>
      <c r="AI432" s="27">
        <f>IF($A432="","",IF(COUNTIF($A$14:$A432,$A432)=1,COUNTIF($AI$13:AI431,"&gt;0")+1,""))</f>
        <v/>
      </c>
      <c r="AO432" s="27">
        <f>IF($A432="","",IF(AND(COUNTIFS($A$14:$A$1213,$A432,$F$14:$F$1213,"&gt;=0")=2,IFERROR(INDEX($M$14:$M$313,MATCH($A432,$H$14:$H$313,0)),"Yes")&lt;&gt;"Yes"),1,0))</f>
        <v/>
      </c>
    </row>
    <row r="433">
      <c r="A433" s="19">
        <f>IF('Enter messages'!A433="","",'Enter messages'!A433)</f>
        <v/>
      </c>
      <c r="B433" s="20">
        <f>IF('Enter messages'!B433="","",'Enter messages'!B433)</f>
        <v/>
      </c>
      <c r="C433" s="21">
        <f>IFERROR(AVERAGE(P433:T433),"")</f>
        <v/>
      </c>
      <c r="D433" s="29" t="n"/>
      <c r="E433" s="29" t="n"/>
      <c r="F433" s="30">
        <f>IF(AND(ISNUMBER($D433),ISNUMBER($E433),$E433&gt;0,$D433&lt;=$E433),$D433/$E433,"")</f>
        <v/>
      </c>
      <c r="P433" s="26" t="n"/>
      <c r="Q433" s="26" t="n"/>
      <c r="R433" s="26" t="n"/>
      <c r="S433" s="26" t="n"/>
      <c r="T433" s="26" t="n"/>
      <c r="V433" s="27">
        <f>IF(ISNUMBER($C433),COUNTIFS($A$14:$A$1213,$A433,$C$14:$C$1213,"&gt;"&amp;$C433)+(COUNTIFS($A$14:$A$1213,$A433,$C$14:$C$1213,"="&amp;$C433)+1)/2,"")</f>
        <v/>
      </c>
      <c r="W433" s="27">
        <f>IF(ISNUMBER($F433),COUNTIFS($A$14:$A$1213,$A433,$F$14:$F$1213,"&gt;"&amp;$F433)+(COUNTIFS($A$14:$A$1213,$A433,$F$14:$F$1213,"="&amp;$F433)+1)/2,"")</f>
        <v/>
      </c>
      <c r="X433" s="27">
        <f>IF(OR(NOT(ISNUMBER($V433)),$AO433=1),"",$V433-(COUNTIFS($A$14:$A$1213,$A433,$C$14:$C$1213,"&gt;=0")+1)/2)</f>
        <v/>
      </c>
      <c r="Y433" s="27">
        <f>IF(OR(NOT(ISNUMBER($W433)),$AO433=1),"",$W433-(COUNTIFS($A$14:$A$1213,$A433,$F$14:$F$1213,"&gt;=0")+1)/2)</f>
        <v/>
      </c>
      <c r="Z433" s="27">
        <f>IF(ISNUMBER($V433),$A433&amp;"|"&amp;$V433,"")</f>
        <v/>
      </c>
      <c r="AA433" s="27">
        <f>IF(ISNUMBER($W433),$A433&amp;"|"&amp;$W433,"")</f>
        <v/>
      </c>
      <c r="AB433" s="27">
        <f>IF(ISNUMBER($F433),$A433&amp;"|"&amp;$F433,"")</f>
        <v/>
      </c>
      <c r="AC433" s="27">
        <f>IF(ISNUMBER($P433),COUNTIFS($A$14:$A$1213,$A433,$P$14:$P$1213,"&gt;"&amp;$P433)+(COUNTIFS($A$14:$A$1213,$A433,$P$14:$P$1213,"="&amp;$P433)+1)/2,"")</f>
        <v/>
      </c>
      <c r="AD433" s="27">
        <f>IF(ISNUMBER($Q433),COUNTIFS($A$14:$A$1213,$A433,$Q$14:$Q$1213,"&gt;"&amp;$Q433)+(COUNTIFS($A$14:$A$1213,$A433,$Q$14:$Q$1213,"="&amp;$Q433)+1)/2,"")</f>
        <v/>
      </c>
      <c r="AE433" s="27">
        <f>IF(ISNUMBER($R433),COUNTIFS($A$14:$A$1213,$A433,$R$14:$R$1213,"&gt;"&amp;$R433)+(COUNTIFS($A$14:$A$1213,$A433,$R$14:$R$1213,"="&amp;$R433)+1)/2,"")</f>
        <v/>
      </c>
      <c r="AF433" s="27">
        <f>IF(ISNUMBER($S433),COUNTIFS($A$14:$A$1213,$A433,$S$14:$S$1213,"&gt;"&amp;$S433)+(COUNTIFS($A$14:$A$1213,$A433,$S$14:$S$1213,"="&amp;$S433)+1)/2,"")</f>
        <v/>
      </c>
      <c r="AG433" s="27">
        <f>IF(ISNUMBER($T433),COUNTIFS($A$14:$A$1213,$A433,$T$14:$T$1213,"&gt;"&amp;$T433)+(COUNTIFS($A$14:$A$1213,$A433,$T$14:$T$1213,"="&amp;$T433)+1)/2,"")</f>
        <v/>
      </c>
      <c r="AH433" s="27">
        <f>IF(COUNT($AC433:$AG433)&lt;2,"",IF(MAX($AC433:$AG433)=MIN($AC433:$AG433),0,1))</f>
        <v/>
      </c>
      <c r="AI433" s="27">
        <f>IF($A433="","",IF(COUNTIF($A$14:$A433,$A433)=1,COUNTIF($AI$13:AI432,"&gt;0")+1,""))</f>
        <v/>
      </c>
      <c r="AO433" s="27">
        <f>IF($A433="","",IF(AND(COUNTIFS($A$14:$A$1213,$A433,$F$14:$F$1213,"&gt;=0")=2,IFERROR(INDEX($M$14:$M$313,MATCH($A433,$H$14:$H$313,0)),"Yes")&lt;&gt;"Yes"),1,0))</f>
        <v/>
      </c>
    </row>
    <row r="434">
      <c r="A434" s="19">
        <f>IF('Enter messages'!A434="","",'Enter messages'!A434)</f>
        <v/>
      </c>
      <c r="B434" s="20">
        <f>IF('Enter messages'!B434="","",'Enter messages'!B434)</f>
        <v/>
      </c>
      <c r="C434" s="21">
        <f>IFERROR(AVERAGE(P434:T434),"")</f>
        <v/>
      </c>
      <c r="D434" s="29" t="n"/>
      <c r="E434" s="29" t="n"/>
      <c r="F434" s="30">
        <f>IF(AND(ISNUMBER($D434),ISNUMBER($E434),$E434&gt;0,$D434&lt;=$E434),$D434/$E434,"")</f>
        <v/>
      </c>
      <c r="P434" s="26" t="n"/>
      <c r="Q434" s="26" t="n"/>
      <c r="R434" s="26" t="n"/>
      <c r="S434" s="26" t="n"/>
      <c r="T434" s="26" t="n"/>
      <c r="V434" s="27">
        <f>IF(ISNUMBER($C434),COUNTIFS($A$14:$A$1213,$A434,$C$14:$C$1213,"&gt;"&amp;$C434)+(COUNTIFS($A$14:$A$1213,$A434,$C$14:$C$1213,"="&amp;$C434)+1)/2,"")</f>
        <v/>
      </c>
      <c r="W434" s="27">
        <f>IF(ISNUMBER($F434),COUNTIFS($A$14:$A$1213,$A434,$F$14:$F$1213,"&gt;"&amp;$F434)+(COUNTIFS($A$14:$A$1213,$A434,$F$14:$F$1213,"="&amp;$F434)+1)/2,"")</f>
        <v/>
      </c>
      <c r="X434" s="27">
        <f>IF(OR(NOT(ISNUMBER($V434)),$AO434=1),"",$V434-(COUNTIFS($A$14:$A$1213,$A434,$C$14:$C$1213,"&gt;=0")+1)/2)</f>
        <v/>
      </c>
      <c r="Y434" s="27">
        <f>IF(OR(NOT(ISNUMBER($W434)),$AO434=1),"",$W434-(COUNTIFS($A$14:$A$1213,$A434,$F$14:$F$1213,"&gt;=0")+1)/2)</f>
        <v/>
      </c>
      <c r="Z434" s="27">
        <f>IF(ISNUMBER($V434),$A434&amp;"|"&amp;$V434,"")</f>
        <v/>
      </c>
      <c r="AA434" s="27">
        <f>IF(ISNUMBER($W434),$A434&amp;"|"&amp;$W434,"")</f>
        <v/>
      </c>
      <c r="AB434" s="27">
        <f>IF(ISNUMBER($F434),$A434&amp;"|"&amp;$F434,"")</f>
        <v/>
      </c>
      <c r="AC434" s="27">
        <f>IF(ISNUMBER($P434),COUNTIFS($A$14:$A$1213,$A434,$P$14:$P$1213,"&gt;"&amp;$P434)+(COUNTIFS($A$14:$A$1213,$A434,$P$14:$P$1213,"="&amp;$P434)+1)/2,"")</f>
        <v/>
      </c>
      <c r="AD434" s="27">
        <f>IF(ISNUMBER($Q434),COUNTIFS($A$14:$A$1213,$A434,$Q$14:$Q$1213,"&gt;"&amp;$Q434)+(COUNTIFS($A$14:$A$1213,$A434,$Q$14:$Q$1213,"="&amp;$Q434)+1)/2,"")</f>
        <v/>
      </c>
      <c r="AE434" s="27">
        <f>IF(ISNUMBER($R434),COUNTIFS($A$14:$A$1213,$A434,$R$14:$R$1213,"&gt;"&amp;$R434)+(COUNTIFS($A$14:$A$1213,$A434,$R$14:$R$1213,"="&amp;$R434)+1)/2,"")</f>
        <v/>
      </c>
      <c r="AF434" s="27">
        <f>IF(ISNUMBER($S434),COUNTIFS($A$14:$A$1213,$A434,$S$14:$S$1213,"&gt;"&amp;$S434)+(COUNTIFS($A$14:$A$1213,$A434,$S$14:$S$1213,"="&amp;$S434)+1)/2,"")</f>
        <v/>
      </c>
      <c r="AG434" s="27">
        <f>IF(ISNUMBER($T434),COUNTIFS($A$14:$A$1213,$A434,$T$14:$T$1213,"&gt;"&amp;$T434)+(COUNTIFS($A$14:$A$1213,$A434,$T$14:$T$1213,"="&amp;$T434)+1)/2,"")</f>
        <v/>
      </c>
      <c r="AH434" s="27">
        <f>IF(COUNT($AC434:$AG434)&lt;2,"",IF(MAX($AC434:$AG434)=MIN($AC434:$AG434),0,1))</f>
        <v/>
      </c>
      <c r="AI434" s="27">
        <f>IF($A434="","",IF(COUNTIF($A$14:$A434,$A434)=1,COUNTIF($AI$13:AI433,"&gt;0")+1,""))</f>
        <v/>
      </c>
      <c r="AO434" s="27">
        <f>IF($A434="","",IF(AND(COUNTIFS($A$14:$A$1213,$A434,$F$14:$F$1213,"&gt;=0")=2,IFERROR(INDEX($M$14:$M$313,MATCH($A434,$H$14:$H$313,0)),"Yes")&lt;&gt;"Yes"),1,0))</f>
        <v/>
      </c>
    </row>
    <row r="435">
      <c r="A435" s="19">
        <f>IF('Enter messages'!A435="","",'Enter messages'!A435)</f>
        <v/>
      </c>
      <c r="B435" s="20">
        <f>IF('Enter messages'!B435="","",'Enter messages'!B435)</f>
        <v/>
      </c>
      <c r="C435" s="21">
        <f>IFERROR(AVERAGE(P435:T435),"")</f>
        <v/>
      </c>
      <c r="D435" s="29" t="n"/>
      <c r="E435" s="29" t="n"/>
      <c r="F435" s="30">
        <f>IF(AND(ISNUMBER($D435),ISNUMBER($E435),$E435&gt;0,$D435&lt;=$E435),$D435/$E435,"")</f>
        <v/>
      </c>
      <c r="P435" s="26" t="n"/>
      <c r="Q435" s="26" t="n"/>
      <c r="R435" s="26" t="n"/>
      <c r="S435" s="26" t="n"/>
      <c r="T435" s="26" t="n"/>
      <c r="V435" s="27">
        <f>IF(ISNUMBER($C435),COUNTIFS($A$14:$A$1213,$A435,$C$14:$C$1213,"&gt;"&amp;$C435)+(COUNTIFS($A$14:$A$1213,$A435,$C$14:$C$1213,"="&amp;$C435)+1)/2,"")</f>
        <v/>
      </c>
      <c r="W435" s="27">
        <f>IF(ISNUMBER($F435),COUNTIFS($A$14:$A$1213,$A435,$F$14:$F$1213,"&gt;"&amp;$F435)+(COUNTIFS($A$14:$A$1213,$A435,$F$14:$F$1213,"="&amp;$F435)+1)/2,"")</f>
        <v/>
      </c>
      <c r="X435" s="27">
        <f>IF(OR(NOT(ISNUMBER($V435)),$AO435=1),"",$V435-(COUNTIFS($A$14:$A$1213,$A435,$C$14:$C$1213,"&gt;=0")+1)/2)</f>
        <v/>
      </c>
      <c r="Y435" s="27">
        <f>IF(OR(NOT(ISNUMBER($W435)),$AO435=1),"",$W435-(COUNTIFS($A$14:$A$1213,$A435,$F$14:$F$1213,"&gt;=0")+1)/2)</f>
        <v/>
      </c>
      <c r="Z435" s="27">
        <f>IF(ISNUMBER($V435),$A435&amp;"|"&amp;$V435,"")</f>
        <v/>
      </c>
      <c r="AA435" s="27">
        <f>IF(ISNUMBER($W435),$A435&amp;"|"&amp;$W435,"")</f>
        <v/>
      </c>
      <c r="AB435" s="27">
        <f>IF(ISNUMBER($F435),$A435&amp;"|"&amp;$F435,"")</f>
        <v/>
      </c>
      <c r="AC435" s="27">
        <f>IF(ISNUMBER($P435),COUNTIFS($A$14:$A$1213,$A435,$P$14:$P$1213,"&gt;"&amp;$P435)+(COUNTIFS($A$14:$A$1213,$A435,$P$14:$P$1213,"="&amp;$P435)+1)/2,"")</f>
        <v/>
      </c>
      <c r="AD435" s="27">
        <f>IF(ISNUMBER($Q435),COUNTIFS($A$14:$A$1213,$A435,$Q$14:$Q$1213,"&gt;"&amp;$Q435)+(COUNTIFS($A$14:$A$1213,$A435,$Q$14:$Q$1213,"="&amp;$Q435)+1)/2,"")</f>
        <v/>
      </c>
      <c r="AE435" s="27">
        <f>IF(ISNUMBER($R435),COUNTIFS($A$14:$A$1213,$A435,$R$14:$R$1213,"&gt;"&amp;$R435)+(COUNTIFS($A$14:$A$1213,$A435,$R$14:$R$1213,"="&amp;$R435)+1)/2,"")</f>
        <v/>
      </c>
      <c r="AF435" s="27">
        <f>IF(ISNUMBER($S435),COUNTIFS($A$14:$A$1213,$A435,$S$14:$S$1213,"&gt;"&amp;$S435)+(COUNTIFS($A$14:$A$1213,$A435,$S$14:$S$1213,"="&amp;$S435)+1)/2,"")</f>
        <v/>
      </c>
      <c r="AG435" s="27">
        <f>IF(ISNUMBER($T435),COUNTIFS($A$14:$A$1213,$A435,$T$14:$T$1213,"&gt;"&amp;$T435)+(COUNTIFS($A$14:$A$1213,$A435,$T$14:$T$1213,"="&amp;$T435)+1)/2,"")</f>
        <v/>
      </c>
      <c r="AH435" s="27">
        <f>IF(COUNT($AC435:$AG435)&lt;2,"",IF(MAX($AC435:$AG435)=MIN($AC435:$AG435),0,1))</f>
        <v/>
      </c>
      <c r="AI435" s="27">
        <f>IF($A435="","",IF(COUNTIF($A$14:$A435,$A435)=1,COUNTIF($AI$13:AI434,"&gt;0")+1,""))</f>
        <v/>
      </c>
      <c r="AO435" s="27">
        <f>IF($A435="","",IF(AND(COUNTIFS($A$14:$A$1213,$A435,$F$14:$F$1213,"&gt;=0")=2,IFERROR(INDEX($M$14:$M$313,MATCH($A435,$H$14:$H$313,0)),"Yes")&lt;&gt;"Yes"),1,0))</f>
        <v/>
      </c>
    </row>
    <row r="436">
      <c r="A436" s="19">
        <f>IF('Enter messages'!A436="","",'Enter messages'!A436)</f>
        <v/>
      </c>
      <c r="B436" s="20">
        <f>IF('Enter messages'!B436="","",'Enter messages'!B436)</f>
        <v/>
      </c>
      <c r="C436" s="21">
        <f>IFERROR(AVERAGE(P436:T436),"")</f>
        <v/>
      </c>
      <c r="D436" s="29" t="n"/>
      <c r="E436" s="29" t="n"/>
      <c r="F436" s="30">
        <f>IF(AND(ISNUMBER($D436),ISNUMBER($E436),$E436&gt;0,$D436&lt;=$E436),$D436/$E436,"")</f>
        <v/>
      </c>
      <c r="P436" s="26" t="n"/>
      <c r="Q436" s="26" t="n"/>
      <c r="R436" s="26" t="n"/>
      <c r="S436" s="26" t="n"/>
      <c r="T436" s="26" t="n"/>
      <c r="V436" s="27">
        <f>IF(ISNUMBER($C436),COUNTIFS($A$14:$A$1213,$A436,$C$14:$C$1213,"&gt;"&amp;$C436)+(COUNTIFS($A$14:$A$1213,$A436,$C$14:$C$1213,"="&amp;$C436)+1)/2,"")</f>
        <v/>
      </c>
      <c r="W436" s="27">
        <f>IF(ISNUMBER($F436),COUNTIFS($A$14:$A$1213,$A436,$F$14:$F$1213,"&gt;"&amp;$F436)+(COUNTIFS($A$14:$A$1213,$A436,$F$14:$F$1213,"="&amp;$F436)+1)/2,"")</f>
        <v/>
      </c>
      <c r="X436" s="27">
        <f>IF(OR(NOT(ISNUMBER($V436)),$AO436=1),"",$V436-(COUNTIFS($A$14:$A$1213,$A436,$C$14:$C$1213,"&gt;=0")+1)/2)</f>
        <v/>
      </c>
      <c r="Y436" s="27">
        <f>IF(OR(NOT(ISNUMBER($W436)),$AO436=1),"",$W436-(COUNTIFS($A$14:$A$1213,$A436,$F$14:$F$1213,"&gt;=0")+1)/2)</f>
        <v/>
      </c>
      <c r="Z436" s="27">
        <f>IF(ISNUMBER($V436),$A436&amp;"|"&amp;$V436,"")</f>
        <v/>
      </c>
      <c r="AA436" s="27">
        <f>IF(ISNUMBER($W436),$A436&amp;"|"&amp;$W436,"")</f>
        <v/>
      </c>
      <c r="AB436" s="27">
        <f>IF(ISNUMBER($F436),$A436&amp;"|"&amp;$F436,"")</f>
        <v/>
      </c>
      <c r="AC436" s="27">
        <f>IF(ISNUMBER($P436),COUNTIFS($A$14:$A$1213,$A436,$P$14:$P$1213,"&gt;"&amp;$P436)+(COUNTIFS($A$14:$A$1213,$A436,$P$14:$P$1213,"="&amp;$P436)+1)/2,"")</f>
        <v/>
      </c>
      <c r="AD436" s="27">
        <f>IF(ISNUMBER($Q436),COUNTIFS($A$14:$A$1213,$A436,$Q$14:$Q$1213,"&gt;"&amp;$Q436)+(COUNTIFS($A$14:$A$1213,$A436,$Q$14:$Q$1213,"="&amp;$Q436)+1)/2,"")</f>
        <v/>
      </c>
      <c r="AE436" s="27">
        <f>IF(ISNUMBER($R436),COUNTIFS($A$14:$A$1213,$A436,$R$14:$R$1213,"&gt;"&amp;$R436)+(COUNTIFS($A$14:$A$1213,$A436,$R$14:$R$1213,"="&amp;$R436)+1)/2,"")</f>
        <v/>
      </c>
      <c r="AF436" s="27">
        <f>IF(ISNUMBER($S436),COUNTIFS($A$14:$A$1213,$A436,$S$14:$S$1213,"&gt;"&amp;$S436)+(COUNTIFS($A$14:$A$1213,$A436,$S$14:$S$1213,"="&amp;$S436)+1)/2,"")</f>
        <v/>
      </c>
      <c r="AG436" s="27">
        <f>IF(ISNUMBER($T436),COUNTIFS($A$14:$A$1213,$A436,$T$14:$T$1213,"&gt;"&amp;$T436)+(COUNTIFS($A$14:$A$1213,$A436,$T$14:$T$1213,"="&amp;$T436)+1)/2,"")</f>
        <v/>
      </c>
      <c r="AH436" s="27">
        <f>IF(COUNT($AC436:$AG436)&lt;2,"",IF(MAX($AC436:$AG436)=MIN($AC436:$AG436),0,1))</f>
        <v/>
      </c>
      <c r="AI436" s="27">
        <f>IF($A436="","",IF(COUNTIF($A$14:$A436,$A436)=1,COUNTIF($AI$13:AI435,"&gt;0")+1,""))</f>
        <v/>
      </c>
      <c r="AO436" s="27">
        <f>IF($A436="","",IF(AND(COUNTIFS($A$14:$A$1213,$A436,$F$14:$F$1213,"&gt;=0")=2,IFERROR(INDEX($M$14:$M$313,MATCH($A436,$H$14:$H$313,0)),"Yes")&lt;&gt;"Yes"),1,0))</f>
        <v/>
      </c>
    </row>
    <row r="437">
      <c r="A437" s="19">
        <f>IF('Enter messages'!A437="","",'Enter messages'!A437)</f>
        <v/>
      </c>
      <c r="B437" s="20">
        <f>IF('Enter messages'!B437="","",'Enter messages'!B437)</f>
        <v/>
      </c>
      <c r="C437" s="21">
        <f>IFERROR(AVERAGE(P437:T437),"")</f>
        <v/>
      </c>
      <c r="D437" s="29" t="n"/>
      <c r="E437" s="29" t="n"/>
      <c r="F437" s="30">
        <f>IF(AND(ISNUMBER($D437),ISNUMBER($E437),$E437&gt;0,$D437&lt;=$E437),$D437/$E437,"")</f>
        <v/>
      </c>
      <c r="P437" s="26" t="n"/>
      <c r="Q437" s="26" t="n"/>
      <c r="R437" s="26" t="n"/>
      <c r="S437" s="26" t="n"/>
      <c r="T437" s="26" t="n"/>
      <c r="V437" s="27">
        <f>IF(ISNUMBER($C437),COUNTIFS($A$14:$A$1213,$A437,$C$14:$C$1213,"&gt;"&amp;$C437)+(COUNTIFS($A$14:$A$1213,$A437,$C$14:$C$1213,"="&amp;$C437)+1)/2,"")</f>
        <v/>
      </c>
      <c r="W437" s="27">
        <f>IF(ISNUMBER($F437),COUNTIFS($A$14:$A$1213,$A437,$F$14:$F$1213,"&gt;"&amp;$F437)+(COUNTIFS($A$14:$A$1213,$A437,$F$14:$F$1213,"="&amp;$F437)+1)/2,"")</f>
        <v/>
      </c>
      <c r="X437" s="27">
        <f>IF(OR(NOT(ISNUMBER($V437)),$AO437=1),"",$V437-(COUNTIFS($A$14:$A$1213,$A437,$C$14:$C$1213,"&gt;=0")+1)/2)</f>
        <v/>
      </c>
      <c r="Y437" s="27">
        <f>IF(OR(NOT(ISNUMBER($W437)),$AO437=1),"",$W437-(COUNTIFS($A$14:$A$1213,$A437,$F$14:$F$1213,"&gt;=0")+1)/2)</f>
        <v/>
      </c>
      <c r="Z437" s="27">
        <f>IF(ISNUMBER($V437),$A437&amp;"|"&amp;$V437,"")</f>
        <v/>
      </c>
      <c r="AA437" s="27">
        <f>IF(ISNUMBER($W437),$A437&amp;"|"&amp;$W437,"")</f>
        <v/>
      </c>
      <c r="AB437" s="27">
        <f>IF(ISNUMBER($F437),$A437&amp;"|"&amp;$F437,"")</f>
        <v/>
      </c>
      <c r="AC437" s="27">
        <f>IF(ISNUMBER($P437),COUNTIFS($A$14:$A$1213,$A437,$P$14:$P$1213,"&gt;"&amp;$P437)+(COUNTIFS($A$14:$A$1213,$A437,$P$14:$P$1213,"="&amp;$P437)+1)/2,"")</f>
        <v/>
      </c>
      <c r="AD437" s="27">
        <f>IF(ISNUMBER($Q437),COUNTIFS($A$14:$A$1213,$A437,$Q$14:$Q$1213,"&gt;"&amp;$Q437)+(COUNTIFS($A$14:$A$1213,$A437,$Q$14:$Q$1213,"="&amp;$Q437)+1)/2,"")</f>
        <v/>
      </c>
      <c r="AE437" s="27">
        <f>IF(ISNUMBER($R437),COUNTIFS($A$14:$A$1213,$A437,$R$14:$R$1213,"&gt;"&amp;$R437)+(COUNTIFS($A$14:$A$1213,$A437,$R$14:$R$1213,"="&amp;$R437)+1)/2,"")</f>
        <v/>
      </c>
      <c r="AF437" s="27">
        <f>IF(ISNUMBER($S437),COUNTIFS($A$14:$A$1213,$A437,$S$14:$S$1213,"&gt;"&amp;$S437)+(COUNTIFS($A$14:$A$1213,$A437,$S$14:$S$1213,"="&amp;$S437)+1)/2,"")</f>
        <v/>
      </c>
      <c r="AG437" s="27">
        <f>IF(ISNUMBER($T437),COUNTIFS($A$14:$A$1213,$A437,$T$14:$T$1213,"&gt;"&amp;$T437)+(COUNTIFS($A$14:$A$1213,$A437,$T$14:$T$1213,"="&amp;$T437)+1)/2,"")</f>
        <v/>
      </c>
      <c r="AH437" s="27">
        <f>IF(COUNT($AC437:$AG437)&lt;2,"",IF(MAX($AC437:$AG437)=MIN($AC437:$AG437),0,1))</f>
        <v/>
      </c>
      <c r="AI437" s="27">
        <f>IF($A437="","",IF(COUNTIF($A$14:$A437,$A437)=1,COUNTIF($AI$13:AI436,"&gt;0")+1,""))</f>
        <v/>
      </c>
      <c r="AO437" s="27">
        <f>IF($A437="","",IF(AND(COUNTIFS($A$14:$A$1213,$A437,$F$14:$F$1213,"&gt;=0")=2,IFERROR(INDEX($M$14:$M$313,MATCH($A437,$H$14:$H$313,0)),"Yes")&lt;&gt;"Yes"),1,0))</f>
        <v/>
      </c>
    </row>
    <row r="438">
      <c r="A438" s="19">
        <f>IF('Enter messages'!A438="","",'Enter messages'!A438)</f>
        <v/>
      </c>
      <c r="B438" s="20">
        <f>IF('Enter messages'!B438="","",'Enter messages'!B438)</f>
        <v/>
      </c>
      <c r="C438" s="21">
        <f>IFERROR(AVERAGE(P438:T438),"")</f>
        <v/>
      </c>
      <c r="D438" s="29" t="n"/>
      <c r="E438" s="29" t="n"/>
      <c r="F438" s="30">
        <f>IF(AND(ISNUMBER($D438),ISNUMBER($E438),$E438&gt;0,$D438&lt;=$E438),$D438/$E438,"")</f>
        <v/>
      </c>
      <c r="P438" s="26" t="n"/>
      <c r="Q438" s="26" t="n"/>
      <c r="R438" s="26" t="n"/>
      <c r="S438" s="26" t="n"/>
      <c r="T438" s="26" t="n"/>
      <c r="V438" s="27">
        <f>IF(ISNUMBER($C438),COUNTIFS($A$14:$A$1213,$A438,$C$14:$C$1213,"&gt;"&amp;$C438)+(COUNTIFS($A$14:$A$1213,$A438,$C$14:$C$1213,"="&amp;$C438)+1)/2,"")</f>
        <v/>
      </c>
      <c r="W438" s="27">
        <f>IF(ISNUMBER($F438),COUNTIFS($A$14:$A$1213,$A438,$F$14:$F$1213,"&gt;"&amp;$F438)+(COUNTIFS($A$14:$A$1213,$A438,$F$14:$F$1213,"="&amp;$F438)+1)/2,"")</f>
        <v/>
      </c>
      <c r="X438" s="27">
        <f>IF(OR(NOT(ISNUMBER($V438)),$AO438=1),"",$V438-(COUNTIFS($A$14:$A$1213,$A438,$C$14:$C$1213,"&gt;=0")+1)/2)</f>
        <v/>
      </c>
      <c r="Y438" s="27">
        <f>IF(OR(NOT(ISNUMBER($W438)),$AO438=1),"",$W438-(COUNTIFS($A$14:$A$1213,$A438,$F$14:$F$1213,"&gt;=0")+1)/2)</f>
        <v/>
      </c>
      <c r="Z438" s="27">
        <f>IF(ISNUMBER($V438),$A438&amp;"|"&amp;$V438,"")</f>
        <v/>
      </c>
      <c r="AA438" s="27">
        <f>IF(ISNUMBER($W438),$A438&amp;"|"&amp;$W438,"")</f>
        <v/>
      </c>
      <c r="AB438" s="27">
        <f>IF(ISNUMBER($F438),$A438&amp;"|"&amp;$F438,"")</f>
        <v/>
      </c>
      <c r="AC438" s="27">
        <f>IF(ISNUMBER($P438),COUNTIFS($A$14:$A$1213,$A438,$P$14:$P$1213,"&gt;"&amp;$P438)+(COUNTIFS($A$14:$A$1213,$A438,$P$14:$P$1213,"="&amp;$P438)+1)/2,"")</f>
        <v/>
      </c>
      <c r="AD438" s="27">
        <f>IF(ISNUMBER($Q438),COUNTIFS($A$14:$A$1213,$A438,$Q$14:$Q$1213,"&gt;"&amp;$Q438)+(COUNTIFS($A$14:$A$1213,$A438,$Q$14:$Q$1213,"="&amp;$Q438)+1)/2,"")</f>
        <v/>
      </c>
      <c r="AE438" s="27">
        <f>IF(ISNUMBER($R438),COUNTIFS($A$14:$A$1213,$A438,$R$14:$R$1213,"&gt;"&amp;$R438)+(COUNTIFS($A$14:$A$1213,$A438,$R$14:$R$1213,"="&amp;$R438)+1)/2,"")</f>
        <v/>
      </c>
      <c r="AF438" s="27">
        <f>IF(ISNUMBER($S438),COUNTIFS($A$14:$A$1213,$A438,$S$14:$S$1213,"&gt;"&amp;$S438)+(COUNTIFS($A$14:$A$1213,$A438,$S$14:$S$1213,"="&amp;$S438)+1)/2,"")</f>
        <v/>
      </c>
      <c r="AG438" s="27">
        <f>IF(ISNUMBER($T438),COUNTIFS($A$14:$A$1213,$A438,$T$14:$T$1213,"&gt;"&amp;$T438)+(COUNTIFS($A$14:$A$1213,$A438,$T$14:$T$1213,"="&amp;$T438)+1)/2,"")</f>
        <v/>
      </c>
      <c r="AH438" s="27">
        <f>IF(COUNT($AC438:$AG438)&lt;2,"",IF(MAX($AC438:$AG438)=MIN($AC438:$AG438),0,1))</f>
        <v/>
      </c>
      <c r="AI438" s="27">
        <f>IF($A438="","",IF(COUNTIF($A$14:$A438,$A438)=1,COUNTIF($AI$13:AI437,"&gt;0")+1,""))</f>
        <v/>
      </c>
      <c r="AO438" s="27">
        <f>IF($A438="","",IF(AND(COUNTIFS($A$14:$A$1213,$A438,$F$14:$F$1213,"&gt;=0")=2,IFERROR(INDEX($M$14:$M$313,MATCH($A438,$H$14:$H$313,0)),"Yes")&lt;&gt;"Yes"),1,0))</f>
        <v/>
      </c>
    </row>
    <row r="439">
      <c r="A439" s="19">
        <f>IF('Enter messages'!A439="","",'Enter messages'!A439)</f>
        <v/>
      </c>
      <c r="B439" s="20">
        <f>IF('Enter messages'!B439="","",'Enter messages'!B439)</f>
        <v/>
      </c>
      <c r="C439" s="21">
        <f>IFERROR(AVERAGE(P439:T439),"")</f>
        <v/>
      </c>
      <c r="D439" s="29" t="n"/>
      <c r="E439" s="29" t="n"/>
      <c r="F439" s="30">
        <f>IF(AND(ISNUMBER($D439),ISNUMBER($E439),$E439&gt;0,$D439&lt;=$E439),$D439/$E439,"")</f>
        <v/>
      </c>
      <c r="P439" s="26" t="n"/>
      <c r="Q439" s="26" t="n"/>
      <c r="R439" s="26" t="n"/>
      <c r="S439" s="26" t="n"/>
      <c r="T439" s="26" t="n"/>
      <c r="V439" s="27">
        <f>IF(ISNUMBER($C439),COUNTIFS($A$14:$A$1213,$A439,$C$14:$C$1213,"&gt;"&amp;$C439)+(COUNTIFS($A$14:$A$1213,$A439,$C$14:$C$1213,"="&amp;$C439)+1)/2,"")</f>
        <v/>
      </c>
      <c r="W439" s="27">
        <f>IF(ISNUMBER($F439),COUNTIFS($A$14:$A$1213,$A439,$F$14:$F$1213,"&gt;"&amp;$F439)+(COUNTIFS($A$14:$A$1213,$A439,$F$14:$F$1213,"="&amp;$F439)+1)/2,"")</f>
        <v/>
      </c>
      <c r="X439" s="27">
        <f>IF(OR(NOT(ISNUMBER($V439)),$AO439=1),"",$V439-(COUNTIFS($A$14:$A$1213,$A439,$C$14:$C$1213,"&gt;=0")+1)/2)</f>
        <v/>
      </c>
      <c r="Y439" s="27">
        <f>IF(OR(NOT(ISNUMBER($W439)),$AO439=1),"",$W439-(COUNTIFS($A$14:$A$1213,$A439,$F$14:$F$1213,"&gt;=0")+1)/2)</f>
        <v/>
      </c>
      <c r="Z439" s="27">
        <f>IF(ISNUMBER($V439),$A439&amp;"|"&amp;$V439,"")</f>
        <v/>
      </c>
      <c r="AA439" s="27">
        <f>IF(ISNUMBER($W439),$A439&amp;"|"&amp;$W439,"")</f>
        <v/>
      </c>
      <c r="AB439" s="27">
        <f>IF(ISNUMBER($F439),$A439&amp;"|"&amp;$F439,"")</f>
        <v/>
      </c>
      <c r="AC439" s="27">
        <f>IF(ISNUMBER($P439),COUNTIFS($A$14:$A$1213,$A439,$P$14:$P$1213,"&gt;"&amp;$P439)+(COUNTIFS($A$14:$A$1213,$A439,$P$14:$P$1213,"="&amp;$P439)+1)/2,"")</f>
        <v/>
      </c>
      <c r="AD439" s="27">
        <f>IF(ISNUMBER($Q439),COUNTIFS($A$14:$A$1213,$A439,$Q$14:$Q$1213,"&gt;"&amp;$Q439)+(COUNTIFS($A$14:$A$1213,$A439,$Q$14:$Q$1213,"="&amp;$Q439)+1)/2,"")</f>
        <v/>
      </c>
      <c r="AE439" s="27">
        <f>IF(ISNUMBER($R439),COUNTIFS($A$14:$A$1213,$A439,$R$14:$R$1213,"&gt;"&amp;$R439)+(COUNTIFS($A$14:$A$1213,$A439,$R$14:$R$1213,"="&amp;$R439)+1)/2,"")</f>
        <v/>
      </c>
      <c r="AF439" s="27">
        <f>IF(ISNUMBER($S439),COUNTIFS($A$14:$A$1213,$A439,$S$14:$S$1213,"&gt;"&amp;$S439)+(COUNTIFS($A$14:$A$1213,$A439,$S$14:$S$1213,"="&amp;$S439)+1)/2,"")</f>
        <v/>
      </c>
      <c r="AG439" s="27">
        <f>IF(ISNUMBER($T439),COUNTIFS($A$14:$A$1213,$A439,$T$14:$T$1213,"&gt;"&amp;$T439)+(COUNTIFS($A$14:$A$1213,$A439,$T$14:$T$1213,"="&amp;$T439)+1)/2,"")</f>
        <v/>
      </c>
      <c r="AH439" s="27">
        <f>IF(COUNT($AC439:$AG439)&lt;2,"",IF(MAX($AC439:$AG439)=MIN($AC439:$AG439),0,1))</f>
        <v/>
      </c>
      <c r="AI439" s="27">
        <f>IF($A439="","",IF(COUNTIF($A$14:$A439,$A439)=1,COUNTIF($AI$13:AI438,"&gt;0")+1,""))</f>
        <v/>
      </c>
      <c r="AO439" s="27">
        <f>IF($A439="","",IF(AND(COUNTIFS($A$14:$A$1213,$A439,$F$14:$F$1213,"&gt;=0")=2,IFERROR(INDEX($M$14:$M$313,MATCH($A439,$H$14:$H$313,0)),"Yes")&lt;&gt;"Yes"),1,0))</f>
        <v/>
      </c>
    </row>
    <row r="440">
      <c r="A440" s="19">
        <f>IF('Enter messages'!A440="","",'Enter messages'!A440)</f>
        <v/>
      </c>
      <c r="B440" s="20">
        <f>IF('Enter messages'!B440="","",'Enter messages'!B440)</f>
        <v/>
      </c>
      <c r="C440" s="21">
        <f>IFERROR(AVERAGE(P440:T440),"")</f>
        <v/>
      </c>
      <c r="D440" s="29" t="n"/>
      <c r="E440" s="29" t="n"/>
      <c r="F440" s="30">
        <f>IF(AND(ISNUMBER($D440),ISNUMBER($E440),$E440&gt;0,$D440&lt;=$E440),$D440/$E440,"")</f>
        <v/>
      </c>
      <c r="P440" s="26" t="n"/>
      <c r="Q440" s="26" t="n"/>
      <c r="R440" s="26" t="n"/>
      <c r="S440" s="26" t="n"/>
      <c r="T440" s="26" t="n"/>
      <c r="V440" s="27">
        <f>IF(ISNUMBER($C440),COUNTIFS($A$14:$A$1213,$A440,$C$14:$C$1213,"&gt;"&amp;$C440)+(COUNTIFS($A$14:$A$1213,$A440,$C$14:$C$1213,"="&amp;$C440)+1)/2,"")</f>
        <v/>
      </c>
      <c r="W440" s="27">
        <f>IF(ISNUMBER($F440),COUNTIFS($A$14:$A$1213,$A440,$F$14:$F$1213,"&gt;"&amp;$F440)+(COUNTIFS($A$14:$A$1213,$A440,$F$14:$F$1213,"="&amp;$F440)+1)/2,"")</f>
        <v/>
      </c>
      <c r="X440" s="27">
        <f>IF(OR(NOT(ISNUMBER($V440)),$AO440=1),"",$V440-(COUNTIFS($A$14:$A$1213,$A440,$C$14:$C$1213,"&gt;=0")+1)/2)</f>
        <v/>
      </c>
      <c r="Y440" s="27">
        <f>IF(OR(NOT(ISNUMBER($W440)),$AO440=1),"",$W440-(COUNTIFS($A$14:$A$1213,$A440,$F$14:$F$1213,"&gt;=0")+1)/2)</f>
        <v/>
      </c>
      <c r="Z440" s="27">
        <f>IF(ISNUMBER($V440),$A440&amp;"|"&amp;$V440,"")</f>
        <v/>
      </c>
      <c r="AA440" s="27">
        <f>IF(ISNUMBER($W440),$A440&amp;"|"&amp;$W440,"")</f>
        <v/>
      </c>
      <c r="AB440" s="27">
        <f>IF(ISNUMBER($F440),$A440&amp;"|"&amp;$F440,"")</f>
        <v/>
      </c>
      <c r="AC440" s="27">
        <f>IF(ISNUMBER($P440),COUNTIFS($A$14:$A$1213,$A440,$P$14:$P$1213,"&gt;"&amp;$P440)+(COUNTIFS($A$14:$A$1213,$A440,$P$14:$P$1213,"="&amp;$P440)+1)/2,"")</f>
        <v/>
      </c>
      <c r="AD440" s="27">
        <f>IF(ISNUMBER($Q440),COUNTIFS($A$14:$A$1213,$A440,$Q$14:$Q$1213,"&gt;"&amp;$Q440)+(COUNTIFS($A$14:$A$1213,$A440,$Q$14:$Q$1213,"="&amp;$Q440)+1)/2,"")</f>
        <v/>
      </c>
      <c r="AE440" s="27">
        <f>IF(ISNUMBER($R440),COUNTIFS($A$14:$A$1213,$A440,$R$14:$R$1213,"&gt;"&amp;$R440)+(COUNTIFS($A$14:$A$1213,$A440,$R$14:$R$1213,"="&amp;$R440)+1)/2,"")</f>
        <v/>
      </c>
      <c r="AF440" s="27">
        <f>IF(ISNUMBER($S440),COUNTIFS($A$14:$A$1213,$A440,$S$14:$S$1213,"&gt;"&amp;$S440)+(COUNTIFS($A$14:$A$1213,$A440,$S$14:$S$1213,"="&amp;$S440)+1)/2,"")</f>
        <v/>
      </c>
      <c r="AG440" s="27">
        <f>IF(ISNUMBER($T440),COUNTIFS($A$14:$A$1213,$A440,$T$14:$T$1213,"&gt;"&amp;$T440)+(COUNTIFS($A$14:$A$1213,$A440,$T$14:$T$1213,"="&amp;$T440)+1)/2,"")</f>
        <v/>
      </c>
      <c r="AH440" s="27">
        <f>IF(COUNT($AC440:$AG440)&lt;2,"",IF(MAX($AC440:$AG440)=MIN($AC440:$AG440),0,1))</f>
        <v/>
      </c>
      <c r="AI440" s="27">
        <f>IF($A440="","",IF(COUNTIF($A$14:$A440,$A440)=1,COUNTIF($AI$13:AI439,"&gt;0")+1,""))</f>
        <v/>
      </c>
      <c r="AO440" s="27">
        <f>IF($A440="","",IF(AND(COUNTIFS($A$14:$A$1213,$A440,$F$14:$F$1213,"&gt;=0")=2,IFERROR(INDEX($M$14:$M$313,MATCH($A440,$H$14:$H$313,0)),"Yes")&lt;&gt;"Yes"),1,0))</f>
        <v/>
      </c>
    </row>
    <row r="441">
      <c r="A441" s="19">
        <f>IF('Enter messages'!A441="","",'Enter messages'!A441)</f>
        <v/>
      </c>
      <c r="B441" s="20">
        <f>IF('Enter messages'!B441="","",'Enter messages'!B441)</f>
        <v/>
      </c>
      <c r="C441" s="21">
        <f>IFERROR(AVERAGE(P441:T441),"")</f>
        <v/>
      </c>
      <c r="D441" s="29" t="n"/>
      <c r="E441" s="29" t="n"/>
      <c r="F441" s="30">
        <f>IF(AND(ISNUMBER($D441),ISNUMBER($E441),$E441&gt;0,$D441&lt;=$E441),$D441/$E441,"")</f>
        <v/>
      </c>
      <c r="P441" s="26" t="n"/>
      <c r="Q441" s="26" t="n"/>
      <c r="R441" s="26" t="n"/>
      <c r="S441" s="26" t="n"/>
      <c r="T441" s="26" t="n"/>
      <c r="V441" s="27">
        <f>IF(ISNUMBER($C441),COUNTIFS($A$14:$A$1213,$A441,$C$14:$C$1213,"&gt;"&amp;$C441)+(COUNTIFS($A$14:$A$1213,$A441,$C$14:$C$1213,"="&amp;$C441)+1)/2,"")</f>
        <v/>
      </c>
      <c r="W441" s="27">
        <f>IF(ISNUMBER($F441),COUNTIFS($A$14:$A$1213,$A441,$F$14:$F$1213,"&gt;"&amp;$F441)+(COUNTIFS($A$14:$A$1213,$A441,$F$14:$F$1213,"="&amp;$F441)+1)/2,"")</f>
        <v/>
      </c>
      <c r="X441" s="27">
        <f>IF(OR(NOT(ISNUMBER($V441)),$AO441=1),"",$V441-(COUNTIFS($A$14:$A$1213,$A441,$C$14:$C$1213,"&gt;=0")+1)/2)</f>
        <v/>
      </c>
      <c r="Y441" s="27">
        <f>IF(OR(NOT(ISNUMBER($W441)),$AO441=1),"",$W441-(COUNTIFS($A$14:$A$1213,$A441,$F$14:$F$1213,"&gt;=0")+1)/2)</f>
        <v/>
      </c>
      <c r="Z441" s="27">
        <f>IF(ISNUMBER($V441),$A441&amp;"|"&amp;$V441,"")</f>
        <v/>
      </c>
      <c r="AA441" s="27">
        <f>IF(ISNUMBER($W441),$A441&amp;"|"&amp;$W441,"")</f>
        <v/>
      </c>
      <c r="AB441" s="27">
        <f>IF(ISNUMBER($F441),$A441&amp;"|"&amp;$F441,"")</f>
        <v/>
      </c>
      <c r="AC441" s="27">
        <f>IF(ISNUMBER($P441),COUNTIFS($A$14:$A$1213,$A441,$P$14:$P$1213,"&gt;"&amp;$P441)+(COUNTIFS($A$14:$A$1213,$A441,$P$14:$P$1213,"="&amp;$P441)+1)/2,"")</f>
        <v/>
      </c>
      <c r="AD441" s="27">
        <f>IF(ISNUMBER($Q441),COUNTIFS($A$14:$A$1213,$A441,$Q$14:$Q$1213,"&gt;"&amp;$Q441)+(COUNTIFS($A$14:$A$1213,$A441,$Q$14:$Q$1213,"="&amp;$Q441)+1)/2,"")</f>
        <v/>
      </c>
      <c r="AE441" s="27">
        <f>IF(ISNUMBER($R441),COUNTIFS($A$14:$A$1213,$A441,$R$14:$R$1213,"&gt;"&amp;$R441)+(COUNTIFS($A$14:$A$1213,$A441,$R$14:$R$1213,"="&amp;$R441)+1)/2,"")</f>
        <v/>
      </c>
      <c r="AF441" s="27">
        <f>IF(ISNUMBER($S441),COUNTIFS($A$14:$A$1213,$A441,$S$14:$S$1213,"&gt;"&amp;$S441)+(COUNTIFS($A$14:$A$1213,$A441,$S$14:$S$1213,"="&amp;$S441)+1)/2,"")</f>
        <v/>
      </c>
      <c r="AG441" s="27">
        <f>IF(ISNUMBER($T441),COUNTIFS($A$14:$A$1213,$A441,$T$14:$T$1213,"&gt;"&amp;$T441)+(COUNTIFS($A$14:$A$1213,$A441,$T$14:$T$1213,"="&amp;$T441)+1)/2,"")</f>
        <v/>
      </c>
      <c r="AH441" s="27">
        <f>IF(COUNT($AC441:$AG441)&lt;2,"",IF(MAX($AC441:$AG441)=MIN($AC441:$AG441),0,1))</f>
        <v/>
      </c>
      <c r="AI441" s="27">
        <f>IF($A441="","",IF(COUNTIF($A$14:$A441,$A441)=1,COUNTIF($AI$13:AI440,"&gt;0")+1,""))</f>
        <v/>
      </c>
      <c r="AO441" s="27">
        <f>IF($A441="","",IF(AND(COUNTIFS($A$14:$A$1213,$A441,$F$14:$F$1213,"&gt;=0")=2,IFERROR(INDEX($M$14:$M$313,MATCH($A441,$H$14:$H$313,0)),"Yes")&lt;&gt;"Yes"),1,0))</f>
        <v/>
      </c>
    </row>
    <row r="442">
      <c r="A442" s="19">
        <f>IF('Enter messages'!A442="","",'Enter messages'!A442)</f>
        <v/>
      </c>
      <c r="B442" s="20">
        <f>IF('Enter messages'!B442="","",'Enter messages'!B442)</f>
        <v/>
      </c>
      <c r="C442" s="21">
        <f>IFERROR(AVERAGE(P442:T442),"")</f>
        <v/>
      </c>
      <c r="D442" s="29" t="n"/>
      <c r="E442" s="29" t="n"/>
      <c r="F442" s="30">
        <f>IF(AND(ISNUMBER($D442),ISNUMBER($E442),$E442&gt;0,$D442&lt;=$E442),$D442/$E442,"")</f>
        <v/>
      </c>
      <c r="P442" s="26" t="n"/>
      <c r="Q442" s="26" t="n"/>
      <c r="R442" s="26" t="n"/>
      <c r="S442" s="26" t="n"/>
      <c r="T442" s="26" t="n"/>
      <c r="V442" s="27">
        <f>IF(ISNUMBER($C442),COUNTIFS($A$14:$A$1213,$A442,$C$14:$C$1213,"&gt;"&amp;$C442)+(COUNTIFS($A$14:$A$1213,$A442,$C$14:$C$1213,"="&amp;$C442)+1)/2,"")</f>
        <v/>
      </c>
      <c r="W442" s="27">
        <f>IF(ISNUMBER($F442),COUNTIFS($A$14:$A$1213,$A442,$F$14:$F$1213,"&gt;"&amp;$F442)+(COUNTIFS($A$14:$A$1213,$A442,$F$14:$F$1213,"="&amp;$F442)+1)/2,"")</f>
        <v/>
      </c>
      <c r="X442" s="27">
        <f>IF(OR(NOT(ISNUMBER($V442)),$AO442=1),"",$V442-(COUNTIFS($A$14:$A$1213,$A442,$C$14:$C$1213,"&gt;=0")+1)/2)</f>
        <v/>
      </c>
      <c r="Y442" s="27">
        <f>IF(OR(NOT(ISNUMBER($W442)),$AO442=1),"",$W442-(COUNTIFS($A$14:$A$1213,$A442,$F$14:$F$1213,"&gt;=0")+1)/2)</f>
        <v/>
      </c>
      <c r="Z442" s="27">
        <f>IF(ISNUMBER($V442),$A442&amp;"|"&amp;$V442,"")</f>
        <v/>
      </c>
      <c r="AA442" s="27">
        <f>IF(ISNUMBER($W442),$A442&amp;"|"&amp;$W442,"")</f>
        <v/>
      </c>
      <c r="AB442" s="27">
        <f>IF(ISNUMBER($F442),$A442&amp;"|"&amp;$F442,"")</f>
        <v/>
      </c>
      <c r="AC442" s="27">
        <f>IF(ISNUMBER($P442),COUNTIFS($A$14:$A$1213,$A442,$P$14:$P$1213,"&gt;"&amp;$P442)+(COUNTIFS($A$14:$A$1213,$A442,$P$14:$P$1213,"="&amp;$P442)+1)/2,"")</f>
        <v/>
      </c>
      <c r="AD442" s="27">
        <f>IF(ISNUMBER($Q442),COUNTIFS($A$14:$A$1213,$A442,$Q$14:$Q$1213,"&gt;"&amp;$Q442)+(COUNTIFS($A$14:$A$1213,$A442,$Q$14:$Q$1213,"="&amp;$Q442)+1)/2,"")</f>
        <v/>
      </c>
      <c r="AE442" s="27">
        <f>IF(ISNUMBER($R442),COUNTIFS($A$14:$A$1213,$A442,$R$14:$R$1213,"&gt;"&amp;$R442)+(COUNTIFS($A$14:$A$1213,$A442,$R$14:$R$1213,"="&amp;$R442)+1)/2,"")</f>
        <v/>
      </c>
      <c r="AF442" s="27">
        <f>IF(ISNUMBER($S442),COUNTIFS($A$14:$A$1213,$A442,$S$14:$S$1213,"&gt;"&amp;$S442)+(COUNTIFS($A$14:$A$1213,$A442,$S$14:$S$1213,"="&amp;$S442)+1)/2,"")</f>
        <v/>
      </c>
      <c r="AG442" s="27">
        <f>IF(ISNUMBER($T442),COUNTIFS($A$14:$A$1213,$A442,$T$14:$T$1213,"&gt;"&amp;$T442)+(COUNTIFS($A$14:$A$1213,$A442,$T$14:$T$1213,"="&amp;$T442)+1)/2,"")</f>
        <v/>
      </c>
      <c r="AH442" s="27">
        <f>IF(COUNT($AC442:$AG442)&lt;2,"",IF(MAX($AC442:$AG442)=MIN($AC442:$AG442),0,1))</f>
        <v/>
      </c>
      <c r="AI442" s="27">
        <f>IF($A442="","",IF(COUNTIF($A$14:$A442,$A442)=1,COUNTIF($AI$13:AI441,"&gt;0")+1,""))</f>
        <v/>
      </c>
      <c r="AO442" s="27">
        <f>IF($A442="","",IF(AND(COUNTIFS($A$14:$A$1213,$A442,$F$14:$F$1213,"&gt;=0")=2,IFERROR(INDEX($M$14:$M$313,MATCH($A442,$H$14:$H$313,0)),"Yes")&lt;&gt;"Yes"),1,0))</f>
        <v/>
      </c>
    </row>
    <row r="443">
      <c r="A443" s="19">
        <f>IF('Enter messages'!A443="","",'Enter messages'!A443)</f>
        <v/>
      </c>
      <c r="B443" s="20">
        <f>IF('Enter messages'!B443="","",'Enter messages'!B443)</f>
        <v/>
      </c>
      <c r="C443" s="21">
        <f>IFERROR(AVERAGE(P443:T443),"")</f>
        <v/>
      </c>
      <c r="D443" s="29" t="n"/>
      <c r="E443" s="29" t="n"/>
      <c r="F443" s="30">
        <f>IF(AND(ISNUMBER($D443),ISNUMBER($E443),$E443&gt;0,$D443&lt;=$E443),$D443/$E443,"")</f>
        <v/>
      </c>
      <c r="P443" s="26" t="n"/>
      <c r="Q443" s="26" t="n"/>
      <c r="R443" s="26" t="n"/>
      <c r="S443" s="26" t="n"/>
      <c r="T443" s="26" t="n"/>
      <c r="V443" s="27">
        <f>IF(ISNUMBER($C443),COUNTIFS($A$14:$A$1213,$A443,$C$14:$C$1213,"&gt;"&amp;$C443)+(COUNTIFS($A$14:$A$1213,$A443,$C$14:$C$1213,"="&amp;$C443)+1)/2,"")</f>
        <v/>
      </c>
      <c r="W443" s="27">
        <f>IF(ISNUMBER($F443),COUNTIFS($A$14:$A$1213,$A443,$F$14:$F$1213,"&gt;"&amp;$F443)+(COUNTIFS($A$14:$A$1213,$A443,$F$14:$F$1213,"="&amp;$F443)+1)/2,"")</f>
        <v/>
      </c>
      <c r="X443" s="27">
        <f>IF(OR(NOT(ISNUMBER($V443)),$AO443=1),"",$V443-(COUNTIFS($A$14:$A$1213,$A443,$C$14:$C$1213,"&gt;=0")+1)/2)</f>
        <v/>
      </c>
      <c r="Y443" s="27">
        <f>IF(OR(NOT(ISNUMBER($W443)),$AO443=1),"",$W443-(COUNTIFS($A$14:$A$1213,$A443,$F$14:$F$1213,"&gt;=0")+1)/2)</f>
        <v/>
      </c>
      <c r="Z443" s="27">
        <f>IF(ISNUMBER($V443),$A443&amp;"|"&amp;$V443,"")</f>
        <v/>
      </c>
      <c r="AA443" s="27">
        <f>IF(ISNUMBER($W443),$A443&amp;"|"&amp;$W443,"")</f>
        <v/>
      </c>
      <c r="AB443" s="27">
        <f>IF(ISNUMBER($F443),$A443&amp;"|"&amp;$F443,"")</f>
        <v/>
      </c>
      <c r="AC443" s="27">
        <f>IF(ISNUMBER($P443),COUNTIFS($A$14:$A$1213,$A443,$P$14:$P$1213,"&gt;"&amp;$P443)+(COUNTIFS($A$14:$A$1213,$A443,$P$14:$P$1213,"="&amp;$P443)+1)/2,"")</f>
        <v/>
      </c>
      <c r="AD443" s="27">
        <f>IF(ISNUMBER($Q443),COUNTIFS($A$14:$A$1213,$A443,$Q$14:$Q$1213,"&gt;"&amp;$Q443)+(COUNTIFS($A$14:$A$1213,$A443,$Q$14:$Q$1213,"="&amp;$Q443)+1)/2,"")</f>
        <v/>
      </c>
      <c r="AE443" s="27">
        <f>IF(ISNUMBER($R443),COUNTIFS($A$14:$A$1213,$A443,$R$14:$R$1213,"&gt;"&amp;$R443)+(COUNTIFS($A$14:$A$1213,$A443,$R$14:$R$1213,"="&amp;$R443)+1)/2,"")</f>
        <v/>
      </c>
      <c r="AF443" s="27">
        <f>IF(ISNUMBER($S443),COUNTIFS($A$14:$A$1213,$A443,$S$14:$S$1213,"&gt;"&amp;$S443)+(COUNTIFS($A$14:$A$1213,$A443,$S$14:$S$1213,"="&amp;$S443)+1)/2,"")</f>
        <v/>
      </c>
      <c r="AG443" s="27">
        <f>IF(ISNUMBER($T443),COUNTIFS($A$14:$A$1213,$A443,$T$14:$T$1213,"&gt;"&amp;$T443)+(COUNTIFS($A$14:$A$1213,$A443,$T$14:$T$1213,"="&amp;$T443)+1)/2,"")</f>
        <v/>
      </c>
      <c r="AH443" s="27">
        <f>IF(COUNT($AC443:$AG443)&lt;2,"",IF(MAX($AC443:$AG443)=MIN($AC443:$AG443),0,1))</f>
        <v/>
      </c>
      <c r="AI443" s="27">
        <f>IF($A443="","",IF(COUNTIF($A$14:$A443,$A443)=1,COUNTIF($AI$13:AI442,"&gt;0")+1,""))</f>
        <v/>
      </c>
      <c r="AO443" s="27">
        <f>IF($A443="","",IF(AND(COUNTIFS($A$14:$A$1213,$A443,$F$14:$F$1213,"&gt;=0")=2,IFERROR(INDEX($M$14:$M$313,MATCH($A443,$H$14:$H$313,0)),"Yes")&lt;&gt;"Yes"),1,0))</f>
        <v/>
      </c>
    </row>
    <row r="444">
      <c r="A444" s="19">
        <f>IF('Enter messages'!A444="","",'Enter messages'!A444)</f>
        <v/>
      </c>
      <c r="B444" s="20">
        <f>IF('Enter messages'!B444="","",'Enter messages'!B444)</f>
        <v/>
      </c>
      <c r="C444" s="21">
        <f>IFERROR(AVERAGE(P444:T444),"")</f>
        <v/>
      </c>
      <c r="D444" s="29" t="n"/>
      <c r="E444" s="29" t="n"/>
      <c r="F444" s="30">
        <f>IF(AND(ISNUMBER($D444),ISNUMBER($E444),$E444&gt;0,$D444&lt;=$E444),$D444/$E444,"")</f>
        <v/>
      </c>
      <c r="P444" s="26" t="n"/>
      <c r="Q444" s="26" t="n"/>
      <c r="R444" s="26" t="n"/>
      <c r="S444" s="26" t="n"/>
      <c r="T444" s="26" t="n"/>
      <c r="V444" s="27">
        <f>IF(ISNUMBER($C444),COUNTIFS($A$14:$A$1213,$A444,$C$14:$C$1213,"&gt;"&amp;$C444)+(COUNTIFS($A$14:$A$1213,$A444,$C$14:$C$1213,"="&amp;$C444)+1)/2,"")</f>
        <v/>
      </c>
      <c r="W444" s="27">
        <f>IF(ISNUMBER($F444),COUNTIFS($A$14:$A$1213,$A444,$F$14:$F$1213,"&gt;"&amp;$F444)+(COUNTIFS($A$14:$A$1213,$A444,$F$14:$F$1213,"="&amp;$F444)+1)/2,"")</f>
        <v/>
      </c>
      <c r="X444" s="27">
        <f>IF(OR(NOT(ISNUMBER($V444)),$AO444=1),"",$V444-(COUNTIFS($A$14:$A$1213,$A444,$C$14:$C$1213,"&gt;=0")+1)/2)</f>
        <v/>
      </c>
      <c r="Y444" s="27">
        <f>IF(OR(NOT(ISNUMBER($W444)),$AO444=1),"",$W444-(COUNTIFS($A$14:$A$1213,$A444,$F$14:$F$1213,"&gt;=0")+1)/2)</f>
        <v/>
      </c>
      <c r="Z444" s="27">
        <f>IF(ISNUMBER($V444),$A444&amp;"|"&amp;$V444,"")</f>
        <v/>
      </c>
      <c r="AA444" s="27">
        <f>IF(ISNUMBER($W444),$A444&amp;"|"&amp;$W444,"")</f>
        <v/>
      </c>
      <c r="AB444" s="27">
        <f>IF(ISNUMBER($F444),$A444&amp;"|"&amp;$F444,"")</f>
        <v/>
      </c>
      <c r="AC444" s="27">
        <f>IF(ISNUMBER($P444),COUNTIFS($A$14:$A$1213,$A444,$P$14:$P$1213,"&gt;"&amp;$P444)+(COUNTIFS($A$14:$A$1213,$A444,$P$14:$P$1213,"="&amp;$P444)+1)/2,"")</f>
        <v/>
      </c>
      <c r="AD444" s="27">
        <f>IF(ISNUMBER($Q444),COUNTIFS($A$14:$A$1213,$A444,$Q$14:$Q$1213,"&gt;"&amp;$Q444)+(COUNTIFS($A$14:$A$1213,$A444,$Q$14:$Q$1213,"="&amp;$Q444)+1)/2,"")</f>
        <v/>
      </c>
      <c r="AE444" s="27">
        <f>IF(ISNUMBER($R444),COUNTIFS($A$14:$A$1213,$A444,$R$14:$R$1213,"&gt;"&amp;$R444)+(COUNTIFS($A$14:$A$1213,$A444,$R$14:$R$1213,"="&amp;$R444)+1)/2,"")</f>
        <v/>
      </c>
      <c r="AF444" s="27">
        <f>IF(ISNUMBER($S444),COUNTIFS($A$14:$A$1213,$A444,$S$14:$S$1213,"&gt;"&amp;$S444)+(COUNTIFS($A$14:$A$1213,$A444,$S$14:$S$1213,"="&amp;$S444)+1)/2,"")</f>
        <v/>
      </c>
      <c r="AG444" s="27">
        <f>IF(ISNUMBER($T444),COUNTIFS($A$14:$A$1213,$A444,$T$14:$T$1213,"&gt;"&amp;$T444)+(COUNTIFS($A$14:$A$1213,$A444,$T$14:$T$1213,"="&amp;$T444)+1)/2,"")</f>
        <v/>
      </c>
      <c r="AH444" s="27">
        <f>IF(COUNT($AC444:$AG444)&lt;2,"",IF(MAX($AC444:$AG444)=MIN($AC444:$AG444),0,1))</f>
        <v/>
      </c>
      <c r="AI444" s="27">
        <f>IF($A444="","",IF(COUNTIF($A$14:$A444,$A444)=1,COUNTIF($AI$13:AI443,"&gt;0")+1,""))</f>
        <v/>
      </c>
      <c r="AO444" s="27">
        <f>IF($A444="","",IF(AND(COUNTIFS($A$14:$A$1213,$A444,$F$14:$F$1213,"&gt;=0")=2,IFERROR(INDEX($M$14:$M$313,MATCH($A444,$H$14:$H$313,0)),"Yes")&lt;&gt;"Yes"),1,0))</f>
        <v/>
      </c>
    </row>
    <row r="445">
      <c r="A445" s="19">
        <f>IF('Enter messages'!A445="","",'Enter messages'!A445)</f>
        <v/>
      </c>
      <c r="B445" s="20">
        <f>IF('Enter messages'!B445="","",'Enter messages'!B445)</f>
        <v/>
      </c>
      <c r="C445" s="21">
        <f>IFERROR(AVERAGE(P445:T445),"")</f>
        <v/>
      </c>
      <c r="D445" s="29" t="n"/>
      <c r="E445" s="29" t="n"/>
      <c r="F445" s="30">
        <f>IF(AND(ISNUMBER($D445),ISNUMBER($E445),$E445&gt;0,$D445&lt;=$E445),$D445/$E445,"")</f>
        <v/>
      </c>
      <c r="P445" s="26" t="n"/>
      <c r="Q445" s="26" t="n"/>
      <c r="R445" s="26" t="n"/>
      <c r="S445" s="26" t="n"/>
      <c r="T445" s="26" t="n"/>
      <c r="V445" s="27">
        <f>IF(ISNUMBER($C445),COUNTIFS($A$14:$A$1213,$A445,$C$14:$C$1213,"&gt;"&amp;$C445)+(COUNTIFS($A$14:$A$1213,$A445,$C$14:$C$1213,"="&amp;$C445)+1)/2,"")</f>
        <v/>
      </c>
      <c r="W445" s="27">
        <f>IF(ISNUMBER($F445),COUNTIFS($A$14:$A$1213,$A445,$F$14:$F$1213,"&gt;"&amp;$F445)+(COUNTIFS($A$14:$A$1213,$A445,$F$14:$F$1213,"="&amp;$F445)+1)/2,"")</f>
        <v/>
      </c>
      <c r="X445" s="27">
        <f>IF(OR(NOT(ISNUMBER($V445)),$AO445=1),"",$V445-(COUNTIFS($A$14:$A$1213,$A445,$C$14:$C$1213,"&gt;=0")+1)/2)</f>
        <v/>
      </c>
      <c r="Y445" s="27">
        <f>IF(OR(NOT(ISNUMBER($W445)),$AO445=1),"",$W445-(COUNTIFS($A$14:$A$1213,$A445,$F$14:$F$1213,"&gt;=0")+1)/2)</f>
        <v/>
      </c>
      <c r="Z445" s="27">
        <f>IF(ISNUMBER($V445),$A445&amp;"|"&amp;$V445,"")</f>
        <v/>
      </c>
      <c r="AA445" s="27">
        <f>IF(ISNUMBER($W445),$A445&amp;"|"&amp;$W445,"")</f>
        <v/>
      </c>
      <c r="AB445" s="27">
        <f>IF(ISNUMBER($F445),$A445&amp;"|"&amp;$F445,"")</f>
        <v/>
      </c>
      <c r="AC445" s="27">
        <f>IF(ISNUMBER($P445),COUNTIFS($A$14:$A$1213,$A445,$P$14:$P$1213,"&gt;"&amp;$P445)+(COUNTIFS($A$14:$A$1213,$A445,$P$14:$P$1213,"="&amp;$P445)+1)/2,"")</f>
        <v/>
      </c>
      <c r="AD445" s="27">
        <f>IF(ISNUMBER($Q445),COUNTIFS($A$14:$A$1213,$A445,$Q$14:$Q$1213,"&gt;"&amp;$Q445)+(COUNTIFS($A$14:$A$1213,$A445,$Q$14:$Q$1213,"="&amp;$Q445)+1)/2,"")</f>
        <v/>
      </c>
      <c r="AE445" s="27">
        <f>IF(ISNUMBER($R445),COUNTIFS($A$14:$A$1213,$A445,$R$14:$R$1213,"&gt;"&amp;$R445)+(COUNTIFS($A$14:$A$1213,$A445,$R$14:$R$1213,"="&amp;$R445)+1)/2,"")</f>
        <v/>
      </c>
      <c r="AF445" s="27">
        <f>IF(ISNUMBER($S445),COUNTIFS($A$14:$A$1213,$A445,$S$14:$S$1213,"&gt;"&amp;$S445)+(COUNTIFS($A$14:$A$1213,$A445,$S$14:$S$1213,"="&amp;$S445)+1)/2,"")</f>
        <v/>
      </c>
      <c r="AG445" s="27">
        <f>IF(ISNUMBER($T445),COUNTIFS($A$14:$A$1213,$A445,$T$14:$T$1213,"&gt;"&amp;$T445)+(COUNTIFS($A$14:$A$1213,$A445,$T$14:$T$1213,"="&amp;$T445)+1)/2,"")</f>
        <v/>
      </c>
      <c r="AH445" s="27">
        <f>IF(COUNT($AC445:$AG445)&lt;2,"",IF(MAX($AC445:$AG445)=MIN($AC445:$AG445),0,1))</f>
        <v/>
      </c>
      <c r="AI445" s="27">
        <f>IF($A445="","",IF(COUNTIF($A$14:$A445,$A445)=1,COUNTIF($AI$13:AI444,"&gt;0")+1,""))</f>
        <v/>
      </c>
      <c r="AO445" s="27">
        <f>IF($A445="","",IF(AND(COUNTIFS($A$14:$A$1213,$A445,$F$14:$F$1213,"&gt;=0")=2,IFERROR(INDEX($M$14:$M$313,MATCH($A445,$H$14:$H$313,0)),"Yes")&lt;&gt;"Yes"),1,0))</f>
        <v/>
      </c>
    </row>
    <row r="446">
      <c r="A446" s="19">
        <f>IF('Enter messages'!A446="","",'Enter messages'!A446)</f>
        <v/>
      </c>
      <c r="B446" s="20">
        <f>IF('Enter messages'!B446="","",'Enter messages'!B446)</f>
        <v/>
      </c>
      <c r="C446" s="21">
        <f>IFERROR(AVERAGE(P446:T446),"")</f>
        <v/>
      </c>
      <c r="D446" s="29" t="n"/>
      <c r="E446" s="29" t="n"/>
      <c r="F446" s="30">
        <f>IF(AND(ISNUMBER($D446),ISNUMBER($E446),$E446&gt;0,$D446&lt;=$E446),$D446/$E446,"")</f>
        <v/>
      </c>
      <c r="P446" s="26" t="n"/>
      <c r="Q446" s="26" t="n"/>
      <c r="R446" s="26" t="n"/>
      <c r="S446" s="26" t="n"/>
      <c r="T446" s="26" t="n"/>
      <c r="V446" s="27">
        <f>IF(ISNUMBER($C446),COUNTIFS($A$14:$A$1213,$A446,$C$14:$C$1213,"&gt;"&amp;$C446)+(COUNTIFS($A$14:$A$1213,$A446,$C$14:$C$1213,"="&amp;$C446)+1)/2,"")</f>
        <v/>
      </c>
      <c r="W446" s="27">
        <f>IF(ISNUMBER($F446),COUNTIFS($A$14:$A$1213,$A446,$F$14:$F$1213,"&gt;"&amp;$F446)+(COUNTIFS($A$14:$A$1213,$A446,$F$14:$F$1213,"="&amp;$F446)+1)/2,"")</f>
        <v/>
      </c>
      <c r="X446" s="27">
        <f>IF(OR(NOT(ISNUMBER($V446)),$AO446=1),"",$V446-(COUNTIFS($A$14:$A$1213,$A446,$C$14:$C$1213,"&gt;=0")+1)/2)</f>
        <v/>
      </c>
      <c r="Y446" s="27">
        <f>IF(OR(NOT(ISNUMBER($W446)),$AO446=1),"",$W446-(COUNTIFS($A$14:$A$1213,$A446,$F$14:$F$1213,"&gt;=0")+1)/2)</f>
        <v/>
      </c>
      <c r="Z446" s="27">
        <f>IF(ISNUMBER($V446),$A446&amp;"|"&amp;$V446,"")</f>
        <v/>
      </c>
      <c r="AA446" s="27">
        <f>IF(ISNUMBER($W446),$A446&amp;"|"&amp;$W446,"")</f>
        <v/>
      </c>
      <c r="AB446" s="27">
        <f>IF(ISNUMBER($F446),$A446&amp;"|"&amp;$F446,"")</f>
        <v/>
      </c>
      <c r="AC446" s="27">
        <f>IF(ISNUMBER($P446),COUNTIFS($A$14:$A$1213,$A446,$P$14:$P$1213,"&gt;"&amp;$P446)+(COUNTIFS($A$14:$A$1213,$A446,$P$14:$P$1213,"="&amp;$P446)+1)/2,"")</f>
        <v/>
      </c>
      <c r="AD446" s="27">
        <f>IF(ISNUMBER($Q446),COUNTIFS($A$14:$A$1213,$A446,$Q$14:$Q$1213,"&gt;"&amp;$Q446)+(COUNTIFS($A$14:$A$1213,$A446,$Q$14:$Q$1213,"="&amp;$Q446)+1)/2,"")</f>
        <v/>
      </c>
      <c r="AE446" s="27">
        <f>IF(ISNUMBER($R446),COUNTIFS($A$14:$A$1213,$A446,$R$14:$R$1213,"&gt;"&amp;$R446)+(COUNTIFS($A$14:$A$1213,$A446,$R$14:$R$1213,"="&amp;$R446)+1)/2,"")</f>
        <v/>
      </c>
      <c r="AF446" s="27">
        <f>IF(ISNUMBER($S446),COUNTIFS($A$14:$A$1213,$A446,$S$14:$S$1213,"&gt;"&amp;$S446)+(COUNTIFS($A$14:$A$1213,$A446,$S$14:$S$1213,"="&amp;$S446)+1)/2,"")</f>
        <v/>
      </c>
      <c r="AG446" s="27">
        <f>IF(ISNUMBER($T446),COUNTIFS($A$14:$A$1213,$A446,$T$14:$T$1213,"&gt;"&amp;$T446)+(COUNTIFS($A$14:$A$1213,$A446,$T$14:$T$1213,"="&amp;$T446)+1)/2,"")</f>
        <v/>
      </c>
      <c r="AH446" s="27">
        <f>IF(COUNT($AC446:$AG446)&lt;2,"",IF(MAX($AC446:$AG446)=MIN($AC446:$AG446),0,1))</f>
        <v/>
      </c>
      <c r="AI446" s="27">
        <f>IF($A446="","",IF(COUNTIF($A$14:$A446,$A446)=1,COUNTIF($AI$13:AI445,"&gt;0")+1,""))</f>
        <v/>
      </c>
      <c r="AO446" s="27">
        <f>IF($A446="","",IF(AND(COUNTIFS($A$14:$A$1213,$A446,$F$14:$F$1213,"&gt;=0")=2,IFERROR(INDEX($M$14:$M$313,MATCH($A446,$H$14:$H$313,0)),"Yes")&lt;&gt;"Yes"),1,0))</f>
        <v/>
      </c>
    </row>
    <row r="447">
      <c r="A447" s="19">
        <f>IF('Enter messages'!A447="","",'Enter messages'!A447)</f>
        <v/>
      </c>
      <c r="B447" s="20">
        <f>IF('Enter messages'!B447="","",'Enter messages'!B447)</f>
        <v/>
      </c>
      <c r="C447" s="21">
        <f>IFERROR(AVERAGE(P447:T447),"")</f>
        <v/>
      </c>
      <c r="D447" s="29" t="n"/>
      <c r="E447" s="29" t="n"/>
      <c r="F447" s="30">
        <f>IF(AND(ISNUMBER($D447),ISNUMBER($E447),$E447&gt;0,$D447&lt;=$E447),$D447/$E447,"")</f>
        <v/>
      </c>
      <c r="P447" s="26" t="n"/>
      <c r="Q447" s="26" t="n"/>
      <c r="R447" s="26" t="n"/>
      <c r="S447" s="26" t="n"/>
      <c r="T447" s="26" t="n"/>
      <c r="V447" s="27">
        <f>IF(ISNUMBER($C447),COUNTIFS($A$14:$A$1213,$A447,$C$14:$C$1213,"&gt;"&amp;$C447)+(COUNTIFS($A$14:$A$1213,$A447,$C$14:$C$1213,"="&amp;$C447)+1)/2,"")</f>
        <v/>
      </c>
      <c r="W447" s="27">
        <f>IF(ISNUMBER($F447),COUNTIFS($A$14:$A$1213,$A447,$F$14:$F$1213,"&gt;"&amp;$F447)+(COUNTIFS($A$14:$A$1213,$A447,$F$14:$F$1213,"="&amp;$F447)+1)/2,"")</f>
        <v/>
      </c>
      <c r="X447" s="27">
        <f>IF(OR(NOT(ISNUMBER($V447)),$AO447=1),"",$V447-(COUNTIFS($A$14:$A$1213,$A447,$C$14:$C$1213,"&gt;=0")+1)/2)</f>
        <v/>
      </c>
      <c r="Y447" s="27">
        <f>IF(OR(NOT(ISNUMBER($W447)),$AO447=1),"",$W447-(COUNTIFS($A$14:$A$1213,$A447,$F$14:$F$1213,"&gt;=0")+1)/2)</f>
        <v/>
      </c>
      <c r="Z447" s="27">
        <f>IF(ISNUMBER($V447),$A447&amp;"|"&amp;$V447,"")</f>
        <v/>
      </c>
      <c r="AA447" s="27">
        <f>IF(ISNUMBER($W447),$A447&amp;"|"&amp;$W447,"")</f>
        <v/>
      </c>
      <c r="AB447" s="27">
        <f>IF(ISNUMBER($F447),$A447&amp;"|"&amp;$F447,"")</f>
        <v/>
      </c>
      <c r="AC447" s="27">
        <f>IF(ISNUMBER($P447),COUNTIFS($A$14:$A$1213,$A447,$P$14:$P$1213,"&gt;"&amp;$P447)+(COUNTIFS($A$14:$A$1213,$A447,$P$14:$P$1213,"="&amp;$P447)+1)/2,"")</f>
        <v/>
      </c>
      <c r="AD447" s="27">
        <f>IF(ISNUMBER($Q447),COUNTIFS($A$14:$A$1213,$A447,$Q$14:$Q$1213,"&gt;"&amp;$Q447)+(COUNTIFS($A$14:$A$1213,$A447,$Q$14:$Q$1213,"="&amp;$Q447)+1)/2,"")</f>
        <v/>
      </c>
      <c r="AE447" s="27">
        <f>IF(ISNUMBER($R447),COUNTIFS($A$14:$A$1213,$A447,$R$14:$R$1213,"&gt;"&amp;$R447)+(COUNTIFS($A$14:$A$1213,$A447,$R$14:$R$1213,"="&amp;$R447)+1)/2,"")</f>
        <v/>
      </c>
      <c r="AF447" s="27">
        <f>IF(ISNUMBER($S447),COUNTIFS($A$14:$A$1213,$A447,$S$14:$S$1213,"&gt;"&amp;$S447)+(COUNTIFS($A$14:$A$1213,$A447,$S$14:$S$1213,"="&amp;$S447)+1)/2,"")</f>
        <v/>
      </c>
      <c r="AG447" s="27">
        <f>IF(ISNUMBER($T447),COUNTIFS($A$14:$A$1213,$A447,$T$14:$T$1213,"&gt;"&amp;$T447)+(COUNTIFS($A$14:$A$1213,$A447,$T$14:$T$1213,"="&amp;$T447)+1)/2,"")</f>
        <v/>
      </c>
      <c r="AH447" s="27">
        <f>IF(COUNT($AC447:$AG447)&lt;2,"",IF(MAX($AC447:$AG447)=MIN($AC447:$AG447),0,1))</f>
        <v/>
      </c>
      <c r="AI447" s="27">
        <f>IF($A447="","",IF(COUNTIF($A$14:$A447,$A447)=1,COUNTIF($AI$13:AI446,"&gt;0")+1,""))</f>
        <v/>
      </c>
      <c r="AO447" s="27">
        <f>IF($A447="","",IF(AND(COUNTIFS($A$14:$A$1213,$A447,$F$14:$F$1213,"&gt;=0")=2,IFERROR(INDEX($M$14:$M$313,MATCH($A447,$H$14:$H$313,0)),"Yes")&lt;&gt;"Yes"),1,0))</f>
        <v/>
      </c>
    </row>
    <row r="448">
      <c r="A448" s="19">
        <f>IF('Enter messages'!A448="","",'Enter messages'!A448)</f>
        <v/>
      </c>
      <c r="B448" s="20">
        <f>IF('Enter messages'!B448="","",'Enter messages'!B448)</f>
        <v/>
      </c>
      <c r="C448" s="21">
        <f>IFERROR(AVERAGE(P448:T448),"")</f>
        <v/>
      </c>
      <c r="D448" s="29" t="n"/>
      <c r="E448" s="29" t="n"/>
      <c r="F448" s="30">
        <f>IF(AND(ISNUMBER($D448),ISNUMBER($E448),$E448&gt;0,$D448&lt;=$E448),$D448/$E448,"")</f>
        <v/>
      </c>
      <c r="P448" s="26" t="n"/>
      <c r="Q448" s="26" t="n"/>
      <c r="R448" s="26" t="n"/>
      <c r="S448" s="26" t="n"/>
      <c r="T448" s="26" t="n"/>
      <c r="V448" s="27">
        <f>IF(ISNUMBER($C448),COUNTIFS($A$14:$A$1213,$A448,$C$14:$C$1213,"&gt;"&amp;$C448)+(COUNTIFS($A$14:$A$1213,$A448,$C$14:$C$1213,"="&amp;$C448)+1)/2,"")</f>
        <v/>
      </c>
      <c r="W448" s="27">
        <f>IF(ISNUMBER($F448),COUNTIFS($A$14:$A$1213,$A448,$F$14:$F$1213,"&gt;"&amp;$F448)+(COUNTIFS($A$14:$A$1213,$A448,$F$14:$F$1213,"="&amp;$F448)+1)/2,"")</f>
        <v/>
      </c>
      <c r="X448" s="27">
        <f>IF(OR(NOT(ISNUMBER($V448)),$AO448=1),"",$V448-(COUNTIFS($A$14:$A$1213,$A448,$C$14:$C$1213,"&gt;=0")+1)/2)</f>
        <v/>
      </c>
      <c r="Y448" s="27">
        <f>IF(OR(NOT(ISNUMBER($W448)),$AO448=1),"",$W448-(COUNTIFS($A$14:$A$1213,$A448,$F$14:$F$1213,"&gt;=0")+1)/2)</f>
        <v/>
      </c>
      <c r="Z448" s="27">
        <f>IF(ISNUMBER($V448),$A448&amp;"|"&amp;$V448,"")</f>
        <v/>
      </c>
      <c r="AA448" s="27">
        <f>IF(ISNUMBER($W448),$A448&amp;"|"&amp;$W448,"")</f>
        <v/>
      </c>
      <c r="AB448" s="27">
        <f>IF(ISNUMBER($F448),$A448&amp;"|"&amp;$F448,"")</f>
        <v/>
      </c>
      <c r="AC448" s="27">
        <f>IF(ISNUMBER($P448),COUNTIFS($A$14:$A$1213,$A448,$P$14:$P$1213,"&gt;"&amp;$P448)+(COUNTIFS($A$14:$A$1213,$A448,$P$14:$P$1213,"="&amp;$P448)+1)/2,"")</f>
        <v/>
      </c>
      <c r="AD448" s="27">
        <f>IF(ISNUMBER($Q448),COUNTIFS($A$14:$A$1213,$A448,$Q$14:$Q$1213,"&gt;"&amp;$Q448)+(COUNTIFS($A$14:$A$1213,$A448,$Q$14:$Q$1213,"="&amp;$Q448)+1)/2,"")</f>
        <v/>
      </c>
      <c r="AE448" s="27">
        <f>IF(ISNUMBER($R448),COUNTIFS($A$14:$A$1213,$A448,$R$14:$R$1213,"&gt;"&amp;$R448)+(COUNTIFS($A$14:$A$1213,$A448,$R$14:$R$1213,"="&amp;$R448)+1)/2,"")</f>
        <v/>
      </c>
      <c r="AF448" s="27">
        <f>IF(ISNUMBER($S448),COUNTIFS($A$14:$A$1213,$A448,$S$14:$S$1213,"&gt;"&amp;$S448)+(COUNTIFS($A$14:$A$1213,$A448,$S$14:$S$1213,"="&amp;$S448)+1)/2,"")</f>
        <v/>
      </c>
      <c r="AG448" s="27">
        <f>IF(ISNUMBER($T448),COUNTIFS($A$14:$A$1213,$A448,$T$14:$T$1213,"&gt;"&amp;$T448)+(COUNTIFS($A$14:$A$1213,$A448,$T$14:$T$1213,"="&amp;$T448)+1)/2,"")</f>
        <v/>
      </c>
      <c r="AH448" s="27">
        <f>IF(COUNT($AC448:$AG448)&lt;2,"",IF(MAX($AC448:$AG448)=MIN($AC448:$AG448),0,1))</f>
        <v/>
      </c>
      <c r="AI448" s="27">
        <f>IF($A448="","",IF(COUNTIF($A$14:$A448,$A448)=1,COUNTIF($AI$13:AI447,"&gt;0")+1,""))</f>
        <v/>
      </c>
      <c r="AO448" s="27">
        <f>IF($A448="","",IF(AND(COUNTIFS($A$14:$A$1213,$A448,$F$14:$F$1213,"&gt;=0")=2,IFERROR(INDEX($M$14:$M$313,MATCH($A448,$H$14:$H$313,0)),"Yes")&lt;&gt;"Yes"),1,0))</f>
        <v/>
      </c>
    </row>
    <row r="449">
      <c r="A449" s="19">
        <f>IF('Enter messages'!A449="","",'Enter messages'!A449)</f>
        <v/>
      </c>
      <c r="B449" s="20">
        <f>IF('Enter messages'!B449="","",'Enter messages'!B449)</f>
        <v/>
      </c>
      <c r="C449" s="21">
        <f>IFERROR(AVERAGE(P449:T449),"")</f>
        <v/>
      </c>
      <c r="D449" s="29" t="n"/>
      <c r="E449" s="29" t="n"/>
      <c r="F449" s="30">
        <f>IF(AND(ISNUMBER($D449),ISNUMBER($E449),$E449&gt;0,$D449&lt;=$E449),$D449/$E449,"")</f>
        <v/>
      </c>
      <c r="P449" s="26" t="n"/>
      <c r="Q449" s="26" t="n"/>
      <c r="R449" s="26" t="n"/>
      <c r="S449" s="26" t="n"/>
      <c r="T449" s="26" t="n"/>
      <c r="V449" s="27">
        <f>IF(ISNUMBER($C449),COUNTIFS($A$14:$A$1213,$A449,$C$14:$C$1213,"&gt;"&amp;$C449)+(COUNTIFS($A$14:$A$1213,$A449,$C$14:$C$1213,"="&amp;$C449)+1)/2,"")</f>
        <v/>
      </c>
      <c r="W449" s="27">
        <f>IF(ISNUMBER($F449),COUNTIFS($A$14:$A$1213,$A449,$F$14:$F$1213,"&gt;"&amp;$F449)+(COUNTIFS($A$14:$A$1213,$A449,$F$14:$F$1213,"="&amp;$F449)+1)/2,"")</f>
        <v/>
      </c>
      <c r="X449" s="27">
        <f>IF(OR(NOT(ISNUMBER($V449)),$AO449=1),"",$V449-(COUNTIFS($A$14:$A$1213,$A449,$C$14:$C$1213,"&gt;=0")+1)/2)</f>
        <v/>
      </c>
      <c r="Y449" s="27">
        <f>IF(OR(NOT(ISNUMBER($W449)),$AO449=1),"",$W449-(COUNTIFS($A$14:$A$1213,$A449,$F$14:$F$1213,"&gt;=0")+1)/2)</f>
        <v/>
      </c>
      <c r="Z449" s="27">
        <f>IF(ISNUMBER($V449),$A449&amp;"|"&amp;$V449,"")</f>
        <v/>
      </c>
      <c r="AA449" s="27">
        <f>IF(ISNUMBER($W449),$A449&amp;"|"&amp;$W449,"")</f>
        <v/>
      </c>
      <c r="AB449" s="27">
        <f>IF(ISNUMBER($F449),$A449&amp;"|"&amp;$F449,"")</f>
        <v/>
      </c>
      <c r="AC449" s="27">
        <f>IF(ISNUMBER($P449),COUNTIFS($A$14:$A$1213,$A449,$P$14:$P$1213,"&gt;"&amp;$P449)+(COUNTIFS($A$14:$A$1213,$A449,$P$14:$P$1213,"="&amp;$P449)+1)/2,"")</f>
        <v/>
      </c>
      <c r="AD449" s="27">
        <f>IF(ISNUMBER($Q449),COUNTIFS($A$14:$A$1213,$A449,$Q$14:$Q$1213,"&gt;"&amp;$Q449)+(COUNTIFS($A$14:$A$1213,$A449,$Q$14:$Q$1213,"="&amp;$Q449)+1)/2,"")</f>
        <v/>
      </c>
      <c r="AE449" s="27">
        <f>IF(ISNUMBER($R449),COUNTIFS($A$14:$A$1213,$A449,$R$14:$R$1213,"&gt;"&amp;$R449)+(COUNTIFS($A$14:$A$1213,$A449,$R$14:$R$1213,"="&amp;$R449)+1)/2,"")</f>
        <v/>
      </c>
      <c r="AF449" s="27">
        <f>IF(ISNUMBER($S449),COUNTIFS($A$14:$A$1213,$A449,$S$14:$S$1213,"&gt;"&amp;$S449)+(COUNTIFS($A$14:$A$1213,$A449,$S$14:$S$1213,"="&amp;$S449)+1)/2,"")</f>
        <v/>
      </c>
      <c r="AG449" s="27">
        <f>IF(ISNUMBER($T449),COUNTIFS($A$14:$A$1213,$A449,$T$14:$T$1213,"&gt;"&amp;$T449)+(COUNTIFS($A$14:$A$1213,$A449,$T$14:$T$1213,"="&amp;$T449)+1)/2,"")</f>
        <v/>
      </c>
      <c r="AH449" s="27">
        <f>IF(COUNT($AC449:$AG449)&lt;2,"",IF(MAX($AC449:$AG449)=MIN($AC449:$AG449),0,1))</f>
        <v/>
      </c>
      <c r="AI449" s="27">
        <f>IF($A449="","",IF(COUNTIF($A$14:$A449,$A449)=1,COUNTIF($AI$13:AI448,"&gt;0")+1,""))</f>
        <v/>
      </c>
      <c r="AO449" s="27">
        <f>IF($A449="","",IF(AND(COUNTIFS($A$14:$A$1213,$A449,$F$14:$F$1213,"&gt;=0")=2,IFERROR(INDEX($M$14:$M$313,MATCH($A449,$H$14:$H$313,0)),"Yes")&lt;&gt;"Yes"),1,0))</f>
        <v/>
      </c>
    </row>
    <row r="450">
      <c r="A450" s="19">
        <f>IF('Enter messages'!A450="","",'Enter messages'!A450)</f>
        <v/>
      </c>
      <c r="B450" s="20">
        <f>IF('Enter messages'!B450="","",'Enter messages'!B450)</f>
        <v/>
      </c>
      <c r="C450" s="21">
        <f>IFERROR(AVERAGE(P450:T450),"")</f>
        <v/>
      </c>
      <c r="D450" s="29" t="n"/>
      <c r="E450" s="29" t="n"/>
      <c r="F450" s="30">
        <f>IF(AND(ISNUMBER($D450),ISNUMBER($E450),$E450&gt;0,$D450&lt;=$E450),$D450/$E450,"")</f>
        <v/>
      </c>
      <c r="P450" s="26" t="n"/>
      <c r="Q450" s="26" t="n"/>
      <c r="R450" s="26" t="n"/>
      <c r="S450" s="26" t="n"/>
      <c r="T450" s="26" t="n"/>
      <c r="V450" s="27">
        <f>IF(ISNUMBER($C450),COUNTIFS($A$14:$A$1213,$A450,$C$14:$C$1213,"&gt;"&amp;$C450)+(COUNTIFS($A$14:$A$1213,$A450,$C$14:$C$1213,"="&amp;$C450)+1)/2,"")</f>
        <v/>
      </c>
      <c r="W450" s="27">
        <f>IF(ISNUMBER($F450),COUNTIFS($A$14:$A$1213,$A450,$F$14:$F$1213,"&gt;"&amp;$F450)+(COUNTIFS($A$14:$A$1213,$A450,$F$14:$F$1213,"="&amp;$F450)+1)/2,"")</f>
        <v/>
      </c>
      <c r="X450" s="27">
        <f>IF(OR(NOT(ISNUMBER($V450)),$AO450=1),"",$V450-(COUNTIFS($A$14:$A$1213,$A450,$C$14:$C$1213,"&gt;=0")+1)/2)</f>
        <v/>
      </c>
      <c r="Y450" s="27">
        <f>IF(OR(NOT(ISNUMBER($W450)),$AO450=1),"",$W450-(COUNTIFS($A$14:$A$1213,$A450,$F$14:$F$1213,"&gt;=0")+1)/2)</f>
        <v/>
      </c>
      <c r="Z450" s="27">
        <f>IF(ISNUMBER($V450),$A450&amp;"|"&amp;$V450,"")</f>
        <v/>
      </c>
      <c r="AA450" s="27">
        <f>IF(ISNUMBER($W450),$A450&amp;"|"&amp;$W450,"")</f>
        <v/>
      </c>
      <c r="AB450" s="27">
        <f>IF(ISNUMBER($F450),$A450&amp;"|"&amp;$F450,"")</f>
        <v/>
      </c>
      <c r="AC450" s="27">
        <f>IF(ISNUMBER($P450),COUNTIFS($A$14:$A$1213,$A450,$P$14:$P$1213,"&gt;"&amp;$P450)+(COUNTIFS($A$14:$A$1213,$A450,$P$14:$P$1213,"="&amp;$P450)+1)/2,"")</f>
        <v/>
      </c>
      <c r="AD450" s="27">
        <f>IF(ISNUMBER($Q450),COUNTIFS($A$14:$A$1213,$A450,$Q$14:$Q$1213,"&gt;"&amp;$Q450)+(COUNTIFS($A$14:$A$1213,$A450,$Q$14:$Q$1213,"="&amp;$Q450)+1)/2,"")</f>
        <v/>
      </c>
      <c r="AE450" s="27">
        <f>IF(ISNUMBER($R450),COUNTIFS($A$14:$A$1213,$A450,$R$14:$R$1213,"&gt;"&amp;$R450)+(COUNTIFS($A$14:$A$1213,$A450,$R$14:$R$1213,"="&amp;$R450)+1)/2,"")</f>
        <v/>
      </c>
      <c r="AF450" s="27">
        <f>IF(ISNUMBER($S450),COUNTIFS($A$14:$A$1213,$A450,$S$14:$S$1213,"&gt;"&amp;$S450)+(COUNTIFS($A$14:$A$1213,$A450,$S$14:$S$1213,"="&amp;$S450)+1)/2,"")</f>
        <v/>
      </c>
      <c r="AG450" s="27">
        <f>IF(ISNUMBER($T450),COUNTIFS($A$14:$A$1213,$A450,$T$14:$T$1213,"&gt;"&amp;$T450)+(COUNTIFS($A$14:$A$1213,$A450,$T$14:$T$1213,"="&amp;$T450)+1)/2,"")</f>
        <v/>
      </c>
      <c r="AH450" s="27">
        <f>IF(COUNT($AC450:$AG450)&lt;2,"",IF(MAX($AC450:$AG450)=MIN($AC450:$AG450),0,1))</f>
        <v/>
      </c>
      <c r="AI450" s="27">
        <f>IF($A450="","",IF(COUNTIF($A$14:$A450,$A450)=1,COUNTIF($AI$13:AI449,"&gt;0")+1,""))</f>
        <v/>
      </c>
      <c r="AO450" s="27">
        <f>IF($A450="","",IF(AND(COUNTIFS($A$14:$A$1213,$A450,$F$14:$F$1213,"&gt;=0")=2,IFERROR(INDEX($M$14:$M$313,MATCH($A450,$H$14:$H$313,0)),"Yes")&lt;&gt;"Yes"),1,0))</f>
        <v/>
      </c>
    </row>
    <row r="451">
      <c r="A451" s="19">
        <f>IF('Enter messages'!A451="","",'Enter messages'!A451)</f>
        <v/>
      </c>
      <c r="B451" s="20">
        <f>IF('Enter messages'!B451="","",'Enter messages'!B451)</f>
        <v/>
      </c>
      <c r="C451" s="21">
        <f>IFERROR(AVERAGE(P451:T451),"")</f>
        <v/>
      </c>
      <c r="D451" s="29" t="n"/>
      <c r="E451" s="29" t="n"/>
      <c r="F451" s="30">
        <f>IF(AND(ISNUMBER($D451),ISNUMBER($E451),$E451&gt;0,$D451&lt;=$E451),$D451/$E451,"")</f>
        <v/>
      </c>
      <c r="P451" s="26" t="n"/>
      <c r="Q451" s="26" t="n"/>
      <c r="R451" s="26" t="n"/>
      <c r="S451" s="26" t="n"/>
      <c r="T451" s="26" t="n"/>
      <c r="V451" s="27">
        <f>IF(ISNUMBER($C451),COUNTIFS($A$14:$A$1213,$A451,$C$14:$C$1213,"&gt;"&amp;$C451)+(COUNTIFS($A$14:$A$1213,$A451,$C$14:$C$1213,"="&amp;$C451)+1)/2,"")</f>
        <v/>
      </c>
      <c r="W451" s="27">
        <f>IF(ISNUMBER($F451),COUNTIFS($A$14:$A$1213,$A451,$F$14:$F$1213,"&gt;"&amp;$F451)+(COUNTIFS($A$14:$A$1213,$A451,$F$14:$F$1213,"="&amp;$F451)+1)/2,"")</f>
        <v/>
      </c>
      <c r="X451" s="27">
        <f>IF(OR(NOT(ISNUMBER($V451)),$AO451=1),"",$V451-(COUNTIFS($A$14:$A$1213,$A451,$C$14:$C$1213,"&gt;=0")+1)/2)</f>
        <v/>
      </c>
      <c r="Y451" s="27">
        <f>IF(OR(NOT(ISNUMBER($W451)),$AO451=1),"",$W451-(COUNTIFS($A$14:$A$1213,$A451,$F$14:$F$1213,"&gt;=0")+1)/2)</f>
        <v/>
      </c>
      <c r="Z451" s="27">
        <f>IF(ISNUMBER($V451),$A451&amp;"|"&amp;$V451,"")</f>
        <v/>
      </c>
      <c r="AA451" s="27">
        <f>IF(ISNUMBER($W451),$A451&amp;"|"&amp;$W451,"")</f>
        <v/>
      </c>
      <c r="AB451" s="27">
        <f>IF(ISNUMBER($F451),$A451&amp;"|"&amp;$F451,"")</f>
        <v/>
      </c>
      <c r="AC451" s="27">
        <f>IF(ISNUMBER($P451),COUNTIFS($A$14:$A$1213,$A451,$P$14:$P$1213,"&gt;"&amp;$P451)+(COUNTIFS($A$14:$A$1213,$A451,$P$14:$P$1213,"="&amp;$P451)+1)/2,"")</f>
        <v/>
      </c>
      <c r="AD451" s="27">
        <f>IF(ISNUMBER($Q451),COUNTIFS($A$14:$A$1213,$A451,$Q$14:$Q$1213,"&gt;"&amp;$Q451)+(COUNTIFS($A$14:$A$1213,$A451,$Q$14:$Q$1213,"="&amp;$Q451)+1)/2,"")</f>
        <v/>
      </c>
      <c r="AE451" s="27">
        <f>IF(ISNUMBER($R451),COUNTIFS($A$14:$A$1213,$A451,$R$14:$R$1213,"&gt;"&amp;$R451)+(COUNTIFS($A$14:$A$1213,$A451,$R$14:$R$1213,"="&amp;$R451)+1)/2,"")</f>
        <v/>
      </c>
      <c r="AF451" s="27">
        <f>IF(ISNUMBER($S451),COUNTIFS($A$14:$A$1213,$A451,$S$14:$S$1213,"&gt;"&amp;$S451)+(COUNTIFS($A$14:$A$1213,$A451,$S$14:$S$1213,"="&amp;$S451)+1)/2,"")</f>
        <v/>
      </c>
      <c r="AG451" s="27">
        <f>IF(ISNUMBER($T451),COUNTIFS($A$14:$A$1213,$A451,$T$14:$T$1213,"&gt;"&amp;$T451)+(COUNTIFS($A$14:$A$1213,$A451,$T$14:$T$1213,"="&amp;$T451)+1)/2,"")</f>
        <v/>
      </c>
      <c r="AH451" s="27">
        <f>IF(COUNT($AC451:$AG451)&lt;2,"",IF(MAX($AC451:$AG451)=MIN($AC451:$AG451),0,1))</f>
        <v/>
      </c>
      <c r="AI451" s="27">
        <f>IF($A451="","",IF(COUNTIF($A$14:$A451,$A451)=1,COUNTIF($AI$13:AI450,"&gt;0")+1,""))</f>
        <v/>
      </c>
      <c r="AO451" s="27">
        <f>IF($A451="","",IF(AND(COUNTIFS($A$14:$A$1213,$A451,$F$14:$F$1213,"&gt;=0")=2,IFERROR(INDEX($M$14:$M$313,MATCH($A451,$H$14:$H$313,0)),"Yes")&lt;&gt;"Yes"),1,0))</f>
        <v/>
      </c>
    </row>
    <row r="452">
      <c r="A452" s="19">
        <f>IF('Enter messages'!A452="","",'Enter messages'!A452)</f>
        <v/>
      </c>
      <c r="B452" s="20">
        <f>IF('Enter messages'!B452="","",'Enter messages'!B452)</f>
        <v/>
      </c>
      <c r="C452" s="21">
        <f>IFERROR(AVERAGE(P452:T452),"")</f>
        <v/>
      </c>
      <c r="D452" s="29" t="n"/>
      <c r="E452" s="29" t="n"/>
      <c r="F452" s="30">
        <f>IF(AND(ISNUMBER($D452),ISNUMBER($E452),$E452&gt;0,$D452&lt;=$E452),$D452/$E452,"")</f>
        <v/>
      </c>
      <c r="P452" s="26" t="n"/>
      <c r="Q452" s="26" t="n"/>
      <c r="R452" s="26" t="n"/>
      <c r="S452" s="26" t="n"/>
      <c r="T452" s="26" t="n"/>
      <c r="V452" s="27">
        <f>IF(ISNUMBER($C452),COUNTIFS($A$14:$A$1213,$A452,$C$14:$C$1213,"&gt;"&amp;$C452)+(COUNTIFS($A$14:$A$1213,$A452,$C$14:$C$1213,"="&amp;$C452)+1)/2,"")</f>
        <v/>
      </c>
      <c r="W452" s="27">
        <f>IF(ISNUMBER($F452),COUNTIFS($A$14:$A$1213,$A452,$F$14:$F$1213,"&gt;"&amp;$F452)+(COUNTIFS($A$14:$A$1213,$A452,$F$14:$F$1213,"="&amp;$F452)+1)/2,"")</f>
        <v/>
      </c>
      <c r="X452" s="27">
        <f>IF(OR(NOT(ISNUMBER($V452)),$AO452=1),"",$V452-(COUNTIFS($A$14:$A$1213,$A452,$C$14:$C$1213,"&gt;=0")+1)/2)</f>
        <v/>
      </c>
      <c r="Y452" s="27">
        <f>IF(OR(NOT(ISNUMBER($W452)),$AO452=1),"",$W452-(COUNTIFS($A$14:$A$1213,$A452,$F$14:$F$1213,"&gt;=0")+1)/2)</f>
        <v/>
      </c>
      <c r="Z452" s="27">
        <f>IF(ISNUMBER($V452),$A452&amp;"|"&amp;$V452,"")</f>
        <v/>
      </c>
      <c r="AA452" s="27">
        <f>IF(ISNUMBER($W452),$A452&amp;"|"&amp;$W452,"")</f>
        <v/>
      </c>
      <c r="AB452" s="27">
        <f>IF(ISNUMBER($F452),$A452&amp;"|"&amp;$F452,"")</f>
        <v/>
      </c>
      <c r="AC452" s="27">
        <f>IF(ISNUMBER($P452),COUNTIFS($A$14:$A$1213,$A452,$P$14:$P$1213,"&gt;"&amp;$P452)+(COUNTIFS($A$14:$A$1213,$A452,$P$14:$P$1213,"="&amp;$P452)+1)/2,"")</f>
        <v/>
      </c>
      <c r="AD452" s="27">
        <f>IF(ISNUMBER($Q452),COUNTIFS($A$14:$A$1213,$A452,$Q$14:$Q$1213,"&gt;"&amp;$Q452)+(COUNTIFS($A$14:$A$1213,$A452,$Q$14:$Q$1213,"="&amp;$Q452)+1)/2,"")</f>
        <v/>
      </c>
      <c r="AE452" s="27">
        <f>IF(ISNUMBER($R452),COUNTIFS($A$14:$A$1213,$A452,$R$14:$R$1213,"&gt;"&amp;$R452)+(COUNTIFS($A$14:$A$1213,$A452,$R$14:$R$1213,"="&amp;$R452)+1)/2,"")</f>
        <v/>
      </c>
      <c r="AF452" s="27">
        <f>IF(ISNUMBER($S452),COUNTIFS($A$14:$A$1213,$A452,$S$14:$S$1213,"&gt;"&amp;$S452)+(COUNTIFS($A$14:$A$1213,$A452,$S$14:$S$1213,"="&amp;$S452)+1)/2,"")</f>
        <v/>
      </c>
      <c r="AG452" s="27">
        <f>IF(ISNUMBER($T452),COUNTIFS($A$14:$A$1213,$A452,$T$14:$T$1213,"&gt;"&amp;$T452)+(COUNTIFS($A$14:$A$1213,$A452,$T$14:$T$1213,"="&amp;$T452)+1)/2,"")</f>
        <v/>
      </c>
      <c r="AH452" s="27">
        <f>IF(COUNT($AC452:$AG452)&lt;2,"",IF(MAX($AC452:$AG452)=MIN($AC452:$AG452),0,1))</f>
        <v/>
      </c>
      <c r="AI452" s="27">
        <f>IF($A452="","",IF(COUNTIF($A$14:$A452,$A452)=1,COUNTIF($AI$13:AI451,"&gt;0")+1,""))</f>
        <v/>
      </c>
      <c r="AO452" s="27">
        <f>IF($A452="","",IF(AND(COUNTIFS($A$14:$A$1213,$A452,$F$14:$F$1213,"&gt;=0")=2,IFERROR(INDEX($M$14:$M$313,MATCH($A452,$H$14:$H$313,0)),"Yes")&lt;&gt;"Yes"),1,0))</f>
        <v/>
      </c>
    </row>
    <row r="453">
      <c r="A453" s="19">
        <f>IF('Enter messages'!A453="","",'Enter messages'!A453)</f>
        <v/>
      </c>
      <c r="B453" s="20">
        <f>IF('Enter messages'!B453="","",'Enter messages'!B453)</f>
        <v/>
      </c>
      <c r="C453" s="21">
        <f>IFERROR(AVERAGE(P453:T453),"")</f>
        <v/>
      </c>
      <c r="D453" s="29" t="n"/>
      <c r="E453" s="29" t="n"/>
      <c r="F453" s="30">
        <f>IF(AND(ISNUMBER($D453),ISNUMBER($E453),$E453&gt;0,$D453&lt;=$E453),$D453/$E453,"")</f>
        <v/>
      </c>
      <c r="P453" s="26" t="n"/>
      <c r="Q453" s="26" t="n"/>
      <c r="R453" s="26" t="n"/>
      <c r="S453" s="26" t="n"/>
      <c r="T453" s="26" t="n"/>
      <c r="V453" s="27">
        <f>IF(ISNUMBER($C453),COUNTIFS($A$14:$A$1213,$A453,$C$14:$C$1213,"&gt;"&amp;$C453)+(COUNTIFS($A$14:$A$1213,$A453,$C$14:$C$1213,"="&amp;$C453)+1)/2,"")</f>
        <v/>
      </c>
      <c r="W453" s="27">
        <f>IF(ISNUMBER($F453),COUNTIFS($A$14:$A$1213,$A453,$F$14:$F$1213,"&gt;"&amp;$F453)+(COUNTIFS($A$14:$A$1213,$A453,$F$14:$F$1213,"="&amp;$F453)+1)/2,"")</f>
        <v/>
      </c>
      <c r="X453" s="27">
        <f>IF(OR(NOT(ISNUMBER($V453)),$AO453=1),"",$V453-(COUNTIFS($A$14:$A$1213,$A453,$C$14:$C$1213,"&gt;=0")+1)/2)</f>
        <v/>
      </c>
      <c r="Y453" s="27">
        <f>IF(OR(NOT(ISNUMBER($W453)),$AO453=1),"",$W453-(COUNTIFS($A$14:$A$1213,$A453,$F$14:$F$1213,"&gt;=0")+1)/2)</f>
        <v/>
      </c>
      <c r="Z453" s="27">
        <f>IF(ISNUMBER($V453),$A453&amp;"|"&amp;$V453,"")</f>
        <v/>
      </c>
      <c r="AA453" s="27">
        <f>IF(ISNUMBER($W453),$A453&amp;"|"&amp;$W453,"")</f>
        <v/>
      </c>
      <c r="AB453" s="27">
        <f>IF(ISNUMBER($F453),$A453&amp;"|"&amp;$F453,"")</f>
        <v/>
      </c>
      <c r="AC453" s="27">
        <f>IF(ISNUMBER($P453),COUNTIFS($A$14:$A$1213,$A453,$P$14:$P$1213,"&gt;"&amp;$P453)+(COUNTIFS($A$14:$A$1213,$A453,$P$14:$P$1213,"="&amp;$P453)+1)/2,"")</f>
        <v/>
      </c>
      <c r="AD453" s="27">
        <f>IF(ISNUMBER($Q453),COUNTIFS($A$14:$A$1213,$A453,$Q$14:$Q$1213,"&gt;"&amp;$Q453)+(COUNTIFS($A$14:$A$1213,$A453,$Q$14:$Q$1213,"="&amp;$Q453)+1)/2,"")</f>
        <v/>
      </c>
      <c r="AE453" s="27">
        <f>IF(ISNUMBER($R453),COUNTIFS($A$14:$A$1213,$A453,$R$14:$R$1213,"&gt;"&amp;$R453)+(COUNTIFS($A$14:$A$1213,$A453,$R$14:$R$1213,"="&amp;$R453)+1)/2,"")</f>
        <v/>
      </c>
      <c r="AF453" s="27">
        <f>IF(ISNUMBER($S453),COUNTIFS($A$14:$A$1213,$A453,$S$14:$S$1213,"&gt;"&amp;$S453)+(COUNTIFS($A$14:$A$1213,$A453,$S$14:$S$1213,"="&amp;$S453)+1)/2,"")</f>
        <v/>
      </c>
      <c r="AG453" s="27">
        <f>IF(ISNUMBER($T453),COUNTIFS($A$14:$A$1213,$A453,$T$14:$T$1213,"&gt;"&amp;$T453)+(COUNTIFS($A$14:$A$1213,$A453,$T$14:$T$1213,"="&amp;$T453)+1)/2,"")</f>
        <v/>
      </c>
      <c r="AH453" s="27">
        <f>IF(COUNT($AC453:$AG453)&lt;2,"",IF(MAX($AC453:$AG453)=MIN($AC453:$AG453),0,1))</f>
        <v/>
      </c>
      <c r="AI453" s="27">
        <f>IF($A453="","",IF(COUNTIF($A$14:$A453,$A453)=1,COUNTIF($AI$13:AI452,"&gt;0")+1,""))</f>
        <v/>
      </c>
      <c r="AO453" s="27">
        <f>IF($A453="","",IF(AND(COUNTIFS($A$14:$A$1213,$A453,$F$14:$F$1213,"&gt;=0")=2,IFERROR(INDEX($M$14:$M$313,MATCH($A453,$H$14:$H$313,0)),"Yes")&lt;&gt;"Yes"),1,0))</f>
        <v/>
      </c>
    </row>
    <row r="454">
      <c r="A454" s="19">
        <f>IF('Enter messages'!A454="","",'Enter messages'!A454)</f>
        <v/>
      </c>
      <c r="B454" s="20">
        <f>IF('Enter messages'!B454="","",'Enter messages'!B454)</f>
        <v/>
      </c>
      <c r="C454" s="21">
        <f>IFERROR(AVERAGE(P454:T454),"")</f>
        <v/>
      </c>
      <c r="D454" s="29" t="n"/>
      <c r="E454" s="29" t="n"/>
      <c r="F454" s="30">
        <f>IF(AND(ISNUMBER($D454),ISNUMBER($E454),$E454&gt;0,$D454&lt;=$E454),$D454/$E454,"")</f>
        <v/>
      </c>
      <c r="P454" s="26" t="n"/>
      <c r="Q454" s="26" t="n"/>
      <c r="R454" s="26" t="n"/>
      <c r="S454" s="26" t="n"/>
      <c r="T454" s="26" t="n"/>
      <c r="V454" s="27">
        <f>IF(ISNUMBER($C454),COUNTIFS($A$14:$A$1213,$A454,$C$14:$C$1213,"&gt;"&amp;$C454)+(COUNTIFS($A$14:$A$1213,$A454,$C$14:$C$1213,"="&amp;$C454)+1)/2,"")</f>
        <v/>
      </c>
      <c r="W454" s="27">
        <f>IF(ISNUMBER($F454),COUNTIFS($A$14:$A$1213,$A454,$F$14:$F$1213,"&gt;"&amp;$F454)+(COUNTIFS($A$14:$A$1213,$A454,$F$14:$F$1213,"="&amp;$F454)+1)/2,"")</f>
        <v/>
      </c>
      <c r="X454" s="27">
        <f>IF(OR(NOT(ISNUMBER($V454)),$AO454=1),"",$V454-(COUNTIFS($A$14:$A$1213,$A454,$C$14:$C$1213,"&gt;=0")+1)/2)</f>
        <v/>
      </c>
      <c r="Y454" s="27">
        <f>IF(OR(NOT(ISNUMBER($W454)),$AO454=1),"",$W454-(COUNTIFS($A$14:$A$1213,$A454,$F$14:$F$1213,"&gt;=0")+1)/2)</f>
        <v/>
      </c>
      <c r="Z454" s="27">
        <f>IF(ISNUMBER($V454),$A454&amp;"|"&amp;$V454,"")</f>
        <v/>
      </c>
      <c r="AA454" s="27">
        <f>IF(ISNUMBER($W454),$A454&amp;"|"&amp;$W454,"")</f>
        <v/>
      </c>
      <c r="AB454" s="27">
        <f>IF(ISNUMBER($F454),$A454&amp;"|"&amp;$F454,"")</f>
        <v/>
      </c>
      <c r="AC454" s="27">
        <f>IF(ISNUMBER($P454),COUNTIFS($A$14:$A$1213,$A454,$P$14:$P$1213,"&gt;"&amp;$P454)+(COUNTIFS($A$14:$A$1213,$A454,$P$14:$P$1213,"="&amp;$P454)+1)/2,"")</f>
        <v/>
      </c>
      <c r="AD454" s="27">
        <f>IF(ISNUMBER($Q454),COUNTIFS($A$14:$A$1213,$A454,$Q$14:$Q$1213,"&gt;"&amp;$Q454)+(COUNTIFS($A$14:$A$1213,$A454,$Q$14:$Q$1213,"="&amp;$Q454)+1)/2,"")</f>
        <v/>
      </c>
      <c r="AE454" s="27">
        <f>IF(ISNUMBER($R454),COUNTIFS($A$14:$A$1213,$A454,$R$14:$R$1213,"&gt;"&amp;$R454)+(COUNTIFS($A$14:$A$1213,$A454,$R$14:$R$1213,"="&amp;$R454)+1)/2,"")</f>
        <v/>
      </c>
      <c r="AF454" s="27">
        <f>IF(ISNUMBER($S454),COUNTIFS($A$14:$A$1213,$A454,$S$14:$S$1213,"&gt;"&amp;$S454)+(COUNTIFS($A$14:$A$1213,$A454,$S$14:$S$1213,"="&amp;$S454)+1)/2,"")</f>
        <v/>
      </c>
      <c r="AG454" s="27">
        <f>IF(ISNUMBER($T454),COUNTIFS($A$14:$A$1213,$A454,$T$14:$T$1213,"&gt;"&amp;$T454)+(COUNTIFS($A$14:$A$1213,$A454,$T$14:$T$1213,"="&amp;$T454)+1)/2,"")</f>
        <v/>
      </c>
      <c r="AH454" s="27">
        <f>IF(COUNT($AC454:$AG454)&lt;2,"",IF(MAX($AC454:$AG454)=MIN($AC454:$AG454),0,1))</f>
        <v/>
      </c>
      <c r="AI454" s="27">
        <f>IF($A454="","",IF(COUNTIF($A$14:$A454,$A454)=1,COUNTIF($AI$13:AI453,"&gt;0")+1,""))</f>
        <v/>
      </c>
      <c r="AO454" s="27">
        <f>IF($A454="","",IF(AND(COUNTIFS($A$14:$A$1213,$A454,$F$14:$F$1213,"&gt;=0")=2,IFERROR(INDEX($M$14:$M$313,MATCH($A454,$H$14:$H$313,0)),"Yes")&lt;&gt;"Yes"),1,0))</f>
        <v/>
      </c>
    </row>
    <row r="455">
      <c r="A455" s="19">
        <f>IF('Enter messages'!A455="","",'Enter messages'!A455)</f>
        <v/>
      </c>
      <c r="B455" s="20">
        <f>IF('Enter messages'!B455="","",'Enter messages'!B455)</f>
        <v/>
      </c>
      <c r="C455" s="21">
        <f>IFERROR(AVERAGE(P455:T455),"")</f>
        <v/>
      </c>
      <c r="D455" s="29" t="n"/>
      <c r="E455" s="29" t="n"/>
      <c r="F455" s="30">
        <f>IF(AND(ISNUMBER($D455),ISNUMBER($E455),$E455&gt;0,$D455&lt;=$E455),$D455/$E455,"")</f>
        <v/>
      </c>
      <c r="P455" s="26" t="n"/>
      <c r="Q455" s="26" t="n"/>
      <c r="R455" s="26" t="n"/>
      <c r="S455" s="26" t="n"/>
      <c r="T455" s="26" t="n"/>
      <c r="V455" s="27">
        <f>IF(ISNUMBER($C455),COUNTIFS($A$14:$A$1213,$A455,$C$14:$C$1213,"&gt;"&amp;$C455)+(COUNTIFS($A$14:$A$1213,$A455,$C$14:$C$1213,"="&amp;$C455)+1)/2,"")</f>
        <v/>
      </c>
      <c r="W455" s="27">
        <f>IF(ISNUMBER($F455),COUNTIFS($A$14:$A$1213,$A455,$F$14:$F$1213,"&gt;"&amp;$F455)+(COUNTIFS($A$14:$A$1213,$A455,$F$14:$F$1213,"="&amp;$F455)+1)/2,"")</f>
        <v/>
      </c>
      <c r="X455" s="27">
        <f>IF(OR(NOT(ISNUMBER($V455)),$AO455=1),"",$V455-(COUNTIFS($A$14:$A$1213,$A455,$C$14:$C$1213,"&gt;=0")+1)/2)</f>
        <v/>
      </c>
      <c r="Y455" s="27">
        <f>IF(OR(NOT(ISNUMBER($W455)),$AO455=1),"",$W455-(COUNTIFS($A$14:$A$1213,$A455,$F$14:$F$1213,"&gt;=0")+1)/2)</f>
        <v/>
      </c>
      <c r="Z455" s="27">
        <f>IF(ISNUMBER($V455),$A455&amp;"|"&amp;$V455,"")</f>
        <v/>
      </c>
      <c r="AA455" s="27">
        <f>IF(ISNUMBER($W455),$A455&amp;"|"&amp;$W455,"")</f>
        <v/>
      </c>
      <c r="AB455" s="27">
        <f>IF(ISNUMBER($F455),$A455&amp;"|"&amp;$F455,"")</f>
        <v/>
      </c>
      <c r="AC455" s="27">
        <f>IF(ISNUMBER($P455),COUNTIFS($A$14:$A$1213,$A455,$P$14:$P$1213,"&gt;"&amp;$P455)+(COUNTIFS($A$14:$A$1213,$A455,$P$14:$P$1213,"="&amp;$P455)+1)/2,"")</f>
        <v/>
      </c>
      <c r="AD455" s="27">
        <f>IF(ISNUMBER($Q455),COUNTIFS($A$14:$A$1213,$A455,$Q$14:$Q$1213,"&gt;"&amp;$Q455)+(COUNTIFS($A$14:$A$1213,$A455,$Q$14:$Q$1213,"="&amp;$Q455)+1)/2,"")</f>
        <v/>
      </c>
      <c r="AE455" s="27">
        <f>IF(ISNUMBER($R455),COUNTIFS($A$14:$A$1213,$A455,$R$14:$R$1213,"&gt;"&amp;$R455)+(COUNTIFS($A$14:$A$1213,$A455,$R$14:$R$1213,"="&amp;$R455)+1)/2,"")</f>
        <v/>
      </c>
      <c r="AF455" s="27">
        <f>IF(ISNUMBER($S455),COUNTIFS($A$14:$A$1213,$A455,$S$14:$S$1213,"&gt;"&amp;$S455)+(COUNTIFS($A$14:$A$1213,$A455,$S$14:$S$1213,"="&amp;$S455)+1)/2,"")</f>
        <v/>
      </c>
      <c r="AG455" s="27">
        <f>IF(ISNUMBER($T455),COUNTIFS($A$14:$A$1213,$A455,$T$14:$T$1213,"&gt;"&amp;$T455)+(COUNTIFS($A$14:$A$1213,$A455,$T$14:$T$1213,"="&amp;$T455)+1)/2,"")</f>
        <v/>
      </c>
      <c r="AH455" s="27">
        <f>IF(COUNT($AC455:$AG455)&lt;2,"",IF(MAX($AC455:$AG455)=MIN($AC455:$AG455),0,1))</f>
        <v/>
      </c>
      <c r="AI455" s="27">
        <f>IF($A455="","",IF(COUNTIF($A$14:$A455,$A455)=1,COUNTIF($AI$13:AI454,"&gt;0")+1,""))</f>
        <v/>
      </c>
      <c r="AO455" s="27">
        <f>IF($A455="","",IF(AND(COUNTIFS($A$14:$A$1213,$A455,$F$14:$F$1213,"&gt;=0")=2,IFERROR(INDEX($M$14:$M$313,MATCH($A455,$H$14:$H$313,0)),"Yes")&lt;&gt;"Yes"),1,0))</f>
        <v/>
      </c>
    </row>
    <row r="456">
      <c r="A456" s="19">
        <f>IF('Enter messages'!A456="","",'Enter messages'!A456)</f>
        <v/>
      </c>
      <c r="B456" s="20">
        <f>IF('Enter messages'!B456="","",'Enter messages'!B456)</f>
        <v/>
      </c>
      <c r="C456" s="21">
        <f>IFERROR(AVERAGE(P456:T456),"")</f>
        <v/>
      </c>
      <c r="D456" s="29" t="n"/>
      <c r="E456" s="29" t="n"/>
      <c r="F456" s="30">
        <f>IF(AND(ISNUMBER($D456),ISNUMBER($E456),$E456&gt;0,$D456&lt;=$E456),$D456/$E456,"")</f>
        <v/>
      </c>
      <c r="P456" s="26" t="n"/>
      <c r="Q456" s="26" t="n"/>
      <c r="R456" s="26" t="n"/>
      <c r="S456" s="26" t="n"/>
      <c r="T456" s="26" t="n"/>
      <c r="V456" s="27">
        <f>IF(ISNUMBER($C456),COUNTIFS($A$14:$A$1213,$A456,$C$14:$C$1213,"&gt;"&amp;$C456)+(COUNTIFS($A$14:$A$1213,$A456,$C$14:$C$1213,"="&amp;$C456)+1)/2,"")</f>
        <v/>
      </c>
      <c r="W456" s="27">
        <f>IF(ISNUMBER($F456),COUNTIFS($A$14:$A$1213,$A456,$F$14:$F$1213,"&gt;"&amp;$F456)+(COUNTIFS($A$14:$A$1213,$A456,$F$14:$F$1213,"="&amp;$F456)+1)/2,"")</f>
        <v/>
      </c>
      <c r="X456" s="27">
        <f>IF(OR(NOT(ISNUMBER($V456)),$AO456=1),"",$V456-(COUNTIFS($A$14:$A$1213,$A456,$C$14:$C$1213,"&gt;=0")+1)/2)</f>
        <v/>
      </c>
      <c r="Y456" s="27">
        <f>IF(OR(NOT(ISNUMBER($W456)),$AO456=1),"",$W456-(COUNTIFS($A$14:$A$1213,$A456,$F$14:$F$1213,"&gt;=0")+1)/2)</f>
        <v/>
      </c>
      <c r="Z456" s="27">
        <f>IF(ISNUMBER($V456),$A456&amp;"|"&amp;$V456,"")</f>
        <v/>
      </c>
      <c r="AA456" s="27">
        <f>IF(ISNUMBER($W456),$A456&amp;"|"&amp;$W456,"")</f>
        <v/>
      </c>
      <c r="AB456" s="27">
        <f>IF(ISNUMBER($F456),$A456&amp;"|"&amp;$F456,"")</f>
        <v/>
      </c>
      <c r="AC456" s="27">
        <f>IF(ISNUMBER($P456),COUNTIFS($A$14:$A$1213,$A456,$P$14:$P$1213,"&gt;"&amp;$P456)+(COUNTIFS($A$14:$A$1213,$A456,$P$14:$P$1213,"="&amp;$P456)+1)/2,"")</f>
        <v/>
      </c>
      <c r="AD456" s="27">
        <f>IF(ISNUMBER($Q456),COUNTIFS($A$14:$A$1213,$A456,$Q$14:$Q$1213,"&gt;"&amp;$Q456)+(COUNTIFS($A$14:$A$1213,$A456,$Q$14:$Q$1213,"="&amp;$Q456)+1)/2,"")</f>
        <v/>
      </c>
      <c r="AE456" s="27">
        <f>IF(ISNUMBER($R456),COUNTIFS($A$14:$A$1213,$A456,$R$14:$R$1213,"&gt;"&amp;$R456)+(COUNTIFS($A$14:$A$1213,$A456,$R$14:$R$1213,"="&amp;$R456)+1)/2,"")</f>
        <v/>
      </c>
      <c r="AF456" s="27">
        <f>IF(ISNUMBER($S456),COUNTIFS($A$14:$A$1213,$A456,$S$14:$S$1213,"&gt;"&amp;$S456)+(COUNTIFS($A$14:$A$1213,$A456,$S$14:$S$1213,"="&amp;$S456)+1)/2,"")</f>
        <v/>
      </c>
      <c r="AG456" s="27">
        <f>IF(ISNUMBER($T456),COUNTIFS($A$14:$A$1213,$A456,$T$14:$T$1213,"&gt;"&amp;$T456)+(COUNTIFS($A$14:$A$1213,$A456,$T$14:$T$1213,"="&amp;$T456)+1)/2,"")</f>
        <v/>
      </c>
      <c r="AH456" s="27">
        <f>IF(COUNT($AC456:$AG456)&lt;2,"",IF(MAX($AC456:$AG456)=MIN($AC456:$AG456),0,1))</f>
        <v/>
      </c>
      <c r="AI456" s="27">
        <f>IF($A456="","",IF(COUNTIF($A$14:$A456,$A456)=1,COUNTIF($AI$13:AI455,"&gt;0")+1,""))</f>
        <v/>
      </c>
      <c r="AO456" s="27">
        <f>IF($A456="","",IF(AND(COUNTIFS($A$14:$A$1213,$A456,$F$14:$F$1213,"&gt;=0")=2,IFERROR(INDEX($M$14:$M$313,MATCH($A456,$H$14:$H$313,0)),"Yes")&lt;&gt;"Yes"),1,0))</f>
        <v/>
      </c>
    </row>
    <row r="457">
      <c r="A457" s="19">
        <f>IF('Enter messages'!A457="","",'Enter messages'!A457)</f>
        <v/>
      </c>
      <c r="B457" s="20">
        <f>IF('Enter messages'!B457="","",'Enter messages'!B457)</f>
        <v/>
      </c>
      <c r="C457" s="21">
        <f>IFERROR(AVERAGE(P457:T457),"")</f>
        <v/>
      </c>
      <c r="D457" s="29" t="n"/>
      <c r="E457" s="29" t="n"/>
      <c r="F457" s="30">
        <f>IF(AND(ISNUMBER($D457),ISNUMBER($E457),$E457&gt;0,$D457&lt;=$E457),$D457/$E457,"")</f>
        <v/>
      </c>
      <c r="P457" s="26" t="n"/>
      <c r="Q457" s="26" t="n"/>
      <c r="R457" s="26" t="n"/>
      <c r="S457" s="26" t="n"/>
      <c r="T457" s="26" t="n"/>
      <c r="V457" s="27">
        <f>IF(ISNUMBER($C457),COUNTIFS($A$14:$A$1213,$A457,$C$14:$C$1213,"&gt;"&amp;$C457)+(COUNTIFS($A$14:$A$1213,$A457,$C$14:$C$1213,"="&amp;$C457)+1)/2,"")</f>
        <v/>
      </c>
      <c r="W457" s="27">
        <f>IF(ISNUMBER($F457),COUNTIFS($A$14:$A$1213,$A457,$F$14:$F$1213,"&gt;"&amp;$F457)+(COUNTIFS($A$14:$A$1213,$A457,$F$14:$F$1213,"="&amp;$F457)+1)/2,"")</f>
        <v/>
      </c>
      <c r="X457" s="27">
        <f>IF(OR(NOT(ISNUMBER($V457)),$AO457=1),"",$V457-(COUNTIFS($A$14:$A$1213,$A457,$C$14:$C$1213,"&gt;=0")+1)/2)</f>
        <v/>
      </c>
      <c r="Y457" s="27">
        <f>IF(OR(NOT(ISNUMBER($W457)),$AO457=1),"",$W457-(COUNTIFS($A$14:$A$1213,$A457,$F$14:$F$1213,"&gt;=0")+1)/2)</f>
        <v/>
      </c>
      <c r="Z457" s="27">
        <f>IF(ISNUMBER($V457),$A457&amp;"|"&amp;$V457,"")</f>
        <v/>
      </c>
      <c r="AA457" s="27">
        <f>IF(ISNUMBER($W457),$A457&amp;"|"&amp;$W457,"")</f>
        <v/>
      </c>
      <c r="AB457" s="27">
        <f>IF(ISNUMBER($F457),$A457&amp;"|"&amp;$F457,"")</f>
        <v/>
      </c>
      <c r="AC457" s="27">
        <f>IF(ISNUMBER($P457),COUNTIFS($A$14:$A$1213,$A457,$P$14:$P$1213,"&gt;"&amp;$P457)+(COUNTIFS($A$14:$A$1213,$A457,$P$14:$P$1213,"="&amp;$P457)+1)/2,"")</f>
        <v/>
      </c>
      <c r="AD457" s="27">
        <f>IF(ISNUMBER($Q457),COUNTIFS($A$14:$A$1213,$A457,$Q$14:$Q$1213,"&gt;"&amp;$Q457)+(COUNTIFS($A$14:$A$1213,$A457,$Q$14:$Q$1213,"="&amp;$Q457)+1)/2,"")</f>
        <v/>
      </c>
      <c r="AE457" s="27">
        <f>IF(ISNUMBER($R457),COUNTIFS($A$14:$A$1213,$A457,$R$14:$R$1213,"&gt;"&amp;$R457)+(COUNTIFS($A$14:$A$1213,$A457,$R$14:$R$1213,"="&amp;$R457)+1)/2,"")</f>
        <v/>
      </c>
      <c r="AF457" s="27">
        <f>IF(ISNUMBER($S457),COUNTIFS($A$14:$A$1213,$A457,$S$14:$S$1213,"&gt;"&amp;$S457)+(COUNTIFS($A$14:$A$1213,$A457,$S$14:$S$1213,"="&amp;$S457)+1)/2,"")</f>
        <v/>
      </c>
      <c r="AG457" s="27">
        <f>IF(ISNUMBER($T457),COUNTIFS($A$14:$A$1213,$A457,$T$14:$T$1213,"&gt;"&amp;$T457)+(COUNTIFS($A$14:$A$1213,$A457,$T$14:$T$1213,"="&amp;$T457)+1)/2,"")</f>
        <v/>
      </c>
      <c r="AH457" s="27">
        <f>IF(COUNT($AC457:$AG457)&lt;2,"",IF(MAX($AC457:$AG457)=MIN($AC457:$AG457),0,1))</f>
        <v/>
      </c>
      <c r="AI457" s="27">
        <f>IF($A457="","",IF(COUNTIF($A$14:$A457,$A457)=1,COUNTIF($AI$13:AI456,"&gt;0")+1,""))</f>
        <v/>
      </c>
      <c r="AO457" s="27">
        <f>IF($A457="","",IF(AND(COUNTIFS($A$14:$A$1213,$A457,$F$14:$F$1213,"&gt;=0")=2,IFERROR(INDEX($M$14:$M$313,MATCH($A457,$H$14:$H$313,0)),"Yes")&lt;&gt;"Yes"),1,0))</f>
        <v/>
      </c>
    </row>
    <row r="458">
      <c r="A458" s="19">
        <f>IF('Enter messages'!A458="","",'Enter messages'!A458)</f>
        <v/>
      </c>
      <c r="B458" s="20">
        <f>IF('Enter messages'!B458="","",'Enter messages'!B458)</f>
        <v/>
      </c>
      <c r="C458" s="21">
        <f>IFERROR(AVERAGE(P458:T458),"")</f>
        <v/>
      </c>
      <c r="D458" s="29" t="n"/>
      <c r="E458" s="29" t="n"/>
      <c r="F458" s="30">
        <f>IF(AND(ISNUMBER($D458),ISNUMBER($E458),$E458&gt;0,$D458&lt;=$E458),$D458/$E458,"")</f>
        <v/>
      </c>
      <c r="P458" s="26" t="n"/>
      <c r="Q458" s="26" t="n"/>
      <c r="R458" s="26" t="n"/>
      <c r="S458" s="26" t="n"/>
      <c r="T458" s="26" t="n"/>
      <c r="V458" s="27">
        <f>IF(ISNUMBER($C458),COUNTIFS($A$14:$A$1213,$A458,$C$14:$C$1213,"&gt;"&amp;$C458)+(COUNTIFS($A$14:$A$1213,$A458,$C$14:$C$1213,"="&amp;$C458)+1)/2,"")</f>
        <v/>
      </c>
      <c r="W458" s="27">
        <f>IF(ISNUMBER($F458),COUNTIFS($A$14:$A$1213,$A458,$F$14:$F$1213,"&gt;"&amp;$F458)+(COUNTIFS($A$14:$A$1213,$A458,$F$14:$F$1213,"="&amp;$F458)+1)/2,"")</f>
        <v/>
      </c>
      <c r="X458" s="27">
        <f>IF(OR(NOT(ISNUMBER($V458)),$AO458=1),"",$V458-(COUNTIFS($A$14:$A$1213,$A458,$C$14:$C$1213,"&gt;=0")+1)/2)</f>
        <v/>
      </c>
      <c r="Y458" s="27">
        <f>IF(OR(NOT(ISNUMBER($W458)),$AO458=1),"",$W458-(COUNTIFS($A$14:$A$1213,$A458,$F$14:$F$1213,"&gt;=0")+1)/2)</f>
        <v/>
      </c>
      <c r="Z458" s="27">
        <f>IF(ISNUMBER($V458),$A458&amp;"|"&amp;$V458,"")</f>
        <v/>
      </c>
      <c r="AA458" s="27">
        <f>IF(ISNUMBER($W458),$A458&amp;"|"&amp;$W458,"")</f>
        <v/>
      </c>
      <c r="AB458" s="27">
        <f>IF(ISNUMBER($F458),$A458&amp;"|"&amp;$F458,"")</f>
        <v/>
      </c>
      <c r="AC458" s="27">
        <f>IF(ISNUMBER($P458),COUNTIFS($A$14:$A$1213,$A458,$P$14:$P$1213,"&gt;"&amp;$P458)+(COUNTIFS($A$14:$A$1213,$A458,$P$14:$P$1213,"="&amp;$P458)+1)/2,"")</f>
        <v/>
      </c>
      <c r="AD458" s="27">
        <f>IF(ISNUMBER($Q458),COUNTIFS($A$14:$A$1213,$A458,$Q$14:$Q$1213,"&gt;"&amp;$Q458)+(COUNTIFS($A$14:$A$1213,$A458,$Q$14:$Q$1213,"="&amp;$Q458)+1)/2,"")</f>
        <v/>
      </c>
      <c r="AE458" s="27">
        <f>IF(ISNUMBER($R458),COUNTIFS($A$14:$A$1213,$A458,$R$14:$R$1213,"&gt;"&amp;$R458)+(COUNTIFS($A$14:$A$1213,$A458,$R$14:$R$1213,"="&amp;$R458)+1)/2,"")</f>
        <v/>
      </c>
      <c r="AF458" s="27">
        <f>IF(ISNUMBER($S458),COUNTIFS($A$14:$A$1213,$A458,$S$14:$S$1213,"&gt;"&amp;$S458)+(COUNTIFS($A$14:$A$1213,$A458,$S$14:$S$1213,"="&amp;$S458)+1)/2,"")</f>
        <v/>
      </c>
      <c r="AG458" s="27">
        <f>IF(ISNUMBER($T458),COUNTIFS($A$14:$A$1213,$A458,$T$14:$T$1213,"&gt;"&amp;$T458)+(COUNTIFS($A$14:$A$1213,$A458,$T$14:$T$1213,"="&amp;$T458)+1)/2,"")</f>
        <v/>
      </c>
      <c r="AH458" s="27">
        <f>IF(COUNT($AC458:$AG458)&lt;2,"",IF(MAX($AC458:$AG458)=MIN($AC458:$AG458),0,1))</f>
        <v/>
      </c>
      <c r="AI458" s="27">
        <f>IF($A458="","",IF(COUNTIF($A$14:$A458,$A458)=1,COUNTIF($AI$13:AI457,"&gt;0")+1,""))</f>
        <v/>
      </c>
      <c r="AO458" s="27">
        <f>IF($A458="","",IF(AND(COUNTIFS($A$14:$A$1213,$A458,$F$14:$F$1213,"&gt;=0")=2,IFERROR(INDEX($M$14:$M$313,MATCH($A458,$H$14:$H$313,0)),"Yes")&lt;&gt;"Yes"),1,0))</f>
        <v/>
      </c>
    </row>
    <row r="459">
      <c r="A459" s="19">
        <f>IF('Enter messages'!A459="","",'Enter messages'!A459)</f>
        <v/>
      </c>
      <c r="B459" s="20">
        <f>IF('Enter messages'!B459="","",'Enter messages'!B459)</f>
        <v/>
      </c>
      <c r="C459" s="21">
        <f>IFERROR(AVERAGE(P459:T459),"")</f>
        <v/>
      </c>
      <c r="D459" s="29" t="n"/>
      <c r="E459" s="29" t="n"/>
      <c r="F459" s="30">
        <f>IF(AND(ISNUMBER($D459),ISNUMBER($E459),$E459&gt;0,$D459&lt;=$E459),$D459/$E459,"")</f>
        <v/>
      </c>
      <c r="P459" s="26" t="n"/>
      <c r="Q459" s="26" t="n"/>
      <c r="R459" s="26" t="n"/>
      <c r="S459" s="26" t="n"/>
      <c r="T459" s="26" t="n"/>
      <c r="V459" s="27">
        <f>IF(ISNUMBER($C459),COUNTIFS($A$14:$A$1213,$A459,$C$14:$C$1213,"&gt;"&amp;$C459)+(COUNTIFS($A$14:$A$1213,$A459,$C$14:$C$1213,"="&amp;$C459)+1)/2,"")</f>
        <v/>
      </c>
      <c r="W459" s="27">
        <f>IF(ISNUMBER($F459),COUNTIFS($A$14:$A$1213,$A459,$F$14:$F$1213,"&gt;"&amp;$F459)+(COUNTIFS($A$14:$A$1213,$A459,$F$14:$F$1213,"="&amp;$F459)+1)/2,"")</f>
        <v/>
      </c>
      <c r="X459" s="27">
        <f>IF(OR(NOT(ISNUMBER($V459)),$AO459=1),"",$V459-(COUNTIFS($A$14:$A$1213,$A459,$C$14:$C$1213,"&gt;=0")+1)/2)</f>
        <v/>
      </c>
      <c r="Y459" s="27">
        <f>IF(OR(NOT(ISNUMBER($W459)),$AO459=1),"",$W459-(COUNTIFS($A$14:$A$1213,$A459,$F$14:$F$1213,"&gt;=0")+1)/2)</f>
        <v/>
      </c>
      <c r="Z459" s="27">
        <f>IF(ISNUMBER($V459),$A459&amp;"|"&amp;$V459,"")</f>
        <v/>
      </c>
      <c r="AA459" s="27">
        <f>IF(ISNUMBER($W459),$A459&amp;"|"&amp;$W459,"")</f>
        <v/>
      </c>
      <c r="AB459" s="27">
        <f>IF(ISNUMBER($F459),$A459&amp;"|"&amp;$F459,"")</f>
        <v/>
      </c>
      <c r="AC459" s="27">
        <f>IF(ISNUMBER($P459),COUNTIFS($A$14:$A$1213,$A459,$P$14:$P$1213,"&gt;"&amp;$P459)+(COUNTIFS($A$14:$A$1213,$A459,$P$14:$P$1213,"="&amp;$P459)+1)/2,"")</f>
        <v/>
      </c>
      <c r="AD459" s="27">
        <f>IF(ISNUMBER($Q459),COUNTIFS($A$14:$A$1213,$A459,$Q$14:$Q$1213,"&gt;"&amp;$Q459)+(COUNTIFS($A$14:$A$1213,$A459,$Q$14:$Q$1213,"="&amp;$Q459)+1)/2,"")</f>
        <v/>
      </c>
      <c r="AE459" s="27">
        <f>IF(ISNUMBER($R459),COUNTIFS($A$14:$A$1213,$A459,$R$14:$R$1213,"&gt;"&amp;$R459)+(COUNTIFS($A$14:$A$1213,$A459,$R$14:$R$1213,"="&amp;$R459)+1)/2,"")</f>
        <v/>
      </c>
      <c r="AF459" s="27">
        <f>IF(ISNUMBER($S459),COUNTIFS($A$14:$A$1213,$A459,$S$14:$S$1213,"&gt;"&amp;$S459)+(COUNTIFS($A$14:$A$1213,$A459,$S$14:$S$1213,"="&amp;$S459)+1)/2,"")</f>
        <v/>
      </c>
      <c r="AG459" s="27">
        <f>IF(ISNUMBER($T459),COUNTIFS($A$14:$A$1213,$A459,$T$14:$T$1213,"&gt;"&amp;$T459)+(COUNTIFS($A$14:$A$1213,$A459,$T$14:$T$1213,"="&amp;$T459)+1)/2,"")</f>
        <v/>
      </c>
      <c r="AH459" s="27">
        <f>IF(COUNT($AC459:$AG459)&lt;2,"",IF(MAX($AC459:$AG459)=MIN($AC459:$AG459),0,1))</f>
        <v/>
      </c>
      <c r="AI459" s="27">
        <f>IF($A459="","",IF(COUNTIF($A$14:$A459,$A459)=1,COUNTIF($AI$13:AI458,"&gt;0")+1,""))</f>
        <v/>
      </c>
      <c r="AO459" s="27">
        <f>IF($A459="","",IF(AND(COUNTIFS($A$14:$A$1213,$A459,$F$14:$F$1213,"&gt;=0")=2,IFERROR(INDEX($M$14:$M$313,MATCH($A459,$H$14:$H$313,0)),"Yes")&lt;&gt;"Yes"),1,0))</f>
        <v/>
      </c>
    </row>
    <row r="460">
      <c r="A460" s="19">
        <f>IF('Enter messages'!A460="","",'Enter messages'!A460)</f>
        <v/>
      </c>
      <c r="B460" s="20">
        <f>IF('Enter messages'!B460="","",'Enter messages'!B460)</f>
        <v/>
      </c>
      <c r="C460" s="21">
        <f>IFERROR(AVERAGE(P460:T460),"")</f>
        <v/>
      </c>
      <c r="D460" s="29" t="n"/>
      <c r="E460" s="29" t="n"/>
      <c r="F460" s="30">
        <f>IF(AND(ISNUMBER($D460),ISNUMBER($E460),$E460&gt;0,$D460&lt;=$E460),$D460/$E460,"")</f>
        <v/>
      </c>
      <c r="P460" s="26" t="n"/>
      <c r="Q460" s="26" t="n"/>
      <c r="R460" s="26" t="n"/>
      <c r="S460" s="26" t="n"/>
      <c r="T460" s="26" t="n"/>
      <c r="V460" s="27">
        <f>IF(ISNUMBER($C460),COUNTIFS($A$14:$A$1213,$A460,$C$14:$C$1213,"&gt;"&amp;$C460)+(COUNTIFS($A$14:$A$1213,$A460,$C$14:$C$1213,"="&amp;$C460)+1)/2,"")</f>
        <v/>
      </c>
      <c r="W460" s="27">
        <f>IF(ISNUMBER($F460),COUNTIFS($A$14:$A$1213,$A460,$F$14:$F$1213,"&gt;"&amp;$F460)+(COUNTIFS($A$14:$A$1213,$A460,$F$14:$F$1213,"="&amp;$F460)+1)/2,"")</f>
        <v/>
      </c>
      <c r="X460" s="27">
        <f>IF(OR(NOT(ISNUMBER($V460)),$AO460=1),"",$V460-(COUNTIFS($A$14:$A$1213,$A460,$C$14:$C$1213,"&gt;=0")+1)/2)</f>
        <v/>
      </c>
      <c r="Y460" s="27">
        <f>IF(OR(NOT(ISNUMBER($W460)),$AO460=1),"",$W460-(COUNTIFS($A$14:$A$1213,$A460,$F$14:$F$1213,"&gt;=0")+1)/2)</f>
        <v/>
      </c>
      <c r="Z460" s="27">
        <f>IF(ISNUMBER($V460),$A460&amp;"|"&amp;$V460,"")</f>
        <v/>
      </c>
      <c r="AA460" s="27">
        <f>IF(ISNUMBER($W460),$A460&amp;"|"&amp;$W460,"")</f>
        <v/>
      </c>
      <c r="AB460" s="27">
        <f>IF(ISNUMBER($F460),$A460&amp;"|"&amp;$F460,"")</f>
        <v/>
      </c>
      <c r="AC460" s="27">
        <f>IF(ISNUMBER($P460),COUNTIFS($A$14:$A$1213,$A460,$P$14:$P$1213,"&gt;"&amp;$P460)+(COUNTIFS($A$14:$A$1213,$A460,$P$14:$P$1213,"="&amp;$P460)+1)/2,"")</f>
        <v/>
      </c>
      <c r="AD460" s="27">
        <f>IF(ISNUMBER($Q460),COUNTIFS($A$14:$A$1213,$A460,$Q$14:$Q$1213,"&gt;"&amp;$Q460)+(COUNTIFS($A$14:$A$1213,$A460,$Q$14:$Q$1213,"="&amp;$Q460)+1)/2,"")</f>
        <v/>
      </c>
      <c r="AE460" s="27">
        <f>IF(ISNUMBER($R460),COUNTIFS($A$14:$A$1213,$A460,$R$14:$R$1213,"&gt;"&amp;$R460)+(COUNTIFS($A$14:$A$1213,$A460,$R$14:$R$1213,"="&amp;$R460)+1)/2,"")</f>
        <v/>
      </c>
      <c r="AF460" s="27">
        <f>IF(ISNUMBER($S460),COUNTIFS($A$14:$A$1213,$A460,$S$14:$S$1213,"&gt;"&amp;$S460)+(COUNTIFS($A$14:$A$1213,$A460,$S$14:$S$1213,"="&amp;$S460)+1)/2,"")</f>
        <v/>
      </c>
      <c r="AG460" s="27">
        <f>IF(ISNUMBER($T460),COUNTIFS($A$14:$A$1213,$A460,$T$14:$T$1213,"&gt;"&amp;$T460)+(COUNTIFS($A$14:$A$1213,$A460,$T$14:$T$1213,"="&amp;$T460)+1)/2,"")</f>
        <v/>
      </c>
      <c r="AH460" s="27">
        <f>IF(COUNT($AC460:$AG460)&lt;2,"",IF(MAX($AC460:$AG460)=MIN($AC460:$AG460),0,1))</f>
        <v/>
      </c>
      <c r="AI460" s="27">
        <f>IF($A460="","",IF(COUNTIF($A$14:$A460,$A460)=1,COUNTIF($AI$13:AI459,"&gt;0")+1,""))</f>
        <v/>
      </c>
      <c r="AO460" s="27">
        <f>IF($A460="","",IF(AND(COUNTIFS($A$14:$A$1213,$A460,$F$14:$F$1213,"&gt;=0")=2,IFERROR(INDEX($M$14:$M$313,MATCH($A460,$H$14:$H$313,0)),"Yes")&lt;&gt;"Yes"),1,0))</f>
        <v/>
      </c>
    </row>
    <row r="461">
      <c r="A461" s="19">
        <f>IF('Enter messages'!A461="","",'Enter messages'!A461)</f>
        <v/>
      </c>
      <c r="B461" s="20">
        <f>IF('Enter messages'!B461="","",'Enter messages'!B461)</f>
        <v/>
      </c>
      <c r="C461" s="21">
        <f>IFERROR(AVERAGE(P461:T461),"")</f>
        <v/>
      </c>
      <c r="D461" s="29" t="n"/>
      <c r="E461" s="29" t="n"/>
      <c r="F461" s="30">
        <f>IF(AND(ISNUMBER($D461),ISNUMBER($E461),$E461&gt;0,$D461&lt;=$E461),$D461/$E461,"")</f>
        <v/>
      </c>
      <c r="P461" s="26" t="n"/>
      <c r="Q461" s="26" t="n"/>
      <c r="R461" s="26" t="n"/>
      <c r="S461" s="26" t="n"/>
      <c r="T461" s="26" t="n"/>
      <c r="V461" s="27">
        <f>IF(ISNUMBER($C461),COUNTIFS($A$14:$A$1213,$A461,$C$14:$C$1213,"&gt;"&amp;$C461)+(COUNTIFS($A$14:$A$1213,$A461,$C$14:$C$1213,"="&amp;$C461)+1)/2,"")</f>
        <v/>
      </c>
      <c r="W461" s="27">
        <f>IF(ISNUMBER($F461),COUNTIFS($A$14:$A$1213,$A461,$F$14:$F$1213,"&gt;"&amp;$F461)+(COUNTIFS($A$14:$A$1213,$A461,$F$14:$F$1213,"="&amp;$F461)+1)/2,"")</f>
        <v/>
      </c>
      <c r="X461" s="27">
        <f>IF(OR(NOT(ISNUMBER($V461)),$AO461=1),"",$V461-(COUNTIFS($A$14:$A$1213,$A461,$C$14:$C$1213,"&gt;=0")+1)/2)</f>
        <v/>
      </c>
      <c r="Y461" s="27">
        <f>IF(OR(NOT(ISNUMBER($W461)),$AO461=1),"",$W461-(COUNTIFS($A$14:$A$1213,$A461,$F$14:$F$1213,"&gt;=0")+1)/2)</f>
        <v/>
      </c>
      <c r="Z461" s="27">
        <f>IF(ISNUMBER($V461),$A461&amp;"|"&amp;$V461,"")</f>
        <v/>
      </c>
      <c r="AA461" s="27">
        <f>IF(ISNUMBER($W461),$A461&amp;"|"&amp;$W461,"")</f>
        <v/>
      </c>
      <c r="AB461" s="27">
        <f>IF(ISNUMBER($F461),$A461&amp;"|"&amp;$F461,"")</f>
        <v/>
      </c>
      <c r="AC461" s="27">
        <f>IF(ISNUMBER($P461),COUNTIFS($A$14:$A$1213,$A461,$P$14:$P$1213,"&gt;"&amp;$P461)+(COUNTIFS($A$14:$A$1213,$A461,$P$14:$P$1213,"="&amp;$P461)+1)/2,"")</f>
        <v/>
      </c>
      <c r="AD461" s="27">
        <f>IF(ISNUMBER($Q461),COUNTIFS($A$14:$A$1213,$A461,$Q$14:$Q$1213,"&gt;"&amp;$Q461)+(COUNTIFS($A$14:$A$1213,$A461,$Q$14:$Q$1213,"="&amp;$Q461)+1)/2,"")</f>
        <v/>
      </c>
      <c r="AE461" s="27">
        <f>IF(ISNUMBER($R461),COUNTIFS($A$14:$A$1213,$A461,$R$14:$R$1213,"&gt;"&amp;$R461)+(COUNTIFS($A$14:$A$1213,$A461,$R$14:$R$1213,"="&amp;$R461)+1)/2,"")</f>
        <v/>
      </c>
      <c r="AF461" s="27">
        <f>IF(ISNUMBER($S461),COUNTIFS($A$14:$A$1213,$A461,$S$14:$S$1213,"&gt;"&amp;$S461)+(COUNTIFS($A$14:$A$1213,$A461,$S$14:$S$1213,"="&amp;$S461)+1)/2,"")</f>
        <v/>
      </c>
      <c r="AG461" s="27">
        <f>IF(ISNUMBER($T461),COUNTIFS($A$14:$A$1213,$A461,$T$14:$T$1213,"&gt;"&amp;$T461)+(COUNTIFS($A$14:$A$1213,$A461,$T$14:$T$1213,"="&amp;$T461)+1)/2,"")</f>
        <v/>
      </c>
      <c r="AH461" s="27">
        <f>IF(COUNT($AC461:$AG461)&lt;2,"",IF(MAX($AC461:$AG461)=MIN($AC461:$AG461),0,1))</f>
        <v/>
      </c>
      <c r="AI461" s="27">
        <f>IF($A461="","",IF(COUNTIF($A$14:$A461,$A461)=1,COUNTIF($AI$13:AI460,"&gt;0")+1,""))</f>
        <v/>
      </c>
      <c r="AO461" s="27">
        <f>IF($A461="","",IF(AND(COUNTIFS($A$14:$A$1213,$A461,$F$14:$F$1213,"&gt;=0")=2,IFERROR(INDEX($M$14:$M$313,MATCH($A461,$H$14:$H$313,0)),"Yes")&lt;&gt;"Yes"),1,0))</f>
        <v/>
      </c>
    </row>
    <row r="462">
      <c r="A462" s="19">
        <f>IF('Enter messages'!A462="","",'Enter messages'!A462)</f>
        <v/>
      </c>
      <c r="B462" s="20">
        <f>IF('Enter messages'!B462="","",'Enter messages'!B462)</f>
        <v/>
      </c>
      <c r="C462" s="21">
        <f>IFERROR(AVERAGE(P462:T462),"")</f>
        <v/>
      </c>
      <c r="D462" s="29" t="n"/>
      <c r="E462" s="29" t="n"/>
      <c r="F462" s="30">
        <f>IF(AND(ISNUMBER($D462),ISNUMBER($E462),$E462&gt;0,$D462&lt;=$E462),$D462/$E462,"")</f>
        <v/>
      </c>
      <c r="P462" s="26" t="n"/>
      <c r="Q462" s="26" t="n"/>
      <c r="R462" s="26" t="n"/>
      <c r="S462" s="26" t="n"/>
      <c r="T462" s="26" t="n"/>
      <c r="V462" s="27">
        <f>IF(ISNUMBER($C462),COUNTIFS($A$14:$A$1213,$A462,$C$14:$C$1213,"&gt;"&amp;$C462)+(COUNTIFS($A$14:$A$1213,$A462,$C$14:$C$1213,"="&amp;$C462)+1)/2,"")</f>
        <v/>
      </c>
      <c r="W462" s="27">
        <f>IF(ISNUMBER($F462),COUNTIFS($A$14:$A$1213,$A462,$F$14:$F$1213,"&gt;"&amp;$F462)+(COUNTIFS($A$14:$A$1213,$A462,$F$14:$F$1213,"="&amp;$F462)+1)/2,"")</f>
        <v/>
      </c>
      <c r="X462" s="27">
        <f>IF(OR(NOT(ISNUMBER($V462)),$AO462=1),"",$V462-(COUNTIFS($A$14:$A$1213,$A462,$C$14:$C$1213,"&gt;=0")+1)/2)</f>
        <v/>
      </c>
      <c r="Y462" s="27">
        <f>IF(OR(NOT(ISNUMBER($W462)),$AO462=1),"",$W462-(COUNTIFS($A$14:$A$1213,$A462,$F$14:$F$1213,"&gt;=0")+1)/2)</f>
        <v/>
      </c>
      <c r="Z462" s="27">
        <f>IF(ISNUMBER($V462),$A462&amp;"|"&amp;$V462,"")</f>
        <v/>
      </c>
      <c r="AA462" s="27">
        <f>IF(ISNUMBER($W462),$A462&amp;"|"&amp;$W462,"")</f>
        <v/>
      </c>
      <c r="AB462" s="27">
        <f>IF(ISNUMBER($F462),$A462&amp;"|"&amp;$F462,"")</f>
        <v/>
      </c>
      <c r="AC462" s="27">
        <f>IF(ISNUMBER($P462),COUNTIFS($A$14:$A$1213,$A462,$P$14:$P$1213,"&gt;"&amp;$P462)+(COUNTIFS($A$14:$A$1213,$A462,$P$14:$P$1213,"="&amp;$P462)+1)/2,"")</f>
        <v/>
      </c>
      <c r="AD462" s="27">
        <f>IF(ISNUMBER($Q462),COUNTIFS($A$14:$A$1213,$A462,$Q$14:$Q$1213,"&gt;"&amp;$Q462)+(COUNTIFS($A$14:$A$1213,$A462,$Q$14:$Q$1213,"="&amp;$Q462)+1)/2,"")</f>
        <v/>
      </c>
      <c r="AE462" s="27">
        <f>IF(ISNUMBER($R462),COUNTIFS($A$14:$A$1213,$A462,$R$14:$R$1213,"&gt;"&amp;$R462)+(COUNTIFS($A$14:$A$1213,$A462,$R$14:$R$1213,"="&amp;$R462)+1)/2,"")</f>
        <v/>
      </c>
      <c r="AF462" s="27">
        <f>IF(ISNUMBER($S462),COUNTIFS($A$14:$A$1213,$A462,$S$14:$S$1213,"&gt;"&amp;$S462)+(COUNTIFS($A$14:$A$1213,$A462,$S$14:$S$1213,"="&amp;$S462)+1)/2,"")</f>
        <v/>
      </c>
      <c r="AG462" s="27">
        <f>IF(ISNUMBER($T462),COUNTIFS($A$14:$A$1213,$A462,$T$14:$T$1213,"&gt;"&amp;$T462)+(COUNTIFS($A$14:$A$1213,$A462,$T$14:$T$1213,"="&amp;$T462)+1)/2,"")</f>
        <v/>
      </c>
      <c r="AH462" s="27">
        <f>IF(COUNT($AC462:$AG462)&lt;2,"",IF(MAX($AC462:$AG462)=MIN($AC462:$AG462),0,1))</f>
        <v/>
      </c>
      <c r="AI462" s="27">
        <f>IF($A462="","",IF(COUNTIF($A$14:$A462,$A462)=1,COUNTIF($AI$13:AI461,"&gt;0")+1,""))</f>
        <v/>
      </c>
      <c r="AO462" s="27">
        <f>IF($A462="","",IF(AND(COUNTIFS($A$14:$A$1213,$A462,$F$14:$F$1213,"&gt;=0")=2,IFERROR(INDEX($M$14:$M$313,MATCH($A462,$H$14:$H$313,0)),"Yes")&lt;&gt;"Yes"),1,0))</f>
        <v/>
      </c>
    </row>
    <row r="463">
      <c r="A463" s="19">
        <f>IF('Enter messages'!A463="","",'Enter messages'!A463)</f>
        <v/>
      </c>
      <c r="B463" s="20">
        <f>IF('Enter messages'!B463="","",'Enter messages'!B463)</f>
        <v/>
      </c>
      <c r="C463" s="21">
        <f>IFERROR(AVERAGE(P463:T463),"")</f>
        <v/>
      </c>
      <c r="D463" s="29" t="n"/>
      <c r="E463" s="29" t="n"/>
      <c r="F463" s="30">
        <f>IF(AND(ISNUMBER($D463),ISNUMBER($E463),$E463&gt;0,$D463&lt;=$E463),$D463/$E463,"")</f>
        <v/>
      </c>
      <c r="P463" s="26" t="n"/>
      <c r="Q463" s="26" t="n"/>
      <c r="R463" s="26" t="n"/>
      <c r="S463" s="26" t="n"/>
      <c r="T463" s="26" t="n"/>
      <c r="V463" s="27">
        <f>IF(ISNUMBER($C463),COUNTIFS($A$14:$A$1213,$A463,$C$14:$C$1213,"&gt;"&amp;$C463)+(COUNTIFS($A$14:$A$1213,$A463,$C$14:$C$1213,"="&amp;$C463)+1)/2,"")</f>
        <v/>
      </c>
      <c r="W463" s="27">
        <f>IF(ISNUMBER($F463),COUNTIFS($A$14:$A$1213,$A463,$F$14:$F$1213,"&gt;"&amp;$F463)+(COUNTIFS($A$14:$A$1213,$A463,$F$14:$F$1213,"="&amp;$F463)+1)/2,"")</f>
        <v/>
      </c>
      <c r="X463" s="27">
        <f>IF(OR(NOT(ISNUMBER($V463)),$AO463=1),"",$V463-(COUNTIFS($A$14:$A$1213,$A463,$C$14:$C$1213,"&gt;=0")+1)/2)</f>
        <v/>
      </c>
      <c r="Y463" s="27">
        <f>IF(OR(NOT(ISNUMBER($W463)),$AO463=1),"",$W463-(COUNTIFS($A$14:$A$1213,$A463,$F$14:$F$1213,"&gt;=0")+1)/2)</f>
        <v/>
      </c>
      <c r="Z463" s="27">
        <f>IF(ISNUMBER($V463),$A463&amp;"|"&amp;$V463,"")</f>
        <v/>
      </c>
      <c r="AA463" s="27">
        <f>IF(ISNUMBER($W463),$A463&amp;"|"&amp;$W463,"")</f>
        <v/>
      </c>
      <c r="AB463" s="27">
        <f>IF(ISNUMBER($F463),$A463&amp;"|"&amp;$F463,"")</f>
        <v/>
      </c>
      <c r="AC463" s="27">
        <f>IF(ISNUMBER($P463),COUNTIFS($A$14:$A$1213,$A463,$P$14:$P$1213,"&gt;"&amp;$P463)+(COUNTIFS($A$14:$A$1213,$A463,$P$14:$P$1213,"="&amp;$P463)+1)/2,"")</f>
        <v/>
      </c>
      <c r="AD463" s="27">
        <f>IF(ISNUMBER($Q463),COUNTIFS($A$14:$A$1213,$A463,$Q$14:$Q$1213,"&gt;"&amp;$Q463)+(COUNTIFS($A$14:$A$1213,$A463,$Q$14:$Q$1213,"="&amp;$Q463)+1)/2,"")</f>
        <v/>
      </c>
      <c r="AE463" s="27">
        <f>IF(ISNUMBER($R463),COUNTIFS($A$14:$A$1213,$A463,$R$14:$R$1213,"&gt;"&amp;$R463)+(COUNTIFS($A$14:$A$1213,$A463,$R$14:$R$1213,"="&amp;$R463)+1)/2,"")</f>
        <v/>
      </c>
      <c r="AF463" s="27">
        <f>IF(ISNUMBER($S463),COUNTIFS($A$14:$A$1213,$A463,$S$14:$S$1213,"&gt;"&amp;$S463)+(COUNTIFS($A$14:$A$1213,$A463,$S$14:$S$1213,"="&amp;$S463)+1)/2,"")</f>
        <v/>
      </c>
      <c r="AG463" s="27">
        <f>IF(ISNUMBER($T463),COUNTIFS($A$14:$A$1213,$A463,$T$14:$T$1213,"&gt;"&amp;$T463)+(COUNTIFS($A$14:$A$1213,$A463,$T$14:$T$1213,"="&amp;$T463)+1)/2,"")</f>
        <v/>
      </c>
      <c r="AH463" s="27">
        <f>IF(COUNT($AC463:$AG463)&lt;2,"",IF(MAX($AC463:$AG463)=MIN($AC463:$AG463),0,1))</f>
        <v/>
      </c>
      <c r="AI463" s="27">
        <f>IF($A463="","",IF(COUNTIF($A$14:$A463,$A463)=1,COUNTIF($AI$13:AI462,"&gt;0")+1,""))</f>
        <v/>
      </c>
      <c r="AO463" s="27">
        <f>IF($A463="","",IF(AND(COUNTIFS($A$14:$A$1213,$A463,$F$14:$F$1213,"&gt;=0")=2,IFERROR(INDEX($M$14:$M$313,MATCH($A463,$H$14:$H$313,0)),"Yes")&lt;&gt;"Yes"),1,0))</f>
        <v/>
      </c>
    </row>
    <row r="464">
      <c r="A464" s="19">
        <f>IF('Enter messages'!A464="","",'Enter messages'!A464)</f>
        <v/>
      </c>
      <c r="B464" s="20">
        <f>IF('Enter messages'!B464="","",'Enter messages'!B464)</f>
        <v/>
      </c>
      <c r="C464" s="21">
        <f>IFERROR(AVERAGE(P464:T464),"")</f>
        <v/>
      </c>
      <c r="D464" s="29" t="n"/>
      <c r="E464" s="29" t="n"/>
      <c r="F464" s="30">
        <f>IF(AND(ISNUMBER($D464),ISNUMBER($E464),$E464&gt;0,$D464&lt;=$E464),$D464/$E464,"")</f>
        <v/>
      </c>
      <c r="P464" s="26" t="n"/>
      <c r="Q464" s="26" t="n"/>
      <c r="R464" s="26" t="n"/>
      <c r="S464" s="26" t="n"/>
      <c r="T464" s="26" t="n"/>
      <c r="V464" s="27">
        <f>IF(ISNUMBER($C464),COUNTIFS($A$14:$A$1213,$A464,$C$14:$C$1213,"&gt;"&amp;$C464)+(COUNTIFS($A$14:$A$1213,$A464,$C$14:$C$1213,"="&amp;$C464)+1)/2,"")</f>
        <v/>
      </c>
      <c r="W464" s="27">
        <f>IF(ISNUMBER($F464),COUNTIFS($A$14:$A$1213,$A464,$F$14:$F$1213,"&gt;"&amp;$F464)+(COUNTIFS($A$14:$A$1213,$A464,$F$14:$F$1213,"="&amp;$F464)+1)/2,"")</f>
        <v/>
      </c>
      <c r="X464" s="27">
        <f>IF(OR(NOT(ISNUMBER($V464)),$AO464=1),"",$V464-(COUNTIFS($A$14:$A$1213,$A464,$C$14:$C$1213,"&gt;=0")+1)/2)</f>
        <v/>
      </c>
      <c r="Y464" s="27">
        <f>IF(OR(NOT(ISNUMBER($W464)),$AO464=1),"",$W464-(COUNTIFS($A$14:$A$1213,$A464,$F$14:$F$1213,"&gt;=0")+1)/2)</f>
        <v/>
      </c>
      <c r="Z464" s="27">
        <f>IF(ISNUMBER($V464),$A464&amp;"|"&amp;$V464,"")</f>
        <v/>
      </c>
      <c r="AA464" s="27">
        <f>IF(ISNUMBER($W464),$A464&amp;"|"&amp;$W464,"")</f>
        <v/>
      </c>
      <c r="AB464" s="27">
        <f>IF(ISNUMBER($F464),$A464&amp;"|"&amp;$F464,"")</f>
        <v/>
      </c>
      <c r="AC464" s="27">
        <f>IF(ISNUMBER($P464),COUNTIFS($A$14:$A$1213,$A464,$P$14:$P$1213,"&gt;"&amp;$P464)+(COUNTIFS($A$14:$A$1213,$A464,$P$14:$P$1213,"="&amp;$P464)+1)/2,"")</f>
        <v/>
      </c>
      <c r="AD464" s="27">
        <f>IF(ISNUMBER($Q464),COUNTIFS($A$14:$A$1213,$A464,$Q$14:$Q$1213,"&gt;"&amp;$Q464)+(COUNTIFS($A$14:$A$1213,$A464,$Q$14:$Q$1213,"="&amp;$Q464)+1)/2,"")</f>
        <v/>
      </c>
      <c r="AE464" s="27">
        <f>IF(ISNUMBER($R464),COUNTIFS($A$14:$A$1213,$A464,$R$14:$R$1213,"&gt;"&amp;$R464)+(COUNTIFS($A$14:$A$1213,$A464,$R$14:$R$1213,"="&amp;$R464)+1)/2,"")</f>
        <v/>
      </c>
      <c r="AF464" s="27">
        <f>IF(ISNUMBER($S464),COUNTIFS($A$14:$A$1213,$A464,$S$14:$S$1213,"&gt;"&amp;$S464)+(COUNTIFS($A$14:$A$1213,$A464,$S$14:$S$1213,"="&amp;$S464)+1)/2,"")</f>
        <v/>
      </c>
      <c r="AG464" s="27">
        <f>IF(ISNUMBER($T464),COUNTIFS($A$14:$A$1213,$A464,$T$14:$T$1213,"&gt;"&amp;$T464)+(COUNTIFS($A$14:$A$1213,$A464,$T$14:$T$1213,"="&amp;$T464)+1)/2,"")</f>
        <v/>
      </c>
      <c r="AH464" s="27">
        <f>IF(COUNT($AC464:$AG464)&lt;2,"",IF(MAX($AC464:$AG464)=MIN($AC464:$AG464),0,1))</f>
        <v/>
      </c>
      <c r="AI464" s="27">
        <f>IF($A464="","",IF(COUNTIF($A$14:$A464,$A464)=1,COUNTIF($AI$13:AI463,"&gt;0")+1,""))</f>
        <v/>
      </c>
      <c r="AO464" s="27">
        <f>IF($A464="","",IF(AND(COUNTIFS($A$14:$A$1213,$A464,$F$14:$F$1213,"&gt;=0")=2,IFERROR(INDEX($M$14:$M$313,MATCH($A464,$H$14:$H$313,0)),"Yes")&lt;&gt;"Yes"),1,0))</f>
        <v/>
      </c>
    </row>
    <row r="465">
      <c r="A465" s="19">
        <f>IF('Enter messages'!A465="","",'Enter messages'!A465)</f>
        <v/>
      </c>
      <c r="B465" s="20">
        <f>IF('Enter messages'!B465="","",'Enter messages'!B465)</f>
        <v/>
      </c>
      <c r="C465" s="21">
        <f>IFERROR(AVERAGE(P465:T465),"")</f>
        <v/>
      </c>
      <c r="D465" s="29" t="n"/>
      <c r="E465" s="29" t="n"/>
      <c r="F465" s="30">
        <f>IF(AND(ISNUMBER($D465),ISNUMBER($E465),$E465&gt;0,$D465&lt;=$E465),$D465/$E465,"")</f>
        <v/>
      </c>
      <c r="P465" s="26" t="n"/>
      <c r="Q465" s="26" t="n"/>
      <c r="R465" s="26" t="n"/>
      <c r="S465" s="26" t="n"/>
      <c r="T465" s="26" t="n"/>
      <c r="V465" s="27">
        <f>IF(ISNUMBER($C465),COUNTIFS($A$14:$A$1213,$A465,$C$14:$C$1213,"&gt;"&amp;$C465)+(COUNTIFS($A$14:$A$1213,$A465,$C$14:$C$1213,"="&amp;$C465)+1)/2,"")</f>
        <v/>
      </c>
      <c r="W465" s="27">
        <f>IF(ISNUMBER($F465),COUNTIFS($A$14:$A$1213,$A465,$F$14:$F$1213,"&gt;"&amp;$F465)+(COUNTIFS($A$14:$A$1213,$A465,$F$14:$F$1213,"="&amp;$F465)+1)/2,"")</f>
        <v/>
      </c>
      <c r="X465" s="27">
        <f>IF(OR(NOT(ISNUMBER($V465)),$AO465=1),"",$V465-(COUNTIFS($A$14:$A$1213,$A465,$C$14:$C$1213,"&gt;=0")+1)/2)</f>
        <v/>
      </c>
      <c r="Y465" s="27">
        <f>IF(OR(NOT(ISNUMBER($W465)),$AO465=1),"",$W465-(COUNTIFS($A$14:$A$1213,$A465,$F$14:$F$1213,"&gt;=0")+1)/2)</f>
        <v/>
      </c>
      <c r="Z465" s="27">
        <f>IF(ISNUMBER($V465),$A465&amp;"|"&amp;$V465,"")</f>
        <v/>
      </c>
      <c r="AA465" s="27">
        <f>IF(ISNUMBER($W465),$A465&amp;"|"&amp;$W465,"")</f>
        <v/>
      </c>
      <c r="AB465" s="27">
        <f>IF(ISNUMBER($F465),$A465&amp;"|"&amp;$F465,"")</f>
        <v/>
      </c>
      <c r="AC465" s="27">
        <f>IF(ISNUMBER($P465),COUNTIFS($A$14:$A$1213,$A465,$P$14:$P$1213,"&gt;"&amp;$P465)+(COUNTIFS($A$14:$A$1213,$A465,$P$14:$P$1213,"="&amp;$P465)+1)/2,"")</f>
        <v/>
      </c>
      <c r="AD465" s="27">
        <f>IF(ISNUMBER($Q465),COUNTIFS($A$14:$A$1213,$A465,$Q$14:$Q$1213,"&gt;"&amp;$Q465)+(COUNTIFS($A$14:$A$1213,$A465,$Q$14:$Q$1213,"="&amp;$Q465)+1)/2,"")</f>
        <v/>
      </c>
      <c r="AE465" s="27">
        <f>IF(ISNUMBER($R465),COUNTIFS($A$14:$A$1213,$A465,$R$14:$R$1213,"&gt;"&amp;$R465)+(COUNTIFS($A$14:$A$1213,$A465,$R$14:$R$1213,"="&amp;$R465)+1)/2,"")</f>
        <v/>
      </c>
      <c r="AF465" s="27">
        <f>IF(ISNUMBER($S465),COUNTIFS($A$14:$A$1213,$A465,$S$14:$S$1213,"&gt;"&amp;$S465)+(COUNTIFS($A$14:$A$1213,$A465,$S$14:$S$1213,"="&amp;$S465)+1)/2,"")</f>
        <v/>
      </c>
      <c r="AG465" s="27">
        <f>IF(ISNUMBER($T465),COUNTIFS($A$14:$A$1213,$A465,$T$14:$T$1213,"&gt;"&amp;$T465)+(COUNTIFS($A$14:$A$1213,$A465,$T$14:$T$1213,"="&amp;$T465)+1)/2,"")</f>
        <v/>
      </c>
      <c r="AH465" s="27">
        <f>IF(COUNT($AC465:$AG465)&lt;2,"",IF(MAX($AC465:$AG465)=MIN($AC465:$AG465),0,1))</f>
        <v/>
      </c>
      <c r="AI465" s="27">
        <f>IF($A465="","",IF(COUNTIF($A$14:$A465,$A465)=1,COUNTIF($AI$13:AI464,"&gt;0")+1,""))</f>
        <v/>
      </c>
      <c r="AO465" s="27">
        <f>IF($A465="","",IF(AND(COUNTIFS($A$14:$A$1213,$A465,$F$14:$F$1213,"&gt;=0")=2,IFERROR(INDEX($M$14:$M$313,MATCH($A465,$H$14:$H$313,0)),"Yes")&lt;&gt;"Yes"),1,0))</f>
        <v/>
      </c>
    </row>
    <row r="466">
      <c r="A466" s="19">
        <f>IF('Enter messages'!A466="","",'Enter messages'!A466)</f>
        <v/>
      </c>
      <c r="B466" s="20">
        <f>IF('Enter messages'!B466="","",'Enter messages'!B466)</f>
        <v/>
      </c>
      <c r="C466" s="21">
        <f>IFERROR(AVERAGE(P466:T466),"")</f>
        <v/>
      </c>
      <c r="D466" s="29" t="n"/>
      <c r="E466" s="29" t="n"/>
      <c r="F466" s="30">
        <f>IF(AND(ISNUMBER($D466),ISNUMBER($E466),$E466&gt;0,$D466&lt;=$E466),$D466/$E466,"")</f>
        <v/>
      </c>
      <c r="P466" s="26" t="n"/>
      <c r="Q466" s="26" t="n"/>
      <c r="R466" s="26" t="n"/>
      <c r="S466" s="26" t="n"/>
      <c r="T466" s="26" t="n"/>
      <c r="V466" s="27">
        <f>IF(ISNUMBER($C466),COUNTIFS($A$14:$A$1213,$A466,$C$14:$C$1213,"&gt;"&amp;$C466)+(COUNTIFS($A$14:$A$1213,$A466,$C$14:$C$1213,"="&amp;$C466)+1)/2,"")</f>
        <v/>
      </c>
      <c r="W466" s="27">
        <f>IF(ISNUMBER($F466),COUNTIFS($A$14:$A$1213,$A466,$F$14:$F$1213,"&gt;"&amp;$F466)+(COUNTIFS($A$14:$A$1213,$A466,$F$14:$F$1213,"="&amp;$F466)+1)/2,"")</f>
        <v/>
      </c>
      <c r="X466" s="27">
        <f>IF(OR(NOT(ISNUMBER($V466)),$AO466=1),"",$V466-(COUNTIFS($A$14:$A$1213,$A466,$C$14:$C$1213,"&gt;=0")+1)/2)</f>
        <v/>
      </c>
      <c r="Y466" s="27">
        <f>IF(OR(NOT(ISNUMBER($W466)),$AO466=1),"",$W466-(COUNTIFS($A$14:$A$1213,$A466,$F$14:$F$1213,"&gt;=0")+1)/2)</f>
        <v/>
      </c>
      <c r="Z466" s="27">
        <f>IF(ISNUMBER($V466),$A466&amp;"|"&amp;$V466,"")</f>
        <v/>
      </c>
      <c r="AA466" s="27">
        <f>IF(ISNUMBER($W466),$A466&amp;"|"&amp;$W466,"")</f>
        <v/>
      </c>
      <c r="AB466" s="27">
        <f>IF(ISNUMBER($F466),$A466&amp;"|"&amp;$F466,"")</f>
        <v/>
      </c>
      <c r="AC466" s="27">
        <f>IF(ISNUMBER($P466),COUNTIFS($A$14:$A$1213,$A466,$P$14:$P$1213,"&gt;"&amp;$P466)+(COUNTIFS($A$14:$A$1213,$A466,$P$14:$P$1213,"="&amp;$P466)+1)/2,"")</f>
        <v/>
      </c>
      <c r="AD466" s="27">
        <f>IF(ISNUMBER($Q466),COUNTIFS($A$14:$A$1213,$A466,$Q$14:$Q$1213,"&gt;"&amp;$Q466)+(COUNTIFS($A$14:$A$1213,$A466,$Q$14:$Q$1213,"="&amp;$Q466)+1)/2,"")</f>
        <v/>
      </c>
      <c r="AE466" s="27">
        <f>IF(ISNUMBER($R466),COUNTIFS($A$14:$A$1213,$A466,$R$14:$R$1213,"&gt;"&amp;$R466)+(COUNTIFS($A$14:$A$1213,$A466,$R$14:$R$1213,"="&amp;$R466)+1)/2,"")</f>
        <v/>
      </c>
      <c r="AF466" s="27">
        <f>IF(ISNUMBER($S466),COUNTIFS($A$14:$A$1213,$A466,$S$14:$S$1213,"&gt;"&amp;$S466)+(COUNTIFS($A$14:$A$1213,$A466,$S$14:$S$1213,"="&amp;$S466)+1)/2,"")</f>
        <v/>
      </c>
      <c r="AG466" s="27">
        <f>IF(ISNUMBER($T466),COUNTIFS($A$14:$A$1213,$A466,$T$14:$T$1213,"&gt;"&amp;$T466)+(COUNTIFS($A$14:$A$1213,$A466,$T$14:$T$1213,"="&amp;$T466)+1)/2,"")</f>
        <v/>
      </c>
      <c r="AH466" s="27">
        <f>IF(COUNT($AC466:$AG466)&lt;2,"",IF(MAX($AC466:$AG466)=MIN($AC466:$AG466),0,1))</f>
        <v/>
      </c>
      <c r="AI466" s="27">
        <f>IF($A466="","",IF(COUNTIF($A$14:$A466,$A466)=1,COUNTIF($AI$13:AI465,"&gt;0")+1,""))</f>
        <v/>
      </c>
      <c r="AO466" s="27">
        <f>IF($A466="","",IF(AND(COUNTIFS($A$14:$A$1213,$A466,$F$14:$F$1213,"&gt;=0")=2,IFERROR(INDEX($M$14:$M$313,MATCH($A466,$H$14:$H$313,0)),"Yes")&lt;&gt;"Yes"),1,0))</f>
        <v/>
      </c>
    </row>
    <row r="467">
      <c r="A467" s="19">
        <f>IF('Enter messages'!A467="","",'Enter messages'!A467)</f>
        <v/>
      </c>
      <c r="B467" s="20">
        <f>IF('Enter messages'!B467="","",'Enter messages'!B467)</f>
        <v/>
      </c>
      <c r="C467" s="21">
        <f>IFERROR(AVERAGE(P467:T467),"")</f>
        <v/>
      </c>
      <c r="D467" s="29" t="n"/>
      <c r="E467" s="29" t="n"/>
      <c r="F467" s="30">
        <f>IF(AND(ISNUMBER($D467),ISNUMBER($E467),$E467&gt;0,$D467&lt;=$E467),$D467/$E467,"")</f>
        <v/>
      </c>
      <c r="P467" s="26" t="n"/>
      <c r="Q467" s="26" t="n"/>
      <c r="R467" s="26" t="n"/>
      <c r="S467" s="26" t="n"/>
      <c r="T467" s="26" t="n"/>
      <c r="V467" s="27">
        <f>IF(ISNUMBER($C467),COUNTIFS($A$14:$A$1213,$A467,$C$14:$C$1213,"&gt;"&amp;$C467)+(COUNTIFS($A$14:$A$1213,$A467,$C$14:$C$1213,"="&amp;$C467)+1)/2,"")</f>
        <v/>
      </c>
      <c r="W467" s="27">
        <f>IF(ISNUMBER($F467),COUNTIFS($A$14:$A$1213,$A467,$F$14:$F$1213,"&gt;"&amp;$F467)+(COUNTIFS($A$14:$A$1213,$A467,$F$14:$F$1213,"="&amp;$F467)+1)/2,"")</f>
        <v/>
      </c>
      <c r="X467" s="27">
        <f>IF(OR(NOT(ISNUMBER($V467)),$AO467=1),"",$V467-(COUNTIFS($A$14:$A$1213,$A467,$C$14:$C$1213,"&gt;=0")+1)/2)</f>
        <v/>
      </c>
      <c r="Y467" s="27">
        <f>IF(OR(NOT(ISNUMBER($W467)),$AO467=1),"",$W467-(COUNTIFS($A$14:$A$1213,$A467,$F$14:$F$1213,"&gt;=0")+1)/2)</f>
        <v/>
      </c>
      <c r="Z467" s="27">
        <f>IF(ISNUMBER($V467),$A467&amp;"|"&amp;$V467,"")</f>
        <v/>
      </c>
      <c r="AA467" s="27">
        <f>IF(ISNUMBER($W467),$A467&amp;"|"&amp;$W467,"")</f>
        <v/>
      </c>
      <c r="AB467" s="27">
        <f>IF(ISNUMBER($F467),$A467&amp;"|"&amp;$F467,"")</f>
        <v/>
      </c>
      <c r="AC467" s="27">
        <f>IF(ISNUMBER($P467),COUNTIFS($A$14:$A$1213,$A467,$P$14:$P$1213,"&gt;"&amp;$P467)+(COUNTIFS($A$14:$A$1213,$A467,$P$14:$P$1213,"="&amp;$P467)+1)/2,"")</f>
        <v/>
      </c>
      <c r="AD467" s="27">
        <f>IF(ISNUMBER($Q467),COUNTIFS($A$14:$A$1213,$A467,$Q$14:$Q$1213,"&gt;"&amp;$Q467)+(COUNTIFS($A$14:$A$1213,$A467,$Q$14:$Q$1213,"="&amp;$Q467)+1)/2,"")</f>
        <v/>
      </c>
      <c r="AE467" s="27">
        <f>IF(ISNUMBER($R467),COUNTIFS($A$14:$A$1213,$A467,$R$14:$R$1213,"&gt;"&amp;$R467)+(COUNTIFS($A$14:$A$1213,$A467,$R$14:$R$1213,"="&amp;$R467)+1)/2,"")</f>
        <v/>
      </c>
      <c r="AF467" s="27">
        <f>IF(ISNUMBER($S467),COUNTIFS($A$14:$A$1213,$A467,$S$14:$S$1213,"&gt;"&amp;$S467)+(COUNTIFS($A$14:$A$1213,$A467,$S$14:$S$1213,"="&amp;$S467)+1)/2,"")</f>
        <v/>
      </c>
      <c r="AG467" s="27">
        <f>IF(ISNUMBER($T467),COUNTIFS($A$14:$A$1213,$A467,$T$14:$T$1213,"&gt;"&amp;$T467)+(COUNTIFS($A$14:$A$1213,$A467,$T$14:$T$1213,"="&amp;$T467)+1)/2,"")</f>
        <v/>
      </c>
      <c r="AH467" s="27">
        <f>IF(COUNT($AC467:$AG467)&lt;2,"",IF(MAX($AC467:$AG467)=MIN($AC467:$AG467),0,1))</f>
        <v/>
      </c>
      <c r="AI467" s="27">
        <f>IF($A467="","",IF(COUNTIF($A$14:$A467,$A467)=1,COUNTIF($AI$13:AI466,"&gt;0")+1,""))</f>
        <v/>
      </c>
      <c r="AO467" s="27">
        <f>IF($A467="","",IF(AND(COUNTIFS($A$14:$A$1213,$A467,$F$14:$F$1213,"&gt;=0")=2,IFERROR(INDEX($M$14:$M$313,MATCH($A467,$H$14:$H$313,0)),"Yes")&lt;&gt;"Yes"),1,0))</f>
        <v/>
      </c>
    </row>
    <row r="468">
      <c r="A468" s="19">
        <f>IF('Enter messages'!A468="","",'Enter messages'!A468)</f>
        <v/>
      </c>
      <c r="B468" s="20">
        <f>IF('Enter messages'!B468="","",'Enter messages'!B468)</f>
        <v/>
      </c>
      <c r="C468" s="21">
        <f>IFERROR(AVERAGE(P468:T468),"")</f>
        <v/>
      </c>
      <c r="D468" s="29" t="n"/>
      <c r="E468" s="29" t="n"/>
      <c r="F468" s="30">
        <f>IF(AND(ISNUMBER($D468),ISNUMBER($E468),$E468&gt;0,$D468&lt;=$E468),$D468/$E468,"")</f>
        <v/>
      </c>
      <c r="P468" s="26" t="n"/>
      <c r="Q468" s="26" t="n"/>
      <c r="R468" s="26" t="n"/>
      <c r="S468" s="26" t="n"/>
      <c r="T468" s="26" t="n"/>
      <c r="V468" s="27">
        <f>IF(ISNUMBER($C468),COUNTIFS($A$14:$A$1213,$A468,$C$14:$C$1213,"&gt;"&amp;$C468)+(COUNTIFS($A$14:$A$1213,$A468,$C$14:$C$1213,"="&amp;$C468)+1)/2,"")</f>
        <v/>
      </c>
      <c r="W468" s="27">
        <f>IF(ISNUMBER($F468),COUNTIFS($A$14:$A$1213,$A468,$F$14:$F$1213,"&gt;"&amp;$F468)+(COUNTIFS($A$14:$A$1213,$A468,$F$14:$F$1213,"="&amp;$F468)+1)/2,"")</f>
        <v/>
      </c>
      <c r="X468" s="27">
        <f>IF(OR(NOT(ISNUMBER($V468)),$AO468=1),"",$V468-(COUNTIFS($A$14:$A$1213,$A468,$C$14:$C$1213,"&gt;=0")+1)/2)</f>
        <v/>
      </c>
      <c r="Y468" s="27">
        <f>IF(OR(NOT(ISNUMBER($W468)),$AO468=1),"",$W468-(COUNTIFS($A$14:$A$1213,$A468,$F$14:$F$1213,"&gt;=0")+1)/2)</f>
        <v/>
      </c>
      <c r="Z468" s="27">
        <f>IF(ISNUMBER($V468),$A468&amp;"|"&amp;$V468,"")</f>
        <v/>
      </c>
      <c r="AA468" s="27">
        <f>IF(ISNUMBER($W468),$A468&amp;"|"&amp;$W468,"")</f>
        <v/>
      </c>
      <c r="AB468" s="27">
        <f>IF(ISNUMBER($F468),$A468&amp;"|"&amp;$F468,"")</f>
        <v/>
      </c>
      <c r="AC468" s="27">
        <f>IF(ISNUMBER($P468),COUNTIFS($A$14:$A$1213,$A468,$P$14:$P$1213,"&gt;"&amp;$P468)+(COUNTIFS($A$14:$A$1213,$A468,$P$14:$P$1213,"="&amp;$P468)+1)/2,"")</f>
        <v/>
      </c>
      <c r="AD468" s="27">
        <f>IF(ISNUMBER($Q468),COUNTIFS($A$14:$A$1213,$A468,$Q$14:$Q$1213,"&gt;"&amp;$Q468)+(COUNTIFS($A$14:$A$1213,$A468,$Q$14:$Q$1213,"="&amp;$Q468)+1)/2,"")</f>
        <v/>
      </c>
      <c r="AE468" s="27">
        <f>IF(ISNUMBER($R468),COUNTIFS($A$14:$A$1213,$A468,$R$14:$R$1213,"&gt;"&amp;$R468)+(COUNTIFS($A$14:$A$1213,$A468,$R$14:$R$1213,"="&amp;$R468)+1)/2,"")</f>
        <v/>
      </c>
      <c r="AF468" s="27">
        <f>IF(ISNUMBER($S468),COUNTIFS($A$14:$A$1213,$A468,$S$14:$S$1213,"&gt;"&amp;$S468)+(COUNTIFS($A$14:$A$1213,$A468,$S$14:$S$1213,"="&amp;$S468)+1)/2,"")</f>
        <v/>
      </c>
      <c r="AG468" s="27">
        <f>IF(ISNUMBER($T468),COUNTIFS($A$14:$A$1213,$A468,$T$14:$T$1213,"&gt;"&amp;$T468)+(COUNTIFS($A$14:$A$1213,$A468,$T$14:$T$1213,"="&amp;$T468)+1)/2,"")</f>
        <v/>
      </c>
      <c r="AH468" s="27">
        <f>IF(COUNT($AC468:$AG468)&lt;2,"",IF(MAX($AC468:$AG468)=MIN($AC468:$AG468),0,1))</f>
        <v/>
      </c>
      <c r="AI468" s="27">
        <f>IF($A468="","",IF(COUNTIF($A$14:$A468,$A468)=1,COUNTIF($AI$13:AI467,"&gt;0")+1,""))</f>
        <v/>
      </c>
      <c r="AO468" s="27">
        <f>IF($A468="","",IF(AND(COUNTIFS($A$14:$A$1213,$A468,$F$14:$F$1213,"&gt;=0")=2,IFERROR(INDEX($M$14:$M$313,MATCH($A468,$H$14:$H$313,0)),"Yes")&lt;&gt;"Yes"),1,0))</f>
        <v/>
      </c>
    </row>
    <row r="469">
      <c r="A469" s="19">
        <f>IF('Enter messages'!A469="","",'Enter messages'!A469)</f>
        <v/>
      </c>
      <c r="B469" s="20">
        <f>IF('Enter messages'!B469="","",'Enter messages'!B469)</f>
        <v/>
      </c>
      <c r="C469" s="21">
        <f>IFERROR(AVERAGE(P469:T469),"")</f>
        <v/>
      </c>
      <c r="D469" s="29" t="n"/>
      <c r="E469" s="29" t="n"/>
      <c r="F469" s="30">
        <f>IF(AND(ISNUMBER($D469),ISNUMBER($E469),$E469&gt;0,$D469&lt;=$E469),$D469/$E469,"")</f>
        <v/>
      </c>
      <c r="P469" s="26" t="n"/>
      <c r="Q469" s="26" t="n"/>
      <c r="R469" s="26" t="n"/>
      <c r="S469" s="26" t="n"/>
      <c r="T469" s="26" t="n"/>
      <c r="V469" s="27">
        <f>IF(ISNUMBER($C469),COUNTIFS($A$14:$A$1213,$A469,$C$14:$C$1213,"&gt;"&amp;$C469)+(COUNTIFS($A$14:$A$1213,$A469,$C$14:$C$1213,"="&amp;$C469)+1)/2,"")</f>
        <v/>
      </c>
      <c r="W469" s="27">
        <f>IF(ISNUMBER($F469),COUNTIFS($A$14:$A$1213,$A469,$F$14:$F$1213,"&gt;"&amp;$F469)+(COUNTIFS($A$14:$A$1213,$A469,$F$14:$F$1213,"="&amp;$F469)+1)/2,"")</f>
        <v/>
      </c>
      <c r="X469" s="27">
        <f>IF(OR(NOT(ISNUMBER($V469)),$AO469=1),"",$V469-(COUNTIFS($A$14:$A$1213,$A469,$C$14:$C$1213,"&gt;=0")+1)/2)</f>
        <v/>
      </c>
      <c r="Y469" s="27">
        <f>IF(OR(NOT(ISNUMBER($W469)),$AO469=1),"",$W469-(COUNTIFS($A$14:$A$1213,$A469,$F$14:$F$1213,"&gt;=0")+1)/2)</f>
        <v/>
      </c>
      <c r="Z469" s="27">
        <f>IF(ISNUMBER($V469),$A469&amp;"|"&amp;$V469,"")</f>
        <v/>
      </c>
      <c r="AA469" s="27">
        <f>IF(ISNUMBER($W469),$A469&amp;"|"&amp;$W469,"")</f>
        <v/>
      </c>
      <c r="AB469" s="27">
        <f>IF(ISNUMBER($F469),$A469&amp;"|"&amp;$F469,"")</f>
        <v/>
      </c>
      <c r="AC469" s="27">
        <f>IF(ISNUMBER($P469),COUNTIFS($A$14:$A$1213,$A469,$P$14:$P$1213,"&gt;"&amp;$P469)+(COUNTIFS($A$14:$A$1213,$A469,$P$14:$P$1213,"="&amp;$P469)+1)/2,"")</f>
        <v/>
      </c>
      <c r="AD469" s="27">
        <f>IF(ISNUMBER($Q469),COUNTIFS($A$14:$A$1213,$A469,$Q$14:$Q$1213,"&gt;"&amp;$Q469)+(COUNTIFS($A$14:$A$1213,$A469,$Q$14:$Q$1213,"="&amp;$Q469)+1)/2,"")</f>
        <v/>
      </c>
      <c r="AE469" s="27">
        <f>IF(ISNUMBER($R469),COUNTIFS($A$14:$A$1213,$A469,$R$14:$R$1213,"&gt;"&amp;$R469)+(COUNTIFS($A$14:$A$1213,$A469,$R$14:$R$1213,"="&amp;$R469)+1)/2,"")</f>
        <v/>
      </c>
      <c r="AF469" s="27">
        <f>IF(ISNUMBER($S469),COUNTIFS($A$14:$A$1213,$A469,$S$14:$S$1213,"&gt;"&amp;$S469)+(COUNTIFS($A$14:$A$1213,$A469,$S$14:$S$1213,"="&amp;$S469)+1)/2,"")</f>
        <v/>
      </c>
      <c r="AG469" s="27">
        <f>IF(ISNUMBER($T469),COUNTIFS($A$14:$A$1213,$A469,$T$14:$T$1213,"&gt;"&amp;$T469)+(COUNTIFS($A$14:$A$1213,$A469,$T$14:$T$1213,"="&amp;$T469)+1)/2,"")</f>
        <v/>
      </c>
      <c r="AH469" s="27">
        <f>IF(COUNT($AC469:$AG469)&lt;2,"",IF(MAX($AC469:$AG469)=MIN($AC469:$AG469),0,1))</f>
        <v/>
      </c>
      <c r="AI469" s="27">
        <f>IF($A469="","",IF(COUNTIF($A$14:$A469,$A469)=1,COUNTIF($AI$13:AI468,"&gt;0")+1,""))</f>
        <v/>
      </c>
      <c r="AO469" s="27">
        <f>IF($A469="","",IF(AND(COUNTIFS($A$14:$A$1213,$A469,$F$14:$F$1213,"&gt;=0")=2,IFERROR(INDEX($M$14:$M$313,MATCH($A469,$H$14:$H$313,0)),"Yes")&lt;&gt;"Yes"),1,0))</f>
        <v/>
      </c>
    </row>
    <row r="470">
      <c r="A470" s="19">
        <f>IF('Enter messages'!A470="","",'Enter messages'!A470)</f>
        <v/>
      </c>
      <c r="B470" s="20">
        <f>IF('Enter messages'!B470="","",'Enter messages'!B470)</f>
        <v/>
      </c>
      <c r="C470" s="21">
        <f>IFERROR(AVERAGE(P470:T470),"")</f>
        <v/>
      </c>
      <c r="D470" s="29" t="n"/>
      <c r="E470" s="29" t="n"/>
      <c r="F470" s="30">
        <f>IF(AND(ISNUMBER($D470),ISNUMBER($E470),$E470&gt;0,$D470&lt;=$E470),$D470/$E470,"")</f>
        <v/>
      </c>
      <c r="P470" s="26" t="n"/>
      <c r="Q470" s="26" t="n"/>
      <c r="R470" s="26" t="n"/>
      <c r="S470" s="26" t="n"/>
      <c r="T470" s="26" t="n"/>
      <c r="V470" s="27">
        <f>IF(ISNUMBER($C470),COUNTIFS($A$14:$A$1213,$A470,$C$14:$C$1213,"&gt;"&amp;$C470)+(COUNTIFS($A$14:$A$1213,$A470,$C$14:$C$1213,"="&amp;$C470)+1)/2,"")</f>
        <v/>
      </c>
      <c r="W470" s="27">
        <f>IF(ISNUMBER($F470),COUNTIFS($A$14:$A$1213,$A470,$F$14:$F$1213,"&gt;"&amp;$F470)+(COUNTIFS($A$14:$A$1213,$A470,$F$14:$F$1213,"="&amp;$F470)+1)/2,"")</f>
        <v/>
      </c>
      <c r="X470" s="27">
        <f>IF(OR(NOT(ISNUMBER($V470)),$AO470=1),"",$V470-(COUNTIFS($A$14:$A$1213,$A470,$C$14:$C$1213,"&gt;=0")+1)/2)</f>
        <v/>
      </c>
      <c r="Y470" s="27">
        <f>IF(OR(NOT(ISNUMBER($W470)),$AO470=1),"",$W470-(COUNTIFS($A$14:$A$1213,$A470,$F$14:$F$1213,"&gt;=0")+1)/2)</f>
        <v/>
      </c>
      <c r="Z470" s="27">
        <f>IF(ISNUMBER($V470),$A470&amp;"|"&amp;$V470,"")</f>
        <v/>
      </c>
      <c r="AA470" s="27">
        <f>IF(ISNUMBER($W470),$A470&amp;"|"&amp;$W470,"")</f>
        <v/>
      </c>
      <c r="AB470" s="27">
        <f>IF(ISNUMBER($F470),$A470&amp;"|"&amp;$F470,"")</f>
        <v/>
      </c>
      <c r="AC470" s="27">
        <f>IF(ISNUMBER($P470),COUNTIFS($A$14:$A$1213,$A470,$P$14:$P$1213,"&gt;"&amp;$P470)+(COUNTIFS($A$14:$A$1213,$A470,$P$14:$P$1213,"="&amp;$P470)+1)/2,"")</f>
        <v/>
      </c>
      <c r="AD470" s="27">
        <f>IF(ISNUMBER($Q470),COUNTIFS($A$14:$A$1213,$A470,$Q$14:$Q$1213,"&gt;"&amp;$Q470)+(COUNTIFS($A$14:$A$1213,$A470,$Q$14:$Q$1213,"="&amp;$Q470)+1)/2,"")</f>
        <v/>
      </c>
      <c r="AE470" s="27">
        <f>IF(ISNUMBER($R470),COUNTIFS($A$14:$A$1213,$A470,$R$14:$R$1213,"&gt;"&amp;$R470)+(COUNTIFS($A$14:$A$1213,$A470,$R$14:$R$1213,"="&amp;$R470)+1)/2,"")</f>
        <v/>
      </c>
      <c r="AF470" s="27">
        <f>IF(ISNUMBER($S470),COUNTIFS($A$14:$A$1213,$A470,$S$14:$S$1213,"&gt;"&amp;$S470)+(COUNTIFS($A$14:$A$1213,$A470,$S$14:$S$1213,"="&amp;$S470)+1)/2,"")</f>
        <v/>
      </c>
      <c r="AG470" s="27">
        <f>IF(ISNUMBER($T470),COUNTIFS($A$14:$A$1213,$A470,$T$14:$T$1213,"&gt;"&amp;$T470)+(COUNTIFS($A$14:$A$1213,$A470,$T$14:$T$1213,"="&amp;$T470)+1)/2,"")</f>
        <v/>
      </c>
      <c r="AH470" s="27">
        <f>IF(COUNT($AC470:$AG470)&lt;2,"",IF(MAX($AC470:$AG470)=MIN($AC470:$AG470),0,1))</f>
        <v/>
      </c>
      <c r="AI470" s="27">
        <f>IF($A470="","",IF(COUNTIF($A$14:$A470,$A470)=1,COUNTIF($AI$13:AI469,"&gt;0")+1,""))</f>
        <v/>
      </c>
      <c r="AO470" s="27">
        <f>IF($A470="","",IF(AND(COUNTIFS($A$14:$A$1213,$A470,$F$14:$F$1213,"&gt;=0")=2,IFERROR(INDEX($M$14:$M$313,MATCH($A470,$H$14:$H$313,0)),"Yes")&lt;&gt;"Yes"),1,0))</f>
        <v/>
      </c>
    </row>
    <row r="471">
      <c r="A471" s="19">
        <f>IF('Enter messages'!A471="","",'Enter messages'!A471)</f>
        <v/>
      </c>
      <c r="B471" s="20">
        <f>IF('Enter messages'!B471="","",'Enter messages'!B471)</f>
        <v/>
      </c>
      <c r="C471" s="21">
        <f>IFERROR(AVERAGE(P471:T471),"")</f>
        <v/>
      </c>
      <c r="D471" s="29" t="n"/>
      <c r="E471" s="29" t="n"/>
      <c r="F471" s="30">
        <f>IF(AND(ISNUMBER($D471),ISNUMBER($E471),$E471&gt;0,$D471&lt;=$E471),$D471/$E471,"")</f>
        <v/>
      </c>
      <c r="P471" s="26" t="n"/>
      <c r="Q471" s="26" t="n"/>
      <c r="R471" s="26" t="n"/>
      <c r="S471" s="26" t="n"/>
      <c r="T471" s="26" t="n"/>
      <c r="V471" s="27">
        <f>IF(ISNUMBER($C471),COUNTIFS($A$14:$A$1213,$A471,$C$14:$C$1213,"&gt;"&amp;$C471)+(COUNTIFS($A$14:$A$1213,$A471,$C$14:$C$1213,"="&amp;$C471)+1)/2,"")</f>
        <v/>
      </c>
      <c r="W471" s="27">
        <f>IF(ISNUMBER($F471),COUNTIFS($A$14:$A$1213,$A471,$F$14:$F$1213,"&gt;"&amp;$F471)+(COUNTIFS($A$14:$A$1213,$A471,$F$14:$F$1213,"="&amp;$F471)+1)/2,"")</f>
        <v/>
      </c>
      <c r="X471" s="27">
        <f>IF(OR(NOT(ISNUMBER($V471)),$AO471=1),"",$V471-(COUNTIFS($A$14:$A$1213,$A471,$C$14:$C$1213,"&gt;=0")+1)/2)</f>
        <v/>
      </c>
      <c r="Y471" s="27">
        <f>IF(OR(NOT(ISNUMBER($W471)),$AO471=1),"",$W471-(COUNTIFS($A$14:$A$1213,$A471,$F$14:$F$1213,"&gt;=0")+1)/2)</f>
        <v/>
      </c>
      <c r="Z471" s="27">
        <f>IF(ISNUMBER($V471),$A471&amp;"|"&amp;$V471,"")</f>
        <v/>
      </c>
      <c r="AA471" s="27">
        <f>IF(ISNUMBER($W471),$A471&amp;"|"&amp;$W471,"")</f>
        <v/>
      </c>
      <c r="AB471" s="27">
        <f>IF(ISNUMBER($F471),$A471&amp;"|"&amp;$F471,"")</f>
        <v/>
      </c>
      <c r="AC471" s="27">
        <f>IF(ISNUMBER($P471),COUNTIFS($A$14:$A$1213,$A471,$P$14:$P$1213,"&gt;"&amp;$P471)+(COUNTIFS($A$14:$A$1213,$A471,$P$14:$P$1213,"="&amp;$P471)+1)/2,"")</f>
        <v/>
      </c>
      <c r="AD471" s="27">
        <f>IF(ISNUMBER($Q471),COUNTIFS($A$14:$A$1213,$A471,$Q$14:$Q$1213,"&gt;"&amp;$Q471)+(COUNTIFS($A$14:$A$1213,$A471,$Q$14:$Q$1213,"="&amp;$Q471)+1)/2,"")</f>
        <v/>
      </c>
      <c r="AE471" s="27">
        <f>IF(ISNUMBER($R471),COUNTIFS($A$14:$A$1213,$A471,$R$14:$R$1213,"&gt;"&amp;$R471)+(COUNTIFS($A$14:$A$1213,$A471,$R$14:$R$1213,"="&amp;$R471)+1)/2,"")</f>
        <v/>
      </c>
      <c r="AF471" s="27">
        <f>IF(ISNUMBER($S471),COUNTIFS($A$14:$A$1213,$A471,$S$14:$S$1213,"&gt;"&amp;$S471)+(COUNTIFS($A$14:$A$1213,$A471,$S$14:$S$1213,"="&amp;$S471)+1)/2,"")</f>
        <v/>
      </c>
      <c r="AG471" s="27">
        <f>IF(ISNUMBER($T471),COUNTIFS($A$14:$A$1213,$A471,$T$14:$T$1213,"&gt;"&amp;$T471)+(COUNTIFS($A$14:$A$1213,$A471,$T$14:$T$1213,"="&amp;$T471)+1)/2,"")</f>
        <v/>
      </c>
      <c r="AH471" s="27">
        <f>IF(COUNT($AC471:$AG471)&lt;2,"",IF(MAX($AC471:$AG471)=MIN($AC471:$AG471),0,1))</f>
        <v/>
      </c>
      <c r="AI471" s="27">
        <f>IF($A471="","",IF(COUNTIF($A$14:$A471,$A471)=1,COUNTIF($AI$13:AI470,"&gt;0")+1,""))</f>
        <v/>
      </c>
      <c r="AO471" s="27">
        <f>IF($A471="","",IF(AND(COUNTIFS($A$14:$A$1213,$A471,$F$14:$F$1213,"&gt;=0")=2,IFERROR(INDEX($M$14:$M$313,MATCH($A471,$H$14:$H$313,0)),"Yes")&lt;&gt;"Yes"),1,0))</f>
        <v/>
      </c>
    </row>
    <row r="472">
      <c r="A472" s="19">
        <f>IF('Enter messages'!A472="","",'Enter messages'!A472)</f>
        <v/>
      </c>
      <c r="B472" s="20">
        <f>IF('Enter messages'!B472="","",'Enter messages'!B472)</f>
        <v/>
      </c>
      <c r="C472" s="21">
        <f>IFERROR(AVERAGE(P472:T472),"")</f>
        <v/>
      </c>
      <c r="D472" s="29" t="n"/>
      <c r="E472" s="29" t="n"/>
      <c r="F472" s="30">
        <f>IF(AND(ISNUMBER($D472),ISNUMBER($E472),$E472&gt;0,$D472&lt;=$E472),$D472/$E472,"")</f>
        <v/>
      </c>
      <c r="P472" s="26" t="n"/>
      <c r="Q472" s="26" t="n"/>
      <c r="R472" s="26" t="n"/>
      <c r="S472" s="26" t="n"/>
      <c r="T472" s="26" t="n"/>
      <c r="V472" s="27">
        <f>IF(ISNUMBER($C472),COUNTIFS($A$14:$A$1213,$A472,$C$14:$C$1213,"&gt;"&amp;$C472)+(COUNTIFS($A$14:$A$1213,$A472,$C$14:$C$1213,"="&amp;$C472)+1)/2,"")</f>
        <v/>
      </c>
      <c r="W472" s="27">
        <f>IF(ISNUMBER($F472),COUNTIFS($A$14:$A$1213,$A472,$F$14:$F$1213,"&gt;"&amp;$F472)+(COUNTIFS($A$14:$A$1213,$A472,$F$14:$F$1213,"="&amp;$F472)+1)/2,"")</f>
        <v/>
      </c>
      <c r="X472" s="27">
        <f>IF(OR(NOT(ISNUMBER($V472)),$AO472=1),"",$V472-(COUNTIFS($A$14:$A$1213,$A472,$C$14:$C$1213,"&gt;=0")+1)/2)</f>
        <v/>
      </c>
      <c r="Y472" s="27">
        <f>IF(OR(NOT(ISNUMBER($W472)),$AO472=1),"",$W472-(COUNTIFS($A$14:$A$1213,$A472,$F$14:$F$1213,"&gt;=0")+1)/2)</f>
        <v/>
      </c>
      <c r="Z472" s="27">
        <f>IF(ISNUMBER($V472),$A472&amp;"|"&amp;$V472,"")</f>
        <v/>
      </c>
      <c r="AA472" s="27">
        <f>IF(ISNUMBER($W472),$A472&amp;"|"&amp;$W472,"")</f>
        <v/>
      </c>
      <c r="AB472" s="27">
        <f>IF(ISNUMBER($F472),$A472&amp;"|"&amp;$F472,"")</f>
        <v/>
      </c>
      <c r="AC472" s="27">
        <f>IF(ISNUMBER($P472),COUNTIFS($A$14:$A$1213,$A472,$P$14:$P$1213,"&gt;"&amp;$P472)+(COUNTIFS($A$14:$A$1213,$A472,$P$14:$P$1213,"="&amp;$P472)+1)/2,"")</f>
        <v/>
      </c>
      <c r="AD472" s="27">
        <f>IF(ISNUMBER($Q472),COUNTIFS($A$14:$A$1213,$A472,$Q$14:$Q$1213,"&gt;"&amp;$Q472)+(COUNTIFS($A$14:$A$1213,$A472,$Q$14:$Q$1213,"="&amp;$Q472)+1)/2,"")</f>
        <v/>
      </c>
      <c r="AE472" s="27">
        <f>IF(ISNUMBER($R472),COUNTIFS($A$14:$A$1213,$A472,$R$14:$R$1213,"&gt;"&amp;$R472)+(COUNTIFS($A$14:$A$1213,$A472,$R$14:$R$1213,"="&amp;$R472)+1)/2,"")</f>
        <v/>
      </c>
      <c r="AF472" s="27">
        <f>IF(ISNUMBER($S472),COUNTIFS($A$14:$A$1213,$A472,$S$14:$S$1213,"&gt;"&amp;$S472)+(COUNTIFS($A$14:$A$1213,$A472,$S$14:$S$1213,"="&amp;$S472)+1)/2,"")</f>
        <v/>
      </c>
      <c r="AG472" s="27">
        <f>IF(ISNUMBER($T472),COUNTIFS($A$14:$A$1213,$A472,$T$14:$T$1213,"&gt;"&amp;$T472)+(COUNTIFS($A$14:$A$1213,$A472,$T$14:$T$1213,"="&amp;$T472)+1)/2,"")</f>
        <v/>
      </c>
      <c r="AH472" s="27">
        <f>IF(COUNT($AC472:$AG472)&lt;2,"",IF(MAX($AC472:$AG472)=MIN($AC472:$AG472),0,1))</f>
        <v/>
      </c>
      <c r="AI472" s="27">
        <f>IF($A472="","",IF(COUNTIF($A$14:$A472,$A472)=1,COUNTIF($AI$13:AI471,"&gt;0")+1,""))</f>
        <v/>
      </c>
      <c r="AO472" s="27">
        <f>IF($A472="","",IF(AND(COUNTIFS($A$14:$A$1213,$A472,$F$14:$F$1213,"&gt;=0")=2,IFERROR(INDEX($M$14:$M$313,MATCH($A472,$H$14:$H$313,0)),"Yes")&lt;&gt;"Yes"),1,0))</f>
        <v/>
      </c>
    </row>
    <row r="473">
      <c r="A473" s="19">
        <f>IF('Enter messages'!A473="","",'Enter messages'!A473)</f>
        <v/>
      </c>
      <c r="B473" s="20">
        <f>IF('Enter messages'!B473="","",'Enter messages'!B473)</f>
        <v/>
      </c>
      <c r="C473" s="21">
        <f>IFERROR(AVERAGE(P473:T473),"")</f>
        <v/>
      </c>
      <c r="D473" s="29" t="n"/>
      <c r="E473" s="29" t="n"/>
      <c r="F473" s="30">
        <f>IF(AND(ISNUMBER($D473),ISNUMBER($E473),$E473&gt;0,$D473&lt;=$E473),$D473/$E473,"")</f>
        <v/>
      </c>
      <c r="P473" s="26" t="n"/>
      <c r="Q473" s="26" t="n"/>
      <c r="R473" s="26" t="n"/>
      <c r="S473" s="26" t="n"/>
      <c r="T473" s="26" t="n"/>
      <c r="V473" s="27">
        <f>IF(ISNUMBER($C473),COUNTIFS($A$14:$A$1213,$A473,$C$14:$C$1213,"&gt;"&amp;$C473)+(COUNTIFS($A$14:$A$1213,$A473,$C$14:$C$1213,"="&amp;$C473)+1)/2,"")</f>
        <v/>
      </c>
      <c r="W473" s="27">
        <f>IF(ISNUMBER($F473),COUNTIFS($A$14:$A$1213,$A473,$F$14:$F$1213,"&gt;"&amp;$F473)+(COUNTIFS($A$14:$A$1213,$A473,$F$14:$F$1213,"="&amp;$F473)+1)/2,"")</f>
        <v/>
      </c>
      <c r="X473" s="27">
        <f>IF(OR(NOT(ISNUMBER($V473)),$AO473=1),"",$V473-(COUNTIFS($A$14:$A$1213,$A473,$C$14:$C$1213,"&gt;=0")+1)/2)</f>
        <v/>
      </c>
      <c r="Y473" s="27">
        <f>IF(OR(NOT(ISNUMBER($W473)),$AO473=1),"",$W473-(COUNTIFS($A$14:$A$1213,$A473,$F$14:$F$1213,"&gt;=0")+1)/2)</f>
        <v/>
      </c>
      <c r="Z473" s="27">
        <f>IF(ISNUMBER($V473),$A473&amp;"|"&amp;$V473,"")</f>
        <v/>
      </c>
      <c r="AA473" s="27">
        <f>IF(ISNUMBER($W473),$A473&amp;"|"&amp;$W473,"")</f>
        <v/>
      </c>
      <c r="AB473" s="27">
        <f>IF(ISNUMBER($F473),$A473&amp;"|"&amp;$F473,"")</f>
        <v/>
      </c>
      <c r="AC473" s="27">
        <f>IF(ISNUMBER($P473),COUNTIFS($A$14:$A$1213,$A473,$P$14:$P$1213,"&gt;"&amp;$P473)+(COUNTIFS($A$14:$A$1213,$A473,$P$14:$P$1213,"="&amp;$P473)+1)/2,"")</f>
        <v/>
      </c>
      <c r="AD473" s="27">
        <f>IF(ISNUMBER($Q473),COUNTIFS($A$14:$A$1213,$A473,$Q$14:$Q$1213,"&gt;"&amp;$Q473)+(COUNTIFS($A$14:$A$1213,$A473,$Q$14:$Q$1213,"="&amp;$Q473)+1)/2,"")</f>
        <v/>
      </c>
      <c r="AE473" s="27">
        <f>IF(ISNUMBER($R473),COUNTIFS($A$14:$A$1213,$A473,$R$14:$R$1213,"&gt;"&amp;$R473)+(COUNTIFS($A$14:$A$1213,$A473,$R$14:$R$1213,"="&amp;$R473)+1)/2,"")</f>
        <v/>
      </c>
      <c r="AF473" s="27">
        <f>IF(ISNUMBER($S473),COUNTIFS($A$14:$A$1213,$A473,$S$14:$S$1213,"&gt;"&amp;$S473)+(COUNTIFS($A$14:$A$1213,$A473,$S$14:$S$1213,"="&amp;$S473)+1)/2,"")</f>
        <v/>
      </c>
      <c r="AG473" s="27">
        <f>IF(ISNUMBER($T473),COUNTIFS($A$14:$A$1213,$A473,$T$14:$T$1213,"&gt;"&amp;$T473)+(COUNTIFS($A$14:$A$1213,$A473,$T$14:$T$1213,"="&amp;$T473)+1)/2,"")</f>
        <v/>
      </c>
      <c r="AH473" s="27">
        <f>IF(COUNT($AC473:$AG473)&lt;2,"",IF(MAX($AC473:$AG473)=MIN($AC473:$AG473),0,1))</f>
        <v/>
      </c>
      <c r="AI473" s="27">
        <f>IF($A473="","",IF(COUNTIF($A$14:$A473,$A473)=1,COUNTIF($AI$13:AI472,"&gt;0")+1,""))</f>
        <v/>
      </c>
      <c r="AO473" s="27">
        <f>IF($A473="","",IF(AND(COUNTIFS($A$14:$A$1213,$A473,$F$14:$F$1213,"&gt;=0")=2,IFERROR(INDEX($M$14:$M$313,MATCH($A473,$H$14:$H$313,0)),"Yes")&lt;&gt;"Yes"),1,0))</f>
        <v/>
      </c>
    </row>
    <row r="474">
      <c r="A474" s="19">
        <f>IF('Enter messages'!A474="","",'Enter messages'!A474)</f>
        <v/>
      </c>
      <c r="B474" s="20">
        <f>IF('Enter messages'!B474="","",'Enter messages'!B474)</f>
        <v/>
      </c>
      <c r="C474" s="21">
        <f>IFERROR(AVERAGE(P474:T474),"")</f>
        <v/>
      </c>
      <c r="D474" s="29" t="n"/>
      <c r="E474" s="29" t="n"/>
      <c r="F474" s="30">
        <f>IF(AND(ISNUMBER($D474),ISNUMBER($E474),$E474&gt;0,$D474&lt;=$E474),$D474/$E474,"")</f>
        <v/>
      </c>
      <c r="P474" s="26" t="n"/>
      <c r="Q474" s="26" t="n"/>
      <c r="R474" s="26" t="n"/>
      <c r="S474" s="26" t="n"/>
      <c r="T474" s="26" t="n"/>
      <c r="V474" s="27">
        <f>IF(ISNUMBER($C474),COUNTIFS($A$14:$A$1213,$A474,$C$14:$C$1213,"&gt;"&amp;$C474)+(COUNTIFS($A$14:$A$1213,$A474,$C$14:$C$1213,"="&amp;$C474)+1)/2,"")</f>
        <v/>
      </c>
      <c r="W474" s="27">
        <f>IF(ISNUMBER($F474),COUNTIFS($A$14:$A$1213,$A474,$F$14:$F$1213,"&gt;"&amp;$F474)+(COUNTIFS($A$14:$A$1213,$A474,$F$14:$F$1213,"="&amp;$F474)+1)/2,"")</f>
        <v/>
      </c>
      <c r="X474" s="27">
        <f>IF(OR(NOT(ISNUMBER($V474)),$AO474=1),"",$V474-(COUNTIFS($A$14:$A$1213,$A474,$C$14:$C$1213,"&gt;=0")+1)/2)</f>
        <v/>
      </c>
      <c r="Y474" s="27">
        <f>IF(OR(NOT(ISNUMBER($W474)),$AO474=1),"",$W474-(COUNTIFS($A$14:$A$1213,$A474,$F$14:$F$1213,"&gt;=0")+1)/2)</f>
        <v/>
      </c>
      <c r="Z474" s="27">
        <f>IF(ISNUMBER($V474),$A474&amp;"|"&amp;$V474,"")</f>
        <v/>
      </c>
      <c r="AA474" s="27">
        <f>IF(ISNUMBER($W474),$A474&amp;"|"&amp;$W474,"")</f>
        <v/>
      </c>
      <c r="AB474" s="27">
        <f>IF(ISNUMBER($F474),$A474&amp;"|"&amp;$F474,"")</f>
        <v/>
      </c>
      <c r="AC474" s="27">
        <f>IF(ISNUMBER($P474),COUNTIFS($A$14:$A$1213,$A474,$P$14:$P$1213,"&gt;"&amp;$P474)+(COUNTIFS($A$14:$A$1213,$A474,$P$14:$P$1213,"="&amp;$P474)+1)/2,"")</f>
        <v/>
      </c>
      <c r="AD474" s="27">
        <f>IF(ISNUMBER($Q474),COUNTIFS($A$14:$A$1213,$A474,$Q$14:$Q$1213,"&gt;"&amp;$Q474)+(COUNTIFS($A$14:$A$1213,$A474,$Q$14:$Q$1213,"="&amp;$Q474)+1)/2,"")</f>
        <v/>
      </c>
      <c r="AE474" s="27">
        <f>IF(ISNUMBER($R474),COUNTIFS($A$14:$A$1213,$A474,$R$14:$R$1213,"&gt;"&amp;$R474)+(COUNTIFS($A$14:$A$1213,$A474,$R$14:$R$1213,"="&amp;$R474)+1)/2,"")</f>
        <v/>
      </c>
      <c r="AF474" s="27">
        <f>IF(ISNUMBER($S474),COUNTIFS($A$14:$A$1213,$A474,$S$14:$S$1213,"&gt;"&amp;$S474)+(COUNTIFS($A$14:$A$1213,$A474,$S$14:$S$1213,"="&amp;$S474)+1)/2,"")</f>
        <v/>
      </c>
      <c r="AG474" s="27">
        <f>IF(ISNUMBER($T474),COUNTIFS($A$14:$A$1213,$A474,$T$14:$T$1213,"&gt;"&amp;$T474)+(COUNTIFS($A$14:$A$1213,$A474,$T$14:$T$1213,"="&amp;$T474)+1)/2,"")</f>
        <v/>
      </c>
      <c r="AH474" s="27">
        <f>IF(COUNT($AC474:$AG474)&lt;2,"",IF(MAX($AC474:$AG474)=MIN($AC474:$AG474),0,1))</f>
        <v/>
      </c>
      <c r="AI474" s="27">
        <f>IF($A474="","",IF(COUNTIF($A$14:$A474,$A474)=1,COUNTIF($AI$13:AI473,"&gt;0")+1,""))</f>
        <v/>
      </c>
      <c r="AO474" s="27">
        <f>IF($A474="","",IF(AND(COUNTIFS($A$14:$A$1213,$A474,$F$14:$F$1213,"&gt;=0")=2,IFERROR(INDEX($M$14:$M$313,MATCH($A474,$H$14:$H$313,0)),"Yes")&lt;&gt;"Yes"),1,0))</f>
        <v/>
      </c>
    </row>
    <row r="475">
      <c r="A475" s="19">
        <f>IF('Enter messages'!A475="","",'Enter messages'!A475)</f>
        <v/>
      </c>
      <c r="B475" s="20">
        <f>IF('Enter messages'!B475="","",'Enter messages'!B475)</f>
        <v/>
      </c>
      <c r="C475" s="21">
        <f>IFERROR(AVERAGE(P475:T475),"")</f>
        <v/>
      </c>
      <c r="D475" s="29" t="n"/>
      <c r="E475" s="29" t="n"/>
      <c r="F475" s="30">
        <f>IF(AND(ISNUMBER($D475),ISNUMBER($E475),$E475&gt;0,$D475&lt;=$E475),$D475/$E475,"")</f>
        <v/>
      </c>
      <c r="P475" s="26" t="n"/>
      <c r="Q475" s="26" t="n"/>
      <c r="R475" s="26" t="n"/>
      <c r="S475" s="26" t="n"/>
      <c r="T475" s="26" t="n"/>
      <c r="V475" s="27">
        <f>IF(ISNUMBER($C475),COUNTIFS($A$14:$A$1213,$A475,$C$14:$C$1213,"&gt;"&amp;$C475)+(COUNTIFS($A$14:$A$1213,$A475,$C$14:$C$1213,"="&amp;$C475)+1)/2,"")</f>
        <v/>
      </c>
      <c r="W475" s="27">
        <f>IF(ISNUMBER($F475),COUNTIFS($A$14:$A$1213,$A475,$F$14:$F$1213,"&gt;"&amp;$F475)+(COUNTIFS($A$14:$A$1213,$A475,$F$14:$F$1213,"="&amp;$F475)+1)/2,"")</f>
        <v/>
      </c>
      <c r="X475" s="27">
        <f>IF(OR(NOT(ISNUMBER($V475)),$AO475=1),"",$V475-(COUNTIFS($A$14:$A$1213,$A475,$C$14:$C$1213,"&gt;=0")+1)/2)</f>
        <v/>
      </c>
      <c r="Y475" s="27">
        <f>IF(OR(NOT(ISNUMBER($W475)),$AO475=1),"",$W475-(COUNTIFS($A$14:$A$1213,$A475,$F$14:$F$1213,"&gt;=0")+1)/2)</f>
        <v/>
      </c>
      <c r="Z475" s="27">
        <f>IF(ISNUMBER($V475),$A475&amp;"|"&amp;$V475,"")</f>
        <v/>
      </c>
      <c r="AA475" s="27">
        <f>IF(ISNUMBER($W475),$A475&amp;"|"&amp;$W475,"")</f>
        <v/>
      </c>
      <c r="AB475" s="27">
        <f>IF(ISNUMBER($F475),$A475&amp;"|"&amp;$F475,"")</f>
        <v/>
      </c>
      <c r="AC475" s="27">
        <f>IF(ISNUMBER($P475),COUNTIFS($A$14:$A$1213,$A475,$P$14:$P$1213,"&gt;"&amp;$P475)+(COUNTIFS($A$14:$A$1213,$A475,$P$14:$P$1213,"="&amp;$P475)+1)/2,"")</f>
        <v/>
      </c>
      <c r="AD475" s="27">
        <f>IF(ISNUMBER($Q475),COUNTIFS($A$14:$A$1213,$A475,$Q$14:$Q$1213,"&gt;"&amp;$Q475)+(COUNTIFS($A$14:$A$1213,$A475,$Q$14:$Q$1213,"="&amp;$Q475)+1)/2,"")</f>
        <v/>
      </c>
      <c r="AE475" s="27">
        <f>IF(ISNUMBER($R475),COUNTIFS($A$14:$A$1213,$A475,$R$14:$R$1213,"&gt;"&amp;$R475)+(COUNTIFS($A$14:$A$1213,$A475,$R$14:$R$1213,"="&amp;$R475)+1)/2,"")</f>
        <v/>
      </c>
      <c r="AF475" s="27">
        <f>IF(ISNUMBER($S475),COUNTIFS($A$14:$A$1213,$A475,$S$14:$S$1213,"&gt;"&amp;$S475)+(COUNTIFS($A$14:$A$1213,$A475,$S$14:$S$1213,"="&amp;$S475)+1)/2,"")</f>
        <v/>
      </c>
      <c r="AG475" s="27">
        <f>IF(ISNUMBER($T475),COUNTIFS($A$14:$A$1213,$A475,$T$14:$T$1213,"&gt;"&amp;$T475)+(COUNTIFS($A$14:$A$1213,$A475,$T$14:$T$1213,"="&amp;$T475)+1)/2,"")</f>
        <v/>
      </c>
      <c r="AH475" s="27">
        <f>IF(COUNT($AC475:$AG475)&lt;2,"",IF(MAX($AC475:$AG475)=MIN($AC475:$AG475),0,1))</f>
        <v/>
      </c>
      <c r="AI475" s="27">
        <f>IF($A475="","",IF(COUNTIF($A$14:$A475,$A475)=1,COUNTIF($AI$13:AI474,"&gt;0")+1,""))</f>
        <v/>
      </c>
      <c r="AO475" s="27">
        <f>IF($A475="","",IF(AND(COUNTIFS($A$14:$A$1213,$A475,$F$14:$F$1213,"&gt;=0")=2,IFERROR(INDEX($M$14:$M$313,MATCH($A475,$H$14:$H$313,0)),"Yes")&lt;&gt;"Yes"),1,0))</f>
        <v/>
      </c>
    </row>
    <row r="476">
      <c r="A476" s="19">
        <f>IF('Enter messages'!A476="","",'Enter messages'!A476)</f>
        <v/>
      </c>
      <c r="B476" s="20">
        <f>IF('Enter messages'!B476="","",'Enter messages'!B476)</f>
        <v/>
      </c>
      <c r="C476" s="21">
        <f>IFERROR(AVERAGE(P476:T476),"")</f>
        <v/>
      </c>
      <c r="D476" s="29" t="n"/>
      <c r="E476" s="29" t="n"/>
      <c r="F476" s="30">
        <f>IF(AND(ISNUMBER($D476),ISNUMBER($E476),$E476&gt;0,$D476&lt;=$E476),$D476/$E476,"")</f>
        <v/>
      </c>
      <c r="P476" s="26" t="n"/>
      <c r="Q476" s="26" t="n"/>
      <c r="R476" s="26" t="n"/>
      <c r="S476" s="26" t="n"/>
      <c r="T476" s="26" t="n"/>
      <c r="V476" s="27">
        <f>IF(ISNUMBER($C476),COUNTIFS($A$14:$A$1213,$A476,$C$14:$C$1213,"&gt;"&amp;$C476)+(COUNTIFS($A$14:$A$1213,$A476,$C$14:$C$1213,"="&amp;$C476)+1)/2,"")</f>
        <v/>
      </c>
      <c r="W476" s="27">
        <f>IF(ISNUMBER($F476),COUNTIFS($A$14:$A$1213,$A476,$F$14:$F$1213,"&gt;"&amp;$F476)+(COUNTIFS($A$14:$A$1213,$A476,$F$14:$F$1213,"="&amp;$F476)+1)/2,"")</f>
        <v/>
      </c>
      <c r="X476" s="27">
        <f>IF(OR(NOT(ISNUMBER($V476)),$AO476=1),"",$V476-(COUNTIFS($A$14:$A$1213,$A476,$C$14:$C$1213,"&gt;=0")+1)/2)</f>
        <v/>
      </c>
      <c r="Y476" s="27">
        <f>IF(OR(NOT(ISNUMBER($W476)),$AO476=1),"",$W476-(COUNTIFS($A$14:$A$1213,$A476,$F$14:$F$1213,"&gt;=0")+1)/2)</f>
        <v/>
      </c>
      <c r="Z476" s="27">
        <f>IF(ISNUMBER($V476),$A476&amp;"|"&amp;$V476,"")</f>
        <v/>
      </c>
      <c r="AA476" s="27">
        <f>IF(ISNUMBER($W476),$A476&amp;"|"&amp;$W476,"")</f>
        <v/>
      </c>
      <c r="AB476" s="27">
        <f>IF(ISNUMBER($F476),$A476&amp;"|"&amp;$F476,"")</f>
        <v/>
      </c>
      <c r="AC476" s="27">
        <f>IF(ISNUMBER($P476),COUNTIFS($A$14:$A$1213,$A476,$P$14:$P$1213,"&gt;"&amp;$P476)+(COUNTIFS($A$14:$A$1213,$A476,$P$14:$P$1213,"="&amp;$P476)+1)/2,"")</f>
        <v/>
      </c>
      <c r="AD476" s="27">
        <f>IF(ISNUMBER($Q476),COUNTIFS($A$14:$A$1213,$A476,$Q$14:$Q$1213,"&gt;"&amp;$Q476)+(COUNTIFS($A$14:$A$1213,$A476,$Q$14:$Q$1213,"="&amp;$Q476)+1)/2,"")</f>
        <v/>
      </c>
      <c r="AE476" s="27">
        <f>IF(ISNUMBER($R476),COUNTIFS($A$14:$A$1213,$A476,$R$14:$R$1213,"&gt;"&amp;$R476)+(COUNTIFS($A$14:$A$1213,$A476,$R$14:$R$1213,"="&amp;$R476)+1)/2,"")</f>
        <v/>
      </c>
      <c r="AF476" s="27">
        <f>IF(ISNUMBER($S476),COUNTIFS($A$14:$A$1213,$A476,$S$14:$S$1213,"&gt;"&amp;$S476)+(COUNTIFS($A$14:$A$1213,$A476,$S$14:$S$1213,"="&amp;$S476)+1)/2,"")</f>
        <v/>
      </c>
      <c r="AG476" s="27">
        <f>IF(ISNUMBER($T476),COUNTIFS($A$14:$A$1213,$A476,$T$14:$T$1213,"&gt;"&amp;$T476)+(COUNTIFS($A$14:$A$1213,$A476,$T$14:$T$1213,"="&amp;$T476)+1)/2,"")</f>
        <v/>
      </c>
      <c r="AH476" s="27">
        <f>IF(COUNT($AC476:$AG476)&lt;2,"",IF(MAX($AC476:$AG476)=MIN($AC476:$AG476),0,1))</f>
        <v/>
      </c>
      <c r="AI476" s="27">
        <f>IF($A476="","",IF(COUNTIF($A$14:$A476,$A476)=1,COUNTIF($AI$13:AI475,"&gt;0")+1,""))</f>
        <v/>
      </c>
      <c r="AO476" s="27">
        <f>IF($A476="","",IF(AND(COUNTIFS($A$14:$A$1213,$A476,$F$14:$F$1213,"&gt;=0")=2,IFERROR(INDEX($M$14:$M$313,MATCH($A476,$H$14:$H$313,0)),"Yes")&lt;&gt;"Yes"),1,0))</f>
        <v/>
      </c>
    </row>
    <row r="477">
      <c r="A477" s="19">
        <f>IF('Enter messages'!A477="","",'Enter messages'!A477)</f>
        <v/>
      </c>
      <c r="B477" s="20">
        <f>IF('Enter messages'!B477="","",'Enter messages'!B477)</f>
        <v/>
      </c>
      <c r="C477" s="21">
        <f>IFERROR(AVERAGE(P477:T477),"")</f>
        <v/>
      </c>
      <c r="D477" s="29" t="n"/>
      <c r="E477" s="29" t="n"/>
      <c r="F477" s="30">
        <f>IF(AND(ISNUMBER($D477),ISNUMBER($E477),$E477&gt;0,$D477&lt;=$E477),$D477/$E477,"")</f>
        <v/>
      </c>
      <c r="P477" s="26" t="n"/>
      <c r="Q477" s="26" t="n"/>
      <c r="R477" s="26" t="n"/>
      <c r="S477" s="26" t="n"/>
      <c r="T477" s="26" t="n"/>
      <c r="V477" s="27">
        <f>IF(ISNUMBER($C477),COUNTIFS($A$14:$A$1213,$A477,$C$14:$C$1213,"&gt;"&amp;$C477)+(COUNTIFS($A$14:$A$1213,$A477,$C$14:$C$1213,"="&amp;$C477)+1)/2,"")</f>
        <v/>
      </c>
      <c r="W477" s="27">
        <f>IF(ISNUMBER($F477),COUNTIFS($A$14:$A$1213,$A477,$F$14:$F$1213,"&gt;"&amp;$F477)+(COUNTIFS($A$14:$A$1213,$A477,$F$14:$F$1213,"="&amp;$F477)+1)/2,"")</f>
        <v/>
      </c>
      <c r="X477" s="27">
        <f>IF(OR(NOT(ISNUMBER($V477)),$AO477=1),"",$V477-(COUNTIFS($A$14:$A$1213,$A477,$C$14:$C$1213,"&gt;=0")+1)/2)</f>
        <v/>
      </c>
      <c r="Y477" s="27">
        <f>IF(OR(NOT(ISNUMBER($W477)),$AO477=1),"",$W477-(COUNTIFS($A$14:$A$1213,$A477,$F$14:$F$1213,"&gt;=0")+1)/2)</f>
        <v/>
      </c>
      <c r="Z477" s="27">
        <f>IF(ISNUMBER($V477),$A477&amp;"|"&amp;$V477,"")</f>
        <v/>
      </c>
      <c r="AA477" s="27">
        <f>IF(ISNUMBER($W477),$A477&amp;"|"&amp;$W477,"")</f>
        <v/>
      </c>
      <c r="AB477" s="27">
        <f>IF(ISNUMBER($F477),$A477&amp;"|"&amp;$F477,"")</f>
        <v/>
      </c>
      <c r="AC477" s="27">
        <f>IF(ISNUMBER($P477),COUNTIFS($A$14:$A$1213,$A477,$P$14:$P$1213,"&gt;"&amp;$P477)+(COUNTIFS($A$14:$A$1213,$A477,$P$14:$P$1213,"="&amp;$P477)+1)/2,"")</f>
        <v/>
      </c>
      <c r="AD477" s="27">
        <f>IF(ISNUMBER($Q477),COUNTIFS($A$14:$A$1213,$A477,$Q$14:$Q$1213,"&gt;"&amp;$Q477)+(COUNTIFS($A$14:$A$1213,$A477,$Q$14:$Q$1213,"="&amp;$Q477)+1)/2,"")</f>
        <v/>
      </c>
      <c r="AE477" s="27">
        <f>IF(ISNUMBER($R477),COUNTIFS($A$14:$A$1213,$A477,$R$14:$R$1213,"&gt;"&amp;$R477)+(COUNTIFS($A$14:$A$1213,$A477,$R$14:$R$1213,"="&amp;$R477)+1)/2,"")</f>
        <v/>
      </c>
      <c r="AF477" s="27">
        <f>IF(ISNUMBER($S477),COUNTIFS($A$14:$A$1213,$A477,$S$14:$S$1213,"&gt;"&amp;$S477)+(COUNTIFS($A$14:$A$1213,$A477,$S$14:$S$1213,"="&amp;$S477)+1)/2,"")</f>
        <v/>
      </c>
      <c r="AG477" s="27">
        <f>IF(ISNUMBER($T477),COUNTIFS($A$14:$A$1213,$A477,$T$14:$T$1213,"&gt;"&amp;$T477)+(COUNTIFS($A$14:$A$1213,$A477,$T$14:$T$1213,"="&amp;$T477)+1)/2,"")</f>
        <v/>
      </c>
      <c r="AH477" s="27">
        <f>IF(COUNT($AC477:$AG477)&lt;2,"",IF(MAX($AC477:$AG477)=MIN($AC477:$AG477),0,1))</f>
        <v/>
      </c>
      <c r="AI477" s="27">
        <f>IF($A477="","",IF(COUNTIF($A$14:$A477,$A477)=1,COUNTIF($AI$13:AI476,"&gt;0")+1,""))</f>
        <v/>
      </c>
      <c r="AO477" s="27">
        <f>IF($A477="","",IF(AND(COUNTIFS($A$14:$A$1213,$A477,$F$14:$F$1213,"&gt;=0")=2,IFERROR(INDEX($M$14:$M$313,MATCH($A477,$H$14:$H$313,0)),"Yes")&lt;&gt;"Yes"),1,0))</f>
        <v/>
      </c>
    </row>
    <row r="478">
      <c r="A478" s="19">
        <f>IF('Enter messages'!A478="","",'Enter messages'!A478)</f>
        <v/>
      </c>
      <c r="B478" s="20">
        <f>IF('Enter messages'!B478="","",'Enter messages'!B478)</f>
        <v/>
      </c>
      <c r="C478" s="21">
        <f>IFERROR(AVERAGE(P478:T478),"")</f>
        <v/>
      </c>
      <c r="D478" s="29" t="n"/>
      <c r="E478" s="29" t="n"/>
      <c r="F478" s="30">
        <f>IF(AND(ISNUMBER($D478),ISNUMBER($E478),$E478&gt;0,$D478&lt;=$E478),$D478/$E478,"")</f>
        <v/>
      </c>
      <c r="P478" s="26" t="n"/>
      <c r="Q478" s="26" t="n"/>
      <c r="R478" s="26" t="n"/>
      <c r="S478" s="26" t="n"/>
      <c r="T478" s="26" t="n"/>
      <c r="V478" s="27">
        <f>IF(ISNUMBER($C478),COUNTIFS($A$14:$A$1213,$A478,$C$14:$C$1213,"&gt;"&amp;$C478)+(COUNTIFS($A$14:$A$1213,$A478,$C$14:$C$1213,"="&amp;$C478)+1)/2,"")</f>
        <v/>
      </c>
      <c r="W478" s="27">
        <f>IF(ISNUMBER($F478),COUNTIFS($A$14:$A$1213,$A478,$F$14:$F$1213,"&gt;"&amp;$F478)+(COUNTIFS($A$14:$A$1213,$A478,$F$14:$F$1213,"="&amp;$F478)+1)/2,"")</f>
        <v/>
      </c>
      <c r="X478" s="27">
        <f>IF(OR(NOT(ISNUMBER($V478)),$AO478=1),"",$V478-(COUNTIFS($A$14:$A$1213,$A478,$C$14:$C$1213,"&gt;=0")+1)/2)</f>
        <v/>
      </c>
      <c r="Y478" s="27">
        <f>IF(OR(NOT(ISNUMBER($W478)),$AO478=1),"",$W478-(COUNTIFS($A$14:$A$1213,$A478,$F$14:$F$1213,"&gt;=0")+1)/2)</f>
        <v/>
      </c>
      <c r="Z478" s="27">
        <f>IF(ISNUMBER($V478),$A478&amp;"|"&amp;$V478,"")</f>
        <v/>
      </c>
      <c r="AA478" s="27">
        <f>IF(ISNUMBER($W478),$A478&amp;"|"&amp;$W478,"")</f>
        <v/>
      </c>
      <c r="AB478" s="27">
        <f>IF(ISNUMBER($F478),$A478&amp;"|"&amp;$F478,"")</f>
        <v/>
      </c>
      <c r="AC478" s="27">
        <f>IF(ISNUMBER($P478),COUNTIFS($A$14:$A$1213,$A478,$P$14:$P$1213,"&gt;"&amp;$P478)+(COUNTIFS($A$14:$A$1213,$A478,$P$14:$P$1213,"="&amp;$P478)+1)/2,"")</f>
        <v/>
      </c>
      <c r="AD478" s="27">
        <f>IF(ISNUMBER($Q478),COUNTIFS($A$14:$A$1213,$A478,$Q$14:$Q$1213,"&gt;"&amp;$Q478)+(COUNTIFS($A$14:$A$1213,$A478,$Q$14:$Q$1213,"="&amp;$Q478)+1)/2,"")</f>
        <v/>
      </c>
      <c r="AE478" s="27">
        <f>IF(ISNUMBER($R478),COUNTIFS($A$14:$A$1213,$A478,$R$14:$R$1213,"&gt;"&amp;$R478)+(COUNTIFS($A$14:$A$1213,$A478,$R$14:$R$1213,"="&amp;$R478)+1)/2,"")</f>
        <v/>
      </c>
      <c r="AF478" s="27">
        <f>IF(ISNUMBER($S478),COUNTIFS($A$14:$A$1213,$A478,$S$14:$S$1213,"&gt;"&amp;$S478)+(COUNTIFS($A$14:$A$1213,$A478,$S$14:$S$1213,"="&amp;$S478)+1)/2,"")</f>
        <v/>
      </c>
      <c r="AG478" s="27">
        <f>IF(ISNUMBER($T478),COUNTIFS($A$14:$A$1213,$A478,$T$14:$T$1213,"&gt;"&amp;$T478)+(COUNTIFS($A$14:$A$1213,$A478,$T$14:$T$1213,"="&amp;$T478)+1)/2,"")</f>
        <v/>
      </c>
      <c r="AH478" s="27">
        <f>IF(COUNT($AC478:$AG478)&lt;2,"",IF(MAX($AC478:$AG478)=MIN($AC478:$AG478),0,1))</f>
        <v/>
      </c>
      <c r="AI478" s="27">
        <f>IF($A478="","",IF(COUNTIF($A$14:$A478,$A478)=1,COUNTIF($AI$13:AI477,"&gt;0")+1,""))</f>
        <v/>
      </c>
      <c r="AO478" s="27">
        <f>IF($A478="","",IF(AND(COUNTIFS($A$14:$A$1213,$A478,$F$14:$F$1213,"&gt;=0")=2,IFERROR(INDEX($M$14:$M$313,MATCH($A478,$H$14:$H$313,0)),"Yes")&lt;&gt;"Yes"),1,0))</f>
        <v/>
      </c>
    </row>
    <row r="479">
      <c r="A479" s="19">
        <f>IF('Enter messages'!A479="","",'Enter messages'!A479)</f>
        <v/>
      </c>
      <c r="B479" s="20">
        <f>IF('Enter messages'!B479="","",'Enter messages'!B479)</f>
        <v/>
      </c>
      <c r="C479" s="21">
        <f>IFERROR(AVERAGE(P479:T479),"")</f>
        <v/>
      </c>
      <c r="D479" s="29" t="n"/>
      <c r="E479" s="29" t="n"/>
      <c r="F479" s="30">
        <f>IF(AND(ISNUMBER($D479),ISNUMBER($E479),$E479&gt;0,$D479&lt;=$E479),$D479/$E479,"")</f>
        <v/>
      </c>
      <c r="P479" s="26" t="n"/>
      <c r="Q479" s="26" t="n"/>
      <c r="R479" s="26" t="n"/>
      <c r="S479" s="26" t="n"/>
      <c r="T479" s="26" t="n"/>
      <c r="V479" s="27">
        <f>IF(ISNUMBER($C479),COUNTIFS($A$14:$A$1213,$A479,$C$14:$C$1213,"&gt;"&amp;$C479)+(COUNTIFS($A$14:$A$1213,$A479,$C$14:$C$1213,"="&amp;$C479)+1)/2,"")</f>
        <v/>
      </c>
      <c r="W479" s="27">
        <f>IF(ISNUMBER($F479),COUNTIFS($A$14:$A$1213,$A479,$F$14:$F$1213,"&gt;"&amp;$F479)+(COUNTIFS($A$14:$A$1213,$A479,$F$14:$F$1213,"="&amp;$F479)+1)/2,"")</f>
        <v/>
      </c>
      <c r="X479" s="27">
        <f>IF(OR(NOT(ISNUMBER($V479)),$AO479=1),"",$V479-(COUNTIFS($A$14:$A$1213,$A479,$C$14:$C$1213,"&gt;=0")+1)/2)</f>
        <v/>
      </c>
      <c r="Y479" s="27">
        <f>IF(OR(NOT(ISNUMBER($W479)),$AO479=1),"",$W479-(COUNTIFS($A$14:$A$1213,$A479,$F$14:$F$1213,"&gt;=0")+1)/2)</f>
        <v/>
      </c>
      <c r="Z479" s="27">
        <f>IF(ISNUMBER($V479),$A479&amp;"|"&amp;$V479,"")</f>
        <v/>
      </c>
      <c r="AA479" s="27">
        <f>IF(ISNUMBER($W479),$A479&amp;"|"&amp;$W479,"")</f>
        <v/>
      </c>
      <c r="AB479" s="27">
        <f>IF(ISNUMBER($F479),$A479&amp;"|"&amp;$F479,"")</f>
        <v/>
      </c>
      <c r="AC479" s="27">
        <f>IF(ISNUMBER($P479),COUNTIFS($A$14:$A$1213,$A479,$P$14:$P$1213,"&gt;"&amp;$P479)+(COUNTIFS($A$14:$A$1213,$A479,$P$14:$P$1213,"="&amp;$P479)+1)/2,"")</f>
        <v/>
      </c>
      <c r="AD479" s="27">
        <f>IF(ISNUMBER($Q479),COUNTIFS($A$14:$A$1213,$A479,$Q$14:$Q$1213,"&gt;"&amp;$Q479)+(COUNTIFS($A$14:$A$1213,$A479,$Q$14:$Q$1213,"="&amp;$Q479)+1)/2,"")</f>
        <v/>
      </c>
      <c r="AE479" s="27">
        <f>IF(ISNUMBER($R479),COUNTIFS($A$14:$A$1213,$A479,$R$14:$R$1213,"&gt;"&amp;$R479)+(COUNTIFS($A$14:$A$1213,$A479,$R$14:$R$1213,"="&amp;$R479)+1)/2,"")</f>
        <v/>
      </c>
      <c r="AF479" s="27">
        <f>IF(ISNUMBER($S479),COUNTIFS($A$14:$A$1213,$A479,$S$14:$S$1213,"&gt;"&amp;$S479)+(COUNTIFS($A$14:$A$1213,$A479,$S$14:$S$1213,"="&amp;$S479)+1)/2,"")</f>
        <v/>
      </c>
      <c r="AG479" s="27">
        <f>IF(ISNUMBER($T479),COUNTIFS($A$14:$A$1213,$A479,$T$14:$T$1213,"&gt;"&amp;$T479)+(COUNTIFS($A$14:$A$1213,$A479,$T$14:$T$1213,"="&amp;$T479)+1)/2,"")</f>
        <v/>
      </c>
      <c r="AH479" s="27">
        <f>IF(COUNT($AC479:$AG479)&lt;2,"",IF(MAX($AC479:$AG479)=MIN($AC479:$AG479),0,1))</f>
        <v/>
      </c>
      <c r="AI479" s="27">
        <f>IF($A479="","",IF(COUNTIF($A$14:$A479,$A479)=1,COUNTIF($AI$13:AI478,"&gt;0")+1,""))</f>
        <v/>
      </c>
      <c r="AO479" s="27">
        <f>IF($A479="","",IF(AND(COUNTIFS($A$14:$A$1213,$A479,$F$14:$F$1213,"&gt;=0")=2,IFERROR(INDEX($M$14:$M$313,MATCH($A479,$H$14:$H$313,0)),"Yes")&lt;&gt;"Yes"),1,0))</f>
        <v/>
      </c>
    </row>
    <row r="480">
      <c r="A480" s="19">
        <f>IF('Enter messages'!A480="","",'Enter messages'!A480)</f>
        <v/>
      </c>
      <c r="B480" s="20">
        <f>IF('Enter messages'!B480="","",'Enter messages'!B480)</f>
        <v/>
      </c>
      <c r="C480" s="21">
        <f>IFERROR(AVERAGE(P480:T480),"")</f>
        <v/>
      </c>
      <c r="D480" s="29" t="n"/>
      <c r="E480" s="29" t="n"/>
      <c r="F480" s="30">
        <f>IF(AND(ISNUMBER($D480),ISNUMBER($E480),$E480&gt;0,$D480&lt;=$E480),$D480/$E480,"")</f>
        <v/>
      </c>
      <c r="P480" s="26" t="n"/>
      <c r="Q480" s="26" t="n"/>
      <c r="R480" s="26" t="n"/>
      <c r="S480" s="26" t="n"/>
      <c r="T480" s="26" t="n"/>
      <c r="V480" s="27">
        <f>IF(ISNUMBER($C480),COUNTIFS($A$14:$A$1213,$A480,$C$14:$C$1213,"&gt;"&amp;$C480)+(COUNTIFS($A$14:$A$1213,$A480,$C$14:$C$1213,"="&amp;$C480)+1)/2,"")</f>
        <v/>
      </c>
      <c r="W480" s="27">
        <f>IF(ISNUMBER($F480),COUNTIFS($A$14:$A$1213,$A480,$F$14:$F$1213,"&gt;"&amp;$F480)+(COUNTIFS($A$14:$A$1213,$A480,$F$14:$F$1213,"="&amp;$F480)+1)/2,"")</f>
        <v/>
      </c>
      <c r="X480" s="27">
        <f>IF(OR(NOT(ISNUMBER($V480)),$AO480=1),"",$V480-(COUNTIFS($A$14:$A$1213,$A480,$C$14:$C$1213,"&gt;=0")+1)/2)</f>
        <v/>
      </c>
      <c r="Y480" s="27">
        <f>IF(OR(NOT(ISNUMBER($W480)),$AO480=1),"",$W480-(COUNTIFS($A$14:$A$1213,$A480,$F$14:$F$1213,"&gt;=0")+1)/2)</f>
        <v/>
      </c>
      <c r="Z480" s="27">
        <f>IF(ISNUMBER($V480),$A480&amp;"|"&amp;$V480,"")</f>
        <v/>
      </c>
      <c r="AA480" s="27">
        <f>IF(ISNUMBER($W480),$A480&amp;"|"&amp;$W480,"")</f>
        <v/>
      </c>
      <c r="AB480" s="27">
        <f>IF(ISNUMBER($F480),$A480&amp;"|"&amp;$F480,"")</f>
        <v/>
      </c>
      <c r="AC480" s="27">
        <f>IF(ISNUMBER($P480),COUNTIFS($A$14:$A$1213,$A480,$P$14:$P$1213,"&gt;"&amp;$P480)+(COUNTIFS($A$14:$A$1213,$A480,$P$14:$P$1213,"="&amp;$P480)+1)/2,"")</f>
        <v/>
      </c>
      <c r="AD480" s="27">
        <f>IF(ISNUMBER($Q480),COUNTIFS($A$14:$A$1213,$A480,$Q$14:$Q$1213,"&gt;"&amp;$Q480)+(COUNTIFS($A$14:$A$1213,$A480,$Q$14:$Q$1213,"="&amp;$Q480)+1)/2,"")</f>
        <v/>
      </c>
      <c r="AE480" s="27">
        <f>IF(ISNUMBER($R480),COUNTIFS($A$14:$A$1213,$A480,$R$14:$R$1213,"&gt;"&amp;$R480)+(COUNTIFS($A$14:$A$1213,$A480,$R$14:$R$1213,"="&amp;$R480)+1)/2,"")</f>
        <v/>
      </c>
      <c r="AF480" s="27">
        <f>IF(ISNUMBER($S480),COUNTIFS($A$14:$A$1213,$A480,$S$14:$S$1213,"&gt;"&amp;$S480)+(COUNTIFS($A$14:$A$1213,$A480,$S$14:$S$1213,"="&amp;$S480)+1)/2,"")</f>
        <v/>
      </c>
      <c r="AG480" s="27">
        <f>IF(ISNUMBER($T480),COUNTIFS($A$14:$A$1213,$A480,$T$14:$T$1213,"&gt;"&amp;$T480)+(COUNTIFS($A$14:$A$1213,$A480,$T$14:$T$1213,"="&amp;$T480)+1)/2,"")</f>
        <v/>
      </c>
      <c r="AH480" s="27">
        <f>IF(COUNT($AC480:$AG480)&lt;2,"",IF(MAX($AC480:$AG480)=MIN($AC480:$AG480),0,1))</f>
        <v/>
      </c>
      <c r="AI480" s="27">
        <f>IF($A480="","",IF(COUNTIF($A$14:$A480,$A480)=1,COUNTIF($AI$13:AI479,"&gt;0")+1,""))</f>
        <v/>
      </c>
      <c r="AO480" s="27">
        <f>IF($A480="","",IF(AND(COUNTIFS($A$14:$A$1213,$A480,$F$14:$F$1213,"&gt;=0")=2,IFERROR(INDEX($M$14:$M$313,MATCH($A480,$H$14:$H$313,0)),"Yes")&lt;&gt;"Yes"),1,0))</f>
        <v/>
      </c>
    </row>
    <row r="481">
      <c r="A481" s="19">
        <f>IF('Enter messages'!A481="","",'Enter messages'!A481)</f>
        <v/>
      </c>
      <c r="B481" s="20">
        <f>IF('Enter messages'!B481="","",'Enter messages'!B481)</f>
        <v/>
      </c>
      <c r="C481" s="21">
        <f>IFERROR(AVERAGE(P481:T481),"")</f>
        <v/>
      </c>
      <c r="D481" s="29" t="n"/>
      <c r="E481" s="29" t="n"/>
      <c r="F481" s="30">
        <f>IF(AND(ISNUMBER($D481),ISNUMBER($E481),$E481&gt;0,$D481&lt;=$E481),$D481/$E481,"")</f>
        <v/>
      </c>
      <c r="P481" s="26" t="n"/>
      <c r="Q481" s="26" t="n"/>
      <c r="R481" s="26" t="n"/>
      <c r="S481" s="26" t="n"/>
      <c r="T481" s="26" t="n"/>
      <c r="V481" s="27">
        <f>IF(ISNUMBER($C481),COUNTIFS($A$14:$A$1213,$A481,$C$14:$C$1213,"&gt;"&amp;$C481)+(COUNTIFS($A$14:$A$1213,$A481,$C$14:$C$1213,"="&amp;$C481)+1)/2,"")</f>
        <v/>
      </c>
      <c r="W481" s="27">
        <f>IF(ISNUMBER($F481),COUNTIFS($A$14:$A$1213,$A481,$F$14:$F$1213,"&gt;"&amp;$F481)+(COUNTIFS($A$14:$A$1213,$A481,$F$14:$F$1213,"="&amp;$F481)+1)/2,"")</f>
        <v/>
      </c>
      <c r="X481" s="27">
        <f>IF(OR(NOT(ISNUMBER($V481)),$AO481=1),"",$V481-(COUNTIFS($A$14:$A$1213,$A481,$C$14:$C$1213,"&gt;=0")+1)/2)</f>
        <v/>
      </c>
      <c r="Y481" s="27">
        <f>IF(OR(NOT(ISNUMBER($W481)),$AO481=1),"",$W481-(COUNTIFS($A$14:$A$1213,$A481,$F$14:$F$1213,"&gt;=0")+1)/2)</f>
        <v/>
      </c>
      <c r="Z481" s="27">
        <f>IF(ISNUMBER($V481),$A481&amp;"|"&amp;$V481,"")</f>
        <v/>
      </c>
      <c r="AA481" s="27">
        <f>IF(ISNUMBER($W481),$A481&amp;"|"&amp;$W481,"")</f>
        <v/>
      </c>
      <c r="AB481" s="27">
        <f>IF(ISNUMBER($F481),$A481&amp;"|"&amp;$F481,"")</f>
        <v/>
      </c>
      <c r="AC481" s="27">
        <f>IF(ISNUMBER($P481),COUNTIFS($A$14:$A$1213,$A481,$P$14:$P$1213,"&gt;"&amp;$P481)+(COUNTIFS($A$14:$A$1213,$A481,$P$14:$P$1213,"="&amp;$P481)+1)/2,"")</f>
        <v/>
      </c>
      <c r="AD481" s="27">
        <f>IF(ISNUMBER($Q481),COUNTIFS($A$14:$A$1213,$A481,$Q$14:$Q$1213,"&gt;"&amp;$Q481)+(COUNTIFS($A$14:$A$1213,$A481,$Q$14:$Q$1213,"="&amp;$Q481)+1)/2,"")</f>
        <v/>
      </c>
      <c r="AE481" s="27">
        <f>IF(ISNUMBER($R481),COUNTIFS($A$14:$A$1213,$A481,$R$14:$R$1213,"&gt;"&amp;$R481)+(COUNTIFS($A$14:$A$1213,$A481,$R$14:$R$1213,"="&amp;$R481)+1)/2,"")</f>
        <v/>
      </c>
      <c r="AF481" s="27">
        <f>IF(ISNUMBER($S481),COUNTIFS($A$14:$A$1213,$A481,$S$14:$S$1213,"&gt;"&amp;$S481)+(COUNTIFS($A$14:$A$1213,$A481,$S$14:$S$1213,"="&amp;$S481)+1)/2,"")</f>
        <v/>
      </c>
      <c r="AG481" s="27">
        <f>IF(ISNUMBER($T481),COUNTIFS($A$14:$A$1213,$A481,$T$14:$T$1213,"&gt;"&amp;$T481)+(COUNTIFS($A$14:$A$1213,$A481,$T$14:$T$1213,"="&amp;$T481)+1)/2,"")</f>
        <v/>
      </c>
      <c r="AH481" s="27">
        <f>IF(COUNT($AC481:$AG481)&lt;2,"",IF(MAX($AC481:$AG481)=MIN($AC481:$AG481),0,1))</f>
        <v/>
      </c>
      <c r="AI481" s="27">
        <f>IF($A481="","",IF(COUNTIF($A$14:$A481,$A481)=1,COUNTIF($AI$13:AI480,"&gt;0")+1,""))</f>
        <v/>
      </c>
      <c r="AO481" s="27">
        <f>IF($A481="","",IF(AND(COUNTIFS($A$14:$A$1213,$A481,$F$14:$F$1213,"&gt;=0")=2,IFERROR(INDEX($M$14:$M$313,MATCH($A481,$H$14:$H$313,0)),"Yes")&lt;&gt;"Yes"),1,0))</f>
        <v/>
      </c>
    </row>
    <row r="482">
      <c r="A482" s="19">
        <f>IF('Enter messages'!A482="","",'Enter messages'!A482)</f>
        <v/>
      </c>
      <c r="B482" s="20">
        <f>IF('Enter messages'!B482="","",'Enter messages'!B482)</f>
        <v/>
      </c>
      <c r="C482" s="21">
        <f>IFERROR(AVERAGE(P482:T482),"")</f>
        <v/>
      </c>
      <c r="D482" s="29" t="n"/>
      <c r="E482" s="29" t="n"/>
      <c r="F482" s="30">
        <f>IF(AND(ISNUMBER($D482),ISNUMBER($E482),$E482&gt;0,$D482&lt;=$E482),$D482/$E482,"")</f>
        <v/>
      </c>
      <c r="P482" s="26" t="n"/>
      <c r="Q482" s="26" t="n"/>
      <c r="R482" s="26" t="n"/>
      <c r="S482" s="26" t="n"/>
      <c r="T482" s="26" t="n"/>
      <c r="V482" s="27">
        <f>IF(ISNUMBER($C482),COUNTIFS($A$14:$A$1213,$A482,$C$14:$C$1213,"&gt;"&amp;$C482)+(COUNTIFS($A$14:$A$1213,$A482,$C$14:$C$1213,"="&amp;$C482)+1)/2,"")</f>
        <v/>
      </c>
      <c r="W482" s="27">
        <f>IF(ISNUMBER($F482),COUNTIFS($A$14:$A$1213,$A482,$F$14:$F$1213,"&gt;"&amp;$F482)+(COUNTIFS($A$14:$A$1213,$A482,$F$14:$F$1213,"="&amp;$F482)+1)/2,"")</f>
        <v/>
      </c>
      <c r="X482" s="27">
        <f>IF(OR(NOT(ISNUMBER($V482)),$AO482=1),"",$V482-(COUNTIFS($A$14:$A$1213,$A482,$C$14:$C$1213,"&gt;=0")+1)/2)</f>
        <v/>
      </c>
      <c r="Y482" s="27">
        <f>IF(OR(NOT(ISNUMBER($W482)),$AO482=1),"",$W482-(COUNTIFS($A$14:$A$1213,$A482,$F$14:$F$1213,"&gt;=0")+1)/2)</f>
        <v/>
      </c>
      <c r="Z482" s="27">
        <f>IF(ISNUMBER($V482),$A482&amp;"|"&amp;$V482,"")</f>
        <v/>
      </c>
      <c r="AA482" s="27">
        <f>IF(ISNUMBER($W482),$A482&amp;"|"&amp;$W482,"")</f>
        <v/>
      </c>
      <c r="AB482" s="27">
        <f>IF(ISNUMBER($F482),$A482&amp;"|"&amp;$F482,"")</f>
        <v/>
      </c>
      <c r="AC482" s="27">
        <f>IF(ISNUMBER($P482),COUNTIFS($A$14:$A$1213,$A482,$P$14:$P$1213,"&gt;"&amp;$P482)+(COUNTIFS($A$14:$A$1213,$A482,$P$14:$P$1213,"="&amp;$P482)+1)/2,"")</f>
        <v/>
      </c>
      <c r="AD482" s="27">
        <f>IF(ISNUMBER($Q482),COUNTIFS($A$14:$A$1213,$A482,$Q$14:$Q$1213,"&gt;"&amp;$Q482)+(COUNTIFS($A$14:$A$1213,$A482,$Q$14:$Q$1213,"="&amp;$Q482)+1)/2,"")</f>
        <v/>
      </c>
      <c r="AE482" s="27">
        <f>IF(ISNUMBER($R482),COUNTIFS($A$14:$A$1213,$A482,$R$14:$R$1213,"&gt;"&amp;$R482)+(COUNTIFS($A$14:$A$1213,$A482,$R$14:$R$1213,"="&amp;$R482)+1)/2,"")</f>
        <v/>
      </c>
      <c r="AF482" s="27">
        <f>IF(ISNUMBER($S482),COUNTIFS($A$14:$A$1213,$A482,$S$14:$S$1213,"&gt;"&amp;$S482)+(COUNTIFS($A$14:$A$1213,$A482,$S$14:$S$1213,"="&amp;$S482)+1)/2,"")</f>
        <v/>
      </c>
      <c r="AG482" s="27">
        <f>IF(ISNUMBER($T482),COUNTIFS($A$14:$A$1213,$A482,$T$14:$T$1213,"&gt;"&amp;$T482)+(COUNTIFS($A$14:$A$1213,$A482,$T$14:$T$1213,"="&amp;$T482)+1)/2,"")</f>
        <v/>
      </c>
      <c r="AH482" s="27">
        <f>IF(COUNT($AC482:$AG482)&lt;2,"",IF(MAX($AC482:$AG482)=MIN($AC482:$AG482),0,1))</f>
        <v/>
      </c>
      <c r="AI482" s="27">
        <f>IF($A482="","",IF(COUNTIF($A$14:$A482,$A482)=1,COUNTIF($AI$13:AI481,"&gt;0")+1,""))</f>
        <v/>
      </c>
      <c r="AO482" s="27">
        <f>IF($A482="","",IF(AND(COUNTIFS($A$14:$A$1213,$A482,$F$14:$F$1213,"&gt;=0")=2,IFERROR(INDEX($M$14:$M$313,MATCH($A482,$H$14:$H$313,0)),"Yes")&lt;&gt;"Yes"),1,0))</f>
        <v/>
      </c>
    </row>
    <row r="483">
      <c r="A483" s="19">
        <f>IF('Enter messages'!A483="","",'Enter messages'!A483)</f>
        <v/>
      </c>
      <c r="B483" s="20">
        <f>IF('Enter messages'!B483="","",'Enter messages'!B483)</f>
        <v/>
      </c>
      <c r="C483" s="21">
        <f>IFERROR(AVERAGE(P483:T483),"")</f>
        <v/>
      </c>
      <c r="D483" s="29" t="n"/>
      <c r="E483" s="29" t="n"/>
      <c r="F483" s="30">
        <f>IF(AND(ISNUMBER($D483),ISNUMBER($E483),$E483&gt;0,$D483&lt;=$E483),$D483/$E483,"")</f>
        <v/>
      </c>
      <c r="P483" s="26" t="n"/>
      <c r="Q483" s="26" t="n"/>
      <c r="R483" s="26" t="n"/>
      <c r="S483" s="26" t="n"/>
      <c r="T483" s="26" t="n"/>
      <c r="V483" s="27">
        <f>IF(ISNUMBER($C483),COUNTIFS($A$14:$A$1213,$A483,$C$14:$C$1213,"&gt;"&amp;$C483)+(COUNTIFS($A$14:$A$1213,$A483,$C$14:$C$1213,"="&amp;$C483)+1)/2,"")</f>
        <v/>
      </c>
      <c r="W483" s="27">
        <f>IF(ISNUMBER($F483),COUNTIFS($A$14:$A$1213,$A483,$F$14:$F$1213,"&gt;"&amp;$F483)+(COUNTIFS($A$14:$A$1213,$A483,$F$14:$F$1213,"="&amp;$F483)+1)/2,"")</f>
        <v/>
      </c>
      <c r="X483" s="27">
        <f>IF(OR(NOT(ISNUMBER($V483)),$AO483=1),"",$V483-(COUNTIFS($A$14:$A$1213,$A483,$C$14:$C$1213,"&gt;=0")+1)/2)</f>
        <v/>
      </c>
      <c r="Y483" s="27">
        <f>IF(OR(NOT(ISNUMBER($W483)),$AO483=1),"",$W483-(COUNTIFS($A$14:$A$1213,$A483,$F$14:$F$1213,"&gt;=0")+1)/2)</f>
        <v/>
      </c>
      <c r="Z483" s="27">
        <f>IF(ISNUMBER($V483),$A483&amp;"|"&amp;$V483,"")</f>
        <v/>
      </c>
      <c r="AA483" s="27">
        <f>IF(ISNUMBER($W483),$A483&amp;"|"&amp;$W483,"")</f>
        <v/>
      </c>
      <c r="AB483" s="27">
        <f>IF(ISNUMBER($F483),$A483&amp;"|"&amp;$F483,"")</f>
        <v/>
      </c>
      <c r="AC483" s="27">
        <f>IF(ISNUMBER($P483),COUNTIFS($A$14:$A$1213,$A483,$P$14:$P$1213,"&gt;"&amp;$P483)+(COUNTIFS($A$14:$A$1213,$A483,$P$14:$P$1213,"="&amp;$P483)+1)/2,"")</f>
        <v/>
      </c>
      <c r="AD483" s="27">
        <f>IF(ISNUMBER($Q483),COUNTIFS($A$14:$A$1213,$A483,$Q$14:$Q$1213,"&gt;"&amp;$Q483)+(COUNTIFS($A$14:$A$1213,$A483,$Q$14:$Q$1213,"="&amp;$Q483)+1)/2,"")</f>
        <v/>
      </c>
      <c r="AE483" s="27">
        <f>IF(ISNUMBER($R483),COUNTIFS($A$14:$A$1213,$A483,$R$14:$R$1213,"&gt;"&amp;$R483)+(COUNTIFS($A$14:$A$1213,$A483,$R$14:$R$1213,"="&amp;$R483)+1)/2,"")</f>
        <v/>
      </c>
      <c r="AF483" s="27">
        <f>IF(ISNUMBER($S483),COUNTIFS($A$14:$A$1213,$A483,$S$14:$S$1213,"&gt;"&amp;$S483)+(COUNTIFS($A$14:$A$1213,$A483,$S$14:$S$1213,"="&amp;$S483)+1)/2,"")</f>
        <v/>
      </c>
      <c r="AG483" s="27">
        <f>IF(ISNUMBER($T483),COUNTIFS($A$14:$A$1213,$A483,$T$14:$T$1213,"&gt;"&amp;$T483)+(COUNTIFS($A$14:$A$1213,$A483,$T$14:$T$1213,"="&amp;$T483)+1)/2,"")</f>
        <v/>
      </c>
      <c r="AH483" s="27">
        <f>IF(COUNT($AC483:$AG483)&lt;2,"",IF(MAX($AC483:$AG483)=MIN($AC483:$AG483),0,1))</f>
        <v/>
      </c>
      <c r="AI483" s="27">
        <f>IF($A483="","",IF(COUNTIF($A$14:$A483,$A483)=1,COUNTIF($AI$13:AI482,"&gt;0")+1,""))</f>
        <v/>
      </c>
      <c r="AO483" s="27">
        <f>IF($A483="","",IF(AND(COUNTIFS($A$14:$A$1213,$A483,$F$14:$F$1213,"&gt;=0")=2,IFERROR(INDEX($M$14:$M$313,MATCH($A483,$H$14:$H$313,0)),"Yes")&lt;&gt;"Yes"),1,0))</f>
        <v/>
      </c>
    </row>
    <row r="484">
      <c r="A484" s="19">
        <f>IF('Enter messages'!A484="","",'Enter messages'!A484)</f>
        <v/>
      </c>
      <c r="B484" s="20">
        <f>IF('Enter messages'!B484="","",'Enter messages'!B484)</f>
        <v/>
      </c>
      <c r="C484" s="21">
        <f>IFERROR(AVERAGE(P484:T484),"")</f>
        <v/>
      </c>
      <c r="D484" s="29" t="n"/>
      <c r="E484" s="29" t="n"/>
      <c r="F484" s="30">
        <f>IF(AND(ISNUMBER($D484),ISNUMBER($E484),$E484&gt;0,$D484&lt;=$E484),$D484/$E484,"")</f>
        <v/>
      </c>
      <c r="P484" s="26" t="n"/>
      <c r="Q484" s="26" t="n"/>
      <c r="R484" s="26" t="n"/>
      <c r="S484" s="26" t="n"/>
      <c r="T484" s="26" t="n"/>
      <c r="V484" s="27">
        <f>IF(ISNUMBER($C484),COUNTIFS($A$14:$A$1213,$A484,$C$14:$C$1213,"&gt;"&amp;$C484)+(COUNTIFS($A$14:$A$1213,$A484,$C$14:$C$1213,"="&amp;$C484)+1)/2,"")</f>
        <v/>
      </c>
      <c r="W484" s="27">
        <f>IF(ISNUMBER($F484),COUNTIFS($A$14:$A$1213,$A484,$F$14:$F$1213,"&gt;"&amp;$F484)+(COUNTIFS($A$14:$A$1213,$A484,$F$14:$F$1213,"="&amp;$F484)+1)/2,"")</f>
        <v/>
      </c>
      <c r="X484" s="27">
        <f>IF(OR(NOT(ISNUMBER($V484)),$AO484=1),"",$V484-(COUNTIFS($A$14:$A$1213,$A484,$C$14:$C$1213,"&gt;=0")+1)/2)</f>
        <v/>
      </c>
      <c r="Y484" s="27">
        <f>IF(OR(NOT(ISNUMBER($W484)),$AO484=1),"",$W484-(COUNTIFS($A$14:$A$1213,$A484,$F$14:$F$1213,"&gt;=0")+1)/2)</f>
        <v/>
      </c>
      <c r="Z484" s="27">
        <f>IF(ISNUMBER($V484),$A484&amp;"|"&amp;$V484,"")</f>
        <v/>
      </c>
      <c r="AA484" s="27">
        <f>IF(ISNUMBER($W484),$A484&amp;"|"&amp;$W484,"")</f>
        <v/>
      </c>
      <c r="AB484" s="27">
        <f>IF(ISNUMBER($F484),$A484&amp;"|"&amp;$F484,"")</f>
        <v/>
      </c>
      <c r="AC484" s="27">
        <f>IF(ISNUMBER($P484),COUNTIFS($A$14:$A$1213,$A484,$P$14:$P$1213,"&gt;"&amp;$P484)+(COUNTIFS($A$14:$A$1213,$A484,$P$14:$P$1213,"="&amp;$P484)+1)/2,"")</f>
        <v/>
      </c>
      <c r="AD484" s="27">
        <f>IF(ISNUMBER($Q484),COUNTIFS($A$14:$A$1213,$A484,$Q$14:$Q$1213,"&gt;"&amp;$Q484)+(COUNTIFS($A$14:$A$1213,$A484,$Q$14:$Q$1213,"="&amp;$Q484)+1)/2,"")</f>
        <v/>
      </c>
      <c r="AE484" s="27">
        <f>IF(ISNUMBER($R484),COUNTIFS($A$14:$A$1213,$A484,$R$14:$R$1213,"&gt;"&amp;$R484)+(COUNTIFS($A$14:$A$1213,$A484,$R$14:$R$1213,"="&amp;$R484)+1)/2,"")</f>
        <v/>
      </c>
      <c r="AF484" s="27">
        <f>IF(ISNUMBER($S484),COUNTIFS($A$14:$A$1213,$A484,$S$14:$S$1213,"&gt;"&amp;$S484)+(COUNTIFS($A$14:$A$1213,$A484,$S$14:$S$1213,"="&amp;$S484)+1)/2,"")</f>
        <v/>
      </c>
      <c r="AG484" s="27">
        <f>IF(ISNUMBER($T484),COUNTIFS($A$14:$A$1213,$A484,$T$14:$T$1213,"&gt;"&amp;$T484)+(COUNTIFS($A$14:$A$1213,$A484,$T$14:$T$1213,"="&amp;$T484)+1)/2,"")</f>
        <v/>
      </c>
      <c r="AH484" s="27">
        <f>IF(COUNT($AC484:$AG484)&lt;2,"",IF(MAX($AC484:$AG484)=MIN($AC484:$AG484),0,1))</f>
        <v/>
      </c>
      <c r="AI484" s="27">
        <f>IF($A484="","",IF(COUNTIF($A$14:$A484,$A484)=1,COUNTIF($AI$13:AI483,"&gt;0")+1,""))</f>
        <v/>
      </c>
      <c r="AO484" s="27">
        <f>IF($A484="","",IF(AND(COUNTIFS($A$14:$A$1213,$A484,$F$14:$F$1213,"&gt;=0")=2,IFERROR(INDEX($M$14:$M$313,MATCH($A484,$H$14:$H$313,0)),"Yes")&lt;&gt;"Yes"),1,0))</f>
        <v/>
      </c>
    </row>
    <row r="485">
      <c r="A485" s="19">
        <f>IF('Enter messages'!A485="","",'Enter messages'!A485)</f>
        <v/>
      </c>
      <c r="B485" s="20">
        <f>IF('Enter messages'!B485="","",'Enter messages'!B485)</f>
        <v/>
      </c>
      <c r="C485" s="21">
        <f>IFERROR(AVERAGE(P485:T485),"")</f>
        <v/>
      </c>
      <c r="D485" s="29" t="n"/>
      <c r="E485" s="29" t="n"/>
      <c r="F485" s="30">
        <f>IF(AND(ISNUMBER($D485),ISNUMBER($E485),$E485&gt;0,$D485&lt;=$E485),$D485/$E485,"")</f>
        <v/>
      </c>
      <c r="P485" s="26" t="n"/>
      <c r="Q485" s="26" t="n"/>
      <c r="R485" s="26" t="n"/>
      <c r="S485" s="26" t="n"/>
      <c r="T485" s="26" t="n"/>
      <c r="V485" s="27">
        <f>IF(ISNUMBER($C485),COUNTIFS($A$14:$A$1213,$A485,$C$14:$C$1213,"&gt;"&amp;$C485)+(COUNTIFS($A$14:$A$1213,$A485,$C$14:$C$1213,"="&amp;$C485)+1)/2,"")</f>
        <v/>
      </c>
      <c r="W485" s="27">
        <f>IF(ISNUMBER($F485),COUNTIFS($A$14:$A$1213,$A485,$F$14:$F$1213,"&gt;"&amp;$F485)+(COUNTIFS($A$14:$A$1213,$A485,$F$14:$F$1213,"="&amp;$F485)+1)/2,"")</f>
        <v/>
      </c>
      <c r="X485" s="27">
        <f>IF(OR(NOT(ISNUMBER($V485)),$AO485=1),"",$V485-(COUNTIFS($A$14:$A$1213,$A485,$C$14:$C$1213,"&gt;=0")+1)/2)</f>
        <v/>
      </c>
      <c r="Y485" s="27">
        <f>IF(OR(NOT(ISNUMBER($W485)),$AO485=1),"",$W485-(COUNTIFS($A$14:$A$1213,$A485,$F$14:$F$1213,"&gt;=0")+1)/2)</f>
        <v/>
      </c>
      <c r="Z485" s="27">
        <f>IF(ISNUMBER($V485),$A485&amp;"|"&amp;$V485,"")</f>
        <v/>
      </c>
      <c r="AA485" s="27">
        <f>IF(ISNUMBER($W485),$A485&amp;"|"&amp;$W485,"")</f>
        <v/>
      </c>
      <c r="AB485" s="27">
        <f>IF(ISNUMBER($F485),$A485&amp;"|"&amp;$F485,"")</f>
        <v/>
      </c>
      <c r="AC485" s="27">
        <f>IF(ISNUMBER($P485),COUNTIFS($A$14:$A$1213,$A485,$P$14:$P$1213,"&gt;"&amp;$P485)+(COUNTIFS($A$14:$A$1213,$A485,$P$14:$P$1213,"="&amp;$P485)+1)/2,"")</f>
        <v/>
      </c>
      <c r="AD485" s="27">
        <f>IF(ISNUMBER($Q485),COUNTIFS($A$14:$A$1213,$A485,$Q$14:$Q$1213,"&gt;"&amp;$Q485)+(COUNTIFS($A$14:$A$1213,$A485,$Q$14:$Q$1213,"="&amp;$Q485)+1)/2,"")</f>
        <v/>
      </c>
      <c r="AE485" s="27">
        <f>IF(ISNUMBER($R485),COUNTIFS($A$14:$A$1213,$A485,$R$14:$R$1213,"&gt;"&amp;$R485)+(COUNTIFS($A$14:$A$1213,$A485,$R$14:$R$1213,"="&amp;$R485)+1)/2,"")</f>
        <v/>
      </c>
      <c r="AF485" s="27">
        <f>IF(ISNUMBER($S485),COUNTIFS($A$14:$A$1213,$A485,$S$14:$S$1213,"&gt;"&amp;$S485)+(COUNTIFS($A$14:$A$1213,$A485,$S$14:$S$1213,"="&amp;$S485)+1)/2,"")</f>
        <v/>
      </c>
      <c r="AG485" s="27">
        <f>IF(ISNUMBER($T485),COUNTIFS($A$14:$A$1213,$A485,$T$14:$T$1213,"&gt;"&amp;$T485)+(COUNTIFS($A$14:$A$1213,$A485,$T$14:$T$1213,"="&amp;$T485)+1)/2,"")</f>
        <v/>
      </c>
      <c r="AH485" s="27">
        <f>IF(COUNT($AC485:$AG485)&lt;2,"",IF(MAX($AC485:$AG485)=MIN($AC485:$AG485),0,1))</f>
        <v/>
      </c>
      <c r="AI485" s="27">
        <f>IF($A485="","",IF(COUNTIF($A$14:$A485,$A485)=1,COUNTIF($AI$13:AI484,"&gt;0")+1,""))</f>
        <v/>
      </c>
      <c r="AO485" s="27">
        <f>IF($A485="","",IF(AND(COUNTIFS($A$14:$A$1213,$A485,$F$14:$F$1213,"&gt;=0")=2,IFERROR(INDEX($M$14:$M$313,MATCH($A485,$H$14:$H$313,0)),"Yes")&lt;&gt;"Yes"),1,0))</f>
        <v/>
      </c>
    </row>
    <row r="486">
      <c r="A486" s="19">
        <f>IF('Enter messages'!A486="","",'Enter messages'!A486)</f>
        <v/>
      </c>
      <c r="B486" s="20">
        <f>IF('Enter messages'!B486="","",'Enter messages'!B486)</f>
        <v/>
      </c>
      <c r="C486" s="21">
        <f>IFERROR(AVERAGE(P486:T486),"")</f>
        <v/>
      </c>
      <c r="D486" s="29" t="n"/>
      <c r="E486" s="29" t="n"/>
      <c r="F486" s="30">
        <f>IF(AND(ISNUMBER($D486),ISNUMBER($E486),$E486&gt;0,$D486&lt;=$E486),$D486/$E486,"")</f>
        <v/>
      </c>
      <c r="P486" s="26" t="n"/>
      <c r="Q486" s="26" t="n"/>
      <c r="R486" s="26" t="n"/>
      <c r="S486" s="26" t="n"/>
      <c r="T486" s="26" t="n"/>
      <c r="V486" s="27">
        <f>IF(ISNUMBER($C486),COUNTIFS($A$14:$A$1213,$A486,$C$14:$C$1213,"&gt;"&amp;$C486)+(COUNTIFS($A$14:$A$1213,$A486,$C$14:$C$1213,"="&amp;$C486)+1)/2,"")</f>
        <v/>
      </c>
      <c r="W486" s="27">
        <f>IF(ISNUMBER($F486),COUNTIFS($A$14:$A$1213,$A486,$F$14:$F$1213,"&gt;"&amp;$F486)+(COUNTIFS($A$14:$A$1213,$A486,$F$14:$F$1213,"="&amp;$F486)+1)/2,"")</f>
        <v/>
      </c>
      <c r="X486" s="27">
        <f>IF(OR(NOT(ISNUMBER($V486)),$AO486=1),"",$V486-(COUNTIFS($A$14:$A$1213,$A486,$C$14:$C$1213,"&gt;=0")+1)/2)</f>
        <v/>
      </c>
      <c r="Y486" s="27">
        <f>IF(OR(NOT(ISNUMBER($W486)),$AO486=1),"",$W486-(COUNTIFS($A$14:$A$1213,$A486,$F$14:$F$1213,"&gt;=0")+1)/2)</f>
        <v/>
      </c>
      <c r="Z486" s="27">
        <f>IF(ISNUMBER($V486),$A486&amp;"|"&amp;$V486,"")</f>
        <v/>
      </c>
      <c r="AA486" s="27">
        <f>IF(ISNUMBER($W486),$A486&amp;"|"&amp;$W486,"")</f>
        <v/>
      </c>
      <c r="AB486" s="27">
        <f>IF(ISNUMBER($F486),$A486&amp;"|"&amp;$F486,"")</f>
        <v/>
      </c>
      <c r="AC486" s="27">
        <f>IF(ISNUMBER($P486),COUNTIFS($A$14:$A$1213,$A486,$P$14:$P$1213,"&gt;"&amp;$P486)+(COUNTIFS($A$14:$A$1213,$A486,$P$14:$P$1213,"="&amp;$P486)+1)/2,"")</f>
        <v/>
      </c>
      <c r="AD486" s="27">
        <f>IF(ISNUMBER($Q486),COUNTIFS($A$14:$A$1213,$A486,$Q$14:$Q$1213,"&gt;"&amp;$Q486)+(COUNTIFS($A$14:$A$1213,$A486,$Q$14:$Q$1213,"="&amp;$Q486)+1)/2,"")</f>
        <v/>
      </c>
      <c r="AE486" s="27">
        <f>IF(ISNUMBER($R486),COUNTIFS($A$14:$A$1213,$A486,$R$14:$R$1213,"&gt;"&amp;$R486)+(COUNTIFS($A$14:$A$1213,$A486,$R$14:$R$1213,"="&amp;$R486)+1)/2,"")</f>
        <v/>
      </c>
      <c r="AF486" s="27">
        <f>IF(ISNUMBER($S486),COUNTIFS($A$14:$A$1213,$A486,$S$14:$S$1213,"&gt;"&amp;$S486)+(COUNTIFS($A$14:$A$1213,$A486,$S$14:$S$1213,"="&amp;$S486)+1)/2,"")</f>
        <v/>
      </c>
      <c r="AG486" s="27">
        <f>IF(ISNUMBER($T486),COUNTIFS($A$14:$A$1213,$A486,$T$14:$T$1213,"&gt;"&amp;$T486)+(COUNTIFS($A$14:$A$1213,$A486,$T$14:$T$1213,"="&amp;$T486)+1)/2,"")</f>
        <v/>
      </c>
      <c r="AH486" s="27">
        <f>IF(COUNT($AC486:$AG486)&lt;2,"",IF(MAX($AC486:$AG486)=MIN($AC486:$AG486),0,1))</f>
        <v/>
      </c>
      <c r="AI486" s="27">
        <f>IF($A486="","",IF(COUNTIF($A$14:$A486,$A486)=1,COUNTIF($AI$13:AI485,"&gt;0")+1,""))</f>
        <v/>
      </c>
      <c r="AO486" s="27">
        <f>IF($A486="","",IF(AND(COUNTIFS($A$14:$A$1213,$A486,$F$14:$F$1213,"&gt;=0")=2,IFERROR(INDEX($M$14:$M$313,MATCH($A486,$H$14:$H$313,0)),"Yes")&lt;&gt;"Yes"),1,0))</f>
        <v/>
      </c>
    </row>
    <row r="487">
      <c r="A487" s="19">
        <f>IF('Enter messages'!A487="","",'Enter messages'!A487)</f>
        <v/>
      </c>
      <c r="B487" s="20">
        <f>IF('Enter messages'!B487="","",'Enter messages'!B487)</f>
        <v/>
      </c>
      <c r="C487" s="21">
        <f>IFERROR(AVERAGE(P487:T487),"")</f>
        <v/>
      </c>
      <c r="D487" s="29" t="n"/>
      <c r="E487" s="29" t="n"/>
      <c r="F487" s="30">
        <f>IF(AND(ISNUMBER($D487),ISNUMBER($E487),$E487&gt;0,$D487&lt;=$E487),$D487/$E487,"")</f>
        <v/>
      </c>
      <c r="P487" s="26" t="n"/>
      <c r="Q487" s="26" t="n"/>
      <c r="R487" s="26" t="n"/>
      <c r="S487" s="26" t="n"/>
      <c r="T487" s="26" t="n"/>
      <c r="V487" s="27">
        <f>IF(ISNUMBER($C487),COUNTIFS($A$14:$A$1213,$A487,$C$14:$C$1213,"&gt;"&amp;$C487)+(COUNTIFS($A$14:$A$1213,$A487,$C$14:$C$1213,"="&amp;$C487)+1)/2,"")</f>
        <v/>
      </c>
      <c r="W487" s="27">
        <f>IF(ISNUMBER($F487),COUNTIFS($A$14:$A$1213,$A487,$F$14:$F$1213,"&gt;"&amp;$F487)+(COUNTIFS($A$14:$A$1213,$A487,$F$14:$F$1213,"="&amp;$F487)+1)/2,"")</f>
        <v/>
      </c>
      <c r="X487" s="27">
        <f>IF(OR(NOT(ISNUMBER($V487)),$AO487=1),"",$V487-(COUNTIFS($A$14:$A$1213,$A487,$C$14:$C$1213,"&gt;=0")+1)/2)</f>
        <v/>
      </c>
      <c r="Y487" s="27">
        <f>IF(OR(NOT(ISNUMBER($W487)),$AO487=1),"",$W487-(COUNTIFS($A$14:$A$1213,$A487,$F$14:$F$1213,"&gt;=0")+1)/2)</f>
        <v/>
      </c>
      <c r="Z487" s="27">
        <f>IF(ISNUMBER($V487),$A487&amp;"|"&amp;$V487,"")</f>
        <v/>
      </c>
      <c r="AA487" s="27">
        <f>IF(ISNUMBER($W487),$A487&amp;"|"&amp;$W487,"")</f>
        <v/>
      </c>
      <c r="AB487" s="27">
        <f>IF(ISNUMBER($F487),$A487&amp;"|"&amp;$F487,"")</f>
        <v/>
      </c>
      <c r="AC487" s="27">
        <f>IF(ISNUMBER($P487),COUNTIFS($A$14:$A$1213,$A487,$P$14:$P$1213,"&gt;"&amp;$P487)+(COUNTIFS($A$14:$A$1213,$A487,$P$14:$P$1213,"="&amp;$P487)+1)/2,"")</f>
        <v/>
      </c>
      <c r="AD487" s="27">
        <f>IF(ISNUMBER($Q487),COUNTIFS($A$14:$A$1213,$A487,$Q$14:$Q$1213,"&gt;"&amp;$Q487)+(COUNTIFS($A$14:$A$1213,$A487,$Q$14:$Q$1213,"="&amp;$Q487)+1)/2,"")</f>
        <v/>
      </c>
      <c r="AE487" s="27">
        <f>IF(ISNUMBER($R487),COUNTIFS($A$14:$A$1213,$A487,$R$14:$R$1213,"&gt;"&amp;$R487)+(COUNTIFS($A$14:$A$1213,$A487,$R$14:$R$1213,"="&amp;$R487)+1)/2,"")</f>
        <v/>
      </c>
      <c r="AF487" s="27">
        <f>IF(ISNUMBER($S487),COUNTIFS($A$14:$A$1213,$A487,$S$14:$S$1213,"&gt;"&amp;$S487)+(COUNTIFS($A$14:$A$1213,$A487,$S$14:$S$1213,"="&amp;$S487)+1)/2,"")</f>
        <v/>
      </c>
      <c r="AG487" s="27">
        <f>IF(ISNUMBER($T487),COUNTIFS($A$14:$A$1213,$A487,$T$14:$T$1213,"&gt;"&amp;$T487)+(COUNTIFS($A$14:$A$1213,$A487,$T$14:$T$1213,"="&amp;$T487)+1)/2,"")</f>
        <v/>
      </c>
      <c r="AH487" s="27">
        <f>IF(COUNT($AC487:$AG487)&lt;2,"",IF(MAX($AC487:$AG487)=MIN($AC487:$AG487),0,1))</f>
        <v/>
      </c>
      <c r="AI487" s="27">
        <f>IF($A487="","",IF(COUNTIF($A$14:$A487,$A487)=1,COUNTIF($AI$13:AI486,"&gt;0")+1,""))</f>
        <v/>
      </c>
      <c r="AO487" s="27">
        <f>IF($A487="","",IF(AND(COUNTIFS($A$14:$A$1213,$A487,$F$14:$F$1213,"&gt;=0")=2,IFERROR(INDEX($M$14:$M$313,MATCH($A487,$H$14:$H$313,0)),"Yes")&lt;&gt;"Yes"),1,0))</f>
        <v/>
      </c>
    </row>
    <row r="488">
      <c r="A488" s="19">
        <f>IF('Enter messages'!A488="","",'Enter messages'!A488)</f>
        <v/>
      </c>
      <c r="B488" s="20">
        <f>IF('Enter messages'!B488="","",'Enter messages'!B488)</f>
        <v/>
      </c>
      <c r="C488" s="21">
        <f>IFERROR(AVERAGE(P488:T488),"")</f>
        <v/>
      </c>
      <c r="D488" s="29" t="n"/>
      <c r="E488" s="29" t="n"/>
      <c r="F488" s="30">
        <f>IF(AND(ISNUMBER($D488),ISNUMBER($E488),$E488&gt;0,$D488&lt;=$E488),$D488/$E488,"")</f>
        <v/>
      </c>
      <c r="P488" s="26" t="n"/>
      <c r="Q488" s="26" t="n"/>
      <c r="R488" s="26" t="n"/>
      <c r="S488" s="26" t="n"/>
      <c r="T488" s="26" t="n"/>
      <c r="V488" s="27">
        <f>IF(ISNUMBER($C488),COUNTIFS($A$14:$A$1213,$A488,$C$14:$C$1213,"&gt;"&amp;$C488)+(COUNTIFS($A$14:$A$1213,$A488,$C$14:$C$1213,"="&amp;$C488)+1)/2,"")</f>
        <v/>
      </c>
      <c r="W488" s="27">
        <f>IF(ISNUMBER($F488),COUNTIFS($A$14:$A$1213,$A488,$F$14:$F$1213,"&gt;"&amp;$F488)+(COUNTIFS($A$14:$A$1213,$A488,$F$14:$F$1213,"="&amp;$F488)+1)/2,"")</f>
        <v/>
      </c>
      <c r="X488" s="27">
        <f>IF(OR(NOT(ISNUMBER($V488)),$AO488=1),"",$V488-(COUNTIFS($A$14:$A$1213,$A488,$C$14:$C$1213,"&gt;=0")+1)/2)</f>
        <v/>
      </c>
      <c r="Y488" s="27">
        <f>IF(OR(NOT(ISNUMBER($W488)),$AO488=1),"",$W488-(COUNTIFS($A$14:$A$1213,$A488,$F$14:$F$1213,"&gt;=0")+1)/2)</f>
        <v/>
      </c>
      <c r="Z488" s="27">
        <f>IF(ISNUMBER($V488),$A488&amp;"|"&amp;$V488,"")</f>
        <v/>
      </c>
      <c r="AA488" s="27">
        <f>IF(ISNUMBER($W488),$A488&amp;"|"&amp;$W488,"")</f>
        <v/>
      </c>
      <c r="AB488" s="27">
        <f>IF(ISNUMBER($F488),$A488&amp;"|"&amp;$F488,"")</f>
        <v/>
      </c>
      <c r="AC488" s="27">
        <f>IF(ISNUMBER($P488),COUNTIFS($A$14:$A$1213,$A488,$P$14:$P$1213,"&gt;"&amp;$P488)+(COUNTIFS($A$14:$A$1213,$A488,$P$14:$P$1213,"="&amp;$P488)+1)/2,"")</f>
        <v/>
      </c>
      <c r="AD488" s="27">
        <f>IF(ISNUMBER($Q488),COUNTIFS($A$14:$A$1213,$A488,$Q$14:$Q$1213,"&gt;"&amp;$Q488)+(COUNTIFS($A$14:$A$1213,$A488,$Q$14:$Q$1213,"="&amp;$Q488)+1)/2,"")</f>
        <v/>
      </c>
      <c r="AE488" s="27">
        <f>IF(ISNUMBER($R488),COUNTIFS($A$14:$A$1213,$A488,$R$14:$R$1213,"&gt;"&amp;$R488)+(COUNTIFS($A$14:$A$1213,$A488,$R$14:$R$1213,"="&amp;$R488)+1)/2,"")</f>
        <v/>
      </c>
      <c r="AF488" s="27">
        <f>IF(ISNUMBER($S488),COUNTIFS($A$14:$A$1213,$A488,$S$14:$S$1213,"&gt;"&amp;$S488)+(COUNTIFS($A$14:$A$1213,$A488,$S$14:$S$1213,"="&amp;$S488)+1)/2,"")</f>
        <v/>
      </c>
      <c r="AG488" s="27">
        <f>IF(ISNUMBER($T488),COUNTIFS($A$14:$A$1213,$A488,$T$14:$T$1213,"&gt;"&amp;$T488)+(COUNTIFS($A$14:$A$1213,$A488,$T$14:$T$1213,"="&amp;$T488)+1)/2,"")</f>
        <v/>
      </c>
      <c r="AH488" s="27">
        <f>IF(COUNT($AC488:$AG488)&lt;2,"",IF(MAX($AC488:$AG488)=MIN($AC488:$AG488),0,1))</f>
        <v/>
      </c>
      <c r="AI488" s="27">
        <f>IF($A488="","",IF(COUNTIF($A$14:$A488,$A488)=1,COUNTIF($AI$13:AI487,"&gt;0")+1,""))</f>
        <v/>
      </c>
      <c r="AO488" s="27">
        <f>IF($A488="","",IF(AND(COUNTIFS($A$14:$A$1213,$A488,$F$14:$F$1213,"&gt;=0")=2,IFERROR(INDEX($M$14:$M$313,MATCH($A488,$H$14:$H$313,0)),"Yes")&lt;&gt;"Yes"),1,0))</f>
        <v/>
      </c>
    </row>
    <row r="489">
      <c r="A489" s="19">
        <f>IF('Enter messages'!A489="","",'Enter messages'!A489)</f>
        <v/>
      </c>
      <c r="B489" s="20">
        <f>IF('Enter messages'!B489="","",'Enter messages'!B489)</f>
        <v/>
      </c>
      <c r="C489" s="21">
        <f>IFERROR(AVERAGE(P489:T489),"")</f>
        <v/>
      </c>
      <c r="D489" s="29" t="n"/>
      <c r="E489" s="29" t="n"/>
      <c r="F489" s="30">
        <f>IF(AND(ISNUMBER($D489),ISNUMBER($E489),$E489&gt;0,$D489&lt;=$E489),$D489/$E489,"")</f>
        <v/>
      </c>
      <c r="P489" s="26" t="n"/>
      <c r="Q489" s="26" t="n"/>
      <c r="R489" s="26" t="n"/>
      <c r="S489" s="26" t="n"/>
      <c r="T489" s="26" t="n"/>
      <c r="V489" s="27">
        <f>IF(ISNUMBER($C489),COUNTIFS($A$14:$A$1213,$A489,$C$14:$C$1213,"&gt;"&amp;$C489)+(COUNTIFS($A$14:$A$1213,$A489,$C$14:$C$1213,"="&amp;$C489)+1)/2,"")</f>
        <v/>
      </c>
      <c r="W489" s="27">
        <f>IF(ISNUMBER($F489),COUNTIFS($A$14:$A$1213,$A489,$F$14:$F$1213,"&gt;"&amp;$F489)+(COUNTIFS($A$14:$A$1213,$A489,$F$14:$F$1213,"="&amp;$F489)+1)/2,"")</f>
        <v/>
      </c>
      <c r="X489" s="27">
        <f>IF(OR(NOT(ISNUMBER($V489)),$AO489=1),"",$V489-(COUNTIFS($A$14:$A$1213,$A489,$C$14:$C$1213,"&gt;=0")+1)/2)</f>
        <v/>
      </c>
      <c r="Y489" s="27">
        <f>IF(OR(NOT(ISNUMBER($W489)),$AO489=1),"",$W489-(COUNTIFS($A$14:$A$1213,$A489,$F$14:$F$1213,"&gt;=0")+1)/2)</f>
        <v/>
      </c>
      <c r="Z489" s="27">
        <f>IF(ISNUMBER($V489),$A489&amp;"|"&amp;$V489,"")</f>
        <v/>
      </c>
      <c r="AA489" s="27">
        <f>IF(ISNUMBER($W489),$A489&amp;"|"&amp;$W489,"")</f>
        <v/>
      </c>
      <c r="AB489" s="27">
        <f>IF(ISNUMBER($F489),$A489&amp;"|"&amp;$F489,"")</f>
        <v/>
      </c>
      <c r="AC489" s="27">
        <f>IF(ISNUMBER($P489),COUNTIFS($A$14:$A$1213,$A489,$P$14:$P$1213,"&gt;"&amp;$P489)+(COUNTIFS($A$14:$A$1213,$A489,$P$14:$P$1213,"="&amp;$P489)+1)/2,"")</f>
        <v/>
      </c>
      <c r="AD489" s="27">
        <f>IF(ISNUMBER($Q489),COUNTIFS($A$14:$A$1213,$A489,$Q$14:$Q$1213,"&gt;"&amp;$Q489)+(COUNTIFS($A$14:$A$1213,$A489,$Q$14:$Q$1213,"="&amp;$Q489)+1)/2,"")</f>
        <v/>
      </c>
      <c r="AE489" s="27">
        <f>IF(ISNUMBER($R489),COUNTIFS($A$14:$A$1213,$A489,$R$14:$R$1213,"&gt;"&amp;$R489)+(COUNTIFS($A$14:$A$1213,$A489,$R$14:$R$1213,"="&amp;$R489)+1)/2,"")</f>
        <v/>
      </c>
      <c r="AF489" s="27">
        <f>IF(ISNUMBER($S489),COUNTIFS($A$14:$A$1213,$A489,$S$14:$S$1213,"&gt;"&amp;$S489)+(COUNTIFS($A$14:$A$1213,$A489,$S$14:$S$1213,"="&amp;$S489)+1)/2,"")</f>
        <v/>
      </c>
      <c r="AG489" s="27">
        <f>IF(ISNUMBER($T489),COUNTIFS($A$14:$A$1213,$A489,$T$14:$T$1213,"&gt;"&amp;$T489)+(COUNTIFS($A$14:$A$1213,$A489,$T$14:$T$1213,"="&amp;$T489)+1)/2,"")</f>
        <v/>
      </c>
      <c r="AH489" s="27">
        <f>IF(COUNT($AC489:$AG489)&lt;2,"",IF(MAX($AC489:$AG489)=MIN($AC489:$AG489),0,1))</f>
        <v/>
      </c>
      <c r="AI489" s="27">
        <f>IF($A489="","",IF(COUNTIF($A$14:$A489,$A489)=1,COUNTIF($AI$13:AI488,"&gt;0")+1,""))</f>
        <v/>
      </c>
      <c r="AO489" s="27">
        <f>IF($A489="","",IF(AND(COUNTIFS($A$14:$A$1213,$A489,$F$14:$F$1213,"&gt;=0")=2,IFERROR(INDEX($M$14:$M$313,MATCH($A489,$H$14:$H$313,0)),"Yes")&lt;&gt;"Yes"),1,0))</f>
        <v/>
      </c>
    </row>
    <row r="490">
      <c r="A490" s="19">
        <f>IF('Enter messages'!A490="","",'Enter messages'!A490)</f>
        <v/>
      </c>
      <c r="B490" s="20">
        <f>IF('Enter messages'!B490="","",'Enter messages'!B490)</f>
        <v/>
      </c>
      <c r="C490" s="21">
        <f>IFERROR(AVERAGE(P490:T490),"")</f>
        <v/>
      </c>
      <c r="D490" s="29" t="n"/>
      <c r="E490" s="29" t="n"/>
      <c r="F490" s="30">
        <f>IF(AND(ISNUMBER($D490),ISNUMBER($E490),$E490&gt;0,$D490&lt;=$E490),$D490/$E490,"")</f>
        <v/>
      </c>
      <c r="P490" s="26" t="n"/>
      <c r="Q490" s="26" t="n"/>
      <c r="R490" s="26" t="n"/>
      <c r="S490" s="26" t="n"/>
      <c r="T490" s="26" t="n"/>
      <c r="V490" s="27">
        <f>IF(ISNUMBER($C490),COUNTIFS($A$14:$A$1213,$A490,$C$14:$C$1213,"&gt;"&amp;$C490)+(COUNTIFS($A$14:$A$1213,$A490,$C$14:$C$1213,"="&amp;$C490)+1)/2,"")</f>
        <v/>
      </c>
      <c r="W490" s="27">
        <f>IF(ISNUMBER($F490),COUNTIFS($A$14:$A$1213,$A490,$F$14:$F$1213,"&gt;"&amp;$F490)+(COUNTIFS($A$14:$A$1213,$A490,$F$14:$F$1213,"="&amp;$F490)+1)/2,"")</f>
        <v/>
      </c>
      <c r="X490" s="27">
        <f>IF(OR(NOT(ISNUMBER($V490)),$AO490=1),"",$V490-(COUNTIFS($A$14:$A$1213,$A490,$C$14:$C$1213,"&gt;=0")+1)/2)</f>
        <v/>
      </c>
      <c r="Y490" s="27">
        <f>IF(OR(NOT(ISNUMBER($W490)),$AO490=1),"",$W490-(COUNTIFS($A$14:$A$1213,$A490,$F$14:$F$1213,"&gt;=0")+1)/2)</f>
        <v/>
      </c>
      <c r="Z490" s="27">
        <f>IF(ISNUMBER($V490),$A490&amp;"|"&amp;$V490,"")</f>
        <v/>
      </c>
      <c r="AA490" s="27">
        <f>IF(ISNUMBER($W490),$A490&amp;"|"&amp;$W490,"")</f>
        <v/>
      </c>
      <c r="AB490" s="27">
        <f>IF(ISNUMBER($F490),$A490&amp;"|"&amp;$F490,"")</f>
        <v/>
      </c>
      <c r="AC490" s="27">
        <f>IF(ISNUMBER($P490),COUNTIFS($A$14:$A$1213,$A490,$P$14:$P$1213,"&gt;"&amp;$P490)+(COUNTIFS($A$14:$A$1213,$A490,$P$14:$P$1213,"="&amp;$P490)+1)/2,"")</f>
        <v/>
      </c>
      <c r="AD490" s="27">
        <f>IF(ISNUMBER($Q490),COUNTIFS($A$14:$A$1213,$A490,$Q$14:$Q$1213,"&gt;"&amp;$Q490)+(COUNTIFS($A$14:$A$1213,$A490,$Q$14:$Q$1213,"="&amp;$Q490)+1)/2,"")</f>
        <v/>
      </c>
      <c r="AE490" s="27">
        <f>IF(ISNUMBER($R490),COUNTIFS($A$14:$A$1213,$A490,$R$14:$R$1213,"&gt;"&amp;$R490)+(COUNTIFS($A$14:$A$1213,$A490,$R$14:$R$1213,"="&amp;$R490)+1)/2,"")</f>
        <v/>
      </c>
      <c r="AF490" s="27">
        <f>IF(ISNUMBER($S490),COUNTIFS($A$14:$A$1213,$A490,$S$14:$S$1213,"&gt;"&amp;$S490)+(COUNTIFS($A$14:$A$1213,$A490,$S$14:$S$1213,"="&amp;$S490)+1)/2,"")</f>
        <v/>
      </c>
      <c r="AG490" s="27">
        <f>IF(ISNUMBER($T490),COUNTIFS($A$14:$A$1213,$A490,$T$14:$T$1213,"&gt;"&amp;$T490)+(COUNTIFS($A$14:$A$1213,$A490,$T$14:$T$1213,"="&amp;$T490)+1)/2,"")</f>
        <v/>
      </c>
      <c r="AH490" s="27">
        <f>IF(COUNT($AC490:$AG490)&lt;2,"",IF(MAX($AC490:$AG490)=MIN($AC490:$AG490),0,1))</f>
        <v/>
      </c>
      <c r="AI490" s="27">
        <f>IF($A490="","",IF(COUNTIF($A$14:$A490,$A490)=1,COUNTIF($AI$13:AI489,"&gt;0")+1,""))</f>
        <v/>
      </c>
      <c r="AO490" s="27">
        <f>IF($A490="","",IF(AND(COUNTIFS($A$14:$A$1213,$A490,$F$14:$F$1213,"&gt;=0")=2,IFERROR(INDEX($M$14:$M$313,MATCH($A490,$H$14:$H$313,0)),"Yes")&lt;&gt;"Yes"),1,0))</f>
        <v/>
      </c>
    </row>
    <row r="491">
      <c r="A491" s="19">
        <f>IF('Enter messages'!A491="","",'Enter messages'!A491)</f>
        <v/>
      </c>
      <c r="B491" s="20">
        <f>IF('Enter messages'!B491="","",'Enter messages'!B491)</f>
        <v/>
      </c>
      <c r="C491" s="21">
        <f>IFERROR(AVERAGE(P491:T491),"")</f>
        <v/>
      </c>
      <c r="D491" s="29" t="n"/>
      <c r="E491" s="29" t="n"/>
      <c r="F491" s="30">
        <f>IF(AND(ISNUMBER($D491),ISNUMBER($E491),$E491&gt;0,$D491&lt;=$E491),$D491/$E491,"")</f>
        <v/>
      </c>
      <c r="P491" s="26" t="n"/>
      <c r="Q491" s="26" t="n"/>
      <c r="R491" s="26" t="n"/>
      <c r="S491" s="26" t="n"/>
      <c r="T491" s="26" t="n"/>
      <c r="V491" s="27">
        <f>IF(ISNUMBER($C491),COUNTIFS($A$14:$A$1213,$A491,$C$14:$C$1213,"&gt;"&amp;$C491)+(COUNTIFS($A$14:$A$1213,$A491,$C$14:$C$1213,"="&amp;$C491)+1)/2,"")</f>
        <v/>
      </c>
      <c r="W491" s="27">
        <f>IF(ISNUMBER($F491),COUNTIFS($A$14:$A$1213,$A491,$F$14:$F$1213,"&gt;"&amp;$F491)+(COUNTIFS($A$14:$A$1213,$A491,$F$14:$F$1213,"="&amp;$F491)+1)/2,"")</f>
        <v/>
      </c>
      <c r="X491" s="27">
        <f>IF(OR(NOT(ISNUMBER($V491)),$AO491=1),"",$V491-(COUNTIFS($A$14:$A$1213,$A491,$C$14:$C$1213,"&gt;=0")+1)/2)</f>
        <v/>
      </c>
      <c r="Y491" s="27">
        <f>IF(OR(NOT(ISNUMBER($W491)),$AO491=1),"",$W491-(COUNTIFS($A$14:$A$1213,$A491,$F$14:$F$1213,"&gt;=0")+1)/2)</f>
        <v/>
      </c>
      <c r="Z491" s="27">
        <f>IF(ISNUMBER($V491),$A491&amp;"|"&amp;$V491,"")</f>
        <v/>
      </c>
      <c r="AA491" s="27">
        <f>IF(ISNUMBER($W491),$A491&amp;"|"&amp;$W491,"")</f>
        <v/>
      </c>
      <c r="AB491" s="27">
        <f>IF(ISNUMBER($F491),$A491&amp;"|"&amp;$F491,"")</f>
        <v/>
      </c>
      <c r="AC491" s="27">
        <f>IF(ISNUMBER($P491),COUNTIFS($A$14:$A$1213,$A491,$P$14:$P$1213,"&gt;"&amp;$P491)+(COUNTIFS($A$14:$A$1213,$A491,$P$14:$P$1213,"="&amp;$P491)+1)/2,"")</f>
        <v/>
      </c>
      <c r="AD491" s="27">
        <f>IF(ISNUMBER($Q491),COUNTIFS($A$14:$A$1213,$A491,$Q$14:$Q$1213,"&gt;"&amp;$Q491)+(COUNTIFS($A$14:$A$1213,$A491,$Q$14:$Q$1213,"="&amp;$Q491)+1)/2,"")</f>
        <v/>
      </c>
      <c r="AE491" s="27">
        <f>IF(ISNUMBER($R491),COUNTIFS($A$14:$A$1213,$A491,$R$14:$R$1213,"&gt;"&amp;$R491)+(COUNTIFS($A$14:$A$1213,$A491,$R$14:$R$1213,"="&amp;$R491)+1)/2,"")</f>
        <v/>
      </c>
      <c r="AF491" s="27">
        <f>IF(ISNUMBER($S491),COUNTIFS($A$14:$A$1213,$A491,$S$14:$S$1213,"&gt;"&amp;$S491)+(COUNTIFS($A$14:$A$1213,$A491,$S$14:$S$1213,"="&amp;$S491)+1)/2,"")</f>
        <v/>
      </c>
      <c r="AG491" s="27">
        <f>IF(ISNUMBER($T491),COUNTIFS($A$14:$A$1213,$A491,$T$14:$T$1213,"&gt;"&amp;$T491)+(COUNTIFS($A$14:$A$1213,$A491,$T$14:$T$1213,"="&amp;$T491)+1)/2,"")</f>
        <v/>
      </c>
      <c r="AH491" s="27">
        <f>IF(COUNT($AC491:$AG491)&lt;2,"",IF(MAX($AC491:$AG491)=MIN($AC491:$AG491),0,1))</f>
        <v/>
      </c>
      <c r="AI491" s="27">
        <f>IF($A491="","",IF(COUNTIF($A$14:$A491,$A491)=1,COUNTIF($AI$13:AI490,"&gt;0")+1,""))</f>
        <v/>
      </c>
      <c r="AO491" s="27">
        <f>IF($A491="","",IF(AND(COUNTIFS($A$14:$A$1213,$A491,$F$14:$F$1213,"&gt;=0")=2,IFERROR(INDEX($M$14:$M$313,MATCH($A491,$H$14:$H$313,0)),"Yes")&lt;&gt;"Yes"),1,0))</f>
        <v/>
      </c>
    </row>
    <row r="492">
      <c r="A492" s="19">
        <f>IF('Enter messages'!A492="","",'Enter messages'!A492)</f>
        <v/>
      </c>
      <c r="B492" s="20">
        <f>IF('Enter messages'!B492="","",'Enter messages'!B492)</f>
        <v/>
      </c>
      <c r="C492" s="21">
        <f>IFERROR(AVERAGE(P492:T492),"")</f>
        <v/>
      </c>
      <c r="D492" s="29" t="n"/>
      <c r="E492" s="29" t="n"/>
      <c r="F492" s="30">
        <f>IF(AND(ISNUMBER($D492),ISNUMBER($E492),$E492&gt;0,$D492&lt;=$E492),$D492/$E492,"")</f>
        <v/>
      </c>
      <c r="P492" s="26" t="n"/>
      <c r="Q492" s="26" t="n"/>
      <c r="R492" s="26" t="n"/>
      <c r="S492" s="26" t="n"/>
      <c r="T492" s="26" t="n"/>
      <c r="V492" s="27">
        <f>IF(ISNUMBER($C492),COUNTIFS($A$14:$A$1213,$A492,$C$14:$C$1213,"&gt;"&amp;$C492)+(COUNTIFS($A$14:$A$1213,$A492,$C$14:$C$1213,"="&amp;$C492)+1)/2,"")</f>
        <v/>
      </c>
      <c r="W492" s="27">
        <f>IF(ISNUMBER($F492),COUNTIFS($A$14:$A$1213,$A492,$F$14:$F$1213,"&gt;"&amp;$F492)+(COUNTIFS($A$14:$A$1213,$A492,$F$14:$F$1213,"="&amp;$F492)+1)/2,"")</f>
        <v/>
      </c>
      <c r="X492" s="27">
        <f>IF(OR(NOT(ISNUMBER($V492)),$AO492=1),"",$V492-(COUNTIFS($A$14:$A$1213,$A492,$C$14:$C$1213,"&gt;=0")+1)/2)</f>
        <v/>
      </c>
      <c r="Y492" s="27">
        <f>IF(OR(NOT(ISNUMBER($W492)),$AO492=1),"",$W492-(COUNTIFS($A$14:$A$1213,$A492,$F$14:$F$1213,"&gt;=0")+1)/2)</f>
        <v/>
      </c>
      <c r="Z492" s="27">
        <f>IF(ISNUMBER($V492),$A492&amp;"|"&amp;$V492,"")</f>
        <v/>
      </c>
      <c r="AA492" s="27">
        <f>IF(ISNUMBER($W492),$A492&amp;"|"&amp;$W492,"")</f>
        <v/>
      </c>
      <c r="AB492" s="27">
        <f>IF(ISNUMBER($F492),$A492&amp;"|"&amp;$F492,"")</f>
        <v/>
      </c>
      <c r="AC492" s="27">
        <f>IF(ISNUMBER($P492),COUNTIFS($A$14:$A$1213,$A492,$P$14:$P$1213,"&gt;"&amp;$P492)+(COUNTIFS($A$14:$A$1213,$A492,$P$14:$P$1213,"="&amp;$P492)+1)/2,"")</f>
        <v/>
      </c>
      <c r="AD492" s="27">
        <f>IF(ISNUMBER($Q492),COUNTIFS($A$14:$A$1213,$A492,$Q$14:$Q$1213,"&gt;"&amp;$Q492)+(COUNTIFS($A$14:$A$1213,$A492,$Q$14:$Q$1213,"="&amp;$Q492)+1)/2,"")</f>
        <v/>
      </c>
      <c r="AE492" s="27">
        <f>IF(ISNUMBER($R492),COUNTIFS($A$14:$A$1213,$A492,$R$14:$R$1213,"&gt;"&amp;$R492)+(COUNTIFS($A$14:$A$1213,$A492,$R$14:$R$1213,"="&amp;$R492)+1)/2,"")</f>
        <v/>
      </c>
      <c r="AF492" s="27">
        <f>IF(ISNUMBER($S492),COUNTIFS($A$14:$A$1213,$A492,$S$14:$S$1213,"&gt;"&amp;$S492)+(COUNTIFS($A$14:$A$1213,$A492,$S$14:$S$1213,"="&amp;$S492)+1)/2,"")</f>
        <v/>
      </c>
      <c r="AG492" s="27">
        <f>IF(ISNUMBER($T492),COUNTIFS($A$14:$A$1213,$A492,$T$14:$T$1213,"&gt;"&amp;$T492)+(COUNTIFS($A$14:$A$1213,$A492,$T$14:$T$1213,"="&amp;$T492)+1)/2,"")</f>
        <v/>
      </c>
      <c r="AH492" s="27">
        <f>IF(COUNT($AC492:$AG492)&lt;2,"",IF(MAX($AC492:$AG492)=MIN($AC492:$AG492),0,1))</f>
        <v/>
      </c>
      <c r="AI492" s="27">
        <f>IF($A492="","",IF(COUNTIF($A$14:$A492,$A492)=1,COUNTIF($AI$13:AI491,"&gt;0")+1,""))</f>
        <v/>
      </c>
      <c r="AO492" s="27">
        <f>IF($A492="","",IF(AND(COUNTIFS($A$14:$A$1213,$A492,$F$14:$F$1213,"&gt;=0")=2,IFERROR(INDEX($M$14:$M$313,MATCH($A492,$H$14:$H$313,0)),"Yes")&lt;&gt;"Yes"),1,0))</f>
        <v/>
      </c>
    </row>
    <row r="493">
      <c r="A493" s="19">
        <f>IF('Enter messages'!A493="","",'Enter messages'!A493)</f>
        <v/>
      </c>
      <c r="B493" s="20">
        <f>IF('Enter messages'!B493="","",'Enter messages'!B493)</f>
        <v/>
      </c>
      <c r="C493" s="21">
        <f>IFERROR(AVERAGE(P493:T493),"")</f>
        <v/>
      </c>
      <c r="D493" s="29" t="n"/>
      <c r="E493" s="29" t="n"/>
      <c r="F493" s="30">
        <f>IF(AND(ISNUMBER($D493),ISNUMBER($E493),$E493&gt;0,$D493&lt;=$E493),$D493/$E493,"")</f>
        <v/>
      </c>
      <c r="P493" s="26" t="n"/>
      <c r="Q493" s="26" t="n"/>
      <c r="R493" s="26" t="n"/>
      <c r="S493" s="26" t="n"/>
      <c r="T493" s="26" t="n"/>
      <c r="V493" s="27">
        <f>IF(ISNUMBER($C493),COUNTIFS($A$14:$A$1213,$A493,$C$14:$C$1213,"&gt;"&amp;$C493)+(COUNTIFS($A$14:$A$1213,$A493,$C$14:$C$1213,"="&amp;$C493)+1)/2,"")</f>
        <v/>
      </c>
      <c r="W493" s="27">
        <f>IF(ISNUMBER($F493),COUNTIFS($A$14:$A$1213,$A493,$F$14:$F$1213,"&gt;"&amp;$F493)+(COUNTIFS($A$14:$A$1213,$A493,$F$14:$F$1213,"="&amp;$F493)+1)/2,"")</f>
        <v/>
      </c>
      <c r="X493" s="27">
        <f>IF(OR(NOT(ISNUMBER($V493)),$AO493=1),"",$V493-(COUNTIFS($A$14:$A$1213,$A493,$C$14:$C$1213,"&gt;=0")+1)/2)</f>
        <v/>
      </c>
      <c r="Y493" s="27">
        <f>IF(OR(NOT(ISNUMBER($W493)),$AO493=1),"",$W493-(COUNTIFS($A$14:$A$1213,$A493,$F$14:$F$1213,"&gt;=0")+1)/2)</f>
        <v/>
      </c>
      <c r="Z493" s="27">
        <f>IF(ISNUMBER($V493),$A493&amp;"|"&amp;$V493,"")</f>
        <v/>
      </c>
      <c r="AA493" s="27">
        <f>IF(ISNUMBER($W493),$A493&amp;"|"&amp;$W493,"")</f>
        <v/>
      </c>
      <c r="AB493" s="27">
        <f>IF(ISNUMBER($F493),$A493&amp;"|"&amp;$F493,"")</f>
        <v/>
      </c>
      <c r="AC493" s="27">
        <f>IF(ISNUMBER($P493),COUNTIFS($A$14:$A$1213,$A493,$P$14:$P$1213,"&gt;"&amp;$P493)+(COUNTIFS($A$14:$A$1213,$A493,$P$14:$P$1213,"="&amp;$P493)+1)/2,"")</f>
        <v/>
      </c>
      <c r="AD493" s="27">
        <f>IF(ISNUMBER($Q493),COUNTIFS($A$14:$A$1213,$A493,$Q$14:$Q$1213,"&gt;"&amp;$Q493)+(COUNTIFS($A$14:$A$1213,$A493,$Q$14:$Q$1213,"="&amp;$Q493)+1)/2,"")</f>
        <v/>
      </c>
      <c r="AE493" s="27">
        <f>IF(ISNUMBER($R493),COUNTIFS($A$14:$A$1213,$A493,$R$14:$R$1213,"&gt;"&amp;$R493)+(COUNTIFS($A$14:$A$1213,$A493,$R$14:$R$1213,"="&amp;$R493)+1)/2,"")</f>
        <v/>
      </c>
      <c r="AF493" s="27">
        <f>IF(ISNUMBER($S493),COUNTIFS($A$14:$A$1213,$A493,$S$14:$S$1213,"&gt;"&amp;$S493)+(COUNTIFS($A$14:$A$1213,$A493,$S$14:$S$1213,"="&amp;$S493)+1)/2,"")</f>
        <v/>
      </c>
      <c r="AG493" s="27">
        <f>IF(ISNUMBER($T493),COUNTIFS($A$14:$A$1213,$A493,$T$14:$T$1213,"&gt;"&amp;$T493)+(COUNTIFS($A$14:$A$1213,$A493,$T$14:$T$1213,"="&amp;$T493)+1)/2,"")</f>
        <v/>
      </c>
      <c r="AH493" s="27">
        <f>IF(COUNT($AC493:$AG493)&lt;2,"",IF(MAX($AC493:$AG493)=MIN($AC493:$AG493),0,1))</f>
        <v/>
      </c>
      <c r="AI493" s="27">
        <f>IF($A493="","",IF(COUNTIF($A$14:$A493,$A493)=1,COUNTIF($AI$13:AI492,"&gt;0")+1,""))</f>
        <v/>
      </c>
      <c r="AO493" s="27">
        <f>IF($A493="","",IF(AND(COUNTIFS($A$14:$A$1213,$A493,$F$14:$F$1213,"&gt;=0")=2,IFERROR(INDEX($M$14:$M$313,MATCH($A493,$H$14:$H$313,0)),"Yes")&lt;&gt;"Yes"),1,0))</f>
        <v/>
      </c>
    </row>
    <row r="494">
      <c r="A494" s="19">
        <f>IF('Enter messages'!A494="","",'Enter messages'!A494)</f>
        <v/>
      </c>
      <c r="B494" s="20">
        <f>IF('Enter messages'!B494="","",'Enter messages'!B494)</f>
        <v/>
      </c>
      <c r="C494" s="21">
        <f>IFERROR(AVERAGE(P494:T494),"")</f>
        <v/>
      </c>
      <c r="D494" s="29" t="n"/>
      <c r="E494" s="29" t="n"/>
      <c r="F494" s="30">
        <f>IF(AND(ISNUMBER($D494),ISNUMBER($E494),$E494&gt;0,$D494&lt;=$E494),$D494/$E494,"")</f>
        <v/>
      </c>
      <c r="P494" s="26" t="n"/>
      <c r="Q494" s="26" t="n"/>
      <c r="R494" s="26" t="n"/>
      <c r="S494" s="26" t="n"/>
      <c r="T494" s="26" t="n"/>
      <c r="V494" s="27">
        <f>IF(ISNUMBER($C494),COUNTIFS($A$14:$A$1213,$A494,$C$14:$C$1213,"&gt;"&amp;$C494)+(COUNTIFS($A$14:$A$1213,$A494,$C$14:$C$1213,"="&amp;$C494)+1)/2,"")</f>
        <v/>
      </c>
      <c r="W494" s="27">
        <f>IF(ISNUMBER($F494),COUNTIFS($A$14:$A$1213,$A494,$F$14:$F$1213,"&gt;"&amp;$F494)+(COUNTIFS($A$14:$A$1213,$A494,$F$14:$F$1213,"="&amp;$F494)+1)/2,"")</f>
        <v/>
      </c>
      <c r="X494" s="27">
        <f>IF(OR(NOT(ISNUMBER($V494)),$AO494=1),"",$V494-(COUNTIFS($A$14:$A$1213,$A494,$C$14:$C$1213,"&gt;=0")+1)/2)</f>
        <v/>
      </c>
      <c r="Y494" s="27">
        <f>IF(OR(NOT(ISNUMBER($W494)),$AO494=1),"",$W494-(COUNTIFS($A$14:$A$1213,$A494,$F$14:$F$1213,"&gt;=0")+1)/2)</f>
        <v/>
      </c>
      <c r="Z494" s="27">
        <f>IF(ISNUMBER($V494),$A494&amp;"|"&amp;$V494,"")</f>
        <v/>
      </c>
      <c r="AA494" s="27">
        <f>IF(ISNUMBER($W494),$A494&amp;"|"&amp;$W494,"")</f>
        <v/>
      </c>
      <c r="AB494" s="27">
        <f>IF(ISNUMBER($F494),$A494&amp;"|"&amp;$F494,"")</f>
        <v/>
      </c>
      <c r="AC494" s="27">
        <f>IF(ISNUMBER($P494),COUNTIFS($A$14:$A$1213,$A494,$P$14:$P$1213,"&gt;"&amp;$P494)+(COUNTIFS($A$14:$A$1213,$A494,$P$14:$P$1213,"="&amp;$P494)+1)/2,"")</f>
        <v/>
      </c>
      <c r="AD494" s="27">
        <f>IF(ISNUMBER($Q494),COUNTIFS($A$14:$A$1213,$A494,$Q$14:$Q$1213,"&gt;"&amp;$Q494)+(COUNTIFS($A$14:$A$1213,$A494,$Q$14:$Q$1213,"="&amp;$Q494)+1)/2,"")</f>
        <v/>
      </c>
      <c r="AE494" s="27">
        <f>IF(ISNUMBER($R494),COUNTIFS($A$14:$A$1213,$A494,$R$14:$R$1213,"&gt;"&amp;$R494)+(COUNTIFS($A$14:$A$1213,$A494,$R$14:$R$1213,"="&amp;$R494)+1)/2,"")</f>
        <v/>
      </c>
      <c r="AF494" s="27">
        <f>IF(ISNUMBER($S494),COUNTIFS($A$14:$A$1213,$A494,$S$14:$S$1213,"&gt;"&amp;$S494)+(COUNTIFS($A$14:$A$1213,$A494,$S$14:$S$1213,"="&amp;$S494)+1)/2,"")</f>
        <v/>
      </c>
      <c r="AG494" s="27">
        <f>IF(ISNUMBER($T494),COUNTIFS($A$14:$A$1213,$A494,$T$14:$T$1213,"&gt;"&amp;$T494)+(COUNTIFS($A$14:$A$1213,$A494,$T$14:$T$1213,"="&amp;$T494)+1)/2,"")</f>
        <v/>
      </c>
      <c r="AH494" s="27">
        <f>IF(COUNT($AC494:$AG494)&lt;2,"",IF(MAX($AC494:$AG494)=MIN($AC494:$AG494),0,1))</f>
        <v/>
      </c>
      <c r="AI494" s="27">
        <f>IF($A494="","",IF(COUNTIF($A$14:$A494,$A494)=1,COUNTIF($AI$13:AI493,"&gt;0")+1,""))</f>
        <v/>
      </c>
      <c r="AO494" s="27">
        <f>IF($A494="","",IF(AND(COUNTIFS($A$14:$A$1213,$A494,$F$14:$F$1213,"&gt;=0")=2,IFERROR(INDEX($M$14:$M$313,MATCH($A494,$H$14:$H$313,0)),"Yes")&lt;&gt;"Yes"),1,0))</f>
        <v/>
      </c>
    </row>
    <row r="495">
      <c r="A495" s="19">
        <f>IF('Enter messages'!A495="","",'Enter messages'!A495)</f>
        <v/>
      </c>
      <c r="B495" s="20">
        <f>IF('Enter messages'!B495="","",'Enter messages'!B495)</f>
        <v/>
      </c>
      <c r="C495" s="21">
        <f>IFERROR(AVERAGE(P495:T495),"")</f>
        <v/>
      </c>
      <c r="D495" s="29" t="n"/>
      <c r="E495" s="29" t="n"/>
      <c r="F495" s="30">
        <f>IF(AND(ISNUMBER($D495),ISNUMBER($E495),$E495&gt;0,$D495&lt;=$E495),$D495/$E495,"")</f>
        <v/>
      </c>
      <c r="P495" s="26" t="n"/>
      <c r="Q495" s="26" t="n"/>
      <c r="R495" s="26" t="n"/>
      <c r="S495" s="26" t="n"/>
      <c r="T495" s="26" t="n"/>
      <c r="V495" s="27">
        <f>IF(ISNUMBER($C495),COUNTIFS($A$14:$A$1213,$A495,$C$14:$C$1213,"&gt;"&amp;$C495)+(COUNTIFS($A$14:$A$1213,$A495,$C$14:$C$1213,"="&amp;$C495)+1)/2,"")</f>
        <v/>
      </c>
      <c r="W495" s="27">
        <f>IF(ISNUMBER($F495),COUNTIFS($A$14:$A$1213,$A495,$F$14:$F$1213,"&gt;"&amp;$F495)+(COUNTIFS($A$14:$A$1213,$A495,$F$14:$F$1213,"="&amp;$F495)+1)/2,"")</f>
        <v/>
      </c>
      <c r="X495" s="27">
        <f>IF(OR(NOT(ISNUMBER($V495)),$AO495=1),"",$V495-(COUNTIFS($A$14:$A$1213,$A495,$C$14:$C$1213,"&gt;=0")+1)/2)</f>
        <v/>
      </c>
      <c r="Y495" s="27">
        <f>IF(OR(NOT(ISNUMBER($W495)),$AO495=1),"",$W495-(COUNTIFS($A$14:$A$1213,$A495,$F$14:$F$1213,"&gt;=0")+1)/2)</f>
        <v/>
      </c>
      <c r="Z495" s="27">
        <f>IF(ISNUMBER($V495),$A495&amp;"|"&amp;$V495,"")</f>
        <v/>
      </c>
      <c r="AA495" s="27">
        <f>IF(ISNUMBER($W495),$A495&amp;"|"&amp;$W495,"")</f>
        <v/>
      </c>
      <c r="AB495" s="27">
        <f>IF(ISNUMBER($F495),$A495&amp;"|"&amp;$F495,"")</f>
        <v/>
      </c>
      <c r="AC495" s="27">
        <f>IF(ISNUMBER($P495),COUNTIFS($A$14:$A$1213,$A495,$P$14:$P$1213,"&gt;"&amp;$P495)+(COUNTIFS($A$14:$A$1213,$A495,$P$14:$P$1213,"="&amp;$P495)+1)/2,"")</f>
        <v/>
      </c>
      <c r="AD495" s="27">
        <f>IF(ISNUMBER($Q495),COUNTIFS($A$14:$A$1213,$A495,$Q$14:$Q$1213,"&gt;"&amp;$Q495)+(COUNTIFS($A$14:$A$1213,$A495,$Q$14:$Q$1213,"="&amp;$Q495)+1)/2,"")</f>
        <v/>
      </c>
      <c r="AE495" s="27">
        <f>IF(ISNUMBER($R495),COUNTIFS($A$14:$A$1213,$A495,$R$14:$R$1213,"&gt;"&amp;$R495)+(COUNTIFS($A$14:$A$1213,$A495,$R$14:$R$1213,"="&amp;$R495)+1)/2,"")</f>
        <v/>
      </c>
      <c r="AF495" s="27">
        <f>IF(ISNUMBER($S495),COUNTIFS($A$14:$A$1213,$A495,$S$14:$S$1213,"&gt;"&amp;$S495)+(COUNTIFS($A$14:$A$1213,$A495,$S$14:$S$1213,"="&amp;$S495)+1)/2,"")</f>
        <v/>
      </c>
      <c r="AG495" s="27">
        <f>IF(ISNUMBER($T495),COUNTIFS($A$14:$A$1213,$A495,$T$14:$T$1213,"&gt;"&amp;$T495)+(COUNTIFS($A$14:$A$1213,$A495,$T$14:$T$1213,"="&amp;$T495)+1)/2,"")</f>
        <v/>
      </c>
      <c r="AH495" s="27">
        <f>IF(COUNT($AC495:$AG495)&lt;2,"",IF(MAX($AC495:$AG495)=MIN($AC495:$AG495),0,1))</f>
        <v/>
      </c>
      <c r="AI495" s="27">
        <f>IF($A495="","",IF(COUNTIF($A$14:$A495,$A495)=1,COUNTIF($AI$13:AI494,"&gt;0")+1,""))</f>
        <v/>
      </c>
      <c r="AO495" s="27">
        <f>IF($A495="","",IF(AND(COUNTIFS($A$14:$A$1213,$A495,$F$14:$F$1213,"&gt;=0")=2,IFERROR(INDEX($M$14:$M$313,MATCH($A495,$H$14:$H$313,0)),"Yes")&lt;&gt;"Yes"),1,0))</f>
        <v/>
      </c>
    </row>
    <row r="496">
      <c r="A496" s="19">
        <f>IF('Enter messages'!A496="","",'Enter messages'!A496)</f>
        <v/>
      </c>
      <c r="B496" s="20">
        <f>IF('Enter messages'!B496="","",'Enter messages'!B496)</f>
        <v/>
      </c>
      <c r="C496" s="21">
        <f>IFERROR(AVERAGE(P496:T496),"")</f>
        <v/>
      </c>
      <c r="D496" s="29" t="n"/>
      <c r="E496" s="29" t="n"/>
      <c r="F496" s="30">
        <f>IF(AND(ISNUMBER($D496),ISNUMBER($E496),$E496&gt;0,$D496&lt;=$E496),$D496/$E496,"")</f>
        <v/>
      </c>
      <c r="P496" s="26" t="n"/>
      <c r="Q496" s="26" t="n"/>
      <c r="R496" s="26" t="n"/>
      <c r="S496" s="26" t="n"/>
      <c r="T496" s="26" t="n"/>
      <c r="V496" s="27">
        <f>IF(ISNUMBER($C496),COUNTIFS($A$14:$A$1213,$A496,$C$14:$C$1213,"&gt;"&amp;$C496)+(COUNTIFS($A$14:$A$1213,$A496,$C$14:$C$1213,"="&amp;$C496)+1)/2,"")</f>
        <v/>
      </c>
      <c r="W496" s="27">
        <f>IF(ISNUMBER($F496),COUNTIFS($A$14:$A$1213,$A496,$F$14:$F$1213,"&gt;"&amp;$F496)+(COUNTIFS($A$14:$A$1213,$A496,$F$14:$F$1213,"="&amp;$F496)+1)/2,"")</f>
        <v/>
      </c>
      <c r="X496" s="27">
        <f>IF(OR(NOT(ISNUMBER($V496)),$AO496=1),"",$V496-(COUNTIFS($A$14:$A$1213,$A496,$C$14:$C$1213,"&gt;=0")+1)/2)</f>
        <v/>
      </c>
      <c r="Y496" s="27">
        <f>IF(OR(NOT(ISNUMBER($W496)),$AO496=1),"",$W496-(COUNTIFS($A$14:$A$1213,$A496,$F$14:$F$1213,"&gt;=0")+1)/2)</f>
        <v/>
      </c>
      <c r="Z496" s="27">
        <f>IF(ISNUMBER($V496),$A496&amp;"|"&amp;$V496,"")</f>
        <v/>
      </c>
      <c r="AA496" s="27">
        <f>IF(ISNUMBER($W496),$A496&amp;"|"&amp;$W496,"")</f>
        <v/>
      </c>
      <c r="AB496" s="27">
        <f>IF(ISNUMBER($F496),$A496&amp;"|"&amp;$F496,"")</f>
        <v/>
      </c>
      <c r="AC496" s="27">
        <f>IF(ISNUMBER($P496),COUNTIFS($A$14:$A$1213,$A496,$P$14:$P$1213,"&gt;"&amp;$P496)+(COUNTIFS($A$14:$A$1213,$A496,$P$14:$P$1213,"="&amp;$P496)+1)/2,"")</f>
        <v/>
      </c>
      <c r="AD496" s="27">
        <f>IF(ISNUMBER($Q496),COUNTIFS($A$14:$A$1213,$A496,$Q$14:$Q$1213,"&gt;"&amp;$Q496)+(COUNTIFS($A$14:$A$1213,$A496,$Q$14:$Q$1213,"="&amp;$Q496)+1)/2,"")</f>
        <v/>
      </c>
      <c r="AE496" s="27">
        <f>IF(ISNUMBER($R496),COUNTIFS($A$14:$A$1213,$A496,$R$14:$R$1213,"&gt;"&amp;$R496)+(COUNTIFS($A$14:$A$1213,$A496,$R$14:$R$1213,"="&amp;$R496)+1)/2,"")</f>
        <v/>
      </c>
      <c r="AF496" s="27">
        <f>IF(ISNUMBER($S496),COUNTIFS($A$14:$A$1213,$A496,$S$14:$S$1213,"&gt;"&amp;$S496)+(COUNTIFS($A$14:$A$1213,$A496,$S$14:$S$1213,"="&amp;$S496)+1)/2,"")</f>
        <v/>
      </c>
      <c r="AG496" s="27">
        <f>IF(ISNUMBER($T496),COUNTIFS($A$14:$A$1213,$A496,$T$14:$T$1213,"&gt;"&amp;$T496)+(COUNTIFS($A$14:$A$1213,$A496,$T$14:$T$1213,"="&amp;$T496)+1)/2,"")</f>
        <v/>
      </c>
      <c r="AH496" s="27">
        <f>IF(COUNT($AC496:$AG496)&lt;2,"",IF(MAX($AC496:$AG496)=MIN($AC496:$AG496),0,1))</f>
        <v/>
      </c>
      <c r="AI496" s="27">
        <f>IF($A496="","",IF(COUNTIF($A$14:$A496,$A496)=1,COUNTIF($AI$13:AI495,"&gt;0")+1,""))</f>
        <v/>
      </c>
      <c r="AO496" s="27">
        <f>IF($A496="","",IF(AND(COUNTIFS($A$14:$A$1213,$A496,$F$14:$F$1213,"&gt;=0")=2,IFERROR(INDEX($M$14:$M$313,MATCH($A496,$H$14:$H$313,0)),"Yes")&lt;&gt;"Yes"),1,0))</f>
        <v/>
      </c>
    </row>
    <row r="497">
      <c r="A497" s="19">
        <f>IF('Enter messages'!A497="","",'Enter messages'!A497)</f>
        <v/>
      </c>
      <c r="B497" s="20">
        <f>IF('Enter messages'!B497="","",'Enter messages'!B497)</f>
        <v/>
      </c>
      <c r="C497" s="21">
        <f>IFERROR(AVERAGE(P497:T497),"")</f>
        <v/>
      </c>
      <c r="D497" s="29" t="n"/>
      <c r="E497" s="29" t="n"/>
      <c r="F497" s="30">
        <f>IF(AND(ISNUMBER($D497),ISNUMBER($E497),$E497&gt;0,$D497&lt;=$E497),$D497/$E497,"")</f>
        <v/>
      </c>
      <c r="P497" s="26" t="n"/>
      <c r="Q497" s="26" t="n"/>
      <c r="R497" s="26" t="n"/>
      <c r="S497" s="26" t="n"/>
      <c r="T497" s="26" t="n"/>
      <c r="V497" s="27">
        <f>IF(ISNUMBER($C497),COUNTIFS($A$14:$A$1213,$A497,$C$14:$C$1213,"&gt;"&amp;$C497)+(COUNTIFS($A$14:$A$1213,$A497,$C$14:$C$1213,"="&amp;$C497)+1)/2,"")</f>
        <v/>
      </c>
      <c r="W497" s="27">
        <f>IF(ISNUMBER($F497),COUNTIFS($A$14:$A$1213,$A497,$F$14:$F$1213,"&gt;"&amp;$F497)+(COUNTIFS($A$14:$A$1213,$A497,$F$14:$F$1213,"="&amp;$F497)+1)/2,"")</f>
        <v/>
      </c>
      <c r="X497" s="27">
        <f>IF(OR(NOT(ISNUMBER($V497)),$AO497=1),"",$V497-(COUNTIFS($A$14:$A$1213,$A497,$C$14:$C$1213,"&gt;=0")+1)/2)</f>
        <v/>
      </c>
      <c r="Y497" s="27">
        <f>IF(OR(NOT(ISNUMBER($W497)),$AO497=1),"",$W497-(COUNTIFS($A$14:$A$1213,$A497,$F$14:$F$1213,"&gt;=0")+1)/2)</f>
        <v/>
      </c>
      <c r="Z497" s="27">
        <f>IF(ISNUMBER($V497),$A497&amp;"|"&amp;$V497,"")</f>
        <v/>
      </c>
      <c r="AA497" s="27">
        <f>IF(ISNUMBER($W497),$A497&amp;"|"&amp;$W497,"")</f>
        <v/>
      </c>
      <c r="AB497" s="27">
        <f>IF(ISNUMBER($F497),$A497&amp;"|"&amp;$F497,"")</f>
        <v/>
      </c>
      <c r="AC497" s="27">
        <f>IF(ISNUMBER($P497),COUNTIFS($A$14:$A$1213,$A497,$P$14:$P$1213,"&gt;"&amp;$P497)+(COUNTIFS($A$14:$A$1213,$A497,$P$14:$P$1213,"="&amp;$P497)+1)/2,"")</f>
        <v/>
      </c>
      <c r="AD497" s="27">
        <f>IF(ISNUMBER($Q497),COUNTIFS($A$14:$A$1213,$A497,$Q$14:$Q$1213,"&gt;"&amp;$Q497)+(COUNTIFS($A$14:$A$1213,$A497,$Q$14:$Q$1213,"="&amp;$Q497)+1)/2,"")</f>
        <v/>
      </c>
      <c r="AE497" s="27">
        <f>IF(ISNUMBER($R497),COUNTIFS($A$14:$A$1213,$A497,$R$14:$R$1213,"&gt;"&amp;$R497)+(COUNTIFS($A$14:$A$1213,$A497,$R$14:$R$1213,"="&amp;$R497)+1)/2,"")</f>
        <v/>
      </c>
      <c r="AF497" s="27">
        <f>IF(ISNUMBER($S497),COUNTIFS($A$14:$A$1213,$A497,$S$14:$S$1213,"&gt;"&amp;$S497)+(COUNTIFS($A$14:$A$1213,$A497,$S$14:$S$1213,"="&amp;$S497)+1)/2,"")</f>
        <v/>
      </c>
      <c r="AG497" s="27">
        <f>IF(ISNUMBER($T497),COUNTIFS($A$14:$A$1213,$A497,$T$14:$T$1213,"&gt;"&amp;$T497)+(COUNTIFS($A$14:$A$1213,$A497,$T$14:$T$1213,"="&amp;$T497)+1)/2,"")</f>
        <v/>
      </c>
      <c r="AH497" s="27">
        <f>IF(COUNT($AC497:$AG497)&lt;2,"",IF(MAX($AC497:$AG497)=MIN($AC497:$AG497),0,1))</f>
        <v/>
      </c>
      <c r="AI497" s="27">
        <f>IF($A497="","",IF(COUNTIF($A$14:$A497,$A497)=1,COUNTIF($AI$13:AI496,"&gt;0")+1,""))</f>
        <v/>
      </c>
      <c r="AO497" s="27">
        <f>IF($A497="","",IF(AND(COUNTIFS($A$14:$A$1213,$A497,$F$14:$F$1213,"&gt;=0")=2,IFERROR(INDEX($M$14:$M$313,MATCH($A497,$H$14:$H$313,0)),"Yes")&lt;&gt;"Yes"),1,0))</f>
        <v/>
      </c>
    </row>
    <row r="498">
      <c r="A498" s="19">
        <f>IF('Enter messages'!A498="","",'Enter messages'!A498)</f>
        <v/>
      </c>
      <c r="B498" s="20">
        <f>IF('Enter messages'!B498="","",'Enter messages'!B498)</f>
        <v/>
      </c>
      <c r="C498" s="21">
        <f>IFERROR(AVERAGE(P498:T498),"")</f>
        <v/>
      </c>
      <c r="D498" s="29" t="n"/>
      <c r="E498" s="29" t="n"/>
      <c r="F498" s="30">
        <f>IF(AND(ISNUMBER($D498),ISNUMBER($E498),$E498&gt;0,$D498&lt;=$E498),$D498/$E498,"")</f>
        <v/>
      </c>
      <c r="P498" s="26" t="n"/>
      <c r="Q498" s="26" t="n"/>
      <c r="R498" s="26" t="n"/>
      <c r="S498" s="26" t="n"/>
      <c r="T498" s="26" t="n"/>
      <c r="V498" s="27">
        <f>IF(ISNUMBER($C498),COUNTIFS($A$14:$A$1213,$A498,$C$14:$C$1213,"&gt;"&amp;$C498)+(COUNTIFS($A$14:$A$1213,$A498,$C$14:$C$1213,"="&amp;$C498)+1)/2,"")</f>
        <v/>
      </c>
      <c r="W498" s="27">
        <f>IF(ISNUMBER($F498),COUNTIFS($A$14:$A$1213,$A498,$F$14:$F$1213,"&gt;"&amp;$F498)+(COUNTIFS($A$14:$A$1213,$A498,$F$14:$F$1213,"="&amp;$F498)+1)/2,"")</f>
        <v/>
      </c>
      <c r="X498" s="27">
        <f>IF(OR(NOT(ISNUMBER($V498)),$AO498=1),"",$V498-(COUNTIFS($A$14:$A$1213,$A498,$C$14:$C$1213,"&gt;=0")+1)/2)</f>
        <v/>
      </c>
      <c r="Y498" s="27">
        <f>IF(OR(NOT(ISNUMBER($W498)),$AO498=1),"",$W498-(COUNTIFS($A$14:$A$1213,$A498,$F$14:$F$1213,"&gt;=0")+1)/2)</f>
        <v/>
      </c>
      <c r="Z498" s="27">
        <f>IF(ISNUMBER($V498),$A498&amp;"|"&amp;$V498,"")</f>
        <v/>
      </c>
      <c r="AA498" s="27">
        <f>IF(ISNUMBER($W498),$A498&amp;"|"&amp;$W498,"")</f>
        <v/>
      </c>
      <c r="AB498" s="27">
        <f>IF(ISNUMBER($F498),$A498&amp;"|"&amp;$F498,"")</f>
        <v/>
      </c>
      <c r="AC498" s="27">
        <f>IF(ISNUMBER($P498),COUNTIFS($A$14:$A$1213,$A498,$P$14:$P$1213,"&gt;"&amp;$P498)+(COUNTIFS($A$14:$A$1213,$A498,$P$14:$P$1213,"="&amp;$P498)+1)/2,"")</f>
        <v/>
      </c>
      <c r="AD498" s="27">
        <f>IF(ISNUMBER($Q498),COUNTIFS($A$14:$A$1213,$A498,$Q$14:$Q$1213,"&gt;"&amp;$Q498)+(COUNTIFS($A$14:$A$1213,$A498,$Q$14:$Q$1213,"="&amp;$Q498)+1)/2,"")</f>
        <v/>
      </c>
      <c r="AE498" s="27">
        <f>IF(ISNUMBER($R498),COUNTIFS($A$14:$A$1213,$A498,$R$14:$R$1213,"&gt;"&amp;$R498)+(COUNTIFS($A$14:$A$1213,$A498,$R$14:$R$1213,"="&amp;$R498)+1)/2,"")</f>
        <v/>
      </c>
      <c r="AF498" s="27">
        <f>IF(ISNUMBER($S498),COUNTIFS($A$14:$A$1213,$A498,$S$14:$S$1213,"&gt;"&amp;$S498)+(COUNTIFS($A$14:$A$1213,$A498,$S$14:$S$1213,"="&amp;$S498)+1)/2,"")</f>
        <v/>
      </c>
      <c r="AG498" s="27">
        <f>IF(ISNUMBER($T498),COUNTIFS($A$14:$A$1213,$A498,$T$14:$T$1213,"&gt;"&amp;$T498)+(COUNTIFS($A$14:$A$1213,$A498,$T$14:$T$1213,"="&amp;$T498)+1)/2,"")</f>
        <v/>
      </c>
      <c r="AH498" s="27">
        <f>IF(COUNT($AC498:$AG498)&lt;2,"",IF(MAX($AC498:$AG498)=MIN($AC498:$AG498),0,1))</f>
        <v/>
      </c>
      <c r="AI498" s="27">
        <f>IF($A498="","",IF(COUNTIF($A$14:$A498,$A498)=1,COUNTIF($AI$13:AI497,"&gt;0")+1,""))</f>
        <v/>
      </c>
      <c r="AO498" s="27">
        <f>IF($A498="","",IF(AND(COUNTIFS($A$14:$A$1213,$A498,$F$14:$F$1213,"&gt;=0")=2,IFERROR(INDEX($M$14:$M$313,MATCH($A498,$H$14:$H$313,0)),"Yes")&lt;&gt;"Yes"),1,0))</f>
        <v/>
      </c>
    </row>
    <row r="499">
      <c r="A499" s="19">
        <f>IF('Enter messages'!A499="","",'Enter messages'!A499)</f>
        <v/>
      </c>
      <c r="B499" s="20">
        <f>IF('Enter messages'!B499="","",'Enter messages'!B499)</f>
        <v/>
      </c>
      <c r="C499" s="21">
        <f>IFERROR(AVERAGE(P499:T499),"")</f>
        <v/>
      </c>
      <c r="D499" s="29" t="n"/>
      <c r="E499" s="29" t="n"/>
      <c r="F499" s="30">
        <f>IF(AND(ISNUMBER($D499),ISNUMBER($E499),$E499&gt;0,$D499&lt;=$E499),$D499/$E499,"")</f>
        <v/>
      </c>
      <c r="P499" s="26" t="n"/>
      <c r="Q499" s="26" t="n"/>
      <c r="R499" s="26" t="n"/>
      <c r="S499" s="26" t="n"/>
      <c r="T499" s="26" t="n"/>
      <c r="V499" s="27">
        <f>IF(ISNUMBER($C499),COUNTIFS($A$14:$A$1213,$A499,$C$14:$C$1213,"&gt;"&amp;$C499)+(COUNTIFS($A$14:$A$1213,$A499,$C$14:$C$1213,"="&amp;$C499)+1)/2,"")</f>
        <v/>
      </c>
      <c r="W499" s="27">
        <f>IF(ISNUMBER($F499),COUNTIFS($A$14:$A$1213,$A499,$F$14:$F$1213,"&gt;"&amp;$F499)+(COUNTIFS($A$14:$A$1213,$A499,$F$14:$F$1213,"="&amp;$F499)+1)/2,"")</f>
        <v/>
      </c>
      <c r="X499" s="27">
        <f>IF(OR(NOT(ISNUMBER($V499)),$AO499=1),"",$V499-(COUNTIFS($A$14:$A$1213,$A499,$C$14:$C$1213,"&gt;=0")+1)/2)</f>
        <v/>
      </c>
      <c r="Y499" s="27">
        <f>IF(OR(NOT(ISNUMBER($W499)),$AO499=1),"",$W499-(COUNTIFS($A$14:$A$1213,$A499,$F$14:$F$1213,"&gt;=0")+1)/2)</f>
        <v/>
      </c>
      <c r="Z499" s="27">
        <f>IF(ISNUMBER($V499),$A499&amp;"|"&amp;$V499,"")</f>
        <v/>
      </c>
      <c r="AA499" s="27">
        <f>IF(ISNUMBER($W499),$A499&amp;"|"&amp;$W499,"")</f>
        <v/>
      </c>
      <c r="AB499" s="27">
        <f>IF(ISNUMBER($F499),$A499&amp;"|"&amp;$F499,"")</f>
        <v/>
      </c>
      <c r="AC499" s="27">
        <f>IF(ISNUMBER($P499),COUNTIFS($A$14:$A$1213,$A499,$P$14:$P$1213,"&gt;"&amp;$P499)+(COUNTIFS($A$14:$A$1213,$A499,$P$14:$P$1213,"="&amp;$P499)+1)/2,"")</f>
        <v/>
      </c>
      <c r="AD499" s="27">
        <f>IF(ISNUMBER($Q499),COUNTIFS($A$14:$A$1213,$A499,$Q$14:$Q$1213,"&gt;"&amp;$Q499)+(COUNTIFS($A$14:$A$1213,$A499,$Q$14:$Q$1213,"="&amp;$Q499)+1)/2,"")</f>
        <v/>
      </c>
      <c r="AE499" s="27">
        <f>IF(ISNUMBER($R499),COUNTIFS($A$14:$A$1213,$A499,$R$14:$R$1213,"&gt;"&amp;$R499)+(COUNTIFS($A$14:$A$1213,$A499,$R$14:$R$1213,"="&amp;$R499)+1)/2,"")</f>
        <v/>
      </c>
      <c r="AF499" s="27">
        <f>IF(ISNUMBER($S499),COUNTIFS($A$14:$A$1213,$A499,$S$14:$S$1213,"&gt;"&amp;$S499)+(COUNTIFS($A$14:$A$1213,$A499,$S$14:$S$1213,"="&amp;$S499)+1)/2,"")</f>
        <v/>
      </c>
      <c r="AG499" s="27">
        <f>IF(ISNUMBER($T499),COUNTIFS($A$14:$A$1213,$A499,$T$14:$T$1213,"&gt;"&amp;$T499)+(COUNTIFS($A$14:$A$1213,$A499,$T$14:$T$1213,"="&amp;$T499)+1)/2,"")</f>
        <v/>
      </c>
      <c r="AH499" s="27">
        <f>IF(COUNT($AC499:$AG499)&lt;2,"",IF(MAX($AC499:$AG499)=MIN($AC499:$AG499),0,1))</f>
        <v/>
      </c>
      <c r="AI499" s="27">
        <f>IF($A499="","",IF(COUNTIF($A$14:$A499,$A499)=1,COUNTIF($AI$13:AI498,"&gt;0")+1,""))</f>
        <v/>
      </c>
      <c r="AO499" s="27">
        <f>IF($A499="","",IF(AND(COUNTIFS($A$14:$A$1213,$A499,$F$14:$F$1213,"&gt;=0")=2,IFERROR(INDEX($M$14:$M$313,MATCH($A499,$H$14:$H$313,0)),"Yes")&lt;&gt;"Yes"),1,0))</f>
        <v/>
      </c>
    </row>
    <row r="500">
      <c r="A500" s="19">
        <f>IF('Enter messages'!A500="","",'Enter messages'!A500)</f>
        <v/>
      </c>
      <c r="B500" s="20">
        <f>IF('Enter messages'!B500="","",'Enter messages'!B500)</f>
        <v/>
      </c>
      <c r="C500" s="21">
        <f>IFERROR(AVERAGE(P500:T500),"")</f>
        <v/>
      </c>
      <c r="D500" s="29" t="n"/>
      <c r="E500" s="29" t="n"/>
      <c r="F500" s="30">
        <f>IF(AND(ISNUMBER($D500),ISNUMBER($E500),$E500&gt;0,$D500&lt;=$E500),$D500/$E500,"")</f>
        <v/>
      </c>
      <c r="P500" s="26" t="n"/>
      <c r="Q500" s="26" t="n"/>
      <c r="R500" s="26" t="n"/>
      <c r="S500" s="26" t="n"/>
      <c r="T500" s="26" t="n"/>
      <c r="V500" s="27">
        <f>IF(ISNUMBER($C500),COUNTIFS($A$14:$A$1213,$A500,$C$14:$C$1213,"&gt;"&amp;$C500)+(COUNTIFS($A$14:$A$1213,$A500,$C$14:$C$1213,"="&amp;$C500)+1)/2,"")</f>
        <v/>
      </c>
      <c r="W500" s="27">
        <f>IF(ISNUMBER($F500),COUNTIFS($A$14:$A$1213,$A500,$F$14:$F$1213,"&gt;"&amp;$F500)+(COUNTIFS($A$14:$A$1213,$A500,$F$14:$F$1213,"="&amp;$F500)+1)/2,"")</f>
        <v/>
      </c>
      <c r="X500" s="27">
        <f>IF(OR(NOT(ISNUMBER($V500)),$AO500=1),"",$V500-(COUNTIFS($A$14:$A$1213,$A500,$C$14:$C$1213,"&gt;=0")+1)/2)</f>
        <v/>
      </c>
      <c r="Y500" s="27">
        <f>IF(OR(NOT(ISNUMBER($W500)),$AO500=1),"",$W500-(COUNTIFS($A$14:$A$1213,$A500,$F$14:$F$1213,"&gt;=0")+1)/2)</f>
        <v/>
      </c>
      <c r="Z500" s="27">
        <f>IF(ISNUMBER($V500),$A500&amp;"|"&amp;$V500,"")</f>
        <v/>
      </c>
      <c r="AA500" s="27">
        <f>IF(ISNUMBER($W500),$A500&amp;"|"&amp;$W500,"")</f>
        <v/>
      </c>
      <c r="AB500" s="27">
        <f>IF(ISNUMBER($F500),$A500&amp;"|"&amp;$F500,"")</f>
        <v/>
      </c>
      <c r="AC500" s="27">
        <f>IF(ISNUMBER($P500),COUNTIFS($A$14:$A$1213,$A500,$P$14:$P$1213,"&gt;"&amp;$P500)+(COUNTIFS($A$14:$A$1213,$A500,$P$14:$P$1213,"="&amp;$P500)+1)/2,"")</f>
        <v/>
      </c>
      <c r="AD500" s="27">
        <f>IF(ISNUMBER($Q500),COUNTIFS($A$14:$A$1213,$A500,$Q$14:$Q$1213,"&gt;"&amp;$Q500)+(COUNTIFS($A$14:$A$1213,$A500,$Q$14:$Q$1213,"="&amp;$Q500)+1)/2,"")</f>
        <v/>
      </c>
      <c r="AE500" s="27">
        <f>IF(ISNUMBER($R500),COUNTIFS($A$14:$A$1213,$A500,$R$14:$R$1213,"&gt;"&amp;$R500)+(COUNTIFS($A$14:$A$1213,$A500,$R$14:$R$1213,"="&amp;$R500)+1)/2,"")</f>
        <v/>
      </c>
      <c r="AF500" s="27">
        <f>IF(ISNUMBER($S500),COUNTIFS($A$14:$A$1213,$A500,$S$14:$S$1213,"&gt;"&amp;$S500)+(COUNTIFS($A$14:$A$1213,$A500,$S$14:$S$1213,"="&amp;$S500)+1)/2,"")</f>
        <v/>
      </c>
      <c r="AG500" s="27">
        <f>IF(ISNUMBER($T500),COUNTIFS($A$14:$A$1213,$A500,$T$14:$T$1213,"&gt;"&amp;$T500)+(COUNTIFS($A$14:$A$1213,$A500,$T$14:$T$1213,"="&amp;$T500)+1)/2,"")</f>
        <v/>
      </c>
      <c r="AH500" s="27">
        <f>IF(COUNT($AC500:$AG500)&lt;2,"",IF(MAX($AC500:$AG500)=MIN($AC500:$AG500),0,1))</f>
        <v/>
      </c>
      <c r="AI500" s="27">
        <f>IF($A500="","",IF(COUNTIF($A$14:$A500,$A500)=1,COUNTIF($AI$13:AI499,"&gt;0")+1,""))</f>
        <v/>
      </c>
      <c r="AO500" s="27">
        <f>IF($A500="","",IF(AND(COUNTIFS($A$14:$A$1213,$A500,$F$14:$F$1213,"&gt;=0")=2,IFERROR(INDEX($M$14:$M$313,MATCH($A500,$H$14:$H$313,0)),"Yes")&lt;&gt;"Yes"),1,0))</f>
        <v/>
      </c>
    </row>
    <row r="501">
      <c r="A501" s="19">
        <f>IF('Enter messages'!A501="","",'Enter messages'!A501)</f>
        <v/>
      </c>
      <c r="B501" s="20">
        <f>IF('Enter messages'!B501="","",'Enter messages'!B501)</f>
        <v/>
      </c>
      <c r="C501" s="21">
        <f>IFERROR(AVERAGE(P501:T501),"")</f>
        <v/>
      </c>
      <c r="D501" s="29" t="n"/>
      <c r="E501" s="29" t="n"/>
      <c r="F501" s="30">
        <f>IF(AND(ISNUMBER($D501),ISNUMBER($E501),$E501&gt;0,$D501&lt;=$E501),$D501/$E501,"")</f>
        <v/>
      </c>
      <c r="P501" s="26" t="n"/>
      <c r="Q501" s="26" t="n"/>
      <c r="R501" s="26" t="n"/>
      <c r="S501" s="26" t="n"/>
      <c r="T501" s="26" t="n"/>
      <c r="V501" s="27">
        <f>IF(ISNUMBER($C501),COUNTIFS($A$14:$A$1213,$A501,$C$14:$C$1213,"&gt;"&amp;$C501)+(COUNTIFS($A$14:$A$1213,$A501,$C$14:$C$1213,"="&amp;$C501)+1)/2,"")</f>
        <v/>
      </c>
      <c r="W501" s="27">
        <f>IF(ISNUMBER($F501),COUNTIFS($A$14:$A$1213,$A501,$F$14:$F$1213,"&gt;"&amp;$F501)+(COUNTIFS($A$14:$A$1213,$A501,$F$14:$F$1213,"="&amp;$F501)+1)/2,"")</f>
        <v/>
      </c>
      <c r="X501" s="27">
        <f>IF(OR(NOT(ISNUMBER($V501)),$AO501=1),"",$V501-(COUNTIFS($A$14:$A$1213,$A501,$C$14:$C$1213,"&gt;=0")+1)/2)</f>
        <v/>
      </c>
      <c r="Y501" s="27">
        <f>IF(OR(NOT(ISNUMBER($W501)),$AO501=1),"",$W501-(COUNTIFS($A$14:$A$1213,$A501,$F$14:$F$1213,"&gt;=0")+1)/2)</f>
        <v/>
      </c>
      <c r="Z501" s="27">
        <f>IF(ISNUMBER($V501),$A501&amp;"|"&amp;$V501,"")</f>
        <v/>
      </c>
      <c r="AA501" s="27">
        <f>IF(ISNUMBER($W501),$A501&amp;"|"&amp;$W501,"")</f>
        <v/>
      </c>
      <c r="AB501" s="27">
        <f>IF(ISNUMBER($F501),$A501&amp;"|"&amp;$F501,"")</f>
        <v/>
      </c>
      <c r="AC501" s="27">
        <f>IF(ISNUMBER($P501),COUNTIFS($A$14:$A$1213,$A501,$P$14:$P$1213,"&gt;"&amp;$P501)+(COUNTIFS($A$14:$A$1213,$A501,$P$14:$P$1213,"="&amp;$P501)+1)/2,"")</f>
        <v/>
      </c>
      <c r="AD501" s="27">
        <f>IF(ISNUMBER($Q501),COUNTIFS($A$14:$A$1213,$A501,$Q$14:$Q$1213,"&gt;"&amp;$Q501)+(COUNTIFS($A$14:$A$1213,$A501,$Q$14:$Q$1213,"="&amp;$Q501)+1)/2,"")</f>
        <v/>
      </c>
      <c r="AE501" s="27">
        <f>IF(ISNUMBER($R501),COUNTIFS($A$14:$A$1213,$A501,$R$14:$R$1213,"&gt;"&amp;$R501)+(COUNTIFS($A$14:$A$1213,$A501,$R$14:$R$1213,"="&amp;$R501)+1)/2,"")</f>
        <v/>
      </c>
      <c r="AF501" s="27">
        <f>IF(ISNUMBER($S501),COUNTIFS($A$14:$A$1213,$A501,$S$14:$S$1213,"&gt;"&amp;$S501)+(COUNTIFS($A$14:$A$1213,$A501,$S$14:$S$1213,"="&amp;$S501)+1)/2,"")</f>
        <v/>
      </c>
      <c r="AG501" s="27">
        <f>IF(ISNUMBER($T501),COUNTIFS($A$14:$A$1213,$A501,$T$14:$T$1213,"&gt;"&amp;$T501)+(COUNTIFS($A$14:$A$1213,$A501,$T$14:$T$1213,"="&amp;$T501)+1)/2,"")</f>
        <v/>
      </c>
      <c r="AH501" s="27">
        <f>IF(COUNT($AC501:$AG501)&lt;2,"",IF(MAX($AC501:$AG501)=MIN($AC501:$AG501),0,1))</f>
        <v/>
      </c>
      <c r="AI501" s="27">
        <f>IF($A501="","",IF(COUNTIF($A$14:$A501,$A501)=1,COUNTIF($AI$13:AI500,"&gt;0")+1,""))</f>
        <v/>
      </c>
      <c r="AO501" s="27">
        <f>IF($A501="","",IF(AND(COUNTIFS($A$14:$A$1213,$A501,$F$14:$F$1213,"&gt;=0")=2,IFERROR(INDEX($M$14:$M$313,MATCH($A501,$H$14:$H$313,0)),"Yes")&lt;&gt;"Yes"),1,0))</f>
        <v/>
      </c>
    </row>
    <row r="502">
      <c r="A502" s="19">
        <f>IF('Enter messages'!A502="","",'Enter messages'!A502)</f>
        <v/>
      </c>
      <c r="B502" s="20">
        <f>IF('Enter messages'!B502="","",'Enter messages'!B502)</f>
        <v/>
      </c>
      <c r="C502" s="21">
        <f>IFERROR(AVERAGE(P502:T502),"")</f>
        <v/>
      </c>
      <c r="D502" s="29" t="n"/>
      <c r="E502" s="29" t="n"/>
      <c r="F502" s="30">
        <f>IF(AND(ISNUMBER($D502),ISNUMBER($E502),$E502&gt;0,$D502&lt;=$E502),$D502/$E502,"")</f>
        <v/>
      </c>
      <c r="P502" s="26" t="n"/>
      <c r="Q502" s="26" t="n"/>
      <c r="R502" s="26" t="n"/>
      <c r="S502" s="26" t="n"/>
      <c r="T502" s="26" t="n"/>
      <c r="V502" s="27">
        <f>IF(ISNUMBER($C502),COUNTIFS($A$14:$A$1213,$A502,$C$14:$C$1213,"&gt;"&amp;$C502)+(COUNTIFS($A$14:$A$1213,$A502,$C$14:$C$1213,"="&amp;$C502)+1)/2,"")</f>
        <v/>
      </c>
      <c r="W502" s="27">
        <f>IF(ISNUMBER($F502),COUNTIFS($A$14:$A$1213,$A502,$F$14:$F$1213,"&gt;"&amp;$F502)+(COUNTIFS($A$14:$A$1213,$A502,$F$14:$F$1213,"="&amp;$F502)+1)/2,"")</f>
        <v/>
      </c>
      <c r="X502" s="27">
        <f>IF(OR(NOT(ISNUMBER($V502)),$AO502=1),"",$V502-(COUNTIFS($A$14:$A$1213,$A502,$C$14:$C$1213,"&gt;=0")+1)/2)</f>
        <v/>
      </c>
      <c r="Y502" s="27">
        <f>IF(OR(NOT(ISNUMBER($W502)),$AO502=1),"",$W502-(COUNTIFS($A$14:$A$1213,$A502,$F$14:$F$1213,"&gt;=0")+1)/2)</f>
        <v/>
      </c>
      <c r="Z502" s="27">
        <f>IF(ISNUMBER($V502),$A502&amp;"|"&amp;$V502,"")</f>
        <v/>
      </c>
      <c r="AA502" s="27">
        <f>IF(ISNUMBER($W502),$A502&amp;"|"&amp;$W502,"")</f>
        <v/>
      </c>
      <c r="AB502" s="27">
        <f>IF(ISNUMBER($F502),$A502&amp;"|"&amp;$F502,"")</f>
        <v/>
      </c>
      <c r="AC502" s="27">
        <f>IF(ISNUMBER($P502),COUNTIFS($A$14:$A$1213,$A502,$P$14:$P$1213,"&gt;"&amp;$P502)+(COUNTIFS($A$14:$A$1213,$A502,$P$14:$P$1213,"="&amp;$P502)+1)/2,"")</f>
        <v/>
      </c>
      <c r="AD502" s="27">
        <f>IF(ISNUMBER($Q502),COUNTIFS($A$14:$A$1213,$A502,$Q$14:$Q$1213,"&gt;"&amp;$Q502)+(COUNTIFS($A$14:$A$1213,$A502,$Q$14:$Q$1213,"="&amp;$Q502)+1)/2,"")</f>
        <v/>
      </c>
      <c r="AE502" s="27">
        <f>IF(ISNUMBER($R502),COUNTIFS($A$14:$A$1213,$A502,$R$14:$R$1213,"&gt;"&amp;$R502)+(COUNTIFS($A$14:$A$1213,$A502,$R$14:$R$1213,"="&amp;$R502)+1)/2,"")</f>
        <v/>
      </c>
      <c r="AF502" s="27">
        <f>IF(ISNUMBER($S502),COUNTIFS($A$14:$A$1213,$A502,$S$14:$S$1213,"&gt;"&amp;$S502)+(COUNTIFS($A$14:$A$1213,$A502,$S$14:$S$1213,"="&amp;$S502)+1)/2,"")</f>
        <v/>
      </c>
      <c r="AG502" s="27">
        <f>IF(ISNUMBER($T502),COUNTIFS($A$14:$A$1213,$A502,$T$14:$T$1213,"&gt;"&amp;$T502)+(COUNTIFS($A$14:$A$1213,$A502,$T$14:$T$1213,"="&amp;$T502)+1)/2,"")</f>
        <v/>
      </c>
      <c r="AH502" s="27">
        <f>IF(COUNT($AC502:$AG502)&lt;2,"",IF(MAX($AC502:$AG502)=MIN($AC502:$AG502),0,1))</f>
        <v/>
      </c>
      <c r="AI502" s="27">
        <f>IF($A502="","",IF(COUNTIF($A$14:$A502,$A502)=1,COUNTIF($AI$13:AI501,"&gt;0")+1,""))</f>
        <v/>
      </c>
      <c r="AO502" s="27">
        <f>IF($A502="","",IF(AND(COUNTIFS($A$14:$A$1213,$A502,$F$14:$F$1213,"&gt;=0")=2,IFERROR(INDEX($M$14:$M$313,MATCH($A502,$H$14:$H$313,0)),"Yes")&lt;&gt;"Yes"),1,0))</f>
        <v/>
      </c>
    </row>
    <row r="503">
      <c r="A503" s="19">
        <f>IF('Enter messages'!A503="","",'Enter messages'!A503)</f>
        <v/>
      </c>
      <c r="B503" s="20">
        <f>IF('Enter messages'!B503="","",'Enter messages'!B503)</f>
        <v/>
      </c>
      <c r="C503" s="21">
        <f>IFERROR(AVERAGE(P503:T503),"")</f>
        <v/>
      </c>
      <c r="D503" s="29" t="n"/>
      <c r="E503" s="29" t="n"/>
      <c r="F503" s="30">
        <f>IF(AND(ISNUMBER($D503),ISNUMBER($E503),$E503&gt;0,$D503&lt;=$E503),$D503/$E503,"")</f>
        <v/>
      </c>
      <c r="P503" s="26" t="n"/>
      <c r="Q503" s="26" t="n"/>
      <c r="R503" s="26" t="n"/>
      <c r="S503" s="26" t="n"/>
      <c r="T503" s="26" t="n"/>
      <c r="V503" s="27">
        <f>IF(ISNUMBER($C503),COUNTIFS($A$14:$A$1213,$A503,$C$14:$C$1213,"&gt;"&amp;$C503)+(COUNTIFS($A$14:$A$1213,$A503,$C$14:$C$1213,"="&amp;$C503)+1)/2,"")</f>
        <v/>
      </c>
      <c r="W503" s="27">
        <f>IF(ISNUMBER($F503),COUNTIFS($A$14:$A$1213,$A503,$F$14:$F$1213,"&gt;"&amp;$F503)+(COUNTIFS($A$14:$A$1213,$A503,$F$14:$F$1213,"="&amp;$F503)+1)/2,"")</f>
        <v/>
      </c>
      <c r="X503" s="27">
        <f>IF(OR(NOT(ISNUMBER($V503)),$AO503=1),"",$V503-(COUNTIFS($A$14:$A$1213,$A503,$C$14:$C$1213,"&gt;=0")+1)/2)</f>
        <v/>
      </c>
      <c r="Y503" s="27">
        <f>IF(OR(NOT(ISNUMBER($W503)),$AO503=1),"",$W503-(COUNTIFS($A$14:$A$1213,$A503,$F$14:$F$1213,"&gt;=0")+1)/2)</f>
        <v/>
      </c>
      <c r="Z503" s="27">
        <f>IF(ISNUMBER($V503),$A503&amp;"|"&amp;$V503,"")</f>
        <v/>
      </c>
      <c r="AA503" s="27">
        <f>IF(ISNUMBER($W503),$A503&amp;"|"&amp;$W503,"")</f>
        <v/>
      </c>
      <c r="AB503" s="27">
        <f>IF(ISNUMBER($F503),$A503&amp;"|"&amp;$F503,"")</f>
        <v/>
      </c>
      <c r="AC503" s="27">
        <f>IF(ISNUMBER($P503),COUNTIFS($A$14:$A$1213,$A503,$P$14:$P$1213,"&gt;"&amp;$P503)+(COUNTIFS($A$14:$A$1213,$A503,$P$14:$P$1213,"="&amp;$P503)+1)/2,"")</f>
        <v/>
      </c>
      <c r="AD503" s="27">
        <f>IF(ISNUMBER($Q503),COUNTIFS($A$14:$A$1213,$A503,$Q$14:$Q$1213,"&gt;"&amp;$Q503)+(COUNTIFS($A$14:$A$1213,$A503,$Q$14:$Q$1213,"="&amp;$Q503)+1)/2,"")</f>
        <v/>
      </c>
      <c r="AE503" s="27">
        <f>IF(ISNUMBER($R503),COUNTIFS($A$14:$A$1213,$A503,$R$14:$R$1213,"&gt;"&amp;$R503)+(COUNTIFS($A$14:$A$1213,$A503,$R$14:$R$1213,"="&amp;$R503)+1)/2,"")</f>
        <v/>
      </c>
      <c r="AF503" s="27">
        <f>IF(ISNUMBER($S503),COUNTIFS($A$14:$A$1213,$A503,$S$14:$S$1213,"&gt;"&amp;$S503)+(COUNTIFS($A$14:$A$1213,$A503,$S$14:$S$1213,"="&amp;$S503)+1)/2,"")</f>
        <v/>
      </c>
      <c r="AG503" s="27">
        <f>IF(ISNUMBER($T503),COUNTIFS($A$14:$A$1213,$A503,$T$14:$T$1213,"&gt;"&amp;$T503)+(COUNTIFS($A$14:$A$1213,$A503,$T$14:$T$1213,"="&amp;$T503)+1)/2,"")</f>
        <v/>
      </c>
      <c r="AH503" s="27">
        <f>IF(COUNT($AC503:$AG503)&lt;2,"",IF(MAX($AC503:$AG503)=MIN($AC503:$AG503),0,1))</f>
        <v/>
      </c>
      <c r="AI503" s="27">
        <f>IF($A503="","",IF(COUNTIF($A$14:$A503,$A503)=1,COUNTIF($AI$13:AI502,"&gt;0")+1,""))</f>
        <v/>
      </c>
      <c r="AO503" s="27">
        <f>IF($A503="","",IF(AND(COUNTIFS($A$14:$A$1213,$A503,$F$14:$F$1213,"&gt;=0")=2,IFERROR(INDEX($M$14:$M$313,MATCH($A503,$H$14:$H$313,0)),"Yes")&lt;&gt;"Yes"),1,0))</f>
        <v/>
      </c>
    </row>
    <row r="504">
      <c r="A504" s="19">
        <f>IF('Enter messages'!A504="","",'Enter messages'!A504)</f>
        <v/>
      </c>
      <c r="B504" s="20">
        <f>IF('Enter messages'!B504="","",'Enter messages'!B504)</f>
        <v/>
      </c>
      <c r="C504" s="21">
        <f>IFERROR(AVERAGE(P504:T504),"")</f>
        <v/>
      </c>
      <c r="D504" s="29" t="n"/>
      <c r="E504" s="29" t="n"/>
      <c r="F504" s="30">
        <f>IF(AND(ISNUMBER($D504),ISNUMBER($E504),$E504&gt;0,$D504&lt;=$E504),$D504/$E504,"")</f>
        <v/>
      </c>
      <c r="P504" s="26" t="n"/>
      <c r="Q504" s="26" t="n"/>
      <c r="R504" s="26" t="n"/>
      <c r="S504" s="26" t="n"/>
      <c r="T504" s="26" t="n"/>
      <c r="V504" s="27">
        <f>IF(ISNUMBER($C504),COUNTIFS($A$14:$A$1213,$A504,$C$14:$C$1213,"&gt;"&amp;$C504)+(COUNTIFS($A$14:$A$1213,$A504,$C$14:$C$1213,"="&amp;$C504)+1)/2,"")</f>
        <v/>
      </c>
      <c r="W504" s="27">
        <f>IF(ISNUMBER($F504),COUNTIFS($A$14:$A$1213,$A504,$F$14:$F$1213,"&gt;"&amp;$F504)+(COUNTIFS($A$14:$A$1213,$A504,$F$14:$F$1213,"="&amp;$F504)+1)/2,"")</f>
        <v/>
      </c>
      <c r="X504" s="27">
        <f>IF(OR(NOT(ISNUMBER($V504)),$AO504=1),"",$V504-(COUNTIFS($A$14:$A$1213,$A504,$C$14:$C$1213,"&gt;=0")+1)/2)</f>
        <v/>
      </c>
      <c r="Y504" s="27">
        <f>IF(OR(NOT(ISNUMBER($W504)),$AO504=1),"",$W504-(COUNTIFS($A$14:$A$1213,$A504,$F$14:$F$1213,"&gt;=0")+1)/2)</f>
        <v/>
      </c>
      <c r="Z504" s="27">
        <f>IF(ISNUMBER($V504),$A504&amp;"|"&amp;$V504,"")</f>
        <v/>
      </c>
      <c r="AA504" s="27">
        <f>IF(ISNUMBER($W504),$A504&amp;"|"&amp;$W504,"")</f>
        <v/>
      </c>
      <c r="AB504" s="27">
        <f>IF(ISNUMBER($F504),$A504&amp;"|"&amp;$F504,"")</f>
        <v/>
      </c>
      <c r="AC504" s="27">
        <f>IF(ISNUMBER($P504),COUNTIFS($A$14:$A$1213,$A504,$P$14:$P$1213,"&gt;"&amp;$P504)+(COUNTIFS($A$14:$A$1213,$A504,$P$14:$P$1213,"="&amp;$P504)+1)/2,"")</f>
        <v/>
      </c>
      <c r="AD504" s="27">
        <f>IF(ISNUMBER($Q504),COUNTIFS($A$14:$A$1213,$A504,$Q$14:$Q$1213,"&gt;"&amp;$Q504)+(COUNTIFS($A$14:$A$1213,$A504,$Q$14:$Q$1213,"="&amp;$Q504)+1)/2,"")</f>
        <v/>
      </c>
      <c r="AE504" s="27">
        <f>IF(ISNUMBER($R504),COUNTIFS($A$14:$A$1213,$A504,$R$14:$R$1213,"&gt;"&amp;$R504)+(COUNTIFS($A$14:$A$1213,$A504,$R$14:$R$1213,"="&amp;$R504)+1)/2,"")</f>
        <v/>
      </c>
      <c r="AF504" s="27">
        <f>IF(ISNUMBER($S504),COUNTIFS($A$14:$A$1213,$A504,$S$14:$S$1213,"&gt;"&amp;$S504)+(COUNTIFS($A$14:$A$1213,$A504,$S$14:$S$1213,"="&amp;$S504)+1)/2,"")</f>
        <v/>
      </c>
      <c r="AG504" s="27">
        <f>IF(ISNUMBER($T504),COUNTIFS($A$14:$A$1213,$A504,$T$14:$T$1213,"&gt;"&amp;$T504)+(COUNTIFS($A$14:$A$1213,$A504,$T$14:$T$1213,"="&amp;$T504)+1)/2,"")</f>
        <v/>
      </c>
      <c r="AH504" s="27">
        <f>IF(COUNT($AC504:$AG504)&lt;2,"",IF(MAX($AC504:$AG504)=MIN($AC504:$AG504),0,1))</f>
        <v/>
      </c>
      <c r="AI504" s="27">
        <f>IF($A504="","",IF(COUNTIF($A$14:$A504,$A504)=1,COUNTIF($AI$13:AI503,"&gt;0")+1,""))</f>
        <v/>
      </c>
      <c r="AO504" s="27">
        <f>IF($A504="","",IF(AND(COUNTIFS($A$14:$A$1213,$A504,$F$14:$F$1213,"&gt;=0")=2,IFERROR(INDEX($M$14:$M$313,MATCH($A504,$H$14:$H$313,0)),"Yes")&lt;&gt;"Yes"),1,0))</f>
        <v/>
      </c>
    </row>
    <row r="505">
      <c r="A505" s="19">
        <f>IF('Enter messages'!A505="","",'Enter messages'!A505)</f>
        <v/>
      </c>
      <c r="B505" s="20">
        <f>IF('Enter messages'!B505="","",'Enter messages'!B505)</f>
        <v/>
      </c>
      <c r="C505" s="21">
        <f>IFERROR(AVERAGE(P505:T505),"")</f>
        <v/>
      </c>
      <c r="D505" s="29" t="n"/>
      <c r="E505" s="29" t="n"/>
      <c r="F505" s="30">
        <f>IF(AND(ISNUMBER($D505),ISNUMBER($E505),$E505&gt;0,$D505&lt;=$E505),$D505/$E505,"")</f>
        <v/>
      </c>
      <c r="P505" s="26" t="n"/>
      <c r="Q505" s="26" t="n"/>
      <c r="R505" s="26" t="n"/>
      <c r="S505" s="26" t="n"/>
      <c r="T505" s="26" t="n"/>
      <c r="V505" s="27">
        <f>IF(ISNUMBER($C505),COUNTIFS($A$14:$A$1213,$A505,$C$14:$C$1213,"&gt;"&amp;$C505)+(COUNTIFS($A$14:$A$1213,$A505,$C$14:$C$1213,"="&amp;$C505)+1)/2,"")</f>
        <v/>
      </c>
      <c r="W505" s="27">
        <f>IF(ISNUMBER($F505),COUNTIFS($A$14:$A$1213,$A505,$F$14:$F$1213,"&gt;"&amp;$F505)+(COUNTIFS($A$14:$A$1213,$A505,$F$14:$F$1213,"="&amp;$F505)+1)/2,"")</f>
        <v/>
      </c>
      <c r="X505" s="27">
        <f>IF(OR(NOT(ISNUMBER($V505)),$AO505=1),"",$V505-(COUNTIFS($A$14:$A$1213,$A505,$C$14:$C$1213,"&gt;=0")+1)/2)</f>
        <v/>
      </c>
      <c r="Y505" s="27">
        <f>IF(OR(NOT(ISNUMBER($W505)),$AO505=1),"",$W505-(COUNTIFS($A$14:$A$1213,$A505,$F$14:$F$1213,"&gt;=0")+1)/2)</f>
        <v/>
      </c>
      <c r="Z505" s="27">
        <f>IF(ISNUMBER($V505),$A505&amp;"|"&amp;$V505,"")</f>
        <v/>
      </c>
      <c r="AA505" s="27">
        <f>IF(ISNUMBER($W505),$A505&amp;"|"&amp;$W505,"")</f>
        <v/>
      </c>
      <c r="AB505" s="27">
        <f>IF(ISNUMBER($F505),$A505&amp;"|"&amp;$F505,"")</f>
        <v/>
      </c>
      <c r="AC505" s="27">
        <f>IF(ISNUMBER($P505),COUNTIFS($A$14:$A$1213,$A505,$P$14:$P$1213,"&gt;"&amp;$P505)+(COUNTIFS($A$14:$A$1213,$A505,$P$14:$P$1213,"="&amp;$P505)+1)/2,"")</f>
        <v/>
      </c>
      <c r="AD505" s="27">
        <f>IF(ISNUMBER($Q505),COUNTIFS($A$14:$A$1213,$A505,$Q$14:$Q$1213,"&gt;"&amp;$Q505)+(COUNTIFS($A$14:$A$1213,$A505,$Q$14:$Q$1213,"="&amp;$Q505)+1)/2,"")</f>
        <v/>
      </c>
      <c r="AE505" s="27">
        <f>IF(ISNUMBER($R505),COUNTIFS($A$14:$A$1213,$A505,$R$14:$R$1213,"&gt;"&amp;$R505)+(COUNTIFS($A$14:$A$1213,$A505,$R$14:$R$1213,"="&amp;$R505)+1)/2,"")</f>
        <v/>
      </c>
      <c r="AF505" s="27">
        <f>IF(ISNUMBER($S505),COUNTIFS($A$14:$A$1213,$A505,$S$14:$S$1213,"&gt;"&amp;$S505)+(COUNTIFS($A$14:$A$1213,$A505,$S$14:$S$1213,"="&amp;$S505)+1)/2,"")</f>
        <v/>
      </c>
      <c r="AG505" s="27">
        <f>IF(ISNUMBER($T505),COUNTIFS($A$14:$A$1213,$A505,$T$14:$T$1213,"&gt;"&amp;$T505)+(COUNTIFS($A$14:$A$1213,$A505,$T$14:$T$1213,"="&amp;$T505)+1)/2,"")</f>
        <v/>
      </c>
      <c r="AH505" s="27">
        <f>IF(COUNT($AC505:$AG505)&lt;2,"",IF(MAX($AC505:$AG505)=MIN($AC505:$AG505),0,1))</f>
        <v/>
      </c>
      <c r="AI505" s="27">
        <f>IF($A505="","",IF(COUNTIF($A$14:$A505,$A505)=1,COUNTIF($AI$13:AI504,"&gt;0")+1,""))</f>
        <v/>
      </c>
      <c r="AO505" s="27">
        <f>IF($A505="","",IF(AND(COUNTIFS($A$14:$A$1213,$A505,$F$14:$F$1213,"&gt;=0")=2,IFERROR(INDEX($M$14:$M$313,MATCH($A505,$H$14:$H$313,0)),"Yes")&lt;&gt;"Yes"),1,0))</f>
        <v/>
      </c>
    </row>
    <row r="506">
      <c r="A506" s="19">
        <f>IF('Enter messages'!A506="","",'Enter messages'!A506)</f>
        <v/>
      </c>
      <c r="B506" s="20">
        <f>IF('Enter messages'!B506="","",'Enter messages'!B506)</f>
        <v/>
      </c>
      <c r="C506" s="21">
        <f>IFERROR(AVERAGE(P506:T506),"")</f>
        <v/>
      </c>
      <c r="D506" s="29" t="n"/>
      <c r="E506" s="29" t="n"/>
      <c r="F506" s="30">
        <f>IF(AND(ISNUMBER($D506),ISNUMBER($E506),$E506&gt;0,$D506&lt;=$E506),$D506/$E506,"")</f>
        <v/>
      </c>
      <c r="P506" s="26" t="n"/>
      <c r="Q506" s="26" t="n"/>
      <c r="R506" s="26" t="n"/>
      <c r="S506" s="26" t="n"/>
      <c r="T506" s="26" t="n"/>
      <c r="V506" s="27">
        <f>IF(ISNUMBER($C506),COUNTIFS($A$14:$A$1213,$A506,$C$14:$C$1213,"&gt;"&amp;$C506)+(COUNTIFS($A$14:$A$1213,$A506,$C$14:$C$1213,"="&amp;$C506)+1)/2,"")</f>
        <v/>
      </c>
      <c r="W506" s="27">
        <f>IF(ISNUMBER($F506),COUNTIFS($A$14:$A$1213,$A506,$F$14:$F$1213,"&gt;"&amp;$F506)+(COUNTIFS($A$14:$A$1213,$A506,$F$14:$F$1213,"="&amp;$F506)+1)/2,"")</f>
        <v/>
      </c>
      <c r="X506" s="27">
        <f>IF(OR(NOT(ISNUMBER($V506)),$AO506=1),"",$V506-(COUNTIFS($A$14:$A$1213,$A506,$C$14:$C$1213,"&gt;=0")+1)/2)</f>
        <v/>
      </c>
      <c r="Y506" s="27">
        <f>IF(OR(NOT(ISNUMBER($W506)),$AO506=1),"",$W506-(COUNTIFS($A$14:$A$1213,$A506,$F$14:$F$1213,"&gt;=0")+1)/2)</f>
        <v/>
      </c>
      <c r="Z506" s="27">
        <f>IF(ISNUMBER($V506),$A506&amp;"|"&amp;$V506,"")</f>
        <v/>
      </c>
      <c r="AA506" s="27">
        <f>IF(ISNUMBER($W506),$A506&amp;"|"&amp;$W506,"")</f>
        <v/>
      </c>
      <c r="AB506" s="27">
        <f>IF(ISNUMBER($F506),$A506&amp;"|"&amp;$F506,"")</f>
        <v/>
      </c>
      <c r="AC506" s="27">
        <f>IF(ISNUMBER($P506),COUNTIFS($A$14:$A$1213,$A506,$P$14:$P$1213,"&gt;"&amp;$P506)+(COUNTIFS($A$14:$A$1213,$A506,$P$14:$P$1213,"="&amp;$P506)+1)/2,"")</f>
        <v/>
      </c>
      <c r="AD506" s="27">
        <f>IF(ISNUMBER($Q506),COUNTIFS($A$14:$A$1213,$A506,$Q$14:$Q$1213,"&gt;"&amp;$Q506)+(COUNTIFS($A$14:$A$1213,$A506,$Q$14:$Q$1213,"="&amp;$Q506)+1)/2,"")</f>
        <v/>
      </c>
      <c r="AE506" s="27">
        <f>IF(ISNUMBER($R506),COUNTIFS($A$14:$A$1213,$A506,$R$14:$R$1213,"&gt;"&amp;$R506)+(COUNTIFS($A$14:$A$1213,$A506,$R$14:$R$1213,"="&amp;$R506)+1)/2,"")</f>
        <v/>
      </c>
      <c r="AF506" s="27">
        <f>IF(ISNUMBER($S506),COUNTIFS($A$14:$A$1213,$A506,$S$14:$S$1213,"&gt;"&amp;$S506)+(COUNTIFS($A$14:$A$1213,$A506,$S$14:$S$1213,"="&amp;$S506)+1)/2,"")</f>
        <v/>
      </c>
      <c r="AG506" s="27">
        <f>IF(ISNUMBER($T506),COUNTIFS($A$14:$A$1213,$A506,$T$14:$T$1213,"&gt;"&amp;$T506)+(COUNTIFS($A$14:$A$1213,$A506,$T$14:$T$1213,"="&amp;$T506)+1)/2,"")</f>
        <v/>
      </c>
      <c r="AH506" s="27">
        <f>IF(COUNT($AC506:$AG506)&lt;2,"",IF(MAX($AC506:$AG506)=MIN($AC506:$AG506),0,1))</f>
        <v/>
      </c>
      <c r="AI506" s="27">
        <f>IF($A506="","",IF(COUNTIF($A$14:$A506,$A506)=1,COUNTIF($AI$13:AI505,"&gt;0")+1,""))</f>
        <v/>
      </c>
      <c r="AO506" s="27">
        <f>IF($A506="","",IF(AND(COUNTIFS($A$14:$A$1213,$A506,$F$14:$F$1213,"&gt;=0")=2,IFERROR(INDEX($M$14:$M$313,MATCH($A506,$H$14:$H$313,0)),"Yes")&lt;&gt;"Yes"),1,0))</f>
        <v/>
      </c>
    </row>
    <row r="507">
      <c r="A507" s="19">
        <f>IF('Enter messages'!A507="","",'Enter messages'!A507)</f>
        <v/>
      </c>
      <c r="B507" s="20">
        <f>IF('Enter messages'!B507="","",'Enter messages'!B507)</f>
        <v/>
      </c>
      <c r="C507" s="21">
        <f>IFERROR(AVERAGE(P507:T507),"")</f>
        <v/>
      </c>
      <c r="D507" s="29" t="n"/>
      <c r="E507" s="29" t="n"/>
      <c r="F507" s="30">
        <f>IF(AND(ISNUMBER($D507),ISNUMBER($E507),$E507&gt;0,$D507&lt;=$E507),$D507/$E507,"")</f>
        <v/>
      </c>
      <c r="P507" s="26" t="n"/>
      <c r="Q507" s="26" t="n"/>
      <c r="R507" s="26" t="n"/>
      <c r="S507" s="26" t="n"/>
      <c r="T507" s="26" t="n"/>
      <c r="V507" s="27">
        <f>IF(ISNUMBER($C507),COUNTIFS($A$14:$A$1213,$A507,$C$14:$C$1213,"&gt;"&amp;$C507)+(COUNTIFS($A$14:$A$1213,$A507,$C$14:$C$1213,"="&amp;$C507)+1)/2,"")</f>
        <v/>
      </c>
      <c r="W507" s="27">
        <f>IF(ISNUMBER($F507),COUNTIFS($A$14:$A$1213,$A507,$F$14:$F$1213,"&gt;"&amp;$F507)+(COUNTIFS($A$14:$A$1213,$A507,$F$14:$F$1213,"="&amp;$F507)+1)/2,"")</f>
        <v/>
      </c>
      <c r="X507" s="27">
        <f>IF(OR(NOT(ISNUMBER($V507)),$AO507=1),"",$V507-(COUNTIFS($A$14:$A$1213,$A507,$C$14:$C$1213,"&gt;=0")+1)/2)</f>
        <v/>
      </c>
      <c r="Y507" s="27">
        <f>IF(OR(NOT(ISNUMBER($W507)),$AO507=1),"",$W507-(COUNTIFS($A$14:$A$1213,$A507,$F$14:$F$1213,"&gt;=0")+1)/2)</f>
        <v/>
      </c>
      <c r="Z507" s="27">
        <f>IF(ISNUMBER($V507),$A507&amp;"|"&amp;$V507,"")</f>
        <v/>
      </c>
      <c r="AA507" s="27">
        <f>IF(ISNUMBER($W507),$A507&amp;"|"&amp;$W507,"")</f>
        <v/>
      </c>
      <c r="AB507" s="27">
        <f>IF(ISNUMBER($F507),$A507&amp;"|"&amp;$F507,"")</f>
        <v/>
      </c>
      <c r="AC507" s="27">
        <f>IF(ISNUMBER($P507),COUNTIFS($A$14:$A$1213,$A507,$P$14:$P$1213,"&gt;"&amp;$P507)+(COUNTIFS($A$14:$A$1213,$A507,$P$14:$P$1213,"="&amp;$P507)+1)/2,"")</f>
        <v/>
      </c>
      <c r="AD507" s="27">
        <f>IF(ISNUMBER($Q507),COUNTIFS($A$14:$A$1213,$A507,$Q$14:$Q$1213,"&gt;"&amp;$Q507)+(COUNTIFS($A$14:$A$1213,$A507,$Q$14:$Q$1213,"="&amp;$Q507)+1)/2,"")</f>
        <v/>
      </c>
      <c r="AE507" s="27">
        <f>IF(ISNUMBER($R507),COUNTIFS($A$14:$A$1213,$A507,$R$14:$R$1213,"&gt;"&amp;$R507)+(COUNTIFS($A$14:$A$1213,$A507,$R$14:$R$1213,"="&amp;$R507)+1)/2,"")</f>
        <v/>
      </c>
      <c r="AF507" s="27">
        <f>IF(ISNUMBER($S507),COUNTIFS($A$14:$A$1213,$A507,$S$14:$S$1213,"&gt;"&amp;$S507)+(COUNTIFS($A$14:$A$1213,$A507,$S$14:$S$1213,"="&amp;$S507)+1)/2,"")</f>
        <v/>
      </c>
      <c r="AG507" s="27">
        <f>IF(ISNUMBER($T507),COUNTIFS($A$14:$A$1213,$A507,$T$14:$T$1213,"&gt;"&amp;$T507)+(COUNTIFS($A$14:$A$1213,$A507,$T$14:$T$1213,"="&amp;$T507)+1)/2,"")</f>
        <v/>
      </c>
      <c r="AH507" s="27">
        <f>IF(COUNT($AC507:$AG507)&lt;2,"",IF(MAX($AC507:$AG507)=MIN($AC507:$AG507),0,1))</f>
        <v/>
      </c>
      <c r="AI507" s="27">
        <f>IF($A507="","",IF(COUNTIF($A$14:$A507,$A507)=1,COUNTIF($AI$13:AI506,"&gt;0")+1,""))</f>
        <v/>
      </c>
      <c r="AO507" s="27">
        <f>IF($A507="","",IF(AND(COUNTIFS($A$14:$A$1213,$A507,$F$14:$F$1213,"&gt;=0")=2,IFERROR(INDEX($M$14:$M$313,MATCH($A507,$H$14:$H$313,0)),"Yes")&lt;&gt;"Yes"),1,0))</f>
        <v/>
      </c>
    </row>
    <row r="508">
      <c r="A508" s="19">
        <f>IF('Enter messages'!A508="","",'Enter messages'!A508)</f>
        <v/>
      </c>
      <c r="B508" s="20">
        <f>IF('Enter messages'!B508="","",'Enter messages'!B508)</f>
        <v/>
      </c>
      <c r="C508" s="21">
        <f>IFERROR(AVERAGE(P508:T508),"")</f>
        <v/>
      </c>
      <c r="D508" s="29" t="n"/>
      <c r="E508" s="29" t="n"/>
      <c r="F508" s="30">
        <f>IF(AND(ISNUMBER($D508),ISNUMBER($E508),$E508&gt;0,$D508&lt;=$E508),$D508/$E508,"")</f>
        <v/>
      </c>
      <c r="P508" s="26" t="n"/>
      <c r="Q508" s="26" t="n"/>
      <c r="R508" s="26" t="n"/>
      <c r="S508" s="26" t="n"/>
      <c r="T508" s="26" t="n"/>
      <c r="V508" s="27">
        <f>IF(ISNUMBER($C508),COUNTIFS($A$14:$A$1213,$A508,$C$14:$C$1213,"&gt;"&amp;$C508)+(COUNTIFS($A$14:$A$1213,$A508,$C$14:$C$1213,"="&amp;$C508)+1)/2,"")</f>
        <v/>
      </c>
      <c r="W508" s="27">
        <f>IF(ISNUMBER($F508),COUNTIFS($A$14:$A$1213,$A508,$F$14:$F$1213,"&gt;"&amp;$F508)+(COUNTIFS($A$14:$A$1213,$A508,$F$14:$F$1213,"="&amp;$F508)+1)/2,"")</f>
        <v/>
      </c>
      <c r="X508" s="27">
        <f>IF(OR(NOT(ISNUMBER($V508)),$AO508=1),"",$V508-(COUNTIFS($A$14:$A$1213,$A508,$C$14:$C$1213,"&gt;=0")+1)/2)</f>
        <v/>
      </c>
      <c r="Y508" s="27">
        <f>IF(OR(NOT(ISNUMBER($W508)),$AO508=1),"",$W508-(COUNTIFS($A$14:$A$1213,$A508,$F$14:$F$1213,"&gt;=0")+1)/2)</f>
        <v/>
      </c>
      <c r="Z508" s="27">
        <f>IF(ISNUMBER($V508),$A508&amp;"|"&amp;$V508,"")</f>
        <v/>
      </c>
      <c r="AA508" s="27">
        <f>IF(ISNUMBER($W508),$A508&amp;"|"&amp;$W508,"")</f>
        <v/>
      </c>
      <c r="AB508" s="27">
        <f>IF(ISNUMBER($F508),$A508&amp;"|"&amp;$F508,"")</f>
        <v/>
      </c>
      <c r="AC508" s="27">
        <f>IF(ISNUMBER($P508),COUNTIFS($A$14:$A$1213,$A508,$P$14:$P$1213,"&gt;"&amp;$P508)+(COUNTIFS($A$14:$A$1213,$A508,$P$14:$P$1213,"="&amp;$P508)+1)/2,"")</f>
        <v/>
      </c>
      <c r="AD508" s="27">
        <f>IF(ISNUMBER($Q508),COUNTIFS($A$14:$A$1213,$A508,$Q$14:$Q$1213,"&gt;"&amp;$Q508)+(COUNTIFS($A$14:$A$1213,$A508,$Q$14:$Q$1213,"="&amp;$Q508)+1)/2,"")</f>
        <v/>
      </c>
      <c r="AE508" s="27">
        <f>IF(ISNUMBER($R508),COUNTIFS($A$14:$A$1213,$A508,$R$14:$R$1213,"&gt;"&amp;$R508)+(COUNTIFS($A$14:$A$1213,$A508,$R$14:$R$1213,"="&amp;$R508)+1)/2,"")</f>
        <v/>
      </c>
      <c r="AF508" s="27">
        <f>IF(ISNUMBER($S508),COUNTIFS($A$14:$A$1213,$A508,$S$14:$S$1213,"&gt;"&amp;$S508)+(COUNTIFS($A$14:$A$1213,$A508,$S$14:$S$1213,"="&amp;$S508)+1)/2,"")</f>
        <v/>
      </c>
      <c r="AG508" s="27">
        <f>IF(ISNUMBER($T508),COUNTIFS($A$14:$A$1213,$A508,$T$14:$T$1213,"&gt;"&amp;$T508)+(COUNTIFS($A$14:$A$1213,$A508,$T$14:$T$1213,"="&amp;$T508)+1)/2,"")</f>
        <v/>
      </c>
      <c r="AH508" s="27">
        <f>IF(COUNT($AC508:$AG508)&lt;2,"",IF(MAX($AC508:$AG508)=MIN($AC508:$AG508),0,1))</f>
        <v/>
      </c>
      <c r="AI508" s="27">
        <f>IF($A508="","",IF(COUNTIF($A$14:$A508,$A508)=1,COUNTIF($AI$13:AI507,"&gt;0")+1,""))</f>
        <v/>
      </c>
      <c r="AO508" s="27">
        <f>IF($A508="","",IF(AND(COUNTIFS($A$14:$A$1213,$A508,$F$14:$F$1213,"&gt;=0")=2,IFERROR(INDEX($M$14:$M$313,MATCH($A508,$H$14:$H$313,0)),"Yes")&lt;&gt;"Yes"),1,0))</f>
        <v/>
      </c>
    </row>
    <row r="509">
      <c r="A509" s="19">
        <f>IF('Enter messages'!A509="","",'Enter messages'!A509)</f>
        <v/>
      </c>
      <c r="B509" s="20">
        <f>IF('Enter messages'!B509="","",'Enter messages'!B509)</f>
        <v/>
      </c>
      <c r="C509" s="21">
        <f>IFERROR(AVERAGE(P509:T509),"")</f>
        <v/>
      </c>
      <c r="D509" s="29" t="n"/>
      <c r="E509" s="29" t="n"/>
      <c r="F509" s="30">
        <f>IF(AND(ISNUMBER($D509),ISNUMBER($E509),$E509&gt;0,$D509&lt;=$E509),$D509/$E509,"")</f>
        <v/>
      </c>
      <c r="P509" s="26" t="n"/>
      <c r="Q509" s="26" t="n"/>
      <c r="R509" s="26" t="n"/>
      <c r="S509" s="26" t="n"/>
      <c r="T509" s="26" t="n"/>
      <c r="V509" s="27">
        <f>IF(ISNUMBER($C509),COUNTIFS($A$14:$A$1213,$A509,$C$14:$C$1213,"&gt;"&amp;$C509)+(COUNTIFS($A$14:$A$1213,$A509,$C$14:$C$1213,"="&amp;$C509)+1)/2,"")</f>
        <v/>
      </c>
      <c r="W509" s="27">
        <f>IF(ISNUMBER($F509),COUNTIFS($A$14:$A$1213,$A509,$F$14:$F$1213,"&gt;"&amp;$F509)+(COUNTIFS($A$14:$A$1213,$A509,$F$14:$F$1213,"="&amp;$F509)+1)/2,"")</f>
        <v/>
      </c>
      <c r="X509" s="27">
        <f>IF(OR(NOT(ISNUMBER($V509)),$AO509=1),"",$V509-(COUNTIFS($A$14:$A$1213,$A509,$C$14:$C$1213,"&gt;=0")+1)/2)</f>
        <v/>
      </c>
      <c r="Y509" s="27">
        <f>IF(OR(NOT(ISNUMBER($W509)),$AO509=1),"",$W509-(COUNTIFS($A$14:$A$1213,$A509,$F$14:$F$1213,"&gt;=0")+1)/2)</f>
        <v/>
      </c>
      <c r="Z509" s="27">
        <f>IF(ISNUMBER($V509),$A509&amp;"|"&amp;$V509,"")</f>
        <v/>
      </c>
      <c r="AA509" s="27">
        <f>IF(ISNUMBER($W509),$A509&amp;"|"&amp;$W509,"")</f>
        <v/>
      </c>
      <c r="AB509" s="27">
        <f>IF(ISNUMBER($F509),$A509&amp;"|"&amp;$F509,"")</f>
        <v/>
      </c>
      <c r="AC509" s="27">
        <f>IF(ISNUMBER($P509),COUNTIFS($A$14:$A$1213,$A509,$P$14:$P$1213,"&gt;"&amp;$P509)+(COUNTIFS($A$14:$A$1213,$A509,$P$14:$P$1213,"="&amp;$P509)+1)/2,"")</f>
        <v/>
      </c>
      <c r="AD509" s="27">
        <f>IF(ISNUMBER($Q509),COUNTIFS($A$14:$A$1213,$A509,$Q$14:$Q$1213,"&gt;"&amp;$Q509)+(COUNTIFS($A$14:$A$1213,$A509,$Q$14:$Q$1213,"="&amp;$Q509)+1)/2,"")</f>
        <v/>
      </c>
      <c r="AE509" s="27">
        <f>IF(ISNUMBER($R509),COUNTIFS($A$14:$A$1213,$A509,$R$14:$R$1213,"&gt;"&amp;$R509)+(COUNTIFS($A$14:$A$1213,$A509,$R$14:$R$1213,"="&amp;$R509)+1)/2,"")</f>
        <v/>
      </c>
      <c r="AF509" s="27">
        <f>IF(ISNUMBER($S509),COUNTIFS($A$14:$A$1213,$A509,$S$14:$S$1213,"&gt;"&amp;$S509)+(COUNTIFS($A$14:$A$1213,$A509,$S$14:$S$1213,"="&amp;$S509)+1)/2,"")</f>
        <v/>
      </c>
      <c r="AG509" s="27">
        <f>IF(ISNUMBER($T509),COUNTIFS($A$14:$A$1213,$A509,$T$14:$T$1213,"&gt;"&amp;$T509)+(COUNTIFS($A$14:$A$1213,$A509,$T$14:$T$1213,"="&amp;$T509)+1)/2,"")</f>
        <v/>
      </c>
      <c r="AH509" s="27">
        <f>IF(COUNT($AC509:$AG509)&lt;2,"",IF(MAX($AC509:$AG509)=MIN($AC509:$AG509),0,1))</f>
        <v/>
      </c>
      <c r="AI509" s="27">
        <f>IF($A509="","",IF(COUNTIF($A$14:$A509,$A509)=1,COUNTIF($AI$13:AI508,"&gt;0")+1,""))</f>
        <v/>
      </c>
      <c r="AO509" s="27">
        <f>IF($A509="","",IF(AND(COUNTIFS($A$14:$A$1213,$A509,$F$14:$F$1213,"&gt;=0")=2,IFERROR(INDEX($M$14:$M$313,MATCH($A509,$H$14:$H$313,0)),"Yes")&lt;&gt;"Yes"),1,0))</f>
        <v/>
      </c>
    </row>
    <row r="510">
      <c r="A510" s="19">
        <f>IF('Enter messages'!A510="","",'Enter messages'!A510)</f>
        <v/>
      </c>
      <c r="B510" s="20">
        <f>IF('Enter messages'!B510="","",'Enter messages'!B510)</f>
        <v/>
      </c>
      <c r="C510" s="21">
        <f>IFERROR(AVERAGE(P510:T510),"")</f>
        <v/>
      </c>
      <c r="D510" s="29" t="n"/>
      <c r="E510" s="29" t="n"/>
      <c r="F510" s="30">
        <f>IF(AND(ISNUMBER($D510),ISNUMBER($E510),$E510&gt;0,$D510&lt;=$E510),$D510/$E510,"")</f>
        <v/>
      </c>
      <c r="P510" s="26" t="n"/>
      <c r="Q510" s="26" t="n"/>
      <c r="R510" s="26" t="n"/>
      <c r="S510" s="26" t="n"/>
      <c r="T510" s="26" t="n"/>
      <c r="V510" s="27">
        <f>IF(ISNUMBER($C510),COUNTIFS($A$14:$A$1213,$A510,$C$14:$C$1213,"&gt;"&amp;$C510)+(COUNTIFS($A$14:$A$1213,$A510,$C$14:$C$1213,"="&amp;$C510)+1)/2,"")</f>
        <v/>
      </c>
      <c r="W510" s="27">
        <f>IF(ISNUMBER($F510),COUNTIFS($A$14:$A$1213,$A510,$F$14:$F$1213,"&gt;"&amp;$F510)+(COUNTIFS($A$14:$A$1213,$A510,$F$14:$F$1213,"="&amp;$F510)+1)/2,"")</f>
        <v/>
      </c>
      <c r="X510" s="27">
        <f>IF(OR(NOT(ISNUMBER($V510)),$AO510=1),"",$V510-(COUNTIFS($A$14:$A$1213,$A510,$C$14:$C$1213,"&gt;=0")+1)/2)</f>
        <v/>
      </c>
      <c r="Y510" s="27">
        <f>IF(OR(NOT(ISNUMBER($W510)),$AO510=1),"",$W510-(COUNTIFS($A$14:$A$1213,$A510,$F$14:$F$1213,"&gt;=0")+1)/2)</f>
        <v/>
      </c>
      <c r="Z510" s="27">
        <f>IF(ISNUMBER($V510),$A510&amp;"|"&amp;$V510,"")</f>
        <v/>
      </c>
      <c r="AA510" s="27">
        <f>IF(ISNUMBER($W510),$A510&amp;"|"&amp;$W510,"")</f>
        <v/>
      </c>
      <c r="AB510" s="27">
        <f>IF(ISNUMBER($F510),$A510&amp;"|"&amp;$F510,"")</f>
        <v/>
      </c>
      <c r="AC510" s="27">
        <f>IF(ISNUMBER($P510),COUNTIFS($A$14:$A$1213,$A510,$P$14:$P$1213,"&gt;"&amp;$P510)+(COUNTIFS($A$14:$A$1213,$A510,$P$14:$P$1213,"="&amp;$P510)+1)/2,"")</f>
        <v/>
      </c>
      <c r="AD510" s="27">
        <f>IF(ISNUMBER($Q510),COUNTIFS($A$14:$A$1213,$A510,$Q$14:$Q$1213,"&gt;"&amp;$Q510)+(COUNTIFS($A$14:$A$1213,$A510,$Q$14:$Q$1213,"="&amp;$Q510)+1)/2,"")</f>
        <v/>
      </c>
      <c r="AE510" s="27">
        <f>IF(ISNUMBER($R510),COUNTIFS($A$14:$A$1213,$A510,$R$14:$R$1213,"&gt;"&amp;$R510)+(COUNTIFS($A$14:$A$1213,$A510,$R$14:$R$1213,"="&amp;$R510)+1)/2,"")</f>
        <v/>
      </c>
      <c r="AF510" s="27">
        <f>IF(ISNUMBER($S510),COUNTIFS($A$14:$A$1213,$A510,$S$14:$S$1213,"&gt;"&amp;$S510)+(COUNTIFS($A$14:$A$1213,$A510,$S$14:$S$1213,"="&amp;$S510)+1)/2,"")</f>
        <v/>
      </c>
      <c r="AG510" s="27">
        <f>IF(ISNUMBER($T510),COUNTIFS($A$14:$A$1213,$A510,$T$14:$T$1213,"&gt;"&amp;$T510)+(COUNTIFS($A$14:$A$1213,$A510,$T$14:$T$1213,"="&amp;$T510)+1)/2,"")</f>
        <v/>
      </c>
      <c r="AH510" s="27">
        <f>IF(COUNT($AC510:$AG510)&lt;2,"",IF(MAX($AC510:$AG510)=MIN($AC510:$AG510),0,1))</f>
        <v/>
      </c>
      <c r="AI510" s="27">
        <f>IF($A510="","",IF(COUNTIF($A$14:$A510,$A510)=1,COUNTIF($AI$13:AI509,"&gt;0")+1,""))</f>
        <v/>
      </c>
      <c r="AO510" s="27">
        <f>IF($A510="","",IF(AND(COUNTIFS($A$14:$A$1213,$A510,$F$14:$F$1213,"&gt;=0")=2,IFERROR(INDEX($M$14:$M$313,MATCH($A510,$H$14:$H$313,0)),"Yes")&lt;&gt;"Yes"),1,0))</f>
        <v/>
      </c>
    </row>
    <row r="511">
      <c r="A511" s="19">
        <f>IF('Enter messages'!A511="","",'Enter messages'!A511)</f>
        <v/>
      </c>
      <c r="B511" s="20">
        <f>IF('Enter messages'!B511="","",'Enter messages'!B511)</f>
        <v/>
      </c>
      <c r="C511" s="21">
        <f>IFERROR(AVERAGE(P511:T511),"")</f>
        <v/>
      </c>
      <c r="D511" s="29" t="n"/>
      <c r="E511" s="29" t="n"/>
      <c r="F511" s="30">
        <f>IF(AND(ISNUMBER($D511),ISNUMBER($E511),$E511&gt;0,$D511&lt;=$E511),$D511/$E511,"")</f>
        <v/>
      </c>
      <c r="P511" s="26" t="n"/>
      <c r="Q511" s="26" t="n"/>
      <c r="R511" s="26" t="n"/>
      <c r="S511" s="26" t="n"/>
      <c r="T511" s="26" t="n"/>
      <c r="V511" s="27">
        <f>IF(ISNUMBER($C511),COUNTIFS($A$14:$A$1213,$A511,$C$14:$C$1213,"&gt;"&amp;$C511)+(COUNTIFS($A$14:$A$1213,$A511,$C$14:$C$1213,"="&amp;$C511)+1)/2,"")</f>
        <v/>
      </c>
      <c r="W511" s="27">
        <f>IF(ISNUMBER($F511),COUNTIFS($A$14:$A$1213,$A511,$F$14:$F$1213,"&gt;"&amp;$F511)+(COUNTIFS($A$14:$A$1213,$A511,$F$14:$F$1213,"="&amp;$F511)+1)/2,"")</f>
        <v/>
      </c>
      <c r="X511" s="27">
        <f>IF(OR(NOT(ISNUMBER($V511)),$AO511=1),"",$V511-(COUNTIFS($A$14:$A$1213,$A511,$C$14:$C$1213,"&gt;=0")+1)/2)</f>
        <v/>
      </c>
      <c r="Y511" s="27">
        <f>IF(OR(NOT(ISNUMBER($W511)),$AO511=1),"",$W511-(COUNTIFS($A$14:$A$1213,$A511,$F$14:$F$1213,"&gt;=0")+1)/2)</f>
        <v/>
      </c>
      <c r="Z511" s="27">
        <f>IF(ISNUMBER($V511),$A511&amp;"|"&amp;$V511,"")</f>
        <v/>
      </c>
      <c r="AA511" s="27">
        <f>IF(ISNUMBER($W511),$A511&amp;"|"&amp;$W511,"")</f>
        <v/>
      </c>
      <c r="AB511" s="27">
        <f>IF(ISNUMBER($F511),$A511&amp;"|"&amp;$F511,"")</f>
        <v/>
      </c>
      <c r="AC511" s="27">
        <f>IF(ISNUMBER($P511),COUNTIFS($A$14:$A$1213,$A511,$P$14:$P$1213,"&gt;"&amp;$P511)+(COUNTIFS($A$14:$A$1213,$A511,$P$14:$P$1213,"="&amp;$P511)+1)/2,"")</f>
        <v/>
      </c>
      <c r="AD511" s="27">
        <f>IF(ISNUMBER($Q511),COUNTIFS($A$14:$A$1213,$A511,$Q$14:$Q$1213,"&gt;"&amp;$Q511)+(COUNTIFS($A$14:$A$1213,$A511,$Q$14:$Q$1213,"="&amp;$Q511)+1)/2,"")</f>
        <v/>
      </c>
      <c r="AE511" s="27">
        <f>IF(ISNUMBER($R511),COUNTIFS($A$14:$A$1213,$A511,$R$14:$R$1213,"&gt;"&amp;$R511)+(COUNTIFS($A$14:$A$1213,$A511,$R$14:$R$1213,"="&amp;$R511)+1)/2,"")</f>
        <v/>
      </c>
      <c r="AF511" s="27">
        <f>IF(ISNUMBER($S511),COUNTIFS($A$14:$A$1213,$A511,$S$14:$S$1213,"&gt;"&amp;$S511)+(COUNTIFS($A$14:$A$1213,$A511,$S$14:$S$1213,"="&amp;$S511)+1)/2,"")</f>
        <v/>
      </c>
      <c r="AG511" s="27">
        <f>IF(ISNUMBER($T511),COUNTIFS($A$14:$A$1213,$A511,$T$14:$T$1213,"&gt;"&amp;$T511)+(COUNTIFS($A$14:$A$1213,$A511,$T$14:$T$1213,"="&amp;$T511)+1)/2,"")</f>
        <v/>
      </c>
      <c r="AH511" s="27">
        <f>IF(COUNT($AC511:$AG511)&lt;2,"",IF(MAX($AC511:$AG511)=MIN($AC511:$AG511),0,1))</f>
        <v/>
      </c>
      <c r="AI511" s="27">
        <f>IF($A511="","",IF(COUNTIF($A$14:$A511,$A511)=1,COUNTIF($AI$13:AI510,"&gt;0")+1,""))</f>
        <v/>
      </c>
      <c r="AO511" s="27">
        <f>IF($A511="","",IF(AND(COUNTIFS($A$14:$A$1213,$A511,$F$14:$F$1213,"&gt;=0")=2,IFERROR(INDEX($M$14:$M$313,MATCH($A511,$H$14:$H$313,0)),"Yes")&lt;&gt;"Yes"),1,0))</f>
        <v/>
      </c>
    </row>
    <row r="512">
      <c r="A512" s="19">
        <f>IF('Enter messages'!A512="","",'Enter messages'!A512)</f>
        <v/>
      </c>
      <c r="B512" s="20">
        <f>IF('Enter messages'!B512="","",'Enter messages'!B512)</f>
        <v/>
      </c>
      <c r="C512" s="21">
        <f>IFERROR(AVERAGE(P512:T512),"")</f>
        <v/>
      </c>
      <c r="D512" s="29" t="n"/>
      <c r="E512" s="29" t="n"/>
      <c r="F512" s="30">
        <f>IF(AND(ISNUMBER($D512),ISNUMBER($E512),$E512&gt;0,$D512&lt;=$E512),$D512/$E512,"")</f>
        <v/>
      </c>
      <c r="P512" s="26" t="n"/>
      <c r="Q512" s="26" t="n"/>
      <c r="R512" s="26" t="n"/>
      <c r="S512" s="26" t="n"/>
      <c r="T512" s="26" t="n"/>
      <c r="V512" s="27">
        <f>IF(ISNUMBER($C512),COUNTIFS($A$14:$A$1213,$A512,$C$14:$C$1213,"&gt;"&amp;$C512)+(COUNTIFS($A$14:$A$1213,$A512,$C$14:$C$1213,"="&amp;$C512)+1)/2,"")</f>
        <v/>
      </c>
      <c r="W512" s="27">
        <f>IF(ISNUMBER($F512),COUNTIFS($A$14:$A$1213,$A512,$F$14:$F$1213,"&gt;"&amp;$F512)+(COUNTIFS($A$14:$A$1213,$A512,$F$14:$F$1213,"="&amp;$F512)+1)/2,"")</f>
        <v/>
      </c>
      <c r="X512" s="27">
        <f>IF(OR(NOT(ISNUMBER($V512)),$AO512=1),"",$V512-(COUNTIFS($A$14:$A$1213,$A512,$C$14:$C$1213,"&gt;=0")+1)/2)</f>
        <v/>
      </c>
      <c r="Y512" s="27">
        <f>IF(OR(NOT(ISNUMBER($W512)),$AO512=1),"",$W512-(COUNTIFS($A$14:$A$1213,$A512,$F$14:$F$1213,"&gt;=0")+1)/2)</f>
        <v/>
      </c>
      <c r="Z512" s="27">
        <f>IF(ISNUMBER($V512),$A512&amp;"|"&amp;$V512,"")</f>
        <v/>
      </c>
      <c r="AA512" s="27">
        <f>IF(ISNUMBER($W512),$A512&amp;"|"&amp;$W512,"")</f>
        <v/>
      </c>
      <c r="AB512" s="27">
        <f>IF(ISNUMBER($F512),$A512&amp;"|"&amp;$F512,"")</f>
        <v/>
      </c>
      <c r="AC512" s="27">
        <f>IF(ISNUMBER($P512),COUNTIFS($A$14:$A$1213,$A512,$P$14:$P$1213,"&gt;"&amp;$P512)+(COUNTIFS($A$14:$A$1213,$A512,$P$14:$P$1213,"="&amp;$P512)+1)/2,"")</f>
        <v/>
      </c>
      <c r="AD512" s="27">
        <f>IF(ISNUMBER($Q512),COUNTIFS($A$14:$A$1213,$A512,$Q$14:$Q$1213,"&gt;"&amp;$Q512)+(COUNTIFS($A$14:$A$1213,$A512,$Q$14:$Q$1213,"="&amp;$Q512)+1)/2,"")</f>
        <v/>
      </c>
      <c r="AE512" s="27">
        <f>IF(ISNUMBER($R512),COUNTIFS($A$14:$A$1213,$A512,$R$14:$R$1213,"&gt;"&amp;$R512)+(COUNTIFS($A$14:$A$1213,$A512,$R$14:$R$1213,"="&amp;$R512)+1)/2,"")</f>
        <v/>
      </c>
      <c r="AF512" s="27">
        <f>IF(ISNUMBER($S512),COUNTIFS($A$14:$A$1213,$A512,$S$14:$S$1213,"&gt;"&amp;$S512)+(COUNTIFS($A$14:$A$1213,$A512,$S$14:$S$1213,"="&amp;$S512)+1)/2,"")</f>
        <v/>
      </c>
      <c r="AG512" s="27">
        <f>IF(ISNUMBER($T512),COUNTIFS($A$14:$A$1213,$A512,$T$14:$T$1213,"&gt;"&amp;$T512)+(COUNTIFS($A$14:$A$1213,$A512,$T$14:$T$1213,"="&amp;$T512)+1)/2,"")</f>
        <v/>
      </c>
      <c r="AH512" s="27">
        <f>IF(COUNT($AC512:$AG512)&lt;2,"",IF(MAX($AC512:$AG512)=MIN($AC512:$AG512),0,1))</f>
        <v/>
      </c>
      <c r="AI512" s="27">
        <f>IF($A512="","",IF(COUNTIF($A$14:$A512,$A512)=1,COUNTIF($AI$13:AI511,"&gt;0")+1,""))</f>
        <v/>
      </c>
      <c r="AO512" s="27">
        <f>IF($A512="","",IF(AND(COUNTIFS($A$14:$A$1213,$A512,$F$14:$F$1213,"&gt;=0")=2,IFERROR(INDEX($M$14:$M$313,MATCH($A512,$H$14:$H$313,0)),"Yes")&lt;&gt;"Yes"),1,0))</f>
        <v/>
      </c>
    </row>
    <row r="513">
      <c r="A513" s="19">
        <f>IF('Enter messages'!A513="","",'Enter messages'!A513)</f>
        <v/>
      </c>
      <c r="B513" s="20">
        <f>IF('Enter messages'!B513="","",'Enter messages'!B513)</f>
        <v/>
      </c>
      <c r="C513" s="21">
        <f>IFERROR(AVERAGE(P513:T513),"")</f>
        <v/>
      </c>
      <c r="D513" s="29" t="n"/>
      <c r="E513" s="29" t="n"/>
      <c r="F513" s="30">
        <f>IF(AND(ISNUMBER($D513),ISNUMBER($E513),$E513&gt;0,$D513&lt;=$E513),$D513/$E513,"")</f>
        <v/>
      </c>
      <c r="P513" s="26" t="n"/>
      <c r="Q513" s="26" t="n"/>
      <c r="R513" s="26" t="n"/>
      <c r="S513" s="26" t="n"/>
      <c r="T513" s="26" t="n"/>
      <c r="V513" s="27">
        <f>IF(ISNUMBER($C513),COUNTIFS($A$14:$A$1213,$A513,$C$14:$C$1213,"&gt;"&amp;$C513)+(COUNTIFS($A$14:$A$1213,$A513,$C$14:$C$1213,"="&amp;$C513)+1)/2,"")</f>
        <v/>
      </c>
      <c r="W513" s="27">
        <f>IF(ISNUMBER($F513),COUNTIFS($A$14:$A$1213,$A513,$F$14:$F$1213,"&gt;"&amp;$F513)+(COUNTIFS($A$14:$A$1213,$A513,$F$14:$F$1213,"="&amp;$F513)+1)/2,"")</f>
        <v/>
      </c>
      <c r="X513" s="27">
        <f>IF(OR(NOT(ISNUMBER($V513)),$AO513=1),"",$V513-(COUNTIFS($A$14:$A$1213,$A513,$C$14:$C$1213,"&gt;=0")+1)/2)</f>
        <v/>
      </c>
      <c r="Y513" s="27">
        <f>IF(OR(NOT(ISNUMBER($W513)),$AO513=1),"",$W513-(COUNTIFS($A$14:$A$1213,$A513,$F$14:$F$1213,"&gt;=0")+1)/2)</f>
        <v/>
      </c>
      <c r="Z513" s="27">
        <f>IF(ISNUMBER($V513),$A513&amp;"|"&amp;$V513,"")</f>
        <v/>
      </c>
      <c r="AA513" s="27">
        <f>IF(ISNUMBER($W513),$A513&amp;"|"&amp;$W513,"")</f>
        <v/>
      </c>
      <c r="AB513" s="27">
        <f>IF(ISNUMBER($F513),$A513&amp;"|"&amp;$F513,"")</f>
        <v/>
      </c>
      <c r="AC513" s="27">
        <f>IF(ISNUMBER($P513),COUNTIFS($A$14:$A$1213,$A513,$P$14:$P$1213,"&gt;"&amp;$P513)+(COUNTIFS($A$14:$A$1213,$A513,$P$14:$P$1213,"="&amp;$P513)+1)/2,"")</f>
        <v/>
      </c>
      <c r="AD513" s="27">
        <f>IF(ISNUMBER($Q513),COUNTIFS($A$14:$A$1213,$A513,$Q$14:$Q$1213,"&gt;"&amp;$Q513)+(COUNTIFS($A$14:$A$1213,$A513,$Q$14:$Q$1213,"="&amp;$Q513)+1)/2,"")</f>
        <v/>
      </c>
      <c r="AE513" s="27">
        <f>IF(ISNUMBER($R513),COUNTIFS($A$14:$A$1213,$A513,$R$14:$R$1213,"&gt;"&amp;$R513)+(COUNTIFS($A$14:$A$1213,$A513,$R$14:$R$1213,"="&amp;$R513)+1)/2,"")</f>
        <v/>
      </c>
      <c r="AF513" s="27">
        <f>IF(ISNUMBER($S513),COUNTIFS($A$14:$A$1213,$A513,$S$14:$S$1213,"&gt;"&amp;$S513)+(COUNTIFS($A$14:$A$1213,$A513,$S$14:$S$1213,"="&amp;$S513)+1)/2,"")</f>
        <v/>
      </c>
      <c r="AG513" s="27">
        <f>IF(ISNUMBER($T513),COUNTIFS($A$14:$A$1213,$A513,$T$14:$T$1213,"&gt;"&amp;$T513)+(COUNTIFS($A$14:$A$1213,$A513,$T$14:$T$1213,"="&amp;$T513)+1)/2,"")</f>
        <v/>
      </c>
      <c r="AH513" s="27">
        <f>IF(COUNT($AC513:$AG513)&lt;2,"",IF(MAX($AC513:$AG513)=MIN($AC513:$AG513),0,1))</f>
        <v/>
      </c>
      <c r="AI513" s="27">
        <f>IF($A513="","",IF(COUNTIF($A$14:$A513,$A513)=1,COUNTIF($AI$13:AI512,"&gt;0")+1,""))</f>
        <v/>
      </c>
      <c r="AO513" s="27">
        <f>IF($A513="","",IF(AND(COUNTIFS($A$14:$A$1213,$A513,$F$14:$F$1213,"&gt;=0")=2,IFERROR(INDEX($M$14:$M$313,MATCH($A513,$H$14:$H$313,0)),"Yes")&lt;&gt;"Yes"),1,0))</f>
        <v/>
      </c>
    </row>
    <row r="514">
      <c r="A514" s="19">
        <f>IF('Enter messages'!A514="","",'Enter messages'!A514)</f>
        <v/>
      </c>
      <c r="B514" s="20">
        <f>IF('Enter messages'!B514="","",'Enter messages'!B514)</f>
        <v/>
      </c>
      <c r="C514" s="21">
        <f>IFERROR(AVERAGE(P514:T514),"")</f>
        <v/>
      </c>
      <c r="D514" s="29" t="n"/>
      <c r="E514" s="29" t="n"/>
      <c r="F514" s="30">
        <f>IF(AND(ISNUMBER($D514),ISNUMBER($E514),$E514&gt;0,$D514&lt;=$E514),$D514/$E514,"")</f>
        <v/>
      </c>
      <c r="P514" s="26" t="n"/>
      <c r="Q514" s="26" t="n"/>
      <c r="R514" s="26" t="n"/>
      <c r="S514" s="26" t="n"/>
      <c r="T514" s="26" t="n"/>
      <c r="V514" s="27">
        <f>IF(ISNUMBER($C514),COUNTIFS($A$14:$A$1213,$A514,$C$14:$C$1213,"&gt;"&amp;$C514)+(COUNTIFS($A$14:$A$1213,$A514,$C$14:$C$1213,"="&amp;$C514)+1)/2,"")</f>
        <v/>
      </c>
      <c r="W514" s="27">
        <f>IF(ISNUMBER($F514),COUNTIFS($A$14:$A$1213,$A514,$F$14:$F$1213,"&gt;"&amp;$F514)+(COUNTIFS($A$14:$A$1213,$A514,$F$14:$F$1213,"="&amp;$F514)+1)/2,"")</f>
        <v/>
      </c>
      <c r="X514" s="27">
        <f>IF(OR(NOT(ISNUMBER($V514)),$AO514=1),"",$V514-(COUNTIFS($A$14:$A$1213,$A514,$C$14:$C$1213,"&gt;=0")+1)/2)</f>
        <v/>
      </c>
      <c r="Y514" s="27">
        <f>IF(OR(NOT(ISNUMBER($W514)),$AO514=1),"",$W514-(COUNTIFS($A$14:$A$1213,$A514,$F$14:$F$1213,"&gt;=0")+1)/2)</f>
        <v/>
      </c>
      <c r="Z514" s="27">
        <f>IF(ISNUMBER($V514),$A514&amp;"|"&amp;$V514,"")</f>
        <v/>
      </c>
      <c r="AA514" s="27">
        <f>IF(ISNUMBER($W514),$A514&amp;"|"&amp;$W514,"")</f>
        <v/>
      </c>
      <c r="AB514" s="27">
        <f>IF(ISNUMBER($F514),$A514&amp;"|"&amp;$F514,"")</f>
        <v/>
      </c>
      <c r="AC514" s="27">
        <f>IF(ISNUMBER($P514),COUNTIFS($A$14:$A$1213,$A514,$P$14:$P$1213,"&gt;"&amp;$P514)+(COUNTIFS($A$14:$A$1213,$A514,$P$14:$P$1213,"="&amp;$P514)+1)/2,"")</f>
        <v/>
      </c>
      <c r="AD514" s="27">
        <f>IF(ISNUMBER($Q514),COUNTIFS($A$14:$A$1213,$A514,$Q$14:$Q$1213,"&gt;"&amp;$Q514)+(COUNTIFS($A$14:$A$1213,$A514,$Q$14:$Q$1213,"="&amp;$Q514)+1)/2,"")</f>
        <v/>
      </c>
      <c r="AE514" s="27">
        <f>IF(ISNUMBER($R514),COUNTIFS($A$14:$A$1213,$A514,$R$14:$R$1213,"&gt;"&amp;$R514)+(COUNTIFS($A$14:$A$1213,$A514,$R$14:$R$1213,"="&amp;$R514)+1)/2,"")</f>
        <v/>
      </c>
      <c r="AF514" s="27">
        <f>IF(ISNUMBER($S514),COUNTIFS($A$14:$A$1213,$A514,$S$14:$S$1213,"&gt;"&amp;$S514)+(COUNTIFS($A$14:$A$1213,$A514,$S$14:$S$1213,"="&amp;$S514)+1)/2,"")</f>
        <v/>
      </c>
      <c r="AG514" s="27">
        <f>IF(ISNUMBER($T514),COUNTIFS($A$14:$A$1213,$A514,$T$14:$T$1213,"&gt;"&amp;$T514)+(COUNTIFS($A$14:$A$1213,$A514,$T$14:$T$1213,"="&amp;$T514)+1)/2,"")</f>
        <v/>
      </c>
      <c r="AH514" s="27">
        <f>IF(COUNT($AC514:$AG514)&lt;2,"",IF(MAX($AC514:$AG514)=MIN($AC514:$AG514),0,1))</f>
        <v/>
      </c>
      <c r="AI514" s="27">
        <f>IF($A514="","",IF(COUNTIF($A$14:$A514,$A514)=1,COUNTIF($AI$13:AI513,"&gt;0")+1,""))</f>
        <v/>
      </c>
      <c r="AO514" s="27">
        <f>IF($A514="","",IF(AND(COUNTIFS($A$14:$A$1213,$A514,$F$14:$F$1213,"&gt;=0")=2,IFERROR(INDEX($M$14:$M$313,MATCH($A514,$H$14:$H$313,0)),"Yes")&lt;&gt;"Yes"),1,0))</f>
        <v/>
      </c>
    </row>
    <row r="515">
      <c r="A515" s="19">
        <f>IF('Enter messages'!A515="","",'Enter messages'!A515)</f>
        <v/>
      </c>
      <c r="B515" s="20">
        <f>IF('Enter messages'!B515="","",'Enter messages'!B515)</f>
        <v/>
      </c>
      <c r="C515" s="21">
        <f>IFERROR(AVERAGE(P515:T515),"")</f>
        <v/>
      </c>
      <c r="D515" s="29" t="n"/>
      <c r="E515" s="29" t="n"/>
      <c r="F515" s="30">
        <f>IF(AND(ISNUMBER($D515),ISNUMBER($E515),$E515&gt;0,$D515&lt;=$E515),$D515/$E515,"")</f>
        <v/>
      </c>
      <c r="P515" s="26" t="n"/>
      <c r="Q515" s="26" t="n"/>
      <c r="R515" s="26" t="n"/>
      <c r="S515" s="26" t="n"/>
      <c r="T515" s="26" t="n"/>
      <c r="V515" s="27">
        <f>IF(ISNUMBER($C515),COUNTIFS($A$14:$A$1213,$A515,$C$14:$C$1213,"&gt;"&amp;$C515)+(COUNTIFS($A$14:$A$1213,$A515,$C$14:$C$1213,"="&amp;$C515)+1)/2,"")</f>
        <v/>
      </c>
      <c r="W515" s="27">
        <f>IF(ISNUMBER($F515),COUNTIFS($A$14:$A$1213,$A515,$F$14:$F$1213,"&gt;"&amp;$F515)+(COUNTIFS($A$14:$A$1213,$A515,$F$14:$F$1213,"="&amp;$F515)+1)/2,"")</f>
        <v/>
      </c>
      <c r="X515" s="27">
        <f>IF(OR(NOT(ISNUMBER($V515)),$AO515=1),"",$V515-(COUNTIFS($A$14:$A$1213,$A515,$C$14:$C$1213,"&gt;=0")+1)/2)</f>
        <v/>
      </c>
      <c r="Y515" s="27">
        <f>IF(OR(NOT(ISNUMBER($W515)),$AO515=1),"",$W515-(COUNTIFS($A$14:$A$1213,$A515,$F$14:$F$1213,"&gt;=0")+1)/2)</f>
        <v/>
      </c>
      <c r="Z515" s="27">
        <f>IF(ISNUMBER($V515),$A515&amp;"|"&amp;$V515,"")</f>
        <v/>
      </c>
      <c r="AA515" s="27">
        <f>IF(ISNUMBER($W515),$A515&amp;"|"&amp;$W515,"")</f>
        <v/>
      </c>
      <c r="AB515" s="27">
        <f>IF(ISNUMBER($F515),$A515&amp;"|"&amp;$F515,"")</f>
        <v/>
      </c>
      <c r="AC515" s="27">
        <f>IF(ISNUMBER($P515),COUNTIFS($A$14:$A$1213,$A515,$P$14:$P$1213,"&gt;"&amp;$P515)+(COUNTIFS($A$14:$A$1213,$A515,$P$14:$P$1213,"="&amp;$P515)+1)/2,"")</f>
        <v/>
      </c>
      <c r="AD515" s="27">
        <f>IF(ISNUMBER($Q515),COUNTIFS($A$14:$A$1213,$A515,$Q$14:$Q$1213,"&gt;"&amp;$Q515)+(COUNTIFS($A$14:$A$1213,$A515,$Q$14:$Q$1213,"="&amp;$Q515)+1)/2,"")</f>
        <v/>
      </c>
      <c r="AE515" s="27">
        <f>IF(ISNUMBER($R515),COUNTIFS($A$14:$A$1213,$A515,$R$14:$R$1213,"&gt;"&amp;$R515)+(COUNTIFS($A$14:$A$1213,$A515,$R$14:$R$1213,"="&amp;$R515)+1)/2,"")</f>
        <v/>
      </c>
      <c r="AF515" s="27">
        <f>IF(ISNUMBER($S515),COUNTIFS($A$14:$A$1213,$A515,$S$14:$S$1213,"&gt;"&amp;$S515)+(COUNTIFS($A$14:$A$1213,$A515,$S$14:$S$1213,"="&amp;$S515)+1)/2,"")</f>
        <v/>
      </c>
      <c r="AG515" s="27">
        <f>IF(ISNUMBER($T515),COUNTIFS($A$14:$A$1213,$A515,$T$14:$T$1213,"&gt;"&amp;$T515)+(COUNTIFS($A$14:$A$1213,$A515,$T$14:$T$1213,"="&amp;$T515)+1)/2,"")</f>
        <v/>
      </c>
      <c r="AH515" s="27">
        <f>IF(COUNT($AC515:$AG515)&lt;2,"",IF(MAX($AC515:$AG515)=MIN($AC515:$AG515),0,1))</f>
        <v/>
      </c>
      <c r="AI515" s="27">
        <f>IF($A515="","",IF(COUNTIF($A$14:$A515,$A515)=1,COUNTIF($AI$13:AI514,"&gt;0")+1,""))</f>
        <v/>
      </c>
      <c r="AO515" s="27">
        <f>IF($A515="","",IF(AND(COUNTIFS($A$14:$A$1213,$A515,$F$14:$F$1213,"&gt;=0")=2,IFERROR(INDEX($M$14:$M$313,MATCH($A515,$H$14:$H$313,0)),"Yes")&lt;&gt;"Yes"),1,0))</f>
        <v/>
      </c>
    </row>
    <row r="516">
      <c r="A516" s="19">
        <f>IF('Enter messages'!A516="","",'Enter messages'!A516)</f>
        <v/>
      </c>
      <c r="B516" s="20">
        <f>IF('Enter messages'!B516="","",'Enter messages'!B516)</f>
        <v/>
      </c>
      <c r="C516" s="21">
        <f>IFERROR(AVERAGE(P516:T516),"")</f>
        <v/>
      </c>
      <c r="D516" s="29" t="n"/>
      <c r="E516" s="29" t="n"/>
      <c r="F516" s="30">
        <f>IF(AND(ISNUMBER($D516),ISNUMBER($E516),$E516&gt;0,$D516&lt;=$E516),$D516/$E516,"")</f>
        <v/>
      </c>
      <c r="P516" s="26" t="n"/>
      <c r="Q516" s="26" t="n"/>
      <c r="R516" s="26" t="n"/>
      <c r="S516" s="26" t="n"/>
      <c r="T516" s="26" t="n"/>
      <c r="V516" s="27">
        <f>IF(ISNUMBER($C516),COUNTIFS($A$14:$A$1213,$A516,$C$14:$C$1213,"&gt;"&amp;$C516)+(COUNTIFS($A$14:$A$1213,$A516,$C$14:$C$1213,"="&amp;$C516)+1)/2,"")</f>
        <v/>
      </c>
      <c r="W516" s="27">
        <f>IF(ISNUMBER($F516),COUNTIFS($A$14:$A$1213,$A516,$F$14:$F$1213,"&gt;"&amp;$F516)+(COUNTIFS($A$14:$A$1213,$A516,$F$14:$F$1213,"="&amp;$F516)+1)/2,"")</f>
        <v/>
      </c>
      <c r="X516" s="27">
        <f>IF(OR(NOT(ISNUMBER($V516)),$AO516=1),"",$V516-(COUNTIFS($A$14:$A$1213,$A516,$C$14:$C$1213,"&gt;=0")+1)/2)</f>
        <v/>
      </c>
      <c r="Y516" s="27">
        <f>IF(OR(NOT(ISNUMBER($W516)),$AO516=1),"",$W516-(COUNTIFS($A$14:$A$1213,$A516,$F$14:$F$1213,"&gt;=0")+1)/2)</f>
        <v/>
      </c>
      <c r="Z516" s="27">
        <f>IF(ISNUMBER($V516),$A516&amp;"|"&amp;$V516,"")</f>
        <v/>
      </c>
      <c r="AA516" s="27">
        <f>IF(ISNUMBER($W516),$A516&amp;"|"&amp;$W516,"")</f>
        <v/>
      </c>
      <c r="AB516" s="27">
        <f>IF(ISNUMBER($F516),$A516&amp;"|"&amp;$F516,"")</f>
        <v/>
      </c>
      <c r="AC516" s="27">
        <f>IF(ISNUMBER($P516),COUNTIFS($A$14:$A$1213,$A516,$P$14:$P$1213,"&gt;"&amp;$P516)+(COUNTIFS($A$14:$A$1213,$A516,$P$14:$P$1213,"="&amp;$P516)+1)/2,"")</f>
        <v/>
      </c>
      <c r="AD516" s="27">
        <f>IF(ISNUMBER($Q516),COUNTIFS($A$14:$A$1213,$A516,$Q$14:$Q$1213,"&gt;"&amp;$Q516)+(COUNTIFS($A$14:$A$1213,$A516,$Q$14:$Q$1213,"="&amp;$Q516)+1)/2,"")</f>
        <v/>
      </c>
      <c r="AE516" s="27">
        <f>IF(ISNUMBER($R516),COUNTIFS($A$14:$A$1213,$A516,$R$14:$R$1213,"&gt;"&amp;$R516)+(COUNTIFS($A$14:$A$1213,$A516,$R$14:$R$1213,"="&amp;$R516)+1)/2,"")</f>
        <v/>
      </c>
      <c r="AF516" s="27">
        <f>IF(ISNUMBER($S516),COUNTIFS($A$14:$A$1213,$A516,$S$14:$S$1213,"&gt;"&amp;$S516)+(COUNTIFS($A$14:$A$1213,$A516,$S$14:$S$1213,"="&amp;$S516)+1)/2,"")</f>
        <v/>
      </c>
      <c r="AG516" s="27">
        <f>IF(ISNUMBER($T516),COUNTIFS($A$14:$A$1213,$A516,$T$14:$T$1213,"&gt;"&amp;$T516)+(COUNTIFS($A$14:$A$1213,$A516,$T$14:$T$1213,"="&amp;$T516)+1)/2,"")</f>
        <v/>
      </c>
      <c r="AH516" s="27">
        <f>IF(COUNT($AC516:$AG516)&lt;2,"",IF(MAX($AC516:$AG516)=MIN($AC516:$AG516),0,1))</f>
        <v/>
      </c>
      <c r="AI516" s="27">
        <f>IF($A516="","",IF(COUNTIF($A$14:$A516,$A516)=1,COUNTIF($AI$13:AI515,"&gt;0")+1,""))</f>
        <v/>
      </c>
      <c r="AO516" s="27">
        <f>IF($A516="","",IF(AND(COUNTIFS($A$14:$A$1213,$A516,$F$14:$F$1213,"&gt;=0")=2,IFERROR(INDEX($M$14:$M$313,MATCH($A516,$H$14:$H$313,0)),"Yes")&lt;&gt;"Yes"),1,0))</f>
        <v/>
      </c>
    </row>
    <row r="517">
      <c r="A517" s="19">
        <f>IF('Enter messages'!A517="","",'Enter messages'!A517)</f>
        <v/>
      </c>
      <c r="B517" s="20">
        <f>IF('Enter messages'!B517="","",'Enter messages'!B517)</f>
        <v/>
      </c>
      <c r="C517" s="21">
        <f>IFERROR(AVERAGE(P517:T517),"")</f>
        <v/>
      </c>
      <c r="D517" s="29" t="n"/>
      <c r="E517" s="29" t="n"/>
      <c r="F517" s="30">
        <f>IF(AND(ISNUMBER($D517),ISNUMBER($E517),$E517&gt;0,$D517&lt;=$E517),$D517/$E517,"")</f>
        <v/>
      </c>
      <c r="P517" s="26" t="n"/>
      <c r="Q517" s="26" t="n"/>
      <c r="R517" s="26" t="n"/>
      <c r="S517" s="26" t="n"/>
      <c r="T517" s="26" t="n"/>
      <c r="V517" s="27">
        <f>IF(ISNUMBER($C517),COUNTIFS($A$14:$A$1213,$A517,$C$14:$C$1213,"&gt;"&amp;$C517)+(COUNTIFS($A$14:$A$1213,$A517,$C$14:$C$1213,"="&amp;$C517)+1)/2,"")</f>
        <v/>
      </c>
      <c r="W517" s="27">
        <f>IF(ISNUMBER($F517),COUNTIFS($A$14:$A$1213,$A517,$F$14:$F$1213,"&gt;"&amp;$F517)+(COUNTIFS($A$14:$A$1213,$A517,$F$14:$F$1213,"="&amp;$F517)+1)/2,"")</f>
        <v/>
      </c>
      <c r="X517" s="27">
        <f>IF(OR(NOT(ISNUMBER($V517)),$AO517=1),"",$V517-(COUNTIFS($A$14:$A$1213,$A517,$C$14:$C$1213,"&gt;=0")+1)/2)</f>
        <v/>
      </c>
      <c r="Y517" s="27">
        <f>IF(OR(NOT(ISNUMBER($W517)),$AO517=1),"",$W517-(COUNTIFS($A$14:$A$1213,$A517,$F$14:$F$1213,"&gt;=0")+1)/2)</f>
        <v/>
      </c>
      <c r="Z517" s="27">
        <f>IF(ISNUMBER($V517),$A517&amp;"|"&amp;$V517,"")</f>
        <v/>
      </c>
      <c r="AA517" s="27">
        <f>IF(ISNUMBER($W517),$A517&amp;"|"&amp;$W517,"")</f>
        <v/>
      </c>
      <c r="AB517" s="27">
        <f>IF(ISNUMBER($F517),$A517&amp;"|"&amp;$F517,"")</f>
        <v/>
      </c>
      <c r="AC517" s="27">
        <f>IF(ISNUMBER($P517),COUNTIFS($A$14:$A$1213,$A517,$P$14:$P$1213,"&gt;"&amp;$P517)+(COUNTIFS($A$14:$A$1213,$A517,$P$14:$P$1213,"="&amp;$P517)+1)/2,"")</f>
        <v/>
      </c>
      <c r="AD517" s="27">
        <f>IF(ISNUMBER($Q517),COUNTIFS($A$14:$A$1213,$A517,$Q$14:$Q$1213,"&gt;"&amp;$Q517)+(COUNTIFS($A$14:$A$1213,$A517,$Q$14:$Q$1213,"="&amp;$Q517)+1)/2,"")</f>
        <v/>
      </c>
      <c r="AE517" s="27">
        <f>IF(ISNUMBER($R517),COUNTIFS($A$14:$A$1213,$A517,$R$14:$R$1213,"&gt;"&amp;$R517)+(COUNTIFS($A$14:$A$1213,$A517,$R$14:$R$1213,"="&amp;$R517)+1)/2,"")</f>
        <v/>
      </c>
      <c r="AF517" s="27">
        <f>IF(ISNUMBER($S517),COUNTIFS($A$14:$A$1213,$A517,$S$14:$S$1213,"&gt;"&amp;$S517)+(COUNTIFS($A$14:$A$1213,$A517,$S$14:$S$1213,"="&amp;$S517)+1)/2,"")</f>
        <v/>
      </c>
      <c r="AG517" s="27">
        <f>IF(ISNUMBER($T517),COUNTIFS($A$14:$A$1213,$A517,$T$14:$T$1213,"&gt;"&amp;$T517)+(COUNTIFS($A$14:$A$1213,$A517,$T$14:$T$1213,"="&amp;$T517)+1)/2,"")</f>
        <v/>
      </c>
      <c r="AH517" s="27">
        <f>IF(COUNT($AC517:$AG517)&lt;2,"",IF(MAX($AC517:$AG517)=MIN($AC517:$AG517),0,1))</f>
        <v/>
      </c>
      <c r="AI517" s="27">
        <f>IF($A517="","",IF(COUNTIF($A$14:$A517,$A517)=1,COUNTIF($AI$13:AI516,"&gt;0")+1,""))</f>
        <v/>
      </c>
      <c r="AO517" s="27">
        <f>IF($A517="","",IF(AND(COUNTIFS($A$14:$A$1213,$A517,$F$14:$F$1213,"&gt;=0")=2,IFERROR(INDEX($M$14:$M$313,MATCH($A517,$H$14:$H$313,0)),"Yes")&lt;&gt;"Yes"),1,0))</f>
        <v/>
      </c>
    </row>
    <row r="518">
      <c r="A518" s="19">
        <f>IF('Enter messages'!A518="","",'Enter messages'!A518)</f>
        <v/>
      </c>
      <c r="B518" s="20">
        <f>IF('Enter messages'!B518="","",'Enter messages'!B518)</f>
        <v/>
      </c>
      <c r="C518" s="21">
        <f>IFERROR(AVERAGE(P518:T518),"")</f>
        <v/>
      </c>
      <c r="D518" s="29" t="n"/>
      <c r="E518" s="29" t="n"/>
      <c r="F518" s="30">
        <f>IF(AND(ISNUMBER($D518),ISNUMBER($E518),$E518&gt;0,$D518&lt;=$E518),$D518/$E518,"")</f>
        <v/>
      </c>
      <c r="P518" s="26" t="n"/>
      <c r="Q518" s="26" t="n"/>
      <c r="R518" s="26" t="n"/>
      <c r="S518" s="26" t="n"/>
      <c r="T518" s="26" t="n"/>
      <c r="V518" s="27">
        <f>IF(ISNUMBER($C518),COUNTIFS($A$14:$A$1213,$A518,$C$14:$C$1213,"&gt;"&amp;$C518)+(COUNTIFS($A$14:$A$1213,$A518,$C$14:$C$1213,"="&amp;$C518)+1)/2,"")</f>
        <v/>
      </c>
      <c r="W518" s="27">
        <f>IF(ISNUMBER($F518),COUNTIFS($A$14:$A$1213,$A518,$F$14:$F$1213,"&gt;"&amp;$F518)+(COUNTIFS($A$14:$A$1213,$A518,$F$14:$F$1213,"="&amp;$F518)+1)/2,"")</f>
        <v/>
      </c>
      <c r="X518" s="27">
        <f>IF(OR(NOT(ISNUMBER($V518)),$AO518=1),"",$V518-(COUNTIFS($A$14:$A$1213,$A518,$C$14:$C$1213,"&gt;=0")+1)/2)</f>
        <v/>
      </c>
      <c r="Y518" s="27">
        <f>IF(OR(NOT(ISNUMBER($W518)),$AO518=1),"",$W518-(COUNTIFS($A$14:$A$1213,$A518,$F$14:$F$1213,"&gt;=0")+1)/2)</f>
        <v/>
      </c>
      <c r="Z518" s="27">
        <f>IF(ISNUMBER($V518),$A518&amp;"|"&amp;$V518,"")</f>
        <v/>
      </c>
      <c r="AA518" s="27">
        <f>IF(ISNUMBER($W518),$A518&amp;"|"&amp;$W518,"")</f>
        <v/>
      </c>
      <c r="AB518" s="27">
        <f>IF(ISNUMBER($F518),$A518&amp;"|"&amp;$F518,"")</f>
        <v/>
      </c>
      <c r="AC518" s="27">
        <f>IF(ISNUMBER($P518),COUNTIFS($A$14:$A$1213,$A518,$P$14:$P$1213,"&gt;"&amp;$P518)+(COUNTIFS($A$14:$A$1213,$A518,$P$14:$P$1213,"="&amp;$P518)+1)/2,"")</f>
        <v/>
      </c>
      <c r="AD518" s="27">
        <f>IF(ISNUMBER($Q518),COUNTIFS($A$14:$A$1213,$A518,$Q$14:$Q$1213,"&gt;"&amp;$Q518)+(COUNTIFS($A$14:$A$1213,$A518,$Q$14:$Q$1213,"="&amp;$Q518)+1)/2,"")</f>
        <v/>
      </c>
      <c r="AE518" s="27">
        <f>IF(ISNUMBER($R518),COUNTIFS($A$14:$A$1213,$A518,$R$14:$R$1213,"&gt;"&amp;$R518)+(COUNTIFS($A$14:$A$1213,$A518,$R$14:$R$1213,"="&amp;$R518)+1)/2,"")</f>
        <v/>
      </c>
      <c r="AF518" s="27">
        <f>IF(ISNUMBER($S518),COUNTIFS($A$14:$A$1213,$A518,$S$14:$S$1213,"&gt;"&amp;$S518)+(COUNTIFS($A$14:$A$1213,$A518,$S$14:$S$1213,"="&amp;$S518)+1)/2,"")</f>
        <v/>
      </c>
      <c r="AG518" s="27">
        <f>IF(ISNUMBER($T518),COUNTIFS($A$14:$A$1213,$A518,$T$14:$T$1213,"&gt;"&amp;$T518)+(COUNTIFS($A$14:$A$1213,$A518,$T$14:$T$1213,"="&amp;$T518)+1)/2,"")</f>
        <v/>
      </c>
      <c r="AH518" s="27">
        <f>IF(COUNT($AC518:$AG518)&lt;2,"",IF(MAX($AC518:$AG518)=MIN($AC518:$AG518),0,1))</f>
        <v/>
      </c>
      <c r="AI518" s="27">
        <f>IF($A518="","",IF(COUNTIF($A$14:$A518,$A518)=1,COUNTIF($AI$13:AI517,"&gt;0")+1,""))</f>
        <v/>
      </c>
      <c r="AO518" s="27">
        <f>IF($A518="","",IF(AND(COUNTIFS($A$14:$A$1213,$A518,$F$14:$F$1213,"&gt;=0")=2,IFERROR(INDEX($M$14:$M$313,MATCH($A518,$H$14:$H$313,0)),"Yes")&lt;&gt;"Yes"),1,0))</f>
        <v/>
      </c>
    </row>
    <row r="519">
      <c r="A519" s="19">
        <f>IF('Enter messages'!A519="","",'Enter messages'!A519)</f>
        <v/>
      </c>
      <c r="B519" s="20">
        <f>IF('Enter messages'!B519="","",'Enter messages'!B519)</f>
        <v/>
      </c>
      <c r="C519" s="21">
        <f>IFERROR(AVERAGE(P519:T519),"")</f>
        <v/>
      </c>
      <c r="D519" s="29" t="n"/>
      <c r="E519" s="29" t="n"/>
      <c r="F519" s="30">
        <f>IF(AND(ISNUMBER($D519),ISNUMBER($E519),$E519&gt;0,$D519&lt;=$E519),$D519/$E519,"")</f>
        <v/>
      </c>
      <c r="P519" s="26" t="n"/>
      <c r="Q519" s="26" t="n"/>
      <c r="R519" s="26" t="n"/>
      <c r="S519" s="26" t="n"/>
      <c r="T519" s="26" t="n"/>
      <c r="V519" s="27">
        <f>IF(ISNUMBER($C519),COUNTIFS($A$14:$A$1213,$A519,$C$14:$C$1213,"&gt;"&amp;$C519)+(COUNTIFS($A$14:$A$1213,$A519,$C$14:$C$1213,"="&amp;$C519)+1)/2,"")</f>
        <v/>
      </c>
      <c r="W519" s="27">
        <f>IF(ISNUMBER($F519),COUNTIFS($A$14:$A$1213,$A519,$F$14:$F$1213,"&gt;"&amp;$F519)+(COUNTIFS($A$14:$A$1213,$A519,$F$14:$F$1213,"="&amp;$F519)+1)/2,"")</f>
        <v/>
      </c>
      <c r="X519" s="27">
        <f>IF(OR(NOT(ISNUMBER($V519)),$AO519=1),"",$V519-(COUNTIFS($A$14:$A$1213,$A519,$C$14:$C$1213,"&gt;=0")+1)/2)</f>
        <v/>
      </c>
      <c r="Y519" s="27">
        <f>IF(OR(NOT(ISNUMBER($W519)),$AO519=1),"",$W519-(COUNTIFS($A$14:$A$1213,$A519,$F$14:$F$1213,"&gt;=0")+1)/2)</f>
        <v/>
      </c>
      <c r="Z519" s="27">
        <f>IF(ISNUMBER($V519),$A519&amp;"|"&amp;$V519,"")</f>
        <v/>
      </c>
      <c r="AA519" s="27">
        <f>IF(ISNUMBER($W519),$A519&amp;"|"&amp;$W519,"")</f>
        <v/>
      </c>
      <c r="AB519" s="27">
        <f>IF(ISNUMBER($F519),$A519&amp;"|"&amp;$F519,"")</f>
        <v/>
      </c>
      <c r="AC519" s="27">
        <f>IF(ISNUMBER($P519),COUNTIFS($A$14:$A$1213,$A519,$P$14:$P$1213,"&gt;"&amp;$P519)+(COUNTIFS($A$14:$A$1213,$A519,$P$14:$P$1213,"="&amp;$P519)+1)/2,"")</f>
        <v/>
      </c>
      <c r="AD519" s="27">
        <f>IF(ISNUMBER($Q519),COUNTIFS($A$14:$A$1213,$A519,$Q$14:$Q$1213,"&gt;"&amp;$Q519)+(COUNTIFS($A$14:$A$1213,$A519,$Q$14:$Q$1213,"="&amp;$Q519)+1)/2,"")</f>
        <v/>
      </c>
      <c r="AE519" s="27">
        <f>IF(ISNUMBER($R519),COUNTIFS($A$14:$A$1213,$A519,$R$14:$R$1213,"&gt;"&amp;$R519)+(COUNTIFS($A$14:$A$1213,$A519,$R$14:$R$1213,"="&amp;$R519)+1)/2,"")</f>
        <v/>
      </c>
      <c r="AF519" s="27">
        <f>IF(ISNUMBER($S519),COUNTIFS($A$14:$A$1213,$A519,$S$14:$S$1213,"&gt;"&amp;$S519)+(COUNTIFS($A$14:$A$1213,$A519,$S$14:$S$1213,"="&amp;$S519)+1)/2,"")</f>
        <v/>
      </c>
      <c r="AG519" s="27">
        <f>IF(ISNUMBER($T519),COUNTIFS($A$14:$A$1213,$A519,$T$14:$T$1213,"&gt;"&amp;$T519)+(COUNTIFS($A$14:$A$1213,$A519,$T$14:$T$1213,"="&amp;$T519)+1)/2,"")</f>
        <v/>
      </c>
      <c r="AH519" s="27">
        <f>IF(COUNT($AC519:$AG519)&lt;2,"",IF(MAX($AC519:$AG519)=MIN($AC519:$AG519),0,1))</f>
        <v/>
      </c>
      <c r="AI519" s="27">
        <f>IF($A519="","",IF(COUNTIF($A$14:$A519,$A519)=1,COUNTIF($AI$13:AI518,"&gt;0")+1,""))</f>
        <v/>
      </c>
      <c r="AO519" s="27">
        <f>IF($A519="","",IF(AND(COUNTIFS($A$14:$A$1213,$A519,$F$14:$F$1213,"&gt;=0")=2,IFERROR(INDEX($M$14:$M$313,MATCH($A519,$H$14:$H$313,0)),"Yes")&lt;&gt;"Yes"),1,0))</f>
        <v/>
      </c>
    </row>
    <row r="520">
      <c r="A520" s="19">
        <f>IF('Enter messages'!A520="","",'Enter messages'!A520)</f>
        <v/>
      </c>
      <c r="B520" s="20">
        <f>IF('Enter messages'!B520="","",'Enter messages'!B520)</f>
        <v/>
      </c>
      <c r="C520" s="21">
        <f>IFERROR(AVERAGE(P520:T520),"")</f>
        <v/>
      </c>
      <c r="D520" s="29" t="n"/>
      <c r="E520" s="29" t="n"/>
      <c r="F520" s="30">
        <f>IF(AND(ISNUMBER($D520),ISNUMBER($E520),$E520&gt;0,$D520&lt;=$E520),$D520/$E520,"")</f>
        <v/>
      </c>
      <c r="P520" s="26" t="n"/>
      <c r="Q520" s="26" t="n"/>
      <c r="R520" s="26" t="n"/>
      <c r="S520" s="26" t="n"/>
      <c r="T520" s="26" t="n"/>
      <c r="V520" s="27">
        <f>IF(ISNUMBER($C520),COUNTIFS($A$14:$A$1213,$A520,$C$14:$C$1213,"&gt;"&amp;$C520)+(COUNTIFS($A$14:$A$1213,$A520,$C$14:$C$1213,"="&amp;$C520)+1)/2,"")</f>
        <v/>
      </c>
      <c r="W520" s="27">
        <f>IF(ISNUMBER($F520),COUNTIFS($A$14:$A$1213,$A520,$F$14:$F$1213,"&gt;"&amp;$F520)+(COUNTIFS($A$14:$A$1213,$A520,$F$14:$F$1213,"="&amp;$F520)+1)/2,"")</f>
        <v/>
      </c>
      <c r="X520" s="27">
        <f>IF(OR(NOT(ISNUMBER($V520)),$AO520=1),"",$V520-(COUNTIFS($A$14:$A$1213,$A520,$C$14:$C$1213,"&gt;=0")+1)/2)</f>
        <v/>
      </c>
      <c r="Y520" s="27">
        <f>IF(OR(NOT(ISNUMBER($W520)),$AO520=1),"",$W520-(COUNTIFS($A$14:$A$1213,$A520,$F$14:$F$1213,"&gt;=0")+1)/2)</f>
        <v/>
      </c>
      <c r="Z520" s="27">
        <f>IF(ISNUMBER($V520),$A520&amp;"|"&amp;$V520,"")</f>
        <v/>
      </c>
      <c r="AA520" s="27">
        <f>IF(ISNUMBER($W520),$A520&amp;"|"&amp;$W520,"")</f>
        <v/>
      </c>
      <c r="AB520" s="27">
        <f>IF(ISNUMBER($F520),$A520&amp;"|"&amp;$F520,"")</f>
        <v/>
      </c>
      <c r="AC520" s="27">
        <f>IF(ISNUMBER($P520),COUNTIFS($A$14:$A$1213,$A520,$P$14:$P$1213,"&gt;"&amp;$P520)+(COUNTIFS($A$14:$A$1213,$A520,$P$14:$P$1213,"="&amp;$P520)+1)/2,"")</f>
        <v/>
      </c>
      <c r="AD520" s="27">
        <f>IF(ISNUMBER($Q520),COUNTIFS($A$14:$A$1213,$A520,$Q$14:$Q$1213,"&gt;"&amp;$Q520)+(COUNTIFS($A$14:$A$1213,$A520,$Q$14:$Q$1213,"="&amp;$Q520)+1)/2,"")</f>
        <v/>
      </c>
      <c r="AE520" s="27">
        <f>IF(ISNUMBER($R520),COUNTIFS($A$14:$A$1213,$A520,$R$14:$R$1213,"&gt;"&amp;$R520)+(COUNTIFS($A$14:$A$1213,$A520,$R$14:$R$1213,"="&amp;$R520)+1)/2,"")</f>
        <v/>
      </c>
      <c r="AF520" s="27">
        <f>IF(ISNUMBER($S520),COUNTIFS($A$14:$A$1213,$A520,$S$14:$S$1213,"&gt;"&amp;$S520)+(COUNTIFS($A$14:$A$1213,$A520,$S$14:$S$1213,"="&amp;$S520)+1)/2,"")</f>
        <v/>
      </c>
      <c r="AG520" s="27">
        <f>IF(ISNUMBER($T520),COUNTIFS($A$14:$A$1213,$A520,$T$14:$T$1213,"&gt;"&amp;$T520)+(COUNTIFS($A$14:$A$1213,$A520,$T$14:$T$1213,"="&amp;$T520)+1)/2,"")</f>
        <v/>
      </c>
      <c r="AH520" s="27">
        <f>IF(COUNT($AC520:$AG520)&lt;2,"",IF(MAX($AC520:$AG520)=MIN($AC520:$AG520),0,1))</f>
        <v/>
      </c>
      <c r="AI520" s="27">
        <f>IF($A520="","",IF(COUNTIF($A$14:$A520,$A520)=1,COUNTIF($AI$13:AI519,"&gt;0")+1,""))</f>
        <v/>
      </c>
      <c r="AO520" s="27">
        <f>IF($A520="","",IF(AND(COUNTIFS($A$14:$A$1213,$A520,$F$14:$F$1213,"&gt;=0")=2,IFERROR(INDEX($M$14:$M$313,MATCH($A520,$H$14:$H$313,0)),"Yes")&lt;&gt;"Yes"),1,0))</f>
        <v/>
      </c>
    </row>
    <row r="521">
      <c r="A521" s="19">
        <f>IF('Enter messages'!A521="","",'Enter messages'!A521)</f>
        <v/>
      </c>
      <c r="B521" s="20">
        <f>IF('Enter messages'!B521="","",'Enter messages'!B521)</f>
        <v/>
      </c>
      <c r="C521" s="21">
        <f>IFERROR(AVERAGE(P521:T521),"")</f>
        <v/>
      </c>
      <c r="D521" s="29" t="n"/>
      <c r="E521" s="29" t="n"/>
      <c r="F521" s="30">
        <f>IF(AND(ISNUMBER($D521),ISNUMBER($E521),$E521&gt;0,$D521&lt;=$E521),$D521/$E521,"")</f>
        <v/>
      </c>
      <c r="P521" s="26" t="n"/>
      <c r="Q521" s="26" t="n"/>
      <c r="R521" s="26" t="n"/>
      <c r="S521" s="26" t="n"/>
      <c r="T521" s="26" t="n"/>
      <c r="V521" s="27">
        <f>IF(ISNUMBER($C521),COUNTIFS($A$14:$A$1213,$A521,$C$14:$C$1213,"&gt;"&amp;$C521)+(COUNTIFS($A$14:$A$1213,$A521,$C$14:$C$1213,"="&amp;$C521)+1)/2,"")</f>
        <v/>
      </c>
      <c r="W521" s="27">
        <f>IF(ISNUMBER($F521),COUNTIFS($A$14:$A$1213,$A521,$F$14:$F$1213,"&gt;"&amp;$F521)+(COUNTIFS($A$14:$A$1213,$A521,$F$14:$F$1213,"="&amp;$F521)+1)/2,"")</f>
        <v/>
      </c>
      <c r="X521" s="27">
        <f>IF(OR(NOT(ISNUMBER($V521)),$AO521=1),"",$V521-(COUNTIFS($A$14:$A$1213,$A521,$C$14:$C$1213,"&gt;=0")+1)/2)</f>
        <v/>
      </c>
      <c r="Y521" s="27">
        <f>IF(OR(NOT(ISNUMBER($W521)),$AO521=1),"",$W521-(COUNTIFS($A$14:$A$1213,$A521,$F$14:$F$1213,"&gt;=0")+1)/2)</f>
        <v/>
      </c>
      <c r="Z521" s="27">
        <f>IF(ISNUMBER($V521),$A521&amp;"|"&amp;$V521,"")</f>
        <v/>
      </c>
      <c r="AA521" s="27">
        <f>IF(ISNUMBER($W521),$A521&amp;"|"&amp;$W521,"")</f>
        <v/>
      </c>
      <c r="AB521" s="27">
        <f>IF(ISNUMBER($F521),$A521&amp;"|"&amp;$F521,"")</f>
        <v/>
      </c>
      <c r="AC521" s="27">
        <f>IF(ISNUMBER($P521),COUNTIFS($A$14:$A$1213,$A521,$P$14:$P$1213,"&gt;"&amp;$P521)+(COUNTIFS($A$14:$A$1213,$A521,$P$14:$P$1213,"="&amp;$P521)+1)/2,"")</f>
        <v/>
      </c>
      <c r="AD521" s="27">
        <f>IF(ISNUMBER($Q521),COUNTIFS($A$14:$A$1213,$A521,$Q$14:$Q$1213,"&gt;"&amp;$Q521)+(COUNTIFS($A$14:$A$1213,$A521,$Q$14:$Q$1213,"="&amp;$Q521)+1)/2,"")</f>
        <v/>
      </c>
      <c r="AE521" s="27">
        <f>IF(ISNUMBER($R521),COUNTIFS($A$14:$A$1213,$A521,$R$14:$R$1213,"&gt;"&amp;$R521)+(COUNTIFS($A$14:$A$1213,$A521,$R$14:$R$1213,"="&amp;$R521)+1)/2,"")</f>
        <v/>
      </c>
      <c r="AF521" s="27">
        <f>IF(ISNUMBER($S521),COUNTIFS($A$14:$A$1213,$A521,$S$14:$S$1213,"&gt;"&amp;$S521)+(COUNTIFS($A$14:$A$1213,$A521,$S$14:$S$1213,"="&amp;$S521)+1)/2,"")</f>
        <v/>
      </c>
      <c r="AG521" s="27">
        <f>IF(ISNUMBER($T521),COUNTIFS($A$14:$A$1213,$A521,$T$14:$T$1213,"&gt;"&amp;$T521)+(COUNTIFS($A$14:$A$1213,$A521,$T$14:$T$1213,"="&amp;$T521)+1)/2,"")</f>
        <v/>
      </c>
      <c r="AH521" s="27">
        <f>IF(COUNT($AC521:$AG521)&lt;2,"",IF(MAX($AC521:$AG521)=MIN($AC521:$AG521),0,1))</f>
        <v/>
      </c>
      <c r="AI521" s="27">
        <f>IF($A521="","",IF(COUNTIF($A$14:$A521,$A521)=1,COUNTIF($AI$13:AI520,"&gt;0")+1,""))</f>
        <v/>
      </c>
      <c r="AO521" s="27">
        <f>IF($A521="","",IF(AND(COUNTIFS($A$14:$A$1213,$A521,$F$14:$F$1213,"&gt;=0")=2,IFERROR(INDEX($M$14:$M$313,MATCH($A521,$H$14:$H$313,0)),"Yes")&lt;&gt;"Yes"),1,0))</f>
        <v/>
      </c>
    </row>
    <row r="522">
      <c r="A522" s="19">
        <f>IF('Enter messages'!A522="","",'Enter messages'!A522)</f>
        <v/>
      </c>
      <c r="B522" s="20">
        <f>IF('Enter messages'!B522="","",'Enter messages'!B522)</f>
        <v/>
      </c>
      <c r="C522" s="21">
        <f>IFERROR(AVERAGE(P522:T522),"")</f>
        <v/>
      </c>
      <c r="D522" s="29" t="n"/>
      <c r="E522" s="29" t="n"/>
      <c r="F522" s="30">
        <f>IF(AND(ISNUMBER($D522),ISNUMBER($E522),$E522&gt;0,$D522&lt;=$E522),$D522/$E522,"")</f>
        <v/>
      </c>
      <c r="P522" s="26" t="n"/>
      <c r="Q522" s="26" t="n"/>
      <c r="R522" s="26" t="n"/>
      <c r="S522" s="26" t="n"/>
      <c r="T522" s="26" t="n"/>
      <c r="V522" s="27">
        <f>IF(ISNUMBER($C522),COUNTIFS($A$14:$A$1213,$A522,$C$14:$C$1213,"&gt;"&amp;$C522)+(COUNTIFS($A$14:$A$1213,$A522,$C$14:$C$1213,"="&amp;$C522)+1)/2,"")</f>
        <v/>
      </c>
      <c r="W522" s="27">
        <f>IF(ISNUMBER($F522),COUNTIFS($A$14:$A$1213,$A522,$F$14:$F$1213,"&gt;"&amp;$F522)+(COUNTIFS($A$14:$A$1213,$A522,$F$14:$F$1213,"="&amp;$F522)+1)/2,"")</f>
        <v/>
      </c>
      <c r="X522" s="27">
        <f>IF(OR(NOT(ISNUMBER($V522)),$AO522=1),"",$V522-(COUNTIFS($A$14:$A$1213,$A522,$C$14:$C$1213,"&gt;=0")+1)/2)</f>
        <v/>
      </c>
      <c r="Y522" s="27">
        <f>IF(OR(NOT(ISNUMBER($W522)),$AO522=1),"",$W522-(COUNTIFS($A$14:$A$1213,$A522,$F$14:$F$1213,"&gt;=0")+1)/2)</f>
        <v/>
      </c>
      <c r="Z522" s="27">
        <f>IF(ISNUMBER($V522),$A522&amp;"|"&amp;$V522,"")</f>
        <v/>
      </c>
      <c r="AA522" s="27">
        <f>IF(ISNUMBER($W522),$A522&amp;"|"&amp;$W522,"")</f>
        <v/>
      </c>
      <c r="AB522" s="27">
        <f>IF(ISNUMBER($F522),$A522&amp;"|"&amp;$F522,"")</f>
        <v/>
      </c>
      <c r="AC522" s="27">
        <f>IF(ISNUMBER($P522),COUNTIFS($A$14:$A$1213,$A522,$P$14:$P$1213,"&gt;"&amp;$P522)+(COUNTIFS($A$14:$A$1213,$A522,$P$14:$P$1213,"="&amp;$P522)+1)/2,"")</f>
        <v/>
      </c>
      <c r="AD522" s="27">
        <f>IF(ISNUMBER($Q522),COUNTIFS($A$14:$A$1213,$A522,$Q$14:$Q$1213,"&gt;"&amp;$Q522)+(COUNTIFS($A$14:$A$1213,$A522,$Q$14:$Q$1213,"="&amp;$Q522)+1)/2,"")</f>
        <v/>
      </c>
      <c r="AE522" s="27">
        <f>IF(ISNUMBER($R522),COUNTIFS($A$14:$A$1213,$A522,$R$14:$R$1213,"&gt;"&amp;$R522)+(COUNTIFS($A$14:$A$1213,$A522,$R$14:$R$1213,"="&amp;$R522)+1)/2,"")</f>
        <v/>
      </c>
      <c r="AF522" s="27">
        <f>IF(ISNUMBER($S522),COUNTIFS($A$14:$A$1213,$A522,$S$14:$S$1213,"&gt;"&amp;$S522)+(COUNTIFS($A$14:$A$1213,$A522,$S$14:$S$1213,"="&amp;$S522)+1)/2,"")</f>
        <v/>
      </c>
      <c r="AG522" s="27">
        <f>IF(ISNUMBER($T522),COUNTIFS($A$14:$A$1213,$A522,$T$14:$T$1213,"&gt;"&amp;$T522)+(COUNTIFS($A$14:$A$1213,$A522,$T$14:$T$1213,"="&amp;$T522)+1)/2,"")</f>
        <v/>
      </c>
      <c r="AH522" s="27">
        <f>IF(COUNT($AC522:$AG522)&lt;2,"",IF(MAX($AC522:$AG522)=MIN($AC522:$AG522),0,1))</f>
        <v/>
      </c>
      <c r="AI522" s="27">
        <f>IF($A522="","",IF(COUNTIF($A$14:$A522,$A522)=1,COUNTIF($AI$13:AI521,"&gt;0")+1,""))</f>
        <v/>
      </c>
      <c r="AO522" s="27">
        <f>IF($A522="","",IF(AND(COUNTIFS($A$14:$A$1213,$A522,$F$14:$F$1213,"&gt;=0")=2,IFERROR(INDEX($M$14:$M$313,MATCH($A522,$H$14:$H$313,0)),"Yes")&lt;&gt;"Yes"),1,0))</f>
        <v/>
      </c>
    </row>
    <row r="523">
      <c r="A523" s="19">
        <f>IF('Enter messages'!A523="","",'Enter messages'!A523)</f>
        <v/>
      </c>
      <c r="B523" s="20">
        <f>IF('Enter messages'!B523="","",'Enter messages'!B523)</f>
        <v/>
      </c>
      <c r="C523" s="21">
        <f>IFERROR(AVERAGE(P523:T523),"")</f>
        <v/>
      </c>
      <c r="D523" s="29" t="n"/>
      <c r="E523" s="29" t="n"/>
      <c r="F523" s="30">
        <f>IF(AND(ISNUMBER($D523),ISNUMBER($E523),$E523&gt;0,$D523&lt;=$E523),$D523/$E523,"")</f>
        <v/>
      </c>
      <c r="P523" s="26" t="n"/>
      <c r="Q523" s="26" t="n"/>
      <c r="R523" s="26" t="n"/>
      <c r="S523" s="26" t="n"/>
      <c r="T523" s="26" t="n"/>
      <c r="V523" s="27">
        <f>IF(ISNUMBER($C523),COUNTIFS($A$14:$A$1213,$A523,$C$14:$C$1213,"&gt;"&amp;$C523)+(COUNTIFS($A$14:$A$1213,$A523,$C$14:$C$1213,"="&amp;$C523)+1)/2,"")</f>
        <v/>
      </c>
      <c r="W523" s="27">
        <f>IF(ISNUMBER($F523),COUNTIFS($A$14:$A$1213,$A523,$F$14:$F$1213,"&gt;"&amp;$F523)+(COUNTIFS($A$14:$A$1213,$A523,$F$14:$F$1213,"="&amp;$F523)+1)/2,"")</f>
        <v/>
      </c>
      <c r="X523" s="27">
        <f>IF(OR(NOT(ISNUMBER($V523)),$AO523=1),"",$V523-(COUNTIFS($A$14:$A$1213,$A523,$C$14:$C$1213,"&gt;=0")+1)/2)</f>
        <v/>
      </c>
      <c r="Y523" s="27">
        <f>IF(OR(NOT(ISNUMBER($W523)),$AO523=1),"",$W523-(COUNTIFS($A$14:$A$1213,$A523,$F$14:$F$1213,"&gt;=0")+1)/2)</f>
        <v/>
      </c>
      <c r="Z523" s="27">
        <f>IF(ISNUMBER($V523),$A523&amp;"|"&amp;$V523,"")</f>
        <v/>
      </c>
      <c r="AA523" s="27">
        <f>IF(ISNUMBER($W523),$A523&amp;"|"&amp;$W523,"")</f>
        <v/>
      </c>
      <c r="AB523" s="27">
        <f>IF(ISNUMBER($F523),$A523&amp;"|"&amp;$F523,"")</f>
        <v/>
      </c>
      <c r="AC523" s="27">
        <f>IF(ISNUMBER($P523),COUNTIFS($A$14:$A$1213,$A523,$P$14:$P$1213,"&gt;"&amp;$P523)+(COUNTIFS($A$14:$A$1213,$A523,$P$14:$P$1213,"="&amp;$P523)+1)/2,"")</f>
        <v/>
      </c>
      <c r="AD523" s="27">
        <f>IF(ISNUMBER($Q523),COUNTIFS($A$14:$A$1213,$A523,$Q$14:$Q$1213,"&gt;"&amp;$Q523)+(COUNTIFS($A$14:$A$1213,$A523,$Q$14:$Q$1213,"="&amp;$Q523)+1)/2,"")</f>
        <v/>
      </c>
      <c r="AE523" s="27">
        <f>IF(ISNUMBER($R523),COUNTIFS($A$14:$A$1213,$A523,$R$14:$R$1213,"&gt;"&amp;$R523)+(COUNTIFS($A$14:$A$1213,$A523,$R$14:$R$1213,"="&amp;$R523)+1)/2,"")</f>
        <v/>
      </c>
      <c r="AF523" s="27">
        <f>IF(ISNUMBER($S523),COUNTIFS($A$14:$A$1213,$A523,$S$14:$S$1213,"&gt;"&amp;$S523)+(COUNTIFS($A$14:$A$1213,$A523,$S$14:$S$1213,"="&amp;$S523)+1)/2,"")</f>
        <v/>
      </c>
      <c r="AG523" s="27">
        <f>IF(ISNUMBER($T523),COUNTIFS($A$14:$A$1213,$A523,$T$14:$T$1213,"&gt;"&amp;$T523)+(COUNTIFS($A$14:$A$1213,$A523,$T$14:$T$1213,"="&amp;$T523)+1)/2,"")</f>
        <v/>
      </c>
      <c r="AH523" s="27">
        <f>IF(COUNT($AC523:$AG523)&lt;2,"",IF(MAX($AC523:$AG523)=MIN($AC523:$AG523),0,1))</f>
        <v/>
      </c>
      <c r="AI523" s="27">
        <f>IF($A523="","",IF(COUNTIF($A$14:$A523,$A523)=1,COUNTIF($AI$13:AI522,"&gt;0")+1,""))</f>
        <v/>
      </c>
      <c r="AO523" s="27">
        <f>IF($A523="","",IF(AND(COUNTIFS($A$14:$A$1213,$A523,$F$14:$F$1213,"&gt;=0")=2,IFERROR(INDEX($M$14:$M$313,MATCH($A523,$H$14:$H$313,0)),"Yes")&lt;&gt;"Yes"),1,0))</f>
        <v/>
      </c>
    </row>
    <row r="524">
      <c r="A524" s="19">
        <f>IF('Enter messages'!A524="","",'Enter messages'!A524)</f>
        <v/>
      </c>
      <c r="B524" s="20">
        <f>IF('Enter messages'!B524="","",'Enter messages'!B524)</f>
        <v/>
      </c>
      <c r="C524" s="21">
        <f>IFERROR(AVERAGE(P524:T524),"")</f>
        <v/>
      </c>
      <c r="D524" s="29" t="n"/>
      <c r="E524" s="29" t="n"/>
      <c r="F524" s="30">
        <f>IF(AND(ISNUMBER($D524),ISNUMBER($E524),$E524&gt;0,$D524&lt;=$E524),$D524/$E524,"")</f>
        <v/>
      </c>
      <c r="P524" s="26" t="n"/>
      <c r="Q524" s="26" t="n"/>
      <c r="R524" s="26" t="n"/>
      <c r="S524" s="26" t="n"/>
      <c r="T524" s="26" t="n"/>
      <c r="V524" s="27">
        <f>IF(ISNUMBER($C524),COUNTIFS($A$14:$A$1213,$A524,$C$14:$C$1213,"&gt;"&amp;$C524)+(COUNTIFS($A$14:$A$1213,$A524,$C$14:$C$1213,"="&amp;$C524)+1)/2,"")</f>
        <v/>
      </c>
      <c r="W524" s="27">
        <f>IF(ISNUMBER($F524),COUNTIFS($A$14:$A$1213,$A524,$F$14:$F$1213,"&gt;"&amp;$F524)+(COUNTIFS($A$14:$A$1213,$A524,$F$14:$F$1213,"="&amp;$F524)+1)/2,"")</f>
        <v/>
      </c>
      <c r="X524" s="27">
        <f>IF(OR(NOT(ISNUMBER($V524)),$AO524=1),"",$V524-(COUNTIFS($A$14:$A$1213,$A524,$C$14:$C$1213,"&gt;=0")+1)/2)</f>
        <v/>
      </c>
      <c r="Y524" s="27">
        <f>IF(OR(NOT(ISNUMBER($W524)),$AO524=1),"",$W524-(COUNTIFS($A$14:$A$1213,$A524,$F$14:$F$1213,"&gt;=0")+1)/2)</f>
        <v/>
      </c>
      <c r="Z524" s="27">
        <f>IF(ISNUMBER($V524),$A524&amp;"|"&amp;$V524,"")</f>
        <v/>
      </c>
      <c r="AA524" s="27">
        <f>IF(ISNUMBER($W524),$A524&amp;"|"&amp;$W524,"")</f>
        <v/>
      </c>
      <c r="AB524" s="27">
        <f>IF(ISNUMBER($F524),$A524&amp;"|"&amp;$F524,"")</f>
        <v/>
      </c>
      <c r="AC524" s="27">
        <f>IF(ISNUMBER($P524),COUNTIFS($A$14:$A$1213,$A524,$P$14:$P$1213,"&gt;"&amp;$P524)+(COUNTIFS($A$14:$A$1213,$A524,$P$14:$P$1213,"="&amp;$P524)+1)/2,"")</f>
        <v/>
      </c>
      <c r="AD524" s="27">
        <f>IF(ISNUMBER($Q524),COUNTIFS($A$14:$A$1213,$A524,$Q$14:$Q$1213,"&gt;"&amp;$Q524)+(COUNTIFS($A$14:$A$1213,$A524,$Q$14:$Q$1213,"="&amp;$Q524)+1)/2,"")</f>
        <v/>
      </c>
      <c r="AE524" s="27">
        <f>IF(ISNUMBER($R524),COUNTIFS($A$14:$A$1213,$A524,$R$14:$R$1213,"&gt;"&amp;$R524)+(COUNTIFS($A$14:$A$1213,$A524,$R$14:$R$1213,"="&amp;$R524)+1)/2,"")</f>
        <v/>
      </c>
      <c r="AF524" s="27">
        <f>IF(ISNUMBER($S524),COUNTIFS($A$14:$A$1213,$A524,$S$14:$S$1213,"&gt;"&amp;$S524)+(COUNTIFS($A$14:$A$1213,$A524,$S$14:$S$1213,"="&amp;$S524)+1)/2,"")</f>
        <v/>
      </c>
      <c r="AG524" s="27">
        <f>IF(ISNUMBER($T524),COUNTIFS($A$14:$A$1213,$A524,$T$14:$T$1213,"&gt;"&amp;$T524)+(COUNTIFS($A$14:$A$1213,$A524,$T$14:$T$1213,"="&amp;$T524)+1)/2,"")</f>
        <v/>
      </c>
      <c r="AH524" s="27">
        <f>IF(COUNT($AC524:$AG524)&lt;2,"",IF(MAX($AC524:$AG524)=MIN($AC524:$AG524),0,1))</f>
        <v/>
      </c>
      <c r="AI524" s="27">
        <f>IF($A524="","",IF(COUNTIF($A$14:$A524,$A524)=1,COUNTIF($AI$13:AI523,"&gt;0")+1,""))</f>
        <v/>
      </c>
      <c r="AO524" s="27">
        <f>IF($A524="","",IF(AND(COUNTIFS($A$14:$A$1213,$A524,$F$14:$F$1213,"&gt;=0")=2,IFERROR(INDEX($M$14:$M$313,MATCH($A524,$H$14:$H$313,0)),"Yes")&lt;&gt;"Yes"),1,0))</f>
        <v/>
      </c>
    </row>
    <row r="525">
      <c r="A525" s="19">
        <f>IF('Enter messages'!A525="","",'Enter messages'!A525)</f>
        <v/>
      </c>
      <c r="B525" s="20">
        <f>IF('Enter messages'!B525="","",'Enter messages'!B525)</f>
        <v/>
      </c>
      <c r="C525" s="21">
        <f>IFERROR(AVERAGE(P525:T525),"")</f>
        <v/>
      </c>
      <c r="D525" s="29" t="n"/>
      <c r="E525" s="29" t="n"/>
      <c r="F525" s="30">
        <f>IF(AND(ISNUMBER($D525),ISNUMBER($E525),$E525&gt;0,$D525&lt;=$E525),$D525/$E525,"")</f>
        <v/>
      </c>
      <c r="P525" s="26" t="n"/>
      <c r="Q525" s="26" t="n"/>
      <c r="R525" s="26" t="n"/>
      <c r="S525" s="26" t="n"/>
      <c r="T525" s="26" t="n"/>
      <c r="V525" s="27">
        <f>IF(ISNUMBER($C525),COUNTIFS($A$14:$A$1213,$A525,$C$14:$C$1213,"&gt;"&amp;$C525)+(COUNTIFS($A$14:$A$1213,$A525,$C$14:$C$1213,"="&amp;$C525)+1)/2,"")</f>
        <v/>
      </c>
      <c r="W525" s="27">
        <f>IF(ISNUMBER($F525),COUNTIFS($A$14:$A$1213,$A525,$F$14:$F$1213,"&gt;"&amp;$F525)+(COUNTIFS($A$14:$A$1213,$A525,$F$14:$F$1213,"="&amp;$F525)+1)/2,"")</f>
        <v/>
      </c>
      <c r="X525" s="27">
        <f>IF(OR(NOT(ISNUMBER($V525)),$AO525=1),"",$V525-(COUNTIFS($A$14:$A$1213,$A525,$C$14:$C$1213,"&gt;=0")+1)/2)</f>
        <v/>
      </c>
      <c r="Y525" s="27">
        <f>IF(OR(NOT(ISNUMBER($W525)),$AO525=1),"",$W525-(COUNTIFS($A$14:$A$1213,$A525,$F$14:$F$1213,"&gt;=0")+1)/2)</f>
        <v/>
      </c>
      <c r="Z525" s="27">
        <f>IF(ISNUMBER($V525),$A525&amp;"|"&amp;$V525,"")</f>
        <v/>
      </c>
      <c r="AA525" s="27">
        <f>IF(ISNUMBER($W525),$A525&amp;"|"&amp;$W525,"")</f>
        <v/>
      </c>
      <c r="AB525" s="27">
        <f>IF(ISNUMBER($F525),$A525&amp;"|"&amp;$F525,"")</f>
        <v/>
      </c>
      <c r="AC525" s="27">
        <f>IF(ISNUMBER($P525),COUNTIFS($A$14:$A$1213,$A525,$P$14:$P$1213,"&gt;"&amp;$P525)+(COUNTIFS($A$14:$A$1213,$A525,$P$14:$P$1213,"="&amp;$P525)+1)/2,"")</f>
        <v/>
      </c>
      <c r="AD525" s="27">
        <f>IF(ISNUMBER($Q525),COUNTIFS($A$14:$A$1213,$A525,$Q$14:$Q$1213,"&gt;"&amp;$Q525)+(COUNTIFS($A$14:$A$1213,$A525,$Q$14:$Q$1213,"="&amp;$Q525)+1)/2,"")</f>
        <v/>
      </c>
      <c r="AE525" s="27">
        <f>IF(ISNUMBER($R525),COUNTIFS($A$14:$A$1213,$A525,$R$14:$R$1213,"&gt;"&amp;$R525)+(COUNTIFS($A$14:$A$1213,$A525,$R$14:$R$1213,"="&amp;$R525)+1)/2,"")</f>
        <v/>
      </c>
      <c r="AF525" s="27">
        <f>IF(ISNUMBER($S525),COUNTIFS($A$14:$A$1213,$A525,$S$14:$S$1213,"&gt;"&amp;$S525)+(COUNTIFS($A$14:$A$1213,$A525,$S$14:$S$1213,"="&amp;$S525)+1)/2,"")</f>
        <v/>
      </c>
      <c r="AG525" s="27">
        <f>IF(ISNUMBER($T525),COUNTIFS($A$14:$A$1213,$A525,$T$14:$T$1213,"&gt;"&amp;$T525)+(COUNTIFS($A$14:$A$1213,$A525,$T$14:$T$1213,"="&amp;$T525)+1)/2,"")</f>
        <v/>
      </c>
      <c r="AH525" s="27">
        <f>IF(COUNT($AC525:$AG525)&lt;2,"",IF(MAX($AC525:$AG525)=MIN($AC525:$AG525),0,1))</f>
        <v/>
      </c>
      <c r="AI525" s="27">
        <f>IF($A525="","",IF(COUNTIF($A$14:$A525,$A525)=1,COUNTIF($AI$13:AI524,"&gt;0")+1,""))</f>
        <v/>
      </c>
      <c r="AO525" s="27">
        <f>IF($A525="","",IF(AND(COUNTIFS($A$14:$A$1213,$A525,$F$14:$F$1213,"&gt;=0")=2,IFERROR(INDEX($M$14:$M$313,MATCH($A525,$H$14:$H$313,0)),"Yes")&lt;&gt;"Yes"),1,0))</f>
        <v/>
      </c>
    </row>
    <row r="526">
      <c r="A526" s="19">
        <f>IF('Enter messages'!A526="","",'Enter messages'!A526)</f>
        <v/>
      </c>
      <c r="B526" s="20">
        <f>IF('Enter messages'!B526="","",'Enter messages'!B526)</f>
        <v/>
      </c>
      <c r="C526" s="21">
        <f>IFERROR(AVERAGE(P526:T526),"")</f>
        <v/>
      </c>
      <c r="D526" s="29" t="n"/>
      <c r="E526" s="29" t="n"/>
      <c r="F526" s="30">
        <f>IF(AND(ISNUMBER($D526),ISNUMBER($E526),$E526&gt;0,$D526&lt;=$E526),$D526/$E526,"")</f>
        <v/>
      </c>
      <c r="P526" s="26" t="n"/>
      <c r="Q526" s="26" t="n"/>
      <c r="R526" s="26" t="n"/>
      <c r="S526" s="26" t="n"/>
      <c r="T526" s="26" t="n"/>
      <c r="V526" s="27">
        <f>IF(ISNUMBER($C526),COUNTIFS($A$14:$A$1213,$A526,$C$14:$C$1213,"&gt;"&amp;$C526)+(COUNTIFS($A$14:$A$1213,$A526,$C$14:$C$1213,"="&amp;$C526)+1)/2,"")</f>
        <v/>
      </c>
      <c r="W526" s="27">
        <f>IF(ISNUMBER($F526),COUNTIFS($A$14:$A$1213,$A526,$F$14:$F$1213,"&gt;"&amp;$F526)+(COUNTIFS($A$14:$A$1213,$A526,$F$14:$F$1213,"="&amp;$F526)+1)/2,"")</f>
        <v/>
      </c>
      <c r="X526" s="27">
        <f>IF(OR(NOT(ISNUMBER($V526)),$AO526=1),"",$V526-(COUNTIFS($A$14:$A$1213,$A526,$C$14:$C$1213,"&gt;=0")+1)/2)</f>
        <v/>
      </c>
      <c r="Y526" s="27">
        <f>IF(OR(NOT(ISNUMBER($W526)),$AO526=1),"",$W526-(COUNTIFS($A$14:$A$1213,$A526,$F$14:$F$1213,"&gt;=0")+1)/2)</f>
        <v/>
      </c>
      <c r="Z526" s="27">
        <f>IF(ISNUMBER($V526),$A526&amp;"|"&amp;$V526,"")</f>
        <v/>
      </c>
      <c r="AA526" s="27">
        <f>IF(ISNUMBER($W526),$A526&amp;"|"&amp;$W526,"")</f>
        <v/>
      </c>
      <c r="AB526" s="27">
        <f>IF(ISNUMBER($F526),$A526&amp;"|"&amp;$F526,"")</f>
        <v/>
      </c>
      <c r="AC526" s="27">
        <f>IF(ISNUMBER($P526),COUNTIFS($A$14:$A$1213,$A526,$P$14:$P$1213,"&gt;"&amp;$P526)+(COUNTIFS($A$14:$A$1213,$A526,$P$14:$P$1213,"="&amp;$P526)+1)/2,"")</f>
        <v/>
      </c>
      <c r="AD526" s="27">
        <f>IF(ISNUMBER($Q526),COUNTIFS($A$14:$A$1213,$A526,$Q$14:$Q$1213,"&gt;"&amp;$Q526)+(COUNTIFS($A$14:$A$1213,$A526,$Q$14:$Q$1213,"="&amp;$Q526)+1)/2,"")</f>
        <v/>
      </c>
      <c r="AE526" s="27">
        <f>IF(ISNUMBER($R526),COUNTIFS($A$14:$A$1213,$A526,$R$14:$R$1213,"&gt;"&amp;$R526)+(COUNTIFS($A$14:$A$1213,$A526,$R$14:$R$1213,"="&amp;$R526)+1)/2,"")</f>
        <v/>
      </c>
      <c r="AF526" s="27">
        <f>IF(ISNUMBER($S526),COUNTIFS($A$14:$A$1213,$A526,$S$14:$S$1213,"&gt;"&amp;$S526)+(COUNTIFS($A$14:$A$1213,$A526,$S$14:$S$1213,"="&amp;$S526)+1)/2,"")</f>
        <v/>
      </c>
      <c r="AG526" s="27">
        <f>IF(ISNUMBER($T526),COUNTIFS($A$14:$A$1213,$A526,$T$14:$T$1213,"&gt;"&amp;$T526)+(COUNTIFS($A$14:$A$1213,$A526,$T$14:$T$1213,"="&amp;$T526)+1)/2,"")</f>
        <v/>
      </c>
      <c r="AH526" s="27">
        <f>IF(COUNT($AC526:$AG526)&lt;2,"",IF(MAX($AC526:$AG526)=MIN($AC526:$AG526),0,1))</f>
        <v/>
      </c>
      <c r="AI526" s="27">
        <f>IF($A526="","",IF(COUNTIF($A$14:$A526,$A526)=1,COUNTIF($AI$13:AI525,"&gt;0")+1,""))</f>
        <v/>
      </c>
      <c r="AO526" s="27">
        <f>IF($A526="","",IF(AND(COUNTIFS($A$14:$A$1213,$A526,$F$14:$F$1213,"&gt;=0")=2,IFERROR(INDEX($M$14:$M$313,MATCH($A526,$H$14:$H$313,0)),"Yes")&lt;&gt;"Yes"),1,0))</f>
        <v/>
      </c>
    </row>
    <row r="527">
      <c r="A527" s="19">
        <f>IF('Enter messages'!A527="","",'Enter messages'!A527)</f>
        <v/>
      </c>
      <c r="B527" s="20">
        <f>IF('Enter messages'!B527="","",'Enter messages'!B527)</f>
        <v/>
      </c>
      <c r="C527" s="21">
        <f>IFERROR(AVERAGE(P527:T527),"")</f>
        <v/>
      </c>
      <c r="D527" s="29" t="n"/>
      <c r="E527" s="29" t="n"/>
      <c r="F527" s="30">
        <f>IF(AND(ISNUMBER($D527),ISNUMBER($E527),$E527&gt;0,$D527&lt;=$E527),$D527/$E527,"")</f>
        <v/>
      </c>
      <c r="P527" s="26" t="n"/>
      <c r="Q527" s="26" t="n"/>
      <c r="R527" s="26" t="n"/>
      <c r="S527" s="26" t="n"/>
      <c r="T527" s="26" t="n"/>
      <c r="V527" s="27">
        <f>IF(ISNUMBER($C527),COUNTIFS($A$14:$A$1213,$A527,$C$14:$C$1213,"&gt;"&amp;$C527)+(COUNTIFS($A$14:$A$1213,$A527,$C$14:$C$1213,"="&amp;$C527)+1)/2,"")</f>
        <v/>
      </c>
      <c r="W527" s="27">
        <f>IF(ISNUMBER($F527),COUNTIFS($A$14:$A$1213,$A527,$F$14:$F$1213,"&gt;"&amp;$F527)+(COUNTIFS($A$14:$A$1213,$A527,$F$14:$F$1213,"="&amp;$F527)+1)/2,"")</f>
        <v/>
      </c>
      <c r="X527" s="27">
        <f>IF(OR(NOT(ISNUMBER($V527)),$AO527=1),"",$V527-(COUNTIFS($A$14:$A$1213,$A527,$C$14:$C$1213,"&gt;=0")+1)/2)</f>
        <v/>
      </c>
      <c r="Y527" s="27">
        <f>IF(OR(NOT(ISNUMBER($W527)),$AO527=1),"",$W527-(COUNTIFS($A$14:$A$1213,$A527,$F$14:$F$1213,"&gt;=0")+1)/2)</f>
        <v/>
      </c>
      <c r="Z527" s="27">
        <f>IF(ISNUMBER($V527),$A527&amp;"|"&amp;$V527,"")</f>
        <v/>
      </c>
      <c r="AA527" s="27">
        <f>IF(ISNUMBER($W527),$A527&amp;"|"&amp;$W527,"")</f>
        <v/>
      </c>
      <c r="AB527" s="27">
        <f>IF(ISNUMBER($F527),$A527&amp;"|"&amp;$F527,"")</f>
        <v/>
      </c>
      <c r="AC527" s="27">
        <f>IF(ISNUMBER($P527),COUNTIFS($A$14:$A$1213,$A527,$P$14:$P$1213,"&gt;"&amp;$P527)+(COUNTIFS($A$14:$A$1213,$A527,$P$14:$P$1213,"="&amp;$P527)+1)/2,"")</f>
        <v/>
      </c>
      <c r="AD527" s="27">
        <f>IF(ISNUMBER($Q527),COUNTIFS($A$14:$A$1213,$A527,$Q$14:$Q$1213,"&gt;"&amp;$Q527)+(COUNTIFS($A$14:$A$1213,$A527,$Q$14:$Q$1213,"="&amp;$Q527)+1)/2,"")</f>
        <v/>
      </c>
      <c r="AE527" s="27">
        <f>IF(ISNUMBER($R527),COUNTIFS($A$14:$A$1213,$A527,$R$14:$R$1213,"&gt;"&amp;$R527)+(COUNTIFS($A$14:$A$1213,$A527,$R$14:$R$1213,"="&amp;$R527)+1)/2,"")</f>
        <v/>
      </c>
      <c r="AF527" s="27">
        <f>IF(ISNUMBER($S527),COUNTIFS($A$14:$A$1213,$A527,$S$14:$S$1213,"&gt;"&amp;$S527)+(COUNTIFS($A$14:$A$1213,$A527,$S$14:$S$1213,"="&amp;$S527)+1)/2,"")</f>
        <v/>
      </c>
      <c r="AG527" s="27">
        <f>IF(ISNUMBER($T527),COUNTIFS($A$14:$A$1213,$A527,$T$14:$T$1213,"&gt;"&amp;$T527)+(COUNTIFS($A$14:$A$1213,$A527,$T$14:$T$1213,"="&amp;$T527)+1)/2,"")</f>
        <v/>
      </c>
      <c r="AH527" s="27">
        <f>IF(COUNT($AC527:$AG527)&lt;2,"",IF(MAX($AC527:$AG527)=MIN($AC527:$AG527),0,1))</f>
        <v/>
      </c>
      <c r="AI527" s="27">
        <f>IF($A527="","",IF(COUNTIF($A$14:$A527,$A527)=1,COUNTIF($AI$13:AI526,"&gt;0")+1,""))</f>
        <v/>
      </c>
      <c r="AO527" s="27">
        <f>IF($A527="","",IF(AND(COUNTIFS($A$14:$A$1213,$A527,$F$14:$F$1213,"&gt;=0")=2,IFERROR(INDEX($M$14:$M$313,MATCH($A527,$H$14:$H$313,0)),"Yes")&lt;&gt;"Yes"),1,0))</f>
        <v/>
      </c>
    </row>
    <row r="528">
      <c r="A528" s="19">
        <f>IF('Enter messages'!A528="","",'Enter messages'!A528)</f>
        <v/>
      </c>
      <c r="B528" s="20">
        <f>IF('Enter messages'!B528="","",'Enter messages'!B528)</f>
        <v/>
      </c>
      <c r="C528" s="21">
        <f>IFERROR(AVERAGE(P528:T528),"")</f>
        <v/>
      </c>
      <c r="D528" s="29" t="n"/>
      <c r="E528" s="29" t="n"/>
      <c r="F528" s="30">
        <f>IF(AND(ISNUMBER($D528),ISNUMBER($E528),$E528&gt;0,$D528&lt;=$E528),$D528/$E528,"")</f>
        <v/>
      </c>
      <c r="P528" s="26" t="n"/>
      <c r="Q528" s="26" t="n"/>
      <c r="R528" s="26" t="n"/>
      <c r="S528" s="26" t="n"/>
      <c r="T528" s="26" t="n"/>
      <c r="V528" s="27">
        <f>IF(ISNUMBER($C528),COUNTIFS($A$14:$A$1213,$A528,$C$14:$C$1213,"&gt;"&amp;$C528)+(COUNTIFS($A$14:$A$1213,$A528,$C$14:$C$1213,"="&amp;$C528)+1)/2,"")</f>
        <v/>
      </c>
      <c r="W528" s="27">
        <f>IF(ISNUMBER($F528),COUNTIFS($A$14:$A$1213,$A528,$F$14:$F$1213,"&gt;"&amp;$F528)+(COUNTIFS($A$14:$A$1213,$A528,$F$14:$F$1213,"="&amp;$F528)+1)/2,"")</f>
        <v/>
      </c>
      <c r="X528" s="27">
        <f>IF(OR(NOT(ISNUMBER($V528)),$AO528=1),"",$V528-(COUNTIFS($A$14:$A$1213,$A528,$C$14:$C$1213,"&gt;=0")+1)/2)</f>
        <v/>
      </c>
      <c r="Y528" s="27">
        <f>IF(OR(NOT(ISNUMBER($W528)),$AO528=1),"",$W528-(COUNTIFS($A$14:$A$1213,$A528,$F$14:$F$1213,"&gt;=0")+1)/2)</f>
        <v/>
      </c>
      <c r="Z528" s="27">
        <f>IF(ISNUMBER($V528),$A528&amp;"|"&amp;$V528,"")</f>
        <v/>
      </c>
      <c r="AA528" s="27">
        <f>IF(ISNUMBER($W528),$A528&amp;"|"&amp;$W528,"")</f>
        <v/>
      </c>
      <c r="AB528" s="27">
        <f>IF(ISNUMBER($F528),$A528&amp;"|"&amp;$F528,"")</f>
        <v/>
      </c>
      <c r="AC528" s="27">
        <f>IF(ISNUMBER($P528),COUNTIFS($A$14:$A$1213,$A528,$P$14:$P$1213,"&gt;"&amp;$P528)+(COUNTIFS($A$14:$A$1213,$A528,$P$14:$P$1213,"="&amp;$P528)+1)/2,"")</f>
        <v/>
      </c>
      <c r="AD528" s="27">
        <f>IF(ISNUMBER($Q528),COUNTIFS($A$14:$A$1213,$A528,$Q$14:$Q$1213,"&gt;"&amp;$Q528)+(COUNTIFS($A$14:$A$1213,$A528,$Q$14:$Q$1213,"="&amp;$Q528)+1)/2,"")</f>
        <v/>
      </c>
      <c r="AE528" s="27">
        <f>IF(ISNUMBER($R528),COUNTIFS($A$14:$A$1213,$A528,$R$14:$R$1213,"&gt;"&amp;$R528)+(COUNTIFS($A$14:$A$1213,$A528,$R$14:$R$1213,"="&amp;$R528)+1)/2,"")</f>
        <v/>
      </c>
      <c r="AF528" s="27">
        <f>IF(ISNUMBER($S528),COUNTIFS($A$14:$A$1213,$A528,$S$14:$S$1213,"&gt;"&amp;$S528)+(COUNTIFS($A$14:$A$1213,$A528,$S$14:$S$1213,"="&amp;$S528)+1)/2,"")</f>
        <v/>
      </c>
      <c r="AG528" s="27">
        <f>IF(ISNUMBER($T528),COUNTIFS($A$14:$A$1213,$A528,$T$14:$T$1213,"&gt;"&amp;$T528)+(COUNTIFS($A$14:$A$1213,$A528,$T$14:$T$1213,"="&amp;$T528)+1)/2,"")</f>
        <v/>
      </c>
      <c r="AH528" s="27">
        <f>IF(COUNT($AC528:$AG528)&lt;2,"",IF(MAX($AC528:$AG528)=MIN($AC528:$AG528),0,1))</f>
        <v/>
      </c>
      <c r="AI528" s="27">
        <f>IF($A528="","",IF(COUNTIF($A$14:$A528,$A528)=1,COUNTIF($AI$13:AI527,"&gt;0")+1,""))</f>
        <v/>
      </c>
      <c r="AO528" s="27">
        <f>IF($A528="","",IF(AND(COUNTIFS($A$14:$A$1213,$A528,$F$14:$F$1213,"&gt;=0")=2,IFERROR(INDEX($M$14:$M$313,MATCH($A528,$H$14:$H$313,0)),"Yes")&lt;&gt;"Yes"),1,0))</f>
        <v/>
      </c>
    </row>
    <row r="529">
      <c r="A529" s="19">
        <f>IF('Enter messages'!A529="","",'Enter messages'!A529)</f>
        <v/>
      </c>
      <c r="B529" s="20">
        <f>IF('Enter messages'!B529="","",'Enter messages'!B529)</f>
        <v/>
      </c>
      <c r="C529" s="21">
        <f>IFERROR(AVERAGE(P529:T529),"")</f>
        <v/>
      </c>
      <c r="D529" s="29" t="n"/>
      <c r="E529" s="29" t="n"/>
      <c r="F529" s="30">
        <f>IF(AND(ISNUMBER($D529),ISNUMBER($E529),$E529&gt;0,$D529&lt;=$E529),$D529/$E529,"")</f>
        <v/>
      </c>
      <c r="P529" s="26" t="n"/>
      <c r="Q529" s="26" t="n"/>
      <c r="R529" s="26" t="n"/>
      <c r="S529" s="26" t="n"/>
      <c r="T529" s="26" t="n"/>
      <c r="V529" s="27">
        <f>IF(ISNUMBER($C529),COUNTIFS($A$14:$A$1213,$A529,$C$14:$C$1213,"&gt;"&amp;$C529)+(COUNTIFS($A$14:$A$1213,$A529,$C$14:$C$1213,"="&amp;$C529)+1)/2,"")</f>
        <v/>
      </c>
      <c r="W529" s="27">
        <f>IF(ISNUMBER($F529),COUNTIFS($A$14:$A$1213,$A529,$F$14:$F$1213,"&gt;"&amp;$F529)+(COUNTIFS($A$14:$A$1213,$A529,$F$14:$F$1213,"="&amp;$F529)+1)/2,"")</f>
        <v/>
      </c>
      <c r="X529" s="27">
        <f>IF(OR(NOT(ISNUMBER($V529)),$AO529=1),"",$V529-(COUNTIFS($A$14:$A$1213,$A529,$C$14:$C$1213,"&gt;=0")+1)/2)</f>
        <v/>
      </c>
      <c r="Y529" s="27">
        <f>IF(OR(NOT(ISNUMBER($W529)),$AO529=1),"",$W529-(COUNTIFS($A$14:$A$1213,$A529,$F$14:$F$1213,"&gt;=0")+1)/2)</f>
        <v/>
      </c>
      <c r="Z529" s="27">
        <f>IF(ISNUMBER($V529),$A529&amp;"|"&amp;$V529,"")</f>
        <v/>
      </c>
      <c r="AA529" s="27">
        <f>IF(ISNUMBER($W529),$A529&amp;"|"&amp;$W529,"")</f>
        <v/>
      </c>
      <c r="AB529" s="27">
        <f>IF(ISNUMBER($F529),$A529&amp;"|"&amp;$F529,"")</f>
        <v/>
      </c>
      <c r="AC529" s="27">
        <f>IF(ISNUMBER($P529),COUNTIFS($A$14:$A$1213,$A529,$P$14:$P$1213,"&gt;"&amp;$P529)+(COUNTIFS($A$14:$A$1213,$A529,$P$14:$P$1213,"="&amp;$P529)+1)/2,"")</f>
        <v/>
      </c>
      <c r="AD529" s="27">
        <f>IF(ISNUMBER($Q529),COUNTIFS($A$14:$A$1213,$A529,$Q$14:$Q$1213,"&gt;"&amp;$Q529)+(COUNTIFS($A$14:$A$1213,$A529,$Q$14:$Q$1213,"="&amp;$Q529)+1)/2,"")</f>
        <v/>
      </c>
      <c r="AE529" s="27">
        <f>IF(ISNUMBER($R529),COUNTIFS($A$14:$A$1213,$A529,$R$14:$R$1213,"&gt;"&amp;$R529)+(COUNTIFS($A$14:$A$1213,$A529,$R$14:$R$1213,"="&amp;$R529)+1)/2,"")</f>
        <v/>
      </c>
      <c r="AF529" s="27">
        <f>IF(ISNUMBER($S529),COUNTIFS($A$14:$A$1213,$A529,$S$14:$S$1213,"&gt;"&amp;$S529)+(COUNTIFS($A$14:$A$1213,$A529,$S$14:$S$1213,"="&amp;$S529)+1)/2,"")</f>
        <v/>
      </c>
      <c r="AG529" s="27">
        <f>IF(ISNUMBER($T529),COUNTIFS($A$14:$A$1213,$A529,$T$14:$T$1213,"&gt;"&amp;$T529)+(COUNTIFS($A$14:$A$1213,$A529,$T$14:$T$1213,"="&amp;$T529)+1)/2,"")</f>
        <v/>
      </c>
      <c r="AH529" s="27">
        <f>IF(COUNT($AC529:$AG529)&lt;2,"",IF(MAX($AC529:$AG529)=MIN($AC529:$AG529),0,1))</f>
        <v/>
      </c>
      <c r="AI529" s="27">
        <f>IF($A529="","",IF(COUNTIF($A$14:$A529,$A529)=1,COUNTIF($AI$13:AI528,"&gt;0")+1,""))</f>
        <v/>
      </c>
      <c r="AO529" s="27">
        <f>IF($A529="","",IF(AND(COUNTIFS($A$14:$A$1213,$A529,$F$14:$F$1213,"&gt;=0")=2,IFERROR(INDEX($M$14:$M$313,MATCH($A529,$H$14:$H$313,0)),"Yes")&lt;&gt;"Yes"),1,0))</f>
        <v/>
      </c>
    </row>
    <row r="530">
      <c r="A530" s="19">
        <f>IF('Enter messages'!A530="","",'Enter messages'!A530)</f>
        <v/>
      </c>
      <c r="B530" s="20">
        <f>IF('Enter messages'!B530="","",'Enter messages'!B530)</f>
        <v/>
      </c>
      <c r="C530" s="21">
        <f>IFERROR(AVERAGE(P530:T530),"")</f>
        <v/>
      </c>
      <c r="D530" s="29" t="n"/>
      <c r="E530" s="29" t="n"/>
      <c r="F530" s="30">
        <f>IF(AND(ISNUMBER($D530),ISNUMBER($E530),$E530&gt;0,$D530&lt;=$E530),$D530/$E530,"")</f>
        <v/>
      </c>
      <c r="P530" s="26" t="n"/>
      <c r="Q530" s="26" t="n"/>
      <c r="R530" s="26" t="n"/>
      <c r="S530" s="26" t="n"/>
      <c r="T530" s="26" t="n"/>
      <c r="V530" s="27">
        <f>IF(ISNUMBER($C530),COUNTIFS($A$14:$A$1213,$A530,$C$14:$C$1213,"&gt;"&amp;$C530)+(COUNTIFS($A$14:$A$1213,$A530,$C$14:$C$1213,"="&amp;$C530)+1)/2,"")</f>
        <v/>
      </c>
      <c r="W530" s="27">
        <f>IF(ISNUMBER($F530),COUNTIFS($A$14:$A$1213,$A530,$F$14:$F$1213,"&gt;"&amp;$F530)+(COUNTIFS($A$14:$A$1213,$A530,$F$14:$F$1213,"="&amp;$F530)+1)/2,"")</f>
        <v/>
      </c>
      <c r="X530" s="27">
        <f>IF(OR(NOT(ISNUMBER($V530)),$AO530=1),"",$V530-(COUNTIFS($A$14:$A$1213,$A530,$C$14:$C$1213,"&gt;=0")+1)/2)</f>
        <v/>
      </c>
      <c r="Y530" s="27">
        <f>IF(OR(NOT(ISNUMBER($W530)),$AO530=1),"",$W530-(COUNTIFS($A$14:$A$1213,$A530,$F$14:$F$1213,"&gt;=0")+1)/2)</f>
        <v/>
      </c>
      <c r="Z530" s="27">
        <f>IF(ISNUMBER($V530),$A530&amp;"|"&amp;$V530,"")</f>
        <v/>
      </c>
      <c r="AA530" s="27">
        <f>IF(ISNUMBER($W530),$A530&amp;"|"&amp;$W530,"")</f>
        <v/>
      </c>
      <c r="AB530" s="27">
        <f>IF(ISNUMBER($F530),$A530&amp;"|"&amp;$F530,"")</f>
        <v/>
      </c>
      <c r="AC530" s="27">
        <f>IF(ISNUMBER($P530),COUNTIFS($A$14:$A$1213,$A530,$P$14:$P$1213,"&gt;"&amp;$P530)+(COUNTIFS($A$14:$A$1213,$A530,$P$14:$P$1213,"="&amp;$P530)+1)/2,"")</f>
        <v/>
      </c>
      <c r="AD530" s="27">
        <f>IF(ISNUMBER($Q530),COUNTIFS($A$14:$A$1213,$A530,$Q$14:$Q$1213,"&gt;"&amp;$Q530)+(COUNTIFS($A$14:$A$1213,$A530,$Q$14:$Q$1213,"="&amp;$Q530)+1)/2,"")</f>
        <v/>
      </c>
      <c r="AE530" s="27">
        <f>IF(ISNUMBER($R530),COUNTIFS($A$14:$A$1213,$A530,$R$14:$R$1213,"&gt;"&amp;$R530)+(COUNTIFS($A$14:$A$1213,$A530,$R$14:$R$1213,"="&amp;$R530)+1)/2,"")</f>
        <v/>
      </c>
      <c r="AF530" s="27">
        <f>IF(ISNUMBER($S530),COUNTIFS($A$14:$A$1213,$A530,$S$14:$S$1213,"&gt;"&amp;$S530)+(COUNTIFS($A$14:$A$1213,$A530,$S$14:$S$1213,"="&amp;$S530)+1)/2,"")</f>
        <v/>
      </c>
      <c r="AG530" s="27">
        <f>IF(ISNUMBER($T530),COUNTIFS($A$14:$A$1213,$A530,$T$14:$T$1213,"&gt;"&amp;$T530)+(COUNTIFS($A$14:$A$1213,$A530,$T$14:$T$1213,"="&amp;$T530)+1)/2,"")</f>
        <v/>
      </c>
      <c r="AH530" s="27">
        <f>IF(COUNT($AC530:$AG530)&lt;2,"",IF(MAX($AC530:$AG530)=MIN($AC530:$AG530),0,1))</f>
        <v/>
      </c>
      <c r="AI530" s="27">
        <f>IF($A530="","",IF(COUNTIF($A$14:$A530,$A530)=1,COUNTIF($AI$13:AI529,"&gt;0")+1,""))</f>
        <v/>
      </c>
      <c r="AO530" s="27">
        <f>IF($A530="","",IF(AND(COUNTIFS($A$14:$A$1213,$A530,$F$14:$F$1213,"&gt;=0")=2,IFERROR(INDEX($M$14:$M$313,MATCH($A530,$H$14:$H$313,0)),"Yes")&lt;&gt;"Yes"),1,0))</f>
        <v/>
      </c>
    </row>
    <row r="531">
      <c r="A531" s="19">
        <f>IF('Enter messages'!A531="","",'Enter messages'!A531)</f>
        <v/>
      </c>
      <c r="B531" s="20">
        <f>IF('Enter messages'!B531="","",'Enter messages'!B531)</f>
        <v/>
      </c>
      <c r="C531" s="21">
        <f>IFERROR(AVERAGE(P531:T531),"")</f>
        <v/>
      </c>
      <c r="D531" s="29" t="n"/>
      <c r="E531" s="29" t="n"/>
      <c r="F531" s="30">
        <f>IF(AND(ISNUMBER($D531),ISNUMBER($E531),$E531&gt;0,$D531&lt;=$E531),$D531/$E531,"")</f>
        <v/>
      </c>
      <c r="P531" s="26" t="n"/>
      <c r="Q531" s="26" t="n"/>
      <c r="R531" s="26" t="n"/>
      <c r="S531" s="26" t="n"/>
      <c r="T531" s="26" t="n"/>
      <c r="V531" s="27">
        <f>IF(ISNUMBER($C531),COUNTIFS($A$14:$A$1213,$A531,$C$14:$C$1213,"&gt;"&amp;$C531)+(COUNTIFS($A$14:$A$1213,$A531,$C$14:$C$1213,"="&amp;$C531)+1)/2,"")</f>
        <v/>
      </c>
      <c r="W531" s="27">
        <f>IF(ISNUMBER($F531),COUNTIFS($A$14:$A$1213,$A531,$F$14:$F$1213,"&gt;"&amp;$F531)+(COUNTIFS($A$14:$A$1213,$A531,$F$14:$F$1213,"="&amp;$F531)+1)/2,"")</f>
        <v/>
      </c>
      <c r="X531" s="27">
        <f>IF(OR(NOT(ISNUMBER($V531)),$AO531=1),"",$V531-(COUNTIFS($A$14:$A$1213,$A531,$C$14:$C$1213,"&gt;=0")+1)/2)</f>
        <v/>
      </c>
      <c r="Y531" s="27">
        <f>IF(OR(NOT(ISNUMBER($W531)),$AO531=1),"",$W531-(COUNTIFS($A$14:$A$1213,$A531,$F$14:$F$1213,"&gt;=0")+1)/2)</f>
        <v/>
      </c>
      <c r="Z531" s="27">
        <f>IF(ISNUMBER($V531),$A531&amp;"|"&amp;$V531,"")</f>
        <v/>
      </c>
      <c r="AA531" s="27">
        <f>IF(ISNUMBER($W531),$A531&amp;"|"&amp;$W531,"")</f>
        <v/>
      </c>
      <c r="AB531" s="27">
        <f>IF(ISNUMBER($F531),$A531&amp;"|"&amp;$F531,"")</f>
        <v/>
      </c>
      <c r="AC531" s="27">
        <f>IF(ISNUMBER($P531),COUNTIFS($A$14:$A$1213,$A531,$P$14:$P$1213,"&gt;"&amp;$P531)+(COUNTIFS($A$14:$A$1213,$A531,$P$14:$P$1213,"="&amp;$P531)+1)/2,"")</f>
        <v/>
      </c>
      <c r="AD531" s="27">
        <f>IF(ISNUMBER($Q531),COUNTIFS($A$14:$A$1213,$A531,$Q$14:$Q$1213,"&gt;"&amp;$Q531)+(COUNTIFS($A$14:$A$1213,$A531,$Q$14:$Q$1213,"="&amp;$Q531)+1)/2,"")</f>
        <v/>
      </c>
      <c r="AE531" s="27">
        <f>IF(ISNUMBER($R531),COUNTIFS($A$14:$A$1213,$A531,$R$14:$R$1213,"&gt;"&amp;$R531)+(COUNTIFS($A$14:$A$1213,$A531,$R$14:$R$1213,"="&amp;$R531)+1)/2,"")</f>
        <v/>
      </c>
      <c r="AF531" s="27">
        <f>IF(ISNUMBER($S531),COUNTIFS($A$14:$A$1213,$A531,$S$14:$S$1213,"&gt;"&amp;$S531)+(COUNTIFS($A$14:$A$1213,$A531,$S$14:$S$1213,"="&amp;$S531)+1)/2,"")</f>
        <v/>
      </c>
      <c r="AG531" s="27">
        <f>IF(ISNUMBER($T531),COUNTIFS($A$14:$A$1213,$A531,$T$14:$T$1213,"&gt;"&amp;$T531)+(COUNTIFS($A$14:$A$1213,$A531,$T$14:$T$1213,"="&amp;$T531)+1)/2,"")</f>
        <v/>
      </c>
      <c r="AH531" s="27">
        <f>IF(COUNT($AC531:$AG531)&lt;2,"",IF(MAX($AC531:$AG531)=MIN($AC531:$AG531),0,1))</f>
        <v/>
      </c>
      <c r="AI531" s="27">
        <f>IF($A531="","",IF(COUNTIF($A$14:$A531,$A531)=1,COUNTIF($AI$13:AI530,"&gt;0")+1,""))</f>
        <v/>
      </c>
      <c r="AO531" s="27">
        <f>IF($A531="","",IF(AND(COUNTIFS($A$14:$A$1213,$A531,$F$14:$F$1213,"&gt;=0")=2,IFERROR(INDEX($M$14:$M$313,MATCH($A531,$H$14:$H$313,0)),"Yes")&lt;&gt;"Yes"),1,0))</f>
        <v/>
      </c>
    </row>
    <row r="532">
      <c r="A532" s="19">
        <f>IF('Enter messages'!A532="","",'Enter messages'!A532)</f>
        <v/>
      </c>
      <c r="B532" s="20">
        <f>IF('Enter messages'!B532="","",'Enter messages'!B532)</f>
        <v/>
      </c>
      <c r="C532" s="21">
        <f>IFERROR(AVERAGE(P532:T532),"")</f>
        <v/>
      </c>
      <c r="D532" s="29" t="n"/>
      <c r="E532" s="29" t="n"/>
      <c r="F532" s="30">
        <f>IF(AND(ISNUMBER($D532),ISNUMBER($E532),$E532&gt;0,$D532&lt;=$E532),$D532/$E532,"")</f>
        <v/>
      </c>
      <c r="P532" s="26" t="n"/>
      <c r="Q532" s="26" t="n"/>
      <c r="R532" s="26" t="n"/>
      <c r="S532" s="26" t="n"/>
      <c r="T532" s="26" t="n"/>
      <c r="V532" s="27">
        <f>IF(ISNUMBER($C532),COUNTIFS($A$14:$A$1213,$A532,$C$14:$C$1213,"&gt;"&amp;$C532)+(COUNTIFS($A$14:$A$1213,$A532,$C$14:$C$1213,"="&amp;$C532)+1)/2,"")</f>
        <v/>
      </c>
      <c r="W532" s="27">
        <f>IF(ISNUMBER($F532),COUNTIFS($A$14:$A$1213,$A532,$F$14:$F$1213,"&gt;"&amp;$F532)+(COUNTIFS($A$14:$A$1213,$A532,$F$14:$F$1213,"="&amp;$F532)+1)/2,"")</f>
        <v/>
      </c>
      <c r="X532" s="27">
        <f>IF(OR(NOT(ISNUMBER($V532)),$AO532=1),"",$V532-(COUNTIFS($A$14:$A$1213,$A532,$C$14:$C$1213,"&gt;=0")+1)/2)</f>
        <v/>
      </c>
      <c r="Y532" s="27">
        <f>IF(OR(NOT(ISNUMBER($W532)),$AO532=1),"",$W532-(COUNTIFS($A$14:$A$1213,$A532,$F$14:$F$1213,"&gt;=0")+1)/2)</f>
        <v/>
      </c>
      <c r="Z532" s="27">
        <f>IF(ISNUMBER($V532),$A532&amp;"|"&amp;$V532,"")</f>
        <v/>
      </c>
      <c r="AA532" s="27">
        <f>IF(ISNUMBER($W532),$A532&amp;"|"&amp;$W532,"")</f>
        <v/>
      </c>
      <c r="AB532" s="27">
        <f>IF(ISNUMBER($F532),$A532&amp;"|"&amp;$F532,"")</f>
        <v/>
      </c>
      <c r="AC532" s="27">
        <f>IF(ISNUMBER($P532),COUNTIFS($A$14:$A$1213,$A532,$P$14:$P$1213,"&gt;"&amp;$P532)+(COUNTIFS($A$14:$A$1213,$A532,$P$14:$P$1213,"="&amp;$P532)+1)/2,"")</f>
        <v/>
      </c>
      <c r="AD532" s="27">
        <f>IF(ISNUMBER($Q532),COUNTIFS($A$14:$A$1213,$A532,$Q$14:$Q$1213,"&gt;"&amp;$Q532)+(COUNTIFS($A$14:$A$1213,$A532,$Q$14:$Q$1213,"="&amp;$Q532)+1)/2,"")</f>
        <v/>
      </c>
      <c r="AE532" s="27">
        <f>IF(ISNUMBER($R532),COUNTIFS($A$14:$A$1213,$A532,$R$14:$R$1213,"&gt;"&amp;$R532)+(COUNTIFS($A$14:$A$1213,$A532,$R$14:$R$1213,"="&amp;$R532)+1)/2,"")</f>
        <v/>
      </c>
      <c r="AF532" s="27">
        <f>IF(ISNUMBER($S532),COUNTIFS($A$14:$A$1213,$A532,$S$14:$S$1213,"&gt;"&amp;$S532)+(COUNTIFS($A$14:$A$1213,$A532,$S$14:$S$1213,"="&amp;$S532)+1)/2,"")</f>
        <v/>
      </c>
      <c r="AG532" s="27">
        <f>IF(ISNUMBER($T532),COUNTIFS($A$14:$A$1213,$A532,$T$14:$T$1213,"&gt;"&amp;$T532)+(COUNTIFS($A$14:$A$1213,$A532,$T$14:$T$1213,"="&amp;$T532)+1)/2,"")</f>
        <v/>
      </c>
      <c r="AH532" s="27">
        <f>IF(COUNT($AC532:$AG532)&lt;2,"",IF(MAX($AC532:$AG532)=MIN($AC532:$AG532),0,1))</f>
        <v/>
      </c>
      <c r="AI532" s="27">
        <f>IF($A532="","",IF(COUNTIF($A$14:$A532,$A532)=1,COUNTIF($AI$13:AI531,"&gt;0")+1,""))</f>
        <v/>
      </c>
      <c r="AO532" s="27">
        <f>IF($A532="","",IF(AND(COUNTIFS($A$14:$A$1213,$A532,$F$14:$F$1213,"&gt;=0")=2,IFERROR(INDEX($M$14:$M$313,MATCH($A532,$H$14:$H$313,0)),"Yes")&lt;&gt;"Yes"),1,0))</f>
        <v/>
      </c>
    </row>
    <row r="533">
      <c r="A533" s="19">
        <f>IF('Enter messages'!A533="","",'Enter messages'!A533)</f>
        <v/>
      </c>
      <c r="B533" s="20">
        <f>IF('Enter messages'!B533="","",'Enter messages'!B533)</f>
        <v/>
      </c>
      <c r="C533" s="21">
        <f>IFERROR(AVERAGE(P533:T533),"")</f>
        <v/>
      </c>
      <c r="D533" s="29" t="n"/>
      <c r="E533" s="29" t="n"/>
      <c r="F533" s="30">
        <f>IF(AND(ISNUMBER($D533),ISNUMBER($E533),$E533&gt;0,$D533&lt;=$E533),$D533/$E533,"")</f>
        <v/>
      </c>
      <c r="P533" s="26" t="n"/>
      <c r="Q533" s="26" t="n"/>
      <c r="R533" s="26" t="n"/>
      <c r="S533" s="26" t="n"/>
      <c r="T533" s="26" t="n"/>
      <c r="V533" s="27">
        <f>IF(ISNUMBER($C533),COUNTIFS($A$14:$A$1213,$A533,$C$14:$C$1213,"&gt;"&amp;$C533)+(COUNTIFS($A$14:$A$1213,$A533,$C$14:$C$1213,"="&amp;$C533)+1)/2,"")</f>
        <v/>
      </c>
      <c r="W533" s="27">
        <f>IF(ISNUMBER($F533),COUNTIFS($A$14:$A$1213,$A533,$F$14:$F$1213,"&gt;"&amp;$F533)+(COUNTIFS($A$14:$A$1213,$A533,$F$14:$F$1213,"="&amp;$F533)+1)/2,"")</f>
        <v/>
      </c>
      <c r="X533" s="27">
        <f>IF(OR(NOT(ISNUMBER($V533)),$AO533=1),"",$V533-(COUNTIFS($A$14:$A$1213,$A533,$C$14:$C$1213,"&gt;=0")+1)/2)</f>
        <v/>
      </c>
      <c r="Y533" s="27">
        <f>IF(OR(NOT(ISNUMBER($W533)),$AO533=1),"",$W533-(COUNTIFS($A$14:$A$1213,$A533,$F$14:$F$1213,"&gt;=0")+1)/2)</f>
        <v/>
      </c>
      <c r="Z533" s="27">
        <f>IF(ISNUMBER($V533),$A533&amp;"|"&amp;$V533,"")</f>
        <v/>
      </c>
      <c r="AA533" s="27">
        <f>IF(ISNUMBER($W533),$A533&amp;"|"&amp;$W533,"")</f>
        <v/>
      </c>
      <c r="AB533" s="27">
        <f>IF(ISNUMBER($F533),$A533&amp;"|"&amp;$F533,"")</f>
        <v/>
      </c>
      <c r="AC533" s="27">
        <f>IF(ISNUMBER($P533),COUNTIFS($A$14:$A$1213,$A533,$P$14:$P$1213,"&gt;"&amp;$P533)+(COUNTIFS($A$14:$A$1213,$A533,$P$14:$P$1213,"="&amp;$P533)+1)/2,"")</f>
        <v/>
      </c>
      <c r="AD533" s="27">
        <f>IF(ISNUMBER($Q533),COUNTIFS($A$14:$A$1213,$A533,$Q$14:$Q$1213,"&gt;"&amp;$Q533)+(COUNTIFS($A$14:$A$1213,$A533,$Q$14:$Q$1213,"="&amp;$Q533)+1)/2,"")</f>
        <v/>
      </c>
      <c r="AE533" s="27">
        <f>IF(ISNUMBER($R533),COUNTIFS($A$14:$A$1213,$A533,$R$14:$R$1213,"&gt;"&amp;$R533)+(COUNTIFS($A$14:$A$1213,$A533,$R$14:$R$1213,"="&amp;$R533)+1)/2,"")</f>
        <v/>
      </c>
      <c r="AF533" s="27">
        <f>IF(ISNUMBER($S533),COUNTIFS($A$14:$A$1213,$A533,$S$14:$S$1213,"&gt;"&amp;$S533)+(COUNTIFS($A$14:$A$1213,$A533,$S$14:$S$1213,"="&amp;$S533)+1)/2,"")</f>
        <v/>
      </c>
      <c r="AG533" s="27">
        <f>IF(ISNUMBER($T533),COUNTIFS($A$14:$A$1213,$A533,$T$14:$T$1213,"&gt;"&amp;$T533)+(COUNTIFS($A$14:$A$1213,$A533,$T$14:$T$1213,"="&amp;$T533)+1)/2,"")</f>
        <v/>
      </c>
      <c r="AH533" s="27">
        <f>IF(COUNT($AC533:$AG533)&lt;2,"",IF(MAX($AC533:$AG533)=MIN($AC533:$AG533),0,1))</f>
        <v/>
      </c>
      <c r="AI533" s="27">
        <f>IF($A533="","",IF(COUNTIF($A$14:$A533,$A533)=1,COUNTIF($AI$13:AI532,"&gt;0")+1,""))</f>
        <v/>
      </c>
      <c r="AO533" s="27">
        <f>IF($A533="","",IF(AND(COUNTIFS($A$14:$A$1213,$A533,$F$14:$F$1213,"&gt;=0")=2,IFERROR(INDEX($M$14:$M$313,MATCH($A533,$H$14:$H$313,0)),"Yes")&lt;&gt;"Yes"),1,0))</f>
        <v/>
      </c>
    </row>
    <row r="534">
      <c r="A534" s="19">
        <f>IF('Enter messages'!A534="","",'Enter messages'!A534)</f>
        <v/>
      </c>
      <c r="B534" s="20">
        <f>IF('Enter messages'!B534="","",'Enter messages'!B534)</f>
        <v/>
      </c>
      <c r="C534" s="21">
        <f>IFERROR(AVERAGE(P534:T534),"")</f>
        <v/>
      </c>
      <c r="D534" s="29" t="n"/>
      <c r="E534" s="29" t="n"/>
      <c r="F534" s="30">
        <f>IF(AND(ISNUMBER($D534),ISNUMBER($E534),$E534&gt;0,$D534&lt;=$E534),$D534/$E534,"")</f>
        <v/>
      </c>
      <c r="P534" s="26" t="n"/>
      <c r="Q534" s="26" t="n"/>
      <c r="R534" s="26" t="n"/>
      <c r="S534" s="26" t="n"/>
      <c r="T534" s="26" t="n"/>
      <c r="V534" s="27">
        <f>IF(ISNUMBER($C534),COUNTIFS($A$14:$A$1213,$A534,$C$14:$C$1213,"&gt;"&amp;$C534)+(COUNTIFS($A$14:$A$1213,$A534,$C$14:$C$1213,"="&amp;$C534)+1)/2,"")</f>
        <v/>
      </c>
      <c r="W534" s="27">
        <f>IF(ISNUMBER($F534),COUNTIFS($A$14:$A$1213,$A534,$F$14:$F$1213,"&gt;"&amp;$F534)+(COUNTIFS($A$14:$A$1213,$A534,$F$14:$F$1213,"="&amp;$F534)+1)/2,"")</f>
        <v/>
      </c>
      <c r="X534" s="27">
        <f>IF(OR(NOT(ISNUMBER($V534)),$AO534=1),"",$V534-(COUNTIFS($A$14:$A$1213,$A534,$C$14:$C$1213,"&gt;=0")+1)/2)</f>
        <v/>
      </c>
      <c r="Y534" s="27">
        <f>IF(OR(NOT(ISNUMBER($W534)),$AO534=1),"",$W534-(COUNTIFS($A$14:$A$1213,$A534,$F$14:$F$1213,"&gt;=0")+1)/2)</f>
        <v/>
      </c>
      <c r="Z534" s="27">
        <f>IF(ISNUMBER($V534),$A534&amp;"|"&amp;$V534,"")</f>
        <v/>
      </c>
      <c r="AA534" s="27">
        <f>IF(ISNUMBER($W534),$A534&amp;"|"&amp;$W534,"")</f>
        <v/>
      </c>
      <c r="AB534" s="27">
        <f>IF(ISNUMBER($F534),$A534&amp;"|"&amp;$F534,"")</f>
        <v/>
      </c>
      <c r="AC534" s="27">
        <f>IF(ISNUMBER($P534),COUNTIFS($A$14:$A$1213,$A534,$P$14:$P$1213,"&gt;"&amp;$P534)+(COUNTIFS($A$14:$A$1213,$A534,$P$14:$P$1213,"="&amp;$P534)+1)/2,"")</f>
        <v/>
      </c>
      <c r="AD534" s="27">
        <f>IF(ISNUMBER($Q534),COUNTIFS($A$14:$A$1213,$A534,$Q$14:$Q$1213,"&gt;"&amp;$Q534)+(COUNTIFS($A$14:$A$1213,$A534,$Q$14:$Q$1213,"="&amp;$Q534)+1)/2,"")</f>
        <v/>
      </c>
      <c r="AE534" s="27">
        <f>IF(ISNUMBER($R534),COUNTIFS($A$14:$A$1213,$A534,$R$14:$R$1213,"&gt;"&amp;$R534)+(COUNTIFS($A$14:$A$1213,$A534,$R$14:$R$1213,"="&amp;$R534)+1)/2,"")</f>
        <v/>
      </c>
      <c r="AF534" s="27">
        <f>IF(ISNUMBER($S534),COUNTIFS($A$14:$A$1213,$A534,$S$14:$S$1213,"&gt;"&amp;$S534)+(COUNTIFS($A$14:$A$1213,$A534,$S$14:$S$1213,"="&amp;$S534)+1)/2,"")</f>
        <v/>
      </c>
      <c r="AG534" s="27">
        <f>IF(ISNUMBER($T534),COUNTIFS($A$14:$A$1213,$A534,$T$14:$T$1213,"&gt;"&amp;$T534)+(COUNTIFS($A$14:$A$1213,$A534,$T$14:$T$1213,"="&amp;$T534)+1)/2,"")</f>
        <v/>
      </c>
      <c r="AH534" s="27">
        <f>IF(COUNT($AC534:$AG534)&lt;2,"",IF(MAX($AC534:$AG534)=MIN($AC534:$AG534),0,1))</f>
        <v/>
      </c>
      <c r="AI534" s="27">
        <f>IF($A534="","",IF(COUNTIF($A$14:$A534,$A534)=1,COUNTIF($AI$13:AI533,"&gt;0")+1,""))</f>
        <v/>
      </c>
      <c r="AO534" s="27">
        <f>IF($A534="","",IF(AND(COUNTIFS($A$14:$A$1213,$A534,$F$14:$F$1213,"&gt;=0")=2,IFERROR(INDEX($M$14:$M$313,MATCH($A534,$H$14:$H$313,0)),"Yes")&lt;&gt;"Yes"),1,0))</f>
        <v/>
      </c>
    </row>
    <row r="535">
      <c r="A535" s="19">
        <f>IF('Enter messages'!A535="","",'Enter messages'!A535)</f>
        <v/>
      </c>
      <c r="B535" s="20">
        <f>IF('Enter messages'!B535="","",'Enter messages'!B535)</f>
        <v/>
      </c>
      <c r="C535" s="21">
        <f>IFERROR(AVERAGE(P535:T535),"")</f>
        <v/>
      </c>
      <c r="D535" s="29" t="n"/>
      <c r="E535" s="29" t="n"/>
      <c r="F535" s="30">
        <f>IF(AND(ISNUMBER($D535),ISNUMBER($E535),$E535&gt;0,$D535&lt;=$E535),$D535/$E535,"")</f>
        <v/>
      </c>
      <c r="P535" s="26" t="n"/>
      <c r="Q535" s="26" t="n"/>
      <c r="R535" s="26" t="n"/>
      <c r="S535" s="26" t="n"/>
      <c r="T535" s="26" t="n"/>
      <c r="V535" s="27">
        <f>IF(ISNUMBER($C535),COUNTIFS($A$14:$A$1213,$A535,$C$14:$C$1213,"&gt;"&amp;$C535)+(COUNTIFS($A$14:$A$1213,$A535,$C$14:$C$1213,"="&amp;$C535)+1)/2,"")</f>
        <v/>
      </c>
      <c r="W535" s="27">
        <f>IF(ISNUMBER($F535),COUNTIFS($A$14:$A$1213,$A535,$F$14:$F$1213,"&gt;"&amp;$F535)+(COUNTIFS($A$14:$A$1213,$A535,$F$14:$F$1213,"="&amp;$F535)+1)/2,"")</f>
        <v/>
      </c>
      <c r="X535" s="27">
        <f>IF(OR(NOT(ISNUMBER($V535)),$AO535=1),"",$V535-(COUNTIFS($A$14:$A$1213,$A535,$C$14:$C$1213,"&gt;=0")+1)/2)</f>
        <v/>
      </c>
      <c r="Y535" s="27">
        <f>IF(OR(NOT(ISNUMBER($W535)),$AO535=1),"",$W535-(COUNTIFS($A$14:$A$1213,$A535,$F$14:$F$1213,"&gt;=0")+1)/2)</f>
        <v/>
      </c>
      <c r="Z535" s="27">
        <f>IF(ISNUMBER($V535),$A535&amp;"|"&amp;$V535,"")</f>
        <v/>
      </c>
      <c r="AA535" s="27">
        <f>IF(ISNUMBER($W535),$A535&amp;"|"&amp;$W535,"")</f>
        <v/>
      </c>
      <c r="AB535" s="27">
        <f>IF(ISNUMBER($F535),$A535&amp;"|"&amp;$F535,"")</f>
        <v/>
      </c>
      <c r="AC535" s="27">
        <f>IF(ISNUMBER($P535),COUNTIFS($A$14:$A$1213,$A535,$P$14:$P$1213,"&gt;"&amp;$P535)+(COUNTIFS($A$14:$A$1213,$A535,$P$14:$P$1213,"="&amp;$P535)+1)/2,"")</f>
        <v/>
      </c>
      <c r="AD535" s="27">
        <f>IF(ISNUMBER($Q535),COUNTIFS($A$14:$A$1213,$A535,$Q$14:$Q$1213,"&gt;"&amp;$Q535)+(COUNTIFS($A$14:$A$1213,$A535,$Q$14:$Q$1213,"="&amp;$Q535)+1)/2,"")</f>
        <v/>
      </c>
      <c r="AE535" s="27">
        <f>IF(ISNUMBER($R535),COUNTIFS($A$14:$A$1213,$A535,$R$14:$R$1213,"&gt;"&amp;$R535)+(COUNTIFS($A$14:$A$1213,$A535,$R$14:$R$1213,"="&amp;$R535)+1)/2,"")</f>
        <v/>
      </c>
      <c r="AF535" s="27">
        <f>IF(ISNUMBER($S535),COUNTIFS($A$14:$A$1213,$A535,$S$14:$S$1213,"&gt;"&amp;$S535)+(COUNTIFS($A$14:$A$1213,$A535,$S$14:$S$1213,"="&amp;$S535)+1)/2,"")</f>
        <v/>
      </c>
      <c r="AG535" s="27">
        <f>IF(ISNUMBER($T535),COUNTIFS($A$14:$A$1213,$A535,$T$14:$T$1213,"&gt;"&amp;$T535)+(COUNTIFS($A$14:$A$1213,$A535,$T$14:$T$1213,"="&amp;$T535)+1)/2,"")</f>
        <v/>
      </c>
      <c r="AH535" s="27">
        <f>IF(COUNT($AC535:$AG535)&lt;2,"",IF(MAX($AC535:$AG535)=MIN($AC535:$AG535),0,1))</f>
        <v/>
      </c>
      <c r="AI535" s="27">
        <f>IF($A535="","",IF(COUNTIF($A$14:$A535,$A535)=1,COUNTIF($AI$13:AI534,"&gt;0")+1,""))</f>
        <v/>
      </c>
      <c r="AO535" s="27">
        <f>IF($A535="","",IF(AND(COUNTIFS($A$14:$A$1213,$A535,$F$14:$F$1213,"&gt;=0")=2,IFERROR(INDEX($M$14:$M$313,MATCH($A535,$H$14:$H$313,0)),"Yes")&lt;&gt;"Yes"),1,0))</f>
        <v/>
      </c>
    </row>
    <row r="536">
      <c r="A536" s="19">
        <f>IF('Enter messages'!A536="","",'Enter messages'!A536)</f>
        <v/>
      </c>
      <c r="B536" s="20">
        <f>IF('Enter messages'!B536="","",'Enter messages'!B536)</f>
        <v/>
      </c>
      <c r="C536" s="21">
        <f>IFERROR(AVERAGE(P536:T536),"")</f>
        <v/>
      </c>
      <c r="D536" s="29" t="n"/>
      <c r="E536" s="29" t="n"/>
      <c r="F536" s="30">
        <f>IF(AND(ISNUMBER($D536),ISNUMBER($E536),$E536&gt;0,$D536&lt;=$E536),$D536/$E536,"")</f>
        <v/>
      </c>
      <c r="P536" s="26" t="n"/>
      <c r="Q536" s="26" t="n"/>
      <c r="R536" s="26" t="n"/>
      <c r="S536" s="26" t="n"/>
      <c r="T536" s="26" t="n"/>
      <c r="V536" s="27">
        <f>IF(ISNUMBER($C536),COUNTIFS($A$14:$A$1213,$A536,$C$14:$C$1213,"&gt;"&amp;$C536)+(COUNTIFS($A$14:$A$1213,$A536,$C$14:$C$1213,"="&amp;$C536)+1)/2,"")</f>
        <v/>
      </c>
      <c r="W536" s="27">
        <f>IF(ISNUMBER($F536),COUNTIFS($A$14:$A$1213,$A536,$F$14:$F$1213,"&gt;"&amp;$F536)+(COUNTIFS($A$14:$A$1213,$A536,$F$14:$F$1213,"="&amp;$F536)+1)/2,"")</f>
        <v/>
      </c>
      <c r="X536" s="27">
        <f>IF(OR(NOT(ISNUMBER($V536)),$AO536=1),"",$V536-(COUNTIFS($A$14:$A$1213,$A536,$C$14:$C$1213,"&gt;=0")+1)/2)</f>
        <v/>
      </c>
      <c r="Y536" s="27">
        <f>IF(OR(NOT(ISNUMBER($W536)),$AO536=1),"",$W536-(COUNTIFS($A$14:$A$1213,$A536,$F$14:$F$1213,"&gt;=0")+1)/2)</f>
        <v/>
      </c>
      <c r="Z536" s="27">
        <f>IF(ISNUMBER($V536),$A536&amp;"|"&amp;$V536,"")</f>
        <v/>
      </c>
      <c r="AA536" s="27">
        <f>IF(ISNUMBER($W536),$A536&amp;"|"&amp;$W536,"")</f>
        <v/>
      </c>
      <c r="AB536" s="27">
        <f>IF(ISNUMBER($F536),$A536&amp;"|"&amp;$F536,"")</f>
        <v/>
      </c>
      <c r="AC536" s="27">
        <f>IF(ISNUMBER($P536),COUNTIFS($A$14:$A$1213,$A536,$P$14:$P$1213,"&gt;"&amp;$P536)+(COUNTIFS($A$14:$A$1213,$A536,$P$14:$P$1213,"="&amp;$P536)+1)/2,"")</f>
        <v/>
      </c>
      <c r="AD536" s="27">
        <f>IF(ISNUMBER($Q536),COUNTIFS($A$14:$A$1213,$A536,$Q$14:$Q$1213,"&gt;"&amp;$Q536)+(COUNTIFS($A$14:$A$1213,$A536,$Q$14:$Q$1213,"="&amp;$Q536)+1)/2,"")</f>
        <v/>
      </c>
      <c r="AE536" s="27">
        <f>IF(ISNUMBER($R536),COUNTIFS($A$14:$A$1213,$A536,$R$14:$R$1213,"&gt;"&amp;$R536)+(COUNTIFS($A$14:$A$1213,$A536,$R$14:$R$1213,"="&amp;$R536)+1)/2,"")</f>
        <v/>
      </c>
      <c r="AF536" s="27">
        <f>IF(ISNUMBER($S536),COUNTIFS($A$14:$A$1213,$A536,$S$14:$S$1213,"&gt;"&amp;$S536)+(COUNTIFS($A$14:$A$1213,$A536,$S$14:$S$1213,"="&amp;$S536)+1)/2,"")</f>
        <v/>
      </c>
      <c r="AG536" s="27">
        <f>IF(ISNUMBER($T536),COUNTIFS($A$14:$A$1213,$A536,$T$14:$T$1213,"&gt;"&amp;$T536)+(COUNTIFS($A$14:$A$1213,$A536,$T$14:$T$1213,"="&amp;$T536)+1)/2,"")</f>
        <v/>
      </c>
      <c r="AH536" s="27">
        <f>IF(COUNT($AC536:$AG536)&lt;2,"",IF(MAX($AC536:$AG536)=MIN($AC536:$AG536),0,1))</f>
        <v/>
      </c>
      <c r="AI536" s="27">
        <f>IF($A536="","",IF(COUNTIF($A$14:$A536,$A536)=1,COUNTIF($AI$13:AI535,"&gt;0")+1,""))</f>
        <v/>
      </c>
      <c r="AO536" s="27">
        <f>IF($A536="","",IF(AND(COUNTIFS($A$14:$A$1213,$A536,$F$14:$F$1213,"&gt;=0")=2,IFERROR(INDEX($M$14:$M$313,MATCH($A536,$H$14:$H$313,0)),"Yes")&lt;&gt;"Yes"),1,0))</f>
        <v/>
      </c>
    </row>
    <row r="537">
      <c r="A537" s="19">
        <f>IF('Enter messages'!A537="","",'Enter messages'!A537)</f>
        <v/>
      </c>
      <c r="B537" s="20">
        <f>IF('Enter messages'!B537="","",'Enter messages'!B537)</f>
        <v/>
      </c>
      <c r="C537" s="21">
        <f>IFERROR(AVERAGE(P537:T537),"")</f>
        <v/>
      </c>
      <c r="D537" s="29" t="n"/>
      <c r="E537" s="29" t="n"/>
      <c r="F537" s="30">
        <f>IF(AND(ISNUMBER($D537),ISNUMBER($E537),$E537&gt;0,$D537&lt;=$E537),$D537/$E537,"")</f>
        <v/>
      </c>
      <c r="P537" s="26" t="n"/>
      <c r="Q537" s="26" t="n"/>
      <c r="R537" s="26" t="n"/>
      <c r="S537" s="26" t="n"/>
      <c r="T537" s="26" t="n"/>
      <c r="V537" s="27">
        <f>IF(ISNUMBER($C537),COUNTIFS($A$14:$A$1213,$A537,$C$14:$C$1213,"&gt;"&amp;$C537)+(COUNTIFS($A$14:$A$1213,$A537,$C$14:$C$1213,"="&amp;$C537)+1)/2,"")</f>
        <v/>
      </c>
      <c r="W537" s="27">
        <f>IF(ISNUMBER($F537),COUNTIFS($A$14:$A$1213,$A537,$F$14:$F$1213,"&gt;"&amp;$F537)+(COUNTIFS($A$14:$A$1213,$A537,$F$14:$F$1213,"="&amp;$F537)+1)/2,"")</f>
        <v/>
      </c>
      <c r="X537" s="27">
        <f>IF(OR(NOT(ISNUMBER($V537)),$AO537=1),"",$V537-(COUNTIFS($A$14:$A$1213,$A537,$C$14:$C$1213,"&gt;=0")+1)/2)</f>
        <v/>
      </c>
      <c r="Y537" s="27">
        <f>IF(OR(NOT(ISNUMBER($W537)),$AO537=1),"",$W537-(COUNTIFS($A$14:$A$1213,$A537,$F$14:$F$1213,"&gt;=0")+1)/2)</f>
        <v/>
      </c>
      <c r="Z537" s="27">
        <f>IF(ISNUMBER($V537),$A537&amp;"|"&amp;$V537,"")</f>
        <v/>
      </c>
      <c r="AA537" s="27">
        <f>IF(ISNUMBER($W537),$A537&amp;"|"&amp;$W537,"")</f>
        <v/>
      </c>
      <c r="AB537" s="27">
        <f>IF(ISNUMBER($F537),$A537&amp;"|"&amp;$F537,"")</f>
        <v/>
      </c>
      <c r="AC537" s="27">
        <f>IF(ISNUMBER($P537),COUNTIFS($A$14:$A$1213,$A537,$P$14:$P$1213,"&gt;"&amp;$P537)+(COUNTIFS($A$14:$A$1213,$A537,$P$14:$P$1213,"="&amp;$P537)+1)/2,"")</f>
        <v/>
      </c>
      <c r="AD537" s="27">
        <f>IF(ISNUMBER($Q537),COUNTIFS($A$14:$A$1213,$A537,$Q$14:$Q$1213,"&gt;"&amp;$Q537)+(COUNTIFS($A$14:$A$1213,$A537,$Q$14:$Q$1213,"="&amp;$Q537)+1)/2,"")</f>
        <v/>
      </c>
      <c r="AE537" s="27">
        <f>IF(ISNUMBER($R537),COUNTIFS($A$14:$A$1213,$A537,$R$14:$R$1213,"&gt;"&amp;$R537)+(COUNTIFS($A$14:$A$1213,$A537,$R$14:$R$1213,"="&amp;$R537)+1)/2,"")</f>
        <v/>
      </c>
      <c r="AF537" s="27">
        <f>IF(ISNUMBER($S537),COUNTIFS($A$14:$A$1213,$A537,$S$14:$S$1213,"&gt;"&amp;$S537)+(COUNTIFS($A$14:$A$1213,$A537,$S$14:$S$1213,"="&amp;$S537)+1)/2,"")</f>
        <v/>
      </c>
      <c r="AG537" s="27">
        <f>IF(ISNUMBER($T537),COUNTIFS($A$14:$A$1213,$A537,$T$14:$T$1213,"&gt;"&amp;$T537)+(COUNTIFS($A$14:$A$1213,$A537,$T$14:$T$1213,"="&amp;$T537)+1)/2,"")</f>
        <v/>
      </c>
      <c r="AH537" s="27">
        <f>IF(COUNT($AC537:$AG537)&lt;2,"",IF(MAX($AC537:$AG537)=MIN($AC537:$AG537),0,1))</f>
        <v/>
      </c>
      <c r="AI537" s="27">
        <f>IF($A537="","",IF(COUNTIF($A$14:$A537,$A537)=1,COUNTIF($AI$13:AI536,"&gt;0")+1,""))</f>
        <v/>
      </c>
      <c r="AO537" s="27">
        <f>IF($A537="","",IF(AND(COUNTIFS($A$14:$A$1213,$A537,$F$14:$F$1213,"&gt;=0")=2,IFERROR(INDEX($M$14:$M$313,MATCH($A537,$H$14:$H$313,0)),"Yes")&lt;&gt;"Yes"),1,0))</f>
        <v/>
      </c>
    </row>
    <row r="538">
      <c r="A538" s="19">
        <f>IF('Enter messages'!A538="","",'Enter messages'!A538)</f>
        <v/>
      </c>
      <c r="B538" s="20">
        <f>IF('Enter messages'!B538="","",'Enter messages'!B538)</f>
        <v/>
      </c>
      <c r="C538" s="21">
        <f>IFERROR(AVERAGE(P538:T538),"")</f>
        <v/>
      </c>
      <c r="D538" s="29" t="n"/>
      <c r="E538" s="29" t="n"/>
      <c r="F538" s="30">
        <f>IF(AND(ISNUMBER($D538),ISNUMBER($E538),$E538&gt;0,$D538&lt;=$E538),$D538/$E538,"")</f>
        <v/>
      </c>
      <c r="P538" s="26" t="n"/>
      <c r="Q538" s="26" t="n"/>
      <c r="R538" s="26" t="n"/>
      <c r="S538" s="26" t="n"/>
      <c r="T538" s="26" t="n"/>
      <c r="V538" s="27">
        <f>IF(ISNUMBER($C538),COUNTIFS($A$14:$A$1213,$A538,$C$14:$C$1213,"&gt;"&amp;$C538)+(COUNTIFS($A$14:$A$1213,$A538,$C$14:$C$1213,"="&amp;$C538)+1)/2,"")</f>
        <v/>
      </c>
      <c r="W538" s="27">
        <f>IF(ISNUMBER($F538),COUNTIFS($A$14:$A$1213,$A538,$F$14:$F$1213,"&gt;"&amp;$F538)+(COUNTIFS($A$14:$A$1213,$A538,$F$14:$F$1213,"="&amp;$F538)+1)/2,"")</f>
        <v/>
      </c>
      <c r="X538" s="27">
        <f>IF(OR(NOT(ISNUMBER($V538)),$AO538=1),"",$V538-(COUNTIFS($A$14:$A$1213,$A538,$C$14:$C$1213,"&gt;=0")+1)/2)</f>
        <v/>
      </c>
      <c r="Y538" s="27">
        <f>IF(OR(NOT(ISNUMBER($W538)),$AO538=1),"",$W538-(COUNTIFS($A$14:$A$1213,$A538,$F$14:$F$1213,"&gt;=0")+1)/2)</f>
        <v/>
      </c>
      <c r="Z538" s="27">
        <f>IF(ISNUMBER($V538),$A538&amp;"|"&amp;$V538,"")</f>
        <v/>
      </c>
      <c r="AA538" s="27">
        <f>IF(ISNUMBER($W538),$A538&amp;"|"&amp;$W538,"")</f>
        <v/>
      </c>
      <c r="AB538" s="27">
        <f>IF(ISNUMBER($F538),$A538&amp;"|"&amp;$F538,"")</f>
        <v/>
      </c>
      <c r="AC538" s="27">
        <f>IF(ISNUMBER($P538),COUNTIFS($A$14:$A$1213,$A538,$P$14:$P$1213,"&gt;"&amp;$P538)+(COUNTIFS($A$14:$A$1213,$A538,$P$14:$P$1213,"="&amp;$P538)+1)/2,"")</f>
        <v/>
      </c>
      <c r="AD538" s="27">
        <f>IF(ISNUMBER($Q538),COUNTIFS($A$14:$A$1213,$A538,$Q$14:$Q$1213,"&gt;"&amp;$Q538)+(COUNTIFS($A$14:$A$1213,$A538,$Q$14:$Q$1213,"="&amp;$Q538)+1)/2,"")</f>
        <v/>
      </c>
      <c r="AE538" s="27">
        <f>IF(ISNUMBER($R538),COUNTIFS($A$14:$A$1213,$A538,$R$14:$R$1213,"&gt;"&amp;$R538)+(COUNTIFS($A$14:$A$1213,$A538,$R$14:$R$1213,"="&amp;$R538)+1)/2,"")</f>
        <v/>
      </c>
      <c r="AF538" s="27">
        <f>IF(ISNUMBER($S538),COUNTIFS($A$14:$A$1213,$A538,$S$14:$S$1213,"&gt;"&amp;$S538)+(COUNTIFS($A$14:$A$1213,$A538,$S$14:$S$1213,"="&amp;$S538)+1)/2,"")</f>
        <v/>
      </c>
      <c r="AG538" s="27">
        <f>IF(ISNUMBER($T538),COUNTIFS($A$14:$A$1213,$A538,$T$14:$T$1213,"&gt;"&amp;$T538)+(COUNTIFS($A$14:$A$1213,$A538,$T$14:$T$1213,"="&amp;$T538)+1)/2,"")</f>
        <v/>
      </c>
      <c r="AH538" s="27">
        <f>IF(COUNT($AC538:$AG538)&lt;2,"",IF(MAX($AC538:$AG538)=MIN($AC538:$AG538),0,1))</f>
        <v/>
      </c>
      <c r="AI538" s="27">
        <f>IF($A538="","",IF(COUNTIF($A$14:$A538,$A538)=1,COUNTIF($AI$13:AI537,"&gt;0")+1,""))</f>
        <v/>
      </c>
      <c r="AO538" s="27">
        <f>IF($A538="","",IF(AND(COUNTIFS($A$14:$A$1213,$A538,$F$14:$F$1213,"&gt;=0")=2,IFERROR(INDEX($M$14:$M$313,MATCH($A538,$H$14:$H$313,0)),"Yes")&lt;&gt;"Yes"),1,0))</f>
        <v/>
      </c>
    </row>
    <row r="539">
      <c r="A539" s="19">
        <f>IF('Enter messages'!A539="","",'Enter messages'!A539)</f>
        <v/>
      </c>
      <c r="B539" s="20">
        <f>IF('Enter messages'!B539="","",'Enter messages'!B539)</f>
        <v/>
      </c>
      <c r="C539" s="21">
        <f>IFERROR(AVERAGE(P539:T539),"")</f>
        <v/>
      </c>
      <c r="D539" s="29" t="n"/>
      <c r="E539" s="29" t="n"/>
      <c r="F539" s="30">
        <f>IF(AND(ISNUMBER($D539),ISNUMBER($E539),$E539&gt;0,$D539&lt;=$E539),$D539/$E539,"")</f>
        <v/>
      </c>
      <c r="P539" s="26" t="n"/>
      <c r="Q539" s="26" t="n"/>
      <c r="R539" s="26" t="n"/>
      <c r="S539" s="26" t="n"/>
      <c r="T539" s="26" t="n"/>
      <c r="V539" s="27">
        <f>IF(ISNUMBER($C539),COUNTIFS($A$14:$A$1213,$A539,$C$14:$C$1213,"&gt;"&amp;$C539)+(COUNTIFS($A$14:$A$1213,$A539,$C$14:$C$1213,"="&amp;$C539)+1)/2,"")</f>
        <v/>
      </c>
      <c r="W539" s="27">
        <f>IF(ISNUMBER($F539),COUNTIFS($A$14:$A$1213,$A539,$F$14:$F$1213,"&gt;"&amp;$F539)+(COUNTIFS($A$14:$A$1213,$A539,$F$14:$F$1213,"="&amp;$F539)+1)/2,"")</f>
        <v/>
      </c>
      <c r="X539" s="27">
        <f>IF(OR(NOT(ISNUMBER($V539)),$AO539=1),"",$V539-(COUNTIFS($A$14:$A$1213,$A539,$C$14:$C$1213,"&gt;=0")+1)/2)</f>
        <v/>
      </c>
      <c r="Y539" s="27">
        <f>IF(OR(NOT(ISNUMBER($W539)),$AO539=1),"",$W539-(COUNTIFS($A$14:$A$1213,$A539,$F$14:$F$1213,"&gt;=0")+1)/2)</f>
        <v/>
      </c>
      <c r="Z539" s="27">
        <f>IF(ISNUMBER($V539),$A539&amp;"|"&amp;$V539,"")</f>
        <v/>
      </c>
      <c r="AA539" s="27">
        <f>IF(ISNUMBER($W539),$A539&amp;"|"&amp;$W539,"")</f>
        <v/>
      </c>
      <c r="AB539" s="27">
        <f>IF(ISNUMBER($F539),$A539&amp;"|"&amp;$F539,"")</f>
        <v/>
      </c>
      <c r="AC539" s="27">
        <f>IF(ISNUMBER($P539),COUNTIFS($A$14:$A$1213,$A539,$P$14:$P$1213,"&gt;"&amp;$P539)+(COUNTIFS($A$14:$A$1213,$A539,$P$14:$P$1213,"="&amp;$P539)+1)/2,"")</f>
        <v/>
      </c>
      <c r="AD539" s="27">
        <f>IF(ISNUMBER($Q539),COUNTIFS($A$14:$A$1213,$A539,$Q$14:$Q$1213,"&gt;"&amp;$Q539)+(COUNTIFS($A$14:$A$1213,$A539,$Q$14:$Q$1213,"="&amp;$Q539)+1)/2,"")</f>
        <v/>
      </c>
      <c r="AE539" s="27">
        <f>IF(ISNUMBER($R539),COUNTIFS($A$14:$A$1213,$A539,$R$14:$R$1213,"&gt;"&amp;$R539)+(COUNTIFS($A$14:$A$1213,$A539,$R$14:$R$1213,"="&amp;$R539)+1)/2,"")</f>
        <v/>
      </c>
      <c r="AF539" s="27">
        <f>IF(ISNUMBER($S539),COUNTIFS($A$14:$A$1213,$A539,$S$14:$S$1213,"&gt;"&amp;$S539)+(COUNTIFS($A$14:$A$1213,$A539,$S$14:$S$1213,"="&amp;$S539)+1)/2,"")</f>
        <v/>
      </c>
      <c r="AG539" s="27">
        <f>IF(ISNUMBER($T539),COUNTIFS($A$14:$A$1213,$A539,$T$14:$T$1213,"&gt;"&amp;$T539)+(COUNTIFS($A$14:$A$1213,$A539,$T$14:$T$1213,"="&amp;$T539)+1)/2,"")</f>
        <v/>
      </c>
      <c r="AH539" s="27">
        <f>IF(COUNT($AC539:$AG539)&lt;2,"",IF(MAX($AC539:$AG539)=MIN($AC539:$AG539),0,1))</f>
        <v/>
      </c>
      <c r="AI539" s="27">
        <f>IF($A539="","",IF(COUNTIF($A$14:$A539,$A539)=1,COUNTIF($AI$13:AI538,"&gt;0")+1,""))</f>
        <v/>
      </c>
      <c r="AO539" s="27">
        <f>IF($A539="","",IF(AND(COUNTIFS($A$14:$A$1213,$A539,$F$14:$F$1213,"&gt;=0")=2,IFERROR(INDEX($M$14:$M$313,MATCH($A539,$H$14:$H$313,0)),"Yes")&lt;&gt;"Yes"),1,0))</f>
        <v/>
      </c>
    </row>
    <row r="540">
      <c r="A540" s="19">
        <f>IF('Enter messages'!A540="","",'Enter messages'!A540)</f>
        <v/>
      </c>
      <c r="B540" s="20">
        <f>IF('Enter messages'!B540="","",'Enter messages'!B540)</f>
        <v/>
      </c>
      <c r="C540" s="21">
        <f>IFERROR(AVERAGE(P540:T540),"")</f>
        <v/>
      </c>
      <c r="D540" s="29" t="n"/>
      <c r="E540" s="29" t="n"/>
      <c r="F540" s="30">
        <f>IF(AND(ISNUMBER($D540),ISNUMBER($E540),$E540&gt;0,$D540&lt;=$E540),$D540/$E540,"")</f>
        <v/>
      </c>
      <c r="P540" s="26" t="n"/>
      <c r="Q540" s="26" t="n"/>
      <c r="R540" s="26" t="n"/>
      <c r="S540" s="26" t="n"/>
      <c r="T540" s="26" t="n"/>
      <c r="V540" s="27">
        <f>IF(ISNUMBER($C540),COUNTIFS($A$14:$A$1213,$A540,$C$14:$C$1213,"&gt;"&amp;$C540)+(COUNTIFS($A$14:$A$1213,$A540,$C$14:$C$1213,"="&amp;$C540)+1)/2,"")</f>
        <v/>
      </c>
      <c r="W540" s="27">
        <f>IF(ISNUMBER($F540),COUNTIFS($A$14:$A$1213,$A540,$F$14:$F$1213,"&gt;"&amp;$F540)+(COUNTIFS($A$14:$A$1213,$A540,$F$14:$F$1213,"="&amp;$F540)+1)/2,"")</f>
        <v/>
      </c>
      <c r="X540" s="27">
        <f>IF(OR(NOT(ISNUMBER($V540)),$AO540=1),"",$V540-(COUNTIFS($A$14:$A$1213,$A540,$C$14:$C$1213,"&gt;=0")+1)/2)</f>
        <v/>
      </c>
      <c r="Y540" s="27">
        <f>IF(OR(NOT(ISNUMBER($W540)),$AO540=1),"",$W540-(COUNTIFS($A$14:$A$1213,$A540,$F$14:$F$1213,"&gt;=0")+1)/2)</f>
        <v/>
      </c>
      <c r="Z540" s="27">
        <f>IF(ISNUMBER($V540),$A540&amp;"|"&amp;$V540,"")</f>
        <v/>
      </c>
      <c r="AA540" s="27">
        <f>IF(ISNUMBER($W540),$A540&amp;"|"&amp;$W540,"")</f>
        <v/>
      </c>
      <c r="AB540" s="27">
        <f>IF(ISNUMBER($F540),$A540&amp;"|"&amp;$F540,"")</f>
        <v/>
      </c>
      <c r="AC540" s="27">
        <f>IF(ISNUMBER($P540),COUNTIFS($A$14:$A$1213,$A540,$P$14:$P$1213,"&gt;"&amp;$P540)+(COUNTIFS($A$14:$A$1213,$A540,$P$14:$P$1213,"="&amp;$P540)+1)/2,"")</f>
        <v/>
      </c>
      <c r="AD540" s="27">
        <f>IF(ISNUMBER($Q540),COUNTIFS($A$14:$A$1213,$A540,$Q$14:$Q$1213,"&gt;"&amp;$Q540)+(COUNTIFS($A$14:$A$1213,$A540,$Q$14:$Q$1213,"="&amp;$Q540)+1)/2,"")</f>
        <v/>
      </c>
      <c r="AE540" s="27">
        <f>IF(ISNUMBER($R540),COUNTIFS($A$14:$A$1213,$A540,$R$14:$R$1213,"&gt;"&amp;$R540)+(COUNTIFS($A$14:$A$1213,$A540,$R$14:$R$1213,"="&amp;$R540)+1)/2,"")</f>
        <v/>
      </c>
      <c r="AF540" s="27">
        <f>IF(ISNUMBER($S540),COUNTIFS($A$14:$A$1213,$A540,$S$14:$S$1213,"&gt;"&amp;$S540)+(COUNTIFS($A$14:$A$1213,$A540,$S$14:$S$1213,"="&amp;$S540)+1)/2,"")</f>
        <v/>
      </c>
      <c r="AG540" s="27">
        <f>IF(ISNUMBER($T540),COUNTIFS($A$14:$A$1213,$A540,$T$14:$T$1213,"&gt;"&amp;$T540)+(COUNTIFS($A$14:$A$1213,$A540,$T$14:$T$1213,"="&amp;$T540)+1)/2,"")</f>
        <v/>
      </c>
      <c r="AH540" s="27">
        <f>IF(COUNT($AC540:$AG540)&lt;2,"",IF(MAX($AC540:$AG540)=MIN($AC540:$AG540),0,1))</f>
        <v/>
      </c>
      <c r="AI540" s="27">
        <f>IF($A540="","",IF(COUNTIF($A$14:$A540,$A540)=1,COUNTIF($AI$13:AI539,"&gt;0")+1,""))</f>
        <v/>
      </c>
      <c r="AO540" s="27">
        <f>IF($A540="","",IF(AND(COUNTIFS($A$14:$A$1213,$A540,$F$14:$F$1213,"&gt;=0")=2,IFERROR(INDEX($M$14:$M$313,MATCH($A540,$H$14:$H$313,0)),"Yes")&lt;&gt;"Yes"),1,0))</f>
        <v/>
      </c>
    </row>
    <row r="541">
      <c r="A541" s="19">
        <f>IF('Enter messages'!A541="","",'Enter messages'!A541)</f>
        <v/>
      </c>
      <c r="B541" s="20">
        <f>IF('Enter messages'!B541="","",'Enter messages'!B541)</f>
        <v/>
      </c>
      <c r="C541" s="21">
        <f>IFERROR(AVERAGE(P541:T541),"")</f>
        <v/>
      </c>
      <c r="D541" s="29" t="n"/>
      <c r="E541" s="29" t="n"/>
      <c r="F541" s="30">
        <f>IF(AND(ISNUMBER($D541),ISNUMBER($E541),$E541&gt;0,$D541&lt;=$E541),$D541/$E541,"")</f>
        <v/>
      </c>
      <c r="P541" s="26" t="n"/>
      <c r="Q541" s="26" t="n"/>
      <c r="R541" s="26" t="n"/>
      <c r="S541" s="26" t="n"/>
      <c r="T541" s="26" t="n"/>
      <c r="V541" s="27">
        <f>IF(ISNUMBER($C541),COUNTIFS($A$14:$A$1213,$A541,$C$14:$C$1213,"&gt;"&amp;$C541)+(COUNTIFS($A$14:$A$1213,$A541,$C$14:$C$1213,"="&amp;$C541)+1)/2,"")</f>
        <v/>
      </c>
      <c r="W541" s="27">
        <f>IF(ISNUMBER($F541),COUNTIFS($A$14:$A$1213,$A541,$F$14:$F$1213,"&gt;"&amp;$F541)+(COUNTIFS($A$14:$A$1213,$A541,$F$14:$F$1213,"="&amp;$F541)+1)/2,"")</f>
        <v/>
      </c>
      <c r="X541" s="27">
        <f>IF(OR(NOT(ISNUMBER($V541)),$AO541=1),"",$V541-(COUNTIFS($A$14:$A$1213,$A541,$C$14:$C$1213,"&gt;=0")+1)/2)</f>
        <v/>
      </c>
      <c r="Y541" s="27">
        <f>IF(OR(NOT(ISNUMBER($W541)),$AO541=1),"",$W541-(COUNTIFS($A$14:$A$1213,$A541,$F$14:$F$1213,"&gt;=0")+1)/2)</f>
        <v/>
      </c>
      <c r="Z541" s="27">
        <f>IF(ISNUMBER($V541),$A541&amp;"|"&amp;$V541,"")</f>
        <v/>
      </c>
      <c r="AA541" s="27">
        <f>IF(ISNUMBER($W541),$A541&amp;"|"&amp;$W541,"")</f>
        <v/>
      </c>
      <c r="AB541" s="27">
        <f>IF(ISNUMBER($F541),$A541&amp;"|"&amp;$F541,"")</f>
        <v/>
      </c>
      <c r="AC541" s="27">
        <f>IF(ISNUMBER($P541),COUNTIFS($A$14:$A$1213,$A541,$P$14:$P$1213,"&gt;"&amp;$P541)+(COUNTIFS($A$14:$A$1213,$A541,$P$14:$P$1213,"="&amp;$P541)+1)/2,"")</f>
        <v/>
      </c>
      <c r="AD541" s="27">
        <f>IF(ISNUMBER($Q541),COUNTIFS($A$14:$A$1213,$A541,$Q$14:$Q$1213,"&gt;"&amp;$Q541)+(COUNTIFS($A$14:$A$1213,$A541,$Q$14:$Q$1213,"="&amp;$Q541)+1)/2,"")</f>
        <v/>
      </c>
      <c r="AE541" s="27">
        <f>IF(ISNUMBER($R541),COUNTIFS($A$14:$A$1213,$A541,$R$14:$R$1213,"&gt;"&amp;$R541)+(COUNTIFS($A$14:$A$1213,$A541,$R$14:$R$1213,"="&amp;$R541)+1)/2,"")</f>
        <v/>
      </c>
      <c r="AF541" s="27">
        <f>IF(ISNUMBER($S541),COUNTIFS($A$14:$A$1213,$A541,$S$14:$S$1213,"&gt;"&amp;$S541)+(COUNTIFS($A$14:$A$1213,$A541,$S$14:$S$1213,"="&amp;$S541)+1)/2,"")</f>
        <v/>
      </c>
      <c r="AG541" s="27">
        <f>IF(ISNUMBER($T541),COUNTIFS($A$14:$A$1213,$A541,$T$14:$T$1213,"&gt;"&amp;$T541)+(COUNTIFS($A$14:$A$1213,$A541,$T$14:$T$1213,"="&amp;$T541)+1)/2,"")</f>
        <v/>
      </c>
      <c r="AH541" s="27">
        <f>IF(COUNT($AC541:$AG541)&lt;2,"",IF(MAX($AC541:$AG541)=MIN($AC541:$AG541),0,1))</f>
        <v/>
      </c>
      <c r="AI541" s="27">
        <f>IF($A541="","",IF(COUNTIF($A$14:$A541,$A541)=1,COUNTIF($AI$13:AI540,"&gt;0")+1,""))</f>
        <v/>
      </c>
      <c r="AO541" s="27">
        <f>IF($A541="","",IF(AND(COUNTIFS($A$14:$A$1213,$A541,$F$14:$F$1213,"&gt;=0")=2,IFERROR(INDEX($M$14:$M$313,MATCH($A541,$H$14:$H$313,0)),"Yes")&lt;&gt;"Yes"),1,0))</f>
        <v/>
      </c>
    </row>
    <row r="542">
      <c r="A542" s="19">
        <f>IF('Enter messages'!A542="","",'Enter messages'!A542)</f>
        <v/>
      </c>
      <c r="B542" s="20">
        <f>IF('Enter messages'!B542="","",'Enter messages'!B542)</f>
        <v/>
      </c>
      <c r="C542" s="21">
        <f>IFERROR(AVERAGE(P542:T542),"")</f>
        <v/>
      </c>
      <c r="D542" s="29" t="n"/>
      <c r="E542" s="29" t="n"/>
      <c r="F542" s="30">
        <f>IF(AND(ISNUMBER($D542),ISNUMBER($E542),$E542&gt;0,$D542&lt;=$E542),$D542/$E542,"")</f>
        <v/>
      </c>
      <c r="P542" s="26" t="n"/>
      <c r="Q542" s="26" t="n"/>
      <c r="R542" s="26" t="n"/>
      <c r="S542" s="26" t="n"/>
      <c r="T542" s="26" t="n"/>
      <c r="V542" s="27">
        <f>IF(ISNUMBER($C542),COUNTIFS($A$14:$A$1213,$A542,$C$14:$C$1213,"&gt;"&amp;$C542)+(COUNTIFS($A$14:$A$1213,$A542,$C$14:$C$1213,"="&amp;$C542)+1)/2,"")</f>
        <v/>
      </c>
      <c r="W542" s="27">
        <f>IF(ISNUMBER($F542),COUNTIFS($A$14:$A$1213,$A542,$F$14:$F$1213,"&gt;"&amp;$F542)+(COUNTIFS($A$14:$A$1213,$A542,$F$14:$F$1213,"="&amp;$F542)+1)/2,"")</f>
        <v/>
      </c>
      <c r="X542" s="27">
        <f>IF(OR(NOT(ISNUMBER($V542)),$AO542=1),"",$V542-(COUNTIFS($A$14:$A$1213,$A542,$C$14:$C$1213,"&gt;=0")+1)/2)</f>
        <v/>
      </c>
      <c r="Y542" s="27">
        <f>IF(OR(NOT(ISNUMBER($W542)),$AO542=1),"",$W542-(COUNTIFS($A$14:$A$1213,$A542,$F$14:$F$1213,"&gt;=0")+1)/2)</f>
        <v/>
      </c>
      <c r="Z542" s="27">
        <f>IF(ISNUMBER($V542),$A542&amp;"|"&amp;$V542,"")</f>
        <v/>
      </c>
      <c r="AA542" s="27">
        <f>IF(ISNUMBER($W542),$A542&amp;"|"&amp;$W542,"")</f>
        <v/>
      </c>
      <c r="AB542" s="27">
        <f>IF(ISNUMBER($F542),$A542&amp;"|"&amp;$F542,"")</f>
        <v/>
      </c>
      <c r="AC542" s="27">
        <f>IF(ISNUMBER($P542),COUNTIFS($A$14:$A$1213,$A542,$P$14:$P$1213,"&gt;"&amp;$P542)+(COUNTIFS($A$14:$A$1213,$A542,$P$14:$P$1213,"="&amp;$P542)+1)/2,"")</f>
        <v/>
      </c>
      <c r="AD542" s="27">
        <f>IF(ISNUMBER($Q542),COUNTIFS($A$14:$A$1213,$A542,$Q$14:$Q$1213,"&gt;"&amp;$Q542)+(COUNTIFS($A$14:$A$1213,$A542,$Q$14:$Q$1213,"="&amp;$Q542)+1)/2,"")</f>
        <v/>
      </c>
      <c r="AE542" s="27">
        <f>IF(ISNUMBER($R542),COUNTIFS($A$14:$A$1213,$A542,$R$14:$R$1213,"&gt;"&amp;$R542)+(COUNTIFS($A$14:$A$1213,$A542,$R$14:$R$1213,"="&amp;$R542)+1)/2,"")</f>
        <v/>
      </c>
      <c r="AF542" s="27">
        <f>IF(ISNUMBER($S542),COUNTIFS($A$14:$A$1213,$A542,$S$14:$S$1213,"&gt;"&amp;$S542)+(COUNTIFS($A$14:$A$1213,$A542,$S$14:$S$1213,"="&amp;$S542)+1)/2,"")</f>
        <v/>
      </c>
      <c r="AG542" s="27">
        <f>IF(ISNUMBER($T542),COUNTIFS($A$14:$A$1213,$A542,$T$14:$T$1213,"&gt;"&amp;$T542)+(COUNTIFS($A$14:$A$1213,$A542,$T$14:$T$1213,"="&amp;$T542)+1)/2,"")</f>
        <v/>
      </c>
      <c r="AH542" s="27">
        <f>IF(COUNT($AC542:$AG542)&lt;2,"",IF(MAX($AC542:$AG542)=MIN($AC542:$AG542),0,1))</f>
        <v/>
      </c>
      <c r="AI542" s="27">
        <f>IF($A542="","",IF(COUNTIF($A$14:$A542,$A542)=1,COUNTIF($AI$13:AI541,"&gt;0")+1,""))</f>
        <v/>
      </c>
      <c r="AO542" s="27">
        <f>IF($A542="","",IF(AND(COUNTIFS($A$14:$A$1213,$A542,$F$14:$F$1213,"&gt;=0")=2,IFERROR(INDEX($M$14:$M$313,MATCH($A542,$H$14:$H$313,0)),"Yes")&lt;&gt;"Yes"),1,0))</f>
        <v/>
      </c>
    </row>
    <row r="543">
      <c r="A543" s="19">
        <f>IF('Enter messages'!A543="","",'Enter messages'!A543)</f>
        <v/>
      </c>
      <c r="B543" s="20">
        <f>IF('Enter messages'!B543="","",'Enter messages'!B543)</f>
        <v/>
      </c>
      <c r="C543" s="21">
        <f>IFERROR(AVERAGE(P543:T543),"")</f>
        <v/>
      </c>
      <c r="D543" s="29" t="n"/>
      <c r="E543" s="29" t="n"/>
      <c r="F543" s="30">
        <f>IF(AND(ISNUMBER($D543),ISNUMBER($E543),$E543&gt;0,$D543&lt;=$E543),$D543/$E543,"")</f>
        <v/>
      </c>
      <c r="P543" s="26" t="n"/>
      <c r="Q543" s="26" t="n"/>
      <c r="R543" s="26" t="n"/>
      <c r="S543" s="26" t="n"/>
      <c r="T543" s="26" t="n"/>
      <c r="V543" s="27">
        <f>IF(ISNUMBER($C543),COUNTIFS($A$14:$A$1213,$A543,$C$14:$C$1213,"&gt;"&amp;$C543)+(COUNTIFS($A$14:$A$1213,$A543,$C$14:$C$1213,"="&amp;$C543)+1)/2,"")</f>
        <v/>
      </c>
      <c r="W543" s="27">
        <f>IF(ISNUMBER($F543),COUNTIFS($A$14:$A$1213,$A543,$F$14:$F$1213,"&gt;"&amp;$F543)+(COUNTIFS($A$14:$A$1213,$A543,$F$14:$F$1213,"="&amp;$F543)+1)/2,"")</f>
        <v/>
      </c>
      <c r="X543" s="27">
        <f>IF(OR(NOT(ISNUMBER($V543)),$AO543=1),"",$V543-(COUNTIFS($A$14:$A$1213,$A543,$C$14:$C$1213,"&gt;=0")+1)/2)</f>
        <v/>
      </c>
      <c r="Y543" s="27">
        <f>IF(OR(NOT(ISNUMBER($W543)),$AO543=1),"",$W543-(COUNTIFS($A$14:$A$1213,$A543,$F$14:$F$1213,"&gt;=0")+1)/2)</f>
        <v/>
      </c>
      <c r="Z543" s="27">
        <f>IF(ISNUMBER($V543),$A543&amp;"|"&amp;$V543,"")</f>
        <v/>
      </c>
      <c r="AA543" s="27">
        <f>IF(ISNUMBER($W543),$A543&amp;"|"&amp;$W543,"")</f>
        <v/>
      </c>
      <c r="AB543" s="27">
        <f>IF(ISNUMBER($F543),$A543&amp;"|"&amp;$F543,"")</f>
        <v/>
      </c>
      <c r="AC543" s="27">
        <f>IF(ISNUMBER($P543),COUNTIFS($A$14:$A$1213,$A543,$P$14:$P$1213,"&gt;"&amp;$P543)+(COUNTIFS($A$14:$A$1213,$A543,$P$14:$P$1213,"="&amp;$P543)+1)/2,"")</f>
        <v/>
      </c>
      <c r="AD543" s="27">
        <f>IF(ISNUMBER($Q543),COUNTIFS($A$14:$A$1213,$A543,$Q$14:$Q$1213,"&gt;"&amp;$Q543)+(COUNTIFS($A$14:$A$1213,$A543,$Q$14:$Q$1213,"="&amp;$Q543)+1)/2,"")</f>
        <v/>
      </c>
      <c r="AE543" s="27">
        <f>IF(ISNUMBER($R543),COUNTIFS($A$14:$A$1213,$A543,$R$14:$R$1213,"&gt;"&amp;$R543)+(COUNTIFS($A$14:$A$1213,$A543,$R$14:$R$1213,"="&amp;$R543)+1)/2,"")</f>
        <v/>
      </c>
      <c r="AF543" s="27">
        <f>IF(ISNUMBER($S543),COUNTIFS($A$14:$A$1213,$A543,$S$14:$S$1213,"&gt;"&amp;$S543)+(COUNTIFS($A$14:$A$1213,$A543,$S$14:$S$1213,"="&amp;$S543)+1)/2,"")</f>
        <v/>
      </c>
      <c r="AG543" s="27">
        <f>IF(ISNUMBER($T543),COUNTIFS($A$14:$A$1213,$A543,$T$14:$T$1213,"&gt;"&amp;$T543)+(COUNTIFS($A$14:$A$1213,$A543,$T$14:$T$1213,"="&amp;$T543)+1)/2,"")</f>
        <v/>
      </c>
      <c r="AH543" s="27">
        <f>IF(COUNT($AC543:$AG543)&lt;2,"",IF(MAX($AC543:$AG543)=MIN($AC543:$AG543),0,1))</f>
        <v/>
      </c>
      <c r="AI543" s="27">
        <f>IF($A543="","",IF(COUNTIF($A$14:$A543,$A543)=1,COUNTIF($AI$13:AI542,"&gt;0")+1,""))</f>
        <v/>
      </c>
      <c r="AO543" s="27">
        <f>IF($A543="","",IF(AND(COUNTIFS($A$14:$A$1213,$A543,$F$14:$F$1213,"&gt;=0")=2,IFERROR(INDEX($M$14:$M$313,MATCH($A543,$H$14:$H$313,0)),"Yes")&lt;&gt;"Yes"),1,0))</f>
        <v/>
      </c>
    </row>
    <row r="544">
      <c r="A544" s="19">
        <f>IF('Enter messages'!A544="","",'Enter messages'!A544)</f>
        <v/>
      </c>
      <c r="B544" s="20">
        <f>IF('Enter messages'!B544="","",'Enter messages'!B544)</f>
        <v/>
      </c>
      <c r="C544" s="21">
        <f>IFERROR(AVERAGE(P544:T544),"")</f>
        <v/>
      </c>
      <c r="D544" s="29" t="n"/>
      <c r="E544" s="29" t="n"/>
      <c r="F544" s="30">
        <f>IF(AND(ISNUMBER($D544),ISNUMBER($E544),$E544&gt;0,$D544&lt;=$E544),$D544/$E544,"")</f>
        <v/>
      </c>
      <c r="P544" s="26" t="n"/>
      <c r="Q544" s="26" t="n"/>
      <c r="R544" s="26" t="n"/>
      <c r="S544" s="26" t="n"/>
      <c r="T544" s="26" t="n"/>
      <c r="V544" s="27">
        <f>IF(ISNUMBER($C544),COUNTIFS($A$14:$A$1213,$A544,$C$14:$C$1213,"&gt;"&amp;$C544)+(COUNTIFS($A$14:$A$1213,$A544,$C$14:$C$1213,"="&amp;$C544)+1)/2,"")</f>
        <v/>
      </c>
      <c r="W544" s="27">
        <f>IF(ISNUMBER($F544),COUNTIFS($A$14:$A$1213,$A544,$F$14:$F$1213,"&gt;"&amp;$F544)+(COUNTIFS($A$14:$A$1213,$A544,$F$14:$F$1213,"="&amp;$F544)+1)/2,"")</f>
        <v/>
      </c>
      <c r="X544" s="27">
        <f>IF(OR(NOT(ISNUMBER($V544)),$AO544=1),"",$V544-(COUNTIFS($A$14:$A$1213,$A544,$C$14:$C$1213,"&gt;=0")+1)/2)</f>
        <v/>
      </c>
      <c r="Y544" s="27">
        <f>IF(OR(NOT(ISNUMBER($W544)),$AO544=1),"",$W544-(COUNTIFS($A$14:$A$1213,$A544,$F$14:$F$1213,"&gt;=0")+1)/2)</f>
        <v/>
      </c>
      <c r="Z544" s="27">
        <f>IF(ISNUMBER($V544),$A544&amp;"|"&amp;$V544,"")</f>
        <v/>
      </c>
      <c r="AA544" s="27">
        <f>IF(ISNUMBER($W544),$A544&amp;"|"&amp;$W544,"")</f>
        <v/>
      </c>
      <c r="AB544" s="27">
        <f>IF(ISNUMBER($F544),$A544&amp;"|"&amp;$F544,"")</f>
        <v/>
      </c>
      <c r="AC544" s="27">
        <f>IF(ISNUMBER($P544),COUNTIFS($A$14:$A$1213,$A544,$P$14:$P$1213,"&gt;"&amp;$P544)+(COUNTIFS($A$14:$A$1213,$A544,$P$14:$P$1213,"="&amp;$P544)+1)/2,"")</f>
        <v/>
      </c>
      <c r="AD544" s="27">
        <f>IF(ISNUMBER($Q544),COUNTIFS($A$14:$A$1213,$A544,$Q$14:$Q$1213,"&gt;"&amp;$Q544)+(COUNTIFS($A$14:$A$1213,$A544,$Q$14:$Q$1213,"="&amp;$Q544)+1)/2,"")</f>
        <v/>
      </c>
      <c r="AE544" s="27">
        <f>IF(ISNUMBER($R544),COUNTIFS($A$14:$A$1213,$A544,$R$14:$R$1213,"&gt;"&amp;$R544)+(COUNTIFS($A$14:$A$1213,$A544,$R$14:$R$1213,"="&amp;$R544)+1)/2,"")</f>
        <v/>
      </c>
      <c r="AF544" s="27">
        <f>IF(ISNUMBER($S544),COUNTIFS($A$14:$A$1213,$A544,$S$14:$S$1213,"&gt;"&amp;$S544)+(COUNTIFS($A$14:$A$1213,$A544,$S$14:$S$1213,"="&amp;$S544)+1)/2,"")</f>
        <v/>
      </c>
      <c r="AG544" s="27">
        <f>IF(ISNUMBER($T544),COUNTIFS($A$14:$A$1213,$A544,$T$14:$T$1213,"&gt;"&amp;$T544)+(COUNTIFS($A$14:$A$1213,$A544,$T$14:$T$1213,"="&amp;$T544)+1)/2,"")</f>
        <v/>
      </c>
      <c r="AH544" s="27">
        <f>IF(COUNT($AC544:$AG544)&lt;2,"",IF(MAX($AC544:$AG544)=MIN($AC544:$AG544),0,1))</f>
        <v/>
      </c>
      <c r="AI544" s="27">
        <f>IF($A544="","",IF(COUNTIF($A$14:$A544,$A544)=1,COUNTIF($AI$13:AI543,"&gt;0")+1,""))</f>
        <v/>
      </c>
      <c r="AO544" s="27">
        <f>IF($A544="","",IF(AND(COUNTIFS($A$14:$A$1213,$A544,$F$14:$F$1213,"&gt;=0")=2,IFERROR(INDEX($M$14:$M$313,MATCH($A544,$H$14:$H$313,0)),"Yes")&lt;&gt;"Yes"),1,0))</f>
        <v/>
      </c>
    </row>
    <row r="545">
      <c r="A545" s="19">
        <f>IF('Enter messages'!A545="","",'Enter messages'!A545)</f>
        <v/>
      </c>
      <c r="B545" s="20">
        <f>IF('Enter messages'!B545="","",'Enter messages'!B545)</f>
        <v/>
      </c>
      <c r="C545" s="21">
        <f>IFERROR(AVERAGE(P545:T545),"")</f>
        <v/>
      </c>
      <c r="D545" s="29" t="n"/>
      <c r="E545" s="29" t="n"/>
      <c r="F545" s="30">
        <f>IF(AND(ISNUMBER($D545),ISNUMBER($E545),$E545&gt;0,$D545&lt;=$E545),$D545/$E545,"")</f>
        <v/>
      </c>
      <c r="P545" s="26" t="n"/>
      <c r="Q545" s="26" t="n"/>
      <c r="R545" s="26" t="n"/>
      <c r="S545" s="26" t="n"/>
      <c r="T545" s="26" t="n"/>
      <c r="V545" s="27">
        <f>IF(ISNUMBER($C545),COUNTIFS($A$14:$A$1213,$A545,$C$14:$C$1213,"&gt;"&amp;$C545)+(COUNTIFS($A$14:$A$1213,$A545,$C$14:$C$1213,"="&amp;$C545)+1)/2,"")</f>
        <v/>
      </c>
      <c r="W545" s="27">
        <f>IF(ISNUMBER($F545),COUNTIFS($A$14:$A$1213,$A545,$F$14:$F$1213,"&gt;"&amp;$F545)+(COUNTIFS($A$14:$A$1213,$A545,$F$14:$F$1213,"="&amp;$F545)+1)/2,"")</f>
        <v/>
      </c>
      <c r="X545" s="27">
        <f>IF(OR(NOT(ISNUMBER($V545)),$AO545=1),"",$V545-(COUNTIFS($A$14:$A$1213,$A545,$C$14:$C$1213,"&gt;=0")+1)/2)</f>
        <v/>
      </c>
      <c r="Y545" s="27">
        <f>IF(OR(NOT(ISNUMBER($W545)),$AO545=1),"",$W545-(COUNTIFS($A$14:$A$1213,$A545,$F$14:$F$1213,"&gt;=0")+1)/2)</f>
        <v/>
      </c>
      <c r="Z545" s="27">
        <f>IF(ISNUMBER($V545),$A545&amp;"|"&amp;$V545,"")</f>
        <v/>
      </c>
      <c r="AA545" s="27">
        <f>IF(ISNUMBER($W545),$A545&amp;"|"&amp;$W545,"")</f>
        <v/>
      </c>
      <c r="AB545" s="27">
        <f>IF(ISNUMBER($F545),$A545&amp;"|"&amp;$F545,"")</f>
        <v/>
      </c>
      <c r="AC545" s="27">
        <f>IF(ISNUMBER($P545),COUNTIFS($A$14:$A$1213,$A545,$P$14:$P$1213,"&gt;"&amp;$P545)+(COUNTIFS($A$14:$A$1213,$A545,$P$14:$P$1213,"="&amp;$P545)+1)/2,"")</f>
        <v/>
      </c>
      <c r="AD545" s="27">
        <f>IF(ISNUMBER($Q545),COUNTIFS($A$14:$A$1213,$A545,$Q$14:$Q$1213,"&gt;"&amp;$Q545)+(COUNTIFS($A$14:$A$1213,$A545,$Q$14:$Q$1213,"="&amp;$Q545)+1)/2,"")</f>
        <v/>
      </c>
      <c r="AE545" s="27">
        <f>IF(ISNUMBER($R545),COUNTIFS($A$14:$A$1213,$A545,$R$14:$R$1213,"&gt;"&amp;$R545)+(COUNTIFS($A$14:$A$1213,$A545,$R$14:$R$1213,"="&amp;$R545)+1)/2,"")</f>
        <v/>
      </c>
      <c r="AF545" s="27">
        <f>IF(ISNUMBER($S545),COUNTIFS($A$14:$A$1213,$A545,$S$14:$S$1213,"&gt;"&amp;$S545)+(COUNTIFS($A$14:$A$1213,$A545,$S$14:$S$1213,"="&amp;$S545)+1)/2,"")</f>
        <v/>
      </c>
      <c r="AG545" s="27">
        <f>IF(ISNUMBER($T545),COUNTIFS($A$14:$A$1213,$A545,$T$14:$T$1213,"&gt;"&amp;$T545)+(COUNTIFS($A$14:$A$1213,$A545,$T$14:$T$1213,"="&amp;$T545)+1)/2,"")</f>
        <v/>
      </c>
      <c r="AH545" s="27">
        <f>IF(COUNT($AC545:$AG545)&lt;2,"",IF(MAX($AC545:$AG545)=MIN($AC545:$AG545),0,1))</f>
        <v/>
      </c>
      <c r="AI545" s="27">
        <f>IF($A545="","",IF(COUNTIF($A$14:$A545,$A545)=1,COUNTIF($AI$13:AI544,"&gt;0")+1,""))</f>
        <v/>
      </c>
      <c r="AO545" s="27">
        <f>IF($A545="","",IF(AND(COUNTIFS($A$14:$A$1213,$A545,$F$14:$F$1213,"&gt;=0")=2,IFERROR(INDEX($M$14:$M$313,MATCH($A545,$H$14:$H$313,0)),"Yes")&lt;&gt;"Yes"),1,0))</f>
        <v/>
      </c>
    </row>
    <row r="546">
      <c r="A546" s="19">
        <f>IF('Enter messages'!A546="","",'Enter messages'!A546)</f>
        <v/>
      </c>
      <c r="B546" s="20">
        <f>IF('Enter messages'!B546="","",'Enter messages'!B546)</f>
        <v/>
      </c>
      <c r="C546" s="21">
        <f>IFERROR(AVERAGE(P546:T546),"")</f>
        <v/>
      </c>
      <c r="D546" s="29" t="n"/>
      <c r="E546" s="29" t="n"/>
      <c r="F546" s="30">
        <f>IF(AND(ISNUMBER($D546),ISNUMBER($E546),$E546&gt;0,$D546&lt;=$E546),$D546/$E546,"")</f>
        <v/>
      </c>
      <c r="P546" s="26" t="n"/>
      <c r="Q546" s="26" t="n"/>
      <c r="R546" s="26" t="n"/>
      <c r="S546" s="26" t="n"/>
      <c r="T546" s="26" t="n"/>
      <c r="V546" s="27">
        <f>IF(ISNUMBER($C546),COUNTIFS($A$14:$A$1213,$A546,$C$14:$C$1213,"&gt;"&amp;$C546)+(COUNTIFS($A$14:$A$1213,$A546,$C$14:$C$1213,"="&amp;$C546)+1)/2,"")</f>
        <v/>
      </c>
      <c r="W546" s="27">
        <f>IF(ISNUMBER($F546),COUNTIFS($A$14:$A$1213,$A546,$F$14:$F$1213,"&gt;"&amp;$F546)+(COUNTIFS($A$14:$A$1213,$A546,$F$14:$F$1213,"="&amp;$F546)+1)/2,"")</f>
        <v/>
      </c>
      <c r="X546" s="27">
        <f>IF(OR(NOT(ISNUMBER($V546)),$AO546=1),"",$V546-(COUNTIFS($A$14:$A$1213,$A546,$C$14:$C$1213,"&gt;=0")+1)/2)</f>
        <v/>
      </c>
      <c r="Y546" s="27">
        <f>IF(OR(NOT(ISNUMBER($W546)),$AO546=1),"",$W546-(COUNTIFS($A$14:$A$1213,$A546,$F$14:$F$1213,"&gt;=0")+1)/2)</f>
        <v/>
      </c>
      <c r="Z546" s="27">
        <f>IF(ISNUMBER($V546),$A546&amp;"|"&amp;$V546,"")</f>
        <v/>
      </c>
      <c r="AA546" s="27">
        <f>IF(ISNUMBER($W546),$A546&amp;"|"&amp;$W546,"")</f>
        <v/>
      </c>
      <c r="AB546" s="27">
        <f>IF(ISNUMBER($F546),$A546&amp;"|"&amp;$F546,"")</f>
        <v/>
      </c>
      <c r="AC546" s="27">
        <f>IF(ISNUMBER($P546),COUNTIFS($A$14:$A$1213,$A546,$P$14:$P$1213,"&gt;"&amp;$P546)+(COUNTIFS($A$14:$A$1213,$A546,$P$14:$P$1213,"="&amp;$P546)+1)/2,"")</f>
        <v/>
      </c>
      <c r="AD546" s="27">
        <f>IF(ISNUMBER($Q546),COUNTIFS($A$14:$A$1213,$A546,$Q$14:$Q$1213,"&gt;"&amp;$Q546)+(COUNTIFS($A$14:$A$1213,$A546,$Q$14:$Q$1213,"="&amp;$Q546)+1)/2,"")</f>
        <v/>
      </c>
      <c r="AE546" s="27">
        <f>IF(ISNUMBER($R546),COUNTIFS($A$14:$A$1213,$A546,$R$14:$R$1213,"&gt;"&amp;$R546)+(COUNTIFS($A$14:$A$1213,$A546,$R$14:$R$1213,"="&amp;$R546)+1)/2,"")</f>
        <v/>
      </c>
      <c r="AF546" s="27">
        <f>IF(ISNUMBER($S546),COUNTIFS($A$14:$A$1213,$A546,$S$14:$S$1213,"&gt;"&amp;$S546)+(COUNTIFS($A$14:$A$1213,$A546,$S$14:$S$1213,"="&amp;$S546)+1)/2,"")</f>
        <v/>
      </c>
      <c r="AG546" s="27">
        <f>IF(ISNUMBER($T546),COUNTIFS($A$14:$A$1213,$A546,$T$14:$T$1213,"&gt;"&amp;$T546)+(COUNTIFS($A$14:$A$1213,$A546,$T$14:$T$1213,"="&amp;$T546)+1)/2,"")</f>
        <v/>
      </c>
      <c r="AH546" s="27">
        <f>IF(COUNT($AC546:$AG546)&lt;2,"",IF(MAX($AC546:$AG546)=MIN($AC546:$AG546),0,1))</f>
        <v/>
      </c>
      <c r="AI546" s="27">
        <f>IF($A546="","",IF(COUNTIF($A$14:$A546,$A546)=1,COUNTIF($AI$13:AI545,"&gt;0")+1,""))</f>
        <v/>
      </c>
      <c r="AO546" s="27">
        <f>IF($A546="","",IF(AND(COUNTIFS($A$14:$A$1213,$A546,$F$14:$F$1213,"&gt;=0")=2,IFERROR(INDEX($M$14:$M$313,MATCH($A546,$H$14:$H$313,0)),"Yes")&lt;&gt;"Yes"),1,0))</f>
        <v/>
      </c>
    </row>
    <row r="547">
      <c r="A547" s="19">
        <f>IF('Enter messages'!A547="","",'Enter messages'!A547)</f>
        <v/>
      </c>
      <c r="B547" s="20">
        <f>IF('Enter messages'!B547="","",'Enter messages'!B547)</f>
        <v/>
      </c>
      <c r="C547" s="21">
        <f>IFERROR(AVERAGE(P547:T547),"")</f>
        <v/>
      </c>
      <c r="D547" s="29" t="n"/>
      <c r="E547" s="29" t="n"/>
      <c r="F547" s="30">
        <f>IF(AND(ISNUMBER($D547),ISNUMBER($E547),$E547&gt;0,$D547&lt;=$E547),$D547/$E547,"")</f>
        <v/>
      </c>
      <c r="P547" s="26" t="n"/>
      <c r="Q547" s="26" t="n"/>
      <c r="R547" s="26" t="n"/>
      <c r="S547" s="26" t="n"/>
      <c r="T547" s="26" t="n"/>
      <c r="V547" s="27">
        <f>IF(ISNUMBER($C547),COUNTIFS($A$14:$A$1213,$A547,$C$14:$C$1213,"&gt;"&amp;$C547)+(COUNTIFS($A$14:$A$1213,$A547,$C$14:$C$1213,"="&amp;$C547)+1)/2,"")</f>
        <v/>
      </c>
      <c r="W547" s="27">
        <f>IF(ISNUMBER($F547),COUNTIFS($A$14:$A$1213,$A547,$F$14:$F$1213,"&gt;"&amp;$F547)+(COUNTIFS($A$14:$A$1213,$A547,$F$14:$F$1213,"="&amp;$F547)+1)/2,"")</f>
        <v/>
      </c>
      <c r="X547" s="27">
        <f>IF(OR(NOT(ISNUMBER($V547)),$AO547=1),"",$V547-(COUNTIFS($A$14:$A$1213,$A547,$C$14:$C$1213,"&gt;=0")+1)/2)</f>
        <v/>
      </c>
      <c r="Y547" s="27">
        <f>IF(OR(NOT(ISNUMBER($W547)),$AO547=1),"",$W547-(COUNTIFS($A$14:$A$1213,$A547,$F$14:$F$1213,"&gt;=0")+1)/2)</f>
        <v/>
      </c>
      <c r="Z547" s="27">
        <f>IF(ISNUMBER($V547),$A547&amp;"|"&amp;$V547,"")</f>
        <v/>
      </c>
      <c r="AA547" s="27">
        <f>IF(ISNUMBER($W547),$A547&amp;"|"&amp;$W547,"")</f>
        <v/>
      </c>
      <c r="AB547" s="27">
        <f>IF(ISNUMBER($F547),$A547&amp;"|"&amp;$F547,"")</f>
        <v/>
      </c>
      <c r="AC547" s="27">
        <f>IF(ISNUMBER($P547),COUNTIFS($A$14:$A$1213,$A547,$P$14:$P$1213,"&gt;"&amp;$P547)+(COUNTIFS($A$14:$A$1213,$A547,$P$14:$P$1213,"="&amp;$P547)+1)/2,"")</f>
        <v/>
      </c>
      <c r="AD547" s="27">
        <f>IF(ISNUMBER($Q547),COUNTIFS($A$14:$A$1213,$A547,$Q$14:$Q$1213,"&gt;"&amp;$Q547)+(COUNTIFS($A$14:$A$1213,$A547,$Q$14:$Q$1213,"="&amp;$Q547)+1)/2,"")</f>
        <v/>
      </c>
      <c r="AE547" s="27">
        <f>IF(ISNUMBER($R547),COUNTIFS($A$14:$A$1213,$A547,$R$14:$R$1213,"&gt;"&amp;$R547)+(COUNTIFS($A$14:$A$1213,$A547,$R$14:$R$1213,"="&amp;$R547)+1)/2,"")</f>
        <v/>
      </c>
      <c r="AF547" s="27">
        <f>IF(ISNUMBER($S547),COUNTIFS($A$14:$A$1213,$A547,$S$14:$S$1213,"&gt;"&amp;$S547)+(COUNTIFS($A$14:$A$1213,$A547,$S$14:$S$1213,"="&amp;$S547)+1)/2,"")</f>
        <v/>
      </c>
      <c r="AG547" s="27">
        <f>IF(ISNUMBER($T547),COUNTIFS($A$14:$A$1213,$A547,$T$14:$T$1213,"&gt;"&amp;$T547)+(COUNTIFS($A$14:$A$1213,$A547,$T$14:$T$1213,"="&amp;$T547)+1)/2,"")</f>
        <v/>
      </c>
      <c r="AH547" s="27">
        <f>IF(COUNT($AC547:$AG547)&lt;2,"",IF(MAX($AC547:$AG547)=MIN($AC547:$AG547),0,1))</f>
        <v/>
      </c>
      <c r="AI547" s="27">
        <f>IF($A547="","",IF(COUNTIF($A$14:$A547,$A547)=1,COUNTIF($AI$13:AI546,"&gt;0")+1,""))</f>
        <v/>
      </c>
      <c r="AO547" s="27">
        <f>IF($A547="","",IF(AND(COUNTIFS($A$14:$A$1213,$A547,$F$14:$F$1213,"&gt;=0")=2,IFERROR(INDEX($M$14:$M$313,MATCH($A547,$H$14:$H$313,0)),"Yes")&lt;&gt;"Yes"),1,0))</f>
        <v/>
      </c>
    </row>
    <row r="548">
      <c r="A548" s="19">
        <f>IF('Enter messages'!A548="","",'Enter messages'!A548)</f>
        <v/>
      </c>
      <c r="B548" s="20">
        <f>IF('Enter messages'!B548="","",'Enter messages'!B548)</f>
        <v/>
      </c>
      <c r="C548" s="21">
        <f>IFERROR(AVERAGE(P548:T548),"")</f>
        <v/>
      </c>
      <c r="D548" s="29" t="n"/>
      <c r="E548" s="29" t="n"/>
      <c r="F548" s="30">
        <f>IF(AND(ISNUMBER($D548),ISNUMBER($E548),$E548&gt;0,$D548&lt;=$E548),$D548/$E548,"")</f>
        <v/>
      </c>
      <c r="P548" s="26" t="n"/>
      <c r="Q548" s="26" t="n"/>
      <c r="R548" s="26" t="n"/>
      <c r="S548" s="26" t="n"/>
      <c r="T548" s="26" t="n"/>
      <c r="V548" s="27">
        <f>IF(ISNUMBER($C548),COUNTIFS($A$14:$A$1213,$A548,$C$14:$C$1213,"&gt;"&amp;$C548)+(COUNTIFS($A$14:$A$1213,$A548,$C$14:$C$1213,"="&amp;$C548)+1)/2,"")</f>
        <v/>
      </c>
      <c r="W548" s="27">
        <f>IF(ISNUMBER($F548),COUNTIFS($A$14:$A$1213,$A548,$F$14:$F$1213,"&gt;"&amp;$F548)+(COUNTIFS($A$14:$A$1213,$A548,$F$14:$F$1213,"="&amp;$F548)+1)/2,"")</f>
        <v/>
      </c>
      <c r="X548" s="27">
        <f>IF(OR(NOT(ISNUMBER($V548)),$AO548=1),"",$V548-(COUNTIFS($A$14:$A$1213,$A548,$C$14:$C$1213,"&gt;=0")+1)/2)</f>
        <v/>
      </c>
      <c r="Y548" s="27">
        <f>IF(OR(NOT(ISNUMBER($W548)),$AO548=1),"",$W548-(COUNTIFS($A$14:$A$1213,$A548,$F$14:$F$1213,"&gt;=0")+1)/2)</f>
        <v/>
      </c>
      <c r="Z548" s="27">
        <f>IF(ISNUMBER($V548),$A548&amp;"|"&amp;$V548,"")</f>
        <v/>
      </c>
      <c r="AA548" s="27">
        <f>IF(ISNUMBER($W548),$A548&amp;"|"&amp;$W548,"")</f>
        <v/>
      </c>
      <c r="AB548" s="27">
        <f>IF(ISNUMBER($F548),$A548&amp;"|"&amp;$F548,"")</f>
        <v/>
      </c>
      <c r="AC548" s="27">
        <f>IF(ISNUMBER($P548),COUNTIFS($A$14:$A$1213,$A548,$P$14:$P$1213,"&gt;"&amp;$P548)+(COUNTIFS($A$14:$A$1213,$A548,$P$14:$P$1213,"="&amp;$P548)+1)/2,"")</f>
        <v/>
      </c>
      <c r="AD548" s="27">
        <f>IF(ISNUMBER($Q548),COUNTIFS($A$14:$A$1213,$A548,$Q$14:$Q$1213,"&gt;"&amp;$Q548)+(COUNTIFS($A$14:$A$1213,$A548,$Q$14:$Q$1213,"="&amp;$Q548)+1)/2,"")</f>
        <v/>
      </c>
      <c r="AE548" s="27">
        <f>IF(ISNUMBER($R548),COUNTIFS($A$14:$A$1213,$A548,$R$14:$R$1213,"&gt;"&amp;$R548)+(COUNTIFS($A$14:$A$1213,$A548,$R$14:$R$1213,"="&amp;$R548)+1)/2,"")</f>
        <v/>
      </c>
      <c r="AF548" s="27">
        <f>IF(ISNUMBER($S548),COUNTIFS($A$14:$A$1213,$A548,$S$14:$S$1213,"&gt;"&amp;$S548)+(COUNTIFS($A$14:$A$1213,$A548,$S$14:$S$1213,"="&amp;$S548)+1)/2,"")</f>
        <v/>
      </c>
      <c r="AG548" s="27">
        <f>IF(ISNUMBER($T548),COUNTIFS($A$14:$A$1213,$A548,$T$14:$T$1213,"&gt;"&amp;$T548)+(COUNTIFS($A$14:$A$1213,$A548,$T$14:$T$1213,"="&amp;$T548)+1)/2,"")</f>
        <v/>
      </c>
      <c r="AH548" s="27">
        <f>IF(COUNT($AC548:$AG548)&lt;2,"",IF(MAX($AC548:$AG548)=MIN($AC548:$AG548),0,1))</f>
        <v/>
      </c>
      <c r="AI548" s="27">
        <f>IF($A548="","",IF(COUNTIF($A$14:$A548,$A548)=1,COUNTIF($AI$13:AI547,"&gt;0")+1,""))</f>
        <v/>
      </c>
      <c r="AO548" s="27">
        <f>IF($A548="","",IF(AND(COUNTIFS($A$14:$A$1213,$A548,$F$14:$F$1213,"&gt;=0")=2,IFERROR(INDEX($M$14:$M$313,MATCH($A548,$H$14:$H$313,0)),"Yes")&lt;&gt;"Yes"),1,0))</f>
        <v/>
      </c>
    </row>
    <row r="549">
      <c r="A549" s="19">
        <f>IF('Enter messages'!A549="","",'Enter messages'!A549)</f>
        <v/>
      </c>
      <c r="B549" s="20">
        <f>IF('Enter messages'!B549="","",'Enter messages'!B549)</f>
        <v/>
      </c>
      <c r="C549" s="21">
        <f>IFERROR(AVERAGE(P549:T549),"")</f>
        <v/>
      </c>
      <c r="D549" s="29" t="n"/>
      <c r="E549" s="29" t="n"/>
      <c r="F549" s="30">
        <f>IF(AND(ISNUMBER($D549),ISNUMBER($E549),$E549&gt;0,$D549&lt;=$E549),$D549/$E549,"")</f>
        <v/>
      </c>
      <c r="P549" s="26" t="n"/>
      <c r="Q549" s="26" t="n"/>
      <c r="R549" s="26" t="n"/>
      <c r="S549" s="26" t="n"/>
      <c r="T549" s="26" t="n"/>
      <c r="V549" s="27">
        <f>IF(ISNUMBER($C549),COUNTIFS($A$14:$A$1213,$A549,$C$14:$C$1213,"&gt;"&amp;$C549)+(COUNTIFS($A$14:$A$1213,$A549,$C$14:$C$1213,"="&amp;$C549)+1)/2,"")</f>
        <v/>
      </c>
      <c r="W549" s="27">
        <f>IF(ISNUMBER($F549),COUNTIFS($A$14:$A$1213,$A549,$F$14:$F$1213,"&gt;"&amp;$F549)+(COUNTIFS($A$14:$A$1213,$A549,$F$14:$F$1213,"="&amp;$F549)+1)/2,"")</f>
        <v/>
      </c>
      <c r="X549" s="27">
        <f>IF(OR(NOT(ISNUMBER($V549)),$AO549=1),"",$V549-(COUNTIFS($A$14:$A$1213,$A549,$C$14:$C$1213,"&gt;=0")+1)/2)</f>
        <v/>
      </c>
      <c r="Y549" s="27">
        <f>IF(OR(NOT(ISNUMBER($W549)),$AO549=1),"",$W549-(COUNTIFS($A$14:$A$1213,$A549,$F$14:$F$1213,"&gt;=0")+1)/2)</f>
        <v/>
      </c>
      <c r="Z549" s="27">
        <f>IF(ISNUMBER($V549),$A549&amp;"|"&amp;$V549,"")</f>
        <v/>
      </c>
      <c r="AA549" s="27">
        <f>IF(ISNUMBER($W549),$A549&amp;"|"&amp;$W549,"")</f>
        <v/>
      </c>
      <c r="AB549" s="27">
        <f>IF(ISNUMBER($F549),$A549&amp;"|"&amp;$F549,"")</f>
        <v/>
      </c>
      <c r="AC549" s="27">
        <f>IF(ISNUMBER($P549),COUNTIFS($A$14:$A$1213,$A549,$P$14:$P$1213,"&gt;"&amp;$P549)+(COUNTIFS($A$14:$A$1213,$A549,$P$14:$P$1213,"="&amp;$P549)+1)/2,"")</f>
        <v/>
      </c>
      <c r="AD549" s="27">
        <f>IF(ISNUMBER($Q549),COUNTIFS($A$14:$A$1213,$A549,$Q$14:$Q$1213,"&gt;"&amp;$Q549)+(COUNTIFS($A$14:$A$1213,$A549,$Q$14:$Q$1213,"="&amp;$Q549)+1)/2,"")</f>
        <v/>
      </c>
      <c r="AE549" s="27">
        <f>IF(ISNUMBER($R549),COUNTIFS($A$14:$A$1213,$A549,$R$14:$R$1213,"&gt;"&amp;$R549)+(COUNTIFS($A$14:$A$1213,$A549,$R$14:$R$1213,"="&amp;$R549)+1)/2,"")</f>
        <v/>
      </c>
      <c r="AF549" s="27">
        <f>IF(ISNUMBER($S549),COUNTIFS($A$14:$A$1213,$A549,$S$14:$S$1213,"&gt;"&amp;$S549)+(COUNTIFS($A$14:$A$1213,$A549,$S$14:$S$1213,"="&amp;$S549)+1)/2,"")</f>
        <v/>
      </c>
      <c r="AG549" s="27">
        <f>IF(ISNUMBER($T549),COUNTIFS($A$14:$A$1213,$A549,$T$14:$T$1213,"&gt;"&amp;$T549)+(COUNTIFS($A$14:$A$1213,$A549,$T$14:$T$1213,"="&amp;$T549)+1)/2,"")</f>
        <v/>
      </c>
      <c r="AH549" s="27">
        <f>IF(COUNT($AC549:$AG549)&lt;2,"",IF(MAX($AC549:$AG549)=MIN($AC549:$AG549),0,1))</f>
        <v/>
      </c>
      <c r="AI549" s="27">
        <f>IF($A549="","",IF(COUNTIF($A$14:$A549,$A549)=1,COUNTIF($AI$13:AI548,"&gt;0")+1,""))</f>
        <v/>
      </c>
      <c r="AO549" s="27">
        <f>IF($A549="","",IF(AND(COUNTIFS($A$14:$A$1213,$A549,$F$14:$F$1213,"&gt;=0")=2,IFERROR(INDEX($M$14:$M$313,MATCH($A549,$H$14:$H$313,0)),"Yes")&lt;&gt;"Yes"),1,0))</f>
        <v/>
      </c>
    </row>
    <row r="550">
      <c r="A550" s="19">
        <f>IF('Enter messages'!A550="","",'Enter messages'!A550)</f>
        <v/>
      </c>
      <c r="B550" s="20">
        <f>IF('Enter messages'!B550="","",'Enter messages'!B550)</f>
        <v/>
      </c>
      <c r="C550" s="21">
        <f>IFERROR(AVERAGE(P550:T550),"")</f>
        <v/>
      </c>
      <c r="D550" s="29" t="n"/>
      <c r="E550" s="29" t="n"/>
      <c r="F550" s="30">
        <f>IF(AND(ISNUMBER($D550),ISNUMBER($E550),$E550&gt;0,$D550&lt;=$E550),$D550/$E550,"")</f>
        <v/>
      </c>
      <c r="P550" s="26" t="n"/>
      <c r="Q550" s="26" t="n"/>
      <c r="R550" s="26" t="n"/>
      <c r="S550" s="26" t="n"/>
      <c r="T550" s="26" t="n"/>
      <c r="V550" s="27">
        <f>IF(ISNUMBER($C550),COUNTIFS($A$14:$A$1213,$A550,$C$14:$C$1213,"&gt;"&amp;$C550)+(COUNTIFS($A$14:$A$1213,$A550,$C$14:$C$1213,"="&amp;$C550)+1)/2,"")</f>
        <v/>
      </c>
      <c r="W550" s="27">
        <f>IF(ISNUMBER($F550),COUNTIFS($A$14:$A$1213,$A550,$F$14:$F$1213,"&gt;"&amp;$F550)+(COUNTIFS($A$14:$A$1213,$A550,$F$14:$F$1213,"="&amp;$F550)+1)/2,"")</f>
        <v/>
      </c>
      <c r="X550" s="27">
        <f>IF(OR(NOT(ISNUMBER($V550)),$AO550=1),"",$V550-(COUNTIFS($A$14:$A$1213,$A550,$C$14:$C$1213,"&gt;=0")+1)/2)</f>
        <v/>
      </c>
      <c r="Y550" s="27">
        <f>IF(OR(NOT(ISNUMBER($W550)),$AO550=1),"",$W550-(COUNTIFS($A$14:$A$1213,$A550,$F$14:$F$1213,"&gt;=0")+1)/2)</f>
        <v/>
      </c>
      <c r="Z550" s="27">
        <f>IF(ISNUMBER($V550),$A550&amp;"|"&amp;$V550,"")</f>
        <v/>
      </c>
      <c r="AA550" s="27">
        <f>IF(ISNUMBER($W550),$A550&amp;"|"&amp;$W550,"")</f>
        <v/>
      </c>
      <c r="AB550" s="27">
        <f>IF(ISNUMBER($F550),$A550&amp;"|"&amp;$F550,"")</f>
        <v/>
      </c>
      <c r="AC550" s="27">
        <f>IF(ISNUMBER($P550),COUNTIFS($A$14:$A$1213,$A550,$P$14:$P$1213,"&gt;"&amp;$P550)+(COUNTIFS($A$14:$A$1213,$A550,$P$14:$P$1213,"="&amp;$P550)+1)/2,"")</f>
        <v/>
      </c>
      <c r="AD550" s="27">
        <f>IF(ISNUMBER($Q550),COUNTIFS($A$14:$A$1213,$A550,$Q$14:$Q$1213,"&gt;"&amp;$Q550)+(COUNTIFS($A$14:$A$1213,$A550,$Q$14:$Q$1213,"="&amp;$Q550)+1)/2,"")</f>
        <v/>
      </c>
      <c r="AE550" s="27">
        <f>IF(ISNUMBER($R550),COUNTIFS($A$14:$A$1213,$A550,$R$14:$R$1213,"&gt;"&amp;$R550)+(COUNTIFS($A$14:$A$1213,$A550,$R$14:$R$1213,"="&amp;$R550)+1)/2,"")</f>
        <v/>
      </c>
      <c r="AF550" s="27">
        <f>IF(ISNUMBER($S550),COUNTIFS($A$14:$A$1213,$A550,$S$14:$S$1213,"&gt;"&amp;$S550)+(COUNTIFS($A$14:$A$1213,$A550,$S$14:$S$1213,"="&amp;$S550)+1)/2,"")</f>
        <v/>
      </c>
      <c r="AG550" s="27">
        <f>IF(ISNUMBER($T550),COUNTIFS($A$14:$A$1213,$A550,$T$14:$T$1213,"&gt;"&amp;$T550)+(COUNTIFS($A$14:$A$1213,$A550,$T$14:$T$1213,"="&amp;$T550)+1)/2,"")</f>
        <v/>
      </c>
      <c r="AH550" s="27">
        <f>IF(COUNT($AC550:$AG550)&lt;2,"",IF(MAX($AC550:$AG550)=MIN($AC550:$AG550),0,1))</f>
        <v/>
      </c>
      <c r="AI550" s="27">
        <f>IF($A550="","",IF(COUNTIF($A$14:$A550,$A550)=1,COUNTIF($AI$13:AI549,"&gt;0")+1,""))</f>
        <v/>
      </c>
      <c r="AO550" s="27">
        <f>IF($A550="","",IF(AND(COUNTIFS($A$14:$A$1213,$A550,$F$14:$F$1213,"&gt;=0")=2,IFERROR(INDEX($M$14:$M$313,MATCH($A550,$H$14:$H$313,0)),"Yes")&lt;&gt;"Yes"),1,0))</f>
        <v/>
      </c>
    </row>
    <row r="551">
      <c r="A551" s="19">
        <f>IF('Enter messages'!A551="","",'Enter messages'!A551)</f>
        <v/>
      </c>
      <c r="B551" s="20">
        <f>IF('Enter messages'!B551="","",'Enter messages'!B551)</f>
        <v/>
      </c>
      <c r="C551" s="21">
        <f>IFERROR(AVERAGE(P551:T551),"")</f>
        <v/>
      </c>
      <c r="D551" s="29" t="n"/>
      <c r="E551" s="29" t="n"/>
      <c r="F551" s="30">
        <f>IF(AND(ISNUMBER($D551),ISNUMBER($E551),$E551&gt;0,$D551&lt;=$E551),$D551/$E551,"")</f>
        <v/>
      </c>
      <c r="P551" s="26" t="n"/>
      <c r="Q551" s="26" t="n"/>
      <c r="R551" s="26" t="n"/>
      <c r="S551" s="26" t="n"/>
      <c r="T551" s="26" t="n"/>
      <c r="V551" s="27">
        <f>IF(ISNUMBER($C551),COUNTIFS($A$14:$A$1213,$A551,$C$14:$C$1213,"&gt;"&amp;$C551)+(COUNTIFS($A$14:$A$1213,$A551,$C$14:$C$1213,"="&amp;$C551)+1)/2,"")</f>
        <v/>
      </c>
      <c r="W551" s="27">
        <f>IF(ISNUMBER($F551),COUNTIFS($A$14:$A$1213,$A551,$F$14:$F$1213,"&gt;"&amp;$F551)+(COUNTIFS($A$14:$A$1213,$A551,$F$14:$F$1213,"="&amp;$F551)+1)/2,"")</f>
        <v/>
      </c>
      <c r="X551" s="27">
        <f>IF(OR(NOT(ISNUMBER($V551)),$AO551=1),"",$V551-(COUNTIFS($A$14:$A$1213,$A551,$C$14:$C$1213,"&gt;=0")+1)/2)</f>
        <v/>
      </c>
      <c r="Y551" s="27">
        <f>IF(OR(NOT(ISNUMBER($W551)),$AO551=1),"",$W551-(COUNTIFS($A$14:$A$1213,$A551,$F$14:$F$1213,"&gt;=0")+1)/2)</f>
        <v/>
      </c>
      <c r="Z551" s="27">
        <f>IF(ISNUMBER($V551),$A551&amp;"|"&amp;$V551,"")</f>
        <v/>
      </c>
      <c r="AA551" s="27">
        <f>IF(ISNUMBER($W551),$A551&amp;"|"&amp;$W551,"")</f>
        <v/>
      </c>
      <c r="AB551" s="27">
        <f>IF(ISNUMBER($F551),$A551&amp;"|"&amp;$F551,"")</f>
        <v/>
      </c>
      <c r="AC551" s="27">
        <f>IF(ISNUMBER($P551),COUNTIFS($A$14:$A$1213,$A551,$P$14:$P$1213,"&gt;"&amp;$P551)+(COUNTIFS($A$14:$A$1213,$A551,$P$14:$P$1213,"="&amp;$P551)+1)/2,"")</f>
        <v/>
      </c>
      <c r="AD551" s="27">
        <f>IF(ISNUMBER($Q551),COUNTIFS($A$14:$A$1213,$A551,$Q$14:$Q$1213,"&gt;"&amp;$Q551)+(COUNTIFS($A$14:$A$1213,$A551,$Q$14:$Q$1213,"="&amp;$Q551)+1)/2,"")</f>
        <v/>
      </c>
      <c r="AE551" s="27">
        <f>IF(ISNUMBER($R551),COUNTIFS($A$14:$A$1213,$A551,$R$14:$R$1213,"&gt;"&amp;$R551)+(COUNTIFS($A$14:$A$1213,$A551,$R$14:$R$1213,"="&amp;$R551)+1)/2,"")</f>
        <v/>
      </c>
      <c r="AF551" s="27">
        <f>IF(ISNUMBER($S551),COUNTIFS($A$14:$A$1213,$A551,$S$14:$S$1213,"&gt;"&amp;$S551)+(COUNTIFS($A$14:$A$1213,$A551,$S$14:$S$1213,"="&amp;$S551)+1)/2,"")</f>
        <v/>
      </c>
      <c r="AG551" s="27">
        <f>IF(ISNUMBER($T551),COUNTIFS($A$14:$A$1213,$A551,$T$14:$T$1213,"&gt;"&amp;$T551)+(COUNTIFS($A$14:$A$1213,$A551,$T$14:$T$1213,"="&amp;$T551)+1)/2,"")</f>
        <v/>
      </c>
      <c r="AH551" s="27">
        <f>IF(COUNT($AC551:$AG551)&lt;2,"",IF(MAX($AC551:$AG551)=MIN($AC551:$AG551),0,1))</f>
        <v/>
      </c>
      <c r="AI551" s="27">
        <f>IF($A551="","",IF(COUNTIF($A$14:$A551,$A551)=1,COUNTIF($AI$13:AI550,"&gt;0")+1,""))</f>
        <v/>
      </c>
      <c r="AO551" s="27">
        <f>IF($A551="","",IF(AND(COUNTIFS($A$14:$A$1213,$A551,$F$14:$F$1213,"&gt;=0")=2,IFERROR(INDEX($M$14:$M$313,MATCH($A551,$H$14:$H$313,0)),"Yes")&lt;&gt;"Yes"),1,0))</f>
        <v/>
      </c>
    </row>
    <row r="552">
      <c r="A552" s="19">
        <f>IF('Enter messages'!A552="","",'Enter messages'!A552)</f>
        <v/>
      </c>
      <c r="B552" s="20">
        <f>IF('Enter messages'!B552="","",'Enter messages'!B552)</f>
        <v/>
      </c>
      <c r="C552" s="21">
        <f>IFERROR(AVERAGE(P552:T552),"")</f>
        <v/>
      </c>
      <c r="D552" s="29" t="n"/>
      <c r="E552" s="29" t="n"/>
      <c r="F552" s="30">
        <f>IF(AND(ISNUMBER($D552),ISNUMBER($E552),$E552&gt;0,$D552&lt;=$E552),$D552/$E552,"")</f>
        <v/>
      </c>
      <c r="P552" s="26" t="n"/>
      <c r="Q552" s="26" t="n"/>
      <c r="R552" s="26" t="n"/>
      <c r="S552" s="26" t="n"/>
      <c r="T552" s="26" t="n"/>
      <c r="V552" s="27">
        <f>IF(ISNUMBER($C552),COUNTIFS($A$14:$A$1213,$A552,$C$14:$C$1213,"&gt;"&amp;$C552)+(COUNTIFS($A$14:$A$1213,$A552,$C$14:$C$1213,"="&amp;$C552)+1)/2,"")</f>
        <v/>
      </c>
      <c r="W552" s="27">
        <f>IF(ISNUMBER($F552),COUNTIFS($A$14:$A$1213,$A552,$F$14:$F$1213,"&gt;"&amp;$F552)+(COUNTIFS($A$14:$A$1213,$A552,$F$14:$F$1213,"="&amp;$F552)+1)/2,"")</f>
        <v/>
      </c>
      <c r="X552" s="27">
        <f>IF(OR(NOT(ISNUMBER($V552)),$AO552=1),"",$V552-(COUNTIFS($A$14:$A$1213,$A552,$C$14:$C$1213,"&gt;=0")+1)/2)</f>
        <v/>
      </c>
      <c r="Y552" s="27">
        <f>IF(OR(NOT(ISNUMBER($W552)),$AO552=1),"",$W552-(COUNTIFS($A$14:$A$1213,$A552,$F$14:$F$1213,"&gt;=0")+1)/2)</f>
        <v/>
      </c>
      <c r="Z552" s="27">
        <f>IF(ISNUMBER($V552),$A552&amp;"|"&amp;$V552,"")</f>
        <v/>
      </c>
      <c r="AA552" s="27">
        <f>IF(ISNUMBER($W552),$A552&amp;"|"&amp;$W552,"")</f>
        <v/>
      </c>
      <c r="AB552" s="27">
        <f>IF(ISNUMBER($F552),$A552&amp;"|"&amp;$F552,"")</f>
        <v/>
      </c>
      <c r="AC552" s="27">
        <f>IF(ISNUMBER($P552),COUNTIFS($A$14:$A$1213,$A552,$P$14:$P$1213,"&gt;"&amp;$P552)+(COUNTIFS($A$14:$A$1213,$A552,$P$14:$P$1213,"="&amp;$P552)+1)/2,"")</f>
        <v/>
      </c>
      <c r="AD552" s="27">
        <f>IF(ISNUMBER($Q552),COUNTIFS($A$14:$A$1213,$A552,$Q$14:$Q$1213,"&gt;"&amp;$Q552)+(COUNTIFS($A$14:$A$1213,$A552,$Q$14:$Q$1213,"="&amp;$Q552)+1)/2,"")</f>
        <v/>
      </c>
      <c r="AE552" s="27">
        <f>IF(ISNUMBER($R552),COUNTIFS($A$14:$A$1213,$A552,$R$14:$R$1213,"&gt;"&amp;$R552)+(COUNTIFS($A$14:$A$1213,$A552,$R$14:$R$1213,"="&amp;$R552)+1)/2,"")</f>
        <v/>
      </c>
      <c r="AF552" s="27">
        <f>IF(ISNUMBER($S552),COUNTIFS($A$14:$A$1213,$A552,$S$14:$S$1213,"&gt;"&amp;$S552)+(COUNTIFS($A$14:$A$1213,$A552,$S$14:$S$1213,"="&amp;$S552)+1)/2,"")</f>
        <v/>
      </c>
      <c r="AG552" s="27">
        <f>IF(ISNUMBER($T552),COUNTIFS($A$14:$A$1213,$A552,$T$14:$T$1213,"&gt;"&amp;$T552)+(COUNTIFS($A$14:$A$1213,$A552,$T$14:$T$1213,"="&amp;$T552)+1)/2,"")</f>
        <v/>
      </c>
      <c r="AH552" s="27">
        <f>IF(COUNT($AC552:$AG552)&lt;2,"",IF(MAX($AC552:$AG552)=MIN($AC552:$AG552),0,1))</f>
        <v/>
      </c>
      <c r="AI552" s="27">
        <f>IF($A552="","",IF(COUNTIF($A$14:$A552,$A552)=1,COUNTIF($AI$13:AI551,"&gt;0")+1,""))</f>
        <v/>
      </c>
      <c r="AO552" s="27">
        <f>IF($A552="","",IF(AND(COUNTIFS($A$14:$A$1213,$A552,$F$14:$F$1213,"&gt;=0")=2,IFERROR(INDEX($M$14:$M$313,MATCH($A552,$H$14:$H$313,0)),"Yes")&lt;&gt;"Yes"),1,0))</f>
        <v/>
      </c>
    </row>
    <row r="553">
      <c r="A553" s="19">
        <f>IF('Enter messages'!A553="","",'Enter messages'!A553)</f>
        <v/>
      </c>
      <c r="B553" s="20">
        <f>IF('Enter messages'!B553="","",'Enter messages'!B553)</f>
        <v/>
      </c>
      <c r="C553" s="21">
        <f>IFERROR(AVERAGE(P553:T553),"")</f>
        <v/>
      </c>
      <c r="D553" s="29" t="n"/>
      <c r="E553" s="29" t="n"/>
      <c r="F553" s="30">
        <f>IF(AND(ISNUMBER($D553),ISNUMBER($E553),$E553&gt;0,$D553&lt;=$E553),$D553/$E553,"")</f>
        <v/>
      </c>
      <c r="P553" s="26" t="n"/>
      <c r="Q553" s="26" t="n"/>
      <c r="R553" s="26" t="n"/>
      <c r="S553" s="26" t="n"/>
      <c r="T553" s="26" t="n"/>
      <c r="V553" s="27">
        <f>IF(ISNUMBER($C553),COUNTIFS($A$14:$A$1213,$A553,$C$14:$C$1213,"&gt;"&amp;$C553)+(COUNTIFS($A$14:$A$1213,$A553,$C$14:$C$1213,"="&amp;$C553)+1)/2,"")</f>
        <v/>
      </c>
      <c r="W553" s="27">
        <f>IF(ISNUMBER($F553),COUNTIFS($A$14:$A$1213,$A553,$F$14:$F$1213,"&gt;"&amp;$F553)+(COUNTIFS($A$14:$A$1213,$A553,$F$14:$F$1213,"="&amp;$F553)+1)/2,"")</f>
        <v/>
      </c>
      <c r="X553" s="27">
        <f>IF(OR(NOT(ISNUMBER($V553)),$AO553=1),"",$V553-(COUNTIFS($A$14:$A$1213,$A553,$C$14:$C$1213,"&gt;=0")+1)/2)</f>
        <v/>
      </c>
      <c r="Y553" s="27">
        <f>IF(OR(NOT(ISNUMBER($W553)),$AO553=1),"",$W553-(COUNTIFS($A$14:$A$1213,$A553,$F$14:$F$1213,"&gt;=0")+1)/2)</f>
        <v/>
      </c>
      <c r="Z553" s="27">
        <f>IF(ISNUMBER($V553),$A553&amp;"|"&amp;$V553,"")</f>
        <v/>
      </c>
      <c r="AA553" s="27">
        <f>IF(ISNUMBER($W553),$A553&amp;"|"&amp;$W553,"")</f>
        <v/>
      </c>
      <c r="AB553" s="27">
        <f>IF(ISNUMBER($F553),$A553&amp;"|"&amp;$F553,"")</f>
        <v/>
      </c>
      <c r="AC553" s="27">
        <f>IF(ISNUMBER($P553),COUNTIFS($A$14:$A$1213,$A553,$P$14:$P$1213,"&gt;"&amp;$P553)+(COUNTIFS($A$14:$A$1213,$A553,$P$14:$P$1213,"="&amp;$P553)+1)/2,"")</f>
        <v/>
      </c>
      <c r="AD553" s="27">
        <f>IF(ISNUMBER($Q553),COUNTIFS($A$14:$A$1213,$A553,$Q$14:$Q$1213,"&gt;"&amp;$Q553)+(COUNTIFS($A$14:$A$1213,$A553,$Q$14:$Q$1213,"="&amp;$Q553)+1)/2,"")</f>
        <v/>
      </c>
      <c r="AE553" s="27">
        <f>IF(ISNUMBER($R553),COUNTIFS($A$14:$A$1213,$A553,$R$14:$R$1213,"&gt;"&amp;$R553)+(COUNTIFS($A$14:$A$1213,$A553,$R$14:$R$1213,"="&amp;$R553)+1)/2,"")</f>
        <v/>
      </c>
      <c r="AF553" s="27">
        <f>IF(ISNUMBER($S553),COUNTIFS($A$14:$A$1213,$A553,$S$14:$S$1213,"&gt;"&amp;$S553)+(COUNTIFS($A$14:$A$1213,$A553,$S$14:$S$1213,"="&amp;$S553)+1)/2,"")</f>
        <v/>
      </c>
      <c r="AG553" s="27">
        <f>IF(ISNUMBER($T553),COUNTIFS($A$14:$A$1213,$A553,$T$14:$T$1213,"&gt;"&amp;$T553)+(COUNTIFS($A$14:$A$1213,$A553,$T$14:$T$1213,"="&amp;$T553)+1)/2,"")</f>
        <v/>
      </c>
      <c r="AH553" s="27">
        <f>IF(COUNT($AC553:$AG553)&lt;2,"",IF(MAX($AC553:$AG553)=MIN($AC553:$AG553),0,1))</f>
        <v/>
      </c>
      <c r="AI553" s="27">
        <f>IF($A553="","",IF(COUNTIF($A$14:$A553,$A553)=1,COUNTIF($AI$13:AI552,"&gt;0")+1,""))</f>
        <v/>
      </c>
      <c r="AO553" s="27">
        <f>IF($A553="","",IF(AND(COUNTIFS($A$14:$A$1213,$A553,$F$14:$F$1213,"&gt;=0")=2,IFERROR(INDEX($M$14:$M$313,MATCH($A553,$H$14:$H$313,0)),"Yes")&lt;&gt;"Yes"),1,0))</f>
        <v/>
      </c>
    </row>
    <row r="554">
      <c r="A554" s="19">
        <f>IF('Enter messages'!A554="","",'Enter messages'!A554)</f>
        <v/>
      </c>
      <c r="B554" s="20">
        <f>IF('Enter messages'!B554="","",'Enter messages'!B554)</f>
        <v/>
      </c>
      <c r="C554" s="21">
        <f>IFERROR(AVERAGE(P554:T554),"")</f>
        <v/>
      </c>
      <c r="D554" s="29" t="n"/>
      <c r="E554" s="29" t="n"/>
      <c r="F554" s="30">
        <f>IF(AND(ISNUMBER($D554),ISNUMBER($E554),$E554&gt;0,$D554&lt;=$E554),$D554/$E554,"")</f>
        <v/>
      </c>
      <c r="P554" s="26" t="n"/>
      <c r="Q554" s="26" t="n"/>
      <c r="R554" s="26" t="n"/>
      <c r="S554" s="26" t="n"/>
      <c r="T554" s="26" t="n"/>
      <c r="V554" s="27">
        <f>IF(ISNUMBER($C554),COUNTIFS($A$14:$A$1213,$A554,$C$14:$C$1213,"&gt;"&amp;$C554)+(COUNTIFS($A$14:$A$1213,$A554,$C$14:$C$1213,"="&amp;$C554)+1)/2,"")</f>
        <v/>
      </c>
      <c r="W554" s="27">
        <f>IF(ISNUMBER($F554),COUNTIFS($A$14:$A$1213,$A554,$F$14:$F$1213,"&gt;"&amp;$F554)+(COUNTIFS($A$14:$A$1213,$A554,$F$14:$F$1213,"="&amp;$F554)+1)/2,"")</f>
        <v/>
      </c>
      <c r="X554" s="27">
        <f>IF(OR(NOT(ISNUMBER($V554)),$AO554=1),"",$V554-(COUNTIFS($A$14:$A$1213,$A554,$C$14:$C$1213,"&gt;=0")+1)/2)</f>
        <v/>
      </c>
      <c r="Y554" s="27">
        <f>IF(OR(NOT(ISNUMBER($W554)),$AO554=1),"",$W554-(COUNTIFS($A$14:$A$1213,$A554,$F$14:$F$1213,"&gt;=0")+1)/2)</f>
        <v/>
      </c>
      <c r="Z554" s="27">
        <f>IF(ISNUMBER($V554),$A554&amp;"|"&amp;$V554,"")</f>
        <v/>
      </c>
      <c r="AA554" s="27">
        <f>IF(ISNUMBER($W554),$A554&amp;"|"&amp;$W554,"")</f>
        <v/>
      </c>
      <c r="AB554" s="27">
        <f>IF(ISNUMBER($F554),$A554&amp;"|"&amp;$F554,"")</f>
        <v/>
      </c>
      <c r="AC554" s="27">
        <f>IF(ISNUMBER($P554),COUNTIFS($A$14:$A$1213,$A554,$P$14:$P$1213,"&gt;"&amp;$P554)+(COUNTIFS($A$14:$A$1213,$A554,$P$14:$P$1213,"="&amp;$P554)+1)/2,"")</f>
        <v/>
      </c>
      <c r="AD554" s="27">
        <f>IF(ISNUMBER($Q554),COUNTIFS($A$14:$A$1213,$A554,$Q$14:$Q$1213,"&gt;"&amp;$Q554)+(COUNTIFS($A$14:$A$1213,$A554,$Q$14:$Q$1213,"="&amp;$Q554)+1)/2,"")</f>
        <v/>
      </c>
      <c r="AE554" s="27">
        <f>IF(ISNUMBER($R554),COUNTIFS($A$14:$A$1213,$A554,$R$14:$R$1213,"&gt;"&amp;$R554)+(COUNTIFS($A$14:$A$1213,$A554,$R$14:$R$1213,"="&amp;$R554)+1)/2,"")</f>
        <v/>
      </c>
      <c r="AF554" s="27">
        <f>IF(ISNUMBER($S554),COUNTIFS($A$14:$A$1213,$A554,$S$14:$S$1213,"&gt;"&amp;$S554)+(COUNTIFS($A$14:$A$1213,$A554,$S$14:$S$1213,"="&amp;$S554)+1)/2,"")</f>
        <v/>
      </c>
      <c r="AG554" s="27">
        <f>IF(ISNUMBER($T554),COUNTIFS($A$14:$A$1213,$A554,$T$14:$T$1213,"&gt;"&amp;$T554)+(COUNTIFS($A$14:$A$1213,$A554,$T$14:$T$1213,"="&amp;$T554)+1)/2,"")</f>
        <v/>
      </c>
      <c r="AH554" s="27">
        <f>IF(COUNT($AC554:$AG554)&lt;2,"",IF(MAX($AC554:$AG554)=MIN($AC554:$AG554),0,1))</f>
        <v/>
      </c>
      <c r="AI554" s="27">
        <f>IF($A554="","",IF(COUNTIF($A$14:$A554,$A554)=1,COUNTIF($AI$13:AI553,"&gt;0")+1,""))</f>
        <v/>
      </c>
      <c r="AO554" s="27">
        <f>IF($A554="","",IF(AND(COUNTIFS($A$14:$A$1213,$A554,$F$14:$F$1213,"&gt;=0")=2,IFERROR(INDEX($M$14:$M$313,MATCH($A554,$H$14:$H$313,0)),"Yes")&lt;&gt;"Yes"),1,0))</f>
        <v/>
      </c>
    </row>
    <row r="555">
      <c r="A555" s="19">
        <f>IF('Enter messages'!A555="","",'Enter messages'!A555)</f>
        <v/>
      </c>
      <c r="B555" s="20">
        <f>IF('Enter messages'!B555="","",'Enter messages'!B555)</f>
        <v/>
      </c>
      <c r="C555" s="21">
        <f>IFERROR(AVERAGE(P555:T555),"")</f>
        <v/>
      </c>
      <c r="D555" s="29" t="n"/>
      <c r="E555" s="29" t="n"/>
      <c r="F555" s="30">
        <f>IF(AND(ISNUMBER($D555),ISNUMBER($E555),$E555&gt;0,$D555&lt;=$E555),$D555/$E555,"")</f>
        <v/>
      </c>
      <c r="P555" s="26" t="n"/>
      <c r="Q555" s="26" t="n"/>
      <c r="R555" s="26" t="n"/>
      <c r="S555" s="26" t="n"/>
      <c r="T555" s="26" t="n"/>
      <c r="V555" s="27">
        <f>IF(ISNUMBER($C555),COUNTIFS($A$14:$A$1213,$A555,$C$14:$C$1213,"&gt;"&amp;$C555)+(COUNTIFS($A$14:$A$1213,$A555,$C$14:$C$1213,"="&amp;$C555)+1)/2,"")</f>
        <v/>
      </c>
      <c r="W555" s="27">
        <f>IF(ISNUMBER($F555),COUNTIFS($A$14:$A$1213,$A555,$F$14:$F$1213,"&gt;"&amp;$F555)+(COUNTIFS($A$14:$A$1213,$A555,$F$14:$F$1213,"="&amp;$F555)+1)/2,"")</f>
        <v/>
      </c>
      <c r="X555" s="27">
        <f>IF(OR(NOT(ISNUMBER($V555)),$AO555=1),"",$V555-(COUNTIFS($A$14:$A$1213,$A555,$C$14:$C$1213,"&gt;=0")+1)/2)</f>
        <v/>
      </c>
      <c r="Y555" s="27">
        <f>IF(OR(NOT(ISNUMBER($W555)),$AO555=1),"",$W555-(COUNTIFS($A$14:$A$1213,$A555,$F$14:$F$1213,"&gt;=0")+1)/2)</f>
        <v/>
      </c>
      <c r="Z555" s="27">
        <f>IF(ISNUMBER($V555),$A555&amp;"|"&amp;$V555,"")</f>
        <v/>
      </c>
      <c r="AA555" s="27">
        <f>IF(ISNUMBER($W555),$A555&amp;"|"&amp;$W555,"")</f>
        <v/>
      </c>
      <c r="AB555" s="27">
        <f>IF(ISNUMBER($F555),$A555&amp;"|"&amp;$F555,"")</f>
        <v/>
      </c>
      <c r="AC555" s="27">
        <f>IF(ISNUMBER($P555),COUNTIFS($A$14:$A$1213,$A555,$P$14:$P$1213,"&gt;"&amp;$P555)+(COUNTIFS($A$14:$A$1213,$A555,$P$14:$P$1213,"="&amp;$P555)+1)/2,"")</f>
        <v/>
      </c>
      <c r="AD555" s="27">
        <f>IF(ISNUMBER($Q555),COUNTIFS($A$14:$A$1213,$A555,$Q$14:$Q$1213,"&gt;"&amp;$Q555)+(COUNTIFS($A$14:$A$1213,$A555,$Q$14:$Q$1213,"="&amp;$Q555)+1)/2,"")</f>
        <v/>
      </c>
      <c r="AE555" s="27">
        <f>IF(ISNUMBER($R555),COUNTIFS($A$14:$A$1213,$A555,$R$14:$R$1213,"&gt;"&amp;$R555)+(COUNTIFS($A$14:$A$1213,$A555,$R$14:$R$1213,"="&amp;$R555)+1)/2,"")</f>
        <v/>
      </c>
      <c r="AF555" s="27">
        <f>IF(ISNUMBER($S555),COUNTIFS($A$14:$A$1213,$A555,$S$14:$S$1213,"&gt;"&amp;$S555)+(COUNTIFS($A$14:$A$1213,$A555,$S$14:$S$1213,"="&amp;$S555)+1)/2,"")</f>
        <v/>
      </c>
      <c r="AG555" s="27">
        <f>IF(ISNUMBER($T555),COUNTIFS($A$14:$A$1213,$A555,$T$14:$T$1213,"&gt;"&amp;$T555)+(COUNTIFS($A$14:$A$1213,$A555,$T$14:$T$1213,"="&amp;$T555)+1)/2,"")</f>
        <v/>
      </c>
      <c r="AH555" s="27">
        <f>IF(COUNT($AC555:$AG555)&lt;2,"",IF(MAX($AC555:$AG555)=MIN($AC555:$AG555),0,1))</f>
        <v/>
      </c>
      <c r="AI555" s="27">
        <f>IF($A555="","",IF(COUNTIF($A$14:$A555,$A555)=1,COUNTIF($AI$13:AI554,"&gt;0")+1,""))</f>
        <v/>
      </c>
      <c r="AO555" s="27">
        <f>IF($A555="","",IF(AND(COUNTIFS($A$14:$A$1213,$A555,$F$14:$F$1213,"&gt;=0")=2,IFERROR(INDEX($M$14:$M$313,MATCH($A555,$H$14:$H$313,0)),"Yes")&lt;&gt;"Yes"),1,0))</f>
        <v/>
      </c>
    </row>
    <row r="556">
      <c r="A556" s="19">
        <f>IF('Enter messages'!A556="","",'Enter messages'!A556)</f>
        <v/>
      </c>
      <c r="B556" s="20">
        <f>IF('Enter messages'!B556="","",'Enter messages'!B556)</f>
        <v/>
      </c>
      <c r="C556" s="21">
        <f>IFERROR(AVERAGE(P556:T556),"")</f>
        <v/>
      </c>
      <c r="D556" s="29" t="n"/>
      <c r="E556" s="29" t="n"/>
      <c r="F556" s="30">
        <f>IF(AND(ISNUMBER($D556),ISNUMBER($E556),$E556&gt;0,$D556&lt;=$E556),$D556/$E556,"")</f>
        <v/>
      </c>
      <c r="P556" s="26" t="n"/>
      <c r="Q556" s="26" t="n"/>
      <c r="R556" s="26" t="n"/>
      <c r="S556" s="26" t="n"/>
      <c r="T556" s="26" t="n"/>
      <c r="V556" s="27">
        <f>IF(ISNUMBER($C556),COUNTIFS($A$14:$A$1213,$A556,$C$14:$C$1213,"&gt;"&amp;$C556)+(COUNTIFS($A$14:$A$1213,$A556,$C$14:$C$1213,"="&amp;$C556)+1)/2,"")</f>
        <v/>
      </c>
      <c r="W556" s="27">
        <f>IF(ISNUMBER($F556),COUNTIFS($A$14:$A$1213,$A556,$F$14:$F$1213,"&gt;"&amp;$F556)+(COUNTIFS($A$14:$A$1213,$A556,$F$14:$F$1213,"="&amp;$F556)+1)/2,"")</f>
        <v/>
      </c>
      <c r="X556" s="27">
        <f>IF(OR(NOT(ISNUMBER($V556)),$AO556=1),"",$V556-(COUNTIFS($A$14:$A$1213,$A556,$C$14:$C$1213,"&gt;=0")+1)/2)</f>
        <v/>
      </c>
      <c r="Y556" s="27">
        <f>IF(OR(NOT(ISNUMBER($W556)),$AO556=1),"",$W556-(COUNTIFS($A$14:$A$1213,$A556,$F$14:$F$1213,"&gt;=0")+1)/2)</f>
        <v/>
      </c>
      <c r="Z556" s="27">
        <f>IF(ISNUMBER($V556),$A556&amp;"|"&amp;$V556,"")</f>
        <v/>
      </c>
      <c r="AA556" s="27">
        <f>IF(ISNUMBER($W556),$A556&amp;"|"&amp;$W556,"")</f>
        <v/>
      </c>
      <c r="AB556" s="27">
        <f>IF(ISNUMBER($F556),$A556&amp;"|"&amp;$F556,"")</f>
        <v/>
      </c>
      <c r="AC556" s="27">
        <f>IF(ISNUMBER($P556),COUNTIFS($A$14:$A$1213,$A556,$P$14:$P$1213,"&gt;"&amp;$P556)+(COUNTIFS($A$14:$A$1213,$A556,$P$14:$P$1213,"="&amp;$P556)+1)/2,"")</f>
        <v/>
      </c>
      <c r="AD556" s="27">
        <f>IF(ISNUMBER($Q556),COUNTIFS($A$14:$A$1213,$A556,$Q$14:$Q$1213,"&gt;"&amp;$Q556)+(COUNTIFS($A$14:$A$1213,$A556,$Q$14:$Q$1213,"="&amp;$Q556)+1)/2,"")</f>
        <v/>
      </c>
      <c r="AE556" s="27">
        <f>IF(ISNUMBER($R556),COUNTIFS($A$14:$A$1213,$A556,$R$14:$R$1213,"&gt;"&amp;$R556)+(COUNTIFS($A$14:$A$1213,$A556,$R$14:$R$1213,"="&amp;$R556)+1)/2,"")</f>
        <v/>
      </c>
      <c r="AF556" s="27">
        <f>IF(ISNUMBER($S556),COUNTIFS($A$14:$A$1213,$A556,$S$14:$S$1213,"&gt;"&amp;$S556)+(COUNTIFS($A$14:$A$1213,$A556,$S$14:$S$1213,"="&amp;$S556)+1)/2,"")</f>
        <v/>
      </c>
      <c r="AG556" s="27">
        <f>IF(ISNUMBER($T556),COUNTIFS($A$14:$A$1213,$A556,$T$14:$T$1213,"&gt;"&amp;$T556)+(COUNTIFS($A$14:$A$1213,$A556,$T$14:$T$1213,"="&amp;$T556)+1)/2,"")</f>
        <v/>
      </c>
      <c r="AH556" s="27">
        <f>IF(COUNT($AC556:$AG556)&lt;2,"",IF(MAX($AC556:$AG556)=MIN($AC556:$AG556),0,1))</f>
        <v/>
      </c>
      <c r="AI556" s="27">
        <f>IF($A556="","",IF(COUNTIF($A$14:$A556,$A556)=1,COUNTIF($AI$13:AI555,"&gt;0")+1,""))</f>
        <v/>
      </c>
      <c r="AO556" s="27">
        <f>IF($A556="","",IF(AND(COUNTIFS($A$14:$A$1213,$A556,$F$14:$F$1213,"&gt;=0")=2,IFERROR(INDEX($M$14:$M$313,MATCH($A556,$H$14:$H$313,0)),"Yes")&lt;&gt;"Yes"),1,0))</f>
        <v/>
      </c>
    </row>
    <row r="557">
      <c r="A557" s="19">
        <f>IF('Enter messages'!A557="","",'Enter messages'!A557)</f>
        <v/>
      </c>
      <c r="B557" s="20">
        <f>IF('Enter messages'!B557="","",'Enter messages'!B557)</f>
        <v/>
      </c>
      <c r="C557" s="21">
        <f>IFERROR(AVERAGE(P557:T557),"")</f>
        <v/>
      </c>
      <c r="D557" s="29" t="n"/>
      <c r="E557" s="29" t="n"/>
      <c r="F557" s="30">
        <f>IF(AND(ISNUMBER($D557),ISNUMBER($E557),$E557&gt;0,$D557&lt;=$E557),$D557/$E557,"")</f>
        <v/>
      </c>
      <c r="P557" s="26" t="n"/>
      <c r="Q557" s="26" t="n"/>
      <c r="R557" s="26" t="n"/>
      <c r="S557" s="26" t="n"/>
      <c r="T557" s="26" t="n"/>
      <c r="V557" s="27">
        <f>IF(ISNUMBER($C557),COUNTIFS($A$14:$A$1213,$A557,$C$14:$C$1213,"&gt;"&amp;$C557)+(COUNTIFS($A$14:$A$1213,$A557,$C$14:$C$1213,"="&amp;$C557)+1)/2,"")</f>
        <v/>
      </c>
      <c r="W557" s="27">
        <f>IF(ISNUMBER($F557),COUNTIFS($A$14:$A$1213,$A557,$F$14:$F$1213,"&gt;"&amp;$F557)+(COUNTIFS($A$14:$A$1213,$A557,$F$14:$F$1213,"="&amp;$F557)+1)/2,"")</f>
        <v/>
      </c>
      <c r="X557" s="27">
        <f>IF(OR(NOT(ISNUMBER($V557)),$AO557=1),"",$V557-(COUNTIFS($A$14:$A$1213,$A557,$C$14:$C$1213,"&gt;=0")+1)/2)</f>
        <v/>
      </c>
      <c r="Y557" s="27">
        <f>IF(OR(NOT(ISNUMBER($W557)),$AO557=1),"",$W557-(COUNTIFS($A$14:$A$1213,$A557,$F$14:$F$1213,"&gt;=0")+1)/2)</f>
        <v/>
      </c>
      <c r="Z557" s="27">
        <f>IF(ISNUMBER($V557),$A557&amp;"|"&amp;$V557,"")</f>
        <v/>
      </c>
      <c r="AA557" s="27">
        <f>IF(ISNUMBER($W557),$A557&amp;"|"&amp;$W557,"")</f>
        <v/>
      </c>
      <c r="AB557" s="27">
        <f>IF(ISNUMBER($F557),$A557&amp;"|"&amp;$F557,"")</f>
        <v/>
      </c>
      <c r="AC557" s="27">
        <f>IF(ISNUMBER($P557),COUNTIFS($A$14:$A$1213,$A557,$P$14:$P$1213,"&gt;"&amp;$P557)+(COUNTIFS($A$14:$A$1213,$A557,$P$14:$P$1213,"="&amp;$P557)+1)/2,"")</f>
        <v/>
      </c>
      <c r="AD557" s="27">
        <f>IF(ISNUMBER($Q557),COUNTIFS($A$14:$A$1213,$A557,$Q$14:$Q$1213,"&gt;"&amp;$Q557)+(COUNTIFS($A$14:$A$1213,$A557,$Q$14:$Q$1213,"="&amp;$Q557)+1)/2,"")</f>
        <v/>
      </c>
      <c r="AE557" s="27">
        <f>IF(ISNUMBER($R557),COUNTIFS($A$14:$A$1213,$A557,$R$14:$R$1213,"&gt;"&amp;$R557)+(COUNTIFS($A$14:$A$1213,$A557,$R$14:$R$1213,"="&amp;$R557)+1)/2,"")</f>
        <v/>
      </c>
      <c r="AF557" s="27">
        <f>IF(ISNUMBER($S557),COUNTIFS($A$14:$A$1213,$A557,$S$14:$S$1213,"&gt;"&amp;$S557)+(COUNTIFS($A$14:$A$1213,$A557,$S$14:$S$1213,"="&amp;$S557)+1)/2,"")</f>
        <v/>
      </c>
      <c r="AG557" s="27">
        <f>IF(ISNUMBER($T557),COUNTIFS($A$14:$A$1213,$A557,$T$14:$T$1213,"&gt;"&amp;$T557)+(COUNTIFS($A$14:$A$1213,$A557,$T$14:$T$1213,"="&amp;$T557)+1)/2,"")</f>
        <v/>
      </c>
      <c r="AH557" s="27">
        <f>IF(COUNT($AC557:$AG557)&lt;2,"",IF(MAX($AC557:$AG557)=MIN($AC557:$AG557),0,1))</f>
        <v/>
      </c>
      <c r="AI557" s="27">
        <f>IF($A557="","",IF(COUNTIF($A$14:$A557,$A557)=1,COUNTIF($AI$13:AI556,"&gt;0")+1,""))</f>
        <v/>
      </c>
      <c r="AO557" s="27">
        <f>IF($A557="","",IF(AND(COUNTIFS($A$14:$A$1213,$A557,$F$14:$F$1213,"&gt;=0")=2,IFERROR(INDEX($M$14:$M$313,MATCH($A557,$H$14:$H$313,0)),"Yes")&lt;&gt;"Yes"),1,0))</f>
        <v/>
      </c>
    </row>
    <row r="558">
      <c r="A558" s="19">
        <f>IF('Enter messages'!A558="","",'Enter messages'!A558)</f>
        <v/>
      </c>
      <c r="B558" s="20">
        <f>IF('Enter messages'!B558="","",'Enter messages'!B558)</f>
        <v/>
      </c>
      <c r="C558" s="21">
        <f>IFERROR(AVERAGE(P558:T558),"")</f>
        <v/>
      </c>
      <c r="D558" s="29" t="n"/>
      <c r="E558" s="29" t="n"/>
      <c r="F558" s="30">
        <f>IF(AND(ISNUMBER($D558),ISNUMBER($E558),$E558&gt;0,$D558&lt;=$E558),$D558/$E558,"")</f>
        <v/>
      </c>
      <c r="P558" s="26" t="n"/>
      <c r="Q558" s="26" t="n"/>
      <c r="R558" s="26" t="n"/>
      <c r="S558" s="26" t="n"/>
      <c r="T558" s="26" t="n"/>
      <c r="V558" s="27">
        <f>IF(ISNUMBER($C558),COUNTIFS($A$14:$A$1213,$A558,$C$14:$C$1213,"&gt;"&amp;$C558)+(COUNTIFS($A$14:$A$1213,$A558,$C$14:$C$1213,"="&amp;$C558)+1)/2,"")</f>
        <v/>
      </c>
      <c r="W558" s="27">
        <f>IF(ISNUMBER($F558),COUNTIFS($A$14:$A$1213,$A558,$F$14:$F$1213,"&gt;"&amp;$F558)+(COUNTIFS($A$14:$A$1213,$A558,$F$14:$F$1213,"="&amp;$F558)+1)/2,"")</f>
        <v/>
      </c>
      <c r="X558" s="27">
        <f>IF(OR(NOT(ISNUMBER($V558)),$AO558=1),"",$V558-(COUNTIFS($A$14:$A$1213,$A558,$C$14:$C$1213,"&gt;=0")+1)/2)</f>
        <v/>
      </c>
      <c r="Y558" s="27">
        <f>IF(OR(NOT(ISNUMBER($W558)),$AO558=1),"",$W558-(COUNTIFS($A$14:$A$1213,$A558,$F$14:$F$1213,"&gt;=0")+1)/2)</f>
        <v/>
      </c>
      <c r="Z558" s="27">
        <f>IF(ISNUMBER($V558),$A558&amp;"|"&amp;$V558,"")</f>
        <v/>
      </c>
      <c r="AA558" s="27">
        <f>IF(ISNUMBER($W558),$A558&amp;"|"&amp;$W558,"")</f>
        <v/>
      </c>
      <c r="AB558" s="27">
        <f>IF(ISNUMBER($F558),$A558&amp;"|"&amp;$F558,"")</f>
        <v/>
      </c>
      <c r="AC558" s="27">
        <f>IF(ISNUMBER($P558),COUNTIFS($A$14:$A$1213,$A558,$P$14:$P$1213,"&gt;"&amp;$P558)+(COUNTIFS($A$14:$A$1213,$A558,$P$14:$P$1213,"="&amp;$P558)+1)/2,"")</f>
        <v/>
      </c>
      <c r="AD558" s="27">
        <f>IF(ISNUMBER($Q558),COUNTIFS($A$14:$A$1213,$A558,$Q$14:$Q$1213,"&gt;"&amp;$Q558)+(COUNTIFS($A$14:$A$1213,$A558,$Q$14:$Q$1213,"="&amp;$Q558)+1)/2,"")</f>
        <v/>
      </c>
      <c r="AE558" s="27">
        <f>IF(ISNUMBER($R558),COUNTIFS($A$14:$A$1213,$A558,$R$14:$R$1213,"&gt;"&amp;$R558)+(COUNTIFS($A$14:$A$1213,$A558,$R$14:$R$1213,"="&amp;$R558)+1)/2,"")</f>
        <v/>
      </c>
      <c r="AF558" s="27">
        <f>IF(ISNUMBER($S558),COUNTIFS($A$14:$A$1213,$A558,$S$14:$S$1213,"&gt;"&amp;$S558)+(COUNTIFS($A$14:$A$1213,$A558,$S$14:$S$1213,"="&amp;$S558)+1)/2,"")</f>
        <v/>
      </c>
      <c r="AG558" s="27">
        <f>IF(ISNUMBER($T558),COUNTIFS($A$14:$A$1213,$A558,$T$14:$T$1213,"&gt;"&amp;$T558)+(COUNTIFS($A$14:$A$1213,$A558,$T$14:$T$1213,"="&amp;$T558)+1)/2,"")</f>
        <v/>
      </c>
      <c r="AH558" s="27">
        <f>IF(COUNT($AC558:$AG558)&lt;2,"",IF(MAX($AC558:$AG558)=MIN($AC558:$AG558),0,1))</f>
        <v/>
      </c>
      <c r="AI558" s="27">
        <f>IF($A558="","",IF(COUNTIF($A$14:$A558,$A558)=1,COUNTIF($AI$13:AI557,"&gt;0")+1,""))</f>
        <v/>
      </c>
      <c r="AO558" s="27">
        <f>IF($A558="","",IF(AND(COUNTIFS($A$14:$A$1213,$A558,$F$14:$F$1213,"&gt;=0")=2,IFERROR(INDEX($M$14:$M$313,MATCH($A558,$H$14:$H$313,0)),"Yes")&lt;&gt;"Yes"),1,0))</f>
        <v/>
      </c>
    </row>
    <row r="559">
      <c r="A559" s="19">
        <f>IF('Enter messages'!A559="","",'Enter messages'!A559)</f>
        <v/>
      </c>
      <c r="B559" s="20">
        <f>IF('Enter messages'!B559="","",'Enter messages'!B559)</f>
        <v/>
      </c>
      <c r="C559" s="21">
        <f>IFERROR(AVERAGE(P559:T559),"")</f>
        <v/>
      </c>
      <c r="D559" s="29" t="n"/>
      <c r="E559" s="29" t="n"/>
      <c r="F559" s="30">
        <f>IF(AND(ISNUMBER($D559),ISNUMBER($E559),$E559&gt;0,$D559&lt;=$E559),$D559/$E559,"")</f>
        <v/>
      </c>
      <c r="P559" s="26" t="n"/>
      <c r="Q559" s="26" t="n"/>
      <c r="R559" s="26" t="n"/>
      <c r="S559" s="26" t="n"/>
      <c r="T559" s="26" t="n"/>
      <c r="V559" s="27">
        <f>IF(ISNUMBER($C559),COUNTIFS($A$14:$A$1213,$A559,$C$14:$C$1213,"&gt;"&amp;$C559)+(COUNTIFS($A$14:$A$1213,$A559,$C$14:$C$1213,"="&amp;$C559)+1)/2,"")</f>
        <v/>
      </c>
      <c r="W559" s="27">
        <f>IF(ISNUMBER($F559),COUNTIFS($A$14:$A$1213,$A559,$F$14:$F$1213,"&gt;"&amp;$F559)+(COUNTIFS($A$14:$A$1213,$A559,$F$14:$F$1213,"="&amp;$F559)+1)/2,"")</f>
        <v/>
      </c>
      <c r="X559" s="27">
        <f>IF(OR(NOT(ISNUMBER($V559)),$AO559=1),"",$V559-(COUNTIFS($A$14:$A$1213,$A559,$C$14:$C$1213,"&gt;=0")+1)/2)</f>
        <v/>
      </c>
      <c r="Y559" s="27">
        <f>IF(OR(NOT(ISNUMBER($W559)),$AO559=1),"",$W559-(COUNTIFS($A$14:$A$1213,$A559,$F$14:$F$1213,"&gt;=0")+1)/2)</f>
        <v/>
      </c>
      <c r="Z559" s="27">
        <f>IF(ISNUMBER($V559),$A559&amp;"|"&amp;$V559,"")</f>
        <v/>
      </c>
      <c r="AA559" s="27">
        <f>IF(ISNUMBER($W559),$A559&amp;"|"&amp;$W559,"")</f>
        <v/>
      </c>
      <c r="AB559" s="27">
        <f>IF(ISNUMBER($F559),$A559&amp;"|"&amp;$F559,"")</f>
        <v/>
      </c>
      <c r="AC559" s="27">
        <f>IF(ISNUMBER($P559),COUNTIFS($A$14:$A$1213,$A559,$P$14:$P$1213,"&gt;"&amp;$P559)+(COUNTIFS($A$14:$A$1213,$A559,$P$14:$P$1213,"="&amp;$P559)+1)/2,"")</f>
        <v/>
      </c>
      <c r="AD559" s="27">
        <f>IF(ISNUMBER($Q559),COUNTIFS($A$14:$A$1213,$A559,$Q$14:$Q$1213,"&gt;"&amp;$Q559)+(COUNTIFS($A$14:$A$1213,$A559,$Q$14:$Q$1213,"="&amp;$Q559)+1)/2,"")</f>
        <v/>
      </c>
      <c r="AE559" s="27">
        <f>IF(ISNUMBER($R559),COUNTIFS($A$14:$A$1213,$A559,$R$14:$R$1213,"&gt;"&amp;$R559)+(COUNTIFS($A$14:$A$1213,$A559,$R$14:$R$1213,"="&amp;$R559)+1)/2,"")</f>
        <v/>
      </c>
      <c r="AF559" s="27">
        <f>IF(ISNUMBER($S559),COUNTIFS($A$14:$A$1213,$A559,$S$14:$S$1213,"&gt;"&amp;$S559)+(COUNTIFS($A$14:$A$1213,$A559,$S$14:$S$1213,"="&amp;$S559)+1)/2,"")</f>
        <v/>
      </c>
      <c r="AG559" s="27">
        <f>IF(ISNUMBER($T559),COUNTIFS($A$14:$A$1213,$A559,$T$14:$T$1213,"&gt;"&amp;$T559)+(COUNTIFS($A$14:$A$1213,$A559,$T$14:$T$1213,"="&amp;$T559)+1)/2,"")</f>
        <v/>
      </c>
      <c r="AH559" s="27">
        <f>IF(COUNT($AC559:$AG559)&lt;2,"",IF(MAX($AC559:$AG559)=MIN($AC559:$AG559),0,1))</f>
        <v/>
      </c>
      <c r="AI559" s="27">
        <f>IF($A559="","",IF(COUNTIF($A$14:$A559,$A559)=1,COUNTIF($AI$13:AI558,"&gt;0")+1,""))</f>
        <v/>
      </c>
      <c r="AO559" s="27">
        <f>IF($A559="","",IF(AND(COUNTIFS($A$14:$A$1213,$A559,$F$14:$F$1213,"&gt;=0")=2,IFERROR(INDEX($M$14:$M$313,MATCH($A559,$H$14:$H$313,0)),"Yes")&lt;&gt;"Yes"),1,0))</f>
        <v/>
      </c>
    </row>
    <row r="560">
      <c r="A560" s="19">
        <f>IF('Enter messages'!A560="","",'Enter messages'!A560)</f>
        <v/>
      </c>
      <c r="B560" s="20">
        <f>IF('Enter messages'!B560="","",'Enter messages'!B560)</f>
        <v/>
      </c>
      <c r="C560" s="21">
        <f>IFERROR(AVERAGE(P560:T560),"")</f>
        <v/>
      </c>
      <c r="D560" s="29" t="n"/>
      <c r="E560" s="29" t="n"/>
      <c r="F560" s="30">
        <f>IF(AND(ISNUMBER($D560),ISNUMBER($E560),$E560&gt;0,$D560&lt;=$E560),$D560/$E560,"")</f>
        <v/>
      </c>
      <c r="P560" s="26" t="n"/>
      <c r="Q560" s="26" t="n"/>
      <c r="R560" s="26" t="n"/>
      <c r="S560" s="26" t="n"/>
      <c r="T560" s="26" t="n"/>
      <c r="V560" s="27">
        <f>IF(ISNUMBER($C560),COUNTIFS($A$14:$A$1213,$A560,$C$14:$C$1213,"&gt;"&amp;$C560)+(COUNTIFS($A$14:$A$1213,$A560,$C$14:$C$1213,"="&amp;$C560)+1)/2,"")</f>
        <v/>
      </c>
      <c r="W560" s="27">
        <f>IF(ISNUMBER($F560),COUNTIFS($A$14:$A$1213,$A560,$F$14:$F$1213,"&gt;"&amp;$F560)+(COUNTIFS($A$14:$A$1213,$A560,$F$14:$F$1213,"="&amp;$F560)+1)/2,"")</f>
        <v/>
      </c>
      <c r="X560" s="27">
        <f>IF(OR(NOT(ISNUMBER($V560)),$AO560=1),"",$V560-(COUNTIFS($A$14:$A$1213,$A560,$C$14:$C$1213,"&gt;=0")+1)/2)</f>
        <v/>
      </c>
      <c r="Y560" s="27">
        <f>IF(OR(NOT(ISNUMBER($W560)),$AO560=1),"",$W560-(COUNTIFS($A$14:$A$1213,$A560,$F$14:$F$1213,"&gt;=0")+1)/2)</f>
        <v/>
      </c>
      <c r="Z560" s="27">
        <f>IF(ISNUMBER($V560),$A560&amp;"|"&amp;$V560,"")</f>
        <v/>
      </c>
      <c r="AA560" s="27">
        <f>IF(ISNUMBER($W560),$A560&amp;"|"&amp;$W560,"")</f>
        <v/>
      </c>
      <c r="AB560" s="27">
        <f>IF(ISNUMBER($F560),$A560&amp;"|"&amp;$F560,"")</f>
        <v/>
      </c>
      <c r="AC560" s="27">
        <f>IF(ISNUMBER($P560),COUNTIFS($A$14:$A$1213,$A560,$P$14:$P$1213,"&gt;"&amp;$P560)+(COUNTIFS($A$14:$A$1213,$A560,$P$14:$P$1213,"="&amp;$P560)+1)/2,"")</f>
        <v/>
      </c>
      <c r="AD560" s="27">
        <f>IF(ISNUMBER($Q560),COUNTIFS($A$14:$A$1213,$A560,$Q$14:$Q$1213,"&gt;"&amp;$Q560)+(COUNTIFS($A$14:$A$1213,$A560,$Q$14:$Q$1213,"="&amp;$Q560)+1)/2,"")</f>
        <v/>
      </c>
      <c r="AE560" s="27">
        <f>IF(ISNUMBER($R560),COUNTIFS($A$14:$A$1213,$A560,$R$14:$R$1213,"&gt;"&amp;$R560)+(COUNTIFS($A$14:$A$1213,$A560,$R$14:$R$1213,"="&amp;$R560)+1)/2,"")</f>
        <v/>
      </c>
      <c r="AF560" s="27">
        <f>IF(ISNUMBER($S560),COUNTIFS($A$14:$A$1213,$A560,$S$14:$S$1213,"&gt;"&amp;$S560)+(COUNTIFS($A$14:$A$1213,$A560,$S$14:$S$1213,"="&amp;$S560)+1)/2,"")</f>
        <v/>
      </c>
      <c r="AG560" s="27">
        <f>IF(ISNUMBER($T560),COUNTIFS($A$14:$A$1213,$A560,$T$14:$T$1213,"&gt;"&amp;$T560)+(COUNTIFS($A$14:$A$1213,$A560,$T$14:$T$1213,"="&amp;$T560)+1)/2,"")</f>
        <v/>
      </c>
      <c r="AH560" s="27">
        <f>IF(COUNT($AC560:$AG560)&lt;2,"",IF(MAX($AC560:$AG560)=MIN($AC560:$AG560),0,1))</f>
        <v/>
      </c>
      <c r="AI560" s="27">
        <f>IF($A560="","",IF(COUNTIF($A$14:$A560,$A560)=1,COUNTIF($AI$13:AI559,"&gt;0")+1,""))</f>
        <v/>
      </c>
      <c r="AO560" s="27">
        <f>IF($A560="","",IF(AND(COUNTIFS($A$14:$A$1213,$A560,$F$14:$F$1213,"&gt;=0")=2,IFERROR(INDEX($M$14:$M$313,MATCH($A560,$H$14:$H$313,0)),"Yes")&lt;&gt;"Yes"),1,0))</f>
        <v/>
      </c>
    </row>
    <row r="561">
      <c r="A561" s="19">
        <f>IF('Enter messages'!A561="","",'Enter messages'!A561)</f>
        <v/>
      </c>
      <c r="B561" s="20">
        <f>IF('Enter messages'!B561="","",'Enter messages'!B561)</f>
        <v/>
      </c>
      <c r="C561" s="21">
        <f>IFERROR(AVERAGE(P561:T561),"")</f>
        <v/>
      </c>
      <c r="D561" s="29" t="n"/>
      <c r="E561" s="29" t="n"/>
      <c r="F561" s="30">
        <f>IF(AND(ISNUMBER($D561),ISNUMBER($E561),$E561&gt;0,$D561&lt;=$E561),$D561/$E561,"")</f>
        <v/>
      </c>
      <c r="P561" s="26" t="n"/>
      <c r="Q561" s="26" t="n"/>
      <c r="R561" s="26" t="n"/>
      <c r="S561" s="26" t="n"/>
      <c r="T561" s="26" t="n"/>
      <c r="V561" s="27">
        <f>IF(ISNUMBER($C561),COUNTIFS($A$14:$A$1213,$A561,$C$14:$C$1213,"&gt;"&amp;$C561)+(COUNTIFS($A$14:$A$1213,$A561,$C$14:$C$1213,"="&amp;$C561)+1)/2,"")</f>
        <v/>
      </c>
      <c r="W561" s="27">
        <f>IF(ISNUMBER($F561),COUNTIFS($A$14:$A$1213,$A561,$F$14:$F$1213,"&gt;"&amp;$F561)+(COUNTIFS($A$14:$A$1213,$A561,$F$14:$F$1213,"="&amp;$F561)+1)/2,"")</f>
        <v/>
      </c>
      <c r="X561" s="27">
        <f>IF(OR(NOT(ISNUMBER($V561)),$AO561=1),"",$V561-(COUNTIFS($A$14:$A$1213,$A561,$C$14:$C$1213,"&gt;=0")+1)/2)</f>
        <v/>
      </c>
      <c r="Y561" s="27">
        <f>IF(OR(NOT(ISNUMBER($W561)),$AO561=1),"",$W561-(COUNTIFS($A$14:$A$1213,$A561,$F$14:$F$1213,"&gt;=0")+1)/2)</f>
        <v/>
      </c>
      <c r="Z561" s="27">
        <f>IF(ISNUMBER($V561),$A561&amp;"|"&amp;$V561,"")</f>
        <v/>
      </c>
      <c r="AA561" s="27">
        <f>IF(ISNUMBER($W561),$A561&amp;"|"&amp;$W561,"")</f>
        <v/>
      </c>
      <c r="AB561" s="27">
        <f>IF(ISNUMBER($F561),$A561&amp;"|"&amp;$F561,"")</f>
        <v/>
      </c>
      <c r="AC561" s="27">
        <f>IF(ISNUMBER($P561),COUNTIFS($A$14:$A$1213,$A561,$P$14:$P$1213,"&gt;"&amp;$P561)+(COUNTIFS($A$14:$A$1213,$A561,$P$14:$P$1213,"="&amp;$P561)+1)/2,"")</f>
        <v/>
      </c>
      <c r="AD561" s="27">
        <f>IF(ISNUMBER($Q561),COUNTIFS($A$14:$A$1213,$A561,$Q$14:$Q$1213,"&gt;"&amp;$Q561)+(COUNTIFS($A$14:$A$1213,$A561,$Q$14:$Q$1213,"="&amp;$Q561)+1)/2,"")</f>
        <v/>
      </c>
      <c r="AE561" s="27">
        <f>IF(ISNUMBER($R561),COUNTIFS($A$14:$A$1213,$A561,$R$14:$R$1213,"&gt;"&amp;$R561)+(COUNTIFS($A$14:$A$1213,$A561,$R$14:$R$1213,"="&amp;$R561)+1)/2,"")</f>
        <v/>
      </c>
      <c r="AF561" s="27">
        <f>IF(ISNUMBER($S561),COUNTIFS($A$14:$A$1213,$A561,$S$14:$S$1213,"&gt;"&amp;$S561)+(COUNTIFS($A$14:$A$1213,$A561,$S$14:$S$1213,"="&amp;$S561)+1)/2,"")</f>
        <v/>
      </c>
      <c r="AG561" s="27">
        <f>IF(ISNUMBER($T561),COUNTIFS($A$14:$A$1213,$A561,$T$14:$T$1213,"&gt;"&amp;$T561)+(COUNTIFS($A$14:$A$1213,$A561,$T$14:$T$1213,"="&amp;$T561)+1)/2,"")</f>
        <v/>
      </c>
      <c r="AH561" s="27">
        <f>IF(COUNT($AC561:$AG561)&lt;2,"",IF(MAX($AC561:$AG561)=MIN($AC561:$AG561),0,1))</f>
        <v/>
      </c>
      <c r="AI561" s="27">
        <f>IF($A561="","",IF(COUNTIF($A$14:$A561,$A561)=1,COUNTIF($AI$13:AI560,"&gt;0")+1,""))</f>
        <v/>
      </c>
      <c r="AO561" s="27">
        <f>IF($A561="","",IF(AND(COUNTIFS($A$14:$A$1213,$A561,$F$14:$F$1213,"&gt;=0")=2,IFERROR(INDEX($M$14:$M$313,MATCH($A561,$H$14:$H$313,0)),"Yes")&lt;&gt;"Yes"),1,0))</f>
        <v/>
      </c>
    </row>
    <row r="562">
      <c r="A562" s="19">
        <f>IF('Enter messages'!A562="","",'Enter messages'!A562)</f>
        <v/>
      </c>
      <c r="B562" s="20">
        <f>IF('Enter messages'!B562="","",'Enter messages'!B562)</f>
        <v/>
      </c>
      <c r="C562" s="21">
        <f>IFERROR(AVERAGE(P562:T562),"")</f>
        <v/>
      </c>
      <c r="D562" s="29" t="n"/>
      <c r="E562" s="29" t="n"/>
      <c r="F562" s="30">
        <f>IF(AND(ISNUMBER($D562),ISNUMBER($E562),$E562&gt;0,$D562&lt;=$E562),$D562/$E562,"")</f>
        <v/>
      </c>
      <c r="P562" s="26" t="n"/>
      <c r="Q562" s="26" t="n"/>
      <c r="R562" s="26" t="n"/>
      <c r="S562" s="26" t="n"/>
      <c r="T562" s="26" t="n"/>
      <c r="V562" s="27">
        <f>IF(ISNUMBER($C562),COUNTIFS($A$14:$A$1213,$A562,$C$14:$C$1213,"&gt;"&amp;$C562)+(COUNTIFS($A$14:$A$1213,$A562,$C$14:$C$1213,"="&amp;$C562)+1)/2,"")</f>
        <v/>
      </c>
      <c r="W562" s="27">
        <f>IF(ISNUMBER($F562),COUNTIFS($A$14:$A$1213,$A562,$F$14:$F$1213,"&gt;"&amp;$F562)+(COUNTIFS($A$14:$A$1213,$A562,$F$14:$F$1213,"="&amp;$F562)+1)/2,"")</f>
        <v/>
      </c>
      <c r="X562" s="27">
        <f>IF(OR(NOT(ISNUMBER($V562)),$AO562=1),"",$V562-(COUNTIFS($A$14:$A$1213,$A562,$C$14:$C$1213,"&gt;=0")+1)/2)</f>
        <v/>
      </c>
      <c r="Y562" s="27">
        <f>IF(OR(NOT(ISNUMBER($W562)),$AO562=1),"",$W562-(COUNTIFS($A$14:$A$1213,$A562,$F$14:$F$1213,"&gt;=0")+1)/2)</f>
        <v/>
      </c>
      <c r="Z562" s="27">
        <f>IF(ISNUMBER($V562),$A562&amp;"|"&amp;$V562,"")</f>
        <v/>
      </c>
      <c r="AA562" s="27">
        <f>IF(ISNUMBER($W562),$A562&amp;"|"&amp;$W562,"")</f>
        <v/>
      </c>
      <c r="AB562" s="27">
        <f>IF(ISNUMBER($F562),$A562&amp;"|"&amp;$F562,"")</f>
        <v/>
      </c>
      <c r="AC562" s="27">
        <f>IF(ISNUMBER($P562),COUNTIFS($A$14:$A$1213,$A562,$P$14:$P$1213,"&gt;"&amp;$P562)+(COUNTIFS($A$14:$A$1213,$A562,$P$14:$P$1213,"="&amp;$P562)+1)/2,"")</f>
        <v/>
      </c>
      <c r="AD562" s="27">
        <f>IF(ISNUMBER($Q562),COUNTIFS($A$14:$A$1213,$A562,$Q$14:$Q$1213,"&gt;"&amp;$Q562)+(COUNTIFS($A$14:$A$1213,$A562,$Q$14:$Q$1213,"="&amp;$Q562)+1)/2,"")</f>
        <v/>
      </c>
      <c r="AE562" s="27">
        <f>IF(ISNUMBER($R562),COUNTIFS($A$14:$A$1213,$A562,$R$14:$R$1213,"&gt;"&amp;$R562)+(COUNTIFS($A$14:$A$1213,$A562,$R$14:$R$1213,"="&amp;$R562)+1)/2,"")</f>
        <v/>
      </c>
      <c r="AF562" s="27">
        <f>IF(ISNUMBER($S562),COUNTIFS($A$14:$A$1213,$A562,$S$14:$S$1213,"&gt;"&amp;$S562)+(COUNTIFS($A$14:$A$1213,$A562,$S$14:$S$1213,"="&amp;$S562)+1)/2,"")</f>
        <v/>
      </c>
      <c r="AG562" s="27">
        <f>IF(ISNUMBER($T562),COUNTIFS($A$14:$A$1213,$A562,$T$14:$T$1213,"&gt;"&amp;$T562)+(COUNTIFS($A$14:$A$1213,$A562,$T$14:$T$1213,"="&amp;$T562)+1)/2,"")</f>
        <v/>
      </c>
      <c r="AH562" s="27">
        <f>IF(COUNT($AC562:$AG562)&lt;2,"",IF(MAX($AC562:$AG562)=MIN($AC562:$AG562),0,1))</f>
        <v/>
      </c>
      <c r="AI562" s="27">
        <f>IF($A562="","",IF(COUNTIF($A$14:$A562,$A562)=1,COUNTIF($AI$13:AI561,"&gt;0")+1,""))</f>
        <v/>
      </c>
      <c r="AO562" s="27">
        <f>IF($A562="","",IF(AND(COUNTIFS($A$14:$A$1213,$A562,$F$14:$F$1213,"&gt;=0")=2,IFERROR(INDEX($M$14:$M$313,MATCH($A562,$H$14:$H$313,0)),"Yes")&lt;&gt;"Yes"),1,0))</f>
        <v/>
      </c>
    </row>
    <row r="563">
      <c r="A563" s="19">
        <f>IF('Enter messages'!A563="","",'Enter messages'!A563)</f>
        <v/>
      </c>
      <c r="B563" s="20">
        <f>IF('Enter messages'!B563="","",'Enter messages'!B563)</f>
        <v/>
      </c>
      <c r="C563" s="21">
        <f>IFERROR(AVERAGE(P563:T563),"")</f>
        <v/>
      </c>
      <c r="D563" s="29" t="n"/>
      <c r="E563" s="29" t="n"/>
      <c r="F563" s="30">
        <f>IF(AND(ISNUMBER($D563),ISNUMBER($E563),$E563&gt;0,$D563&lt;=$E563),$D563/$E563,"")</f>
        <v/>
      </c>
      <c r="P563" s="26" t="n"/>
      <c r="Q563" s="26" t="n"/>
      <c r="R563" s="26" t="n"/>
      <c r="S563" s="26" t="n"/>
      <c r="T563" s="26" t="n"/>
      <c r="V563" s="27">
        <f>IF(ISNUMBER($C563),COUNTIFS($A$14:$A$1213,$A563,$C$14:$C$1213,"&gt;"&amp;$C563)+(COUNTIFS($A$14:$A$1213,$A563,$C$14:$C$1213,"="&amp;$C563)+1)/2,"")</f>
        <v/>
      </c>
      <c r="W563" s="27">
        <f>IF(ISNUMBER($F563),COUNTIFS($A$14:$A$1213,$A563,$F$14:$F$1213,"&gt;"&amp;$F563)+(COUNTIFS($A$14:$A$1213,$A563,$F$14:$F$1213,"="&amp;$F563)+1)/2,"")</f>
        <v/>
      </c>
      <c r="X563" s="27">
        <f>IF(OR(NOT(ISNUMBER($V563)),$AO563=1),"",$V563-(COUNTIFS($A$14:$A$1213,$A563,$C$14:$C$1213,"&gt;=0")+1)/2)</f>
        <v/>
      </c>
      <c r="Y563" s="27">
        <f>IF(OR(NOT(ISNUMBER($W563)),$AO563=1),"",$W563-(COUNTIFS($A$14:$A$1213,$A563,$F$14:$F$1213,"&gt;=0")+1)/2)</f>
        <v/>
      </c>
      <c r="Z563" s="27">
        <f>IF(ISNUMBER($V563),$A563&amp;"|"&amp;$V563,"")</f>
        <v/>
      </c>
      <c r="AA563" s="27">
        <f>IF(ISNUMBER($W563),$A563&amp;"|"&amp;$W563,"")</f>
        <v/>
      </c>
      <c r="AB563" s="27">
        <f>IF(ISNUMBER($F563),$A563&amp;"|"&amp;$F563,"")</f>
        <v/>
      </c>
      <c r="AC563" s="27">
        <f>IF(ISNUMBER($P563),COUNTIFS($A$14:$A$1213,$A563,$P$14:$P$1213,"&gt;"&amp;$P563)+(COUNTIFS($A$14:$A$1213,$A563,$P$14:$P$1213,"="&amp;$P563)+1)/2,"")</f>
        <v/>
      </c>
      <c r="AD563" s="27">
        <f>IF(ISNUMBER($Q563),COUNTIFS($A$14:$A$1213,$A563,$Q$14:$Q$1213,"&gt;"&amp;$Q563)+(COUNTIFS($A$14:$A$1213,$A563,$Q$14:$Q$1213,"="&amp;$Q563)+1)/2,"")</f>
        <v/>
      </c>
      <c r="AE563" s="27">
        <f>IF(ISNUMBER($R563),COUNTIFS($A$14:$A$1213,$A563,$R$14:$R$1213,"&gt;"&amp;$R563)+(COUNTIFS($A$14:$A$1213,$A563,$R$14:$R$1213,"="&amp;$R563)+1)/2,"")</f>
        <v/>
      </c>
      <c r="AF563" s="27">
        <f>IF(ISNUMBER($S563),COUNTIFS($A$14:$A$1213,$A563,$S$14:$S$1213,"&gt;"&amp;$S563)+(COUNTIFS($A$14:$A$1213,$A563,$S$14:$S$1213,"="&amp;$S563)+1)/2,"")</f>
        <v/>
      </c>
      <c r="AG563" s="27">
        <f>IF(ISNUMBER($T563),COUNTIFS($A$14:$A$1213,$A563,$T$14:$T$1213,"&gt;"&amp;$T563)+(COUNTIFS($A$14:$A$1213,$A563,$T$14:$T$1213,"="&amp;$T563)+1)/2,"")</f>
        <v/>
      </c>
      <c r="AH563" s="27">
        <f>IF(COUNT($AC563:$AG563)&lt;2,"",IF(MAX($AC563:$AG563)=MIN($AC563:$AG563),0,1))</f>
        <v/>
      </c>
      <c r="AI563" s="27">
        <f>IF($A563="","",IF(COUNTIF($A$14:$A563,$A563)=1,COUNTIF($AI$13:AI562,"&gt;0")+1,""))</f>
        <v/>
      </c>
      <c r="AO563" s="27">
        <f>IF($A563="","",IF(AND(COUNTIFS($A$14:$A$1213,$A563,$F$14:$F$1213,"&gt;=0")=2,IFERROR(INDEX($M$14:$M$313,MATCH($A563,$H$14:$H$313,0)),"Yes")&lt;&gt;"Yes"),1,0))</f>
        <v/>
      </c>
    </row>
    <row r="564">
      <c r="A564" s="19">
        <f>IF('Enter messages'!A564="","",'Enter messages'!A564)</f>
        <v/>
      </c>
      <c r="B564" s="20">
        <f>IF('Enter messages'!B564="","",'Enter messages'!B564)</f>
        <v/>
      </c>
      <c r="C564" s="21">
        <f>IFERROR(AVERAGE(P564:T564),"")</f>
        <v/>
      </c>
      <c r="D564" s="29" t="n"/>
      <c r="E564" s="29" t="n"/>
      <c r="F564" s="30">
        <f>IF(AND(ISNUMBER($D564),ISNUMBER($E564),$E564&gt;0,$D564&lt;=$E564),$D564/$E564,"")</f>
        <v/>
      </c>
      <c r="P564" s="26" t="n"/>
      <c r="Q564" s="26" t="n"/>
      <c r="R564" s="26" t="n"/>
      <c r="S564" s="26" t="n"/>
      <c r="T564" s="26" t="n"/>
      <c r="V564" s="27">
        <f>IF(ISNUMBER($C564),COUNTIFS($A$14:$A$1213,$A564,$C$14:$C$1213,"&gt;"&amp;$C564)+(COUNTIFS($A$14:$A$1213,$A564,$C$14:$C$1213,"="&amp;$C564)+1)/2,"")</f>
        <v/>
      </c>
      <c r="W564" s="27">
        <f>IF(ISNUMBER($F564),COUNTIFS($A$14:$A$1213,$A564,$F$14:$F$1213,"&gt;"&amp;$F564)+(COUNTIFS($A$14:$A$1213,$A564,$F$14:$F$1213,"="&amp;$F564)+1)/2,"")</f>
        <v/>
      </c>
      <c r="X564" s="27">
        <f>IF(OR(NOT(ISNUMBER($V564)),$AO564=1),"",$V564-(COUNTIFS($A$14:$A$1213,$A564,$C$14:$C$1213,"&gt;=0")+1)/2)</f>
        <v/>
      </c>
      <c r="Y564" s="27">
        <f>IF(OR(NOT(ISNUMBER($W564)),$AO564=1),"",$W564-(COUNTIFS($A$14:$A$1213,$A564,$F$14:$F$1213,"&gt;=0")+1)/2)</f>
        <v/>
      </c>
      <c r="Z564" s="27">
        <f>IF(ISNUMBER($V564),$A564&amp;"|"&amp;$V564,"")</f>
        <v/>
      </c>
      <c r="AA564" s="27">
        <f>IF(ISNUMBER($W564),$A564&amp;"|"&amp;$W564,"")</f>
        <v/>
      </c>
      <c r="AB564" s="27">
        <f>IF(ISNUMBER($F564),$A564&amp;"|"&amp;$F564,"")</f>
        <v/>
      </c>
      <c r="AC564" s="27">
        <f>IF(ISNUMBER($P564),COUNTIFS($A$14:$A$1213,$A564,$P$14:$P$1213,"&gt;"&amp;$P564)+(COUNTIFS($A$14:$A$1213,$A564,$P$14:$P$1213,"="&amp;$P564)+1)/2,"")</f>
        <v/>
      </c>
      <c r="AD564" s="27">
        <f>IF(ISNUMBER($Q564),COUNTIFS($A$14:$A$1213,$A564,$Q$14:$Q$1213,"&gt;"&amp;$Q564)+(COUNTIFS($A$14:$A$1213,$A564,$Q$14:$Q$1213,"="&amp;$Q564)+1)/2,"")</f>
        <v/>
      </c>
      <c r="AE564" s="27">
        <f>IF(ISNUMBER($R564),COUNTIFS($A$14:$A$1213,$A564,$R$14:$R$1213,"&gt;"&amp;$R564)+(COUNTIFS($A$14:$A$1213,$A564,$R$14:$R$1213,"="&amp;$R564)+1)/2,"")</f>
        <v/>
      </c>
      <c r="AF564" s="27">
        <f>IF(ISNUMBER($S564),COUNTIFS($A$14:$A$1213,$A564,$S$14:$S$1213,"&gt;"&amp;$S564)+(COUNTIFS($A$14:$A$1213,$A564,$S$14:$S$1213,"="&amp;$S564)+1)/2,"")</f>
        <v/>
      </c>
      <c r="AG564" s="27">
        <f>IF(ISNUMBER($T564),COUNTIFS($A$14:$A$1213,$A564,$T$14:$T$1213,"&gt;"&amp;$T564)+(COUNTIFS($A$14:$A$1213,$A564,$T$14:$T$1213,"="&amp;$T564)+1)/2,"")</f>
        <v/>
      </c>
      <c r="AH564" s="27">
        <f>IF(COUNT($AC564:$AG564)&lt;2,"",IF(MAX($AC564:$AG564)=MIN($AC564:$AG564),0,1))</f>
        <v/>
      </c>
      <c r="AI564" s="27">
        <f>IF($A564="","",IF(COUNTIF($A$14:$A564,$A564)=1,COUNTIF($AI$13:AI563,"&gt;0")+1,""))</f>
        <v/>
      </c>
      <c r="AO564" s="27">
        <f>IF($A564="","",IF(AND(COUNTIFS($A$14:$A$1213,$A564,$F$14:$F$1213,"&gt;=0")=2,IFERROR(INDEX($M$14:$M$313,MATCH($A564,$H$14:$H$313,0)),"Yes")&lt;&gt;"Yes"),1,0))</f>
        <v/>
      </c>
    </row>
    <row r="565">
      <c r="A565" s="19">
        <f>IF('Enter messages'!A565="","",'Enter messages'!A565)</f>
        <v/>
      </c>
      <c r="B565" s="20">
        <f>IF('Enter messages'!B565="","",'Enter messages'!B565)</f>
        <v/>
      </c>
      <c r="C565" s="21">
        <f>IFERROR(AVERAGE(P565:T565),"")</f>
        <v/>
      </c>
      <c r="D565" s="29" t="n"/>
      <c r="E565" s="29" t="n"/>
      <c r="F565" s="30">
        <f>IF(AND(ISNUMBER($D565),ISNUMBER($E565),$E565&gt;0,$D565&lt;=$E565),$D565/$E565,"")</f>
        <v/>
      </c>
      <c r="P565" s="26" t="n"/>
      <c r="Q565" s="26" t="n"/>
      <c r="R565" s="26" t="n"/>
      <c r="S565" s="26" t="n"/>
      <c r="T565" s="26" t="n"/>
      <c r="V565" s="27">
        <f>IF(ISNUMBER($C565),COUNTIFS($A$14:$A$1213,$A565,$C$14:$C$1213,"&gt;"&amp;$C565)+(COUNTIFS($A$14:$A$1213,$A565,$C$14:$C$1213,"="&amp;$C565)+1)/2,"")</f>
        <v/>
      </c>
      <c r="W565" s="27">
        <f>IF(ISNUMBER($F565),COUNTIFS($A$14:$A$1213,$A565,$F$14:$F$1213,"&gt;"&amp;$F565)+(COUNTIFS($A$14:$A$1213,$A565,$F$14:$F$1213,"="&amp;$F565)+1)/2,"")</f>
        <v/>
      </c>
      <c r="X565" s="27">
        <f>IF(OR(NOT(ISNUMBER($V565)),$AO565=1),"",$V565-(COUNTIFS($A$14:$A$1213,$A565,$C$14:$C$1213,"&gt;=0")+1)/2)</f>
        <v/>
      </c>
      <c r="Y565" s="27">
        <f>IF(OR(NOT(ISNUMBER($W565)),$AO565=1),"",$W565-(COUNTIFS($A$14:$A$1213,$A565,$F$14:$F$1213,"&gt;=0")+1)/2)</f>
        <v/>
      </c>
      <c r="Z565" s="27">
        <f>IF(ISNUMBER($V565),$A565&amp;"|"&amp;$V565,"")</f>
        <v/>
      </c>
      <c r="AA565" s="27">
        <f>IF(ISNUMBER($W565),$A565&amp;"|"&amp;$W565,"")</f>
        <v/>
      </c>
      <c r="AB565" s="27">
        <f>IF(ISNUMBER($F565),$A565&amp;"|"&amp;$F565,"")</f>
        <v/>
      </c>
      <c r="AC565" s="27">
        <f>IF(ISNUMBER($P565),COUNTIFS($A$14:$A$1213,$A565,$P$14:$P$1213,"&gt;"&amp;$P565)+(COUNTIFS($A$14:$A$1213,$A565,$P$14:$P$1213,"="&amp;$P565)+1)/2,"")</f>
        <v/>
      </c>
      <c r="AD565" s="27">
        <f>IF(ISNUMBER($Q565),COUNTIFS($A$14:$A$1213,$A565,$Q$14:$Q$1213,"&gt;"&amp;$Q565)+(COUNTIFS($A$14:$A$1213,$A565,$Q$14:$Q$1213,"="&amp;$Q565)+1)/2,"")</f>
        <v/>
      </c>
      <c r="AE565" s="27">
        <f>IF(ISNUMBER($R565),COUNTIFS($A$14:$A$1213,$A565,$R$14:$R$1213,"&gt;"&amp;$R565)+(COUNTIFS($A$14:$A$1213,$A565,$R$14:$R$1213,"="&amp;$R565)+1)/2,"")</f>
        <v/>
      </c>
      <c r="AF565" s="27">
        <f>IF(ISNUMBER($S565),COUNTIFS($A$14:$A$1213,$A565,$S$14:$S$1213,"&gt;"&amp;$S565)+(COUNTIFS($A$14:$A$1213,$A565,$S$14:$S$1213,"="&amp;$S565)+1)/2,"")</f>
        <v/>
      </c>
      <c r="AG565" s="27">
        <f>IF(ISNUMBER($T565),COUNTIFS($A$14:$A$1213,$A565,$T$14:$T$1213,"&gt;"&amp;$T565)+(COUNTIFS($A$14:$A$1213,$A565,$T$14:$T$1213,"="&amp;$T565)+1)/2,"")</f>
        <v/>
      </c>
      <c r="AH565" s="27">
        <f>IF(COUNT($AC565:$AG565)&lt;2,"",IF(MAX($AC565:$AG565)=MIN($AC565:$AG565),0,1))</f>
        <v/>
      </c>
      <c r="AI565" s="27">
        <f>IF($A565="","",IF(COUNTIF($A$14:$A565,$A565)=1,COUNTIF($AI$13:AI564,"&gt;0")+1,""))</f>
        <v/>
      </c>
      <c r="AO565" s="27">
        <f>IF($A565="","",IF(AND(COUNTIFS($A$14:$A$1213,$A565,$F$14:$F$1213,"&gt;=0")=2,IFERROR(INDEX($M$14:$M$313,MATCH($A565,$H$14:$H$313,0)),"Yes")&lt;&gt;"Yes"),1,0))</f>
        <v/>
      </c>
    </row>
    <row r="566">
      <c r="A566" s="19">
        <f>IF('Enter messages'!A566="","",'Enter messages'!A566)</f>
        <v/>
      </c>
      <c r="B566" s="20">
        <f>IF('Enter messages'!B566="","",'Enter messages'!B566)</f>
        <v/>
      </c>
      <c r="C566" s="21">
        <f>IFERROR(AVERAGE(P566:T566),"")</f>
        <v/>
      </c>
      <c r="D566" s="29" t="n"/>
      <c r="E566" s="29" t="n"/>
      <c r="F566" s="30">
        <f>IF(AND(ISNUMBER($D566),ISNUMBER($E566),$E566&gt;0,$D566&lt;=$E566),$D566/$E566,"")</f>
        <v/>
      </c>
      <c r="P566" s="26" t="n"/>
      <c r="Q566" s="26" t="n"/>
      <c r="R566" s="26" t="n"/>
      <c r="S566" s="26" t="n"/>
      <c r="T566" s="26" t="n"/>
      <c r="V566" s="27">
        <f>IF(ISNUMBER($C566),COUNTIFS($A$14:$A$1213,$A566,$C$14:$C$1213,"&gt;"&amp;$C566)+(COUNTIFS($A$14:$A$1213,$A566,$C$14:$C$1213,"="&amp;$C566)+1)/2,"")</f>
        <v/>
      </c>
      <c r="W566" s="27">
        <f>IF(ISNUMBER($F566),COUNTIFS($A$14:$A$1213,$A566,$F$14:$F$1213,"&gt;"&amp;$F566)+(COUNTIFS($A$14:$A$1213,$A566,$F$14:$F$1213,"="&amp;$F566)+1)/2,"")</f>
        <v/>
      </c>
      <c r="X566" s="27">
        <f>IF(OR(NOT(ISNUMBER($V566)),$AO566=1),"",$V566-(COUNTIFS($A$14:$A$1213,$A566,$C$14:$C$1213,"&gt;=0")+1)/2)</f>
        <v/>
      </c>
      <c r="Y566" s="27">
        <f>IF(OR(NOT(ISNUMBER($W566)),$AO566=1),"",$W566-(COUNTIFS($A$14:$A$1213,$A566,$F$14:$F$1213,"&gt;=0")+1)/2)</f>
        <v/>
      </c>
      <c r="Z566" s="27">
        <f>IF(ISNUMBER($V566),$A566&amp;"|"&amp;$V566,"")</f>
        <v/>
      </c>
      <c r="AA566" s="27">
        <f>IF(ISNUMBER($W566),$A566&amp;"|"&amp;$W566,"")</f>
        <v/>
      </c>
      <c r="AB566" s="27">
        <f>IF(ISNUMBER($F566),$A566&amp;"|"&amp;$F566,"")</f>
        <v/>
      </c>
      <c r="AC566" s="27">
        <f>IF(ISNUMBER($P566),COUNTIFS($A$14:$A$1213,$A566,$P$14:$P$1213,"&gt;"&amp;$P566)+(COUNTIFS($A$14:$A$1213,$A566,$P$14:$P$1213,"="&amp;$P566)+1)/2,"")</f>
        <v/>
      </c>
      <c r="AD566" s="27">
        <f>IF(ISNUMBER($Q566),COUNTIFS($A$14:$A$1213,$A566,$Q$14:$Q$1213,"&gt;"&amp;$Q566)+(COUNTIFS($A$14:$A$1213,$A566,$Q$14:$Q$1213,"="&amp;$Q566)+1)/2,"")</f>
        <v/>
      </c>
      <c r="AE566" s="27">
        <f>IF(ISNUMBER($R566),COUNTIFS($A$14:$A$1213,$A566,$R$14:$R$1213,"&gt;"&amp;$R566)+(COUNTIFS($A$14:$A$1213,$A566,$R$14:$R$1213,"="&amp;$R566)+1)/2,"")</f>
        <v/>
      </c>
      <c r="AF566" s="27">
        <f>IF(ISNUMBER($S566),COUNTIFS($A$14:$A$1213,$A566,$S$14:$S$1213,"&gt;"&amp;$S566)+(COUNTIFS($A$14:$A$1213,$A566,$S$14:$S$1213,"="&amp;$S566)+1)/2,"")</f>
        <v/>
      </c>
      <c r="AG566" s="27">
        <f>IF(ISNUMBER($T566),COUNTIFS($A$14:$A$1213,$A566,$T$14:$T$1213,"&gt;"&amp;$T566)+(COUNTIFS($A$14:$A$1213,$A566,$T$14:$T$1213,"="&amp;$T566)+1)/2,"")</f>
        <v/>
      </c>
      <c r="AH566" s="27">
        <f>IF(COUNT($AC566:$AG566)&lt;2,"",IF(MAX($AC566:$AG566)=MIN($AC566:$AG566),0,1))</f>
        <v/>
      </c>
      <c r="AI566" s="27">
        <f>IF($A566="","",IF(COUNTIF($A$14:$A566,$A566)=1,COUNTIF($AI$13:AI565,"&gt;0")+1,""))</f>
        <v/>
      </c>
      <c r="AO566" s="27">
        <f>IF($A566="","",IF(AND(COUNTIFS($A$14:$A$1213,$A566,$F$14:$F$1213,"&gt;=0")=2,IFERROR(INDEX($M$14:$M$313,MATCH($A566,$H$14:$H$313,0)),"Yes")&lt;&gt;"Yes"),1,0))</f>
        <v/>
      </c>
    </row>
    <row r="567">
      <c r="A567" s="19">
        <f>IF('Enter messages'!A567="","",'Enter messages'!A567)</f>
        <v/>
      </c>
      <c r="B567" s="20">
        <f>IF('Enter messages'!B567="","",'Enter messages'!B567)</f>
        <v/>
      </c>
      <c r="C567" s="21">
        <f>IFERROR(AVERAGE(P567:T567),"")</f>
        <v/>
      </c>
      <c r="D567" s="29" t="n"/>
      <c r="E567" s="29" t="n"/>
      <c r="F567" s="30">
        <f>IF(AND(ISNUMBER($D567),ISNUMBER($E567),$E567&gt;0,$D567&lt;=$E567),$D567/$E567,"")</f>
        <v/>
      </c>
      <c r="P567" s="26" t="n"/>
      <c r="Q567" s="26" t="n"/>
      <c r="R567" s="26" t="n"/>
      <c r="S567" s="26" t="n"/>
      <c r="T567" s="26" t="n"/>
      <c r="V567" s="27">
        <f>IF(ISNUMBER($C567),COUNTIFS($A$14:$A$1213,$A567,$C$14:$C$1213,"&gt;"&amp;$C567)+(COUNTIFS($A$14:$A$1213,$A567,$C$14:$C$1213,"="&amp;$C567)+1)/2,"")</f>
        <v/>
      </c>
      <c r="W567" s="27">
        <f>IF(ISNUMBER($F567),COUNTIFS($A$14:$A$1213,$A567,$F$14:$F$1213,"&gt;"&amp;$F567)+(COUNTIFS($A$14:$A$1213,$A567,$F$14:$F$1213,"="&amp;$F567)+1)/2,"")</f>
        <v/>
      </c>
      <c r="X567" s="27">
        <f>IF(OR(NOT(ISNUMBER($V567)),$AO567=1),"",$V567-(COUNTIFS($A$14:$A$1213,$A567,$C$14:$C$1213,"&gt;=0")+1)/2)</f>
        <v/>
      </c>
      <c r="Y567" s="27">
        <f>IF(OR(NOT(ISNUMBER($W567)),$AO567=1),"",$W567-(COUNTIFS($A$14:$A$1213,$A567,$F$14:$F$1213,"&gt;=0")+1)/2)</f>
        <v/>
      </c>
      <c r="Z567" s="27">
        <f>IF(ISNUMBER($V567),$A567&amp;"|"&amp;$V567,"")</f>
        <v/>
      </c>
      <c r="AA567" s="27">
        <f>IF(ISNUMBER($W567),$A567&amp;"|"&amp;$W567,"")</f>
        <v/>
      </c>
      <c r="AB567" s="27">
        <f>IF(ISNUMBER($F567),$A567&amp;"|"&amp;$F567,"")</f>
        <v/>
      </c>
      <c r="AC567" s="27">
        <f>IF(ISNUMBER($P567),COUNTIFS($A$14:$A$1213,$A567,$P$14:$P$1213,"&gt;"&amp;$P567)+(COUNTIFS($A$14:$A$1213,$A567,$P$14:$P$1213,"="&amp;$P567)+1)/2,"")</f>
        <v/>
      </c>
      <c r="AD567" s="27">
        <f>IF(ISNUMBER($Q567),COUNTIFS($A$14:$A$1213,$A567,$Q$14:$Q$1213,"&gt;"&amp;$Q567)+(COUNTIFS($A$14:$A$1213,$A567,$Q$14:$Q$1213,"="&amp;$Q567)+1)/2,"")</f>
        <v/>
      </c>
      <c r="AE567" s="27">
        <f>IF(ISNUMBER($R567),COUNTIFS($A$14:$A$1213,$A567,$R$14:$R$1213,"&gt;"&amp;$R567)+(COUNTIFS($A$14:$A$1213,$A567,$R$14:$R$1213,"="&amp;$R567)+1)/2,"")</f>
        <v/>
      </c>
      <c r="AF567" s="27">
        <f>IF(ISNUMBER($S567),COUNTIFS($A$14:$A$1213,$A567,$S$14:$S$1213,"&gt;"&amp;$S567)+(COUNTIFS($A$14:$A$1213,$A567,$S$14:$S$1213,"="&amp;$S567)+1)/2,"")</f>
        <v/>
      </c>
      <c r="AG567" s="27">
        <f>IF(ISNUMBER($T567),COUNTIFS($A$14:$A$1213,$A567,$T$14:$T$1213,"&gt;"&amp;$T567)+(COUNTIFS($A$14:$A$1213,$A567,$T$14:$T$1213,"="&amp;$T567)+1)/2,"")</f>
        <v/>
      </c>
      <c r="AH567" s="27">
        <f>IF(COUNT($AC567:$AG567)&lt;2,"",IF(MAX($AC567:$AG567)=MIN($AC567:$AG567),0,1))</f>
        <v/>
      </c>
      <c r="AI567" s="27">
        <f>IF($A567="","",IF(COUNTIF($A$14:$A567,$A567)=1,COUNTIF($AI$13:AI566,"&gt;0")+1,""))</f>
        <v/>
      </c>
      <c r="AO567" s="27">
        <f>IF($A567="","",IF(AND(COUNTIFS($A$14:$A$1213,$A567,$F$14:$F$1213,"&gt;=0")=2,IFERROR(INDEX($M$14:$M$313,MATCH($A567,$H$14:$H$313,0)),"Yes")&lt;&gt;"Yes"),1,0))</f>
        <v/>
      </c>
    </row>
    <row r="568">
      <c r="A568" s="19">
        <f>IF('Enter messages'!A568="","",'Enter messages'!A568)</f>
        <v/>
      </c>
      <c r="B568" s="20">
        <f>IF('Enter messages'!B568="","",'Enter messages'!B568)</f>
        <v/>
      </c>
      <c r="C568" s="21">
        <f>IFERROR(AVERAGE(P568:T568),"")</f>
        <v/>
      </c>
      <c r="D568" s="29" t="n"/>
      <c r="E568" s="29" t="n"/>
      <c r="F568" s="30">
        <f>IF(AND(ISNUMBER($D568),ISNUMBER($E568),$E568&gt;0,$D568&lt;=$E568),$D568/$E568,"")</f>
        <v/>
      </c>
      <c r="P568" s="26" t="n"/>
      <c r="Q568" s="26" t="n"/>
      <c r="R568" s="26" t="n"/>
      <c r="S568" s="26" t="n"/>
      <c r="T568" s="26" t="n"/>
      <c r="V568" s="27">
        <f>IF(ISNUMBER($C568),COUNTIFS($A$14:$A$1213,$A568,$C$14:$C$1213,"&gt;"&amp;$C568)+(COUNTIFS($A$14:$A$1213,$A568,$C$14:$C$1213,"="&amp;$C568)+1)/2,"")</f>
        <v/>
      </c>
      <c r="W568" s="27">
        <f>IF(ISNUMBER($F568),COUNTIFS($A$14:$A$1213,$A568,$F$14:$F$1213,"&gt;"&amp;$F568)+(COUNTIFS($A$14:$A$1213,$A568,$F$14:$F$1213,"="&amp;$F568)+1)/2,"")</f>
        <v/>
      </c>
      <c r="X568" s="27">
        <f>IF(OR(NOT(ISNUMBER($V568)),$AO568=1),"",$V568-(COUNTIFS($A$14:$A$1213,$A568,$C$14:$C$1213,"&gt;=0")+1)/2)</f>
        <v/>
      </c>
      <c r="Y568" s="27">
        <f>IF(OR(NOT(ISNUMBER($W568)),$AO568=1),"",$W568-(COUNTIFS($A$14:$A$1213,$A568,$F$14:$F$1213,"&gt;=0")+1)/2)</f>
        <v/>
      </c>
      <c r="Z568" s="27">
        <f>IF(ISNUMBER($V568),$A568&amp;"|"&amp;$V568,"")</f>
        <v/>
      </c>
      <c r="AA568" s="27">
        <f>IF(ISNUMBER($W568),$A568&amp;"|"&amp;$W568,"")</f>
        <v/>
      </c>
      <c r="AB568" s="27">
        <f>IF(ISNUMBER($F568),$A568&amp;"|"&amp;$F568,"")</f>
        <v/>
      </c>
      <c r="AC568" s="27">
        <f>IF(ISNUMBER($P568),COUNTIFS($A$14:$A$1213,$A568,$P$14:$P$1213,"&gt;"&amp;$P568)+(COUNTIFS($A$14:$A$1213,$A568,$P$14:$P$1213,"="&amp;$P568)+1)/2,"")</f>
        <v/>
      </c>
      <c r="AD568" s="27">
        <f>IF(ISNUMBER($Q568),COUNTIFS($A$14:$A$1213,$A568,$Q$14:$Q$1213,"&gt;"&amp;$Q568)+(COUNTIFS($A$14:$A$1213,$A568,$Q$14:$Q$1213,"="&amp;$Q568)+1)/2,"")</f>
        <v/>
      </c>
      <c r="AE568" s="27">
        <f>IF(ISNUMBER($R568),COUNTIFS($A$14:$A$1213,$A568,$R$14:$R$1213,"&gt;"&amp;$R568)+(COUNTIFS($A$14:$A$1213,$A568,$R$14:$R$1213,"="&amp;$R568)+1)/2,"")</f>
        <v/>
      </c>
      <c r="AF568" s="27">
        <f>IF(ISNUMBER($S568),COUNTIFS($A$14:$A$1213,$A568,$S$14:$S$1213,"&gt;"&amp;$S568)+(COUNTIFS($A$14:$A$1213,$A568,$S$14:$S$1213,"="&amp;$S568)+1)/2,"")</f>
        <v/>
      </c>
      <c r="AG568" s="27">
        <f>IF(ISNUMBER($T568),COUNTIFS($A$14:$A$1213,$A568,$T$14:$T$1213,"&gt;"&amp;$T568)+(COUNTIFS($A$14:$A$1213,$A568,$T$14:$T$1213,"="&amp;$T568)+1)/2,"")</f>
        <v/>
      </c>
      <c r="AH568" s="27">
        <f>IF(COUNT($AC568:$AG568)&lt;2,"",IF(MAX($AC568:$AG568)=MIN($AC568:$AG568),0,1))</f>
        <v/>
      </c>
      <c r="AI568" s="27">
        <f>IF($A568="","",IF(COUNTIF($A$14:$A568,$A568)=1,COUNTIF($AI$13:AI567,"&gt;0")+1,""))</f>
        <v/>
      </c>
      <c r="AO568" s="27">
        <f>IF($A568="","",IF(AND(COUNTIFS($A$14:$A$1213,$A568,$F$14:$F$1213,"&gt;=0")=2,IFERROR(INDEX($M$14:$M$313,MATCH($A568,$H$14:$H$313,0)),"Yes")&lt;&gt;"Yes"),1,0))</f>
        <v/>
      </c>
    </row>
    <row r="569">
      <c r="A569" s="19">
        <f>IF('Enter messages'!A569="","",'Enter messages'!A569)</f>
        <v/>
      </c>
      <c r="B569" s="20">
        <f>IF('Enter messages'!B569="","",'Enter messages'!B569)</f>
        <v/>
      </c>
      <c r="C569" s="21">
        <f>IFERROR(AVERAGE(P569:T569),"")</f>
        <v/>
      </c>
      <c r="D569" s="29" t="n"/>
      <c r="E569" s="29" t="n"/>
      <c r="F569" s="30">
        <f>IF(AND(ISNUMBER($D569),ISNUMBER($E569),$E569&gt;0,$D569&lt;=$E569),$D569/$E569,"")</f>
        <v/>
      </c>
      <c r="P569" s="26" t="n"/>
      <c r="Q569" s="26" t="n"/>
      <c r="R569" s="26" t="n"/>
      <c r="S569" s="26" t="n"/>
      <c r="T569" s="26" t="n"/>
      <c r="V569" s="27">
        <f>IF(ISNUMBER($C569),COUNTIFS($A$14:$A$1213,$A569,$C$14:$C$1213,"&gt;"&amp;$C569)+(COUNTIFS($A$14:$A$1213,$A569,$C$14:$C$1213,"="&amp;$C569)+1)/2,"")</f>
        <v/>
      </c>
      <c r="W569" s="27">
        <f>IF(ISNUMBER($F569),COUNTIFS($A$14:$A$1213,$A569,$F$14:$F$1213,"&gt;"&amp;$F569)+(COUNTIFS($A$14:$A$1213,$A569,$F$14:$F$1213,"="&amp;$F569)+1)/2,"")</f>
        <v/>
      </c>
      <c r="X569" s="27">
        <f>IF(OR(NOT(ISNUMBER($V569)),$AO569=1),"",$V569-(COUNTIFS($A$14:$A$1213,$A569,$C$14:$C$1213,"&gt;=0")+1)/2)</f>
        <v/>
      </c>
      <c r="Y569" s="27">
        <f>IF(OR(NOT(ISNUMBER($W569)),$AO569=1),"",$W569-(COUNTIFS($A$14:$A$1213,$A569,$F$14:$F$1213,"&gt;=0")+1)/2)</f>
        <v/>
      </c>
      <c r="Z569" s="27">
        <f>IF(ISNUMBER($V569),$A569&amp;"|"&amp;$V569,"")</f>
        <v/>
      </c>
      <c r="AA569" s="27">
        <f>IF(ISNUMBER($W569),$A569&amp;"|"&amp;$W569,"")</f>
        <v/>
      </c>
      <c r="AB569" s="27">
        <f>IF(ISNUMBER($F569),$A569&amp;"|"&amp;$F569,"")</f>
        <v/>
      </c>
      <c r="AC569" s="27">
        <f>IF(ISNUMBER($P569),COUNTIFS($A$14:$A$1213,$A569,$P$14:$P$1213,"&gt;"&amp;$P569)+(COUNTIFS($A$14:$A$1213,$A569,$P$14:$P$1213,"="&amp;$P569)+1)/2,"")</f>
        <v/>
      </c>
      <c r="AD569" s="27">
        <f>IF(ISNUMBER($Q569),COUNTIFS($A$14:$A$1213,$A569,$Q$14:$Q$1213,"&gt;"&amp;$Q569)+(COUNTIFS($A$14:$A$1213,$A569,$Q$14:$Q$1213,"="&amp;$Q569)+1)/2,"")</f>
        <v/>
      </c>
      <c r="AE569" s="27">
        <f>IF(ISNUMBER($R569),COUNTIFS($A$14:$A$1213,$A569,$R$14:$R$1213,"&gt;"&amp;$R569)+(COUNTIFS($A$14:$A$1213,$A569,$R$14:$R$1213,"="&amp;$R569)+1)/2,"")</f>
        <v/>
      </c>
      <c r="AF569" s="27">
        <f>IF(ISNUMBER($S569),COUNTIFS($A$14:$A$1213,$A569,$S$14:$S$1213,"&gt;"&amp;$S569)+(COUNTIFS($A$14:$A$1213,$A569,$S$14:$S$1213,"="&amp;$S569)+1)/2,"")</f>
        <v/>
      </c>
      <c r="AG569" s="27">
        <f>IF(ISNUMBER($T569),COUNTIFS($A$14:$A$1213,$A569,$T$14:$T$1213,"&gt;"&amp;$T569)+(COUNTIFS($A$14:$A$1213,$A569,$T$14:$T$1213,"="&amp;$T569)+1)/2,"")</f>
        <v/>
      </c>
      <c r="AH569" s="27">
        <f>IF(COUNT($AC569:$AG569)&lt;2,"",IF(MAX($AC569:$AG569)=MIN($AC569:$AG569),0,1))</f>
        <v/>
      </c>
      <c r="AI569" s="27">
        <f>IF($A569="","",IF(COUNTIF($A$14:$A569,$A569)=1,COUNTIF($AI$13:AI568,"&gt;0")+1,""))</f>
        <v/>
      </c>
      <c r="AO569" s="27">
        <f>IF($A569="","",IF(AND(COUNTIFS($A$14:$A$1213,$A569,$F$14:$F$1213,"&gt;=0")=2,IFERROR(INDEX($M$14:$M$313,MATCH($A569,$H$14:$H$313,0)),"Yes")&lt;&gt;"Yes"),1,0))</f>
        <v/>
      </c>
    </row>
    <row r="570">
      <c r="A570" s="19">
        <f>IF('Enter messages'!A570="","",'Enter messages'!A570)</f>
        <v/>
      </c>
      <c r="B570" s="20">
        <f>IF('Enter messages'!B570="","",'Enter messages'!B570)</f>
        <v/>
      </c>
      <c r="C570" s="21">
        <f>IFERROR(AVERAGE(P570:T570),"")</f>
        <v/>
      </c>
      <c r="D570" s="29" t="n"/>
      <c r="E570" s="29" t="n"/>
      <c r="F570" s="30">
        <f>IF(AND(ISNUMBER($D570),ISNUMBER($E570),$E570&gt;0,$D570&lt;=$E570),$D570/$E570,"")</f>
        <v/>
      </c>
      <c r="P570" s="26" t="n"/>
      <c r="Q570" s="26" t="n"/>
      <c r="R570" s="26" t="n"/>
      <c r="S570" s="26" t="n"/>
      <c r="T570" s="26" t="n"/>
      <c r="V570" s="27">
        <f>IF(ISNUMBER($C570),COUNTIFS($A$14:$A$1213,$A570,$C$14:$C$1213,"&gt;"&amp;$C570)+(COUNTIFS($A$14:$A$1213,$A570,$C$14:$C$1213,"="&amp;$C570)+1)/2,"")</f>
        <v/>
      </c>
      <c r="W570" s="27">
        <f>IF(ISNUMBER($F570),COUNTIFS($A$14:$A$1213,$A570,$F$14:$F$1213,"&gt;"&amp;$F570)+(COUNTIFS($A$14:$A$1213,$A570,$F$14:$F$1213,"="&amp;$F570)+1)/2,"")</f>
        <v/>
      </c>
      <c r="X570" s="27">
        <f>IF(OR(NOT(ISNUMBER($V570)),$AO570=1),"",$V570-(COUNTIFS($A$14:$A$1213,$A570,$C$14:$C$1213,"&gt;=0")+1)/2)</f>
        <v/>
      </c>
      <c r="Y570" s="27">
        <f>IF(OR(NOT(ISNUMBER($W570)),$AO570=1),"",$W570-(COUNTIFS($A$14:$A$1213,$A570,$F$14:$F$1213,"&gt;=0")+1)/2)</f>
        <v/>
      </c>
      <c r="Z570" s="27">
        <f>IF(ISNUMBER($V570),$A570&amp;"|"&amp;$V570,"")</f>
        <v/>
      </c>
      <c r="AA570" s="27">
        <f>IF(ISNUMBER($W570),$A570&amp;"|"&amp;$W570,"")</f>
        <v/>
      </c>
      <c r="AB570" s="27">
        <f>IF(ISNUMBER($F570),$A570&amp;"|"&amp;$F570,"")</f>
        <v/>
      </c>
      <c r="AC570" s="27">
        <f>IF(ISNUMBER($P570),COUNTIFS($A$14:$A$1213,$A570,$P$14:$P$1213,"&gt;"&amp;$P570)+(COUNTIFS($A$14:$A$1213,$A570,$P$14:$P$1213,"="&amp;$P570)+1)/2,"")</f>
        <v/>
      </c>
      <c r="AD570" s="27">
        <f>IF(ISNUMBER($Q570),COUNTIFS($A$14:$A$1213,$A570,$Q$14:$Q$1213,"&gt;"&amp;$Q570)+(COUNTIFS($A$14:$A$1213,$A570,$Q$14:$Q$1213,"="&amp;$Q570)+1)/2,"")</f>
        <v/>
      </c>
      <c r="AE570" s="27">
        <f>IF(ISNUMBER($R570),COUNTIFS($A$14:$A$1213,$A570,$R$14:$R$1213,"&gt;"&amp;$R570)+(COUNTIFS($A$14:$A$1213,$A570,$R$14:$R$1213,"="&amp;$R570)+1)/2,"")</f>
        <v/>
      </c>
      <c r="AF570" s="27">
        <f>IF(ISNUMBER($S570),COUNTIFS($A$14:$A$1213,$A570,$S$14:$S$1213,"&gt;"&amp;$S570)+(COUNTIFS($A$14:$A$1213,$A570,$S$14:$S$1213,"="&amp;$S570)+1)/2,"")</f>
        <v/>
      </c>
      <c r="AG570" s="27">
        <f>IF(ISNUMBER($T570),COUNTIFS($A$14:$A$1213,$A570,$T$14:$T$1213,"&gt;"&amp;$T570)+(COUNTIFS($A$14:$A$1213,$A570,$T$14:$T$1213,"="&amp;$T570)+1)/2,"")</f>
        <v/>
      </c>
      <c r="AH570" s="27">
        <f>IF(COUNT($AC570:$AG570)&lt;2,"",IF(MAX($AC570:$AG570)=MIN($AC570:$AG570),0,1))</f>
        <v/>
      </c>
      <c r="AI570" s="27">
        <f>IF($A570="","",IF(COUNTIF($A$14:$A570,$A570)=1,COUNTIF($AI$13:AI569,"&gt;0")+1,""))</f>
        <v/>
      </c>
      <c r="AO570" s="27">
        <f>IF($A570="","",IF(AND(COUNTIFS($A$14:$A$1213,$A570,$F$14:$F$1213,"&gt;=0")=2,IFERROR(INDEX($M$14:$M$313,MATCH($A570,$H$14:$H$313,0)),"Yes")&lt;&gt;"Yes"),1,0))</f>
        <v/>
      </c>
    </row>
    <row r="571">
      <c r="A571" s="19">
        <f>IF('Enter messages'!A571="","",'Enter messages'!A571)</f>
        <v/>
      </c>
      <c r="B571" s="20">
        <f>IF('Enter messages'!B571="","",'Enter messages'!B571)</f>
        <v/>
      </c>
      <c r="C571" s="21">
        <f>IFERROR(AVERAGE(P571:T571),"")</f>
        <v/>
      </c>
      <c r="D571" s="29" t="n"/>
      <c r="E571" s="29" t="n"/>
      <c r="F571" s="30">
        <f>IF(AND(ISNUMBER($D571),ISNUMBER($E571),$E571&gt;0,$D571&lt;=$E571),$D571/$E571,"")</f>
        <v/>
      </c>
      <c r="P571" s="26" t="n"/>
      <c r="Q571" s="26" t="n"/>
      <c r="R571" s="26" t="n"/>
      <c r="S571" s="26" t="n"/>
      <c r="T571" s="26" t="n"/>
      <c r="V571" s="27">
        <f>IF(ISNUMBER($C571),COUNTIFS($A$14:$A$1213,$A571,$C$14:$C$1213,"&gt;"&amp;$C571)+(COUNTIFS($A$14:$A$1213,$A571,$C$14:$C$1213,"="&amp;$C571)+1)/2,"")</f>
        <v/>
      </c>
      <c r="W571" s="27">
        <f>IF(ISNUMBER($F571),COUNTIFS($A$14:$A$1213,$A571,$F$14:$F$1213,"&gt;"&amp;$F571)+(COUNTIFS($A$14:$A$1213,$A571,$F$14:$F$1213,"="&amp;$F571)+1)/2,"")</f>
        <v/>
      </c>
      <c r="X571" s="27">
        <f>IF(OR(NOT(ISNUMBER($V571)),$AO571=1),"",$V571-(COUNTIFS($A$14:$A$1213,$A571,$C$14:$C$1213,"&gt;=0")+1)/2)</f>
        <v/>
      </c>
      <c r="Y571" s="27">
        <f>IF(OR(NOT(ISNUMBER($W571)),$AO571=1),"",$W571-(COUNTIFS($A$14:$A$1213,$A571,$F$14:$F$1213,"&gt;=0")+1)/2)</f>
        <v/>
      </c>
      <c r="Z571" s="27">
        <f>IF(ISNUMBER($V571),$A571&amp;"|"&amp;$V571,"")</f>
        <v/>
      </c>
      <c r="AA571" s="27">
        <f>IF(ISNUMBER($W571),$A571&amp;"|"&amp;$W571,"")</f>
        <v/>
      </c>
      <c r="AB571" s="27">
        <f>IF(ISNUMBER($F571),$A571&amp;"|"&amp;$F571,"")</f>
        <v/>
      </c>
      <c r="AC571" s="27">
        <f>IF(ISNUMBER($P571),COUNTIFS($A$14:$A$1213,$A571,$P$14:$P$1213,"&gt;"&amp;$P571)+(COUNTIFS($A$14:$A$1213,$A571,$P$14:$P$1213,"="&amp;$P571)+1)/2,"")</f>
        <v/>
      </c>
      <c r="AD571" s="27">
        <f>IF(ISNUMBER($Q571),COUNTIFS($A$14:$A$1213,$A571,$Q$14:$Q$1213,"&gt;"&amp;$Q571)+(COUNTIFS($A$14:$A$1213,$A571,$Q$14:$Q$1213,"="&amp;$Q571)+1)/2,"")</f>
        <v/>
      </c>
      <c r="AE571" s="27">
        <f>IF(ISNUMBER($R571),COUNTIFS($A$14:$A$1213,$A571,$R$14:$R$1213,"&gt;"&amp;$R571)+(COUNTIFS($A$14:$A$1213,$A571,$R$14:$R$1213,"="&amp;$R571)+1)/2,"")</f>
        <v/>
      </c>
      <c r="AF571" s="27">
        <f>IF(ISNUMBER($S571),COUNTIFS($A$14:$A$1213,$A571,$S$14:$S$1213,"&gt;"&amp;$S571)+(COUNTIFS($A$14:$A$1213,$A571,$S$14:$S$1213,"="&amp;$S571)+1)/2,"")</f>
        <v/>
      </c>
      <c r="AG571" s="27">
        <f>IF(ISNUMBER($T571),COUNTIFS($A$14:$A$1213,$A571,$T$14:$T$1213,"&gt;"&amp;$T571)+(COUNTIFS($A$14:$A$1213,$A571,$T$14:$T$1213,"="&amp;$T571)+1)/2,"")</f>
        <v/>
      </c>
      <c r="AH571" s="27">
        <f>IF(COUNT($AC571:$AG571)&lt;2,"",IF(MAX($AC571:$AG571)=MIN($AC571:$AG571),0,1))</f>
        <v/>
      </c>
      <c r="AI571" s="27">
        <f>IF($A571="","",IF(COUNTIF($A$14:$A571,$A571)=1,COUNTIF($AI$13:AI570,"&gt;0")+1,""))</f>
        <v/>
      </c>
      <c r="AO571" s="27">
        <f>IF($A571="","",IF(AND(COUNTIFS($A$14:$A$1213,$A571,$F$14:$F$1213,"&gt;=0")=2,IFERROR(INDEX($M$14:$M$313,MATCH($A571,$H$14:$H$313,0)),"Yes")&lt;&gt;"Yes"),1,0))</f>
        <v/>
      </c>
    </row>
    <row r="572">
      <c r="A572" s="19">
        <f>IF('Enter messages'!A572="","",'Enter messages'!A572)</f>
        <v/>
      </c>
      <c r="B572" s="20">
        <f>IF('Enter messages'!B572="","",'Enter messages'!B572)</f>
        <v/>
      </c>
      <c r="C572" s="21">
        <f>IFERROR(AVERAGE(P572:T572),"")</f>
        <v/>
      </c>
      <c r="D572" s="29" t="n"/>
      <c r="E572" s="29" t="n"/>
      <c r="F572" s="30">
        <f>IF(AND(ISNUMBER($D572),ISNUMBER($E572),$E572&gt;0,$D572&lt;=$E572),$D572/$E572,"")</f>
        <v/>
      </c>
      <c r="P572" s="26" t="n"/>
      <c r="Q572" s="26" t="n"/>
      <c r="R572" s="26" t="n"/>
      <c r="S572" s="26" t="n"/>
      <c r="T572" s="26" t="n"/>
      <c r="V572" s="27">
        <f>IF(ISNUMBER($C572),COUNTIFS($A$14:$A$1213,$A572,$C$14:$C$1213,"&gt;"&amp;$C572)+(COUNTIFS($A$14:$A$1213,$A572,$C$14:$C$1213,"="&amp;$C572)+1)/2,"")</f>
        <v/>
      </c>
      <c r="W572" s="27">
        <f>IF(ISNUMBER($F572),COUNTIFS($A$14:$A$1213,$A572,$F$14:$F$1213,"&gt;"&amp;$F572)+(COUNTIFS($A$14:$A$1213,$A572,$F$14:$F$1213,"="&amp;$F572)+1)/2,"")</f>
        <v/>
      </c>
      <c r="X572" s="27">
        <f>IF(OR(NOT(ISNUMBER($V572)),$AO572=1),"",$V572-(COUNTIFS($A$14:$A$1213,$A572,$C$14:$C$1213,"&gt;=0")+1)/2)</f>
        <v/>
      </c>
      <c r="Y572" s="27">
        <f>IF(OR(NOT(ISNUMBER($W572)),$AO572=1),"",$W572-(COUNTIFS($A$14:$A$1213,$A572,$F$14:$F$1213,"&gt;=0")+1)/2)</f>
        <v/>
      </c>
      <c r="Z572" s="27">
        <f>IF(ISNUMBER($V572),$A572&amp;"|"&amp;$V572,"")</f>
        <v/>
      </c>
      <c r="AA572" s="27">
        <f>IF(ISNUMBER($W572),$A572&amp;"|"&amp;$W572,"")</f>
        <v/>
      </c>
      <c r="AB572" s="27">
        <f>IF(ISNUMBER($F572),$A572&amp;"|"&amp;$F572,"")</f>
        <v/>
      </c>
      <c r="AC572" s="27">
        <f>IF(ISNUMBER($P572),COUNTIFS($A$14:$A$1213,$A572,$P$14:$P$1213,"&gt;"&amp;$P572)+(COUNTIFS($A$14:$A$1213,$A572,$P$14:$P$1213,"="&amp;$P572)+1)/2,"")</f>
        <v/>
      </c>
      <c r="AD572" s="27">
        <f>IF(ISNUMBER($Q572),COUNTIFS($A$14:$A$1213,$A572,$Q$14:$Q$1213,"&gt;"&amp;$Q572)+(COUNTIFS($A$14:$A$1213,$A572,$Q$14:$Q$1213,"="&amp;$Q572)+1)/2,"")</f>
        <v/>
      </c>
      <c r="AE572" s="27">
        <f>IF(ISNUMBER($R572),COUNTIFS($A$14:$A$1213,$A572,$R$14:$R$1213,"&gt;"&amp;$R572)+(COUNTIFS($A$14:$A$1213,$A572,$R$14:$R$1213,"="&amp;$R572)+1)/2,"")</f>
        <v/>
      </c>
      <c r="AF572" s="27">
        <f>IF(ISNUMBER($S572),COUNTIFS($A$14:$A$1213,$A572,$S$14:$S$1213,"&gt;"&amp;$S572)+(COUNTIFS($A$14:$A$1213,$A572,$S$14:$S$1213,"="&amp;$S572)+1)/2,"")</f>
        <v/>
      </c>
      <c r="AG572" s="27">
        <f>IF(ISNUMBER($T572),COUNTIFS($A$14:$A$1213,$A572,$T$14:$T$1213,"&gt;"&amp;$T572)+(COUNTIFS($A$14:$A$1213,$A572,$T$14:$T$1213,"="&amp;$T572)+1)/2,"")</f>
        <v/>
      </c>
      <c r="AH572" s="27">
        <f>IF(COUNT($AC572:$AG572)&lt;2,"",IF(MAX($AC572:$AG572)=MIN($AC572:$AG572),0,1))</f>
        <v/>
      </c>
      <c r="AI572" s="27">
        <f>IF($A572="","",IF(COUNTIF($A$14:$A572,$A572)=1,COUNTIF($AI$13:AI571,"&gt;0")+1,""))</f>
        <v/>
      </c>
      <c r="AO572" s="27">
        <f>IF($A572="","",IF(AND(COUNTIFS($A$14:$A$1213,$A572,$F$14:$F$1213,"&gt;=0")=2,IFERROR(INDEX($M$14:$M$313,MATCH($A572,$H$14:$H$313,0)),"Yes")&lt;&gt;"Yes"),1,0))</f>
        <v/>
      </c>
    </row>
    <row r="573">
      <c r="A573" s="19">
        <f>IF('Enter messages'!A573="","",'Enter messages'!A573)</f>
        <v/>
      </c>
      <c r="B573" s="20">
        <f>IF('Enter messages'!B573="","",'Enter messages'!B573)</f>
        <v/>
      </c>
      <c r="C573" s="21">
        <f>IFERROR(AVERAGE(P573:T573),"")</f>
        <v/>
      </c>
      <c r="D573" s="29" t="n"/>
      <c r="E573" s="29" t="n"/>
      <c r="F573" s="30">
        <f>IF(AND(ISNUMBER($D573),ISNUMBER($E573),$E573&gt;0,$D573&lt;=$E573),$D573/$E573,"")</f>
        <v/>
      </c>
      <c r="P573" s="26" t="n"/>
      <c r="Q573" s="26" t="n"/>
      <c r="R573" s="26" t="n"/>
      <c r="S573" s="26" t="n"/>
      <c r="T573" s="26" t="n"/>
      <c r="V573" s="27">
        <f>IF(ISNUMBER($C573),COUNTIFS($A$14:$A$1213,$A573,$C$14:$C$1213,"&gt;"&amp;$C573)+(COUNTIFS($A$14:$A$1213,$A573,$C$14:$C$1213,"="&amp;$C573)+1)/2,"")</f>
        <v/>
      </c>
      <c r="W573" s="27">
        <f>IF(ISNUMBER($F573),COUNTIFS($A$14:$A$1213,$A573,$F$14:$F$1213,"&gt;"&amp;$F573)+(COUNTIFS($A$14:$A$1213,$A573,$F$14:$F$1213,"="&amp;$F573)+1)/2,"")</f>
        <v/>
      </c>
      <c r="X573" s="27">
        <f>IF(OR(NOT(ISNUMBER($V573)),$AO573=1),"",$V573-(COUNTIFS($A$14:$A$1213,$A573,$C$14:$C$1213,"&gt;=0")+1)/2)</f>
        <v/>
      </c>
      <c r="Y573" s="27">
        <f>IF(OR(NOT(ISNUMBER($W573)),$AO573=1),"",$W573-(COUNTIFS($A$14:$A$1213,$A573,$F$14:$F$1213,"&gt;=0")+1)/2)</f>
        <v/>
      </c>
      <c r="Z573" s="27">
        <f>IF(ISNUMBER($V573),$A573&amp;"|"&amp;$V573,"")</f>
        <v/>
      </c>
      <c r="AA573" s="27">
        <f>IF(ISNUMBER($W573),$A573&amp;"|"&amp;$W573,"")</f>
        <v/>
      </c>
      <c r="AB573" s="27">
        <f>IF(ISNUMBER($F573),$A573&amp;"|"&amp;$F573,"")</f>
        <v/>
      </c>
      <c r="AC573" s="27">
        <f>IF(ISNUMBER($P573),COUNTIFS($A$14:$A$1213,$A573,$P$14:$P$1213,"&gt;"&amp;$P573)+(COUNTIFS($A$14:$A$1213,$A573,$P$14:$P$1213,"="&amp;$P573)+1)/2,"")</f>
        <v/>
      </c>
      <c r="AD573" s="27">
        <f>IF(ISNUMBER($Q573),COUNTIFS($A$14:$A$1213,$A573,$Q$14:$Q$1213,"&gt;"&amp;$Q573)+(COUNTIFS($A$14:$A$1213,$A573,$Q$14:$Q$1213,"="&amp;$Q573)+1)/2,"")</f>
        <v/>
      </c>
      <c r="AE573" s="27">
        <f>IF(ISNUMBER($R573),COUNTIFS($A$14:$A$1213,$A573,$R$14:$R$1213,"&gt;"&amp;$R573)+(COUNTIFS($A$14:$A$1213,$A573,$R$14:$R$1213,"="&amp;$R573)+1)/2,"")</f>
        <v/>
      </c>
      <c r="AF573" s="27">
        <f>IF(ISNUMBER($S573),COUNTIFS($A$14:$A$1213,$A573,$S$14:$S$1213,"&gt;"&amp;$S573)+(COUNTIFS($A$14:$A$1213,$A573,$S$14:$S$1213,"="&amp;$S573)+1)/2,"")</f>
        <v/>
      </c>
      <c r="AG573" s="27">
        <f>IF(ISNUMBER($T573),COUNTIFS($A$14:$A$1213,$A573,$T$14:$T$1213,"&gt;"&amp;$T573)+(COUNTIFS($A$14:$A$1213,$A573,$T$14:$T$1213,"="&amp;$T573)+1)/2,"")</f>
        <v/>
      </c>
      <c r="AH573" s="27">
        <f>IF(COUNT($AC573:$AG573)&lt;2,"",IF(MAX($AC573:$AG573)=MIN($AC573:$AG573),0,1))</f>
        <v/>
      </c>
      <c r="AI573" s="27">
        <f>IF($A573="","",IF(COUNTIF($A$14:$A573,$A573)=1,COUNTIF($AI$13:AI572,"&gt;0")+1,""))</f>
        <v/>
      </c>
      <c r="AO573" s="27">
        <f>IF($A573="","",IF(AND(COUNTIFS($A$14:$A$1213,$A573,$F$14:$F$1213,"&gt;=0")=2,IFERROR(INDEX($M$14:$M$313,MATCH($A573,$H$14:$H$313,0)),"Yes")&lt;&gt;"Yes"),1,0))</f>
        <v/>
      </c>
    </row>
    <row r="574">
      <c r="A574" s="19">
        <f>IF('Enter messages'!A574="","",'Enter messages'!A574)</f>
        <v/>
      </c>
      <c r="B574" s="20">
        <f>IF('Enter messages'!B574="","",'Enter messages'!B574)</f>
        <v/>
      </c>
      <c r="C574" s="21">
        <f>IFERROR(AVERAGE(P574:T574),"")</f>
        <v/>
      </c>
      <c r="D574" s="29" t="n"/>
      <c r="E574" s="29" t="n"/>
      <c r="F574" s="30">
        <f>IF(AND(ISNUMBER($D574),ISNUMBER($E574),$E574&gt;0,$D574&lt;=$E574),$D574/$E574,"")</f>
        <v/>
      </c>
      <c r="P574" s="26" t="n"/>
      <c r="Q574" s="26" t="n"/>
      <c r="R574" s="26" t="n"/>
      <c r="S574" s="26" t="n"/>
      <c r="T574" s="26" t="n"/>
      <c r="V574" s="27">
        <f>IF(ISNUMBER($C574),COUNTIFS($A$14:$A$1213,$A574,$C$14:$C$1213,"&gt;"&amp;$C574)+(COUNTIFS($A$14:$A$1213,$A574,$C$14:$C$1213,"="&amp;$C574)+1)/2,"")</f>
        <v/>
      </c>
      <c r="W574" s="27">
        <f>IF(ISNUMBER($F574),COUNTIFS($A$14:$A$1213,$A574,$F$14:$F$1213,"&gt;"&amp;$F574)+(COUNTIFS($A$14:$A$1213,$A574,$F$14:$F$1213,"="&amp;$F574)+1)/2,"")</f>
        <v/>
      </c>
      <c r="X574" s="27">
        <f>IF(OR(NOT(ISNUMBER($V574)),$AO574=1),"",$V574-(COUNTIFS($A$14:$A$1213,$A574,$C$14:$C$1213,"&gt;=0")+1)/2)</f>
        <v/>
      </c>
      <c r="Y574" s="27">
        <f>IF(OR(NOT(ISNUMBER($W574)),$AO574=1),"",$W574-(COUNTIFS($A$14:$A$1213,$A574,$F$14:$F$1213,"&gt;=0")+1)/2)</f>
        <v/>
      </c>
      <c r="Z574" s="27">
        <f>IF(ISNUMBER($V574),$A574&amp;"|"&amp;$V574,"")</f>
        <v/>
      </c>
      <c r="AA574" s="27">
        <f>IF(ISNUMBER($W574),$A574&amp;"|"&amp;$W574,"")</f>
        <v/>
      </c>
      <c r="AB574" s="27">
        <f>IF(ISNUMBER($F574),$A574&amp;"|"&amp;$F574,"")</f>
        <v/>
      </c>
      <c r="AC574" s="27">
        <f>IF(ISNUMBER($P574),COUNTIFS($A$14:$A$1213,$A574,$P$14:$P$1213,"&gt;"&amp;$P574)+(COUNTIFS($A$14:$A$1213,$A574,$P$14:$P$1213,"="&amp;$P574)+1)/2,"")</f>
        <v/>
      </c>
      <c r="AD574" s="27">
        <f>IF(ISNUMBER($Q574),COUNTIFS($A$14:$A$1213,$A574,$Q$14:$Q$1213,"&gt;"&amp;$Q574)+(COUNTIFS($A$14:$A$1213,$A574,$Q$14:$Q$1213,"="&amp;$Q574)+1)/2,"")</f>
        <v/>
      </c>
      <c r="AE574" s="27">
        <f>IF(ISNUMBER($R574),COUNTIFS($A$14:$A$1213,$A574,$R$14:$R$1213,"&gt;"&amp;$R574)+(COUNTIFS($A$14:$A$1213,$A574,$R$14:$R$1213,"="&amp;$R574)+1)/2,"")</f>
        <v/>
      </c>
      <c r="AF574" s="27">
        <f>IF(ISNUMBER($S574),COUNTIFS($A$14:$A$1213,$A574,$S$14:$S$1213,"&gt;"&amp;$S574)+(COUNTIFS($A$14:$A$1213,$A574,$S$14:$S$1213,"="&amp;$S574)+1)/2,"")</f>
        <v/>
      </c>
      <c r="AG574" s="27">
        <f>IF(ISNUMBER($T574),COUNTIFS($A$14:$A$1213,$A574,$T$14:$T$1213,"&gt;"&amp;$T574)+(COUNTIFS($A$14:$A$1213,$A574,$T$14:$T$1213,"="&amp;$T574)+1)/2,"")</f>
        <v/>
      </c>
      <c r="AH574" s="27">
        <f>IF(COUNT($AC574:$AG574)&lt;2,"",IF(MAX($AC574:$AG574)=MIN($AC574:$AG574),0,1))</f>
        <v/>
      </c>
      <c r="AI574" s="27">
        <f>IF($A574="","",IF(COUNTIF($A$14:$A574,$A574)=1,COUNTIF($AI$13:AI573,"&gt;0")+1,""))</f>
        <v/>
      </c>
      <c r="AO574" s="27">
        <f>IF($A574="","",IF(AND(COUNTIFS($A$14:$A$1213,$A574,$F$14:$F$1213,"&gt;=0")=2,IFERROR(INDEX($M$14:$M$313,MATCH($A574,$H$14:$H$313,0)),"Yes")&lt;&gt;"Yes"),1,0))</f>
        <v/>
      </c>
    </row>
    <row r="575">
      <c r="A575" s="19">
        <f>IF('Enter messages'!A575="","",'Enter messages'!A575)</f>
        <v/>
      </c>
      <c r="B575" s="20">
        <f>IF('Enter messages'!B575="","",'Enter messages'!B575)</f>
        <v/>
      </c>
      <c r="C575" s="21">
        <f>IFERROR(AVERAGE(P575:T575),"")</f>
        <v/>
      </c>
      <c r="D575" s="29" t="n"/>
      <c r="E575" s="29" t="n"/>
      <c r="F575" s="30">
        <f>IF(AND(ISNUMBER($D575),ISNUMBER($E575),$E575&gt;0,$D575&lt;=$E575),$D575/$E575,"")</f>
        <v/>
      </c>
      <c r="P575" s="26" t="n"/>
      <c r="Q575" s="26" t="n"/>
      <c r="R575" s="26" t="n"/>
      <c r="S575" s="26" t="n"/>
      <c r="T575" s="26" t="n"/>
      <c r="V575" s="27">
        <f>IF(ISNUMBER($C575),COUNTIFS($A$14:$A$1213,$A575,$C$14:$C$1213,"&gt;"&amp;$C575)+(COUNTIFS($A$14:$A$1213,$A575,$C$14:$C$1213,"="&amp;$C575)+1)/2,"")</f>
        <v/>
      </c>
      <c r="W575" s="27">
        <f>IF(ISNUMBER($F575),COUNTIFS($A$14:$A$1213,$A575,$F$14:$F$1213,"&gt;"&amp;$F575)+(COUNTIFS($A$14:$A$1213,$A575,$F$14:$F$1213,"="&amp;$F575)+1)/2,"")</f>
        <v/>
      </c>
      <c r="X575" s="27">
        <f>IF(OR(NOT(ISNUMBER($V575)),$AO575=1),"",$V575-(COUNTIFS($A$14:$A$1213,$A575,$C$14:$C$1213,"&gt;=0")+1)/2)</f>
        <v/>
      </c>
      <c r="Y575" s="27">
        <f>IF(OR(NOT(ISNUMBER($W575)),$AO575=1),"",$W575-(COUNTIFS($A$14:$A$1213,$A575,$F$14:$F$1213,"&gt;=0")+1)/2)</f>
        <v/>
      </c>
      <c r="Z575" s="27">
        <f>IF(ISNUMBER($V575),$A575&amp;"|"&amp;$V575,"")</f>
        <v/>
      </c>
      <c r="AA575" s="27">
        <f>IF(ISNUMBER($W575),$A575&amp;"|"&amp;$W575,"")</f>
        <v/>
      </c>
      <c r="AB575" s="27">
        <f>IF(ISNUMBER($F575),$A575&amp;"|"&amp;$F575,"")</f>
        <v/>
      </c>
      <c r="AC575" s="27">
        <f>IF(ISNUMBER($P575),COUNTIFS($A$14:$A$1213,$A575,$P$14:$P$1213,"&gt;"&amp;$P575)+(COUNTIFS($A$14:$A$1213,$A575,$P$14:$P$1213,"="&amp;$P575)+1)/2,"")</f>
        <v/>
      </c>
      <c r="AD575" s="27">
        <f>IF(ISNUMBER($Q575),COUNTIFS($A$14:$A$1213,$A575,$Q$14:$Q$1213,"&gt;"&amp;$Q575)+(COUNTIFS($A$14:$A$1213,$A575,$Q$14:$Q$1213,"="&amp;$Q575)+1)/2,"")</f>
        <v/>
      </c>
      <c r="AE575" s="27">
        <f>IF(ISNUMBER($R575),COUNTIFS($A$14:$A$1213,$A575,$R$14:$R$1213,"&gt;"&amp;$R575)+(COUNTIFS($A$14:$A$1213,$A575,$R$14:$R$1213,"="&amp;$R575)+1)/2,"")</f>
        <v/>
      </c>
      <c r="AF575" s="27">
        <f>IF(ISNUMBER($S575),COUNTIFS($A$14:$A$1213,$A575,$S$14:$S$1213,"&gt;"&amp;$S575)+(COUNTIFS($A$14:$A$1213,$A575,$S$14:$S$1213,"="&amp;$S575)+1)/2,"")</f>
        <v/>
      </c>
      <c r="AG575" s="27">
        <f>IF(ISNUMBER($T575),COUNTIFS($A$14:$A$1213,$A575,$T$14:$T$1213,"&gt;"&amp;$T575)+(COUNTIFS($A$14:$A$1213,$A575,$T$14:$T$1213,"="&amp;$T575)+1)/2,"")</f>
        <v/>
      </c>
      <c r="AH575" s="27">
        <f>IF(COUNT($AC575:$AG575)&lt;2,"",IF(MAX($AC575:$AG575)=MIN($AC575:$AG575),0,1))</f>
        <v/>
      </c>
      <c r="AI575" s="27">
        <f>IF($A575="","",IF(COUNTIF($A$14:$A575,$A575)=1,COUNTIF($AI$13:AI574,"&gt;0")+1,""))</f>
        <v/>
      </c>
      <c r="AO575" s="27">
        <f>IF($A575="","",IF(AND(COUNTIFS($A$14:$A$1213,$A575,$F$14:$F$1213,"&gt;=0")=2,IFERROR(INDEX($M$14:$M$313,MATCH($A575,$H$14:$H$313,0)),"Yes")&lt;&gt;"Yes"),1,0))</f>
        <v/>
      </c>
    </row>
    <row r="576">
      <c r="A576" s="19">
        <f>IF('Enter messages'!A576="","",'Enter messages'!A576)</f>
        <v/>
      </c>
      <c r="B576" s="20">
        <f>IF('Enter messages'!B576="","",'Enter messages'!B576)</f>
        <v/>
      </c>
      <c r="C576" s="21">
        <f>IFERROR(AVERAGE(P576:T576),"")</f>
        <v/>
      </c>
      <c r="D576" s="29" t="n"/>
      <c r="E576" s="29" t="n"/>
      <c r="F576" s="30">
        <f>IF(AND(ISNUMBER($D576),ISNUMBER($E576),$E576&gt;0,$D576&lt;=$E576),$D576/$E576,"")</f>
        <v/>
      </c>
      <c r="P576" s="26" t="n"/>
      <c r="Q576" s="26" t="n"/>
      <c r="R576" s="26" t="n"/>
      <c r="S576" s="26" t="n"/>
      <c r="T576" s="26" t="n"/>
      <c r="V576" s="27">
        <f>IF(ISNUMBER($C576),COUNTIFS($A$14:$A$1213,$A576,$C$14:$C$1213,"&gt;"&amp;$C576)+(COUNTIFS($A$14:$A$1213,$A576,$C$14:$C$1213,"="&amp;$C576)+1)/2,"")</f>
        <v/>
      </c>
      <c r="W576" s="27">
        <f>IF(ISNUMBER($F576),COUNTIFS($A$14:$A$1213,$A576,$F$14:$F$1213,"&gt;"&amp;$F576)+(COUNTIFS($A$14:$A$1213,$A576,$F$14:$F$1213,"="&amp;$F576)+1)/2,"")</f>
        <v/>
      </c>
      <c r="X576" s="27">
        <f>IF(OR(NOT(ISNUMBER($V576)),$AO576=1),"",$V576-(COUNTIFS($A$14:$A$1213,$A576,$C$14:$C$1213,"&gt;=0")+1)/2)</f>
        <v/>
      </c>
      <c r="Y576" s="27">
        <f>IF(OR(NOT(ISNUMBER($W576)),$AO576=1),"",$W576-(COUNTIFS($A$14:$A$1213,$A576,$F$14:$F$1213,"&gt;=0")+1)/2)</f>
        <v/>
      </c>
      <c r="Z576" s="27">
        <f>IF(ISNUMBER($V576),$A576&amp;"|"&amp;$V576,"")</f>
        <v/>
      </c>
      <c r="AA576" s="27">
        <f>IF(ISNUMBER($W576),$A576&amp;"|"&amp;$W576,"")</f>
        <v/>
      </c>
      <c r="AB576" s="27">
        <f>IF(ISNUMBER($F576),$A576&amp;"|"&amp;$F576,"")</f>
        <v/>
      </c>
      <c r="AC576" s="27">
        <f>IF(ISNUMBER($P576),COUNTIFS($A$14:$A$1213,$A576,$P$14:$P$1213,"&gt;"&amp;$P576)+(COUNTIFS($A$14:$A$1213,$A576,$P$14:$P$1213,"="&amp;$P576)+1)/2,"")</f>
        <v/>
      </c>
      <c r="AD576" s="27">
        <f>IF(ISNUMBER($Q576),COUNTIFS($A$14:$A$1213,$A576,$Q$14:$Q$1213,"&gt;"&amp;$Q576)+(COUNTIFS($A$14:$A$1213,$A576,$Q$14:$Q$1213,"="&amp;$Q576)+1)/2,"")</f>
        <v/>
      </c>
      <c r="AE576" s="27">
        <f>IF(ISNUMBER($R576),COUNTIFS($A$14:$A$1213,$A576,$R$14:$R$1213,"&gt;"&amp;$R576)+(COUNTIFS($A$14:$A$1213,$A576,$R$14:$R$1213,"="&amp;$R576)+1)/2,"")</f>
        <v/>
      </c>
      <c r="AF576" s="27">
        <f>IF(ISNUMBER($S576),COUNTIFS($A$14:$A$1213,$A576,$S$14:$S$1213,"&gt;"&amp;$S576)+(COUNTIFS($A$14:$A$1213,$A576,$S$14:$S$1213,"="&amp;$S576)+1)/2,"")</f>
        <v/>
      </c>
      <c r="AG576" s="27">
        <f>IF(ISNUMBER($T576),COUNTIFS($A$14:$A$1213,$A576,$T$14:$T$1213,"&gt;"&amp;$T576)+(COUNTIFS($A$14:$A$1213,$A576,$T$14:$T$1213,"="&amp;$T576)+1)/2,"")</f>
        <v/>
      </c>
      <c r="AH576" s="27">
        <f>IF(COUNT($AC576:$AG576)&lt;2,"",IF(MAX($AC576:$AG576)=MIN($AC576:$AG576),0,1))</f>
        <v/>
      </c>
      <c r="AI576" s="27">
        <f>IF($A576="","",IF(COUNTIF($A$14:$A576,$A576)=1,COUNTIF($AI$13:AI575,"&gt;0")+1,""))</f>
        <v/>
      </c>
      <c r="AO576" s="27">
        <f>IF($A576="","",IF(AND(COUNTIFS($A$14:$A$1213,$A576,$F$14:$F$1213,"&gt;=0")=2,IFERROR(INDEX($M$14:$M$313,MATCH($A576,$H$14:$H$313,0)),"Yes")&lt;&gt;"Yes"),1,0))</f>
        <v/>
      </c>
    </row>
    <row r="577">
      <c r="A577" s="19">
        <f>IF('Enter messages'!A577="","",'Enter messages'!A577)</f>
        <v/>
      </c>
      <c r="B577" s="20">
        <f>IF('Enter messages'!B577="","",'Enter messages'!B577)</f>
        <v/>
      </c>
      <c r="C577" s="21">
        <f>IFERROR(AVERAGE(P577:T577),"")</f>
        <v/>
      </c>
      <c r="D577" s="29" t="n"/>
      <c r="E577" s="29" t="n"/>
      <c r="F577" s="30">
        <f>IF(AND(ISNUMBER($D577),ISNUMBER($E577),$E577&gt;0,$D577&lt;=$E577),$D577/$E577,"")</f>
        <v/>
      </c>
      <c r="P577" s="26" t="n"/>
      <c r="Q577" s="26" t="n"/>
      <c r="R577" s="26" t="n"/>
      <c r="S577" s="26" t="n"/>
      <c r="T577" s="26" t="n"/>
      <c r="V577" s="27">
        <f>IF(ISNUMBER($C577),COUNTIFS($A$14:$A$1213,$A577,$C$14:$C$1213,"&gt;"&amp;$C577)+(COUNTIFS($A$14:$A$1213,$A577,$C$14:$C$1213,"="&amp;$C577)+1)/2,"")</f>
        <v/>
      </c>
      <c r="W577" s="27">
        <f>IF(ISNUMBER($F577),COUNTIFS($A$14:$A$1213,$A577,$F$14:$F$1213,"&gt;"&amp;$F577)+(COUNTIFS($A$14:$A$1213,$A577,$F$14:$F$1213,"="&amp;$F577)+1)/2,"")</f>
        <v/>
      </c>
      <c r="X577" s="27">
        <f>IF(OR(NOT(ISNUMBER($V577)),$AO577=1),"",$V577-(COUNTIFS($A$14:$A$1213,$A577,$C$14:$C$1213,"&gt;=0")+1)/2)</f>
        <v/>
      </c>
      <c r="Y577" s="27">
        <f>IF(OR(NOT(ISNUMBER($W577)),$AO577=1),"",$W577-(COUNTIFS($A$14:$A$1213,$A577,$F$14:$F$1213,"&gt;=0")+1)/2)</f>
        <v/>
      </c>
      <c r="Z577" s="27">
        <f>IF(ISNUMBER($V577),$A577&amp;"|"&amp;$V577,"")</f>
        <v/>
      </c>
      <c r="AA577" s="27">
        <f>IF(ISNUMBER($W577),$A577&amp;"|"&amp;$W577,"")</f>
        <v/>
      </c>
      <c r="AB577" s="27">
        <f>IF(ISNUMBER($F577),$A577&amp;"|"&amp;$F577,"")</f>
        <v/>
      </c>
      <c r="AC577" s="27">
        <f>IF(ISNUMBER($P577),COUNTIFS($A$14:$A$1213,$A577,$P$14:$P$1213,"&gt;"&amp;$P577)+(COUNTIFS($A$14:$A$1213,$A577,$P$14:$P$1213,"="&amp;$P577)+1)/2,"")</f>
        <v/>
      </c>
      <c r="AD577" s="27">
        <f>IF(ISNUMBER($Q577),COUNTIFS($A$14:$A$1213,$A577,$Q$14:$Q$1213,"&gt;"&amp;$Q577)+(COUNTIFS($A$14:$A$1213,$A577,$Q$14:$Q$1213,"="&amp;$Q577)+1)/2,"")</f>
        <v/>
      </c>
      <c r="AE577" s="27">
        <f>IF(ISNUMBER($R577),COUNTIFS($A$14:$A$1213,$A577,$R$14:$R$1213,"&gt;"&amp;$R577)+(COUNTIFS($A$14:$A$1213,$A577,$R$14:$R$1213,"="&amp;$R577)+1)/2,"")</f>
        <v/>
      </c>
      <c r="AF577" s="27">
        <f>IF(ISNUMBER($S577),COUNTIFS($A$14:$A$1213,$A577,$S$14:$S$1213,"&gt;"&amp;$S577)+(COUNTIFS($A$14:$A$1213,$A577,$S$14:$S$1213,"="&amp;$S577)+1)/2,"")</f>
        <v/>
      </c>
      <c r="AG577" s="27">
        <f>IF(ISNUMBER($T577),COUNTIFS($A$14:$A$1213,$A577,$T$14:$T$1213,"&gt;"&amp;$T577)+(COUNTIFS($A$14:$A$1213,$A577,$T$14:$T$1213,"="&amp;$T577)+1)/2,"")</f>
        <v/>
      </c>
      <c r="AH577" s="27">
        <f>IF(COUNT($AC577:$AG577)&lt;2,"",IF(MAX($AC577:$AG577)=MIN($AC577:$AG577),0,1))</f>
        <v/>
      </c>
      <c r="AI577" s="27">
        <f>IF($A577="","",IF(COUNTIF($A$14:$A577,$A577)=1,COUNTIF($AI$13:AI576,"&gt;0")+1,""))</f>
        <v/>
      </c>
      <c r="AO577" s="27">
        <f>IF($A577="","",IF(AND(COUNTIFS($A$14:$A$1213,$A577,$F$14:$F$1213,"&gt;=0")=2,IFERROR(INDEX($M$14:$M$313,MATCH($A577,$H$14:$H$313,0)),"Yes")&lt;&gt;"Yes"),1,0))</f>
        <v/>
      </c>
    </row>
    <row r="578">
      <c r="A578" s="19">
        <f>IF('Enter messages'!A578="","",'Enter messages'!A578)</f>
        <v/>
      </c>
      <c r="B578" s="20">
        <f>IF('Enter messages'!B578="","",'Enter messages'!B578)</f>
        <v/>
      </c>
      <c r="C578" s="21">
        <f>IFERROR(AVERAGE(P578:T578),"")</f>
        <v/>
      </c>
      <c r="D578" s="29" t="n"/>
      <c r="E578" s="29" t="n"/>
      <c r="F578" s="30">
        <f>IF(AND(ISNUMBER($D578),ISNUMBER($E578),$E578&gt;0,$D578&lt;=$E578),$D578/$E578,"")</f>
        <v/>
      </c>
      <c r="P578" s="26" t="n"/>
      <c r="Q578" s="26" t="n"/>
      <c r="R578" s="26" t="n"/>
      <c r="S578" s="26" t="n"/>
      <c r="T578" s="26" t="n"/>
      <c r="V578" s="27">
        <f>IF(ISNUMBER($C578),COUNTIFS($A$14:$A$1213,$A578,$C$14:$C$1213,"&gt;"&amp;$C578)+(COUNTIFS($A$14:$A$1213,$A578,$C$14:$C$1213,"="&amp;$C578)+1)/2,"")</f>
        <v/>
      </c>
      <c r="W578" s="27">
        <f>IF(ISNUMBER($F578),COUNTIFS($A$14:$A$1213,$A578,$F$14:$F$1213,"&gt;"&amp;$F578)+(COUNTIFS($A$14:$A$1213,$A578,$F$14:$F$1213,"="&amp;$F578)+1)/2,"")</f>
        <v/>
      </c>
      <c r="X578" s="27">
        <f>IF(OR(NOT(ISNUMBER($V578)),$AO578=1),"",$V578-(COUNTIFS($A$14:$A$1213,$A578,$C$14:$C$1213,"&gt;=0")+1)/2)</f>
        <v/>
      </c>
      <c r="Y578" s="27">
        <f>IF(OR(NOT(ISNUMBER($W578)),$AO578=1),"",$W578-(COUNTIFS($A$14:$A$1213,$A578,$F$14:$F$1213,"&gt;=0")+1)/2)</f>
        <v/>
      </c>
      <c r="Z578" s="27">
        <f>IF(ISNUMBER($V578),$A578&amp;"|"&amp;$V578,"")</f>
        <v/>
      </c>
      <c r="AA578" s="27">
        <f>IF(ISNUMBER($W578),$A578&amp;"|"&amp;$W578,"")</f>
        <v/>
      </c>
      <c r="AB578" s="27">
        <f>IF(ISNUMBER($F578),$A578&amp;"|"&amp;$F578,"")</f>
        <v/>
      </c>
      <c r="AC578" s="27">
        <f>IF(ISNUMBER($P578),COUNTIFS($A$14:$A$1213,$A578,$P$14:$P$1213,"&gt;"&amp;$P578)+(COUNTIFS($A$14:$A$1213,$A578,$P$14:$P$1213,"="&amp;$P578)+1)/2,"")</f>
        <v/>
      </c>
      <c r="AD578" s="27">
        <f>IF(ISNUMBER($Q578),COUNTIFS($A$14:$A$1213,$A578,$Q$14:$Q$1213,"&gt;"&amp;$Q578)+(COUNTIFS($A$14:$A$1213,$A578,$Q$14:$Q$1213,"="&amp;$Q578)+1)/2,"")</f>
        <v/>
      </c>
      <c r="AE578" s="27">
        <f>IF(ISNUMBER($R578),COUNTIFS($A$14:$A$1213,$A578,$R$14:$R$1213,"&gt;"&amp;$R578)+(COUNTIFS($A$14:$A$1213,$A578,$R$14:$R$1213,"="&amp;$R578)+1)/2,"")</f>
        <v/>
      </c>
      <c r="AF578" s="27">
        <f>IF(ISNUMBER($S578),COUNTIFS($A$14:$A$1213,$A578,$S$14:$S$1213,"&gt;"&amp;$S578)+(COUNTIFS($A$14:$A$1213,$A578,$S$14:$S$1213,"="&amp;$S578)+1)/2,"")</f>
        <v/>
      </c>
      <c r="AG578" s="27">
        <f>IF(ISNUMBER($T578),COUNTIFS($A$14:$A$1213,$A578,$T$14:$T$1213,"&gt;"&amp;$T578)+(COUNTIFS($A$14:$A$1213,$A578,$T$14:$T$1213,"="&amp;$T578)+1)/2,"")</f>
        <v/>
      </c>
      <c r="AH578" s="27">
        <f>IF(COUNT($AC578:$AG578)&lt;2,"",IF(MAX($AC578:$AG578)=MIN($AC578:$AG578),0,1))</f>
        <v/>
      </c>
      <c r="AI578" s="27">
        <f>IF($A578="","",IF(COUNTIF($A$14:$A578,$A578)=1,COUNTIF($AI$13:AI577,"&gt;0")+1,""))</f>
        <v/>
      </c>
      <c r="AO578" s="27">
        <f>IF($A578="","",IF(AND(COUNTIFS($A$14:$A$1213,$A578,$F$14:$F$1213,"&gt;=0")=2,IFERROR(INDEX($M$14:$M$313,MATCH($A578,$H$14:$H$313,0)),"Yes")&lt;&gt;"Yes"),1,0))</f>
        <v/>
      </c>
    </row>
    <row r="579">
      <c r="A579" s="19">
        <f>IF('Enter messages'!A579="","",'Enter messages'!A579)</f>
        <v/>
      </c>
      <c r="B579" s="20">
        <f>IF('Enter messages'!B579="","",'Enter messages'!B579)</f>
        <v/>
      </c>
      <c r="C579" s="21">
        <f>IFERROR(AVERAGE(P579:T579),"")</f>
        <v/>
      </c>
      <c r="D579" s="29" t="n"/>
      <c r="E579" s="29" t="n"/>
      <c r="F579" s="30">
        <f>IF(AND(ISNUMBER($D579),ISNUMBER($E579),$E579&gt;0,$D579&lt;=$E579),$D579/$E579,"")</f>
        <v/>
      </c>
      <c r="P579" s="26" t="n"/>
      <c r="Q579" s="26" t="n"/>
      <c r="R579" s="26" t="n"/>
      <c r="S579" s="26" t="n"/>
      <c r="T579" s="26" t="n"/>
      <c r="V579" s="27">
        <f>IF(ISNUMBER($C579),COUNTIFS($A$14:$A$1213,$A579,$C$14:$C$1213,"&gt;"&amp;$C579)+(COUNTIFS($A$14:$A$1213,$A579,$C$14:$C$1213,"="&amp;$C579)+1)/2,"")</f>
        <v/>
      </c>
      <c r="W579" s="27">
        <f>IF(ISNUMBER($F579),COUNTIFS($A$14:$A$1213,$A579,$F$14:$F$1213,"&gt;"&amp;$F579)+(COUNTIFS($A$14:$A$1213,$A579,$F$14:$F$1213,"="&amp;$F579)+1)/2,"")</f>
        <v/>
      </c>
      <c r="X579" s="27">
        <f>IF(OR(NOT(ISNUMBER($V579)),$AO579=1),"",$V579-(COUNTIFS($A$14:$A$1213,$A579,$C$14:$C$1213,"&gt;=0")+1)/2)</f>
        <v/>
      </c>
      <c r="Y579" s="27">
        <f>IF(OR(NOT(ISNUMBER($W579)),$AO579=1),"",$W579-(COUNTIFS($A$14:$A$1213,$A579,$F$14:$F$1213,"&gt;=0")+1)/2)</f>
        <v/>
      </c>
      <c r="Z579" s="27">
        <f>IF(ISNUMBER($V579),$A579&amp;"|"&amp;$V579,"")</f>
        <v/>
      </c>
      <c r="AA579" s="27">
        <f>IF(ISNUMBER($W579),$A579&amp;"|"&amp;$W579,"")</f>
        <v/>
      </c>
      <c r="AB579" s="27">
        <f>IF(ISNUMBER($F579),$A579&amp;"|"&amp;$F579,"")</f>
        <v/>
      </c>
      <c r="AC579" s="27">
        <f>IF(ISNUMBER($P579),COUNTIFS($A$14:$A$1213,$A579,$P$14:$P$1213,"&gt;"&amp;$P579)+(COUNTIFS($A$14:$A$1213,$A579,$P$14:$P$1213,"="&amp;$P579)+1)/2,"")</f>
        <v/>
      </c>
      <c r="AD579" s="27">
        <f>IF(ISNUMBER($Q579),COUNTIFS($A$14:$A$1213,$A579,$Q$14:$Q$1213,"&gt;"&amp;$Q579)+(COUNTIFS($A$14:$A$1213,$A579,$Q$14:$Q$1213,"="&amp;$Q579)+1)/2,"")</f>
        <v/>
      </c>
      <c r="AE579" s="27">
        <f>IF(ISNUMBER($R579),COUNTIFS($A$14:$A$1213,$A579,$R$14:$R$1213,"&gt;"&amp;$R579)+(COUNTIFS($A$14:$A$1213,$A579,$R$14:$R$1213,"="&amp;$R579)+1)/2,"")</f>
        <v/>
      </c>
      <c r="AF579" s="27">
        <f>IF(ISNUMBER($S579),COUNTIFS($A$14:$A$1213,$A579,$S$14:$S$1213,"&gt;"&amp;$S579)+(COUNTIFS($A$14:$A$1213,$A579,$S$14:$S$1213,"="&amp;$S579)+1)/2,"")</f>
        <v/>
      </c>
      <c r="AG579" s="27">
        <f>IF(ISNUMBER($T579),COUNTIFS($A$14:$A$1213,$A579,$T$14:$T$1213,"&gt;"&amp;$T579)+(COUNTIFS($A$14:$A$1213,$A579,$T$14:$T$1213,"="&amp;$T579)+1)/2,"")</f>
        <v/>
      </c>
      <c r="AH579" s="27">
        <f>IF(COUNT($AC579:$AG579)&lt;2,"",IF(MAX($AC579:$AG579)=MIN($AC579:$AG579),0,1))</f>
        <v/>
      </c>
      <c r="AI579" s="27">
        <f>IF($A579="","",IF(COUNTIF($A$14:$A579,$A579)=1,COUNTIF($AI$13:AI578,"&gt;0")+1,""))</f>
        <v/>
      </c>
      <c r="AO579" s="27">
        <f>IF($A579="","",IF(AND(COUNTIFS($A$14:$A$1213,$A579,$F$14:$F$1213,"&gt;=0")=2,IFERROR(INDEX($M$14:$M$313,MATCH($A579,$H$14:$H$313,0)),"Yes")&lt;&gt;"Yes"),1,0))</f>
        <v/>
      </c>
    </row>
    <row r="580">
      <c r="A580" s="19">
        <f>IF('Enter messages'!A580="","",'Enter messages'!A580)</f>
        <v/>
      </c>
      <c r="B580" s="20">
        <f>IF('Enter messages'!B580="","",'Enter messages'!B580)</f>
        <v/>
      </c>
      <c r="C580" s="21">
        <f>IFERROR(AVERAGE(P580:T580),"")</f>
        <v/>
      </c>
      <c r="D580" s="29" t="n"/>
      <c r="E580" s="29" t="n"/>
      <c r="F580" s="30">
        <f>IF(AND(ISNUMBER($D580),ISNUMBER($E580),$E580&gt;0,$D580&lt;=$E580),$D580/$E580,"")</f>
        <v/>
      </c>
      <c r="P580" s="26" t="n"/>
      <c r="Q580" s="26" t="n"/>
      <c r="R580" s="26" t="n"/>
      <c r="S580" s="26" t="n"/>
      <c r="T580" s="26" t="n"/>
      <c r="V580" s="27">
        <f>IF(ISNUMBER($C580),COUNTIFS($A$14:$A$1213,$A580,$C$14:$C$1213,"&gt;"&amp;$C580)+(COUNTIFS($A$14:$A$1213,$A580,$C$14:$C$1213,"="&amp;$C580)+1)/2,"")</f>
        <v/>
      </c>
      <c r="W580" s="27">
        <f>IF(ISNUMBER($F580),COUNTIFS($A$14:$A$1213,$A580,$F$14:$F$1213,"&gt;"&amp;$F580)+(COUNTIFS($A$14:$A$1213,$A580,$F$14:$F$1213,"="&amp;$F580)+1)/2,"")</f>
        <v/>
      </c>
      <c r="X580" s="27">
        <f>IF(OR(NOT(ISNUMBER($V580)),$AO580=1),"",$V580-(COUNTIFS($A$14:$A$1213,$A580,$C$14:$C$1213,"&gt;=0")+1)/2)</f>
        <v/>
      </c>
      <c r="Y580" s="27">
        <f>IF(OR(NOT(ISNUMBER($W580)),$AO580=1),"",$W580-(COUNTIFS($A$14:$A$1213,$A580,$F$14:$F$1213,"&gt;=0")+1)/2)</f>
        <v/>
      </c>
      <c r="Z580" s="27">
        <f>IF(ISNUMBER($V580),$A580&amp;"|"&amp;$V580,"")</f>
        <v/>
      </c>
      <c r="AA580" s="27">
        <f>IF(ISNUMBER($W580),$A580&amp;"|"&amp;$W580,"")</f>
        <v/>
      </c>
      <c r="AB580" s="27">
        <f>IF(ISNUMBER($F580),$A580&amp;"|"&amp;$F580,"")</f>
        <v/>
      </c>
      <c r="AC580" s="27">
        <f>IF(ISNUMBER($P580),COUNTIFS($A$14:$A$1213,$A580,$P$14:$P$1213,"&gt;"&amp;$P580)+(COUNTIFS($A$14:$A$1213,$A580,$P$14:$P$1213,"="&amp;$P580)+1)/2,"")</f>
        <v/>
      </c>
      <c r="AD580" s="27">
        <f>IF(ISNUMBER($Q580),COUNTIFS($A$14:$A$1213,$A580,$Q$14:$Q$1213,"&gt;"&amp;$Q580)+(COUNTIFS($A$14:$A$1213,$A580,$Q$14:$Q$1213,"="&amp;$Q580)+1)/2,"")</f>
        <v/>
      </c>
      <c r="AE580" s="27">
        <f>IF(ISNUMBER($R580),COUNTIFS($A$14:$A$1213,$A580,$R$14:$R$1213,"&gt;"&amp;$R580)+(COUNTIFS($A$14:$A$1213,$A580,$R$14:$R$1213,"="&amp;$R580)+1)/2,"")</f>
        <v/>
      </c>
      <c r="AF580" s="27">
        <f>IF(ISNUMBER($S580),COUNTIFS($A$14:$A$1213,$A580,$S$14:$S$1213,"&gt;"&amp;$S580)+(COUNTIFS($A$14:$A$1213,$A580,$S$14:$S$1213,"="&amp;$S580)+1)/2,"")</f>
        <v/>
      </c>
      <c r="AG580" s="27">
        <f>IF(ISNUMBER($T580),COUNTIFS($A$14:$A$1213,$A580,$T$14:$T$1213,"&gt;"&amp;$T580)+(COUNTIFS($A$14:$A$1213,$A580,$T$14:$T$1213,"="&amp;$T580)+1)/2,"")</f>
        <v/>
      </c>
      <c r="AH580" s="27">
        <f>IF(COUNT($AC580:$AG580)&lt;2,"",IF(MAX($AC580:$AG580)=MIN($AC580:$AG580),0,1))</f>
        <v/>
      </c>
      <c r="AI580" s="27">
        <f>IF($A580="","",IF(COUNTIF($A$14:$A580,$A580)=1,COUNTIF($AI$13:AI579,"&gt;0")+1,""))</f>
        <v/>
      </c>
      <c r="AO580" s="27">
        <f>IF($A580="","",IF(AND(COUNTIFS($A$14:$A$1213,$A580,$F$14:$F$1213,"&gt;=0")=2,IFERROR(INDEX($M$14:$M$313,MATCH($A580,$H$14:$H$313,0)),"Yes")&lt;&gt;"Yes"),1,0))</f>
        <v/>
      </c>
    </row>
    <row r="581">
      <c r="A581" s="19">
        <f>IF('Enter messages'!A581="","",'Enter messages'!A581)</f>
        <v/>
      </c>
      <c r="B581" s="20">
        <f>IF('Enter messages'!B581="","",'Enter messages'!B581)</f>
        <v/>
      </c>
      <c r="C581" s="21">
        <f>IFERROR(AVERAGE(P581:T581),"")</f>
        <v/>
      </c>
      <c r="D581" s="29" t="n"/>
      <c r="E581" s="29" t="n"/>
      <c r="F581" s="30">
        <f>IF(AND(ISNUMBER($D581),ISNUMBER($E581),$E581&gt;0,$D581&lt;=$E581),$D581/$E581,"")</f>
        <v/>
      </c>
      <c r="P581" s="26" t="n"/>
      <c r="Q581" s="26" t="n"/>
      <c r="R581" s="26" t="n"/>
      <c r="S581" s="26" t="n"/>
      <c r="T581" s="26" t="n"/>
      <c r="V581" s="27">
        <f>IF(ISNUMBER($C581),COUNTIFS($A$14:$A$1213,$A581,$C$14:$C$1213,"&gt;"&amp;$C581)+(COUNTIFS($A$14:$A$1213,$A581,$C$14:$C$1213,"="&amp;$C581)+1)/2,"")</f>
        <v/>
      </c>
      <c r="W581" s="27">
        <f>IF(ISNUMBER($F581),COUNTIFS($A$14:$A$1213,$A581,$F$14:$F$1213,"&gt;"&amp;$F581)+(COUNTIFS($A$14:$A$1213,$A581,$F$14:$F$1213,"="&amp;$F581)+1)/2,"")</f>
        <v/>
      </c>
      <c r="X581" s="27">
        <f>IF(OR(NOT(ISNUMBER($V581)),$AO581=1),"",$V581-(COUNTIFS($A$14:$A$1213,$A581,$C$14:$C$1213,"&gt;=0")+1)/2)</f>
        <v/>
      </c>
      <c r="Y581" s="27">
        <f>IF(OR(NOT(ISNUMBER($W581)),$AO581=1),"",$W581-(COUNTIFS($A$14:$A$1213,$A581,$F$14:$F$1213,"&gt;=0")+1)/2)</f>
        <v/>
      </c>
      <c r="Z581" s="27">
        <f>IF(ISNUMBER($V581),$A581&amp;"|"&amp;$V581,"")</f>
        <v/>
      </c>
      <c r="AA581" s="27">
        <f>IF(ISNUMBER($W581),$A581&amp;"|"&amp;$W581,"")</f>
        <v/>
      </c>
      <c r="AB581" s="27">
        <f>IF(ISNUMBER($F581),$A581&amp;"|"&amp;$F581,"")</f>
        <v/>
      </c>
      <c r="AC581" s="27">
        <f>IF(ISNUMBER($P581),COUNTIFS($A$14:$A$1213,$A581,$P$14:$P$1213,"&gt;"&amp;$P581)+(COUNTIFS($A$14:$A$1213,$A581,$P$14:$P$1213,"="&amp;$P581)+1)/2,"")</f>
        <v/>
      </c>
      <c r="AD581" s="27">
        <f>IF(ISNUMBER($Q581),COUNTIFS($A$14:$A$1213,$A581,$Q$14:$Q$1213,"&gt;"&amp;$Q581)+(COUNTIFS($A$14:$A$1213,$A581,$Q$14:$Q$1213,"="&amp;$Q581)+1)/2,"")</f>
        <v/>
      </c>
      <c r="AE581" s="27">
        <f>IF(ISNUMBER($R581),COUNTIFS($A$14:$A$1213,$A581,$R$14:$R$1213,"&gt;"&amp;$R581)+(COUNTIFS($A$14:$A$1213,$A581,$R$14:$R$1213,"="&amp;$R581)+1)/2,"")</f>
        <v/>
      </c>
      <c r="AF581" s="27">
        <f>IF(ISNUMBER($S581),COUNTIFS($A$14:$A$1213,$A581,$S$14:$S$1213,"&gt;"&amp;$S581)+(COUNTIFS($A$14:$A$1213,$A581,$S$14:$S$1213,"="&amp;$S581)+1)/2,"")</f>
        <v/>
      </c>
      <c r="AG581" s="27">
        <f>IF(ISNUMBER($T581),COUNTIFS($A$14:$A$1213,$A581,$T$14:$T$1213,"&gt;"&amp;$T581)+(COUNTIFS($A$14:$A$1213,$A581,$T$14:$T$1213,"="&amp;$T581)+1)/2,"")</f>
        <v/>
      </c>
      <c r="AH581" s="27">
        <f>IF(COUNT($AC581:$AG581)&lt;2,"",IF(MAX($AC581:$AG581)=MIN($AC581:$AG581),0,1))</f>
        <v/>
      </c>
      <c r="AI581" s="27">
        <f>IF($A581="","",IF(COUNTIF($A$14:$A581,$A581)=1,COUNTIF($AI$13:AI580,"&gt;0")+1,""))</f>
        <v/>
      </c>
      <c r="AO581" s="27">
        <f>IF($A581="","",IF(AND(COUNTIFS($A$14:$A$1213,$A581,$F$14:$F$1213,"&gt;=0")=2,IFERROR(INDEX($M$14:$M$313,MATCH($A581,$H$14:$H$313,0)),"Yes")&lt;&gt;"Yes"),1,0))</f>
        <v/>
      </c>
    </row>
    <row r="582">
      <c r="A582" s="19">
        <f>IF('Enter messages'!A582="","",'Enter messages'!A582)</f>
        <v/>
      </c>
      <c r="B582" s="20">
        <f>IF('Enter messages'!B582="","",'Enter messages'!B582)</f>
        <v/>
      </c>
      <c r="C582" s="21">
        <f>IFERROR(AVERAGE(P582:T582),"")</f>
        <v/>
      </c>
      <c r="D582" s="29" t="n"/>
      <c r="E582" s="29" t="n"/>
      <c r="F582" s="30">
        <f>IF(AND(ISNUMBER($D582),ISNUMBER($E582),$E582&gt;0,$D582&lt;=$E582),$D582/$E582,"")</f>
        <v/>
      </c>
      <c r="P582" s="26" t="n"/>
      <c r="Q582" s="26" t="n"/>
      <c r="R582" s="26" t="n"/>
      <c r="S582" s="26" t="n"/>
      <c r="T582" s="26" t="n"/>
      <c r="V582" s="27">
        <f>IF(ISNUMBER($C582),COUNTIFS($A$14:$A$1213,$A582,$C$14:$C$1213,"&gt;"&amp;$C582)+(COUNTIFS($A$14:$A$1213,$A582,$C$14:$C$1213,"="&amp;$C582)+1)/2,"")</f>
        <v/>
      </c>
      <c r="W582" s="27">
        <f>IF(ISNUMBER($F582),COUNTIFS($A$14:$A$1213,$A582,$F$14:$F$1213,"&gt;"&amp;$F582)+(COUNTIFS($A$14:$A$1213,$A582,$F$14:$F$1213,"="&amp;$F582)+1)/2,"")</f>
        <v/>
      </c>
      <c r="X582" s="27">
        <f>IF(OR(NOT(ISNUMBER($V582)),$AO582=1),"",$V582-(COUNTIFS($A$14:$A$1213,$A582,$C$14:$C$1213,"&gt;=0")+1)/2)</f>
        <v/>
      </c>
      <c r="Y582" s="27">
        <f>IF(OR(NOT(ISNUMBER($W582)),$AO582=1),"",$W582-(COUNTIFS($A$14:$A$1213,$A582,$F$14:$F$1213,"&gt;=0")+1)/2)</f>
        <v/>
      </c>
      <c r="Z582" s="27">
        <f>IF(ISNUMBER($V582),$A582&amp;"|"&amp;$V582,"")</f>
        <v/>
      </c>
      <c r="AA582" s="27">
        <f>IF(ISNUMBER($W582),$A582&amp;"|"&amp;$W582,"")</f>
        <v/>
      </c>
      <c r="AB582" s="27">
        <f>IF(ISNUMBER($F582),$A582&amp;"|"&amp;$F582,"")</f>
        <v/>
      </c>
      <c r="AC582" s="27">
        <f>IF(ISNUMBER($P582),COUNTIFS($A$14:$A$1213,$A582,$P$14:$P$1213,"&gt;"&amp;$P582)+(COUNTIFS($A$14:$A$1213,$A582,$P$14:$P$1213,"="&amp;$P582)+1)/2,"")</f>
        <v/>
      </c>
      <c r="AD582" s="27">
        <f>IF(ISNUMBER($Q582),COUNTIFS($A$14:$A$1213,$A582,$Q$14:$Q$1213,"&gt;"&amp;$Q582)+(COUNTIFS($A$14:$A$1213,$A582,$Q$14:$Q$1213,"="&amp;$Q582)+1)/2,"")</f>
        <v/>
      </c>
      <c r="AE582" s="27">
        <f>IF(ISNUMBER($R582),COUNTIFS($A$14:$A$1213,$A582,$R$14:$R$1213,"&gt;"&amp;$R582)+(COUNTIFS($A$14:$A$1213,$A582,$R$14:$R$1213,"="&amp;$R582)+1)/2,"")</f>
        <v/>
      </c>
      <c r="AF582" s="27">
        <f>IF(ISNUMBER($S582),COUNTIFS($A$14:$A$1213,$A582,$S$14:$S$1213,"&gt;"&amp;$S582)+(COUNTIFS($A$14:$A$1213,$A582,$S$14:$S$1213,"="&amp;$S582)+1)/2,"")</f>
        <v/>
      </c>
      <c r="AG582" s="27">
        <f>IF(ISNUMBER($T582),COUNTIFS($A$14:$A$1213,$A582,$T$14:$T$1213,"&gt;"&amp;$T582)+(COUNTIFS($A$14:$A$1213,$A582,$T$14:$T$1213,"="&amp;$T582)+1)/2,"")</f>
        <v/>
      </c>
      <c r="AH582" s="27">
        <f>IF(COUNT($AC582:$AG582)&lt;2,"",IF(MAX($AC582:$AG582)=MIN($AC582:$AG582),0,1))</f>
        <v/>
      </c>
      <c r="AI582" s="27">
        <f>IF($A582="","",IF(COUNTIF($A$14:$A582,$A582)=1,COUNTIF($AI$13:AI581,"&gt;0")+1,""))</f>
        <v/>
      </c>
      <c r="AO582" s="27">
        <f>IF($A582="","",IF(AND(COUNTIFS($A$14:$A$1213,$A582,$F$14:$F$1213,"&gt;=0")=2,IFERROR(INDEX($M$14:$M$313,MATCH($A582,$H$14:$H$313,0)),"Yes")&lt;&gt;"Yes"),1,0))</f>
        <v/>
      </c>
    </row>
    <row r="583">
      <c r="A583" s="19">
        <f>IF('Enter messages'!A583="","",'Enter messages'!A583)</f>
        <v/>
      </c>
      <c r="B583" s="20">
        <f>IF('Enter messages'!B583="","",'Enter messages'!B583)</f>
        <v/>
      </c>
      <c r="C583" s="21">
        <f>IFERROR(AVERAGE(P583:T583),"")</f>
        <v/>
      </c>
      <c r="D583" s="29" t="n"/>
      <c r="E583" s="29" t="n"/>
      <c r="F583" s="30">
        <f>IF(AND(ISNUMBER($D583),ISNUMBER($E583),$E583&gt;0,$D583&lt;=$E583),$D583/$E583,"")</f>
        <v/>
      </c>
      <c r="P583" s="26" t="n"/>
      <c r="Q583" s="26" t="n"/>
      <c r="R583" s="26" t="n"/>
      <c r="S583" s="26" t="n"/>
      <c r="T583" s="26" t="n"/>
      <c r="V583" s="27">
        <f>IF(ISNUMBER($C583),COUNTIFS($A$14:$A$1213,$A583,$C$14:$C$1213,"&gt;"&amp;$C583)+(COUNTIFS($A$14:$A$1213,$A583,$C$14:$C$1213,"="&amp;$C583)+1)/2,"")</f>
        <v/>
      </c>
      <c r="W583" s="27">
        <f>IF(ISNUMBER($F583),COUNTIFS($A$14:$A$1213,$A583,$F$14:$F$1213,"&gt;"&amp;$F583)+(COUNTIFS($A$14:$A$1213,$A583,$F$14:$F$1213,"="&amp;$F583)+1)/2,"")</f>
        <v/>
      </c>
      <c r="X583" s="27">
        <f>IF(OR(NOT(ISNUMBER($V583)),$AO583=1),"",$V583-(COUNTIFS($A$14:$A$1213,$A583,$C$14:$C$1213,"&gt;=0")+1)/2)</f>
        <v/>
      </c>
      <c r="Y583" s="27">
        <f>IF(OR(NOT(ISNUMBER($W583)),$AO583=1),"",$W583-(COUNTIFS($A$14:$A$1213,$A583,$F$14:$F$1213,"&gt;=0")+1)/2)</f>
        <v/>
      </c>
      <c r="Z583" s="27">
        <f>IF(ISNUMBER($V583),$A583&amp;"|"&amp;$V583,"")</f>
        <v/>
      </c>
      <c r="AA583" s="27">
        <f>IF(ISNUMBER($W583),$A583&amp;"|"&amp;$W583,"")</f>
        <v/>
      </c>
      <c r="AB583" s="27">
        <f>IF(ISNUMBER($F583),$A583&amp;"|"&amp;$F583,"")</f>
        <v/>
      </c>
      <c r="AC583" s="27">
        <f>IF(ISNUMBER($P583),COUNTIFS($A$14:$A$1213,$A583,$P$14:$P$1213,"&gt;"&amp;$P583)+(COUNTIFS($A$14:$A$1213,$A583,$P$14:$P$1213,"="&amp;$P583)+1)/2,"")</f>
        <v/>
      </c>
      <c r="AD583" s="27">
        <f>IF(ISNUMBER($Q583),COUNTIFS($A$14:$A$1213,$A583,$Q$14:$Q$1213,"&gt;"&amp;$Q583)+(COUNTIFS($A$14:$A$1213,$A583,$Q$14:$Q$1213,"="&amp;$Q583)+1)/2,"")</f>
        <v/>
      </c>
      <c r="AE583" s="27">
        <f>IF(ISNUMBER($R583),COUNTIFS($A$14:$A$1213,$A583,$R$14:$R$1213,"&gt;"&amp;$R583)+(COUNTIFS($A$14:$A$1213,$A583,$R$14:$R$1213,"="&amp;$R583)+1)/2,"")</f>
        <v/>
      </c>
      <c r="AF583" s="27">
        <f>IF(ISNUMBER($S583),COUNTIFS($A$14:$A$1213,$A583,$S$14:$S$1213,"&gt;"&amp;$S583)+(COUNTIFS($A$14:$A$1213,$A583,$S$14:$S$1213,"="&amp;$S583)+1)/2,"")</f>
        <v/>
      </c>
      <c r="AG583" s="27">
        <f>IF(ISNUMBER($T583),COUNTIFS($A$14:$A$1213,$A583,$T$14:$T$1213,"&gt;"&amp;$T583)+(COUNTIFS($A$14:$A$1213,$A583,$T$14:$T$1213,"="&amp;$T583)+1)/2,"")</f>
        <v/>
      </c>
      <c r="AH583" s="27">
        <f>IF(COUNT($AC583:$AG583)&lt;2,"",IF(MAX($AC583:$AG583)=MIN($AC583:$AG583),0,1))</f>
        <v/>
      </c>
      <c r="AI583" s="27">
        <f>IF($A583="","",IF(COUNTIF($A$14:$A583,$A583)=1,COUNTIF($AI$13:AI582,"&gt;0")+1,""))</f>
        <v/>
      </c>
      <c r="AO583" s="27">
        <f>IF($A583="","",IF(AND(COUNTIFS($A$14:$A$1213,$A583,$F$14:$F$1213,"&gt;=0")=2,IFERROR(INDEX($M$14:$M$313,MATCH($A583,$H$14:$H$313,0)),"Yes")&lt;&gt;"Yes"),1,0))</f>
        <v/>
      </c>
    </row>
    <row r="584">
      <c r="A584" s="19">
        <f>IF('Enter messages'!A584="","",'Enter messages'!A584)</f>
        <v/>
      </c>
      <c r="B584" s="20">
        <f>IF('Enter messages'!B584="","",'Enter messages'!B584)</f>
        <v/>
      </c>
      <c r="C584" s="21">
        <f>IFERROR(AVERAGE(P584:T584),"")</f>
        <v/>
      </c>
      <c r="D584" s="29" t="n"/>
      <c r="E584" s="29" t="n"/>
      <c r="F584" s="30">
        <f>IF(AND(ISNUMBER($D584),ISNUMBER($E584),$E584&gt;0,$D584&lt;=$E584),$D584/$E584,"")</f>
        <v/>
      </c>
      <c r="P584" s="26" t="n"/>
      <c r="Q584" s="26" t="n"/>
      <c r="R584" s="26" t="n"/>
      <c r="S584" s="26" t="n"/>
      <c r="T584" s="26" t="n"/>
      <c r="V584" s="27">
        <f>IF(ISNUMBER($C584),COUNTIFS($A$14:$A$1213,$A584,$C$14:$C$1213,"&gt;"&amp;$C584)+(COUNTIFS($A$14:$A$1213,$A584,$C$14:$C$1213,"="&amp;$C584)+1)/2,"")</f>
        <v/>
      </c>
      <c r="W584" s="27">
        <f>IF(ISNUMBER($F584),COUNTIFS($A$14:$A$1213,$A584,$F$14:$F$1213,"&gt;"&amp;$F584)+(COUNTIFS($A$14:$A$1213,$A584,$F$14:$F$1213,"="&amp;$F584)+1)/2,"")</f>
        <v/>
      </c>
      <c r="X584" s="27">
        <f>IF(OR(NOT(ISNUMBER($V584)),$AO584=1),"",$V584-(COUNTIFS($A$14:$A$1213,$A584,$C$14:$C$1213,"&gt;=0")+1)/2)</f>
        <v/>
      </c>
      <c r="Y584" s="27">
        <f>IF(OR(NOT(ISNUMBER($W584)),$AO584=1),"",$W584-(COUNTIFS($A$14:$A$1213,$A584,$F$14:$F$1213,"&gt;=0")+1)/2)</f>
        <v/>
      </c>
      <c r="Z584" s="27">
        <f>IF(ISNUMBER($V584),$A584&amp;"|"&amp;$V584,"")</f>
        <v/>
      </c>
      <c r="AA584" s="27">
        <f>IF(ISNUMBER($W584),$A584&amp;"|"&amp;$W584,"")</f>
        <v/>
      </c>
      <c r="AB584" s="27">
        <f>IF(ISNUMBER($F584),$A584&amp;"|"&amp;$F584,"")</f>
        <v/>
      </c>
      <c r="AC584" s="27">
        <f>IF(ISNUMBER($P584),COUNTIFS($A$14:$A$1213,$A584,$P$14:$P$1213,"&gt;"&amp;$P584)+(COUNTIFS($A$14:$A$1213,$A584,$P$14:$P$1213,"="&amp;$P584)+1)/2,"")</f>
        <v/>
      </c>
      <c r="AD584" s="27">
        <f>IF(ISNUMBER($Q584),COUNTIFS($A$14:$A$1213,$A584,$Q$14:$Q$1213,"&gt;"&amp;$Q584)+(COUNTIFS($A$14:$A$1213,$A584,$Q$14:$Q$1213,"="&amp;$Q584)+1)/2,"")</f>
        <v/>
      </c>
      <c r="AE584" s="27">
        <f>IF(ISNUMBER($R584),COUNTIFS($A$14:$A$1213,$A584,$R$14:$R$1213,"&gt;"&amp;$R584)+(COUNTIFS($A$14:$A$1213,$A584,$R$14:$R$1213,"="&amp;$R584)+1)/2,"")</f>
        <v/>
      </c>
      <c r="AF584" s="27">
        <f>IF(ISNUMBER($S584),COUNTIFS($A$14:$A$1213,$A584,$S$14:$S$1213,"&gt;"&amp;$S584)+(COUNTIFS($A$14:$A$1213,$A584,$S$14:$S$1213,"="&amp;$S584)+1)/2,"")</f>
        <v/>
      </c>
      <c r="AG584" s="27">
        <f>IF(ISNUMBER($T584),COUNTIFS($A$14:$A$1213,$A584,$T$14:$T$1213,"&gt;"&amp;$T584)+(COUNTIFS($A$14:$A$1213,$A584,$T$14:$T$1213,"="&amp;$T584)+1)/2,"")</f>
        <v/>
      </c>
      <c r="AH584" s="27">
        <f>IF(COUNT($AC584:$AG584)&lt;2,"",IF(MAX($AC584:$AG584)=MIN($AC584:$AG584),0,1))</f>
        <v/>
      </c>
      <c r="AI584" s="27">
        <f>IF($A584="","",IF(COUNTIF($A$14:$A584,$A584)=1,COUNTIF($AI$13:AI583,"&gt;0")+1,""))</f>
        <v/>
      </c>
      <c r="AO584" s="27">
        <f>IF($A584="","",IF(AND(COUNTIFS($A$14:$A$1213,$A584,$F$14:$F$1213,"&gt;=0")=2,IFERROR(INDEX($M$14:$M$313,MATCH($A584,$H$14:$H$313,0)),"Yes")&lt;&gt;"Yes"),1,0))</f>
        <v/>
      </c>
    </row>
    <row r="585">
      <c r="A585" s="19">
        <f>IF('Enter messages'!A585="","",'Enter messages'!A585)</f>
        <v/>
      </c>
      <c r="B585" s="20">
        <f>IF('Enter messages'!B585="","",'Enter messages'!B585)</f>
        <v/>
      </c>
      <c r="C585" s="21">
        <f>IFERROR(AVERAGE(P585:T585),"")</f>
        <v/>
      </c>
      <c r="D585" s="29" t="n"/>
      <c r="E585" s="29" t="n"/>
      <c r="F585" s="30">
        <f>IF(AND(ISNUMBER($D585),ISNUMBER($E585),$E585&gt;0,$D585&lt;=$E585),$D585/$E585,"")</f>
        <v/>
      </c>
      <c r="P585" s="26" t="n"/>
      <c r="Q585" s="26" t="n"/>
      <c r="R585" s="26" t="n"/>
      <c r="S585" s="26" t="n"/>
      <c r="T585" s="26" t="n"/>
      <c r="V585" s="27">
        <f>IF(ISNUMBER($C585),COUNTIFS($A$14:$A$1213,$A585,$C$14:$C$1213,"&gt;"&amp;$C585)+(COUNTIFS($A$14:$A$1213,$A585,$C$14:$C$1213,"="&amp;$C585)+1)/2,"")</f>
        <v/>
      </c>
      <c r="W585" s="27">
        <f>IF(ISNUMBER($F585),COUNTIFS($A$14:$A$1213,$A585,$F$14:$F$1213,"&gt;"&amp;$F585)+(COUNTIFS($A$14:$A$1213,$A585,$F$14:$F$1213,"="&amp;$F585)+1)/2,"")</f>
        <v/>
      </c>
      <c r="X585" s="27">
        <f>IF(OR(NOT(ISNUMBER($V585)),$AO585=1),"",$V585-(COUNTIFS($A$14:$A$1213,$A585,$C$14:$C$1213,"&gt;=0")+1)/2)</f>
        <v/>
      </c>
      <c r="Y585" s="27">
        <f>IF(OR(NOT(ISNUMBER($W585)),$AO585=1),"",$W585-(COUNTIFS($A$14:$A$1213,$A585,$F$14:$F$1213,"&gt;=0")+1)/2)</f>
        <v/>
      </c>
      <c r="Z585" s="27">
        <f>IF(ISNUMBER($V585),$A585&amp;"|"&amp;$V585,"")</f>
        <v/>
      </c>
      <c r="AA585" s="27">
        <f>IF(ISNUMBER($W585),$A585&amp;"|"&amp;$W585,"")</f>
        <v/>
      </c>
      <c r="AB585" s="27">
        <f>IF(ISNUMBER($F585),$A585&amp;"|"&amp;$F585,"")</f>
        <v/>
      </c>
      <c r="AC585" s="27">
        <f>IF(ISNUMBER($P585),COUNTIFS($A$14:$A$1213,$A585,$P$14:$P$1213,"&gt;"&amp;$P585)+(COUNTIFS($A$14:$A$1213,$A585,$P$14:$P$1213,"="&amp;$P585)+1)/2,"")</f>
        <v/>
      </c>
      <c r="AD585" s="27">
        <f>IF(ISNUMBER($Q585),COUNTIFS($A$14:$A$1213,$A585,$Q$14:$Q$1213,"&gt;"&amp;$Q585)+(COUNTIFS($A$14:$A$1213,$A585,$Q$14:$Q$1213,"="&amp;$Q585)+1)/2,"")</f>
        <v/>
      </c>
      <c r="AE585" s="27">
        <f>IF(ISNUMBER($R585),COUNTIFS($A$14:$A$1213,$A585,$R$14:$R$1213,"&gt;"&amp;$R585)+(COUNTIFS($A$14:$A$1213,$A585,$R$14:$R$1213,"="&amp;$R585)+1)/2,"")</f>
        <v/>
      </c>
      <c r="AF585" s="27">
        <f>IF(ISNUMBER($S585),COUNTIFS($A$14:$A$1213,$A585,$S$14:$S$1213,"&gt;"&amp;$S585)+(COUNTIFS($A$14:$A$1213,$A585,$S$14:$S$1213,"="&amp;$S585)+1)/2,"")</f>
        <v/>
      </c>
      <c r="AG585" s="27">
        <f>IF(ISNUMBER($T585),COUNTIFS($A$14:$A$1213,$A585,$T$14:$T$1213,"&gt;"&amp;$T585)+(COUNTIFS($A$14:$A$1213,$A585,$T$14:$T$1213,"="&amp;$T585)+1)/2,"")</f>
        <v/>
      </c>
      <c r="AH585" s="27">
        <f>IF(COUNT($AC585:$AG585)&lt;2,"",IF(MAX($AC585:$AG585)=MIN($AC585:$AG585),0,1))</f>
        <v/>
      </c>
      <c r="AI585" s="27">
        <f>IF($A585="","",IF(COUNTIF($A$14:$A585,$A585)=1,COUNTIF($AI$13:AI584,"&gt;0")+1,""))</f>
        <v/>
      </c>
      <c r="AO585" s="27">
        <f>IF($A585="","",IF(AND(COUNTIFS($A$14:$A$1213,$A585,$F$14:$F$1213,"&gt;=0")=2,IFERROR(INDEX($M$14:$M$313,MATCH($A585,$H$14:$H$313,0)),"Yes")&lt;&gt;"Yes"),1,0))</f>
        <v/>
      </c>
    </row>
    <row r="586">
      <c r="A586" s="19">
        <f>IF('Enter messages'!A586="","",'Enter messages'!A586)</f>
        <v/>
      </c>
      <c r="B586" s="20">
        <f>IF('Enter messages'!B586="","",'Enter messages'!B586)</f>
        <v/>
      </c>
      <c r="C586" s="21">
        <f>IFERROR(AVERAGE(P586:T586),"")</f>
        <v/>
      </c>
      <c r="D586" s="29" t="n"/>
      <c r="E586" s="29" t="n"/>
      <c r="F586" s="30">
        <f>IF(AND(ISNUMBER($D586),ISNUMBER($E586),$E586&gt;0,$D586&lt;=$E586),$D586/$E586,"")</f>
        <v/>
      </c>
      <c r="P586" s="26" t="n"/>
      <c r="Q586" s="26" t="n"/>
      <c r="R586" s="26" t="n"/>
      <c r="S586" s="26" t="n"/>
      <c r="T586" s="26" t="n"/>
      <c r="V586" s="27">
        <f>IF(ISNUMBER($C586),COUNTIFS($A$14:$A$1213,$A586,$C$14:$C$1213,"&gt;"&amp;$C586)+(COUNTIFS($A$14:$A$1213,$A586,$C$14:$C$1213,"="&amp;$C586)+1)/2,"")</f>
        <v/>
      </c>
      <c r="W586" s="27">
        <f>IF(ISNUMBER($F586),COUNTIFS($A$14:$A$1213,$A586,$F$14:$F$1213,"&gt;"&amp;$F586)+(COUNTIFS($A$14:$A$1213,$A586,$F$14:$F$1213,"="&amp;$F586)+1)/2,"")</f>
        <v/>
      </c>
      <c r="X586" s="27">
        <f>IF(OR(NOT(ISNUMBER($V586)),$AO586=1),"",$V586-(COUNTIFS($A$14:$A$1213,$A586,$C$14:$C$1213,"&gt;=0")+1)/2)</f>
        <v/>
      </c>
      <c r="Y586" s="27">
        <f>IF(OR(NOT(ISNUMBER($W586)),$AO586=1),"",$W586-(COUNTIFS($A$14:$A$1213,$A586,$F$14:$F$1213,"&gt;=0")+1)/2)</f>
        <v/>
      </c>
      <c r="Z586" s="27">
        <f>IF(ISNUMBER($V586),$A586&amp;"|"&amp;$V586,"")</f>
        <v/>
      </c>
      <c r="AA586" s="27">
        <f>IF(ISNUMBER($W586),$A586&amp;"|"&amp;$W586,"")</f>
        <v/>
      </c>
      <c r="AB586" s="27">
        <f>IF(ISNUMBER($F586),$A586&amp;"|"&amp;$F586,"")</f>
        <v/>
      </c>
      <c r="AC586" s="27">
        <f>IF(ISNUMBER($P586),COUNTIFS($A$14:$A$1213,$A586,$P$14:$P$1213,"&gt;"&amp;$P586)+(COUNTIFS($A$14:$A$1213,$A586,$P$14:$P$1213,"="&amp;$P586)+1)/2,"")</f>
        <v/>
      </c>
      <c r="AD586" s="27">
        <f>IF(ISNUMBER($Q586),COUNTIFS($A$14:$A$1213,$A586,$Q$14:$Q$1213,"&gt;"&amp;$Q586)+(COUNTIFS($A$14:$A$1213,$A586,$Q$14:$Q$1213,"="&amp;$Q586)+1)/2,"")</f>
        <v/>
      </c>
      <c r="AE586" s="27">
        <f>IF(ISNUMBER($R586),COUNTIFS($A$14:$A$1213,$A586,$R$14:$R$1213,"&gt;"&amp;$R586)+(COUNTIFS($A$14:$A$1213,$A586,$R$14:$R$1213,"="&amp;$R586)+1)/2,"")</f>
        <v/>
      </c>
      <c r="AF586" s="27">
        <f>IF(ISNUMBER($S586),COUNTIFS($A$14:$A$1213,$A586,$S$14:$S$1213,"&gt;"&amp;$S586)+(COUNTIFS($A$14:$A$1213,$A586,$S$14:$S$1213,"="&amp;$S586)+1)/2,"")</f>
        <v/>
      </c>
      <c r="AG586" s="27">
        <f>IF(ISNUMBER($T586),COUNTIFS($A$14:$A$1213,$A586,$T$14:$T$1213,"&gt;"&amp;$T586)+(COUNTIFS($A$14:$A$1213,$A586,$T$14:$T$1213,"="&amp;$T586)+1)/2,"")</f>
        <v/>
      </c>
      <c r="AH586" s="27">
        <f>IF(COUNT($AC586:$AG586)&lt;2,"",IF(MAX($AC586:$AG586)=MIN($AC586:$AG586),0,1))</f>
        <v/>
      </c>
      <c r="AI586" s="27">
        <f>IF($A586="","",IF(COUNTIF($A$14:$A586,$A586)=1,COUNTIF($AI$13:AI585,"&gt;0")+1,""))</f>
        <v/>
      </c>
      <c r="AO586" s="27">
        <f>IF($A586="","",IF(AND(COUNTIFS($A$14:$A$1213,$A586,$F$14:$F$1213,"&gt;=0")=2,IFERROR(INDEX($M$14:$M$313,MATCH($A586,$H$14:$H$313,0)),"Yes")&lt;&gt;"Yes"),1,0))</f>
        <v/>
      </c>
    </row>
    <row r="587">
      <c r="A587" s="19">
        <f>IF('Enter messages'!A587="","",'Enter messages'!A587)</f>
        <v/>
      </c>
      <c r="B587" s="20">
        <f>IF('Enter messages'!B587="","",'Enter messages'!B587)</f>
        <v/>
      </c>
      <c r="C587" s="21">
        <f>IFERROR(AVERAGE(P587:T587),"")</f>
        <v/>
      </c>
      <c r="D587" s="29" t="n"/>
      <c r="E587" s="29" t="n"/>
      <c r="F587" s="30">
        <f>IF(AND(ISNUMBER($D587),ISNUMBER($E587),$E587&gt;0,$D587&lt;=$E587),$D587/$E587,"")</f>
        <v/>
      </c>
      <c r="P587" s="26" t="n"/>
      <c r="Q587" s="26" t="n"/>
      <c r="R587" s="26" t="n"/>
      <c r="S587" s="26" t="n"/>
      <c r="T587" s="26" t="n"/>
      <c r="V587" s="27">
        <f>IF(ISNUMBER($C587),COUNTIFS($A$14:$A$1213,$A587,$C$14:$C$1213,"&gt;"&amp;$C587)+(COUNTIFS($A$14:$A$1213,$A587,$C$14:$C$1213,"="&amp;$C587)+1)/2,"")</f>
        <v/>
      </c>
      <c r="W587" s="27">
        <f>IF(ISNUMBER($F587),COUNTIFS($A$14:$A$1213,$A587,$F$14:$F$1213,"&gt;"&amp;$F587)+(COUNTIFS($A$14:$A$1213,$A587,$F$14:$F$1213,"="&amp;$F587)+1)/2,"")</f>
        <v/>
      </c>
      <c r="X587" s="27">
        <f>IF(OR(NOT(ISNUMBER($V587)),$AO587=1),"",$V587-(COUNTIFS($A$14:$A$1213,$A587,$C$14:$C$1213,"&gt;=0")+1)/2)</f>
        <v/>
      </c>
      <c r="Y587" s="27">
        <f>IF(OR(NOT(ISNUMBER($W587)),$AO587=1),"",$W587-(COUNTIFS($A$14:$A$1213,$A587,$F$14:$F$1213,"&gt;=0")+1)/2)</f>
        <v/>
      </c>
      <c r="Z587" s="27">
        <f>IF(ISNUMBER($V587),$A587&amp;"|"&amp;$V587,"")</f>
        <v/>
      </c>
      <c r="AA587" s="27">
        <f>IF(ISNUMBER($W587),$A587&amp;"|"&amp;$W587,"")</f>
        <v/>
      </c>
      <c r="AB587" s="27">
        <f>IF(ISNUMBER($F587),$A587&amp;"|"&amp;$F587,"")</f>
        <v/>
      </c>
      <c r="AC587" s="27">
        <f>IF(ISNUMBER($P587),COUNTIFS($A$14:$A$1213,$A587,$P$14:$P$1213,"&gt;"&amp;$P587)+(COUNTIFS($A$14:$A$1213,$A587,$P$14:$P$1213,"="&amp;$P587)+1)/2,"")</f>
        <v/>
      </c>
      <c r="AD587" s="27">
        <f>IF(ISNUMBER($Q587),COUNTIFS($A$14:$A$1213,$A587,$Q$14:$Q$1213,"&gt;"&amp;$Q587)+(COUNTIFS($A$14:$A$1213,$A587,$Q$14:$Q$1213,"="&amp;$Q587)+1)/2,"")</f>
        <v/>
      </c>
      <c r="AE587" s="27">
        <f>IF(ISNUMBER($R587),COUNTIFS($A$14:$A$1213,$A587,$R$14:$R$1213,"&gt;"&amp;$R587)+(COUNTIFS($A$14:$A$1213,$A587,$R$14:$R$1213,"="&amp;$R587)+1)/2,"")</f>
        <v/>
      </c>
      <c r="AF587" s="27">
        <f>IF(ISNUMBER($S587),COUNTIFS($A$14:$A$1213,$A587,$S$14:$S$1213,"&gt;"&amp;$S587)+(COUNTIFS($A$14:$A$1213,$A587,$S$14:$S$1213,"="&amp;$S587)+1)/2,"")</f>
        <v/>
      </c>
      <c r="AG587" s="27">
        <f>IF(ISNUMBER($T587),COUNTIFS($A$14:$A$1213,$A587,$T$14:$T$1213,"&gt;"&amp;$T587)+(COUNTIFS($A$14:$A$1213,$A587,$T$14:$T$1213,"="&amp;$T587)+1)/2,"")</f>
        <v/>
      </c>
      <c r="AH587" s="27">
        <f>IF(COUNT($AC587:$AG587)&lt;2,"",IF(MAX($AC587:$AG587)=MIN($AC587:$AG587),0,1))</f>
        <v/>
      </c>
      <c r="AI587" s="27">
        <f>IF($A587="","",IF(COUNTIF($A$14:$A587,$A587)=1,COUNTIF($AI$13:AI586,"&gt;0")+1,""))</f>
        <v/>
      </c>
      <c r="AO587" s="27">
        <f>IF($A587="","",IF(AND(COUNTIFS($A$14:$A$1213,$A587,$F$14:$F$1213,"&gt;=0")=2,IFERROR(INDEX($M$14:$M$313,MATCH($A587,$H$14:$H$313,0)),"Yes")&lt;&gt;"Yes"),1,0))</f>
        <v/>
      </c>
    </row>
    <row r="588">
      <c r="A588" s="19">
        <f>IF('Enter messages'!A588="","",'Enter messages'!A588)</f>
        <v/>
      </c>
      <c r="B588" s="20">
        <f>IF('Enter messages'!B588="","",'Enter messages'!B588)</f>
        <v/>
      </c>
      <c r="C588" s="21">
        <f>IFERROR(AVERAGE(P588:T588),"")</f>
        <v/>
      </c>
      <c r="D588" s="29" t="n"/>
      <c r="E588" s="29" t="n"/>
      <c r="F588" s="30">
        <f>IF(AND(ISNUMBER($D588),ISNUMBER($E588),$E588&gt;0,$D588&lt;=$E588),$D588/$E588,"")</f>
        <v/>
      </c>
      <c r="P588" s="26" t="n"/>
      <c r="Q588" s="26" t="n"/>
      <c r="R588" s="26" t="n"/>
      <c r="S588" s="26" t="n"/>
      <c r="T588" s="26" t="n"/>
      <c r="V588" s="27">
        <f>IF(ISNUMBER($C588),COUNTIFS($A$14:$A$1213,$A588,$C$14:$C$1213,"&gt;"&amp;$C588)+(COUNTIFS($A$14:$A$1213,$A588,$C$14:$C$1213,"="&amp;$C588)+1)/2,"")</f>
        <v/>
      </c>
      <c r="W588" s="27">
        <f>IF(ISNUMBER($F588),COUNTIFS($A$14:$A$1213,$A588,$F$14:$F$1213,"&gt;"&amp;$F588)+(COUNTIFS($A$14:$A$1213,$A588,$F$14:$F$1213,"="&amp;$F588)+1)/2,"")</f>
        <v/>
      </c>
      <c r="X588" s="27">
        <f>IF(OR(NOT(ISNUMBER($V588)),$AO588=1),"",$V588-(COUNTIFS($A$14:$A$1213,$A588,$C$14:$C$1213,"&gt;=0")+1)/2)</f>
        <v/>
      </c>
      <c r="Y588" s="27">
        <f>IF(OR(NOT(ISNUMBER($W588)),$AO588=1),"",$W588-(COUNTIFS($A$14:$A$1213,$A588,$F$14:$F$1213,"&gt;=0")+1)/2)</f>
        <v/>
      </c>
      <c r="Z588" s="27">
        <f>IF(ISNUMBER($V588),$A588&amp;"|"&amp;$V588,"")</f>
        <v/>
      </c>
      <c r="AA588" s="27">
        <f>IF(ISNUMBER($W588),$A588&amp;"|"&amp;$W588,"")</f>
        <v/>
      </c>
      <c r="AB588" s="27">
        <f>IF(ISNUMBER($F588),$A588&amp;"|"&amp;$F588,"")</f>
        <v/>
      </c>
      <c r="AC588" s="27">
        <f>IF(ISNUMBER($P588),COUNTIFS($A$14:$A$1213,$A588,$P$14:$P$1213,"&gt;"&amp;$P588)+(COUNTIFS($A$14:$A$1213,$A588,$P$14:$P$1213,"="&amp;$P588)+1)/2,"")</f>
        <v/>
      </c>
      <c r="AD588" s="27">
        <f>IF(ISNUMBER($Q588),COUNTIFS($A$14:$A$1213,$A588,$Q$14:$Q$1213,"&gt;"&amp;$Q588)+(COUNTIFS($A$14:$A$1213,$A588,$Q$14:$Q$1213,"="&amp;$Q588)+1)/2,"")</f>
        <v/>
      </c>
      <c r="AE588" s="27">
        <f>IF(ISNUMBER($R588),COUNTIFS($A$14:$A$1213,$A588,$R$14:$R$1213,"&gt;"&amp;$R588)+(COUNTIFS($A$14:$A$1213,$A588,$R$14:$R$1213,"="&amp;$R588)+1)/2,"")</f>
        <v/>
      </c>
      <c r="AF588" s="27">
        <f>IF(ISNUMBER($S588),COUNTIFS($A$14:$A$1213,$A588,$S$14:$S$1213,"&gt;"&amp;$S588)+(COUNTIFS($A$14:$A$1213,$A588,$S$14:$S$1213,"="&amp;$S588)+1)/2,"")</f>
        <v/>
      </c>
      <c r="AG588" s="27">
        <f>IF(ISNUMBER($T588),COUNTIFS($A$14:$A$1213,$A588,$T$14:$T$1213,"&gt;"&amp;$T588)+(COUNTIFS($A$14:$A$1213,$A588,$T$14:$T$1213,"="&amp;$T588)+1)/2,"")</f>
        <v/>
      </c>
      <c r="AH588" s="27">
        <f>IF(COUNT($AC588:$AG588)&lt;2,"",IF(MAX($AC588:$AG588)=MIN($AC588:$AG588),0,1))</f>
        <v/>
      </c>
      <c r="AI588" s="27">
        <f>IF($A588="","",IF(COUNTIF($A$14:$A588,$A588)=1,COUNTIF($AI$13:AI587,"&gt;0")+1,""))</f>
        <v/>
      </c>
      <c r="AO588" s="27">
        <f>IF($A588="","",IF(AND(COUNTIFS($A$14:$A$1213,$A588,$F$14:$F$1213,"&gt;=0")=2,IFERROR(INDEX($M$14:$M$313,MATCH($A588,$H$14:$H$313,0)),"Yes")&lt;&gt;"Yes"),1,0))</f>
        <v/>
      </c>
    </row>
    <row r="589">
      <c r="A589" s="19">
        <f>IF('Enter messages'!A589="","",'Enter messages'!A589)</f>
        <v/>
      </c>
      <c r="B589" s="20">
        <f>IF('Enter messages'!B589="","",'Enter messages'!B589)</f>
        <v/>
      </c>
      <c r="C589" s="21">
        <f>IFERROR(AVERAGE(P589:T589),"")</f>
        <v/>
      </c>
      <c r="D589" s="29" t="n"/>
      <c r="E589" s="29" t="n"/>
      <c r="F589" s="30">
        <f>IF(AND(ISNUMBER($D589),ISNUMBER($E589),$E589&gt;0,$D589&lt;=$E589),$D589/$E589,"")</f>
        <v/>
      </c>
      <c r="P589" s="26" t="n"/>
      <c r="Q589" s="26" t="n"/>
      <c r="R589" s="26" t="n"/>
      <c r="S589" s="26" t="n"/>
      <c r="T589" s="26" t="n"/>
      <c r="V589" s="27">
        <f>IF(ISNUMBER($C589),COUNTIFS($A$14:$A$1213,$A589,$C$14:$C$1213,"&gt;"&amp;$C589)+(COUNTIFS($A$14:$A$1213,$A589,$C$14:$C$1213,"="&amp;$C589)+1)/2,"")</f>
        <v/>
      </c>
      <c r="W589" s="27">
        <f>IF(ISNUMBER($F589),COUNTIFS($A$14:$A$1213,$A589,$F$14:$F$1213,"&gt;"&amp;$F589)+(COUNTIFS($A$14:$A$1213,$A589,$F$14:$F$1213,"="&amp;$F589)+1)/2,"")</f>
        <v/>
      </c>
      <c r="X589" s="27">
        <f>IF(OR(NOT(ISNUMBER($V589)),$AO589=1),"",$V589-(COUNTIFS($A$14:$A$1213,$A589,$C$14:$C$1213,"&gt;=0")+1)/2)</f>
        <v/>
      </c>
      <c r="Y589" s="27">
        <f>IF(OR(NOT(ISNUMBER($W589)),$AO589=1),"",$W589-(COUNTIFS($A$14:$A$1213,$A589,$F$14:$F$1213,"&gt;=0")+1)/2)</f>
        <v/>
      </c>
      <c r="Z589" s="27">
        <f>IF(ISNUMBER($V589),$A589&amp;"|"&amp;$V589,"")</f>
        <v/>
      </c>
      <c r="AA589" s="27">
        <f>IF(ISNUMBER($W589),$A589&amp;"|"&amp;$W589,"")</f>
        <v/>
      </c>
      <c r="AB589" s="27">
        <f>IF(ISNUMBER($F589),$A589&amp;"|"&amp;$F589,"")</f>
        <v/>
      </c>
      <c r="AC589" s="27">
        <f>IF(ISNUMBER($P589),COUNTIFS($A$14:$A$1213,$A589,$P$14:$P$1213,"&gt;"&amp;$P589)+(COUNTIFS($A$14:$A$1213,$A589,$P$14:$P$1213,"="&amp;$P589)+1)/2,"")</f>
        <v/>
      </c>
      <c r="AD589" s="27">
        <f>IF(ISNUMBER($Q589),COUNTIFS($A$14:$A$1213,$A589,$Q$14:$Q$1213,"&gt;"&amp;$Q589)+(COUNTIFS($A$14:$A$1213,$A589,$Q$14:$Q$1213,"="&amp;$Q589)+1)/2,"")</f>
        <v/>
      </c>
      <c r="AE589" s="27">
        <f>IF(ISNUMBER($R589),COUNTIFS($A$14:$A$1213,$A589,$R$14:$R$1213,"&gt;"&amp;$R589)+(COUNTIFS($A$14:$A$1213,$A589,$R$14:$R$1213,"="&amp;$R589)+1)/2,"")</f>
        <v/>
      </c>
      <c r="AF589" s="27">
        <f>IF(ISNUMBER($S589),COUNTIFS($A$14:$A$1213,$A589,$S$14:$S$1213,"&gt;"&amp;$S589)+(COUNTIFS($A$14:$A$1213,$A589,$S$14:$S$1213,"="&amp;$S589)+1)/2,"")</f>
        <v/>
      </c>
      <c r="AG589" s="27">
        <f>IF(ISNUMBER($T589),COUNTIFS($A$14:$A$1213,$A589,$T$14:$T$1213,"&gt;"&amp;$T589)+(COUNTIFS($A$14:$A$1213,$A589,$T$14:$T$1213,"="&amp;$T589)+1)/2,"")</f>
        <v/>
      </c>
      <c r="AH589" s="27">
        <f>IF(COUNT($AC589:$AG589)&lt;2,"",IF(MAX($AC589:$AG589)=MIN($AC589:$AG589),0,1))</f>
        <v/>
      </c>
      <c r="AI589" s="27">
        <f>IF($A589="","",IF(COUNTIF($A$14:$A589,$A589)=1,COUNTIF($AI$13:AI588,"&gt;0")+1,""))</f>
        <v/>
      </c>
      <c r="AO589" s="27">
        <f>IF($A589="","",IF(AND(COUNTIFS($A$14:$A$1213,$A589,$F$14:$F$1213,"&gt;=0")=2,IFERROR(INDEX($M$14:$M$313,MATCH($A589,$H$14:$H$313,0)),"Yes")&lt;&gt;"Yes"),1,0))</f>
        <v/>
      </c>
    </row>
    <row r="590">
      <c r="A590" s="19">
        <f>IF('Enter messages'!A590="","",'Enter messages'!A590)</f>
        <v/>
      </c>
      <c r="B590" s="20">
        <f>IF('Enter messages'!B590="","",'Enter messages'!B590)</f>
        <v/>
      </c>
      <c r="C590" s="21">
        <f>IFERROR(AVERAGE(P590:T590),"")</f>
        <v/>
      </c>
      <c r="D590" s="29" t="n"/>
      <c r="E590" s="29" t="n"/>
      <c r="F590" s="30">
        <f>IF(AND(ISNUMBER($D590),ISNUMBER($E590),$E590&gt;0,$D590&lt;=$E590),$D590/$E590,"")</f>
        <v/>
      </c>
      <c r="P590" s="26" t="n"/>
      <c r="Q590" s="26" t="n"/>
      <c r="R590" s="26" t="n"/>
      <c r="S590" s="26" t="n"/>
      <c r="T590" s="26" t="n"/>
      <c r="V590" s="27">
        <f>IF(ISNUMBER($C590),COUNTIFS($A$14:$A$1213,$A590,$C$14:$C$1213,"&gt;"&amp;$C590)+(COUNTIFS($A$14:$A$1213,$A590,$C$14:$C$1213,"="&amp;$C590)+1)/2,"")</f>
        <v/>
      </c>
      <c r="W590" s="27">
        <f>IF(ISNUMBER($F590),COUNTIFS($A$14:$A$1213,$A590,$F$14:$F$1213,"&gt;"&amp;$F590)+(COUNTIFS($A$14:$A$1213,$A590,$F$14:$F$1213,"="&amp;$F590)+1)/2,"")</f>
        <v/>
      </c>
      <c r="X590" s="27">
        <f>IF(OR(NOT(ISNUMBER($V590)),$AO590=1),"",$V590-(COUNTIFS($A$14:$A$1213,$A590,$C$14:$C$1213,"&gt;=0")+1)/2)</f>
        <v/>
      </c>
      <c r="Y590" s="27">
        <f>IF(OR(NOT(ISNUMBER($W590)),$AO590=1),"",$W590-(COUNTIFS($A$14:$A$1213,$A590,$F$14:$F$1213,"&gt;=0")+1)/2)</f>
        <v/>
      </c>
      <c r="Z590" s="27">
        <f>IF(ISNUMBER($V590),$A590&amp;"|"&amp;$V590,"")</f>
        <v/>
      </c>
      <c r="AA590" s="27">
        <f>IF(ISNUMBER($W590),$A590&amp;"|"&amp;$W590,"")</f>
        <v/>
      </c>
      <c r="AB590" s="27">
        <f>IF(ISNUMBER($F590),$A590&amp;"|"&amp;$F590,"")</f>
        <v/>
      </c>
      <c r="AC590" s="27">
        <f>IF(ISNUMBER($P590),COUNTIFS($A$14:$A$1213,$A590,$P$14:$P$1213,"&gt;"&amp;$P590)+(COUNTIFS($A$14:$A$1213,$A590,$P$14:$P$1213,"="&amp;$P590)+1)/2,"")</f>
        <v/>
      </c>
      <c r="AD590" s="27">
        <f>IF(ISNUMBER($Q590),COUNTIFS($A$14:$A$1213,$A590,$Q$14:$Q$1213,"&gt;"&amp;$Q590)+(COUNTIFS($A$14:$A$1213,$A590,$Q$14:$Q$1213,"="&amp;$Q590)+1)/2,"")</f>
        <v/>
      </c>
      <c r="AE590" s="27">
        <f>IF(ISNUMBER($R590),COUNTIFS($A$14:$A$1213,$A590,$R$14:$R$1213,"&gt;"&amp;$R590)+(COUNTIFS($A$14:$A$1213,$A590,$R$14:$R$1213,"="&amp;$R590)+1)/2,"")</f>
        <v/>
      </c>
      <c r="AF590" s="27">
        <f>IF(ISNUMBER($S590),COUNTIFS($A$14:$A$1213,$A590,$S$14:$S$1213,"&gt;"&amp;$S590)+(COUNTIFS($A$14:$A$1213,$A590,$S$14:$S$1213,"="&amp;$S590)+1)/2,"")</f>
        <v/>
      </c>
      <c r="AG590" s="27">
        <f>IF(ISNUMBER($T590),COUNTIFS($A$14:$A$1213,$A590,$T$14:$T$1213,"&gt;"&amp;$T590)+(COUNTIFS($A$14:$A$1213,$A590,$T$14:$T$1213,"="&amp;$T590)+1)/2,"")</f>
        <v/>
      </c>
      <c r="AH590" s="27">
        <f>IF(COUNT($AC590:$AG590)&lt;2,"",IF(MAX($AC590:$AG590)=MIN($AC590:$AG590),0,1))</f>
        <v/>
      </c>
      <c r="AI590" s="27">
        <f>IF($A590="","",IF(COUNTIF($A$14:$A590,$A590)=1,COUNTIF($AI$13:AI589,"&gt;0")+1,""))</f>
        <v/>
      </c>
      <c r="AO590" s="27">
        <f>IF($A590="","",IF(AND(COUNTIFS($A$14:$A$1213,$A590,$F$14:$F$1213,"&gt;=0")=2,IFERROR(INDEX($M$14:$M$313,MATCH($A590,$H$14:$H$313,0)),"Yes")&lt;&gt;"Yes"),1,0))</f>
        <v/>
      </c>
    </row>
    <row r="591">
      <c r="A591" s="19">
        <f>IF('Enter messages'!A591="","",'Enter messages'!A591)</f>
        <v/>
      </c>
      <c r="B591" s="20">
        <f>IF('Enter messages'!B591="","",'Enter messages'!B591)</f>
        <v/>
      </c>
      <c r="C591" s="21">
        <f>IFERROR(AVERAGE(P591:T591),"")</f>
        <v/>
      </c>
      <c r="D591" s="29" t="n"/>
      <c r="E591" s="29" t="n"/>
      <c r="F591" s="30">
        <f>IF(AND(ISNUMBER($D591),ISNUMBER($E591),$E591&gt;0,$D591&lt;=$E591),$D591/$E591,"")</f>
        <v/>
      </c>
      <c r="P591" s="26" t="n"/>
      <c r="Q591" s="26" t="n"/>
      <c r="R591" s="26" t="n"/>
      <c r="S591" s="26" t="n"/>
      <c r="T591" s="26" t="n"/>
      <c r="V591" s="27">
        <f>IF(ISNUMBER($C591),COUNTIFS($A$14:$A$1213,$A591,$C$14:$C$1213,"&gt;"&amp;$C591)+(COUNTIFS($A$14:$A$1213,$A591,$C$14:$C$1213,"="&amp;$C591)+1)/2,"")</f>
        <v/>
      </c>
      <c r="W591" s="27">
        <f>IF(ISNUMBER($F591),COUNTIFS($A$14:$A$1213,$A591,$F$14:$F$1213,"&gt;"&amp;$F591)+(COUNTIFS($A$14:$A$1213,$A591,$F$14:$F$1213,"="&amp;$F591)+1)/2,"")</f>
        <v/>
      </c>
      <c r="X591" s="27">
        <f>IF(OR(NOT(ISNUMBER($V591)),$AO591=1),"",$V591-(COUNTIFS($A$14:$A$1213,$A591,$C$14:$C$1213,"&gt;=0")+1)/2)</f>
        <v/>
      </c>
      <c r="Y591" s="27">
        <f>IF(OR(NOT(ISNUMBER($W591)),$AO591=1),"",$W591-(COUNTIFS($A$14:$A$1213,$A591,$F$14:$F$1213,"&gt;=0")+1)/2)</f>
        <v/>
      </c>
      <c r="Z591" s="27">
        <f>IF(ISNUMBER($V591),$A591&amp;"|"&amp;$V591,"")</f>
        <v/>
      </c>
      <c r="AA591" s="27">
        <f>IF(ISNUMBER($W591),$A591&amp;"|"&amp;$W591,"")</f>
        <v/>
      </c>
      <c r="AB591" s="27">
        <f>IF(ISNUMBER($F591),$A591&amp;"|"&amp;$F591,"")</f>
        <v/>
      </c>
      <c r="AC591" s="27">
        <f>IF(ISNUMBER($P591),COUNTIFS($A$14:$A$1213,$A591,$P$14:$P$1213,"&gt;"&amp;$P591)+(COUNTIFS($A$14:$A$1213,$A591,$P$14:$P$1213,"="&amp;$P591)+1)/2,"")</f>
        <v/>
      </c>
      <c r="AD591" s="27">
        <f>IF(ISNUMBER($Q591),COUNTIFS($A$14:$A$1213,$A591,$Q$14:$Q$1213,"&gt;"&amp;$Q591)+(COUNTIFS($A$14:$A$1213,$A591,$Q$14:$Q$1213,"="&amp;$Q591)+1)/2,"")</f>
        <v/>
      </c>
      <c r="AE591" s="27">
        <f>IF(ISNUMBER($R591),COUNTIFS($A$14:$A$1213,$A591,$R$14:$R$1213,"&gt;"&amp;$R591)+(COUNTIFS($A$14:$A$1213,$A591,$R$14:$R$1213,"="&amp;$R591)+1)/2,"")</f>
        <v/>
      </c>
      <c r="AF591" s="27">
        <f>IF(ISNUMBER($S591),COUNTIFS($A$14:$A$1213,$A591,$S$14:$S$1213,"&gt;"&amp;$S591)+(COUNTIFS($A$14:$A$1213,$A591,$S$14:$S$1213,"="&amp;$S591)+1)/2,"")</f>
        <v/>
      </c>
      <c r="AG591" s="27">
        <f>IF(ISNUMBER($T591),COUNTIFS($A$14:$A$1213,$A591,$T$14:$T$1213,"&gt;"&amp;$T591)+(COUNTIFS($A$14:$A$1213,$A591,$T$14:$T$1213,"="&amp;$T591)+1)/2,"")</f>
        <v/>
      </c>
      <c r="AH591" s="27">
        <f>IF(COUNT($AC591:$AG591)&lt;2,"",IF(MAX($AC591:$AG591)=MIN($AC591:$AG591),0,1))</f>
        <v/>
      </c>
      <c r="AI591" s="27">
        <f>IF($A591="","",IF(COUNTIF($A$14:$A591,$A591)=1,COUNTIF($AI$13:AI590,"&gt;0")+1,""))</f>
        <v/>
      </c>
      <c r="AO591" s="27">
        <f>IF($A591="","",IF(AND(COUNTIFS($A$14:$A$1213,$A591,$F$14:$F$1213,"&gt;=0")=2,IFERROR(INDEX($M$14:$M$313,MATCH($A591,$H$14:$H$313,0)),"Yes")&lt;&gt;"Yes"),1,0))</f>
        <v/>
      </c>
    </row>
    <row r="592">
      <c r="A592" s="19">
        <f>IF('Enter messages'!A592="","",'Enter messages'!A592)</f>
        <v/>
      </c>
      <c r="B592" s="20">
        <f>IF('Enter messages'!B592="","",'Enter messages'!B592)</f>
        <v/>
      </c>
      <c r="C592" s="21">
        <f>IFERROR(AVERAGE(P592:T592),"")</f>
        <v/>
      </c>
      <c r="D592" s="29" t="n"/>
      <c r="E592" s="29" t="n"/>
      <c r="F592" s="30">
        <f>IF(AND(ISNUMBER($D592),ISNUMBER($E592),$E592&gt;0,$D592&lt;=$E592),$D592/$E592,"")</f>
        <v/>
      </c>
      <c r="P592" s="26" t="n"/>
      <c r="Q592" s="26" t="n"/>
      <c r="R592" s="26" t="n"/>
      <c r="S592" s="26" t="n"/>
      <c r="T592" s="26" t="n"/>
      <c r="V592" s="27">
        <f>IF(ISNUMBER($C592),COUNTIFS($A$14:$A$1213,$A592,$C$14:$C$1213,"&gt;"&amp;$C592)+(COUNTIFS($A$14:$A$1213,$A592,$C$14:$C$1213,"="&amp;$C592)+1)/2,"")</f>
        <v/>
      </c>
      <c r="W592" s="27">
        <f>IF(ISNUMBER($F592),COUNTIFS($A$14:$A$1213,$A592,$F$14:$F$1213,"&gt;"&amp;$F592)+(COUNTIFS($A$14:$A$1213,$A592,$F$14:$F$1213,"="&amp;$F592)+1)/2,"")</f>
        <v/>
      </c>
      <c r="X592" s="27">
        <f>IF(OR(NOT(ISNUMBER($V592)),$AO592=1),"",$V592-(COUNTIFS($A$14:$A$1213,$A592,$C$14:$C$1213,"&gt;=0")+1)/2)</f>
        <v/>
      </c>
      <c r="Y592" s="27">
        <f>IF(OR(NOT(ISNUMBER($W592)),$AO592=1),"",$W592-(COUNTIFS($A$14:$A$1213,$A592,$F$14:$F$1213,"&gt;=0")+1)/2)</f>
        <v/>
      </c>
      <c r="Z592" s="27">
        <f>IF(ISNUMBER($V592),$A592&amp;"|"&amp;$V592,"")</f>
        <v/>
      </c>
      <c r="AA592" s="27">
        <f>IF(ISNUMBER($W592),$A592&amp;"|"&amp;$W592,"")</f>
        <v/>
      </c>
      <c r="AB592" s="27">
        <f>IF(ISNUMBER($F592),$A592&amp;"|"&amp;$F592,"")</f>
        <v/>
      </c>
      <c r="AC592" s="27">
        <f>IF(ISNUMBER($P592),COUNTIFS($A$14:$A$1213,$A592,$P$14:$P$1213,"&gt;"&amp;$P592)+(COUNTIFS($A$14:$A$1213,$A592,$P$14:$P$1213,"="&amp;$P592)+1)/2,"")</f>
        <v/>
      </c>
      <c r="AD592" s="27">
        <f>IF(ISNUMBER($Q592),COUNTIFS($A$14:$A$1213,$A592,$Q$14:$Q$1213,"&gt;"&amp;$Q592)+(COUNTIFS($A$14:$A$1213,$A592,$Q$14:$Q$1213,"="&amp;$Q592)+1)/2,"")</f>
        <v/>
      </c>
      <c r="AE592" s="27">
        <f>IF(ISNUMBER($R592),COUNTIFS($A$14:$A$1213,$A592,$R$14:$R$1213,"&gt;"&amp;$R592)+(COUNTIFS($A$14:$A$1213,$A592,$R$14:$R$1213,"="&amp;$R592)+1)/2,"")</f>
        <v/>
      </c>
      <c r="AF592" s="27">
        <f>IF(ISNUMBER($S592),COUNTIFS($A$14:$A$1213,$A592,$S$14:$S$1213,"&gt;"&amp;$S592)+(COUNTIFS($A$14:$A$1213,$A592,$S$14:$S$1213,"="&amp;$S592)+1)/2,"")</f>
        <v/>
      </c>
      <c r="AG592" s="27">
        <f>IF(ISNUMBER($T592),COUNTIFS($A$14:$A$1213,$A592,$T$14:$T$1213,"&gt;"&amp;$T592)+(COUNTIFS($A$14:$A$1213,$A592,$T$14:$T$1213,"="&amp;$T592)+1)/2,"")</f>
        <v/>
      </c>
      <c r="AH592" s="27">
        <f>IF(COUNT($AC592:$AG592)&lt;2,"",IF(MAX($AC592:$AG592)=MIN($AC592:$AG592),0,1))</f>
        <v/>
      </c>
      <c r="AI592" s="27">
        <f>IF($A592="","",IF(COUNTIF($A$14:$A592,$A592)=1,COUNTIF($AI$13:AI591,"&gt;0")+1,""))</f>
        <v/>
      </c>
      <c r="AO592" s="27">
        <f>IF($A592="","",IF(AND(COUNTIFS($A$14:$A$1213,$A592,$F$14:$F$1213,"&gt;=0")=2,IFERROR(INDEX($M$14:$M$313,MATCH($A592,$H$14:$H$313,0)),"Yes")&lt;&gt;"Yes"),1,0))</f>
        <v/>
      </c>
    </row>
    <row r="593">
      <c r="A593" s="19">
        <f>IF('Enter messages'!A593="","",'Enter messages'!A593)</f>
        <v/>
      </c>
      <c r="B593" s="20">
        <f>IF('Enter messages'!B593="","",'Enter messages'!B593)</f>
        <v/>
      </c>
      <c r="C593" s="21">
        <f>IFERROR(AVERAGE(P593:T593),"")</f>
        <v/>
      </c>
      <c r="D593" s="29" t="n"/>
      <c r="E593" s="29" t="n"/>
      <c r="F593" s="30">
        <f>IF(AND(ISNUMBER($D593),ISNUMBER($E593),$E593&gt;0,$D593&lt;=$E593),$D593/$E593,"")</f>
        <v/>
      </c>
      <c r="P593" s="26" t="n"/>
      <c r="Q593" s="26" t="n"/>
      <c r="R593" s="26" t="n"/>
      <c r="S593" s="26" t="n"/>
      <c r="T593" s="26" t="n"/>
      <c r="V593" s="27">
        <f>IF(ISNUMBER($C593),COUNTIFS($A$14:$A$1213,$A593,$C$14:$C$1213,"&gt;"&amp;$C593)+(COUNTIFS($A$14:$A$1213,$A593,$C$14:$C$1213,"="&amp;$C593)+1)/2,"")</f>
        <v/>
      </c>
      <c r="W593" s="27">
        <f>IF(ISNUMBER($F593),COUNTIFS($A$14:$A$1213,$A593,$F$14:$F$1213,"&gt;"&amp;$F593)+(COUNTIFS($A$14:$A$1213,$A593,$F$14:$F$1213,"="&amp;$F593)+1)/2,"")</f>
        <v/>
      </c>
      <c r="X593" s="27">
        <f>IF(OR(NOT(ISNUMBER($V593)),$AO593=1),"",$V593-(COUNTIFS($A$14:$A$1213,$A593,$C$14:$C$1213,"&gt;=0")+1)/2)</f>
        <v/>
      </c>
      <c r="Y593" s="27">
        <f>IF(OR(NOT(ISNUMBER($W593)),$AO593=1),"",$W593-(COUNTIFS($A$14:$A$1213,$A593,$F$14:$F$1213,"&gt;=0")+1)/2)</f>
        <v/>
      </c>
      <c r="Z593" s="27">
        <f>IF(ISNUMBER($V593),$A593&amp;"|"&amp;$V593,"")</f>
        <v/>
      </c>
      <c r="AA593" s="27">
        <f>IF(ISNUMBER($W593),$A593&amp;"|"&amp;$W593,"")</f>
        <v/>
      </c>
      <c r="AB593" s="27">
        <f>IF(ISNUMBER($F593),$A593&amp;"|"&amp;$F593,"")</f>
        <v/>
      </c>
      <c r="AC593" s="27">
        <f>IF(ISNUMBER($P593),COUNTIFS($A$14:$A$1213,$A593,$P$14:$P$1213,"&gt;"&amp;$P593)+(COUNTIFS($A$14:$A$1213,$A593,$P$14:$P$1213,"="&amp;$P593)+1)/2,"")</f>
        <v/>
      </c>
      <c r="AD593" s="27">
        <f>IF(ISNUMBER($Q593),COUNTIFS($A$14:$A$1213,$A593,$Q$14:$Q$1213,"&gt;"&amp;$Q593)+(COUNTIFS($A$14:$A$1213,$A593,$Q$14:$Q$1213,"="&amp;$Q593)+1)/2,"")</f>
        <v/>
      </c>
      <c r="AE593" s="27">
        <f>IF(ISNUMBER($R593),COUNTIFS($A$14:$A$1213,$A593,$R$14:$R$1213,"&gt;"&amp;$R593)+(COUNTIFS($A$14:$A$1213,$A593,$R$14:$R$1213,"="&amp;$R593)+1)/2,"")</f>
        <v/>
      </c>
      <c r="AF593" s="27">
        <f>IF(ISNUMBER($S593),COUNTIFS($A$14:$A$1213,$A593,$S$14:$S$1213,"&gt;"&amp;$S593)+(COUNTIFS($A$14:$A$1213,$A593,$S$14:$S$1213,"="&amp;$S593)+1)/2,"")</f>
        <v/>
      </c>
      <c r="AG593" s="27">
        <f>IF(ISNUMBER($T593),COUNTIFS($A$14:$A$1213,$A593,$T$14:$T$1213,"&gt;"&amp;$T593)+(COUNTIFS($A$14:$A$1213,$A593,$T$14:$T$1213,"="&amp;$T593)+1)/2,"")</f>
        <v/>
      </c>
      <c r="AH593" s="27">
        <f>IF(COUNT($AC593:$AG593)&lt;2,"",IF(MAX($AC593:$AG593)=MIN($AC593:$AG593),0,1))</f>
        <v/>
      </c>
      <c r="AI593" s="27">
        <f>IF($A593="","",IF(COUNTIF($A$14:$A593,$A593)=1,COUNTIF($AI$13:AI592,"&gt;0")+1,""))</f>
        <v/>
      </c>
      <c r="AO593" s="27">
        <f>IF($A593="","",IF(AND(COUNTIFS($A$14:$A$1213,$A593,$F$14:$F$1213,"&gt;=0")=2,IFERROR(INDEX($M$14:$M$313,MATCH($A593,$H$14:$H$313,0)),"Yes")&lt;&gt;"Yes"),1,0))</f>
        <v/>
      </c>
    </row>
    <row r="594">
      <c r="A594" s="19">
        <f>IF('Enter messages'!A594="","",'Enter messages'!A594)</f>
        <v/>
      </c>
      <c r="B594" s="20">
        <f>IF('Enter messages'!B594="","",'Enter messages'!B594)</f>
        <v/>
      </c>
      <c r="C594" s="21">
        <f>IFERROR(AVERAGE(P594:T594),"")</f>
        <v/>
      </c>
      <c r="D594" s="29" t="n"/>
      <c r="E594" s="29" t="n"/>
      <c r="F594" s="30">
        <f>IF(AND(ISNUMBER($D594),ISNUMBER($E594),$E594&gt;0,$D594&lt;=$E594),$D594/$E594,"")</f>
        <v/>
      </c>
      <c r="P594" s="26" t="n"/>
      <c r="Q594" s="26" t="n"/>
      <c r="R594" s="26" t="n"/>
      <c r="S594" s="26" t="n"/>
      <c r="T594" s="26" t="n"/>
      <c r="V594" s="27">
        <f>IF(ISNUMBER($C594),COUNTIFS($A$14:$A$1213,$A594,$C$14:$C$1213,"&gt;"&amp;$C594)+(COUNTIFS($A$14:$A$1213,$A594,$C$14:$C$1213,"="&amp;$C594)+1)/2,"")</f>
        <v/>
      </c>
      <c r="W594" s="27">
        <f>IF(ISNUMBER($F594),COUNTIFS($A$14:$A$1213,$A594,$F$14:$F$1213,"&gt;"&amp;$F594)+(COUNTIFS($A$14:$A$1213,$A594,$F$14:$F$1213,"="&amp;$F594)+1)/2,"")</f>
        <v/>
      </c>
      <c r="X594" s="27">
        <f>IF(OR(NOT(ISNUMBER($V594)),$AO594=1),"",$V594-(COUNTIFS($A$14:$A$1213,$A594,$C$14:$C$1213,"&gt;=0")+1)/2)</f>
        <v/>
      </c>
      <c r="Y594" s="27">
        <f>IF(OR(NOT(ISNUMBER($W594)),$AO594=1),"",$W594-(COUNTIFS($A$14:$A$1213,$A594,$F$14:$F$1213,"&gt;=0")+1)/2)</f>
        <v/>
      </c>
      <c r="Z594" s="27">
        <f>IF(ISNUMBER($V594),$A594&amp;"|"&amp;$V594,"")</f>
        <v/>
      </c>
      <c r="AA594" s="27">
        <f>IF(ISNUMBER($W594),$A594&amp;"|"&amp;$W594,"")</f>
        <v/>
      </c>
      <c r="AB594" s="27">
        <f>IF(ISNUMBER($F594),$A594&amp;"|"&amp;$F594,"")</f>
        <v/>
      </c>
      <c r="AC594" s="27">
        <f>IF(ISNUMBER($P594),COUNTIFS($A$14:$A$1213,$A594,$P$14:$P$1213,"&gt;"&amp;$P594)+(COUNTIFS($A$14:$A$1213,$A594,$P$14:$P$1213,"="&amp;$P594)+1)/2,"")</f>
        <v/>
      </c>
      <c r="AD594" s="27">
        <f>IF(ISNUMBER($Q594),COUNTIFS($A$14:$A$1213,$A594,$Q$14:$Q$1213,"&gt;"&amp;$Q594)+(COUNTIFS($A$14:$A$1213,$A594,$Q$14:$Q$1213,"="&amp;$Q594)+1)/2,"")</f>
        <v/>
      </c>
      <c r="AE594" s="27">
        <f>IF(ISNUMBER($R594),COUNTIFS($A$14:$A$1213,$A594,$R$14:$R$1213,"&gt;"&amp;$R594)+(COUNTIFS($A$14:$A$1213,$A594,$R$14:$R$1213,"="&amp;$R594)+1)/2,"")</f>
        <v/>
      </c>
      <c r="AF594" s="27">
        <f>IF(ISNUMBER($S594),COUNTIFS($A$14:$A$1213,$A594,$S$14:$S$1213,"&gt;"&amp;$S594)+(COUNTIFS($A$14:$A$1213,$A594,$S$14:$S$1213,"="&amp;$S594)+1)/2,"")</f>
        <v/>
      </c>
      <c r="AG594" s="27">
        <f>IF(ISNUMBER($T594),COUNTIFS($A$14:$A$1213,$A594,$T$14:$T$1213,"&gt;"&amp;$T594)+(COUNTIFS($A$14:$A$1213,$A594,$T$14:$T$1213,"="&amp;$T594)+1)/2,"")</f>
        <v/>
      </c>
      <c r="AH594" s="27">
        <f>IF(COUNT($AC594:$AG594)&lt;2,"",IF(MAX($AC594:$AG594)=MIN($AC594:$AG594),0,1))</f>
        <v/>
      </c>
      <c r="AI594" s="27">
        <f>IF($A594="","",IF(COUNTIF($A$14:$A594,$A594)=1,COUNTIF($AI$13:AI593,"&gt;0")+1,""))</f>
        <v/>
      </c>
      <c r="AO594" s="27">
        <f>IF($A594="","",IF(AND(COUNTIFS($A$14:$A$1213,$A594,$F$14:$F$1213,"&gt;=0")=2,IFERROR(INDEX($M$14:$M$313,MATCH($A594,$H$14:$H$313,0)),"Yes")&lt;&gt;"Yes"),1,0))</f>
        <v/>
      </c>
    </row>
    <row r="595">
      <c r="A595" s="19">
        <f>IF('Enter messages'!A595="","",'Enter messages'!A595)</f>
        <v/>
      </c>
      <c r="B595" s="20">
        <f>IF('Enter messages'!B595="","",'Enter messages'!B595)</f>
        <v/>
      </c>
      <c r="C595" s="21">
        <f>IFERROR(AVERAGE(P595:T595),"")</f>
        <v/>
      </c>
      <c r="D595" s="29" t="n"/>
      <c r="E595" s="29" t="n"/>
      <c r="F595" s="30">
        <f>IF(AND(ISNUMBER($D595),ISNUMBER($E595),$E595&gt;0,$D595&lt;=$E595),$D595/$E595,"")</f>
        <v/>
      </c>
      <c r="P595" s="26" t="n"/>
      <c r="Q595" s="26" t="n"/>
      <c r="R595" s="26" t="n"/>
      <c r="S595" s="26" t="n"/>
      <c r="T595" s="26" t="n"/>
      <c r="V595" s="27">
        <f>IF(ISNUMBER($C595),COUNTIFS($A$14:$A$1213,$A595,$C$14:$C$1213,"&gt;"&amp;$C595)+(COUNTIFS($A$14:$A$1213,$A595,$C$14:$C$1213,"="&amp;$C595)+1)/2,"")</f>
        <v/>
      </c>
      <c r="W595" s="27">
        <f>IF(ISNUMBER($F595),COUNTIFS($A$14:$A$1213,$A595,$F$14:$F$1213,"&gt;"&amp;$F595)+(COUNTIFS($A$14:$A$1213,$A595,$F$14:$F$1213,"="&amp;$F595)+1)/2,"")</f>
        <v/>
      </c>
      <c r="X595" s="27">
        <f>IF(OR(NOT(ISNUMBER($V595)),$AO595=1),"",$V595-(COUNTIFS($A$14:$A$1213,$A595,$C$14:$C$1213,"&gt;=0")+1)/2)</f>
        <v/>
      </c>
      <c r="Y595" s="27">
        <f>IF(OR(NOT(ISNUMBER($W595)),$AO595=1),"",$W595-(COUNTIFS($A$14:$A$1213,$A595,$F$14:$F$1213,"&gt;=0")+1)/2)</f>
        <v/>
      </c>
      <c r="Z595" s="27">
        <f>IF(ISNUMBER($V595),$A595&amp;"|"&amp;$V595,"")</f>
        <v/>
      </c>
      <c r="AA595" s="27">
        <f>IF(ISNUMBER($W595),$A595&amp;"|"&amp;$W595,"")</f>
        <v/>
      </c>
      <c r="AB595" s="27">
        <f>IF(ISNUMBER($F595),$A595&amp;"|"&amp;$F595,"")</f>
        <v/>
      </c>
      <c r="AC595" s="27">
        <f>IF(ISNUMBER($P595),COUNTIFS($A$14:$A$1213,$A595,$P$14:$P$1213,"&gt;"&amp;$P595)+(COUNTIFS($A$14:$A$1213,$A595,$P$14:$P$1213,"="&amp;$P595)+1)/2,"")</f>
        <v/>
      </c>
      <c r="AD595" s="27">
        <f>IF(ISNUMBER($Q595),COUNTIFS($A$14:$A$1213,$A595,$Q$14:$Q$1213,"&gt;"&amp;$Q595)+(COUNTIFS($A$14:$A$1213,$A595,$Q$14:$Q$1213,"="&amp;$Q595)+1)/2,"")</f>
        <v/>
      </c>
      <c r="AE595" s="27">
        <f>IF(ISNUMBER($R595),COUNTIFS($A$14:$A$1213,$A595,$R$14:$R$1213,"&gt;"&amp;$R595)+(COUNTIFS($A$14:$A$1213,$A595,$R$14:$R$1213,"="&amp;$R595)+1)/2,"")</f>
        <v/>
      </c>
      <c r="AF595" s="27">
        <f>IF(ISNUMBER($S595),COUNTIFS($A$14:$A$1213,$A595,$S$14:$S$1213,"&gt;"&amp;$S595)+(COUNTIFS($A$14:$A$1213,$A595,$S$14:$S$1213,"="&amp;$S595)+1)/2,"")</f>
        <v/>
      </c>
      <c r="AG595" s="27">
        <f>IF(ISNUMBER($T595),COUNTIFS($A$14:$A$1213,$A595,$T$14:$T$1213,"&gt;"&amp;$T595)+(COUNTIFS($A$14:$A$1213,$A595,$T$14:$T$1213,"="&amp;$T595)+1)/2,"")</f>
        <v/>
      </c>
      <c r="AH595" s="27">
        <f>IF(COUNT($AC595:$AG595)&lt;2,"",IF(MAX($AC595:$AG595)=MIN($AC595:$AG595),0,1))</f>
        <v/>
      </c>
      <c r="AI595" s="27">
        <f>IF($A595="","",IF(COUNTIF($A$14:$A595,$A595)=1,COUNTIF($AI$13:AI594,"&gt;0")+1,""))</f>
        <v/>
      </c>
      <c r="AO595" s="27">
        <f>IF($A595="","",IF(AND(COUNTIFS($A$14:$A$1213,$A595,$F$14:$F$1213,"&gt;=0")=2,IFERROR(INDEX($M$14:$M$313,MATCH($A595,$H$14:$H$313,0)),"Yes")&lt;&gt;"Yes"),1,0))</f>
        <v/>
      </c>
    </row>
    <row r="596">
      <c r="A596" s="19">
        <f>IF('Enter messages'!A596="","",'Enter messages'!A596)</f>
        <v/>
      </c>
      <c r="B596" s="20">
        <f>IF('Enter messages'!B596="","",'Enter messages'!B596)</f>
        <v/>
      </c>
      <c r="C596" s="21">
        <f>IFERROR(AVERAGE(P596:T596),"")</f>
        <v/>
      </c>
      <c r="D596" s="29" t="n"/>
      <c r="E596" s="29" t="n"/>
      <c r="F596" s="30">
        <f>IF(AND(ISNUMBER($D596),ISNUMBER($E596),$E596&gt;0,$D596&lt;=$E596),$D596/$E596,"")</f>
        <v/>
      </c>
      <c r="P596" s="26" t="n"/>
      <c r="Q596" s="26" t="n"/>
      <c r="R596" s="26" t="n"/>
      <c r="S596" s="26" t="n"/>
      <c r="T596" s="26" t="n"/>
      <c r="V596" s="27">
        <f>IF(ISNUMBER($C596),COUNTIFS($A$14:$A$1213,$A596,$C$14:$C$1213,"&gt;"&amp;$C596)+(COUNTIFS($A$14:$A$1213,$A596,$C$14:$C$1213,"="&amp;$C596)+1)/2,"")</f>
        <v/>
      </c>
      <c r="W596" s="27">
        <f>IF(ISNUMBER($F596),COUNTIFS($A$14:$A$1213,$A596,$F$14:$F$1213,"&gt;"&amp;$F596)+(COUNTIFS($A$14:$A$1213,$A596,$F$14:$F$1213,"="&amp;$F596)+1)/2,"")</f>
        <v/>
      </c>
      <c r="X596" s="27">
        <f>IF(OR(NOT(ISNUMBER($V596)),$AO596=1),"",$V596-(COUNTIFS($A$14:$A$1213,$A596,$C$14:$C$1213,"&gt;=0")+1)/2)</f>
        <v/>
      </c>
      <c r="Y596" s="27">
        <f>IF(OR(NOT(ISNUMBER($W596)),$AO596=1),"",$W596-(COUNTIFS($A$14:$A$1213,$A596,$F$14:$F$1213,"&gt;=0")+1)/2)</f>
        <v/>
      </c>
      <c r="Z596" s="27">
        <f>IF(ISNUMBER($V596),$A596&amp;"|"&amp;$V596,"")</f>
        <v/>
      </c>
      <c r="AA596" s="27">
        <f>IF(ISNUMBER($W596),$A596&amp;"|"&amp;$W596,"")</f>
        <v/>
      </c>
      <c r="AB596" s="27">
        <f>IF(ISNUMBER($F596),$A596&amp;"|"&amp;$F596,"")</f>
        <v/>
      </c>
      <c r="AC596" s="27">
        <f>IF(ISNUMBER($P596),COUNTIFS($A$14:$A$1213,$A596,$P$14:$P$1213,"&gt;"&amp;$P596)+(COUNTIFS($A$14:$A$1213,$A596,$P$14:$P$1213,"="&amp;$P596)+1)/2,"")</f>
        <v/>
      </c>
      <c r="AD596" s="27">
        <f>IF(ISNUMBER($Q596),COUNTIFS($A$14:$A$1213,$A596,$Q$14:$Q$1213,"&gt;"&amp;$Q596)+(COUNTIFS($A$14:$A$1213,$A596,$Q$14:$Q$1213,"="&amp;$Q596)+1)/2,"")</f>
        <v/>
      </c>
      <c r="AE596" s="27">
        <f>IF(ISNUMBER($R596),COUNTIFS($A$14:$A$1213,$A596,$R$14:$R$1213,"&gt;"&amp;$R596)+(COUNTIFS($A$14:$A$1213,$A596,$R$14:$R$1213,"="&amp;$R596)+1)/2,"")</f>
        <v/>
      </c>
      <c r="AF596" s="27">
        <f>IF(ISNUMBER($S596),COUNTIFS($A$14:$A$1213,$A596,$S$14:$S$1213,"&gt;"&amp;$S596)+(COUNTIFS($A$14:$A$1213,$A596,$S$14:$S$1213,"="&amp;$S596)+1)/2,"")</f>
        <v/>
      </c>
      <c r="AG596" s="27">
        <f>IF(ISNUMBER($T596),COUNTIFS($A$14:$A$1213,$A596,$T$14:$T$1213,"&gt;"&amp;$T596)+(COUNTIFS($A$14:$A$1213,$A596,$T$14:$T$1213,"="&amp;$T596)+1)/2,"")</f>
        <v/>
      </c>
      <c r="AH596" s="27">
        <f>IF(COUNT($AC596:$AG596)&lt;2,"",IF(MAX($AC596:$AG596)=MIN($AC596:$AG596),0,1))</f>
        <v/>
      </c>
      <c r="AI596" s="27">
        <f>IF($A596="","",IF(COUNTIF($A$14:$A596,$A596)=1,COUNTIF($AI$13:AI595,"&gt;0")+1,""))</f>
        <v/>
      </c>
      <c r="AO596" s="27">
        <f>IF($A596="","",IF(AND(COUNTIFS($A$14:$A$1213,$A596,$F$14:$F$1213,"&gt;=0")=2,IFERROR(INDEX($M$14:$M$313,MATCH($A596,$H$14:$H$313,0)),"Yes")&lt;&gt;"Yes"),1,0))</f>
        <v/>
      </c>
    </row>
    <row r="597">
      <c r="A597" s="19">
        <f>IF('Enter messages'!A597="","",'Enter messages'!A597)</f>
        <v/>
      </c>
      <c r="B597" s="20">
        <f>IF('Enter messages'!B597="","",'Enter messages'!B597)</f>
        <v/>
      </c>
      <c r="C597" s="21">
        <f>IFERROR(AVERAGE(P597:T597),"")</f>
        <v/>
      </c>
      <c r="D597" s="29" t="n"/>
      <c r="E597" s="29" t="n"/>
      <c r="F597" s="30">
        <f>IF(AND(ISNUMBER($D597),ISNUMBER($E597),$E597&gt;0,$D597&lt;=$E597),$D597/$E597,"")</f>
        <v/>
      </c>
      <c r="P597" s="26" t="n"/>
      <c r="Q597" s="26" t="n"/>
      <c r="R597" s="26" t="n"/>
      <c r="S597" s="26" t="n"/>
      <c r="T597" s="26" t="n"/>
      <c r="V597" s="27">
        <f>IF(ISNUMBER($C597),COUNTIFS($A$14:$A$1213,$A597,$C$14:$C$1213,"&gt;"&amp;$C597)+(COUNTIFS($A$14:$A$1213,$A597,$C$14:$C$1213,"="&amp;$C597)+1)/2,"")</f>
        <v/>
      </c>
      <c r="W597" s="27">
        <f>IF(ISNUMBER($F597),COUNTIFS($A$14:$A$1213,$A597,$F$14:$F$1213,"&gt;"&amp;$F597)+(COUNTIFS($A$14:$A$1213,$A597,$F$14:$F$1213,"="&amp;$F597)+1)/2,"")</f>
        <v/>
      </c>
      <c r="X597" s="27">
        <f>IF(OR(NOT(ISNUMBER($V597)),$AO597=1),"",$V597-(COUNTIFS($A$14:$A$1213,$A597,$C$14:$C$1213,"&gt;=0")+1)/2)</f>
        <v/>
      </c>
      <c r="Y597" s="27">
        <f>IF(OR(NOT(ISNUMBER($W597)),$AO597=1),"",$W597-(COUNTIFS($A$14:$A$1213,$A597,$F$14:$F$1213,"&gt;=0")+1)/2)</f>
        <v/>
      </c>
      <c r="Z597" s="27">
        <f>IF(ISNUMBER($V597),$A597&amp;"|"&amp;$V597,"")</f>
        <v/>
      </c>
      <c r="AA597" s="27">
        <f>IF(ISNUMBER($W597),$A597&amp;"|"&amp;$W597,"")</f>
        <v/>
      </c>
      <c r="AB597" s="27">
        <f>IF(ISNUMBER($F597),$A597&amp;"|"&amp;$F597,"")</f>
        <v/>
      </c>
      <c r="AC597" s="27">
        <f>IF(ISNUMBER($P597),COUNTIFS($A$14:$A$1213,$A597,$P$14:$P$1213,"&gt;"&amp;$P597)+(COUNTIFS($A$14:$A$1213,$A597,$P$14:$P$1213,"="&amp;$P597)+1)/2,"")</f>
        <v/>
      </c>
      <c r="AD597" s="27">
        <f>IF(ISNUMBER($Q597),COUNTIFS($A$14:$A$1213,$A597,$Q$14:$Q$1213,"&gt;"&amp;$Q597)+(COUNTIFS($A$14:$A$1213,$A597,$Q$14:$Q$1213,"="&amp;$Q597)+1)/2,"")</f>
        <v/>
      </c>
      <c r="AE597" s="27">
        <f>IF(ISNUMBER($R597),COUNTIFS($A$14:$A$1213,$A597,$R$14:$R$1213,"&gt;"&amp;$R597)+(COUNTIFS($A$14:$A$1213,$A597,$R$14:$R$1213,"="&amp;$R597)+1)/2,"")</f>
        <v/>
      </c>
      <c r="AF597" s="27">
        <f>IF(ISNUMBER($S597),COUNTIFS($A$14:$A$1213,$A597,$S$14:$S$1213,"&gt;"&amp;$S597)+(COUNTIFS($A$14:$A$1213,$A597,$S$14:$S$1213,"="&amp;$S597)+1)/2,"")</f>
        <v/>
      </c>
      <c r="AG597" s="27">
        <f>IF(ISNUMBER($T597),COUNTIFS($A$14:$A$1213,$A597,$T$14:$T$1213,"&gt;"&amp;$T597)+(COUNTIFS($A$14:$A$1213,$A597,$T$14:$T$1213,"="&amp;$T597)+1)/2,"")</f>
        <v/>
      </c>
      <c r="AH597" s="27">
        <f>IF(COUNT($AC597:$AG597)&lt;2,"",IF(MAX($AC597:$AG597)=MIN($AC597:$AG597),0,1))</f>
        <v/>
      </c>
      <c r="AI597" s="27">
        <f>IF($A597="","",IF(COUNTIF($A$14:$A597,$A597)=1,COUNTIF($AI$13:AI596,"&gt;0")+1,""))</f>
        <v/>
      </c>
      <c r="AO597" s="27">
        <f>IF($A597="","",IF(AND(COUNTIFS($A$14:$A$1213,$A597,$F$14:$F$1213,"&gt;=0")=2,IFERROR(INDEX($M$14:$M$313,MATCH($A597,$H$14:$H$313,0)),"Yes")&lt;&gt;"Yes"),1,0))</f>
        <v/>
      </c>
    </row>
    <row r="598">
      <c r="A598" s="19">
        <f>IF('Enter messages'!A598="","",'Enter messages'!A598)</f>
        <v/>
      </c>
      <c r="B598" s="20">
        <f>IF('Enter messages'!B598="","",'Enter messages'!B598)</f>
        <v/>
      </c>
      <c r="C598" s="21">
        <f>IFERROR(AVERAGE(P598:T598),"")</f>
        <v/>
      </c>
      <c r="D598" s="29" t="n"/>
      <c r="E598" s="29" t="n"/>
      <c r="F598" s="30">
        <f>IF(AND(ISNUMBER($D598),ISNUMBER($E598),$E598&gt;0,$D598&lt;=$E598),$D598/$E598,"")</f>
        <v/>
      </c>
      <c r="P598" s="26" t="n"/>
      <c r="Q598" s="26" t="n"/>
      <c r="R598" s="26" t="n"/>
      <c r="S598" s="26" t="n"/>
      <c r="T598" s="26" t="n"/>
      <c r="V598" s="27">
        <f>IF(ISNUMBER($C598),COUNTIFS($A$14:$A$1213,$A598,$C$14:$C$1213,"&gt;"&amp;$C598)+(COUNTIFS($A$14:$A$1213,$A598,$C$14:$C$1213,"="&amp;$C598)+1)/2,"")</f>
        <v/>
      </c>
      <c r="W598" s="27">
        <f>IF(ISNUMBER($F598),COUNTIFS($A$14:$A$1213,$A598,$F$14:$F$1213,"&gt;"&amp;$F598)+(COUNTIFS($A$14:$A$1213,$A598,$F$14:$F$1213,"="&amp;$F598)+1)/2,"")</f>
        <v/>
      </c>
      <c r="X598" s="27">
        <f>IF(OR(NOT(ISNUMBER($V598)),$AO598=1),"",$V598-(COUNTIFS($A$14:$A$1213,$A598,$C$14:$C$1213,"&gt;=0")+1)/2)</f>
        <v/>
      </c>
      <c r="Y598" s="27">
        <f>IF(OR(NOT(ISNUMBER($W598)),$AO598=1),"",$W598-(COUNTIFS($A$14:$A$1213,$A598,$F$14:$F$1213,"&gt;=0")+1)/2)</f>
        <v/>
      </c>
      <c r="Z598" s="27">
        <f>IF(ISNUMBER($V598),$A598&amp;"|"&amp;$V598,"")</f>
        <v/>
      </c>
      <c r="AA598" s="27">
        <f>IF(ISNUMBER($W598),$A598&amp;"|"&amp;$W598,"")</f>
        <v/>
      </c>
      <c r="AB598" s="27">
        <f>IF(ISNUMBER($F598),$A598&amp;"|"&amp;$F598,"")</f>
        <v/>
      </c>
      <c r="AC598" s="27">
        <f>IF(ISNUMBER($P598),COUNTIFS($A$14:$A$1213,$A598,$P$14:$P$1213,"&gt;"&amp;$P598)+(COUNTIFS($A$14:$A$1213,$A598,$P$14:$P$1213,"="&amp;$P598)+1)/2,"")</f>
        <v/>
      </c>
      <c r="AD598" s="27">
        <f>IF(ISNUMBER($Q598),COUNTIFS($A$14:$A$1213,$A598,$Q$14:$Q$1213,"&gt;"&amp;$Q598)+(COUNTIFS($A$14:$A$1213,$A598,$Q$14:$Q$1213,"="&amp;$Q598)+1)/2,"")</f>
        <v/>
      </c>
      <c r="AE598" s="27">
        <f>IF(ISNUMBER($R598),COUNTIFS($A$14:$A$1213,$A598,$R$14:$R$1213,"&gt;"&amp;$R598)+(COUNTIFS($A$14:$A$1213,$A598,$R$14:$R$1213,"="&amp;$R598)+1)/2,"")</f>
        <v/>
      </c>
      <c r="AF598" s="27">
        <f>IF(ISNUMBER($S598),COUNTIFS($A$14:$A$1213,$A598,$S$14:$S$1213,"&gt;"&amp;$S598)+(COUNTIFS($A$14:$A$1213,$A598,$S$14:$S$1213,"="&amp;$S598)+1)/2,"")</f>
        <v/>
      </c>
      <c r="AG598" s="27">
        <f>IF(ISNUMBER($T598),COUNTIFS($A$14:$A$1213,$A598,$T$14:$T$1213,"&gt;"&amp;$T598)+(COUNTIFS($A$14:$A$1213,$A598,$T$14:$T$1213,"="&amp;$T598)+1)/2,"")</f>
        <v/>
      </c>
      <c r="AH598" s="27">
        <f>IF(COUNT($AC598:$AG598)&lt;2,"",IF(MAX($AC598:$AG598)=MIN($AC598:$AG598),0,1))</f>
        <v/>
      </c>
      <c r="AI598" s="27">
        <f>IF($A598="","",IF(COUNTIF($A$14:$A598,$A598)=1,COUNTIF($AI$13:AI597,"&gt;0")+1,""))</f>
        <v/>
      </c>
      <c r="AO598" s="27">
        <f>IF($A598="","",IF(AND(COUNTIFS($A$14:$A$1213,$A598,$F$14:$F$1213,"&gt;=0")=2,IFERROR(INDEX($M$14:$M$313,MATCH($A598,$H$14:$H$313,0)),"Yes")&lt;&gt;"Yes"),1,0))</f>
        <v/>
      </c>
    </row>
    <row r="599">
      <c r="A599" s="19">
        <f>IF('Enter messages'!A599="","",'Enter messages'!A599)</f>
        <v/>
      </c>
      <c r="B599" s="20">
        <f>IF('Enter messages'!B599="","",'Enter messages'!B599)</f>
        <v/>
      </c>
      <c r="C599" s="21">
        <f>IFERROR(AVERAGE(P599:T599),"")</f>
        <v/>
      </c>
      <c r="D599" s="29" t="n"/>
      <c r="E599" s="29" t="n"/>
      <c r="F599" s="30">
        <f>IF(AND(ISNUMBER($D599),ISNUMBER($E599),$E599&gt;0,$D599&lt;=$E599),$D599/$E599,"")</f>
        <v/>
      </c>
      <c r="P599" s="26" t="n"/>
      <c r="Q599" s="26" t="n"/>
      <c r="R599" s="26" t="n"/>
      <c r="S599" s="26" t="n"/>
      <c r="T599" s="26" t="n"/>
      <c r="V599" s="27">
        <f>IF(ISNUMBER($C599),COUNTIFS($A$14:$A$1213,$A599,$C$14:$C$1213,"&gt;"&amp;$C599)+(COUNTIFS($A$14:$A$1213,$A599,$C$14:$C$1213,"="&amp;$C599)+1)/2,"")</f>
        <v/>
      </c>
      <c r="W599" s="27">
        <f>IF(ISNUMBER($F599),COUNTIFS($A$14:$A$1213,$A599,$F$14:$F$1213,"&gt;"&amp;$F599)+(COUNTIFS($A$14:$A$1213,$A599,$F$14:$F$1213,"="&amp;$F599)+1)/2,"")</f>
        <v/>
      </c>
      <c r="X599" s="27">
        <f>IF(OR(NOT(ISNUMBER($V599)),$AO599=1),"",$V599-(COUNTIFS($A$14:$A$1213,$A599,$C$14:$C$1213,"&gt;=0")+1)/2)</f>
        <v/>
      </c>
      <c r="Y599" s="27">
        <f>IF(OR(NOT(ISNUMBER($W599)),$AO599=1),"",$W599-(COUNTIFS($A$14:$A$1213,$A599,$F$14:$F$1213,"&gt;=0")+1)/2)</f>
        <v/>
      </c>
      <c r="Z599" s="27">
        <f>IF(ISNUMBER($V599),$A599&amp;"|"&amp;$V599,"")</f>
        <v/>
      </c>
      <c r="AA599" s="27">
        <f>IF(ISNUMBER($W599),$A599&amp;"|"&amp;$W599,"")</f>
        <v/>
      </c>
      <c r="AB599" s="27">
        <f>IF(ISNUMBER($F599),$A599&amp;"|"&amp;$F599,"")</f>
        <v/>
      </c>
      <c r="AC599" s="27">
        <f>IF(ISNUMBER($P599),COUNTIFS($A$14:$A$1213,$A599,$P$14:$P$1213,"&gt;"&amp;$P599)+(COUNTIFS($A$14:$A$1213,$A599,$P$14:$P$1213,"="&amp;$P599)+1)/2,"")</f>
        <v/>
      </c>
      <c r="AD599" s="27">
        <f>IF(ISNUMBER($Q599),COUNTIFS($A$14:$A$1213,$A599,$Q$14:$Q$1213,"&gt;"&amp;$Q599)+(COUNTIFS($A$14:$A$1213,$A599,$Q$14:$Q$1213,"="&amp;$Q599)+1)/2,"")</f>
        <v/>
      </c>
      <c r="AE599" s="27">
        <f>IF(ISNUMBER($R599),COUNTIFS($A$14:$A$1213,$A599,$R$14:$R$1213,"&gt;"&amp;$R599)+(COUNTIFS($A$14:$A$1213,$A599,$R$14:$R$1213,"="&amp;$R599)+1)/2,"")</f>
        <v/>
      </c>
      <c r="AF599" s="27">
        <f>IF(ISNUMBER($S599),COUNTIFS($A$14:$A$1213,$A599,$S$14:$S$1213,"&gt;"&amp;$S599)+(COUNTIFS($A$14:$A$1213,$A599,$S$14:$S$1213,"="&amp;$S599)+1)/2,"")</f>
        <v/>
      </c>
      <c r="AG599" s="27">
        <f>IF(ISNUMBER($T599),COUNTIFS($A$14:$A$1213,$A599,$T$14:$T$1213,"&gt;"&amp;$T599)+(COUNTIFS($A$14:$A$1213,$A599,$T$14:$T$1213,"="&amp;$T599)+1)/2,"")</f>
        <v/>
      </c>
      <c r="AH599" s="27">
        <f>IF(COUNT($AC599:$AG599)&lt;2,"",IF(MAX($AC599:$AG599)=MIN($AC599:$AG599),0,1))</f>
        <v/>
      </c>
      <c r="AI599" s="27">
        <f>IF($A599="","",IF(COUNTIF($A$14:$A599,$A599)=1,COUNTIF($AI$13:AI598,"&gt;0")+1,""))</f>
        <v/>
      </c>
      <c r="AO599" s="27">
        <f>IF($A599="","",IF(AND(COUNTIFS($A$14:$A$1213,$A599,$F$14:$F$1213,"&gt;=0")=2,IFERROR(INDEX($M$14:$M$313,MATCH($A599,$H$14:$H$313,0)),"Yes")&lt;&gt;"Yes"),1,0))</f>
        <v/>
      </c>
    </row>
    <row r="600">
      <c r="A600" s="19">
        <f>IF('Enter messages'!A600="","",'Enter messages'!A600)</f>
        <v/>
      </c>
      <c r="B600" s="20">
        <f>IF('Enter messages'!B600="","",'Enter messages'!B600)</f>
        <v/>
      </c>
      <c r="C600" s="21">
        <f>IFERROR(AVERAGE(P600:T600),"")</f>
        <v/>
      </c>
      <c r="D600" s="29" t="n"/>
      <c r="E600" s="29" t="n"/>
      <c r="F600" s="30">
        <f>IF(AND(ISNUMBER($D600),ISNUMBER($E600),$E600&gt;0,$D600&lt;=$E600),$D600/$E600,"")</f>
        <v/>
      </c>
      <c r="P600" s="26" t="n"/>
      <c r="Q600" s="26" t="n"/>
      <c r="R600" s="26" t="n"/>
      <c r="S600" s="26" t="n"/>
      <c r="T600" s="26" t="n"/>
      <c r="V600" s="27">
        <f>IF(ISNUMBER($C600),COUNTIFS($A$14:$A$1213,$A600,$C$14:$C$1213,"&gt;"&amp;$C600)+(COUNTIFS($A$14:$A$1213,$A600,$C$14:$C$1213,"="&amp;$C600)+1)/2,"")</f>
        <v/>
      </c>
      <c r="W600" s="27">
        <f>IF(ISNUMBER($F600),COUNTIFS($A$14:$A$1213,$A600,$F$14:$F$1213,"&gt;"&amp;$F600)+(COUNTIFS($A$14:$A$1213,$A600,$F$14:$F$1213,"="&amp;$F600)+1)/2,"")</f>
        <v/>
      </c>
      <c r="X600" s="27">
        <f>IF(OR(NOT(ISNUMBER($V600)),$AO600=1),"",$V600-(COUNTIFS($A$14:$A$1213,$A600,$C$14:$C$1213,"&gt;=0")+1)/2)</f>
        <v/>
      </c>
      <c r="Y600" s="27">
        <f>IF(OR(NOT(ISNUMBER($W600)),$AO600=1),"",$W600-(COUNTIFS($A$14:$A$1213,$A600,$F$14:$F$1213,"&gt;=0")+1)/2)</f>
        <v/>
      </c>
      <c r="Z600" s="27">
        <f>IF(ISNUMBER($V600),$A600&amp;"|"&amp;$V600,"")</f>
        <v/>
      </c>
      <c r="AA600" s="27">
        <f>IF(ISNUMBER($W600),$A600&amp;"|"&amp;$W600,"")</f>
        <v/>
      </c>
      <c r="AB600" s="27">
        <f>IF(ISNUMBER($F600),$A600&amp;"|"&amp;$F600,"")</f>
        <v/>
      </c>
      <c r="AC600" s="27">
        <f>IF(ISNUMBER($P600),COUNTIFS($A$14:$A$1213,$A600,$P$14:$P$1213,"&gt;"&amp;$P600)+(COUNTIFS($A$14:$A$1213,$A600,$P$14:$P$1213,"="&amp;$P600)+1)/2,"")</f>
        <v/>
      </c>
      <c r="AD600" s="27">
        <f>IF(ISNUMBER($Q600),COUNTIFS($A$14:$A$1213,$A600,$Q$14:$Q$1213,"&gt;"&amp;$Q600)+(COUNTIFS($A$14:$A$1213,$A600,$Q$14:$Q$1213,"="&amp;$Q600)+1)/2,"")</f>
        <v/>
      </c>
      <c r="AE600" s="27">
        <f>IF(ISNUMBER($R600),COUNTIFS($A$14:$A$1213,$A600,$R$14:$R$1213,"&gt;"&amp;$R600)+(COUNTIFS($A$14:$A$1213,$A600,$R$14:$R$1213,"="&amp;$R600)+1)/2,"")</f>
        <v/>
      </c>
      <c r="AF600" s="27">
        <f>IF(ISNUMBER($S600),COUNTIFS($A$14:$A$1213,$A600,$S$14:$S$1213,"&gt;"&amp;$S600)+(COUNTIFS($A$14:$A$1213,$A600,$S$14:$S$1213,"="&amp;$S600)+1)/2,"")</f>
        <v/>
      </c>
      <c r="AG600" s="27">
        <f>IF(ISNUMBER($T600),COUNTIFS($A$14:$A$1213,$A600,$T$14:$T$1213,"&gt;"&amp;$T600)+(COUNTIFS($A$14:$A$1213,$A600,$T$14:$T$1213,"="&amp;$T600)+1)/2,"")</f>
        <v/>
      </c>
      <c r="AH600" s="27">
        <f>IF(COUNT($AC600:$AG600)&lt;2,"",IF(MAX($AC600:$AG600)=MIN($AC600:$AG600),0,1))</f>
        <v/>
      </c>
      <c r="AI600" s="27">
        <f>IF($A600="","",IF(COUNTIF($A$14:$A600,$A600)=1,COUNTIF($AI$13:AI599,"&gt;0")+1,""))</f>
        <v/>
      </c>
      <c r="AO600" s="27">
        <f>IF($A600="","",IF(AND(COUNTIFS($A$14:$A$1213,$A600,$F$14:$F$1213,"&gt;=0")=2,IFERROR(INDEX($M$14:$M$313,MATCH($A600,$H$14:$H$313,0)),"Yes")&lt;&gt;"Yes"),1,0))</f>
        <v/>
      </c>
    </row>
    <row r="601">
      <c r="A601" s="19">
        <f>IF('Enter messages'!A601="","",'Enter messages'!A601)</f>
        <v/>
      </c>
      <c r="B601" s="20">
        <f>IF('Enter messages'!B601="","",'Enter messages'!B601)</f>
        <v/>
      </c>
      <c r="C601" s="21">
        <f>IFERROR(AVERAGE(P601:T601),"")</f>
        <v/>
      </c>
      <c r="D601" s="29" t="n"/>
      <c r="E601" s="29" t="n"/>
      <c r="F601" s="30">
        <f>IF(AND(ISNUMBER($D601),ISNUMBER($E601),$E601&gt;0,$D601&lt;=$E601),$D601/$E601,"")</f>
        <v/>
      </c>
      <c r="P601" s="26" t="n"/>
      <c r="Q601" s="26" t="n"/>
      <c r="R601" s="26" t="n"/>
      <c r="S601" s="26" t="n"/>
      <c r="T601" s="26" t="n"/>
      <c r="V601" s="27">
        <f>IF(ISNUMBER($C601),COUNTIFS($A$14:$A$1213,$A601,$C$14:$C$1213,"&gt;"&amp;$C601)+(COUNTIFS($A$14:$A$1213,$A601,$C$14:$C$1213,"="&amp;$C601)+1)/2,"")</f>
        <v/>
      </c>
      <c r="W601" s="27">
        <f>IF(ISNUMBER($F601),COUNTIFS($A$14:$A$1213,$A601,$F$14:$F$1213,"&gt;"&amp;$F601)+(COUNTIFS($A$14:$A$1213,$A601,$F$14:$F$1213,"="&amp;$F601)+1)/2,"")</f>
        <v/>
      </c>
      <c r="X601" s="27">
        <f>IF(OR(NOT(ISNUMBER($V601)),$AO601=1),"",$V601-(COUNTIFS($A$14:$A$1213,$A601,$C$14:$C$1213,"&gt;=0")+1)/2)</f>
        <v/>
      </c>
      <c r="Y601" s="27">
        <f>IF(OR(NOT(ISNUMBER($W601)),$AO601=1),"",$W601-(COUNTIFS($A$14:$A$1213,$A601,$F$14:$F$1213,"&gt;=0")+1)/2)</f>
        <v/>
      </c>
      <c r="Z601" s="27">
        <f>IF(ISNUMBER($V601),$A601&amp;"|"&amp;$V601,"")</f>
        <v/>
      </c>
      <c r="AA601" s="27">
        <f>IF(ISNUMBER($W601),$A601&amp;"|"&amp;$W601,"")</f>
        <v/>
      </c>
      <c r="AB601" s="27">
        <f>IF(ISNUMBER($F601),$A601&amp;"|"&amp;$F601,"")</f>
        <v/>
      </c>
      <c r="AC601" s="27">
        <f>IF(ISNUMBER($P601),COUNTIFS($A$14:$A$1213,$A601,$P$14:$P$1213,"&gt;"&amp;$P601)+(COUNTIFS($A$14:$A$1213,$A601,$P$14:$P$1213,"="&amp;$P601)+1)/2,"")</f>
        <v/>
      </c>
      <c r="AD601" s="27">
        <f>IF(ISNUMBER($Q601),COUNTIFS($A$14:$A$1213,$A601,$Q$14:$Q$1213,"&gt;"&amp;$Q601)+(COUNTIFS($A$14:$A$1213,$A601,$Q$14:$Q$1213,"="&amp;$Q601)+1)/2,"")</f>
        <v/>
      </c>
      <c r="AE601" s="27">
        <f>IF(ISNUMBER($R601),COUNTIFS($A$14:$A$1213,$A601,$R$14:$R$1213,"&gt;"&amp;$R601)+(COUNTIFS($A$14:$A$1213,$A601,$R$14:$R$1213,"="&amp;$R601)+1)/2,"")</f>
        <v/>
      </c>
      <c r="AF601" s="27">
        <f>IF(ISNUMBER($S601),COUNTIFS($A$14:$A$1213,$A601,$S$14:$S$1213,"&gt;"&amp;$S601)+(COUNTIFS($A$14:$A$1213,$A601,$S$14:$S$1213,"="&amp;$S601)+1)/2,"")</f>
        <v/>
      </c>
      <c r="AG601" s="27">
        <f>IF(ISNUMBER($T601),COUNTIFS($A$14:$A$1213,$A601,$T$14:$T$1213,"&gt;"&amp;$T601)+(COUNTIFS($A$14:$A$1213,$A601,$T$14:$T$1213,"="&amp;$T601)+1)/2,"")</f>
        <v/>
      </c>
      <c r="AH601" s="27">
        <f>IF(COUNT($AC601:$AG601)&lt;2,"",IF(MAX($AC601:$AG601)=MIN($AC601:$AG601),0,1))</f>
        <v/>
      </c>
      <c r="AI601" s="27">
        <f>IF($A601="","",IF(COUNTIF($A$14:$A601,$A601)=1,COUNTIF($AI$13:AI600,"&gt;0")+1,""))</f>
        <v/>
      </c>
      <c r="AO601" s="27">
        <f>IF($A601="","",IF(AND(COUNTIFS($A$14:$A$1213,$A601,$F$14:$F$1213,"&gt;=0")=2,IFERROR(INDEX($M$14:$M$313,MATCH($A601,$H$14:$H$313,0)),"Yes")&lt;&gt;"Yes"),1,0))</f>
        <v/>
      </c>
    </row>
    <row r="602">
      <c r="A602" s="19">
        <f>IF('Enter messages'!A602="","",'Enter messages'!A602)</f>
        <v/>
      </c>
      <c r="B602" s="20">
        <f>IF('Enter messages'!B602="","",'Enter messages'!B602)</f>
        <v/>
      </c>
      <c r="C602" s="21">
        <f>IFERROR(AVERAGE(P602:T602),"")</f>
        <v/>
      </c>
      <c r="D602" s="29" t="n"/>
      <c r="E602" s="29" t="n"/>
      <c r="F602" s="30">
        <f>IF(AND(ISNUMBER($D602),ISNUMBER($E602),$E602&gt;0,$D602&lt;=$E602),$D602/$E602,"")</f>
        <v/>
      </c>
      <c r="P602" s="26" t="n"/>
      <c r="Q602" s="26" t="n"/>
      <c r="R602" s="26" t="n"/>
      <c r="S602" s="26" t="n"/>
      <c r="T602" s="26" t="n"/>
      <c r="V602" s="27">
        <f>IF(ISNUMBER($C602),COUNTIFS($A$14:$A$1213,$A602,$C$14:$C$1213,"&gt;"&amp;$C602)+(COUNTIFS($A$14:$A$1213,$A602,$C$14:$C$1213,"="&amp;$C602)+1)/2,"")</f>
        <v/>
      </c>
      <c r="W602" s="27">
        <f>IF(ISNUMBER($F602),COUNTIFS($A$14:$A$1213,$A602,$F$14:$F$1213,"&gt;"&amp;$F602)+(COUNTIFS($A$14:$A$1213,$A602,$F$14:$F$1213,"="&amp;$F602)+1)/2,"")</f>
        <v/>
      </c>
      <c r="X602" s="27">
        <f>IF(OR(NOT(ISNUMBER($V602)),$AO602=1),"",$V602-(COUNTIFS($A$14:$A$1213,$A602,$C$14:$C$1213,"&gt;=0")+1)/2)</f>
        <v/>
      </c>
      <c r="Y602" s="27">
        <f>IF(OR(NOT(ISNUMBER($W602)),$AO602=1),"",$W602-(COUNTIFS($A$14:$A$1213,$A602,$F$14:$F$1213,"&gt;=0")+1)/2)</f>
        <v/>
      </c>
      <c r="Z602" s="27">
        <f>IF(ISNUMBER($V602),$A602&amp;"|"&amp;$V602,"")</f>
        <v/>
      </c>
      <c r="AA602" s="27">
        <f>IF(ISNUMBER($W602),$A602&amp;"|"&amp;$W602,"")</f>
        <v/>
      </c>
      <c r="AB602" s="27">
        <f>IF(ISNUMBER($F602),$A602&amp;"|"&amp;$F602,"")</f>
        <v/>
      </c>
      <c r="AC602" s="27">
        <f>IF(ISNUMBER($P602),COUNTIFS($A$14:$A$1213,$A602,$P$14:$P$1213,"&gt;"&amp;$P602)+(COUNTIFS($A$14:$A$1213,$A602,$P$14:$P$1213,"="&amp;$P602)+1)/2,"")</f>
        <v/>
      </c>
      <c r="AD602" s="27">
        <f>IF(ISNUMBER($Q602),COUNTIFS($A$14:$A$1213,$A602,$Q$14:$Q$1213,"&gt;"&amp;$Q602)+(COUNTIFS($A$14:$A$1213,$A602,$Q$14:$Q$1213,"="&amp;$Q602)+1)/2,"")</f>
        <v/>
      </c>
      <c r="AE602" s="27">
        <f>IF(ISNUMBER($R602),COUNTIFS($A$14:$A$1213,$A602,$R$14:$R$1213,"&gt;"&amp;$R602)+(COUNTIFS($A$14:$A$1213,$A602,$R$14:$R$1213,"="&amp;$R602)+1)/2,"")</f>
        <v/>
      </c>
      <c r="AF602" s="27">
        <f>IF(ISNUMBER($S602),COUNTIFS($A$14:$A$1213,$A602,$S$14:$S$1213,"&gt;"&amp;$S602)+(COUNTIFS($A$14:$A$1213,$A602,$S$14:$S$1213,"="&amp;$S602)+1)/2,"")</f>
        <v/>
      </c>
      <c r="AG602" s="27">
        <f>IF(ISNUMBER($T602),COUNTIFS($A$14:$A$1213,$A602,$T$14:$T$1213,"&gt;"&amp;$T602)+(COUNTIFS($A$14:$A$1213,$A602,$T$14:$T$1213,"="&amp;$T602)+1)/2,"")</f>
        <v/>
      </c>
      <c r="AH602" s="27">
        <f>IF(COUNT($AC602:$AG602)&lt;2,"",IF(MAX($AC602:$AG602)=MIN($AC602:$AG602),0,1))</f>
        <v/>
      </c>
      <c r="AI602" s="27">
        <f>IF($A602="","",IF(COUNTIF($A$14:$A602,$A602)=1,COUNTIF($AI$13:AI601,"&gt;0")+1,""))</f>
        <v/>
      </c>
      <c r="AO602" s="27">
        <f>IF($A602="","",IF(AND(COUNTIFS($A$14:$A$1213,$A602,$F$14:$F$1213,"&gt;=0")=2,IFERROR(INDEX($M$14:$M$313,MATCH($A602,$H$14:$H$313,0)),"Yes")&lt;&gt;"Yes"),1,0))</f>
        <v/>
      </c>
    </row>
    <row r="603">
      <c r="A603" s="19">
        <f>IF('Enter messages'!A603="","",'Enter messages'!A603)</f>
        <v/>
      </c>
      <c r="B603" s="20">
        <f>IF('Enter messages'!B603="","",'Enter messages'!B603)</f>
        <v/>
      </c>
      <c r="C603" s="21">
        <f>IFERROR(AVERAGE(P603:T603),"")</f>
        <v/>
      </c>
      <c r="D603" s="29" t="n"/>
      <c r="E603" s="29" t="n"/>
      <c r="F603" s="30">
        <f>IF(AND(ISNUMBER($D603),ISNUMBER($E603),$E603&gt;0,$D603&lt;=$E603),$D603/$E603,"")</f>
        <v/>
      </c>
      <c r="P603" s="26" t="n"/>
      <c r="Q603" s="26" t="n"/>
      <c r="R603" s="26" t="n"/>
      <c r="S603" s="26" t="n"/>
      <c r="T603" s="26" t="n"/>
      <c r="V603" s="27">
        <f>IF(ISNUMBER($C603),COUNTIFS($A$14:$A$1213,$A603,$C$14:$C$1213,"&gt;"&amp;$C603)+(COUNTIFS($A$14:$A$1213,$A603,$C$14:$C$1213,"="&amp;$C603)+1)/2,"")</f>
        <v/>
      </c>
      <c r="W603" s="27">
        <f>IF(ISNUMBER($F603),COUNTIFS($A$14:$A$1213,$A603,$F$14:$F$1213,"&gt;"&amp;$F603)+(COUNTIFS($A$14:$A$1213,$A603,$F$14:$F$1213,"="&amp;$F603)+1)/2,"")</f>
        <v/>
      </c>
      <c r="X603" s="27">
        <f>IF(OR(NOT(ISNUMBER($V603)),$AO603=1),"",$V603-(COUNTIFS($A$14:$A$1213,$A603,$C$14:$C$1213,"&gt;=0")+1)/2)</f>
        <v/>
      </c>
      <c r="Y603" s="27">
        <f>IF(OR(NOT(ISNUMBER($W603)),$AO603=1),"",$W603-(COUNTIFS($A$14:$A$1213,$A603,$F$14:$F$1213,"&gt;=0")+1)/2)</f>
        <v/>
      </c>
      <c r="Z603" s="27">
        <f>IF(ISNUMBER($V603),$A603&amp;"|"&amp;$V603,"")</f>
        <v/>
      </c>
      <c r="AA603" s="27">
        <f>IF(ISNUMBER($W603),$A603&amp;"|"&amp;$W603,"")</f>
        <v/>
      </c>
      <c r="AB603" s="27">
        <f>IF(ISNUMBER($F603),$A603&amp;"|"&amp;$F603,"")</f>
        <v/>
      </c>
      <c r="AC603" s="27">
        <f>IF(ISNUMBER($P603),COUNTIFS($A$14:$A$1213,$A603,$P$14:$P$1213,"&gt;"&amp;$P603)+(COUNTIFS($A$14:$A$1213,$A603,$P$14:$P$1213,"="&amp;$P603)+1)/2,"")</f>
        <v/>
      </c>
      <c r="AD603" s="27">
        <f>IF(ISNUMBER($Q603),COUNTIFS($A$14:$A$1213,$A603,$Q$14:$Q$1213,"&gt;"&amp;$Q603)+(COUNTIFS($A$14:$A$1213,$A603,$Q$14:$Q$1213,"="&amp;$Q603)+1)/2,"")</f>
        <v/>
      </c>
      <c r="AE603" s="27">
        <f>IF(ISNUMBER($R603),COUNTIFS($A$14:$A$1213,$A603,$R$14:$R$1213,"&gt;"&amp;$R603)+(COUNTIFS($A$14:$A$1213,$A603,$R$14:$R$1213,"="&amp;$R603)+1)/2,"")</f>
        <v/>
      </c>
      <c r="AF603" s="27">
        <f>IF(ISNUMBER($S603),COUNTIFS($A$14:$A$1213,$A603,$S$14:$S$1213,"&gt;"&amp;$S603)+(COUNTIFS($A$14:$A$1213,$A603,$S$14:$S$1213,"="&amp;$S603)+1)/2,"")</f>
        <v/>
      </c>
      <c r="AG603" s="27">
        <f>IF(ISNUMBER($T603),COUNTIFS($A$14:$A$1213,$A603,$T$14:$T$1213,"&gt;"&amp;$T603)+(COUNTIFS($A$14:$A$1213,$A603,$T$14:$T$1213,"="&amp;$T603)+1)/2,"")</f>
        <v/>
      </c>
      <c r="AH603" s="27">
        <f>IF(COUNT($AC603:$AG603)&lt;2,"",IF(MAX($AC603:$AG603)=MIN($AC603:$AG603),0,1))</f>
        <v/>
      </c>
      <c r="AI603" s="27">
        <f>IF($A603="","",IF(COUNTIF($A$14:$A603,$A603)=1,COUNTIF($AI$13:AI602,"&gt;0")+1,""))</f>
        <v/>
      </c>
      <c r="AO603" s="27">
        <f>IF($A603="","",IF(AND(COUNTIFS($A$14:$A$1213,$A603,$F$14:$F$1213,"&gt;=0")=2,IFERROR(INDEX($M$14:$M$313,MATCH($A603,$H$14:$H$313,0)),"Yes")&lt;&gt;"Yes"),1,0))</f>
        <v/>
      </c>
    </row>
    <row r="604">
      <c r="A604" s="19">
        <f>IF('Enter messages'!A604="","",'Enter messages'!A604)</f>
        <v/>
      </c>
      <c r="B604" s="20">
        <f>IF('Enter messages'!B604="","",'Enter messages'!B604)</f>
        <v/>
      </c>
      <c r="C604" s="21">
        <f>IFERROR(AVERAGE(P604:T604),"")</f>
        <v/>
      </c>
      <c r="D604" s="29" t="n"/>
      <c r="E604" s="29" t="n"/>
      <c r="F604" s="30">
        <f>IF(AND(ISNUMBER($D604),ISNUMBER($E604),$E604&gt;0,$D604&lt;=$E604),$D604/$E604,"")</f>
        <v/>
      </c>
      <c r="P604" s="26" t="n"/>
      <c r="Q604" s="26" t="n"/>
      <c r="R604" s="26" t="n"/>
      <c r="S604" s="26" t="n"/>
      <c r="T604" s="26" t="n"/>
      <c r="V604" s="27">
        <f>IF(ISNUMBER($C604),COUNTIFS($A$14:$A$1213,$A604,$C$14:$C$1213,"&gt;"&amp;$C604)+(COUNTIFS($A$14:$A$1213,$A604,$C$14:$C$1213,"="&amp;$C604)+1)/2,"")</f>
        <v/>
      </c>
      <c r="W604" s="27">
        <f>IF(ISNUMBER($F604),COUNTIFS($A$14:$A$1213,$A604,$F$14:$F$1213,"&gt;"&amp;$F604)+(COUNTIFS($A$14:$A$1213,$A604,$F$14:$F$1213,"="&amp;$F604)+1)/2,"")</f>
        <v/>
      </c>
      <c r="X604" s="27">
        <f>IF(OR(NOT(ISNUMBER($V604)),$AO604=1),"",$V604-(COUNTIFS($A$14:$A$1213,$A604,$C$14:$C$1213,"&gt;=0")+1)/2)</f>
        <v/>
      </c>
      <c r="Y604" s="27">
        <f>IF(OR(NOT(ISNUMBER($W604)),$AO604=1),"",$W604-(COUNTIFS($A$14:$A$1213,$A604,$F$14:$F$1213,"&gt;=0")+1)/2)</f>
        <v/>
      </c>
      <c r="Z604" s="27">
        <f>IF(ISNUMBER($V604),$A604&amp;"|"&amp;$V604,"")</f>
        <v/>
      </c>
      <c r="AA604" s="27">
        <f>IF(ISNUMBER($W604),$A604&amp;"|"&amp;$W604,"")</f>
        <v/>
      </c>
      <c r="AB604" s="27">
        <f>IF(ISNUMBER($F604),$A604&amp;"|"&amp;$F604,"")</f>
        <v/>
      </c>
      <c r="AC604" s="27">
        <f>IF(ISNUMBER($P604),COUNTIFS($A$14:$A$1213,$A604,$P$14:$P$1213,"&gt;"&amp;$P604)+(COUNTIFS($A$14:$A$1213,$A604,$P$14:$P$1213,"="&amp;$P604)+1)/2,"")</f>
        <v/>
      </c>
      <c r="AD604" s="27">
        <f>IF(ISNUMBER($Q604),COUNTIFS($A$14:$A$1213,$A604,$Q$14:$Q$1213,"&gt;"&amp;$Q604)+(COUNTIFS($A$14:$A$1213,$A604,$Q$14:$Q$1213,"="&amp;$Q604)+1)/2,"")</f>
        <v/>
      </c>
      <c r="AE604" s="27">
        <f>IF(ISNUMBER($R604),COUNTIFS($A$14:$A$1213,$A604,$R$14:$R$1213,"&gt;"&amp;$R604)+(COUNTIFS($A$14:$A$1213,$A604,$R$14:$R$1213,"="&amp;$R604)+1)/2,"")</f>
        <v/>
      </c>
      <c r="AF604" s="27">
        <f>IF(ISNUMBER($S604),COUNTIFS($A$14:$A$1213,$A604,$S$14:$S$1213,"&gt;"&amp;$S604)+(COUNTIFS($A$14:$A$1213,$A604,$S$14:$S$1213,"="&amp;$S604)+1)/2,"")</f>
        <v/>
      </c>
      <c r="AG604" s="27">
        <f>IF(ISNUMBER($T604),COUNTIFS($A$14:$A$1213,$A604,$T$14:$T$1213,"&gt;"&amp;$T604)+(COUNTIFS($A$14:$A$1213,$A604,$T$14:$T$1213,"="&amp;$T604)+1)/2,"")</f>
        <v/>
      </c>
      <c r="AH604" s="27">
        <f>IF(COUNT($AC604:$AG604)&lt;2,"",IF(MAX($AC604:$AG604)=MIN($AC604:$AG604),0,1))</f>
        <v/>
      </c>
      <c r="AI604" s="27">
        <f>IF($A604="","",IF(COUNTIF($A$14:$A604,$A604)=1,COUNTIF($AI$13:AI603,"&gt;0")+1,""))</f>
        <v/>
      </c>
      <c r="AO604" s="27">
        <f>IF($A604="","",IF(AND(COUNTIFS($A$14:$A$1213,$A604,$F$14:$F$1213,"&gt;=0")=2,IFERROR(INDEX($M$14:$M$313,MATCH($A604,$H$14:$H$313,0)),"Yes")&lt;&gt;"Yes"),1,0))</f>
        <v/>
      </c>
    </row>
    <row r="605">
      <c r="A605" s="19">
        <f>IF('Enter messages'!A605="","",'Enter messages'!A605)</f>
        <v/>
      </c>
      <c r="B605" s="20">
        <f>IF('Enter messages'!B605="","",'Enter messages'!B605)</f>
        <v/>
      </c>
      <c r="C605" s="21">
        <f>IFERROR(AVERAGE(P605:T605),"")</f>
        <v/>
      </c>
      <c r="D605" s="29" t="n"/>
      <c r="E605" s="29" t="n"/>
      <c r="F605" s="30">
        <f>IF(AND(ISNUMBER($D605),ISNUMBER($E605),$E605&gt;0,$D605&lt;=$E605),$D605/$E605,"")</f>
        <v/>
      </c>
      <c r="P605" s="26" t="n"/>
      <c r="Q605" s="26" t="n"/>
      <c r="R605" s="26" t="n"/>
      <c r="S605" s="26" t="n"/>
      <c r="T605" s="26" t="n"/>
      <c r="V605" s="27">
        <f>IF(ISNUMBER($C605),COUNTIFS($A$14:$A$1213,$A605,$C$14:$C$1213,"&gt;"&amp;$C605)+(COUNTIFS($A$14:$A$1213,$A605,$C$14:$C$1213,"="&amp;$C605)+1)/2,"")</f>
        <v/>
      </c>
      <c r="W605" s="27">
        <f>IF(ISNUMBER($F605),COUNTIFS($A$14:$A$1213,$A605,$F$14:$F$1213,"&gt;"&amp;$F605)+(COUNTIFS($A$14:$A$1213,$A605,$F$14:$F$1213,"="&amp;$F605)+1)/2,"")</f>
        <v/>
      </c>
      <c r="X605" s="27">
        <f>IF(OR(NOT(ISNUMBER($V605)),$AO605=1),"",$V605-(COUNTIFS($A$14:$A$1213,$A605,$C$14:$C$1213,"&gt;=0")+1)/2)</f>
        <v/>
      </c>
      <c r="Y605" s="27">
        <f>IF(OR(NOT(ISNUMBER($W605)),$AO605=1),"",$W605-(COUNTIFS($A$14:$A$1213,$A605,$F$14:$F$1213,"&gt;=0")+1)/2)</f>
        <v/>
      </c>
      <c r="Z605" s="27">
        <f>IF(ISNUMBER($V605),$A605&amp;"|"&amp;$V605,"")</f>
        <v/>
      </c>
      <c r="AA605" s="27">
        <f>IF(ISNUMBER($W605),$A605&amp;"|"&amp;$W605,"")</f>
        <v/>
      </c>
      <c r="AB605" s="27">
        <f>IF(ISNUMBER($F605),$A605&amp;"|"&amp;$F605,"")</f>
        <v/>
      </c>
      <c r="AC605" s="27">
        <f>IF(ISNUMBER($P605),COUNTIFS($A$14:$A$1213,$A605,$P$14:$P$1213,"&gt;"&amp;$P605)+(COUNTIFS($A$14:$A$1213,$A605,$P$14:$P$1213,"="&amp;$P605)+1)/2,"")</f>
        <v/>
      </c>
      <c r="AD605" s="27">
        <f>IF(ISNUMBER($Q605),COUNTIFS($A$14:$A$1213,$A605,$Q$14:$Q$1213,"&gt;"&amp;$Q605)+(COUNTIFS($A$14:$A$1213,$A605,$Q$14:$Q$1213,"="&amp;$Q605)+1)/2,"")</f>
        <v/>
      </c>
      <c r="AE605" s="27">
        <f>IF(ISNUMBER($R605),COUNTIFS($A$14:$A$1213,$A605,$R$14:$R$1213,"&gt;"&amp;$R605)+(COUNTIFS($A$14:$A$1213,$A605,$R$14:$R$1213,"="&amp;$R605)+1)/2,"")</f>
        <v/>
      </c>
      <c r="AF605" s="27">
        <f>IF(ISNUMBER($S605),COUNTIFS($A$14:$A$1213,$A605,$S$14:$S$1213,"&gt;"&amp;$S605)+(COUNTIFS($A$14:$A$1213,$A605,$S$14:$S$1213,"="&amp;$S605)+1)/2,"")</f>
        <v/>
      </c>
      <c r="AG605" s="27">
        <f>IF(ISNUMBER($T605),COUNTIFS($A$14:$A$1213,$A605,$T$14:$T$1213,"&gt;"&amp;$T605)+(COUNTIFS($A$14:$A$1213,$A605,$T$14:$T$1213,"="&amp;$T605)+1)/2,"")</f>
        <v/>
      </c>
      <c r="AH605" s="27">
        <f>IF(COUNT($AC605:$AG605)&lt;2,"",IF(MAX($AC605:$AG605)=MIN($AC605:$AG605),0,1))</f>
        <v/>
      </c>
      <c r="AI605" s="27">
        <f>IF($A605="","",IF(COUNTIF($A$14:$A605,$A605)=1,COUNTIF($AI$13:AI604,"&gt;0")+1,""))</f>
        <v/>
      </c>
      <c r="AO605" s="27">
        <f>IF($A605="","",IF(AND(COUNTIFS($A$14:$A$1213,$A605,$F$14:$F$1213,"&gt;=0")=2,IFERROR(INDEX($M$14:$M$313,MATCH($A605,$H$14:$H$313,0)),"Yes")&lt;&gt;"Yes"),1,0))</f>
        <v/>
      </c>
    </row>
    <row r="606">
      <c r="A606" s="19">
        <f>IF('Enter messages'!A606="","",'Enter messages'!A606)</f>
        <v/>
      </c>
      <c r="B606" s="20">
        <f>IF('Enter messages'!B606="","",'Enter messages'!B606)</f>
        <v/>
      </c>
      <c r="C606" s="21">
        <f>IFERROR(AVERAGE(P606:T606),"")</f>
        <v/>
      </c>
      <c r="D606" s="29" t="n"/>
      <c r="E606" s="29" t="n"/>
      <c r="F606" s="30">
        <f>IF(AND(ISNUMBER($D606),ISNUMBER($E606),$E606&gt;0,$D606&lt;=$E606),$D606/$E606,"")</f>
        <v/>
      </c>
      <c r="P606" s="26" t="n"/>
      <c r="Q606" s="26" t="n"/>
      <c r="R606" s="26" t="n"/>
      <c r="S606" s="26" t="n"/>
      <c r="T606" s="26" t="n"/>
      <c r="V606" s="27">
        <f>IF(ISNUMBER($C606),COUNTIFS($A$14:$A$1213,$A606,$C$14:$C$1213,"&gt;"&amp;$C606)+(COUNTIFS($A$14:$A$1213,$A606,$C$14:$C$1213,"="&amp;$C606)+1)/2,"")</f>
        <v/>
      </c>
      <c r="W606" s="27">
        <f>IF(ISNUMBER($F606),COUNTIFS($A$14:$A$1213,$A606,$F$14:$F$1213,"&gt;"&amp;$F606)+(COUNTIFS($A$14:$A$1213,$A606,$F$14:$F$1213,"="&amp;$F606)+1)/2,"")</f>
        <v/>
      </c>
      <c r="X606" s="27">
        <f>IF(OR(NOT(ISNUMBER($V606)),$AO606=1),"",$V606-(COUNTIFS($A$14:$A$1213,$A606,$C$14:$C$1213,"&gt;=0")+1)/2)</f>
        <v/>
      </c>
      <c r="Y606" s="27">
        <f>IF(OR(NOT(ISNUMBER($W606)),$AO606=1),"",$W606-(COUNTIFS($A$14:$A$1213,$A606,$F$14:$F$1213,"&gt;=0")+1)/2)</f>
        <v/>
      </c>
      <c r="Z606" s="27">
        <f>IF(ISNUMBER($V606),$A606&amp;"|"&amp;$V606,"")</f>
        <v/>
      </c>
      <c r="AA606" s="27">
        <f>IF(ISNUMBER($W606),$A606&amp;"|"&amp;$W606,"")</f>
        <v/>
      </c>
      <c r="AB606" s="27">
        <f>IF(ISNUMBER($F606),$A606&amp;"|"&amp;$F606,"")</f>
        <v/>
      </c>
      <c r="AC606" s="27">
        <f>IF(ISNUMBER($P606),COUNTIFS($A$14:$A$1213,$A606,$P$14:$P$1213,"&gt;"&amp;$P606)+(COUNTIFS($A$14:$A$1213,$A606,$P$14:$P$1213,"="&amp;$P606)+1)/2,"")</f>
        <v/>
      </c>
      <c r="AD606" s="27">
        <f>IF(ISNUMBER($Q606),COUNTIFS($A$14:$A$1213,$A606,$Q$14:$Q$1213,"&gt;"&amp;$Q606)+(COUNTIFS($A$14:$A$1213,$A606,$Q$14:$Q$1213,"="&amp;$Q606)+1)/2,"")</f>
        <v/>
      </c>
      <c r="AE606" s="27">
        <f>IF(ISNUMBER($R606),COUNTIFS($A$14:$A$1213,$A606,$R$14:$R$1213,"&gt;"&amp;$R606)+(COUNTIFS($A$14:$A$1213,$A606,$R$14:$R$1213,"="&amp;$R606)+1)/2,"")</f>
        <v/>
      </c>
      <c r="AF606" s="27">
        <f>IF(ISNUMBER($S606),COUNTIFS($A$14:$A$1213,$A606,$S$14:$S$1213,"&gt;"&amp;$S606)+(COUNTIFS($A$14:$A$1213,$A606,$S$14:$S$1213,"="&amp;$S606)+1)/2,"")</f>
        <v/>
      </c>
      <c r="AG606" s="27">
        <f>IF(ISNUMBER($T606),COUNTIFS($A$14:$A$1213,$A606,$T$14:$T$1213,"&gt;"&amp;$T606)+(COUNTIFS($A$14:$A$1213,$A606,$T$14:$T$1213,"="&amp;$T606)+1)/2,"")</f>
        <v/>
      </c>
      <c r="AH606" s="27">
        <f>IF(COUNT($AC606:$AG606)&lt;2,"",IF(MAX($AC606:$AG606)=MIN($AC606:$AG606),0,1))</f>
        <v/>
      </c>
      <c r="AI606" s="27">
        <f>IF($A606="","",IF(COUNTIF($A$14:$A606,$A606)=1,COUNTIF($AI$13:AI605,"&gt;0")+1,""))</f>
        <v/>
      </c>
      <c r="AO606" s="27">
        <f>IF($A606="","",IF(AND(COUNTIFS($A$14:$A$1213,$A606,$F$14:$F$1213,"&gt;=0")=2,IFERROR(INDEX($M$14:$M$313,MATCH($A606,$H$14:$H$313,0)),"Yes")&lt;&gt;"Yes"),1,0))</f>
        <v/>
      </c>
    </row>
    <row r="607">
      <c r="A607" s="19">
        <f>IF('Enter messages'!A607="","",'Enter messages'!A607)</f>
        <v/>
      </c>
      <c r="B607" s="20">
        <f>IF('Enter messages'!B607="","",'Enter messages'!B607)</f>
        <v/>
      </c>
      <c r="C607" s="21">
        <f>IFERROR(AVERAGE(P607:T607),"")</f>
        <v/>
      </c>
      <c r="D607" s="29" t="n"/>
      <c r="E607" s="29" t="n"/>
      <c r="F607" s="30">
        <f>IF(AND(ISNUMBER($D607),ISNUMBER($E607),$E607&gt;0,$D607&lt;=$E607),$D607/$E607,"")</f>
        <v/>
      </c>
      <c r="P607" s="26" t="n"/>
      <c r="Q607" s="26" t="n"/>
      <c r="R607" s="26" t="n"/>
      <c r="S607" s="26" t="n"/>
      <c r="T607" s="26" t="n"/>
      <c r="V607" s="27">
        <f>IF(ISNUMBER($C607),COUNTIFS($A$14:$A$1213,$A607,$C$14:$C$1213,"&gt;"&amp;$C607)+(COUNTIFS($A$14:$A$1213,$A607,$C$14:$C$1213,"="&amp;$C607)+1)/2,"")</f>
        <v/>
      </c>
      <c r="W607" s="27">
        <f>IF(ISNUMBER($F607),COUNTIFS($A$14:$A$1213,$A607,$F$14:$F$1213,"&gt;"&amp;$F607)+(COUNTIFS($A$14:$A$1213,$A607,$F$14:$F$1213,"="&amp;$F607)+1)/2,"")</f>
        <v/>
      </c>
      <c r="X607" s="27">
        <f>IF(OR(NOT(ISNUMBER($V607)),$AO607=1),"",$V607-(COUNTIFS($A$14:$A$1213,$A607,$C$14:$C$1213,"&gt;=0")+1)/2)</f>
        <v/>
      </c>
      <c r="Y607" s="27">
        <f>IF(OR(NOT(ISNUMBER($W607)),$AO607=1),"",$W607-(COUNTIFS($A$14:$A$1213,$A607,$F$14:$F$1213,"&gt;=0")+1)/2)</f>
        <v/>
      </c>
      <c r="Z607" s="27">
        <f>IF(ISNUMBER($V607),$A607&amp;"|"&amp;$V607,"")</f>
        <v/>
      </c>
      <c r="AA607" s="27">
        <f>IF(ISNUMBER($W607),$A607&amp;"|"&amp;$W607,"")</f>
        <v/>
      </c>
      <c r="AB607" s="27">
        <f>IF(ISNUMBER($F607),$A607&amp;"|"&amp;$F607,"")</f>
        <v/>
      </c>
      <c r="AC607" s="27">
        <f>IF(ISNUMBER($P607),COUNTIFS($A$14:$A$1213,$A607,$P$14:$P$1213,"&gt;"&amp;$P607)+(COUNTIFS($A$14:$A$1213,$A607,$P$14:$P$1213,"="&amp;$P607)+1)/2,"")</f>
        <v/>
      </c>
      <c r="AD607" s="27">
        <f>IF(ISNUMBER($Q607),COUNTIFS($A$14:$A$1213,$A607,$Q$14:$Q$1213,"&gt;"&amp;$Q607)+(COUNTIFS($A$14:$A$1213,$A607,$Q$14:$Q$1213,"="&amp;$Q607)+1)/2,"")</f>
        <v/>
      </c>
      <c r="AE607" s="27">
        <f>IF(ISNUMBER($R607),COUNTIFS($A$14:$A$1213,$A607,$R$14:$R$1213,"&gt;"&amp;$R607)+(COUNTIFS($A$14:$A$1213,$A607,$R$14:$R$1213,"="&amp;$R607)+1)/2,"")</f>
        <v/>
      </c>
      <c r="AF607" s="27">
        <f>IF(ISNUMBER($S607),COUNTIFS($A$14:$A$1213,$A607,$S$14:$S$1213,"&gt;"&amp;$S607)+(COUNTIFS($A$14:$A$1213,$A607,$S$14:$S$1213,"="&amp;$S607)+1)/2,"")</f>
        <v/>
      </c>
      <c r="AG607" s="27">
        <f>IF(ISNUMBER($T607),COUNTIFS($A$14:$A$1213,$A607,$T$14:$T$1213,"&gt;"&amp;$T607)+(COUNTIFS($A$14:$A$1213,$A607,$T$14:$T$1213,"="&amp;$T607)+1)/2,"")</f>
        <v/>
      </c>
      <c r="AH607" s="27">
        <f>IF(COUNT($AC607:$AG607)&lt;2,"",IF(MAX($AC607:$AG607)=MIN($AC607:$AG607),0,1))</f>
        <v/>
      </c>
      <c r="AI607" s="27">
        <f>IF($A607="","",IF(COUNTIF($A$14:$A607,$A607)=1,COUNTIF($AI$13:AI606,"&gt;0")+1,""))</f>
        <v/>
      </c>
      <c r="AO607" s="27">
        <f>IF($A607="","",IF(AND(COUNTIFS($A$14:$A$1213,$A607,$F$14:$F$1213,"&gt;=0")=2,IFERROR(INDEX($M$14:$M$313,MATCH($A607,$H$14:$H$313,0)),"Yes")&lt;&gt;"Yes"),1,0))</f>
        <v/>
      </c>
    </row>
    <row r="608">
      <c r="A608" s="19">
        <f>IF('Enter messages'!A608="","",'Enter messages'!A608)</f>
        <v/>
      </c>
      <c r="B608" s="20">
        <f>IF('Enter messages'!B608="","",'Enter messages'!B608)</f>
        <v/>
      </c>
      <c r="C608" s="21">
        <f>IFERROR(AVERAGE(P608:T608),"")</f>
        <v/>
      </c>
      <c r="D608" s="29" t="n"/>
      <c r="E608" s="29" t="n"/>
      <c r="F608" s="30">
        <f>IF(AND(ISNUMBER($D608),ISNUMBER($E608),$E608&gt;0,$D608&lt;=$E608),$D608/$E608,"")</f>
        <v/>
      </c>
      <c r="P608" s="26" t="n"/>
      <c r="Q608" s="26" t="n"/>
      <c r="R608" s="26" t="n"/>
      <c r="S608" s="26" t="n"/>
      <c r="T608" s="26" t="n"/>
      <c r="V608" s="27">
        <f>IF(ISNUMBER($C608),COUNTIFS($A$14:$A$1213,$A608,$C$14:$C$1213,"&gt;"&amp;$C608)+(COUNTIFS($A$14:$A$1213,$A608,$C$14:$C$1213,"="&amp;$C608)+1)/2,"")</f>
        <v/>
      </c>
      <c r="W608" s="27">
        <f>IF(ISNUMBER($F608),COUNTIFS($A$14:$A$1213,$A608,$F$14:$F$1213,"&gt;"&amp;$F608)+(COUNTIFS($A$14:$A$1213,$A608,$F$14:$F$1213,"="&amp;$F608)+1)/2,"")</f>
        <v/>
      </c>
      <c r="X608" s="27">
        <f>IF(OR(NOT(ISNUMBER($V608)),$AO608=1),"",$V608-(COUNTIFS($A$14:$A$1213,$A608,$C$14:$C$1213,"&gt;=0")+1)/2)</f>
        <v/>
      </c>
      <c r="Y608" s="27">
        <f>IF(OR(NOT(ISNUMBER($W608)),$AO608=1),"",$W608-(COUNTIFS($A$14:$A$1213,$A608,$F$14:$F$1213,"&gt;=0")+1)/2)</f>
        <v/>
      </c>
      <c r="Z608" s="27">
        <f>IF(ISNUMBER($V608),$A608&amp;"|"&amp;$V608,"")</f>
        <v/>
      </c>
      <c r="AA608" s="27">
        <f>IF(ISNUMBER($W608),$A608&amp;"|"&amp;$W608,"")</f>
        <v/>
      </c>
      <c r="AB608" s="27">
        <f>IF(ISNUMBER($F608),$A608&amp;"|"&amp;$F608,"")</f>
        <v/>
      </c>
      <c r="AC608" s="27">
        <f>IF(ISNUMBER($P608),COUNTIFS($A$14:$A$1213,$A608,$P$14:$P$1213,"&gt;"&amp;$P608)+(COUNTIFS($A$14:$A$1213,$A608,$P$14:$P$1213,"="&amp;$P608)+1)/2,"")</f>
        <v/>
      </c>
      <c r="AD608" s="27">
        <f>IF(ISNUMBER($Q608),COUNTIFS($A$14:$A$1213,$A608,$Q$14:$Q$1213,"&gt;"&amp;$Q608)+(COUNTIFS($A$14:$A$1213,$A608,$Q$14:$Q$1213,"="&amp;$Q608)+1)/2,"")</f>
        <v/>
      </c>
      <c r="AE608" s="27">
        <f>IF(ISNUMBER($R608),COUNTIFS($A$14:$A$1213,$A608,$R$14:$R$1213,"&gt;"&amp;$R608)+(COUNTIFS($A$14:$A$1213,$A608,$R$14:$R$1213,"="&amp;$R608)+1)/2,"")</f>
        <v/>
      </c>
      <c r="AF608" s="27">
        <f>IF(ISNUMBER($S608),COUNTIFS($A$14:$A$1213,$A608,$S$14:$S$1213,"&gt;"&amp;$S608)+(COUNTIFS($A$14:$A$1213,$A608,$S$14:$S$1213,"="&amp;$S608)+1)/2,"")</f>
        <v/>
      </c>
      <c r="AG608" s="27">
        <f>IF(ISNUMBER($T608),COUNTIFS($A$14:$A$1213,$A608,$T$14:$T$1213,"&gt;"&amp;$T608)+(COUNTIFS($A$14:$A$1213,$A608,$T$14:$T$1213,"="&amp;$T608)+1)/2,"")</f>
        <v/>
      </c>
      <c r="AH608" s="27">
        <f>IF(COUNT($AC608:$AG608)&lt;2,"",IF(MAX($AC608:$AG608)=MIN($AC608:$AG608),0,1))</f>
        <v/>
      </c>
      <c r="AI608" s="27">
        <f>IF($A608="","",IF(COUNTIF($A$14:$A608,$A608)=1,COUNTIF($AI$13:AI607,"&gt;0")+1,""))</f>
        <v/>
      </c>
      <c r="AO608" s="27">
        <f>IF($A608="","",IF(AND(COUNTIFS($A$14:$A$1213,$A608,$F$14:$F$1213,"&gt;=0")=2,IFERROR(INDEX($M$14:$M$313,MATCH($A608,$H$14:$H$313,0)),"Yes")&lt;&gt;"Yes"),1,0))</f>
        <v/>
      </c>
    </row>
    <row r="609">
      <c r="A609" s="19">
        <f>IF('Enter messages'!A609="","",'Enter messages'!A609)</f>
        <v/>
      </c>
      <c r="B609" s="20">
        <f>IF('Enter messages'!B609="","",'Enter messages'!B609)</f>
        <v/>
      </c>
      <c r="C609" s="21">
        <f>IFERROR(AVERAGE(P609:T609),"")</f>
        <v/>
      </c>
      <c r="D609" s="29" t="n"/>
      <c r="E609" s="29" t="n"/>
      <c r="F609" s="30">
        <f>IF(AND(ISNUMBER($D609),ISNUMBER($E609),$E609&gt;0,$D609&lt;=$E609),$D609/$E609,"")</f>
        <v/>
      </c>
      <c r="P609" s="26" t="n"/>
      <c r="Q609" s="26" t="n"/>
      <c r="R609" s="26" t="n"/>
      <c r="S609" s="26" t="n"/>
      <c r="T609" s="26" t="n"/>
      <c r="V609" s="27">
        <f>IF(ISNUMBER($C609),COUNTIFS($A$14:$A$1213,$A609,$C$14:$C$1213,"&gt;"&amp;$C609)+(COUNTIFS($A$14:$A$1213,$A609,$C$14:$C$1213,"="&amp;$C609)+1)/2,"")</f>
        <v/>
      </c>
      <c r="W609" s="27">
        <f>IF(ISNUMBER($F609),COUNTIFS($A$14:$A$1213,$A609,$F$14:$F$1213,"&gt;"&amp;$F609)+(COUNTIFS($A$14:$A$1213,$A609,$F$14:$F$1213,"="&amp;$F609)+1)/2,"")</f>
        <v/>
      </c>
      <c r="X609" s="27">
        <f>IF(OR(NOT(ISNUMBER($V609)),$AO609=1),"",$V609-(COUNTIFS($A$14:$A$1213,$A609,$C$14:$C$1213,"&gt;=0")+1)/2)</f>
        <v/>
      </c>
      <c r="Y609" s="27">
        <f>IF(OR(NOT(ISNUMBER($W609)),$AO609=1),"",$W609-(COUNTIFS($A$14:$A$1213,$A609,$F$14:$F$1213,"&gt;=0")+1)/2)</f>
        <v/>
      </c>
      <c r="Z609" s="27">
        <f>IF(ISNUMBER($V609),$A609&amp;"|"&amp;$V609,"")</f>
        <v/>
      </c>
      <c r="AA609" s="27">
        <f>IF(ISNUMBER($W609),$A609&amp;"|"&amp;$W609,"")</f>
        <v/>
      </c>
      <c r="AB609" s="27">
        <f>IF(ISNUMBER($F609),$A609&amp;"|"&amp;$F609,"")</f>
        <v/>
      </c>
      <c r="AC609" s="27">
        <f>IF(ISNUMBER($P609),COUNTIFS($A$14:$A$1213,$A609,$P$14:$P$1213,"&gt;"&amp;$P609)+(COUNTIFS($A$14:$A$1213,$A609,$P$14:$P$1213,"="&amp;$P609)+1)/2,"")</f>
        <v/>
      </c>
      <c r="AD609" s="27">
        <f>IF(ISNUMBER($Q609),COUNTIFS($A$14:$A$1213,$A609,$Q$14:$Q$1213,"&gt;"&amp;$Q609)+(COUNTIFS($A$14:$A$1213,$A609,$Q$14:$Q$1213,"="&amp;$Q609)+1)/2,"")</f>
        <v/>
      </c>
      <c r="AE609" s="27">
        <f>IF(ISNUMBER($R609),COUNTIFS($A$14:$A$1213,$A609,$R$14:$R$1213,"&gt;"&amp;$R609)+(COUNTIFS($A$14:$A$1213,$A609,$R$14:$R$1213,"="&amp;$R609)+1)/2,"")</f>
        <v/>
      </c>
      <c r="AF609" s="27">
        <f>IF(ISNUMBER($S609),COUNTIFS($A$14:$A$1213,$A609,$S$14:$S$1213,"&gt;"&amp;$S609)+(COUNTIFS($A$14:$A$1213,$A609,$S$14:$S$1213,"="&amp;$S609)+1)/2,"")</f>
        <v/>
      </c>
      <c r="AG609" s="27">
        <f>IF(ISNUMBER($T609),COUNTIFS($A$14:$A$1213,$A609,$T$14:$T$1213,"&gt;"&amp;$T609)+(COUNTIFS($A$14:$A$1213,$A609,$T$14:$T$1213,"="&amp;$T609)+1)/2,"")</f>
        <v/>
      </c>
      <c r="AH609" s="27">
        <f>IF(COUNT($AC609:$AG609)&lt;2,"",IF(MAX($AC609:$AG609)=MIN($AC609:$AG609),0,1))</f>
        <v/>
      </c>
      <c r="AI609" s="27">
        <f>IF($A609="","",IF(COUNTIF($A$14:$A609,$A609)=1,COUNTIF($AI$13:AI608,"&gt;0")+1,""))</f>
        <v/>
      </c>
      <c r="AO609" s="27">
        <f>IF($A609="","",IF(AND(COUNTIFS($A$14:$A$1213,$A609,$F$14:$F$1213,"&gt;=0")=2,IFERROR(INDEX($M$14:$M$313,MATCH($A609,$H$14:$H$313,0)),"Yes")&lt;&gt;"Yes"),1,0))</f>
        <v/>
      </c>
    </row>
    <row r="610">
      <c r="A610" s="19">
        <f>IF('Enter messages'!A610="","",'Enter messages'!A610)</f>
        <v/>
      </c>
      <c r="B610" s="20">
        <f>IF('Enter messages'!B610="","",'Enter messages'!B610)</f>
        <v/>
      </c>
      <c r="C610" s="21">
        <f>IFERROR(AVERAGE(P610:T610),"")</f>
        <v/>
      </c>
      <c r="D610" s="29" t="n"/>
      <c r="E610" s="29" t="n"/>
      <c r="F610" s="30">
        <f>IF(AND(ISNUMBER($D610),ISNUMBER($E610),$E610&gt;0,$D610&lt;=$E610),$D610/$E610,"")</f>
        <v/>
      </c>
      <c r="P610" s="26" t="n"/>
      <c r="Q610" s="26" t="n"/>
      <c r="R610" s="26" t="n"/>
      <c r="S610" s="26" t="n"/>
      <c r="T610" s="26" t="n"/>
      <c r="V610" s="27">
        <f>IF(ISNUMBER($C610),COUNTIFS($A$14:$A$1213,$A610,$C$14:$C$1213,"&gt;"&amp;$C610)+(COUNTIFS($A$14:$A$1213,$A610,$C$14:$C$1213,"="&amp;$C610)+1)/2,"")</f>
        <v/>
      </c>
      <c r="W610" s="27">
        <f>IF(ISNUMBER($F610),COUNTIFS($A$14:$A$1213,$A610,$F$14:$F$1213,"&gt;"&amp;$F610)+(COUNTIFS($A$14:$A$1213,$A610,$F$14:$F$1213,"="&amp;$F610)+1)/2,"")</f>
        <v/>
      </c>
      <c r="X610" s="27">
        <f>IF(OR(NOT(ISNUMBER($V610)),$AO610=1),"",$V610-(COUNTIFS($A$14:$A$1213,$A610,$C$14:$C$1213,"&gt;=0")+1)/2)</f>
        <v/>
      </c>
      <c r="Y610" s="27">
        <f>IF(OR(NOT(ISNUMBER($W610)),$AO610=1),"",$W610-(COUNTIFS($A$14:$A$1213,$A610,$F$14:$F$1213,"&gt;=0")+1)/2)</f>
        <v/>
      </c>
      <c r="Z610" s="27">
        <f>IF(ISNUMBER($V610),$A610&amp;"|"&amp;$V610,"")</f>
        <v/>
      </c>
      <c r="AA610" s="27">
        <f>IF(ISNUMBER($W610),$A610&amp;"|"&amp;$W610,"")</f>
        <v/>
      </c>
      <c r="AB610" s="27">
        <f>IF(ISNUMBER($F610),$A610&amp;"|"&amp;$F610,"")</f>
        <v/>
      </c>
      <c r="AC610" s="27">
        <f>IF(ISNUMBER($P610),COUNTIFS($A$14:$A$1213,$A610,$P$14:$P$1213,"&gt;"&amp;$P610)+(COUNTIFS($A$14:$A$1213,$A610,$P$14:$P$1213,"="&amp;$P610)+1)/2,"")</f>
        <v/>
      </c>
      <c r="AD610" s="27">
        <f>IF(ISNUMBER($Q610),COUNTIFS($A$14:$A$1213,$A610,$Q$14:$Q$1213,"&gt;"&amp;$Q610)+(COUNTIFS($A$14:$A$1213,$A610,$Q$14:$Q$1213,"="&amp;$Q610)+1)/2,"")</f>
        <v/>
      </c>
      <c r="AE610" s="27">
        <f>IF(ISNUMBER($R610),COUNTIFS($A$14:$A$1213,$A610,$R$14:$R$1213,"&gt;"&amp;$R610)+(COUNTIFS($A$14:$A$1213,$A610,$R$14:$R$1213,"="&amp;$R610)+1)/2,"")</f>
        <v/>
      </c>
      <c r="AF610" s="27">
        <f>IF(ISNUMBER($S610),COUNTIFS($A$14:$A$1213,$A610,$S$14:$S$1213,"&gt;"&amp;$S610)+(COUNTIFS($A$14:$A$1213,$A610,$S$14:$S$1213,"="&amp;$S610)+1)/2,"")</f>
        <v/>
      </c>
      <c r="AG610" s="27">
        <f>IF(ISNUMBER($T610),COUNTIFS($A$14:$A$1213,$A610,$T$14:$T$1213,"&gt;"&amp;$T610)+(COUNTIFS($A$14:$A$1213,$A610,$T$14:$T$1213,"="&amp;$T610)+1)/2,"")</f>
        <v/>
      </c>
      <c r="AH610" s="27">
        <f>IF(COUNT($AC610:$AG610)&lt;2,"",IF(MAX($AC610:$AG610)=MIN($AC610:$AG610),0,1))</f>
        <v/>
      </c>
      <c r="AI610" s="27">
        <f>IF($A610="","",IF(COUNTIF($A$14:$A610,$A610)=1,COUNTIF($AI$13:AI609,"&gt;0")+1,""))</f>
        <v/>
      </c>
      <c r="AO610" s="27">
        <f>IF($A610="","",IF(AND(COUNTIFS($A$14:$A$1213,$A610,$F$14:$F$1213,"&gt;=0")=2,IFERROR(INDEX($M$14:$M$313,MATCH($A610,$H$14:$H$313,0)),"Yes")&lt;&gt;"Yes"),1,0))</f>
        <v/>
      </c>
    </row>
    <row r="611">
      <c r="A611" s="19">
        <f>IF('Enter messages'!A611="","",'Enter messages'!A611)</f>
        <v/>
      </c>
      <c r="B611" s="20">
        <f>IF('Enter messages'!B611="","",'Enter messages'!B611)</f>
        <v/>
      </c>
      <c r="C611" s="21">
        <f>IFERROR(AVERAGE(P611:T611),"")</f>
        <v/>
      </c>
      <c r="D611" s="29" t="n"/>
      <c r="E611" s="29" t="n"/>
      <c r="F611" s="30">
        <f>IF(AND(ISNUMBER($D611),ISNUMBER($E611),$E611&gt;0,$D611&lt;=$E611),$D611/$E611,"")</f>
        <v/>
      </c>
      <c r="P611" s="26" t="n"/>
      <c r="Q611" s="26" t="n"/>
      <c r="R611" s="26" t="n"/>
      <c r="S611" s="26" t="n"/>
      <c r="T611" s="26" t="n"/>
      <c r="V611" s="27">
        <f>IF(ISNUMBER($C611),COUNTIFS($A$14:$A$1213,$A611,$C$14:$C$1213,"&gt;"&amp;$C611)+(COUNTIFS($A$14:$A$1213,$A611,$C$14:$C$1213,"="&amp;$C611)+1)/2,"")</f>
        <v/>
      </c>
      <c r="W611" s="27">
        <f>IF(ISNUMBER($F611),COUNTIFS($A$14:$A$1213,$A611,$F$14:$F$1213,"&gt;"&amp;$F611)+(COUNTIFS($A$14:$A$1213,$A611,$F$14:$F$1213,"="&amp;$F611)+1)/2,"")</f>
        <v/>
      </c>
      <c r="X611" s="27">
        <f>IF(OR(NOT(ISNUMBER($V611)),$AO611=1),"",$V611-(COUNTIFS($A$14:$A$1213,$A611,$C$14:$C$1213,"&gt;=0")+1)/2)</f>
        <v/>
      </c>
      <c r="Y611" s="27">
        <f>IF(OR(NOT(ISNUMBER($W611)),$AO611=1),"",$W611-(COUNTIFS($A$14:$A$1213,$A611,$F$14:$F$1213,"&gt;=0")+1)/2)</f>
        <v/>
      </c>
      <c r="Z611" s="27">
        <f>IF(ISNUMBER($V611),$A611&amp;"|"&amp;$V611,"")</f>
        <v/>
      </c>
      <c r="AA611" s="27">
        <f>IF(ISNUMBER($W611),$A611&amp;"|"&amp;$W611,"")</f>
        <v/>
      </c>
      <c r="AB611" s="27">
        <f>IF(ISNUMBER($F611),$A611&amp;"|"&amp;$F611,"")</f>
        <v/>
      </c>
      <c r="AC611" s="27">
        <f>IF(ISNUMBER($P611),COUNTIFS($A$14:$A$1213,$A611,$P$14:$P$1213,"&gt;"&amp;$P611)+(COUNTIFS($A$14:$A$1213,$A611,$P$14:$P$1213,"="&amp;$P611)+1)/2,"")</f>
        <v/>
      </c>
      <c r="AD611" s="27">
        <f>IF(ISNUMBER($Q611),COUNTIFS($A$14:$A$1213,$A611,$Q$14:$Q$1213,"&gt;"&amp;$Q611)+(COUNTIFS($A$14:$A$1213,$A611,$Q$14:$Q$1213,"="&amp;$Q611)+1)/2,"")</f>
        <v/>
      </c>
      <c r="AE611" s="27">
        <f>IF(ISNUMBER($R611),COUNTIFS($A$14:$A$1213,$A611,$R$14:$R$1213,"&gt;"&amp;$R611)+(COUNTIFS($A$14:$A$1213,$A611,$R$14:$R$1213,"="&amp;$R611)+1)/2,"")</f>
        <v/>
      </c>
      <c r="AF611" s="27">
        <f>IF(ISNUMBER($S611),COUNTIFS($A$14:$A$1213,$A611,$S$14:$S$1213,"&gt;"&amp;$S611)+(COUNTIFS($A$14:$A$1213,$A611,$S$14:$S$1213,"="&amp;$S611)+1)/2,"")</f>
        <v/>
      </c>
      <c r="AG611" s="27">
        <f>IF(ISNUMBER($T611),COUNTIFS($A$14:$A$1213,$A611,$T$14:$T$1213,"&gt;"&amp;$T611)+(COUNTIFS($A$14:$A$1213,$A611,$T$14:$T$1213,"="&amp;$T611)+1)/2,"")</f>
        <v/>
      </c>
      <c r="AH611" s="27">
        <f>IF(COUNT($AC611:$AG611)&lt;2,"",IF(MAX($AC611:$AG611)=MIN($AC611:$AG611),0,1))</f>
        <v/>
      </c>
      <c r="AI611" s="27">
        <f>IF($A611="","",IF(COUNTIF($A$14:$A611,$A611)=1,COUNTIF($AI$13:AI610,"&gt;0")+1,""))</f>
        <v/>
      </c>
      <c r="AO611" s="27">
        <f>IF($A611="","",IF(AND(COUNTIFS($A$14:$A$1213,$A611,$F$14:$F$1213,"&gt;=0")=2,IFERROR(INDEX($M$14:$M$313,MATCH($A611,$H$14:$H$313,0)),"Yes")&lt;&gt;"Yes"),1,0))</f>
        <v/>
      </c>
    </row>
    <row r="612">
      <c r="A612" s="19">
        <f>IF('Enter messages'!A612="","",'Enter messages'!A612)</f>
        <v/>
      </c>
      <c r="B612" s="20">
        <f>IF('Enter messages'!B612="","",'Enter messages'!B612)</f>
        <v/>
      </c>
      <c r="C612" s="21">
        <f>IFERROR(AVERAGE(P612:T612),"")</f>
        <v/>
      </c>
      <c r="D612" s="29" t="n"/>
      <c r="E612" s="29" t="n"/>
      <c r="F612" s="30">
        <f>IF(AND(ISNUMBER($D612),ISNUMBER($E612),$E612&gt;0,$D612&lt;=$E612),$D612/$E612,"")</f>
        <v/>
      </c>
      <c r="P612" s="26" t="n"/>
      <c r="Q612" s="26" t="n"/>
      <c r="R612" s="26" t="n"/>
      <c r="S612" s="26" t="n"/>
      <c r="T612" s="26" t="n"/>
      <c r="V612" s="27">
        <f>IF(ISNUMBER($C612),COUNTIFS($A$14:$A$1213,$A612,$C$14:$C$1213,"&gt;"&amp;$C612)+(COUNTIFS($A$14:$A$1213,$A612,$C$14:$C$1213,"="&amp;$C612)+1)/2,"")</f>
        <v/>
      </c>
      <c r="W612" s="27">
        <f>IF(ISNUMBER($F612),COUNTIFS($A$14:$A$1213,$A612,$F$14:$F$1213,"&gt;"&amp;$F612)+(COUNTIFS($A$14:$A$1213,$A612,$F$14:$F$1213,"="&amp;$F612)+1)/2,"")</f>
        <v/>
      </c>
      <c r="X612" s="27">
        <f>IF(OR(NOT(ISNUMBER($V612)),$AO612=1),"",$V612-(COUNTIFS($A$14:$A$1213,$A612,$C$14:$C$1213,"&gt;=0")+1)/2)</f>
        <v/>
      </c>
      <c r="Y612" s="27">
        <f>IF(OR(NOT(ISNUMBER($W612)),$AO612=1),"",$W612-(COUNTIFS($A$14:$A$1213,$A612,$F$14:$F$1213,"&gt;=0")+1)/2)</f>
        <v/>
      </c>
      <c r="Z612" s="27">
        <f>IF(ISNUMBER($V612),$A612&amp;"|"&amp;$V612,"")</f>
        <v/>
      </c>
      <c r="AA612" s="27">
        <f>IF(ISNUMBER($W612),$A612&amp;"|"&amp;$W612,"")</f>
        <v/>
      </c>
      <c r="AB612" s="27">
        <f>IF(ISNUMBER($F612),$A612&amp;"|"&amp;$F612,"")</f>
        <v/>
      </c>
      <c r="AC612" s="27">
        <f>IF(ISNUMBER($P612),COUNTIFS($A$14:$A$1213,$A612,$P$14:$P$1213,"&gt;"&amp;$P612)+(COUNTIFS($A$14:$A$1213,$A612,$P$14:$P$1213,"="&amp;$P612)+1)/2,"")</f>
        <v/>
      </c>
      <c r="AD612" s="27">
        <f>IF(ISNUMBER($Q612),COUNTIFS($A$14:$A$1213,$A612,$Q$14:$Q$1213,"&gt;"&amp;$Q612)+(COUNTIFS($A$14:$A$1213,$A612,$Q$14:$Q$1213,"="&amp;$Q612)+1)/2,"")</f>
        <v/>
      </c>
      <c r="AE612" s="27">
        <f>IF(ISNUMBER($R612),COUNTIFS($A$14:$A$1213,$A612,$R$14:$R$1213,"&gt;"&amp;$R612)+(COUNTIFS($A$14:$A$1213,$A612,$R$14:$R$1213,"="&amp;$R612)+1)/2,"")</f>
        <v/>
      </c>
      <c r="AF612" s="27">
        <f>IF(ISNUMBER($S612),COUNTIFS($A$14:$A$1213,$A612,$S$14:$S$1213,"&gt;"&amp;$S612)+(COUNTIFS($A$14:$A$1213,$A612,$S$14:$S$1213,"="&amp;$S612)+1)/2,"")</f>
        <v/>
      </c>
      <c r="AG612" s="27">
        <f>IF(ISNUMBER($T612),COUNTIFS($A$14:$A$1213,$A612,$T$14:$T$1213,"&gt;"&amp;$T612)+(COUNTIFS($A$14:$A$1213,$A612,$T$14:$T$1213,"="&amp;$T612)+1)/2,"")</f>
        <v/>
      </c>
      <c r="AH612" s="27">
        <f>IF(COUNT($AC612:$AG612)&lt;2,"",IF(MAX($AC612:$AG612)=MIN($AC612:$AG612),0,1))</f>
        <v/>
      </c>
      <c r="AI612" s="27">
        <f>IF($A612="","",IF(COUNTIF($A$14:$A612,$A612)=1,COUNTIF($AI$13:AI611,"&gt;0")+1,""))</f>
        <v/>
      </c>
      <c r="AO612" s="27">
        <f>IF($A612="","",IF(AND(COUNTIFS($A$14:$A$1213,$A612,$F$14:$F$1213,"&gt;=0")=2,IFERROR(INDEX($M$14:$M$313,MATCH($A612,$H$14:$H$313,0)),"Yes")&lt;&gt;"Yes"),1,0))</f>
        <v/>
      </c>
    </row>
    <row r="613">
      <c r="A613" s="19">
        <f>IF('Enter messages'!A613="","",'Enter messages'!A613)</f>
        <v/>
      </c>
      <c r="B613" s="20">
        <f>IF('Enter messages'!B613="","",'Enter messages'!B613)</f>
        <v/>
      </c>
      <c r="C613" s="21">
        <f>IFERROR(AVERAGE(P613:T613),"")</f>
        <v/>
      </c>
      <c r="D613" s="29" t="n"/>
      <c r="E613" s="29" t="n"/>
      <c r="F613" s="30">
        <f>IF(AND(ISNUMBER($D613),ISNUMBER($E613),$E613&gt;0,$D613&lt;=$E613),$D613/$E613,"")</f>
        <v/>
      </c>
      <c r="P613" s="26" t="n"/>
      <c r="Q613" s="26" t="n"/>
      <c r="R613" s="26" t="n"/>
      <c r="S613" s="26" t="n"/>
      <c r="T613" s="26" t="n"/>
      <c r="V613" s="27">
        <f>IF(ISNUMBER($C613),COUNTIFS($A$14:$A$1213,$A613,$C$14:$C$1213,"&gt;"&amp;$C613)+(COUNTIFS($A$14:$A$1213,$A613,$C$14:$C$1213,"="&amp;$C613)+1)/2,"")</f>
        <v/>
      </c>
      <c r="W613" s="27">
        <f>IF(ISNUMBER($F613),COUNTIFS($A$14:$A$1213,$A613,$F$14:$F$1213,"&gt;"&amp;$F613)+(COUNTIFS($A$14:$A$1213,$A613,$F$14:$F$1213,"="&amp;$F613)+1)/2,"")</f>
        <v/>
      </c>
      <c r="X613" s="27">
        <f>IF(OR(NOT(ISNUMBER($V613)),$AO613=1),"",$V613-(COUNTIFS($A$14:$A$1213,$A613,$C$14:$C$1213,"&gt;=0")+1)/2)</f>
        <v/>
      </c>
      <c r="Y613" s="27">
        <f>IF(OR(NOT(ISNUMBER($W613)),$AO613=1),"",$W613-(COUNTIFS($A$14:$A$1213,$A613,$F$14:$F$1213,"&gt;=0")+1)/2)</f>
        <v/>
      </c>
      <c r="Z613" s="27">
        <f>IF(ISNUMBER($V613),$A613&amp;"|"&amp;$V613,"")</f>
        <v/>
      </c>
      <c r="AA613" s="27">
        <f>IF(ISNUMBER($W613),$A613&amp;"|"&amp;$W613,"")</f>
        <v/>
      </c>
      <c r="AB613" s="27">
        <f>IF(ISNUMBER($F613),$A613&amp;"|"&amp;$F613,"")</f>
        <v/>
      </c>
      <c r="AC613" s="27">
        <f>IF(ISNUMBER($P613),COUNTIFS($A$14:$A$1213,$A613,$P$14:$P$1213,"&gt;"&amp;$P613)+(COUNTIFS($A$14:$A$1213,$A613,$P$14:$P$1213,"="&amp;$P613)+1)/2,"")</f>
        <v/>
      </c>
      <c r="AD613" s="27">
        <f>IF(ISNUMBER($Q613),COUNTIFS($A$14:$A$1213,$A613,$Q$14:$Q$1213,"&gt;"&amp;$Q613)+(COUNTIFS($A$14:$A$1213,$A613,$Q$14:$Q$1213,"="&amp;$Q613)+1)/2,"")</f>
        <v/>
      </c>
      <c r="AE613" s="27">
        <f>IF(ISNUMBER($R613),COUNTIFS($A$14:$A$1213,$A613,$R$14:$R$1213,"&gt;"&amp;$R613)+(COUNTIFS($A$14:$A$1213,$A613,$R$14:$R$1213,"="&amp;$R613)+1)/2,"")</f>
        <v/>
      </c>
      <c r="AF613" s="27">
        <f>IF(ISNUMBER($S613),COUNTIFS($A$14:$A$1213,$A613,$S$14:$S$1213,"&gt;"&amp;$S613)+(COUNTIFS($A$14:$A$1213,$A613,$S$14:$S$1213,"="&amp;$S613)+1)/2,"")</f>
        <v/>
      </c>
      <c r="AG613" s="27">
        <f>IF(ISNUMBER($T613),COUNTIFS($A$14:$A$1213,$A613,$T$14:$T$1213,"&gt;"&amp;$T613)+(COUNTIFS($A$14:$A$1213,$A613,$T$14:$T$1213,"="&amp;$T613)+1)/2,"")</f>
        <v/>
      </c>
      <c r="AH613" s="27">
        <f>IF(COUNT($AC613:$AG613)&lt;2,"",IF(MAX($AC613:$AG613)=MIN($AC613:$AG613),0,1))</f>
        <v/>
      </c>
      <c r="AI613" s="27">
        <f>IF($A613="","",IF(COUNTIF($A$14:$A613,$A613)=1,COUNTIF($AI$13:AI612,"&gt;0")+1,""))</f>
        <v/>
      </c>
      <c r="AO613" s="27">
        <f>IF($A613="","",IF(AND(COUNTIFS($A$14:$A$1213,$A613,$F$14:$F$1213,"&gt;=0")=2,IFERROR(INDEX($M$14:$M$313,MATCH($A613,$H$14:$H$313,0)),"Yes")&lt;&gt;"Yes"),1,0))</f>
        <v/>
      </c>
    </row>
    <row r="614">
      <c r="A614" s="19">
        <f>IF('Enter messages'!A614="","",'Enter messages'!A614)</f>
        <v/>
      </c>
      <c r="B614" s="20">
        <f>IF('Enter messages'!B614="","",'Enter messages'!B614)</f>
        <v/>
      </c>
      <c r="C614" s="21">
        <f>IFERROR(AVERAGE(P614:T614),"")</f>
        <v/>
      </c>
      <c r="D614" s="29" t="n"/>
      <c r="E614" s="29" t="n"/>
      <c r="F614" s="30">
        <f>IF(AND(ISNUMBER($D614),ISNUMBER($E614),$E614&gt;0,$D614&lt;=$E614),$D614/$E614,"")</f>
        <v/>
      </c>
      <c r="P614" s="26" t="n"/>
      <c r="Q614" s="26" t="n"/>
      <c r="R614" s="26" t="n"/>
      <c r="S614" s="26" t="n"/>
      <c r="T614" s="26" t="n"/>
      <c r="V614" s="27">
        <f>IF(ISNUMBER($C614),COUNTIFS($A$14:$A$1213,$A614,$C$14:$C$1213,"&gt;"&amp;$C614)+(COUNTIFS($A$14:$A$1213,$A614,$C$14:$C$1213,"="&amp;$C614)+1)/2,"")</f>
        <v/>
      </c>
      <c r="W614" s="27">
        <f>IF(ISNUMBER($F614),COUNTIFS($A$14:$A$1213,$A614,$F$14:$F$1213,"&gt;"&amp;$F614)+(COUNTIFS($A$14:$A$1213,$A614,$F$14:$F$1213,"="&amp;$F614)+1)/2,"")</f>
        <v/>
      </c>
      <c r="X614" s="27">
        <f>IF(OR(NOT(ISNUMBER($V614)),$AO614=1),"",$V614-(COUNTIFS($A$14:$A$1213,$A614,$C$14:$C$1213,"&gt;=0")+1)/2)</f>
        <v/>
      </c>
      <c r="Y614" s="27">
        <f>IF(OR(NOT(ISNUMBER($W614)),$AO614=1),"",$W614-(COUNTIFS($A$14:$A$1213,$A614,$F$14:$F$1213,"&gt;=0")+1)/2)</f>
        <v/>
      </c>
      <c r="Z614" s="27">
        <f>IF(ISNUMBER($V614),$A614&amp;"|"&amp;$V614,"")</f>
        <v/>
      </c>
      <c r="AA614" s="27">
        <f>IF(ISNUMBER($W614),$A614&amp;"|"&amp;$W614,"")</f>
        <v/>
      </c>
      <c r="AB614" s="27">
        <f>IF(ISNUMBER($F614),$A614&amp;"|"&amp;$F614,"")</f>
        <v/>
      </c>
      <c r="AC614" s="27">
        <f>IF(ISNUMBER($P614),COUNTIFS($A$14:$A$1213,$A614,$P$14:$P$1213,"&gt;"&amp;$P614)+(COUNTIFS($A$14:$A$1213,$A614,$P$14:$P$1213,"="&amp;$P614)+1)/2,"")</f>
        <v/>
      </c>
      <c r="AD614" s="27">
        <f>IF(ISNUMBER($Q614),COUNTIFS($A$14:$A$1213,$A614,$Q$14:$Q$1213,"&gt;"&amp;$Q614)+(COUNTIFS($A$14:$A$1213,$A614,$Q$14:$Q$1213,"="&amp;$Q614)+1)/2,"")</f>
        <v/>
      </c>
      <c r="AE614" s="27">
        <f>IF(ISNUMBER($R614),COUNTIFS($A$14:$A$1213,$A614,$R$14:$R$1213,"&gt;"&amp;$R614)+(COUNTIFS($A$14:$A$1213,$A614,$R$14:$R$1213,"="&amp;$R614)+1)/2,"")</f>
        <v/>
      </c>
      <c r="AF614" s="27">
        <f>IF(ISNUMBER($S614),COUNTIFS($A$14:$A$1213,$A614,$S$14:$S$1213,"&gt;"&amp;$S614)+(COUNTIFS($A$14:$A$1213,$A614,$S$14:$S$1213,"="&amp;$S614)+1)/2,"")</f>
        <v/>
      </c>
      <c r="AG614" s="27">
        <f>IF(ISNUMBER($T614),COUNTIFS($A$14:$A$1213,$A614,$T$14:$T$1213,"&gt;"&amp;$T614)+(COUNTIFS($A$14:$A$1213,$A614,$T$14:$T$1213,"="&amp;$T614)+1)/2,"")</f>
        <v/>
      </c>
      <c r="AH614" s="27">
        <f>IF(COUNT($AC614:$AG614)&lt;2,"",IF(MAX($AC614:$AG614)=MIN($AC614:$AG614),0,1))</f>
        <v/>
      </c>
      <c r="AI614" s="27">
        <f>IF($A614="","",IF(COUNTIF($A$14:$A614,$A614)=1,COUNTIF($AI$13:AI613,"&gt;0")+1,""))</f>
        <v/>
      </c>
      <c r="AO614" s="27">
        <f>IF($A614="","",IF(AND(COUNTIFS($A$14:$A$1213,$A614,$F$14:$F$1213,"&gt;=0")=2,IFERROR(INDEX($M$14:$M$313,MATCH($A614,$H$14:$H$313,0)),"Yes")&lt;&gt;"Yes"),1,0))</f>
        <v/>
      </c>
    </row>
    <row r="615">
      <c r="A615" s="19">
        <f>IF('Enter messages'!A615="","",'Enter messages'!A615)</f>
        <v/>
      </c>
      <c r="B615" s="20">
        <f>IF('Enter messages'!B615="","",'Enter messages'!B615)</f>
        <v/>
      </c>
      <c r="C615" s="21">
        <f>IFERROR(AVERAGE(P615:T615),"")</f>
        <v/>
      </c>
      <c r="D615" s="29" t="n"/>
      <c r="E615" s="29" t="n"/>
      <c r="F615" s="30">
        <f>IF(AND(ISNUMBER($D615),ISNUMBER($E615),$E615&gt;0,$D615&lt;=$E615),$D615/$E615,"")</f>
        <v/>
      </c>
      <c r="P615" s="26" t="n"/>
      <c r="Q615" s="26" t="n"/>
      <c r="R615" s="26" t="n"/>
      <c r="S615" s="26" t="n"/>
      <c r="T615" s="26" t="n"/>
      <c r="V615" s="27">
        <f>IF(ISNUMBER($C615),COUNTIFS($A$14:$A$1213,$A615,$C$14:$C$1213,"&gt;"&amp;$C615)+(COUNTIFS($A$14:$A$1213,$A615,$C$14:$C$1213,"="&amp;$C615)+1)/2,"")</f>
        <v/>
      </c>
      <c r="W615" s="27">
        <f>IF(ISNUMBER($F615),COUNTIFS($A$14:$A$1213,$A615,$F$14:$F$1213,"&gt;"&amp;$F615)+(COUNTIFS($A$14:$A$1213,$A615,$F$14:$F$1213,"="&amp;$F615)+1)/2,"")</f>
        <v/>
      </c>
      <c r="X615" s="27">
        <f>IF(OR(NOT(ISNUMBER($V615)),$AO615=1),"",$V615-(COUNTIFS($A$14:$A$1213,$A615,$C$14:$C$1213,"&gt;=0")+1)/2)</f>
        <v/>
      </c>
      <c r="Y615" s="27">
        <f>IF(OR(NOT(ISNUMBER($W615)),$AO615=1),"",$W615-(COUNTIFS($A$14:$A$1213,$A615,$F$14:$F$1213,"&gt;=0")+1)/2)</f>
        <v/>
      </c>
      <c r="Z615" s="27">
        <f>IF(ISNUMBER($V615),$A615&amp;"|"&amp;$V615,"")</f>
        <v/>
      </c>
      <c r="AA615" s="27">
        <f>IF(ISNUMBER($W615),$A615&amp;"|"&amp;$W615,"")</f>
        <v/>
      </c>
      <c r="AB615" s="27">
        <f>IF(ISNUMBER($F615),$A615&amp;"|"&amp;$F615,"")</f>
        <v/>
      </c>
      <c r="AC615" s="27">
        <f>IF(ISNUMBER($P615),COUNTIFS($A$14:$A$1213,$A615,$P$14:$P$1213,"&gt;"&amp;$P615)+(COUNTIFS($A$14:$A$1213,$A615,$P$14:$P$1213,"="&amp;$P615)+1)/2,"")</f>
        <v/>
      </c>
      <c r="AD615" s="27">
        <f>IF(ISNUMBER($Q615),COUNTIFS($A$14:$A$1213,$A615,$Q$14:$Q$1213,"&gt;"&amp;$Q615)+(COUNTIFS($A$14:$A$1213,$A615,$Q$14:$Q$1213,"="&amp;$Q615)+1)/2,"")</f>
        <v/>
      </c>
      <c r="AE615" s="27">
        <f>IF(ISNUMBER($R615),COUNTIFS($A$14:$A$1213,$A615,$R$14:$R$1213,"&gt;"&amp;$R615)+(COUNTIFS($A$14:$A$1213,$A615,$R$14:$R$1213,"="&amp;$R615)+1)/2,"")</f>
        <v/>
      </c>
      <c r="AF615" s="27">
        <f>IF(ISNUMBER($S615),COUNTIFS($A$14:$A$1213,$A615,$S$14:$S$1213,"&gt;"&amp;$S615)+(COUNTIFS($A$14:$A$1213,$A615,$S$14:$S$1213,"="&amp;$S615)+1)/2,"")</f>
        <v/>
      </c>
      <c r="AG615" s="27">
        <f>IF(ISNUMBER($T615),COUNTIFS($A$14:$A$1213,$A615,$T$14:$T$1213,"&gt;"&amp;$T615)+(COUNTIFS($A$14:$A$1213,$A615,$T$14:$T$1213,"="&amp;$T615)+1)/2,"")</f>
        <v/>
      </c>
      <c r="AH615" s="27">
        <f>IF(COUNT($AC615:$AG615)&lt;2,"",IF(MAX($AC615:$AG615)=MIN($AC615:$AG615),0,1))</f>
        <v/>
      </c>
      <c r="AI615" s="27">
        <f>IF($A615="","",IF(COUNTIF($A$14:$A615,$A615)=1,COUNTIF($AI$13:AI614,"&gt;0")+1,""))</f>
        <v/>
      </c>
      <c r="AO615" s="27">
        <f>IF($A615="","",IF(AND(COUNTIFS($A$14:$A$1213,$A615,$F$14:$F$1213,"&gt;=0")=2,IFERROR(INDEX($M$14:$M$313,MATCH($A615,$H$14:$H$313,0)),"Yes")&lt;&gt;"Yes"),1,0))</f>
        <v/>
      </c>
    </row>
    <row r="616">
      <c r="A616" s="19">
        <f>IF('Enter messages'!A616="","",'Enter messages'!A616)</f>
        <v/>
      </c>
      <c r="B616" s="20">
        <f>IF('Enter messages'!B616="","",'Enter messages'!B616)</f>
        <v/>
      </c>
      <c r="C616" s="21">
        <f>IFERROR(AVERAGE(P616:T616),"")</f>
        <v/>
      </c>
      <c r="D616" s="29" t="n"/>
      <c r="E616" s="29" t="n"/>
      <c r="F616" s="30">
        <f>IF(AND(ISNUMBER($D616),ISNUMBER($E616),$E616&gt;0,$D616&lt;=$E616),$D616/$E616,"")</f>
        <v/>
      </c>
      <c r="P616" s="26" t="n"/>
      <c r="Q616" s="26" t="n"/>
      <c r="R616" s="26" t="n"/>
      <c r="S616" s="26" t="n"/>
      <c r="T616" s="26" t="n"/>
      <c r="V616" s="27">
        <f>IF(ISNUMBER($C616),COUNTIFS($A$14:$A$1213,$A616,$C$14:$C$1213,"&gt;"&amp;$C616)+(COUNTIFS($A$14:$A$1213,$A616,$C$14:$C$1213,"="&amp;$C616)+1)/2,"")</f>
        <v/>
      </c>
      <c r="W616" s="27">
        <f>IF(ISNUMBER($F616),COUNTIFS($A$14:$A$1213,$A616,$F$14:$F$1213,"&gt;"&amp;$F616)+(COUNTIFS($A$14:$A$1213,$A616,$F$14:$F$1213,"="&amp;$F616)+1)/2,"")</f>
        <v/>
      </c>
      <c r="X616" s="27">
        <f>IF(OR(NOT(ISNUMBER($V616)),$AO616=1),"",$V616-(COUNTIFS($A$14:$A$1213,$A616,$C$14:$C$1213,"&gt;=0")+1)/2)</f>
        <v/>
      </c>
      <c r="Y616" s="27">
        <f>IF(OR(NOT(ISNUMBER($W616)),$AO616=1),"",$W616-(COUNTIFS($A$14:$A$1213,$A616,$F$14:$F$1213,"&gt;=0")+1)/2)</f>
        <v/>
      </c>
      <c r="Z616" s="27">
        <f>IF(ISNUMBER($V616),$A616&amp;"|"&amp;$V616,"")</f>
        <v/>
      </c>
      <c r="AA616" s="27">
        <f>IF(ISNUMBER($W616),$A616&amp;"|"&amp;$W616,"")</f>
        <v/>
      </c>
      <c r="AB616" s="27">
        <f>IF(ISNUMBER($F616),$A616&amp;"|"&amp;$F616,"")</f>
        <v/>
      </c>
      <c r="AC616" s="27">
        <f>IF(ISNUMBER($P616),COUNTIFS($A$14:$A$1213,$A616,$P$14:$P$1213,"&gt;"&amp;$P616)+(COUNTIFS($A$14:$A$1213,$A616,$P$14:$P$1213,"="&amp;$P616)+1)/2,"")</f>
        <v/>
      </c>
      <c r="AD616" s="27">
        <f>IF(ISNUMBER($Q616),COUNTIFS($A$14:$A$1213,$A616,$Q$14:$Q$1213,"&gt;"&amp;$Q616)+(COUNTIFS($A$14:$A$1213,$A616,$Q$14:$Q$1213,"="&amp;$Q616)+1)/2,"")</f>
        <v/>
      </c>
      <c r="AE616" s="27">
        <f>IF(ISNUMBER($R616),COUNTIFS($A$14:$A$1213,$A616,$R$14:$R$1213,"&gt;"&amp;$R616)+(COUNTIFS($A$14:$A$1213,$A616,$R$14:$R$1213,"="&amp;$R616)+1)/2,"")</f>
        <v/>
      </c>
      <c r="AF616" s="27">
        <f>IF(ISNUMBER($S616),COUNTIFS($A$14:$A$1213,$A616,$S$14:$S$1213,"&gt;"&amp;$S616)+(COUNTIFS($A$14:$A$1213,$A616,$S$14:$S$1213,"="&amp;$S616)+1)/2,"")</f>
        <v/>
      </c>
      <c r="AG616" s="27">
        <f>IF(ISNUMBER($T616),COUNTIFS($A$14:$A$1213,$A616,$T$14:$T$1213,"&gt;"&amp;$T616)+(COUNTIFS($A$14:$A$1213,$A616,$T$14:$T$1213,"="&amp;$T616)+1)/2,"")</f>
        <v/>
      </c>
      <c r="AH616" s="27">
        <f>IF(COUNT($AC616:$AG616)&lt;2,"",IF(MAX($AC616:$AG616)=MIN($AC616:$AG616),0,1))</f>
        <v/>
      </c>
      <c r="AI616" s="27">
        <f>IF($A616="","",IF(COUNTIF($A$14:$A616,$A616)=1,COUNTIF($AI$13:AI615,"&gt;0")+1,""))</f>
        <v/>
      </c>
      <c r="AO616" s="27">
        <f>IF($A616="","",IF(AND(COUNTIFS($A$14:$A$1213,$A616,$F$14:$F$1213,"&gt;=0")=2,IFERROR(INDEX($M$14:$M$313,MATCH($A616,$H$14:$H$313,0)),"Yes")&lt;&gt;"Yes"),1,0))</f>
        <v/>
      </c>
    </row>
    <row r="617">
      <c r="A617" s="19">
        <f>IF('Enter messages'!A617="","",'Enter messages'!A617)</f>
        <v/>
      </c>
      <c r="B617" s="20">
        <f>IF('Enter messages'!B617="","",'Enter messages'!B617)</f>
        <v/>
      </c>
      <c r="C617" s="21">
        <f>IFERROR(AVERAGE(P617:T617),"")</f>
        <v/>
      </c>
      <c r="D617" s="29" t="n"/>
      <c r="E617" s="29" t="n"/>
      <c r="F617" s="30">
        <f>IF(AND(ISNUMBER($D617),ISNUMBER($E617),$E617&gt;0,$D617&lt;=$E617),$D617/$E617,"")</f>
        <v/>
      </c>
      <c r="P617" s="26" t="n"/>
      <c r="Q617" s="26" t="n"/>
      <c r="R617" s="26" t="n"/>
      <c r="S617" s="26" t="n"/>
      <c r="T617" s="26" t="n"/>
      <c r="V617" s="27">
        <f>IF(ISNUMBER($C617),COUNTIFS($A$14:$A$1213,$A617,$C$14:$C$1213,"&gt;"&amp;$C617)+(COUNTIFS($A$14:$A$1213,$A617,$C$14:$C$1213,"="&amp;$C617)+1)/2,"")</f>
        <v/>
      </c>
      <c r="W617" s="27">
        <f>IF(ISNUMBER($F617),COUNTIFS($A$14:$A$1213,$A617,$F$14:$F$1213,"&gt;"&amp;$F617)+(COUNTIFS($A$14:$A$1213,$A617,$F$14:$F$1213,"="&amp;$F617)+1)/2,"")</f>
        <v/>
      </c>
      <c r="X617" s="27">
        <f>IF(OR(NOT(ISNUMBER($V617)),$AO617=1),"",$V617-(COUNTIFS($A$14:$A$1213,$A617,$C$14:$C$1213,"&gt;=0")+1)/2)</f>
        <v/>
      </c>
      <c r="Y617" s="27">
        <f>IF(OR(NOT(ISNUMBER($W617)),$AO617=1),"",$W617-(COUNTIFS($A$14:$A$1213,$A617,$F$14:$F$1213,"&gt;=0")+1)/2)</f>
        <v/>
      </c>
      <c r="Z617" s="27">
        <f>IF(ISNUMBER($V617),$A617&amp;"|"&amp;$V617,"")</f>
        <v/>
      </c>
      <c r="AA617" s="27">
        <f>IF(ISNUMBER($W617),$A617&amp;"|"&amp;$W617,"")</f>
        <v/>
      </c>
      <c r="AB617" s="27">
        <f>IF(ISNUMBER($F617),$A617&amp;"|"&amp;$F617,"")</f>
        <v/>
      </c>
      <c r="AC617" s="27">
        <f>IF(ISNUMBER($P617),COUNTIFS($A$14:$A$1213,$A617,$P$14:$P$1213,"&gt;"&amp;$P617)+(COUNTIFS($A$14:$A$1213,$A617,$P$14:$P$1213,"="&amp;$P617)+1)/2,"")</f>
        <v/>
      </c>
      <c r="AD617" s="27">
        <f>IF(ISNUMBER($Q617),COUNTIFS($A$14:$A$1213,$A617,$Q$14:$Q$1213,"&gt;"&amp;$Q617)+(COUNTIFS($A$14:$A$1213,$A617,$Q$14:$Q$1213,"="&amp;$Q617)+1)/2,"")</f>
        <v/>
      </c>
      <c r="AE617" s="27">
        <f>IF(ISNUMBER($R617),COUNTIFS($A$14:$A$1213,$A617,$R$14:$R$1213,"&gt;"&amp;$R617)+(COUNTIFS($A$14:$A$1213,$A617,$R$14:$R$1213,"="&amp;$R617)+1)/2,"")</f>
        <v/>
      </c>
      <c r="AF617" s="27">
        <f>IF(ISNUMBER($S617),COUNTIFS($A$14:$A$1213,$A617,$S$14:$S$1213,"&gt;"&amp;$S617)+(COUNTIFS($A$14:$A$1213,$A617,$S$14:$S$1213,"="&amp;$S617)+1)/2,"")</f>
        <v/>
      </c>
      <c r="AG617" s="27">
        <f>IF(ISNUMBER($T617),COUNTIFS($A$14:$A$1213,$A617,$T$14:$T$1213,"&gt;"&amp;$T617)+(COUNTIFS($A$14:$A$1213,$A617,$T$14:$T$1213,"="&amp;$T617)+1)/2,"")</f>
        <v/>
      </c>
      <c r="AH617" s="27">
        <f>IF(COUNT($AC617:$AG617)&lt;2,"",IF(MAX($AC617:$AG617)=MIN($AC617:$AG617),0,1))</f>
        <v/>
      </c>
      <c r="AI617" s="27">
        <f>IF($A617="","",IF(COUNTIF($A$14:$A617,$A617)=1,COUNTIF($AI$13:AI616,"&gt;0")+1,""))</f>
        <v/>
      </c>
      <c r="AO617" s="27">
        <f>IF($A617="","",IF(AND(COUNTIFS($A$14:$A$1213,$A617,$F$14:$F$1213,"&gt;=0")=2,IFERROR(INDEX($M$14:$M$313,MATCH($A617,$H$14:$H$313,0)),"Yes")&lt;&gt;"Yes"),1,0))</f>
        <v/>
      </c>
    </row>
    <row r="618">
      <c r="A618" s="19">
        <f>IF('Enter messages'!A618="","",'Enter messages'!A618)</f>
        <v/>
      </c>
      <c r="B618" s="20">
        <f>IF('Enter messages'!B618="","",'Enter messages'!B618)</f>
        <v/>
      </c>
      <c r="C618" s="21">
        <f>IFERROR(AVERAGE(P618:T618),"")</f>
        <v/>
      </c>
      <c r="D618" s="29" t="n"/>
      <c r="E618" s="29" t="n"/>
      <c r="F618" s="30">
        <f>IF(AND(ISNUMBER($D618),ISNUMBER($E618),$E618&gt;0,$D618&lt;=$E618),$D618/$E618,"")</f>
        <v/>
      </c>
      <c r="P618" s="26" t="n"/>
      <c r="Q618" s="26" t="n"/>
      <c r="R618" s="26" t="n"/>
      <c r="S618" s="26" t="n"/>
      <c r="T618" s="26" t="n"/>
      <c r="V618" s="27">
        <f>IF(ISNUMBER($C618),COUNTIFS($A$14:$A$1213,$A618,$C$14:$C$1213,"&gt;"&amp;$C618)+(COUNTIFS($A$14:$A$1213,$A618,$C$14:$C$1213,"="&amp;$C618)+1)/2,"")</f>
        <v/>
      </c>
      <c r="W618" s="27">
        <f>IF(ISNUMBER($F618),COUNTIFS($A$14:$A$1213,$A618,$F$14:$F$1213,"&gt;"&amp;$F618)+(COUNTIFS($A$14:$A$1213,$A618,$F$14:$F$1213,"="&amp;$F618)+1)/2,"")</f>
        <v/>
      </c>
      <c r="X618" s="27">
        <f>IF(OR(NOT(ISNUMBER($V618)),$AO618=1),"",$V618-(COUNTIFS($A$14:$A$1213,$A618,$C$14:$C$1213,"&gt;=0")+1)/2)</f>
        <v/>
      </c>
      <c r="Y618" s="27">
        <f>IF(OR(NOT(ISNUMBER($W618)),$AO618=1),"",$W618-(COUNTIFS($A$14:$A$1213,$A618,$F$14:$F$1213,"&gt;=0")+1)/2)</f>
        <v/>
      </c>
      <c r="Z618" s="27">
        <f>IF(ISNUMBER($V618),$A618&amp;"|"&amp;$V618,"")</f>
        <v/>
      </c>
      <c r="AA618" s="27">
        <f>IF(ISNUMBER($W618),$A618&amp;"|"&amp;$W618,"")</f>
        <v/>
      </c>
      <c r="AB618" s="27">
        <f>IF(ISNUMBER($F618),$A618&amp;"|"&amp;$F618,"")</f>
        <v/>
      </c>
      <c r="AC618" s="27">
        <f>IF(ISNUMBER($P618),COUNTIFS($A$14:$A$1213,$A618,$P$14:$P$1213,"&gt;"&amp;$P618)+(COUNTIFS($A$14:$A$1213,$A618,$P$14:$P$1213,"="&amp;$P618)+1)/2,"")</f>
        <v/>
      </c>
      <c r="AD618" s="27">
        <f>IF(ISNUMBER($Q618),COUNTIFS($A$14:$A$1213,$A618,$Q$14:$Q$1213,"&gt;"&amp;$Q618)+(COUNTIFS($A$14:$A$1213,$A618,$Q$14:$Q$1213,"="&amp;$Q618)+1)/2,"")</f>
        <v/>
      </c>
      <c r="AE618" s="27">
        <f>IF(ISNUMBER($R618),COUNTIFS($A$14:$A$1213,$A618,$R$14:$R$1213,"&gt;"&amp;$R618)+(COUNTIFS($A$14:$A$1213,$A618,$R$14:$R$1213,"="&amp;$R618)+1)/2,"")</f>
        <v/>
      </c>
      <c r="AF618" s="27">
        <f>IF(ISNUMBER($S618),COUNTIFS($A$14:$A$1213,$A618,$S$14:$S$1213,"&gt;"&amp;$S618)+(COUNTIFS($A$14:$A$1213,$A618,$S$14:$S$1213,"="&amp;$S618)+1)/2,"")</f>
        <v/>
      </c>
      <c r="AG618" s="27">
        <f>IF(ISNUMBER($T618),COUNTIFS($A$14:$A$1213,$A618,$T$14:$T$1213,"&gt;"&amp;$T618)+(COUNTIFS($A$14:$A$1213,$A618,$T$14:$T$1213,"="&amp;$T618)+1)/2,"")</f>
        <v/>
      </c>
      <c r="AH618" s="27">
        <f>IF(COUNT($AC618:$AG618)&lt;2,"",IF(MAX($AC618:$AG618)=MIN($AC618:$AG618),0,1))</f>
        <v/>
      </c>
      <c r="AI618" s="27">
        <f>IF($A618="","",IF(COUNTIF($A$14:$A618,$A618)=1,COUNTIF($AI$13:AI617,"&gt;0")+1,""))</f>
        <v/>
      </c>
      <c r="AO618" s="27">
        <f>IF($A618="","",IF(AND(COUNTIFS($A$14:$A$1213,$A618,$F$14:$F$1213,"&gt;=0")=2,IFERROR(INDEX($M$14:$M$313,MATCH($A618,$H$14:$H$313,0)),"Yes")&lt;&gt;"Yes"),1,0))</f>
        <v/>
      </c>
    </row>
    <row r="619">
      <c r="A619" s="19">
        <f>IF('Enter messages'!A619="","",'Enter messages'!A619)</f>
        <v/>
      </c>
      <c r="B619" s="20">
        <f>IF('Enter messages'!B619="","",'Enter messages'!B619)</f>
        <v/>
      </c>
      <c r="C619" s="21">
        <f>IFERROR(AVERAGE(P619:T619),"")</f>
        <v/>
      </c>
      <c r="D619" s="29" t="n"/>
      <c r="E619" s="29" t="n"/>
      <c r="F619" s="30">
        <f>IF(AND(ISNUMBER($D619),ISNUMBER($E619),$E619&gt;0,$D619&lt;=$E619),$D619/$E619,"")</f>
        <v/>
      </c>
      <c r="P619" s="26" t="n"/>
      <c r="Q619" s="26" t="n"/>
      <c r="R619" s="26" t="n"/>
      <c r="S619" s="26" t="n"/>
      <c r="T619" s="26" t="n"/>
      <c r="V619" s="27">
        <f>IF(ISNUMBER($C619),COUNTIFS($A$14:$A$1213,$A619,$C$14:$C$1213,"&gt;"&amp;$C619)+(COUNTIFS($A$14:$A$1213,$A619,$C$14:$C$1213,"="&amp;$C619)+1)/2,"")</f>
        <v/>
      </c>
      <c r="W619" s="27">
        <f>IF(ISNUMBER($F619),COUNTIFS($A$14:$A$1213,$A619,$F$14:$F$1213,"&gt;"&amp;$F619)+(COUNTIFS($A$14:$A$1213,$A619,$F$14:$F$1213,"="&amp;$F619)+1)/2,"")</f>
        <v/>
      </c>
      <c r="X619" s="27">
        <f>IF(OR(NOT(ISNUMBER($V619)),$AO619=1),"",$V619-(COUNTIFS($A$14:$A$1213,$A619,$C$14:$C$1213,"&gt;=0")+1)/2)</f>
        <v/>
      </c>
      <c r="Y619" s="27">
        <f>IF(OR(NOT(ISNUMBER($W619)),$AO619=1),"",$W619-(COUNTIFS($A$14:$A$1213,$A619,$F$14:$F$1213,"&gt;=0")+1)/2)</f>
        <v/>
      </c>
      <c r="Z619" s="27">
        <f>IF(ISNUMBER($V619),$A619&amp;"|"&amp;$V619,"")</f>
        <v/>
      </c>
      <c r="AA619" s="27">
        <f>IF(ISNUMBER($W619),$A619&amp;"|"&amp;$W619,"")</f>
        <v/>
      </c>
      <c r="AB619" s="27">
        <f>IF(ISNUMBER($F619),$A619&amp;"|"&amp;$F619,"")</f>
        <v/>
      </c>
      <c r="AC619" s="27">
        <f>IF(ISNUMBER($P619),COUNTIFS($A$14:$A$1213,$A619,$P$14:$P$1213,"&gt;"&amp;$P619)+(COUNTIFS($A$14:$A$1213,$A619,$P$14:$P$1213,"="&amp;$P619)+1)/2,"")</f>
        <v/>
      </c>
      <c r="AD619" s="27">
        <f>IF(ISNUMBER($Q619),COUNTIFS($A$14:$A$1213,$A619,$Q$14:$Q$1213,"&gt;"&amp;$Q619)+(COUNTIFS($A$14:$A$1213,$A619,$Q$14:$Q$1213,"="&amp;$Q619)+1)/2,"")</f>
        <v/>
      </c>
      <c r="AE619" s="27">
        <f>IF(ISNUMBER($R619),COUNTIFS($A$14:$A$1213,$A619,$R$14:$R$1213,"&gt;"&amp;$R619)+(COUNTIFS($A$14:$A$1213,$A619,$R$14:$R$1213,"="&amp;$R619)+1)/2,"")</f>
        <v/>
      </c>
      <c r="AF619" s="27">
        <f>IF(ISNUMBER($S619),COUNTIFS($A$14:$A$1213,$A619,$S$14:$S$1213,"&gt;"&amp;$S619)+(COUNTIFS($A$14:$A$1213,$A619,$S$14:$S$1213,"="&amp;$S619)+1)/2,"")</f>
        <v/>
      </c>
      <c r="AG619" s="27">
        <f>IF(ISNUMBER($T619),COUNTIFS($A$14:$A$1213,$A619,$T$14:$T$1213,"&gt;"&amp;$T619)+(COUNTIFS($A$14:$A$1213,$A619,$T$14:$T$1213,"="&amp;$T619)+1)/2,"")</f>
        <v/>
      </c>
      <c r="AH619" s="27">
        <f>IF(COUNT($AC619:$AG619)&lt;2,"",IF(MAX($AC619:$AG619)=MIN($AC619:$AG619),0,1))</f>
        <v/>
      </c>
      <c r="AI619" s="27">
        <f>IF($A619="","",IF(COUNTIF($A$14:$A619,$A619)=1,COUNTIF($AI$13:AI618,"&gt;0")+1,""))</f>
        <v/>
      </c>
      <c r="AO619" s="27">
        <f>IF($A619="","",IF(AND(COUNTIFS($A$14:$A$1213,$A619,$F$14:$F$1213,"&gt;=0")=2,IFERROR(INDEX($M$14:$M$313,MATCH($A619,$H$14:$H$313,0)),"Yes")&lt;&gt;"Yes"),1,0))</f>
        <v/>
      </c>
    </row>
    <row r="620">
      <c r="A620" s="19">
        <f>IF('Enter messages'!A620="","",'Enter messages'!A620)</f>
        <v/>
      </c>
      <c r="B620" s="20">
        <f>IF('Enter messages'!B620="","",'Enter messages'!B620)</f>
        <v/>
      </c>
      <c r="C620" s="21">
        <f>IFERROR(AVERAGE(P620:T620),"")</f>
        <v/>
      </c>
      <c r="D620" s="29" t="n"/>
      <c r="E620" s="29" t="n"/>
      <c r="F620" s="30">
        <f>IF(AND(ISNUMBER($D620),ISNUMBER($E620),$E620&gt;0,$D620&lt;=$E620),$D620/$E620,"")</f>
        <v/>
      </c>
      <c r="P620" s="26" t="n"/>
      <c r="Q620" s="26" t="n"/>
      <c r="R620" s="26" t="n"/>
      <c r="S620" s="26" t="n"/>
      <c r="T620" s="26" t="n"/>
      <c r="V620" s="27">
        <f>IF(ISNUMBER($C620),COUNTIFS($A$14:$A$1213,$A620,$C$14:$C$1213,"&gt;"&amp;$C620)+(COUNTIFS($A$14:$A$1213,$A620,$C$14:$C$1213,"="&amp;$C620)+1)/2,"")</f>
        <v/>
      </c>
      <c r="W620" s="27">
        <f>IF(ISNUMBER($F620),COUNTIFS($A$14:$A$1213,$A620,$F$14:$F$1213,"&gt;"&amp;$F620)+(COUNTIFS($A$14:$A$1213,$A620,$F$14:$F$1213,"="&amp;$F620)+1)/2,"")</f>
        <v/>
      </c>
      <c r="X620" s="27">
        <f>IF(OR(NOT(ISNUMBER($V620)),$AO620=1),"",$V620-(COUNTIFS($A$14:$A$1213,$A620,$C$14:$C$1213,"&gt;=0")+1)/2)</f>
        <v/>
      </c>
      <c r="Y620" s="27">
        <f>IF(OR(NOT(ISNUMBER($W620)),$AO620=1),"",$W620-(COUNTIFS($A$14:$A$1213,$A620,$F$14:$F$1213,"&gt;=0")+1)/2)</f>
        <v/>
      </c>
      <c r="Z620" s="27">
        <f>IF(ISNUMBER($V620),$A620&amp;"|"&amp;$V620,"")</f>
        <v/>
      </c>
      <c r="AA620" s="27">
        <f>IF(ISNUMBER($W620),$A620&amp;"|"&amp;$W620,"")</f>
        <v/>
      </c>
      <c r="AB620" s="27">
        <f>IF(ISNUMBER($F620),$A620&amp;"|"&amp;$F620,"")</f>
        <v/>
      </c>
      <c r="AC620" s="27">
        <f>IF(ISNUMBER($P620),COUNTIFS($A$14:$A$1213,$A620,$P$14:$P$1213,"&gt;"&amp;$P620)+(COUNTIFS($A$14:$A$1213,$A620,$P$14:$P$1213,"="&amp;$P620)+1)/2,"")</f>
        <v/>
      </c>
      <c r="AD620" s="27">
        <f>IF(ISNUMBER($Q620),COUNTIFS($A$14:$A$1213,$A620,$Q$14:$Q$1213,"&gt;"&amp;$Q620)+(COUNTIFS($A$14:$A$1213,$A620,$Q$14:$Q$1213,"="&amp;$Q620)+1)/2,"")</f>
        <v/>
      </c>
      <c r="AE620" s="27">
        <f>IF(ISNUMBER($R620),COUNTIFS($A$14:$A$1213,$A620,$R$14:$R$1213,"&gt;"&amp;$R620)+(COUNTIFS($A$14:$A$1213,$A620,$R$14:$R$1213,"="&amp;$R620)+1)/2,"")</f>
        <v/>
      </c>
      <c r="AF620" s="27">
        <f>IF(ISNUMBER($S620),COUNTIFS($A$14:$A$1213,$A620,$S$14:$S$1213,"&gt;"&amp;$S620)+(COUNTIFS($A$14:$A$1213,$A620,$S$14:$S$1213,"="&amp;$S620)+1)/2,"")</f>
        <v/>
      </c>
      <c r="AG620" s="27">
        <f>IF(ISNUMBER($T620),COUNTIFS($A$14:$A$1213,$A620,$T$14:$T$1213,"&gt;"&amp;$T620)+(COUNTIFS($A$14:$A$1213,$A620,$T$14:$T$1213,"="&amp;$T620)+1)/2,"")</f>
        <v/>
      </c>
      <c r="AH620" s="27">
        <f>IF(COUNT($AC620:$AG620)&lt;2,"",IF(MAX($AC620:$AG620)=MIN($AC620:$AG620),0,1))</f>
        <v/>
      </c>
      <c r="AI620" s="27">
        <f>IF($A620="","",IF(COUNTIF($A$14:$A620,$A620)=1,COUNTIF($AI$13:AI619,"&gt;0")+1,""))</f>
        <v/>
      </c>
      <c r="AO620" s="27">
        <f>IF($A620="","",IF(AND(COUNTIFS($A$14:$A$1213,$A620,$F$14:$F$1213,"&gt;=0")=2,IFERROR(INDEX($M$14:$M$313,MATCH($A620,$H$14:$H$313,0)),"Yes")&lt;&gt;"Yes"),1,0))</f>
        <v/>
      </c>
    </row>
    <row r="621">
      <c r="A621" s="19">
        <f>IF('Enter messages'!A621="","",'Enter messages'!A621)</f>
        <v/>
      </c>
      <c r="B621" s="20">
        <f>IF('Enter messages'!B621="","",'Enter messages'!B621)</f>
        <v/>
      </c>
      <c r="C621" s="21">
        <f>IFERROR(AVERAGE(P621:T621),"")</f>
        <v/>
      </c>
      <c r="D621" s="29" t="n"/>
      <c r="E621" s="29" t="n"/>
      <c r="F621" s="30">
        <f>IF(AND(ISNUMBER($D621),ISNUMBER($E621),$E621&gt;0,$D621&lt;=$E621),$D621/$E621,"")</f>
        <v/>
      </c>
      <c r="P621" s="26" t="n"/>
      <c r="Q621" s="26" t="n"/>
      <c r="R621" s="26" t="n"/>
      <c r="S621" s="26" t="n"/>
      <c r="T621" s="26" t="n"/>
      <c r="V621" s="27">
        <f>IF(ISNUMBER($C621),COUNTIFS($A$14:$A$1213,$A621,$C$14:$C$1213,"&gt;"&amp;$C621)+(COUNTIFS($A$14:$A$1213,$A621,$C$14:$C$1213,"="&amp;$C621)+1)/2,"")</f>
        <v/>
      </c>
      <c r="W621" s="27">
        <f>IF(ISNUMBER($F621),COUNTIFS($A$14:$A$1213,$A621,$F$14:$F$1213,"&gt;"&amp;$F621)+(COUNTIFS($A$14:$A$1213,$A621,$F$14:$F$1213,"="&amp;$F621)+1)/2,"")</f>
        <v/>
      </c>
      <c r="X621" s="27">
        <f>IF(OR(NOT(ISNUMBER($V621)),$AO621=1),"",$V621-(COUNTIFS($A$14:$A$1213,$A621,$C$14:$C$1213,"&gt;=0")+1)/2)</f>
        <v/>
      </c>
      <c r="Y621" s="27">
        <f>IF(OR(NOT(ISNUMBER($W621)),$AO621=1),"",$W621-(COUNTIFS($A$14:$A$1213,$A621,$F$14:$F$1213,"&gt;=0")+1)/2)</f>
        <v/>
      </c>
      <c r="Z621" s="27">
        <f>IF(ISNUMBER($V621),$A621&amp;"|"&amp;$V621,"")</f>
        <v/>
      </c>
      <c r="AA621" s="27">
        <f>IF(ISNUMBER($W621),$A621&amp;"|"&amp;$W621,"")</f>
        <v/>
      </c>
      <c r="AB621" s="27">
        <f>IF(ISNUMBER($F621),$A621&amp;"|"&amp;$F621,"")</f>
        <v/>
      </c>
      <c r="AC621" s="27">
        <f>IF(ISNUMBER($P621),COUNTIFS($A$14:$A$1213,$A621,$P$14:$P$1213,"&gt;"&amp;$P621)+(COUNTIFS($A$14:$A$1213,$A621,$P$14:$P$1213,"="&amp;$P621)+1)/2,"")</f>
        <v/>
      </c>
      <c r="AD621" s="27">
        <f>IF(ISNUMBER($Q621),COUNTIFS($A$14:$A$1213,$A621,$Q$14:$Q$1213,"&gt;"&amp;$Q621)+(COUNTIFS($A$14:$A$1213,$A621,$Q$14:$Q$1213,"="&amp;$Q621)+1)/2,"")</f>
        <v/>
      </c>
      <c r="AE621" s="27">
        <f>IF(ISNUMBER($R621),COUNTIFS($A$14:$A$1213,$A621,$R$14:$R$1213,"&gt;"&amp;$R621)+(COUNTIFS($A$14:$A$1213,$A621,$R$14:$R$1213,"="&amp;$R621)+1)/2,"")</f>
        <v/>
      </c>
      <c r="AF621" s="27">
        <f>IF(ISNUMBER($S621),COUNTIFS($A$14:$A$1213,$A621,$S$14:$S$1213,"&gt;"&amp;$S621)+(COUNTIFS($A$14:$A$1213,$A621,$S$14:$S$1213,"="&amp;$S621)+1)/2,"")</f>
        <v/>
      </c>
      <c r="AG621" s="27">
        <f>IF(ISNUMBER($T621),COUNTIFS($A$14:$A$1213,$A621,$T$14:$T$1213,"&gt;"&amp;$T621)+(COUNTIFS($A$14:$A$1213,$A621,$T$14:$T$1213,"="&amp;$T621)+1)/2,"")</f>
        <v/>
      </c>
      <c r="AH621" s="27">
        <f>IF(COUNT($AC621:$AG621)&lt;2,"",IF(MAX($AC621:$AG621)=MIN($AC621:$AG621),0,1))</f>
        <v/>
      </c>
      <c r="AI621" s="27">
        <f>IF($A621="","",IF(COUNTIF($A$14:$A621,$A621)=1,COUNTIF($AI$13:AI620,"&gt;0")+1,""))</f>
        <v/>
      </c>
      <c r="AO621" s="27">
        <f>IF($A621="","",IF(AND(COUNTIFS($A$14:$A$1213,$A621,$F$14:$F$1213,"&gt;=0")=2,IFERROR(INDEX($M$14:$M$313,MATCH($A621,$H$14:$H$313,0)),"Yes")&lt;&gt;"Yes"),1,0))</f>
        <v/>
      </c>
    </row>
    <row r="622">
      <c r="A622" s="19">
        <f>IF('Enter messages'!A622="","",'Enter messages'!A622)</f>
        <v/>
      </c>
      <c r="B622" s="20">
        <f>IF('Enter messages'!B622="","",'Enter messages'!B622)</f>
        <v/>
      </c>
      <c r="C622" s="21">
        <f>IFERROR(AVERAGE(P622:T622),"")</f>
        <v/>
      </c>
      <c r="D622" s="29" t="n"/>
      <c r="E622" s="29" t="n"/>
      <c r="F622" s="30">
        <f>IF(AND(ISNUMBER($D622),ISNUMBER($E622),$E622&gt;0,$D622&lt;=$E622),$D622/$E622,"")</f>
        <v/>
      </c>
      <c r="P622" s="26" t="n"/>
      <c r="Q622" s="26" t="n"/>
      <c r="R622" s="26" t="n"/>
      <c r="S622" s="26" t="n"/>
      <c r="T622" s="26" t="n"/>
      <c r="V622" s="27">
        <f>IF(ISNUMBER($C622),COUNTIFS($A$14:$A$1213,$A622,$C$14:$C$1213,"&gt;"&amp;$C622)+(COUNTIFS($A$14:$A$1213,$A622,$C$14:$C$1213,"="&amp;$C622)+1)/2,"")</f>
        <v/>
      </c>
      <c r="W622" s="27">
        <f>IF(ISNUMBER($F622),COUNTIFS($A$14:$A$1213,$A622,$F$14:$F$1213,"&gt;"&amp;$F622)+(COUNTIFS($A$14:$A$1213,$A622,$F$14:$F$1213,"="&amp;$F622)+1)/2,"")</f>
        <v/>
      </c>
      <c r="X622" s="27">
        <f>IF(OR(NOT(ISNUMBER($V622)),$AO622=1),"",$V622-(COUNTIFS($A$14:$A$1213,$A622,$C$14:$C$1213,"&gt;=0")+1)/2)</f>
        <v/>
      </c>
      <c r="Y622" s="27">
        <f>IF(OR(NOT(ISNUMBER($W622)),$AO622=1),"",$W622-(COUNTIFS($A$14:$A$1213,$A622,$F$14:$F$1213,"&gt;=0")+1)/2)</f>
        <v/>
      </c>
      <c r="Z622" s="27">
        <f>IF(ISNUMBER($V622),$A622&amp;"|"&amp;$V622,"")</f>
        <v/>
      </c>
      <c r="AA622" s="27">
        <f>IF(ISNUMBER($W622),$A622&amp;"|"&amp;$W622,"")</f>
        <v/>
      </c>
      <c r="AB622" s="27">
        <f>IF(ISNUMBER($F622),$A622&amp;"|"&amp;$F622,"")</f>
        <v/>
      </c>
      <c r="AC622" s="27">
        <f>IF(ISNUMBER($P622),COUNTIFS($A$14:$A$1213,$A622,$P$14:$P$1213,"&gt;"&amp;$P622)+(COUNTIFS($A$14:$A$1213,$A622,$P$14:$P$1213,"="&amp;$P622)+1)/2,"")</f>
        <v/>
      </c>
      <c r="AD622" s="27">
        <f>IF(ISNUMBER($Q622),COUNTIFS($A$14:$A$1213,$A622,$Q$14:$Q$1213,"&gt;"&amp;$Q622)+(COUNTIFS($A$14:$A$1213,$A622,$Q$14:$Q$1213,"="&amp;$Q622)+1)/2,"")</f>
        <v/>
      </c>
      <c r="AE622" s="27">
        <f>IF(ISNUMBER($R622),COUNTIFS($A$14:$A$1213,$A622,$R$14:$R$1213,"&gt;"&amp;$R622)+(COUNTIFS($A$14:$A$1213,$A622,$R$14:$R$1213,"="&amp;$R622)+1)/2,"")</f>
        <v/>
      </c>
      <c r="AF622" s="27">
        <f>IF(ISNUMBER($S622),COUNTIFS($A$14:$A$1213,$A622,$S$14:$S$1213,"&gt;"&amp;$S622)+(COUNTIFS($A$14:$A$1213,$A622,$S$14:$S$1213,"="&amp;$S622)+1)/2,"")</f>
        <v/>
      </c>
      <c r="AG622" s="27">
        <f>IF(ISNUMBER($T622),COUNTIFS($A$14:$A$1213,$A622,$T$14:$T$1213,"&gt;"&amp;$T622)+(COUNTIFS($A$14:$A$1213,$A622,$T$14:$T$1213,"="&amp;$T622)+1)/2,"")</f>
        <v/>
      </c>
      <c r="AH622" s="27">
        <f>IF(COUNT($AC622:$AG622)&lt;2,"",IF(MAX($AC622:$AG622)=MIN($AC622:$AG622),0,1))</f>
        <v/>
      </c>
      <c r="AI622" s="27">
        <f>IF($A622="","",IF(COUNTIF($A$14:$A622,$A622)=1,COUNTIF($AI$13:AI621,"&gt;0")+1,""))</f>
        <v/>
      </c>
      <c r="AO622" s="27">
        <f>IF($A622="","",IF(AND(COUNTIFS($A$14:$A$1213,$A622,$F$14:$F$1213,"&gt;=0")=2,IFERROR(INDEX($M$14:$M$313,MATCH($A622,$H$14:$H$313,0)),"Yes")&lt;&gt;"Yes"),1,0))</f>
        <v/>
      </c>
    </row>
    <row r="623">
      <c r="A623" s="19">
        <f>IF('Enter messages'!A623="","",'Enter messages'!A623)</f>
        <v/>
      </c>
      <c r="B623" s="20">
        <f>IF('Enter messages'!B623="","",'Enter messages'!B623)</f>
        <v/>
      </c>
      <c r="C623" s="21">
        <f>IFERROR(AVERAGE(P623:T623),"")</f>
        <v/>
      </c>
      <c r="D623" s="29" t="n"/>
      <c r="E623" s="29" t="n"/>
      <c r="F623" s="30">
        <f>IF(AND(ISNUMBER($D623),ISNUMBER($E623),$E623&gt;0,$D623&lt;=$E623),$D623/$E623,"")</f>
        <v/>
      </c>
      <c r="P623" s="26" t="n"/>
      <c r="Q623" s="26" t="n"/>
      <c r="R623" s="26" t="n"/>
      <c r="S623" s="26" t="n"/>
      <c r="T623" s="26" t="n"/>
      <c r="V623" s="27">
        <f>IF(ISNUMBER($C623),COUNTIFS($A$14:$A$1213,$A623,$C$14:$C$1213,"&gt;"&amp;$C623)+(COUNTIFS($A$14:$A$1213,$A623,$C$14:$C$1213,"="&amp;$C623)+1)/2,"")</f>
        <v/>
      </c>
      <c r="W623" s="27">
        <f>IF(ISNUMBER($F623),COUNTIFS($A$14:$A$1213,$A623,$F$14:$F$1213,"&gt;"&amp;$F623)+(COUNTIFS($A$14:$A$1213,$A623,$F$14:$F$1213,"="&amp;$F623)+1)/2,"")</f>
        <v/>
      </c>
      <c r="X623" s="27">
        <f>IF(OR(NOT(ISNUMBER($V623)),$AO623=1),"",$V623-(COUNTIFS($A$14:$A$1213,$A623,$C$14:$C$1213,"&gt;=0")+1)/2)</f>
        <v/>
      </c>
      <c r="Y623" s="27">
        <f>IF(OR(NOT(ISNUMBER($W623)),$AO623=1),"",$W623-(COUNTIFS($A$14:$A$1213,$A623,$F$14:$F$1213,"&gt;=0")+1)/2)</f>
        <v/>
      </c>
      <c r="Z623" s="27">
        <f>IF(ISNUMBER($V623),$A623&amp;"|"&amp;$V623,"")</f>
        <v/>
      </c>
      <c r="AA623" s="27">
        <f>IF(ISNUMBER($W623),$A623&amp;"|"&amp;$W623,"")</f>
        <v/>
      </c>
      <c r="AB623" s="27">
        <f>IF(ISNUMBER($F623),$A623&amp;"|"&amp;$F623,"")</f>
        <v/>
      </c>
      <c r="AC623" s="27">
        <f>IF(ISNUMBER($P623),COUNTIFS($A$14:$A$1213,$A623,$P$14:$P$1213,"&gt;"&amp;$P623)+(COUNTIFS($A$14:$A$1213,$A623,$P$14:$P$1213,"="&amp;$P623)+1)/2,"")</f>
        <v/>
      </c>
      <c r="AD623" s="27">
        <f>IF(ISNUMBER($Q623),COUNTIFS($A$14:$A$1213,$A623,$Q$14:$Q$1213,"&gt;"&amp;$Q623)+(COUNTIFS($A$14:$A$1213,$A623,$Q$14:$Q$1213,"="&amp;$Q623)+1)/2,"")</f>
        <v/>
      </c>
      <c r="AE623" s="27">
        <f>IF(ISNUMBER($R623),COUNTIFS($A$14:$A$1213,$A623,$R$14:$R$1213,"&gt;"&amp;$R623)+(COUNTIFS($A$14:$A$1213,$A623,$R$14:$R$1213,"="&amp;$R623)+1)/2,"")</f>
        <v/>
      </c>
      <c r="AF623" s="27">
        <f>IF(ISNUMBER($S623),COUNTIFS($A$14:$A$1213,$A623,$S$14:$S$1213,"&gt;"&amp;$S623)+(COUNTIFS($A$14:$A$1213,$A623,$S$14:$S$1213,"="&amp;$S623)+1)/2,"")</f>
        <v/>
      </c>
      <c r="AG623" s="27">
        <f>IF(ISNUMBER($T623),COUNTIFS($A$14:$A$1213,$A623,$T$14:$T$1213,"&gt;"&amp;$T623)+(COUNTIFS($A$14:$A$1213,$A623,$T$14:$T$1213,"="&amp;$T623)+1)/2,"")</f>
        <v/>
      </c>
      <c r="AH623" s="27">
        <f>IF(COUNT($AC623:$AG623)&lt;2,"",IF(MAX($AC623:$AG623)=MIN($AC623:$AG623),0,1))</f>
        <v/>
      </c>
      <c r="AI623" s="27">
        <f>IF($A623="","",IF(COUNTIF($A$14:$A623,$A623)=1,COUNTIF($AI$13:AI622,"&gt;0")+1,""))</f>
        <v/>
      </c>
      <c r="AO623" s="27">
        <f>IF($A623="","",IF(AND(COUNTIFS($A$14:$A$1213,$A623,$F$14:$F$1213,"&gt;=0")=2,IFERROR(INDEX($M$14:$M$313,MATCH($A623,$H$14:$H$313,0)),"Yes")&lt;&gt;"Yes"),1,0))</f>
        <v/>
      </c>
    </row>
    <row r="624">
      <c r="A624" s="19">
        <f>IF('Enter messages'!A624="","",'Enter messages'!A624)</f>
        <v/>
      </c>
      <c r="B624" s="20">
        <f>IF('Enter messages'!B624="","",'Enter messages'!B624)</f>
        <v/>
      </c>
      <c r="C624" s="21">
        <f>IFERROR(AVERAGE(P624:T624),"")</f>
        <v/>
      </c>
      <c r="D624" s="29" t="n"/>
      <c r="E624" s="29" t="n"/>
      <c r="F624" s="30">
        <f>IF(AND(ISNUMBER($D624),ISNUMBER($E624),$E624&gt;0,$D624&lt;=$E624),$D624/$E624,"")</f>
        <v/>
      </c>
      <c r="P624" s="26" t="n"/>
      <c r="Q624" s="26" t="n"/>
      <c r="R624" s="26" t="n"/>
      <c r="S624" s="26" t="n"/>
      <c r="T624" s="26" t="n"/>
      <c r="V624" s="27">
        <f>IF(ISNUMBER($C624),COUNTIFS($A$14:$A$1213,$A624,$C$14:$C$1213,"&gt;"&amp;$C624)+(COUNTIFS($A$14:$A$1213,$A624,$C$14:$C$1213,"="&amp;$C624)+1)/2,"")</f>
        <v/>
      </c>
      <c r="W624" s="27">
        <f>IF(ISNUMBER($F624),COUNTIFS($A$14:$A$1213,$A624,$F$14:$F$1213,"&gt;"&amp;$F624)+(COUNTIFS($A$14:$A$1213,$A624,$F$14:$F$1213,"="&amp;$F624)+1)/2,"")</f>
        <v/>
      </c>
      <c r="X624" s="27">
        <f>IF(OR(NOT(ISNUMBER($V624)),$AO624=1),"",$V624-(COUNTIFS($A$14:$A$1213,$A624,$C$14:$C$1213,"&gt;=0")+1)/2)</f>
        <v/>
      </c>
      <c r="Y624" s="27">
        <f>IF(OR(NOT(ISNUMBER($W624)),$AO624=1),"",$W624-(COUNTIFS($A$14:$A$1213,$A624,$F$14:$F$1213,"&gt;=0")+1)/2)</f>
        <v/>
      </c>
      <c r="Z624" s="27">
        <f>IF(ISNUMBER($V624),$A624&amp;"|"&amp;$V624,"")</f>
        <v/>
      </c>
      <c r="AA624" s="27">
        <f>IF(ISNUMBER($W624),$A624&amp;"|"&amp;$W624,"")</f>
        <v/>
      </c>
      <c r="AB624" s="27">
        <f>IF(ISNUMBER($F624),$A624&amp;"|"&amp;$F624,"")</f>
        <v/>
      </c>
      <c r="AC624" s="27">
        <f>IF(ISNUMBER($P624),COUNTIFS($A$14:$A$1213,$A624,$P$14:$P$1213,"&gt;"&amp;$P624)+(COUNTIFS($A$14:$A$1213,$A624,$P$14:$P$1213,"="&amp;$P624)+1)/2,"")</f>
        <v/>
      </c>
      <c r="AD624" s="27">
        <f>IF(ISNUMBER($Q624),COUNTIFS($A$14:$A$1213,$A624,$Q$14:$Q$1213,"&gt;"&amp;$Q624)+(COUNTIFS($A$14:$A$1213,$A624,$Q$14:$Q$1213,"="&amp;$Q624)+1)/2,"")</f>
        <v/>
      </c>
      <c r="AE624" s="27">
        <f>IF(ISNUMBER($R624),COUNTIFS($A$14:$A$1213,$A624,$R$14:$R$1213,"&gt;"&amp;$R624)+(COUNTIFS($A$14:$A$1213,$A624,$R$14:$R$1213,"="&amp;$R624)+1)/2,"")</f>
        <v/>
      </c>
      <c r="AF624" s="27">
        <f>IF(ISNUMBER($S624),COUNTIFS($A$14:$A$1213,$A624,$S$14:$S$1213,"&gt;"&amp;$S624)+(COUNTIFS($A$14:$A$1213,$A624,$S$14:$S$1213,"="&amp;$S624)+1)/2,"")</f>
        <v/>
      </c>
      <c r="AG624" s="27">
        <f>IF(ISNUMBER($T624),COUNTIFS($A$14:$A$1213,$A624,$T$14:$T$1213,"&gt;"&amp;$T624)+(COUNTIFS($A$14:$A$1213,$A624,$T$14:$T$1213,"="&amp;$T624)+1)/2,"")</f>
        <v/>
      </c>
      <c r="AH624" s="27">
        <f>IF(COUNT($AC624:$AG624)&lt;2,"",IF(MAX($AC624:$AG624)=MIN($AC624:$AG624),0,1))</f>
        <v/>
      </c>
      <c r="AI624" s="27">
        <f>IF($A624="","",IF(COUNTIF($A$14:$A624,$A624)=1,COUNTIF($AI$13:AI623,"&gt;0")+1,""))</f>
        <v/>
      </c>
      <c r="AO624" s="27">
        <f>IF($A624="","",IF(AND(COUNTIFS($A$14:$A$1213,$A624,$F$14:$F$1213,"&gt;=0")=2,IFERROR(INDEX($M$14:$M$313,MATCH($A624,$H$14:$H$313,0)),"Yes")&lt;&gt;"Yes"),1,0))</f>
        <v/>
      </c>
    </row>
    <row r="625">
      <c r="A625" s="19">
        <f>IF('Enter messages'!A625="","",'Enter messages'!A625)</f>
        <v/>
      </c>
      <c r="B625" s="20">
        <f>IF('Enter messages'!B625="","",'Enter messages'!B625)</f>
        <v/>
      </c>
      <c r="C625" s="21">
        <f>IFERROR(AVERAGE(P625:T625),"")</f>
        <v/>
      </c>
      <c r="D625" s="29" t="n"/>
      <c r="E625" s="29" t="n"/>
      <c r="F625" s="30">
        <f>IF(AND(ISNUMBER($D625),ISNUMBER($E625),$E625&gt;0,$D625&lt;=$E625),$D625/$E625,"")</f>
        <v/>
      </c>
      <c r="P625" s="26" t="n"/>
      <c r="Q625" s="26" t="n"/>
      <c r="R625" s="26" t="n"/>
      <c r="S625" s="26" t="n"/>
      <c r="T625" s="26" t="n"/>
      <c r="V625" s="27">
        <f>IF(ISNUMBER($C625),COUNTIFS($A$14:$A$1213,$A625,$C$14:$C$1213,"&gt;"&amp;$C625)+(COUNTIFS($A$14:$A$1213,$A625,$C$14:$C$1213,"="&amp;$C625)+1)/2,"")</f>
        <v/>
      </c>
      <c r="W625" s="27">
        <f>IF(ISNUMBER($F625),COUNTIFS($A$14:$A$1213,$A625,$F$14:$F$1213,"&gt;"&amp;$F625)+(COUNTIFS($A$14:$A$1213,$A625,$F$14:$F$1213,"="&amp;$F625)+1)/2,"")</f>
        <v/>
      </c>
      <c r="X625" s="27">
        <f>IF(OR(NOT(ISNUMBER($V625)),$AO625=1),"",$V625-(COUNTIFS($A$14:$A$1213,$A625,$C$14:$C$1213,"&gt;=0")+1)/2)</f>
        <v/>
      </c>
      <c r="Y625" s="27">
        <f>IF(OR(NOT(ISNUMBER($W625)),$AO625=1),"",$W625-(COUNTIFS($A$14:$A$1213,$A625,$F$14:$F$1213,"&gt;=0")+1)/2)</f>
        <v/>
      </c>
      <c r="Z625" s="27">
        <f>IF(ISNUMBER($V625),$A625&amp;"|"&amp;$V625,"")</f>
        <v/>
      </c>
      <c r="AA625" s="27">
        <f>IF(ISNUMBER($W625),$A625&amp;"|"&amp;$W625,"")</f>
        <v/>
      </c>
      <c r="AB625" s="27">
        <f>IF(ISNUMBER($F625),$A625&amp;"|"&amp;$F625,"")</f>
        <v/>
      </c>
      <c r="AC625" s="27">
        <f>IF(ISNUMBER($P625),COUNTIFS($A$14:$A$1213,$A625,$P$14:$P$1213,"&gt;"&amp;$P625)+(COUNTIFS($A$14:$A$1213,$A625,$P$14:$P$1213,"="&amp;$P625)+1)/2,"")</f>
        <v/>
      </c>
      <c r="AD625" s="27">
        <f>IF(ISNUMBER($Q625),COUNTIFS($A$14:$A$1213,$A625,$Q$14:$Q$1213,"&gt;"&amp;$Q625)+(COUNTIFS($A$14:$A$1213,$A625,$Q$14:$Q$1213,"="&amp;$Q625)+1)/2,"")</f>
        <v/>
      </c>
      <c r="AE625" s="27">
        <f>IF(ISNUMBER($R625),COUNTIFS($A$14:$A$1213,$A625,$R$14:$R$1213,"&gt;"&amp;$R625)+(COUNTIFS($A$14:$A$1213,$A625,$R$14:$R$1213,"="&amp;$R625)+1)/2,"")</f>
        <v/>
      </c>
      <c r="AF625" s="27">
        <f>IF(ISNUMBER($S625),COUNTIFS($A$14:$A$1213,$A625,$S$14:$S$1213,"&gt;"&amp;$S625)+(COUNTIFS($A$14:$A$1213,$A625,$S$14:$S$1213,"="&amp;$S625)+1)/2,"")</f>
        <v/>
      </c>
      <c r="AG625" s="27">
        <f>IF(ISNUMBER($T625),COUNTIFS($A$14:$A$1213,$A625,$T$14:$T$1213,"&gt;"&amp;$T625)+(COUNTIFS($A$14:$A$1213,$A625,$T$14:$T$1213,"="&amp;$T625)+1)/2,"")</f>
        <v/>
      </c>
      <c r="AH625" s="27">
        <f>IF(COUNT($AC625:$AG625)&lt;2,"",IF(MAX($AC625:$AG625)=MIN($AC625:$AG625),0,1))</f>
        <v/>
      </c>
      <c r="AI625" s="27">
        <f>IF($A625="","",IF(COUNTIF($A$14:$A625,$A625)=1,COUNTIF($AI$13:AI624,"&gt;0")+1,""))</f>
        <v/>
      </c>
      <c r="AO625" s="27">
        <f>IF($A625="","",IF(AND(COUNTIFS($A$14:$A$1213,$A625,$F$14:$F$1213,"&gt;=0")=2,IFERROR(INDEX($M$14:$M$313,MATCH($A625,$H$14:$H$313,0)),"Yes")&lt;&gt;"Yes"),1,0))</f>
        <v/>
      </c>
    </row>
    <row r="626">
      <c r="A626" s="19">
        <f>IF('Enter messages'!A626="","",'Enter messages'!A626)</f>
        <v/>
      </c>
      <c r="B626" s="20">
        <f>IF('Enter messages'!B626="","",'Enter messages'!B626)</f>
        <v/>
      </c>
      <c r="C626" s="21">
        <f>IFERROR(AVERAGE(P626:T626),"")</f>
        <v/>
      </c>
      <c r="D626" s="29" t="n"/>
      <c r="E626" s="29" t="n"/>
      <c r="F626" s="30">
        <f>IF(AND(ISNUMBER($D626),ISNUMBER($E626),$E626&gt;0,$D626&lt;=$E626),$D626/$E626,"")</f>
        <v/>
      </c>
      <c r="P626" s="26" t="n"/>
      <c r="Q626" s="26" t="n"/>
      <c r="R626" s="26" t="n"/>
      <c r="S626" s="26" t="n"/>
      <c r="T626" s="26" t="n"/>
      <c r="V626" s="27">
        <f>IF(ISNUMBER($C626),COUNTIFS($A$14:$A$1213,$A626,$C$14:$C$1213,"&gt;"&amp;$C626)+(COUNTIFS($A$14:$A$1213,$A626,$C$14:$C$1213,"="&amp;$C626)+1)/2,"")</f>
        <v/>
      </c>
      <c r="W626" s="27">
        <f>IF(ISNUMBER($F626),COUNTIFS($A$14:$A$1213,$A626,$F$14:$F$1213,"&gt;"&amp;$F626)+(COUNTIFS($A$14:$A$1213,$A626,$F$14:$F$1213,"="&amp;$F626)+1)/2,"")</f>
        <v/>
      </c>
      <c r="X626" s="27">
        <f>IF(OR(NOT(ISNUMBER($V626)),$AO626=1),"",$V626-(COUNTIFS($A$14:$A$1213,$A626,$C$14:$C$1213,"&gt;=0")+1)/2)</f>
        <v/>
      </c>
      <c r="Y626" s="27">
        <f>IF(OR(NOT(ISNUMBER($W626)),$AO626=1),"",$W626-(COUNTIFS($A$14:$A$1213,$A626,$F$14:$F$1213,"&gt;=0")+1)/2)</f>
        <v/>
      </c>
      <c r="Z626" s="27">
        <f>IF(ISNUMBER($V626),$A626&amp;"|"&amp;$V626,"")</f>
        <v/>
      </c>
      <c r="AA626" s="27">
        <f>IF(ISNUMBER($W626),$A626&amp;"|"&amp;$W626,"")</f>
        <v/>
      </c>
      <c r="AB626" s="27">
        <f>IF(ISNUMBER($F626),$A626&amp;"|"&amp;$F626,"")</f>
        <v/>
      </c>
      <c r="AC626" s="27">
        <f>IF(ISNUMBER($P626),COUNTIFS($A$14:$A$1213,$A626,$P$14:$P$1213,"&gt;"&amp;$P626)+(COUNTIFS($A$14:$A$1213,$A626,$P$14:$P$1213,"="&amp;$P626)+1)/2,"")</f>
        <v/>
      </c>
      <c r="AD626" s="27">
        <f>IF(ISNUMBER($Q626),COUNTIFS($A$14:$A$1213,$A626,$Q$14:$Q$1213,"&gt;"&amp;$Q626)+(COUNTIFS($A$14:$A$1213,$A626,$Q$14:$Q$1213,"="&amp;$Q626)+1)/2,"")</f>
        <v/>
      </c>
      <c r="AE626" s="27">
        <f>IF(ISNUMBER($R626),COUNTIFS($A$14:$A$1213,$A626,$R$14:$R$1213,"&gt;"&amp;$R626)+(COUNTIFS($A$14:$A$1213,$A626,$R$14:$R$1213,"="&amp;$R626)+1)/2,"")</f>
        <v/>
      </c>
      <c r="AF626" s="27">
        <f>IF(ISNUMBER($S626),COUNTIFS($A$14:$A$1213,$A626,$S$14:$S$1213,"&gt;"&amp;$S626)+(COUNTIFS($A$14:$A$1213,$A626,$S$14:$S$1213,"="&amp;$S626)+1)/2,"")</f>
        <v/>
      </c>
      <c r="AG626" s="27">
        <f>IF(ISNUMBER($T626),COUNTIFS($A$14:$A$1213,$A626,$T$14:$T$1213,"&gt;"&amp;$T626)+(COUNTIFS($A$14:$A$1213,$A626,$T$14:$T$1213,"="&amp;$T626)+1)/2,"")</f>
        <v/>
      </c>
      <c r="AH626" s="27">
        <f>IF(COUNT($AC626:$AG626)&lt;2,"",IF(MAX($AC626:$AG626)=MIN($AC626:$AG626),0,1))</f>
        <v/>
      </c>
      <c r="AI626" s="27">
        <f>IF($A626="","",IF(COUNTIF($A$14:$A626,$A626)=1,COUNTIF($AI$13:AI625,"&gt;0")+1,""))</f>
        <v/>
      </c>
      <c r="AO626" s="27">
        <f>IF($A626="","",IF(AND(COUNTIFS($A$14:$A$1213,$A626,$F$14:$F$1213,"&gt;=0")=2,IFERROR(INDEX($M$14:$M$313,MATCH($A626,$H$14:$H$313,0)),"Yes")&lt;&gt;"Yes"),1,0))</f>
        <v/>
      </c>
    </row>
    <row r="627">
      <c r="A627" s="19">
        <f>IF('Enter messages'!A627="","",'Enter messages'!A627)</f>
        <v/>
      </c>
      <c r="B627" s="20">
        <f>IF('Enter messages'!B627="","",'Enter messages'!B627)</f>
        <v/>
      </c>
      <c r="C627" s="21">
        <f>IFERROR(AVERAGE(P627:T627),"")</f>
        <v/>
      </c>
      <c r="D627" s="29" t="n"/>
      <c r="E627" s="29" t="n"/>
      <c r="F627" s="30">
        <f>IF(AND(ISNUMBER($D627),ISNUMBER($E627),$E627&gt;0,$D627&lt;=$E627),$D627/$E627,"")</f>
        <v/>
      </c>
      <c r="P627" s="26" t="n"/>
      <c r="Q627" s="26" t="n"/>
      <c r="R627" s="26" t="n"/>
      <c r="S627" s="26" t="n"/>
      <c r="T627" s="26" t="n"/>
      <c r="V627" s="27">
        <f>IF(ISNUMBER($C627),COUNTIFS($A$14:$A$1213,$A627,$C$14:$C$1213,"&gt;"&amp;$C627)+(COUNTIFS($A$14:$A$1213,$A627,$C$14:$C$1213,"="&amp;$C627)+1)/2,"")</f>
        <v/>
      </c>
      <c r="W627" s="27">
        <f>IF(ISNUMBER($F627),COUNTIFS($A$14:$A$1213,$A627,$F$14:$F$1213,"&gt;"&amp;$F627)+(COUNTIFS($A$14:$A$1213,$A627,$F$14:$F$1213,"="&amp;$F627)+1)/2,"")</f>
        <v/>
      </c>
      <c r="X627" s="27">
        <f>IF(OR(NOT(ISNUMBER($V627)),$AO627=1),"",$V627-(COUNTIFS($A$14:$A$1213,$A627,$C$14:$C$1213,"&gt;=0")+1)/2)</f>
        <v/>
      </c>
      <c r="Y627" s="27">
        <f>IF(OR(NOT(ISNUMBER($W627)),$AO627=1),"",$W627-(COUNTIFS($A$14:$A$1213,$A627,$F$14:$F$1213,"&gt;=0")+1)/2)</f>
        <v/>
      </c>
      <c r="Z627" s="27">
        <f>IF(ISNUMBER($V627),$A627&amp;"|"&amp;$V627,"")</f>
        <v/>
      </c>
      <c r="AA627" s="27">
        <f>IF(ISNUMBER($W627),$A627&amp;"|"&amp;$W627,"")</f>
        <v/>
      </c>
      <c r="AB627" s="27">
        <f>IF(ISNUMBER($F627),$A627&amp;"|"&amp;$F627,"")</f>
        <v/>
      </c>
      <c r="AC627" s="27">
        <f>IF(ISNUMBER($P627),COUNTIFS($A$14:$A$1213,$A627,$P$14:$P$1213,"&gt;"&amp;$P627)+(COUNTIFS($A$14:$A$1213,$A627,$P$14:$P$1213,"="&amp;$P627)+1)/2,"")</f>
        <v/>
      </c>
      <c r="AD627" s="27">
        <f>IF(ISNUMBER($Q627),COUNTIFS($A$14:$A$1213,$A627,$Q$14:$Q$1213,"&gt;"&amp;$Q627)+(COUNTIFS($A$14:$A$1213,$A627,$Q$14:$Q$1213,"="&amp;$Q627)+1)/2,"")</f>
        <v/>
      </c>
      <c r="AE627" s="27">
        <f>IF(ISNUMBER($R627),COUNTIFS($A$14:$A$1213,$A627,$R$14:$R$1213,"&gt;"&amp;$R627)+(COUNTIFS($A$14:$A$1213,$A627,$R$14:$R$1213,"="&amp;$R627)+1)/2,"")</f>
        <v/>
      </c>
      <c r="AF627" s="27">
        <f>IF(ISNUMBER($S627),COUNTIFS($A$14:$A$1213,$A627,$S$14:$S$1213,"&gt;"&amp;$S627)+(COUNTIFS($A$14:$A$1213,$A627,$S$14:$S$1213,"="&amp;$S627)+1)/2,"")</f>
        <v/>
      </c>
      <c r="AG627" s="27">
        <f>IF(ISNUMBER($T627),COUNTIFS($A$14:$A$1213,$A627,$T$14:$T$1213,"&gt;"&amp;$T627)+(COUNTIFS($A$14:$A$1213,$A627,$T$14:$T$1213,"="&amp;$T627)+1)/2,"")</f>
        <v/>
      </c>
      <c r="AH627" s="27">
        <f>IF(COUNT($AC627:$AG627)&lt;2,"",IF(MAX($AC627:$AG627)=MIN($AC627:$AG627),0,1))</f>
        <v/>
      </c>
      <c r="AI627" s="27">
        <f>IF($A627="","",IF(COUNTIF($A$14:$A627,$A627)=1,COUNTIF($AI$13:AI626,"&gt;0")+1,""))</f>
        <v/>
      </c>
      <c r="AO627" s="27">
        <f>IF($A627="","",IF(AND(COUNTIFS($A$14:$A$1213,$A627,$F$14:$F$1213,"&gt;=0")=2,IFERROR(INDEX($M$14:$M$313,MATCH($A627,$H$14:$H$313,0)),"Yes")&lt;&gt;"Yes"),1,0))</f>
        <v/>
      </c>
    </row>
    <row r="628">
      <c r="A628" s="19">
        <f>IF('Enter messages'!A628="","",'Enter messages'!A628)</f>
        <v/>
      </c>
      <c r="B628" s="20">
        <f>IF('Enter messages'!B628="","",'Enter messages'!B628)</f>
        <v/>
      </c>
      <c r="C628" s="21">
        <f>IFERROR(AVERAGE(P628:T628),"")</f>
        <v/>
      </c>
      <c r="D628" s="29" t="n"/>
      <c r="E628" s="29" t="n"/>
      <c r="F628" s="30">
        <f>IF(AND(ISNUMBER($D628),ISNUMBER($E628),$E628&gt;0,$D628&lt;=$E628),$D628/$E628,"")</f>
        <v/>
      </c>
      <c r="P628" s="26" t="n"/>
      <c r="Q628" s="26" t="n"/>
      <c r="R628" s="26" t="n"/>
      <c r="S628" s="26" t="n"/>
      <c r="T628" s="26" t="n"/>
      <c r="V628" s="27">
        <f>IF(ISNUMBER($C628),COUNTIFS($A$14:$A$1213,$A628,$C$14:$C$1213,"&gt;"&amp;$C628)+(COUNTIFS($A$14:$A$1213,$A628,$C$14:$C$1213,"="&amp;$C628)+1)/2,"")</f>
        <v/>
      </c>
      <c r="W628" s="27">
        <f>IF(ISNUMBER($F628),COUNTIFS($A$14:$A$1213,$A628,$F$14:$F$1213,"&gt;"&amp;$F628)+(COUNTIFS($A$14:$A$1213,$A628,$F$14:$F$1213,"="&amp;$F628)+1)/2,"")</f>
        <v/>
      </c>
      <c r="X628" s="27">
        <f>IF(OR(NOT(ISNUMBER($V628)),$AO628=1),"",$V628-(COUNTIFS($A$14:$A$1213,$A628,$C$14:$C$1213,"&gt;=0")+1)/2)</f>
        <v/>
      </c>
      <c r="Y628" s="27">
        <f>IF(OR(NOT(ISNUMBER($W628)),$AO628=1),"",$W628-(COUNTIFS($A$14:$A$1213,$A628,$F$14:$F$1213,"&gt;=0")+1)/2)</f>
        <v/>
      </c>
      <c r="Z628" s="27">
        <f>IF(ISNUMBER($V628),$A628&amp;"|"&amp;$V628,"")</f>
        <v/>
      </c>
      <c r="AA628" s="27">
        <f>IF(ISNUMBER($W628),$A628&amp;"|"&amp;$W628,"")</f>
        <v/>
      </c>
      <c r="AB628" s="27">
        <f>IF(ISNUMBER($F628),$A628&amp;"|"&amp;$F628,"")</f>
        <v/>
      </c>
      <c r="AC628" s="27">
        <f>IF(ISNUMBER($P628),COUNTIFS($A$14:$A$1213,$A628,$P$14:$P$1213,"&gt;"&amp;$P628)+(COUNTIFS($A$14:$A$1213,$A628,$P$14:$P$1213,"="&amp;$P628)+1)/2,"")</f>
        <v/>
      </c>
      <c r="AD628" s="27">
        <f>IF(ISNUMBER($Q628),COUNTIFS($A$14:$A$1213,$A628,$Q$14:$Q$1213,"&gt;"&amp;$Q628)+(COUNTIFS($A$14:$A$1213,$A628,$Q$14:$Q$1213,"="&amp;$Q628)+1)/2,"")</f>
        <v/>
      </c>
      <c r="AE628" s="27">
        <f>IF(ISNUMBER($R628),COUNTIFS($A$14:$A$1213,$A628,$R$14:$R$1213,"&gt;"&amp;$R628)+(COUNTIFS($A$14:$A$1213,$A628,$R$14:$R$1213,"="&amp;$R628)+1)/2,"")</f>
        <v/>
      </c>
      <c r="AF628" s="27">
        <f>IF(ISNUMBER($S628),COUNTIFS($A$14:$A$1213,$A628,$S$14:$S$1213,"&gt;"&amp;$S628)+(COUNTIFS($A$14:$A$1213,$A628,$S$14:$S$1213,"="&amp;$S628)+1)/2,"")</f>
        <v/>
      </c>
      <c r="AG628" s="27">
        <f>IF(ISNUMBER($T628),COUNTIFS($A$14:$A$1213,$A628,$T$14:$T$1213,"&gt;"&amp;$T628)+(COUNTIFS($A$14:$A$1213,$A628,$T$14:$T$1213,"="&amp;$T628)+1)/2,"")</f>
        <v/>
      </c>
      <c r="AH628" s="27">
        <f>IF(COUNT($AC628:$AG628)&lt;2,"",IF(MAX($AC628:$AG628)=MIN($AC628:$AG628),0,1))</f>
        <v/>
      </c>
      <c r="AI628" s="27">
        <f>IF($A628="","",IF(COUNTIF($A$14:$A628,$A628)=1,COUNTIF($AI$13:AI627,"&gt;0")+1,""))</f>
        <v/>
      </c>
      <c r="AO628" s="27">
        <f>IF($A628="","",IF(AND(COUNTIFS($A$14:$A$1213,$A628,$F$14:$F$1213,"&gt;=0")=2,IFERROR(INDEX($M$14:$M$313,MATCH($A628,$H$14:$H$313,0)),"Yes")&lt;&gt;"Yes"),1,0))</f>
        <v/>
      </c>
    </row>
    <row r="629">
      <c r="A629" s="19">
        <f>IF('Enter messages'!A629="","",'Enter messages'!A629)</f>
        <v/>
      </c>
      <c r="B629" s="20">
        <f>IF('Enter messages'!B629="","",'Enter messages'!B629)</f>
        <v/>
      </c>
      <c r="C629" s="21">
        <f>IFERROR(AVERAGE(P629:T629),"")</f>
        <v/>
      </c>
      <c r="D629" s="29" t="n"/>
      <c r="E629" s="29" t="n"/>
      <c r="F629" s="30">
        <f>IF(AND(ISNUMBER($D629),ISNUMBER($E629),$E629&gt;0,$D629&lt;=$E629),$D629/$E629,"")</f>
        <v/>
      </c>
      <c r="P629" s="26" t="n"/>
      <c r="Q629" s="26" t="n"/>
      <c r="R629" s="26" t="n"/>
      <c r="S629" s="26" t="n"/>
      <c r="T629" s="26" t="n"/>
      <c r="V629" s="27">
        <f>IF(ISNUMBER($C629),COUNTIFS($A$14:$A$1213,$A629,$C$14:$C$1213,"&gt;"&amp;$C629)+(COUNTIFS($A$14:$A$1213,$A629,$C$14:$C$1213,"="&amp;$C629)+1)/2,"")</f>
        <v/>
      </c>
      <c r="W629" s="27">
        <f>IF(ISNUMBER($F629),COUNTIFS($A$14:$A$1213,$A629,$F$14:$F$1213,"&gt;"&amp;$F629)+(COUNTIFS($A$14:$A$1213,$A629,$F$14:$F$1213,"="&amp;$F629)+1)/2,"")</f>
        <v/>
      </c>
      <c r="X629" s="27">
        <f>IF(OR(NOT(ISNUMBER($V629)),$AO629=1),"",$V629-(COUNTIFS($A$14:$A$1213,$A629,$C$14:$C$1213,"&gt;=0")+1)/2)</f>
        <v/>
      </c>
      <c r="Y629" s="27">
        <f>IF(OR(NOT(ISNUMBER($W629)),$AO629=1),"",$W629-(COUNTIFS($A$14:$A$1213,$A629,$F$14:$F$1213,"&gt;=0")+1)/2)</f>
        <v/>
      </c>
      <c r="Z629" s="27">
        <f>IF(ISNUMBER($V629),$A629&amp;"|"&amp;$V629,"")</f>
        <v/>
      </c>
      <c r="AA629" s="27">
        <f>IF(ISNUMBER($W629),$A629&amp;"|"&amp;$W629,"")</f>
        <v/>
      </c>
      <c r="AB629" s="27">
        <f>IF(ISNUMBER($F629),$A629&amp;"|"&amp;$F629,"")</f>
        <v/>
      </c>
      <c r="AC629" s="27">
        <f>IF(ISNUMBER($P629),COUNTIFS($A$14:$A$1213,$A629,$P$14:$P$1213,"&gt;"&amp;$P629)+(COUNTIFS($A$14:$A$1213,$A629,$P$14:$P$1213,"="&amp;$P629)+1)/2,"")</f>
        <v/>
      </c>
      <c r="AD629" s="27">
        <f>IF(ISNUMBER($Q629),COUNTIFS($A$14:$A$1213,$A629,$Q$14:$Q$1213,"&gt;"&amp;$Q629)+(COUNTIFS($A$14:$A$1213,$A629,$Q$14:$Q$1213,"="&amp;$Q629)+1)/2,"")</f>
        <v/>
      </c>
      <c r="AE629" s="27">
        <f>IF(ISNUMBER($R629),COUNTIFS($A$14:$A$1213,$A629,$R$14:$R$1213,"&gt;"&amp;$R629)+(COUNTIFS($A$14:$A$1213,$A629,$R$14:$R$1213,"="&amp;$R629)+1)/2,"")</f>
        <v/>
      </c>
      <c r="AF629" s="27">
        <f>IF(ISNUMBER($S629),COUNTIFS($A$14:$A$1213,$A629,$S$14:$S$1213,"&gt;"&amp;$S629)+(COUNTIFS($A$14:$A$1213,$A629,$S$14:$S$1213,"="&amp;$S629)+1)/2,"")</f>
        <v/>
      </c>
      <c r="AG629" s="27">
        <f>IF(ISNUMBER($T629),COUNTIFS($A$14:$A$1213,$A629,$T$14:$T$1213,"&gt;"&amp;$T629)+(COUNTIFS($A$14:$A$1213,$A629,$T$14:$T$1213,"="&amp;$T629)+1)/2,"")</f>
        <v/>
      </c>
      <c r="AH629" s="27">
        <f>IF(COUNT($AC629:$AG629)&lt;2,"",IF(MAX($AC629:$AG629)=MIN($AC629:$AG629),0,1))</f>
        <v/>
      </c>
      <c r="AI629" s="27">
        <f>IF($A629="","",IF(COUNTIF($A$14:$A629,$A629)=1,COUNTIF($AI$13:AI628,"&gt;0")+1,""))</f>
        <v/>
      </c>
      <c r="AO629" s="27">
        <f>IF($A629="","",IF(AND(COUNTIFS($A$14:$A$1213,$A629,$F$14:$F$1213,"&gt;=0")=2,IFERROR(INDEX($M$14:$M$313,MATCH($A629,$H$14:$H$313,0)),"Yes")&lt;&gt;"Yes"),1,0))</f>
        <v/>
      </c>
    </row>
    <row r="630">
      <c r="A630" s="19">
        <f>IF('Enter messages'!A630="","",'Enter messages'!A630)</f>
        <v/>
      </c>
      <c r="B630" s="20">
        <f>IF('Enter messages'!B630="","",'Enter messages'!B630)</f>
        <v/>
      </c>
      <c r="C630" s="21">
        <f>IFERROR(AVERAGE(P630:T630),"")</f>
        <v/>
      </c>
      <c r="D630" s="29" t="n"/>
      <c r="E630" s="29" t="n"/>
      <c r="F630" s="30">
        <f>IF(AND(ISNUMBER($D630),ISNUMBER($E630),$E630&gt;0,$D630&lt;=$E630),$D630/$E630,"")</f>
        <v/>
      </c>
      <c r="P630" s="26" t="n"/>
      <c r="Q630" s="26" t="n"/>
      <c r="R630" s="26" t="n"/>
      <c r="S630" s="26" t="n"/>
      <c r="T630" s="26" t="n"/>
      <c r="V630" s="27">
        <f>IF(ISNUMBER($C630),COUNTIFS($A$14:$A$1213,$A630,$C$14:$C$1213,"&gt;"&amp;$C630)+(COUNTIFS($A$14:$A$1213,$A630,$C$14:$C$1213,"="&amp;$C630)+1)/2,"")</f>
        <v/>
      </c>
      <c r="W630" s="27">
        <f>IF(ISNUMBER($F630),COUNTIFS($A$14:$A$1213,$A630,$F$14:$F$1213,"&gt;"&amp;$F630)+(COUNTIFS($A$14:$A$1213,$A630,$F$14:$F$1213,"="&amp;$F630)+1)/2,"")</f>
        <v/>
      </c>
      <c r="X630" s="27">
        <f>IF(OR(NOT(ISNUMBER($V630)),$AO630=1),"",$V630-(COUNTIFS($A$14:$A$1213,$A630,$C$14:$C$1213,"&gt;=0")+1)/2)</f>
        <v/>
      </c>
      <c r="Y630" s="27">
        <f>IF(OR(NOT(ISNUMBER($W630)),$AO630=1),"",$W630-(COUNTIFS($A$14:$A$1213,$A630,$F$14:$F$1213,"&gt;=0")+1)/2)</f>
        <v/>
      </c>
      <c r="Z630" s="27">
        <f>IF(ISNUMBER($V630),$A630&amp;"|"&amp;$V630,"")</f>
        <v/>
      </c>
      <c r="AA630" s="27">
        <f>IF(ISNUMBER($W630),$A630&amp;"|"&amp;$W630,"")</f>
        <v/>
      </c>
      <c r="AB630" s="27">
        <f>IF(ISNUMBER($F630),$A630&amp;"|"&amp;$F630,"")</f>
        <v/>
      </c>
      <c r="AC630" s="27">
        <f>IF(ISNUMBER($P630),COUNTIFS($A$14:$A$1213,$A630,$P$14:$P$1213,"&gt;"&amp;$P630)+(COUNTIFS($A$14:$A$1213,$A630,$P$14:$P$1213,"="&amp;$P630)+1)/2,"")</f>
        <v/>
      </c>
      <c r="AD630" s="27">
        <f>IF(ISNUMBER($Q630),COUNTIFS($A$14:$A$1213,$A630,$Q$14:$Q$1213,"&gt;"&amp;$Q630)+(COUNTIFS($A$14:$A$1213,$A630,$Q$14:$Q$1213,"="&amp;$Q630)+1)/2,"")</f>
        <v/>
      </c>
      <c r="AE630" s="27">
        <f>IF(ISNUMBER($R630),COUNTIFS($A$14:$A$1213,$A630,$R$14:$R$1213,"&gt;"&amp;$R630)+(COUNTIFS($A$14:$A$1213,$A630,$R$14:$R$1213,"="&amp;$R630)+1)/2,"")</f>
        <v/>
      </c>
      <c r="AF630" s="27">
        <f>IF(ISNUMBER($S630),COUNTIFS($A$14:$A$1213,$A630,$S$14:$S$1213,"&gt;"&amp;$S630)+(COUNTIFS($A$14:$A$1213,$A630,$S$14:$S$1213,"="&amp;$S630)+1)/2,"")</f>
        <v/>
      </c>
      <c r="AG630" s="27">
        <f>IF(ISNUMBER($T630),COUNTIFS($A$14:$A$1213,$A630,$T$14:$T$1213,"&gt;"&amp;$T630)+(COUNTIFS($A$14:$A$1213,$A630,$T$14:$T$1213,"="&amp;$T630)+1)/2,"")</f>
        <v/>
      </c>
      <c r="AH630" s="27">
        <f>IF(COUNT($AC630:$AG630)&lt;2,"",IF(MAX($AC630:$AG630)=MIN($AC630:$AG630),0,1))</f>
        <v/>
      </c>
      <c r="AI630" s="27">
        <f>IF($A630="","",IF(COUNTIF($A$14:$A630,$A630)=1,COUNTIF($AI$13:AI629,"&gt;0")+1,""))</f>
        <v/>
      </c>
      <c r="AO630" s="27">
        <f>IF($A630="","",IF(AND(COUNTIFS($A$14:$A$1213,$A630,$F$14:$F$1213,"&gt;=0")=2,IFERROR(INDEX($M$14:$M$313,MATCH($A630,$H$14:$H$313,0)),"Yes")&lt;&gt;"Yes"),1,0))</f>
        <v/>
      </c>
    </row>
    <row r="631">
      <c r="A631" s="19">
        <f>IF('Enter messages'!A631="","",'Enter messages'!A631)</f>
        <v/>
      </c>
      <c r="B631" s="20">
        <f>IF('Enter messages'!B631="","",'Enter messages'!B631)</f>
        <v/>
      </c>
      <c r="C631" s="21">
        <f>IFERROR(AVERAGE(P631:T631),"")</f>
        <v/>
      </c>
      <c r="D631" s="29" t="n"/>
      <c r="E631" s="29" t="n"/>
      <c r="F631" s="30">
        <f>IF(AND(ISNUMBER($D631),ISNUMBER($E631),$E631&gt;0,$D631&lt;=$E631),$D631/$E631,"")</f>
        <v/>
      </c>
      <c r="P631" s="26" t="n"/>
      <c r="Q631" s="26" t="n"/>
      <c r="R631" s="26" t="n"/>
      <c r="S631" s="26" t="n"/>
      <c r="T631" s="26" t="n"/>
      <c r="V631" s="27">
        <f>IF(ISNUMBER($C631),COUNTIFS($A$14:$A$1213,$A631,$C$14:$C$1213,"&gt;"&amp;$C631)+(COUNTIFS($A$14:$A$1213,$A631,$C$14:$C$1213,"="&amp;$C631)+1)/2,"")</f>
        <v/>
      </c>
      <c r="W631" s="27">
        <f>IF(ISNUMBER($F631),COUNTIFS($A$14:$A$1213,$A631,$F$14:$F$1213,"&gt;"&amp;$F631)+(COUNTIFS($A$14:$A$1213,$A631,$F$14:$F$1213,"="&amp;$F631)+1)/2,"")</f>
        <v/>
      </c>
      <c r="X631" s="27">
        <f>IF(OR(NOT(ISNUMBER($V631)),$AO631=1),"",$V631-(COUNTIFS($A$14:$A$1213,$A631,$C$14:$C$1213,"&gt;=0")+1)/2)</f>
        <v/>
      </c>
      <c r="Y631" s="27">
        <f>IF(OR(NOT(ISNUMBER($W631)),$AO631=1),"",$W631-(COUNTIFS($A$14:$A$1213,$A631,$F$14:$F$1213,"&gt;=0")+1)/2)</f>
        <v/>
      </c>
      <c r="Z631" s="27">
        <f>IF(ISNUMBER($V631),$A631&amp;"|"&amp;$V631,"")</f>
        <v/>
      </c>
      <c r="AA631" s="27">
        <f>IF(ISNUMBER($W631),$A631&amp;"|"&amp;$W631,"")</f>
        <v/>
      </c>
      <c r="AB631" s="27">
        <f>IF(ISNUMBER($F631),$A631&amp;"|"&amp;$F631,"")</f>
        <v/>
      </c>
      <c r="AC631" s="27">
        <f>IF(ISNUMBER($P631),COUNTIFS($A$14:$A$1213,$A631,$P$14:$P$1213,"&gt;"&amp;$P631)+(COUNTIFS($A$14:$A$1213,$A631,$P$14:$P$1213,"="&amp;$P631)+1)/2,"")</f>
        <v/>
      </c>
      <c r="AD631" s="27">
        <f>IF(ISNUMBER($Q631),COUNTIFS($A$14:$A$1213,$A631,$Q$14:$Q$1213,"&gt;"&amp;$Q631)+(COUNTIFS($A$14:$A$1213,$A631,$Q$14:$Q$1213,"="&amp;$Q631)+1)/2,"")</f>
        <v/>
      </c>
      <c r="AE631" s="27">
        <f>IF(ISNUMBER($R631),COUNTIFS($A$14:$A$1213,$A631,$R$14:$R$1213,"&gt;"&amp;$R631)+(COUNTIFS($A$14:$A$1213,$A631,$R$14:$R$1213,"="&amp;$R631)+1)/2,"")</f>
        <v/>
      </c>
      <c r="AF631" s="27">
        <f>IF(ISNUMBER($S631),COUNTIFS($A$14:$A$1213,$A631,$S$14:$S$1213,"&gt;"&amp;$S631)+(COUNTIFS($A$14:$A$1213,$A631,$S$14:$S$1213,"="&amp;$S631)+1)/2,"")</f>
        <v/>
      </c>
      <c r="AG631" s="27">
        <f>IF(ISNUMBER($T631),COUNTIFS($A$14:$A$1213,$A631,$T$14:$T$1213,"&gt;"&amp;$T631)+(COUNTIFS($A$14:$A$1213,$A631,$T$14:$T$1213,"="&amp;$T631)+1)/2,"")</f>
        <v/>
      </c>
      <c r="AH631" s="27">
        <f>IF(COUNT($AC631:$AG631)&lt;2,"",IF(MAX($AC631:$AG631)=MIN($AC631:$AG631),0,1))</f>
        <v/>
      </c>
      <c r="AI631" s="27">
        <f>IF($A631="","",IF(COUNTIF($A$14:$A631,$A631)=1,COUNTIF($AI$13:AI630,"&gt;0")+1,""))</f>
        <v/>
      </c>
      <c r="AO631" s="27">
        <f>IF($A631="","",IF(AND(COUNTIFS($A$14:$A$1213,$A631,$F$14:$F$1213,"&gt;=0")=2,IFERROR(INDEX($M$14:$M$313,MATCH($A631,$H$14:$H$313,0)),"Yes")&lt;&gt;"Yes"),1,0))</f>
        <v/>
      </c>
    </row>
    <row r="632">
      <c r="A632" s="19">
        <f>IF('Enter messages'!A632="","",'Enter messages'!A632)</f>
        <v/>
      </c>
      <c r="B632" s="20">
        <f>IF('Enter messages'!B632="","",'Enter messages'!B632)</f>
        <v/>
      </c>
      <c r="C632" s="21">
        <f>IFERROR(AVERAGE(P632:T632),"")</f>
        <v/>
      </c>
      <c r="D632" s="29" t="n"/>
      <c r="E632" s="29" t="n"/>
      <c r="F632" s="30">
        <f>IF(AND(ISNUMBER($D632),ISNUMBER($E632),$E632&gt;0,$D632&lt;=$E632),$D632/$E632,"")</f>
        <v/>
      </c>
      <c r="P632" s="26" t="n"/>
      <c r="Q632" s="26" t="n"/>
      <c r="R632" s="26" t="n"/>
      <c r="S632" s="26" t="n"/>
      <c r="T632" s="26" t="n"/>
      <c r="V632" s="27">
        <f>IF(ISNUMBER($C632),COUNTIFS($A$14:$A$1213,$A632,$C$14:$C$1213,"&gt;"&amp;$C632)+(COUNTIFS($A$14:$A$1213,$A632,$C$14:$C$1213,"="&amp;$C632)+1)/2,"")</f>
        <v/>
      </c>
      <c r="W632" s="27">
        <f>IF(ISNUMBER($F632),COUNTIFS($A$14:$A$1213,$A632,$F$14:$F$1213,"&gt;"&amp;$F632)+(COUNTIFS($A$14:$A$1213,$A632,$F$14:$F$1213,"="&amp;$F632)+1)/2,"")</f>
        <v/>
      </c>
      <c r="X632" s="27">
        <f>IF(OR(NOT(ISNUMBER($V632)),$AO632=1),"",$V632-(COUNTIFS($A$14:$A$1213,$A632,$C$14:$C$1213,"&gt;=0")+1)/2)</f>
        <v/>
      </c>
      <c r="Y632" s="27">
        <f>IF(OR(NOT(ISNUMBER($W632)),$AO632=1),"",$W632-(COUNTIFS($A$14:$A$1213,$A632,$F$14:$F$1213,"&gt;=0")+1)/2)</f>
        <v/>
      </c>
      <c r="Z632" s="27">
        <f>IF(ISNUMBER($V632),$A632&amp;"|"&amp;$V632,"")</f>
        <v/>
      </c>
      <c r="AA632" s="27">
        <f>IF(ISNUMBER($W632),$A632&amp;"|"&amp;$W632,"")</f>
        <v/>
      </c>
      <c r="AB632" s="27">
        <f>IF(ISNUMBER($F632),$A632&amp;"|"&amp;$F632,"")</f>
        <v/>
      </c>
      <c r="AC632" s="27">
        <f>IF(ISNUMBER($P632),COUNTIFS($A$14:$A$1213,$A632,$P$14:$P$1213,"&gt;"&amp;$P632)+(COUNTIFS($A$14:$A$1213,$A632,$P$14:$P$1213,"="&amp;$P632)+1)/2,"")</f>
        <v/>
      </c>
      <c r="AD632" s="27">
        <f>IF(ISNUMBER($Q632),COUNTIFS($A$14:$A$1213,$A632,$Q$14:$Q$1213,"&gt;"&amp;$Q632)+(COUNTIFS($A$14:$A$1213,$A632,$Q$14:$Q$1213,"="&amp;$Q632)+1)/2,"")</f>
        <v/>
      </c>
      <c r="AE632" s="27">
        <f>IF(ISNUMBER($R632),COUNTIFS($A$14:$A$1213,$A632,$R$14:$R$1213,"&gt;"&amp;$R632)+(COUNTIFS($A$14:$A$1213,$A632,$R$14:$R$1213,"="&amp;$R632)+1)/2,"")</f>
        <v/>
      </c>
      <c r="AF632" s="27">
        <f>IF(ISNUMBER($S632),COUNTIFS($A$14:$A$1213,$A632,$S$14:$S$1213,"&gt;"&amp;$S632)+(COUNTIFS($A$14:$A$1213,$A632,$S$14:$S$1213,"="&amp;$S632)+1)/2,"")</f>
        <v/>
      </c>
      <c r="AG632" s="27">
        <f>IF(ISNUMBER($T632),COUNTIFS($A$14:$A$1213,$A632,$T$14:$T$1213,"&gt;"&amp;$T632)+(COUNTIFS($A$14:$A$1213,$A632,$T$14:$T$1213,"="&amp;$T632)+1)/2,"")</f>
        <v/>
      </c>
      <c r="AH632" s="27">
        <f>IF(COUNT($AC632:$AG632)&lt;2,"",IF(MAX($AC632:$AG632)=MIN($AC632:$AG632),0,1))</f>
        <v/>
      </c>
      <c r="AI632" s="27">
        <f>IF($A632="","",IF(COUNTIF($A$14:$A632,$A632)=1,COUNTIF($AI$13:AI631,"&gt;0")+1,""))</f>
        <v/>
      </c>
      <c r="AO632" s="27">
        <f>IF($A632="","",IF(AND(COUNTIFS($A$14:$A$1213,$A632,$F$14:$F$1213,"&gt;=0")=2,IFERROR(INDEX($M$14:$M$313,MATCH($A632,$H$14:$H$313,0)),"Yes")&lt;&gt;"Yes"),1,0))</f>
        <v/>
      </c>
    </row>
    <row r="633">
      <c r="A633" s="19">
        <f>IF('Enter messages'!A633="","",'Enter messages'!A633)</f>
        <v/>
      </c>
      <c r="B633" s="20">
        <f>IF('Enter messages'!B633="","",'Enter messages'!B633)</f>
        <v/>
      </c>
      <c r="C633" s="21">
        <f>IFERROR(AVERAGE(P633:T633),"")</f>
        <v/>
      </c>
      <c r="D633" s="29" t="n"/>
      <c r="E633" s="29" t="n"/>
      <c r="F633" s="30">
        <f>IF(AND(ISNUMBER($D633),ISNUMBER($E633),$E633&gt;0,$D633&lt;=$E633),$D633/$E633,"")</f>
        <v/>
      </c>
      <c r="P633" s="26" t="n"/>
      <c r="Q633" s="26" t="n"/>
      <c r="R633" s="26" t="n"/>
      <c r="S633" s="26" t="n"/>
      <c r="T633" s="26" t="n"/>
      <c r="V633" s="27">
        <f>IF(ISNUMBER($C633),COUNTIFS($A$14:$A$1213,$A633,$C$14:$C$1213,"&gt;"&amp;$C633)+(COUNTIFS($A$14:$A$1213,$A633,$C$14:$C$1213,"="&amp;$C633)+1)/2,"")</f>
        <v/>
      </c>
      <c r="W633" s="27">
        <f>IF(ISNUMBER($F633),COUNTIFS($A$14:$A$1213,$A633,$F$14:$F$1213,"&gt;"&amp;$F633)+(COUNTIFS($A$14:$A$1213,$A633,$F$14:$F$1213,"="&amp;$F633)+1)/2,"")</f>
        <v/>
      </c>
      <c r="X633" s="27">
        <f>IF(OR(NOT(ISNUMBER($V633)),$AO633=1),"",$V633-(COUNTIFS($A$14:$A$1213,$A633,$C$14:$C$1213,"&gt;=0")+1)/2)</f>
        <v/>
      </c>
      <c r="Y633" s="27">
        <f>IF(OR(NOT(ISNUMBER($W633)),$AO633=1),"",$W633-(COUNTIFS($A$14:$A$1213,$A633,$F$14:$F$1213,"&gt;=0")+1)/2)</f>
        <v/>
      </c>
      <c r="Z633" s="27">
        <f>IF(ISNUMBER($V633),$A633&amp;"|"&amp;$V633,"")</f>
        <v/>
      </c>
      <c r="AA633" s="27">
        <f>IF(ISNUMBER($W633),$A633&amp;"|"&amp;$W633,"")</f>
        <v/>
      </c>
      <c r="AB633" s="27">
        <f>IF(ISNUMBER($F633),$A633&amp;"|"&amp;$F633,"")</f>
        <v/>
      </c>
      <c r="AC633" s="27">
        <f>IF(ISNUMBER($P633),COUNTIFS($A$14:$A$1213,$A633,$P$14:$P$1213,"&gt;"&amp;$P633)+(COUNTIFS($A$14:$A$1213,$A633,$P$14:$P$1213,"="&amp;$P633)+1)/2,"")</f>
        <v/>
      </c>
      <c r="AD633" s="27">
        <f>IF(ISNUMBER($Q633),COUNTIFS($A$14:$A$1213,$A633,$Q$14:$Q$1213,"&gt;"&amp;$Q633)+(COUNTIFS($A$14:$A$1213,$A633,$Q$14:$Q$1213,"="&amp;$Q633)+1)/2,"")</f>
        <v/>
      </c>
      <c r="AE633" s="27">
        <f>IF(ISNUMBER($R633),COUNTIFS($A$14:$A$1213,$A633,$R$14:$R$1213,"&gt;"&amp;$R633)+(COUNTIFS($A$14:$A$1213,$A633,$R$14:$R$1213,"="&amp;$R633)+1)/2,"")</f>
        <v/>
      </c>
      <c r="AF633" s="27">
        <f>IF(ISNUMBER($S633),COUNTIFS($A$14:$A$1213,$A633,$S$14:$S$1213,"&gt;"&amp;$S633)+(COUNTIFS($A$14:$A$1213,$A633,$S$14:$S$1213,"="&amp;$S633)+1)/2,"")</f>
        <v/>
      </c>
      <c r="AG633" s="27">
        <f>IF(ISNUMBER($T633),COUNTIFS($A$14:$A$1213,$A633,$T$14:$T$1213,"&gt;"&amp;$T633)+(COUNTIFS($A$14:$A$1213,$A633,$T$14:$T$1213,"="&amp;$T633)+1)/2,"")</f>
        <v/>
      </c>
      <c r="AH633" s="27">
        <f>IF(COUNT($AC633:$AG633)&lt;2,"",IF(MAX($AC633:$AG633)=MIN($AC633:$AG633),0,1))</f>
        <v/>
      </c>
      <c r="AI633" s="27">
        <f>IF($A633="","",IF(COUNTIF($A$14:$A633,$A633)=1,COUNTIF($AI$13:AI632,"&gt;0")+1,""))</f>
        <v/>
      </c>
      <c r="AO633" s="27">
        <f>IF($A633="","",IF(AND(COUNTIFS($A$14:$A$1213,$A633,$F$14:$F$1213,"&gt;=0")=2,IFERROR(INDEX($M$14:$M$313,MATCH($A633,$H$14:$H$313,0)),"Yes")&lt;&gt;"Yes"),1,0))</f>
        <v/>
      </c>
    </row>
    <row r="634">
      <c r="A634" s="19">
        <f>IF('Enter messages'!A634="","",'Enter messages'!A634)</f>
        <v/>
      </c>
      <c r="B634" s="20">
        <f>IF('Enter messages'!B634="","",'Enter messages'!B634)</f>
        <v/>
      </c>
      <c r="C634" s="21">
        <f>IFERROR(AVERAGE(P634:T634),"")</f>
        <v/>
      </c>
      <c r="D634" s="29" t="n"/>
      <c r="E634" s="29" t="n"/>
      <c r="F634" s="30">
        <f>IF(AND(ISNUMBER($D634),ISNUMBER($E634),$E634&gt;0,$D634&lt;=$E634),$D634/$E634,"")</f>
        <v/>
      </c>
      <c r="P634" s="26" t="n"/>
      <c r="Q634" s="26" t="n"/>
      <c r="R634" s="26" t="n"/>
      <c r="S634" s="26" t="n"/>
      <c r="T634" s="26" t="n"/>
      <c r="V634" s="27">
        <f>IF(ISNUMBER($C634),COUNTIFS($A$14:$A$1213,$A634,$C$14:$C$1213,"&gt;"&amp;$C634)+(COUNTIFS($A$14:$A$1213,$A634,$C$14:$C$1213,"="&amp;$C634)+1)/2,"")</f>
        <v/>
      </c>
      <c r="W634" s="27">
        <f>IF(ISNUMBER($F634),COUNTIFS($A$14:$A$1213,$A634,$F$14:$F$1213,"&gt;"&amp;$F634)+(COUNTIFS($A$14:$A$1213,$A634,$F$14:$F$1213,"="&amp;$F634)+1)/2,"")</f>
        <v/>
      </c>
      <c r="X634" s="27">
        <f>IF(OR(NOT(ISNUMBER($V634)),$AO634=1),"",$V634-(COUNTIFS($A$14:$A$1213,$A634,$C$14:$C$1213,"&gt;=0")+1)/2)</f>
        <v/>
      </c>
      <c r="Y634" s="27">
        <f>IF(OR(NOT(ISNUMBER($W634)),$AO634=1),"",$W634-(COUNTIFS($A$14:$A$1213,$A634,$F$14:$F$1213,"&gt;=0")+1)/2)</f>
        <v/>
      </c>
      <c r="Z634" s="27">
        <f>IF(ISNUMBER($V634),$A634&amp;"|"&amp;$V634,"")</f>
        <v/>
      </c>
      <c r="AA634" s="27">
        <f>IF(ISNUMBER($W634),$A634&amp;"|"&amp;$W634,"")</f>
        <v/>
      </c>
      <c r="AB634" s="27">
        <f>IF(ISNUMBER($F634),$A634&amp;"|"&amp;$F634,"")</f>
        <v/>
      </c>
      <c r="AC634" s="27">
        <f>IF(ISNUMBER($P634),COUNTIFS($A$14:$A$1213,$A634,$P$14:$P$1213,"&gt;"&amp;$P634)+(COUNTIFS($A$14:$A$1213,$A634,$P$14:$P$1213,"="&amp;$P634)+1)/2,"")</f>
        <v/>
      </c>
      <c r="AD634" s="27">
        <f>IF(ISNUMBER($Q634),COUNTIFS($A$14:$A$1213,$A634,$Q$14:$Q$1213,"&gt;"&amp;$Q634)+(COUNTIFS($A$14:$A$1213,$A634,$Q$14:$Q$1213,"="&amp;$Q634)+1)/2,"")</f>
        <v/>
      </c>
      <c r="AE634" s="27">
        <f>IF(ISNUMBER($R634),COUNTIFS($A$14:$A$1213,$A634,$R$14:$R$1213,"&gt;"&amp;$R634)+(COUNTIFS($A$14:$A$1213,$A634,$R$14:$R$1213,"="&amp;$R634)+1)/2,"")</f>
        <v/>
      </c>
      <c r="AF634" s="27">
        <f>IF(ISNUMBER($S634),COUNTIFS($A$14:$A$1213,$A634,$S$14:$S$1213,"&gt;"&amp;$S634)+(COUNTIFS($A$14:$A$1213,$A634,$S$14:$S$1213,"="&amp;$S634)+1)/2,"")</f>
        <v/>
      </c>
      <c r="AG634" s="27">
        <f>IF(ISNUMBER($T634),COUNTIFS($A$14:$A$1213,$A634,$T$14:$T$1213,"&gt;"&amp;$T634)+(COUNTIFS($A$14:$A$1213,$A634,$T$14:$T$1213,"="&amp;$T634)+1)/2,"")</f>
        <v/>
      </c>
      <c r="AH634" s="27">
        <f>IF(COUNT($AC634:$AG634)&lt;2,"",IF(MAX($AC634:$AG634)=MIN($AC634:$AG634),0,1))</f>
        <v/>
      </c>
      <c r="AI634" s="27">
        <f>IF($A634="","",IF(COUNTIF($A$14:$A634,$A634)=1,COUNTIF($AI$13:AI633,"&gt;0")+1,""))</f>
        <v/>
      </c>
      <c r="AO634" s="27">
        <f>IF($A634="","",IF(AND(COUNTIFS($A$14:$A$1213,$A634,$F$14:$F$1213,"&gt;=0")=2,IFERROR(INDEX($M$14:$M$313,MATCH($A634,$H$14:$H$313,0)),"Yes")&lt;&gt;"Yes"),1,0))</f>
        <v/>
      </c>
    </row>
    <row r="635">
      <c r="A635" s="19">
        <f>IF('Enter messages'!A635="","",'Enter messages'!A635)</f>
        <v/>
      </c>
      <c r="B635" s="20">
        <f>IF('Enter messages'!B635="","",'Enter messages'!B635)</f>
        <v/>
      </c>
      <c r="C635" s="21">
        <f>IFERROR(AVERAGE(P635:T635),"")</f>
        <v/>
      </c>
      <c r="D635" s="29" t="n"/>
      <c r="E635" s="29" t="n"/>
      <c r="F635" s="30">
        <f>IF(AND(ISNUMBER($D635),ISNUMBER($E635),$E635&gt;0,$D635&lt;=$E635),$D635/$E635,"")</f>
        <v/>
      </c>
      <c r="P635" s="26" t="n"/>
      <c r="Q635" s="26" t="n"/>
      <c r="R635" s="26" t="n"/>
      <c r="S635" s="26" t="n"/>
      <c r="T635" s="26" t="n"/>
      <c r="V635" s="27">
        <f>IF(ISNUMBER($C635),COUNTIFS($A$14:$A$1213,$A635,$C$14:$C$1213,"&gt;"&amp;$C635)+(COUNTIFS($A$14:$A$1213,$A635,$C$14:$C$1213,"="&amp;$C635)+1)/2,"")</f>
        <v/>
      </c>
      <c r="W635" s="27">
        <f>IF(ISNUMBER($F635),COUNTIFS($A$14:$A$1213,$A635,$F$14:$F$1213,"&gt;"&amp;$F635)+(COUNTIFS($A$14:$A$1213,$A635,$F$14:$F$1213,"="&amp;$F635)+1)/2,"")</f>
        <v/>
      </c>
      <c r="X635" s="27">
        <f>IF(OR(NOT(ISNUMBER($V635)),$AO635=1),"",$V635-(COUNTIFS($A$14:$A$1213,$A635,$C$14:$C$1213,"&gt;=0")+1)/2)</f>
        <v/>
      </c>
      <c r="Y635" s="27">
        <f>IF(OR(NOT(ISNUMBER($W635)),$AO635=1),"",$W635-(COUNTIFS($A$14:$A$1213,$A635,$F$14:$F$1213,"&gt;=0")+1)/2)</f>
        <v/>
      </c>
      <c r="Z635" s="27">
        <f>IF(ISNUMBER($V635),$A635&amp;"|"&amp;$V635,"")</f>
        <v/>
      </c>
      <c r="AA635" s="27">
        <f>IF(ISNUMBER($W635),$A635&amp;"|"&amp;$W635,"")</f>
        <v/>
      </c>
      <c r="AB635" s="27">
        <f>IF(ISNUMBER($F635),$A635&amp;"|"&amp;$F635,"")</f>
        <v/>
      </c>
      <c r="AC635" s="27">
        <f>IF(ISNUMBER($P635),COUNTIFS($A$14:$A$1213,$A635,$P$14:$P$1213,"&gt;"&amp;$P635)+(COUNTIFS($A$14:$A$1213,$A635,$P$14:$P$1213,"="&amp;$P635)+1)/2,"")</f>
        <v/>
      </c>
      <c r="AD635" s="27">
        <f>IF(ISNUMBER($Q635),COUNTIFS($A$14:$A$1213,$A635,$Q$14:$Q$1213,"&gt;"&amp;$Q635)+(COUNTIFS($A$14:$A$1213,$A635,$Q$14:$Q$1213,"="&amp;$Q635)+1)/2,"")</f>
        <v/>
      </c>
      <c r="AE635" s="27">
        <f>IF(ISNUMBER($R635),COUNTIFS($A$14:$A$1213,$A635,$R$14:$R$1213,"&gt;"&amp;$R635)+(COUNTIFS($A$14:$A$1213,$A635,$R$14:$R$1213,"="&amp;$R635)+1)/2,"")</f>
        <v/>
      </c>
      <c r="AF635" s="27">
        <f>IF(ISNUMBER($S635),COUNTIFS($A$14:$A$1213,$A635,$S$14:$S$1213,"&gt;"&amp;$S635)+(COUNTIFS($A$14:$A$1213,$A635,$S$14:$S$1213,"="&amp;$S635)+1)/2,"")</f>
        <v/>
      </c>
      <c r="AG635" s="27">
        <f>IF(ISNUMBER($T635),COUNTIFS($A$14:$A$1213,$A635,$T$14:$T$1213,"&gt;"&amp;$T635)+(COUNTIFS($A$14:$A$1213,$A635,$T$14:$T$1213,"="&amp;$T635)+1)/2,"")</f>
        <v/>
      </c>
      <c r="AH635" s="27">
        <f>IF(COUNT($AC635:$AG635)&lt;2,"",IF(MAX($AC635:$AG635)=MIN($AC635:$AG635),0,1))</f>
        <v/>
      </c>
      <c r="AI635" s="27">
        <f>IF($A635="","",IF(COUNTIF($A$14:$A635,$A635)=1,COUNTIF($AI$13:AI634,"&gt;0")+1,""))</f>
        <v/>
      </c>
      <c r="AO635" s="27">
        <f>IF($A635="","",IF(AND(COUNTIFS($A$14:$A$1213,$A635,$F$14:$F$1213,"&gt;=0")=2,IFERROR(INDEX($M$14:$M$313,MATCH($A635,$H$14:$H$313,0)),"Yes")&lt;&gt;"Yes"),1,0))</f>
        <v/>
      </c>
    </row>
    <row r="636">
      <c r="A636" s="19">
        <f>IF('Enter messages'!A636="","",'Enter messages'!A636)</f>
        <v/>
      </c>
      <c r="B636" s="20">
        <f>IF('Enter messages'!B636="","",'Enter messages'!B636)</f>
        <v/>
      </c>
      <c r="C636" s="21">
        <f>IFERROR(AVERAGE(P636:T636),"")</f>
        <v/>
      </c>
      <c r="D636" s="29" t="n"/>
      <c r="E636" s="29" t="n"/>
      <c r="F636" s="30">
        <f>IF(AND(ISNUMBER($D636),ISNUMBER($E636),$E636&gt;0,$D636&lt;=$E636),$D636/$E636,"")</f>
        <v/>
      </c>
      <c r="P636" s="26" t="n"/>
      <c r="Q636" s="26" t="n"/>
      <c r="R636" s="26" t="n"/>
      <c r="S636" s="26" t="n"/>
      <c r="T636" s="26" t="n"/>
      <c r="V636" s="27">
        <f>IF(ISNUMBER($C636),COUNTIFS($A$14:$A$1213,$A636,$C$14:$C$1213,"&gt;"&amp;$C636)+(COUNTIFS($A$14:$A$1213,$A636,$C$14:$C$1213,"="&amp;$C636)+1)/2,"")</f>
        <v/>
      </c>
      <c r="W636" s="27">
        <f>IF(ISNUMBER($F636),COUNTIFS($A$14:$A$1213,$A636,$F$14:$F$1213,"&gt;"&amp;$F636)+(COUNTIFS($A$14:$A$1213,$A636,$F$14:$F$1213,"="&amp;$F636)+1)/2,"")</f>
        <v/>
      </c>
      <c r="X636" s="27">
        <f>IF(OR(NOT(ISNUMBER($V636)),$AO636=1),"",$V636-(COUNTIFS($A$14:$A$1213,$A636,$C$14:$C$1213,"&gt;=0")+1)/2)</f>
        <v/>
      </c>
      <c r="Y636" s="27">
        <f>IF(OR(NOT(ISNUMBER($W636)),$AO636=1),"",$W636-(COUNTIFS($A$14:$A$1213,$A636,$F$14:$F$1213,"&gt;=0")+1)/2)</f>
        <v/>
      </c>
      <c r="Z636" s="27">
        <f>IF(ISNUMBER($V636),$A636&amp;"|"&amp;$V636,"")</f>
        <v/>
      </c>
      <c r="AA636" s="27">
        <f>IF(ISNUMBER($W636),$A636&amp;"|"&amp;$W636,"")</f>
        <v/>
      </c>
      <c r="AB636" s="27">
        <f>IF(ISNUMBER($F636),$A636&amp;"|"&amp;$F636,"")</f>
        <v/>
      </c>
      <c r="AC636" s="27">
        <f>IF(ISNUMBER($P636),COUNTIFS($A$14:$A$1213,$A636,$P$14:$P$1213,"&gt;"&amp;$P636)+(COUNTIFS($A$14:$A$1213,$A636,$P$14:$P$1213,"="&amp;$P636)+1)/2,"")</f>
        <v/>
      </c>
      <c r="AD636" s="27">
        <f>IF(ISNUMBER($Q636),COUNTIFS($A$14:$A$1213,$A636,$Q$14:$Q$1213,"&gt;"&amp;$Q636)+(COUNTIFS($A$14:$A$1213,$A636,$Q$14:$Q$1213,"="&amp;$Q636)+1)/2,"")</f>
        <v/>
      </c>
      <c r="AE636" s="27">
        <f>IF(ISNUMBER($R636),COUNTIFS($A$14:$A$1213,$A636,$R$14:$R$1213,"&gt;"&amp;$R636)+(COUNTIFS($A$14:$A$1213,$A636,$R$14:$R$1213,"="&amp;$R636)+1)/2,"")</f>
        <v/>
      </c>
      <c r="AF636" s="27">
        <f>IF(ISNUMBER($S636),COUNTIFS($A$14:$A$1213,$A636,$S$14:$S$1213,"&gt;"&amp;$S636)+(COUNTIFS($A$14:$A$1213,$A636,$S$14:$S$1213,"="&amp;$S636)+1)/2,"")</f>
        <v/>
      </c>
      <c r="AG636" s="27">
        <f>IF(ISNUMBER($T636),COUNTIFS($A$14:$A$1213,$A636,$T$14:$T$1213,"&gt;"&amp;$T636)+(COUNTIFS($A$14:$A$1213,$A636,$T$14:$T$1213,"="&amp;$T636)+1)/2,"")</f>
        <v/>
      </c>
      <c r="AH636" s="27">
        <f>IF(COUNT($AC636:$AG636)&lt;2,"",IF(MAX($AC636:$AG636)=MIN($AC636:$AG636),0,1))</f>
        <v/>
      </c>
      <c r="AI636" s="27">
        <f>IF($A636="","",IF(COUNTIF($A$14:$A636,$A636)=1,COUNTIF($AI$13:AI635,"&gt;0")+1,""))</f>
        <v/>
      </c>
      <c r="AO636" s="27">
        <f>IF($A636="","",IF(AND(COUNTIFS($A$14:$A$1213,$A636,$F$14:$F$1213,"&gt;=0")=2,IFERROR(INDEX($M$14:$M$313,MATCH($A636,$H$14:$H$313,0)),"Yes")&lt;&gt;"Yes"),1,0))</f>
        <v/>
      </c>
    </row>
    <row r="637">
      <c r="A637" s="19">
        <f>IF('Enter messages'!A637="","",'Enter messages'!A637)</f>
        <v/>
      </c>
      <c r="B637" s="20">
        <f>IF('Enter messages'!B637="","",'Enter messages'!B637)</f>
        <v/>
      </c>
      <c r="C637" s="21">
        <f>IFERROR(AVERAGE(P637:T637),"")</f>
        <v/>
      </c>
      <c r="D637" s="29" t="n"/>
      <c r="E637" s="29" t="n"/>
      <c r="F637" s="30">
        <f>IF(AND(ISNUMBER($D637),ISNUMBER($E637),$E637&gt;0,$D637&lt;=$E637),$D637/$E637,"")</f>
        <v/>
      </c>
      <c r="P637" s="26" t="n"/>
      <c r="Q637" s="26" t="n"/>
      <c r="R637" s="26" t="n"/>
      <c r="S637" s="26" t="n"/>
      <c r="T637" s="26" t="n"/>
      <c r="V637" s="27">
        <f>IF(ISNUMBER($C637),COUNTIFS($A$14:$A$1213,$A637,$C$14:$C$1213,"&gt;"&amp;$C637)+(COUNTIFS($A$14:$A$1213,$A637,$C$14:$C$1213,"="&amp;$C637)+1)/2,"")</f>
        <v/>
      </c>
      <c r="W637" s="27">
        <f>IF(ISNUMBER($F637),COUNTIFS($A$14:$A$1213,$A637,$F$14:$F$1213,"&gt;"&amp;$F637)+(COUNTIFS($A$14:$A$1213,$A637,$F$14:$F$1213,"="&amp;$F637)+1)/2,"")</f>
        <v/>
      </c>
      <c r="X637" s="27">
        <f>IF(OR(NOT(ISNUMBER($V637)),$AO637=1),"",$V637-(COUNTIFS($A$14:$A$1213,$A637,$C$14:$C$1213,"&gt;=0")+1)/2)</f>
        <v/>
      </c>
      <c r="Y637" s="27">
        <f>IF(OR(NOT(ISNUMBER($W637)),$AO637=1),"",$W637-(COUNTIFS($A$14:$A$1213,$A637,$F$14:$F$1213,"&gt;=0")+1)/2)</f>
        <v/>
      </c>
      <c r="Z637" s="27">
        <f>IF(ISNUMBER($V637),$A637&amp;"|"&amp;$V637,"")</f>
        <v/>
      </c>
      <c r="AA637" s="27">
        <f>IF(ISNUMBER($W637),$A637&amp;"|"&amp;$W637,"")</f>
        <v/>
      </c>
      <c r="AB637" s="27">
        <f>IF(ISNUMBER($F637),$A637&amp;"|"&amp;$F637,"")</f>
        <v/>
      </c>
      <c r="AC637" s="27">
        <f>IF(ISNUMBER($P637),COUNTIFS($A$14:$A$1213,$A637,$P$14:$P$1213,"&gt;"&amp;$P637)+(COUNTIFS($A$14:$A$1213,$A637,$P$14:$P$1213,"="&amp;$P637)+1)/2,"")</f>
        <v/>
      </c>
      <c r="AD637" s="27">
        <f>IF(ISNUMBER($Q637),COUNTIFS($A$14:$A$1213,$A637,$Q$14:$Q$1213,"&gt;"&amp;$Q637)+(COUNTIFS($A$14:$A$1213,$A637,$Q$14:$Q$1213,"="&amp;$Q637)+1)/2,"")</f>
        <v/>
      </c>
      <c r="AE637" s="27">
        <f>IF(ISNUMBER($R637),COUNTIFS($A$14:$A$1213,$A637,$R$14:$R$1213,"&gt;"&amp;$R637)+(COUNTIFS($A$14:$A$1213,$A637,$R$14:$R$1213,"="&amp;$R637)+1)/2,"")</f>
        <v/>
      </c>
      <c r="AF637" s="27">
        <f>IF(ISNUMBER($S637),COUNTIFS($A$14:$A$1213,$A637,$S$14:$S$1213,"&gt;"&amp;$S637)+(COUNTIFS($A$14:$A$1213,$A637,$S$14:$S$1213,"="&amp;$S637)+1)/2,"")</f>
        <v/>
      </c>
      <c r="AG637" s="27">
        <f>IF(ISNUMBER($T637),COUNTIFS($A$14:$A$1213,$A637,$T$14:$T$1213,"&gt;"&amp;$T637)+(COUNTIFS($A$14:$A$1213,$A637,$T$14:$T$1213,"="&amp;$T637)+1)/2,"")</f>
        <v/>
      </c>
      <c r="AH637" s="27">
        <f>IF(COUNT($AC637:$AG637)&lt;2,"",IF(MAX($AC637:$AG637)=MIN($AC637:$AG637),0,1))</f>
        <v/>
      </c>
      <c r="AI637" s="27">
        <f>IF($A637="","",IF(COUNTIF($A$14:$A637,$A637)=1,COUNTIF($AI$13:AI636,"&gt;0")+1,""))</f>
        <v/>
      </c>
      <c r="AO637" s="27">
        <f>IF($A637="","",IF(AND(COUNTIFS($A$14:$A$1213,$A637,$F$14:$F$1213,"&gt;=0")=2,IFERROR(INDEX($M$14:$M$313,MATCH($A637,$H$14:$H$313,0)),"Yes")&lt;&gt;"Yes"),1,0))</f>
        <v/>
      </c>
    </row>
    <row r="638">
      <c r="A638" s="19">
        <f>IF('Enter messages'!A638="","",'Enter messages'!A638)</f>
        <v/>
      </c>
      <c r="B638" s="20">
        <f>IF('Enter messages'!B638="","",'Enter messages'!B638)</f>
        <v/>
      </c>
      <c r="C638" s="21">
        <f>IFERROR(AVERAGE(P638:T638),"")</f>
        <v/>
      </c>
      <c r="D638" s="29" t="n"/>
      <c r="E638" s="29" t="n"/>
      <c r="F638" s="30">
        <f>IF(AND(ISNUMBER($D638),ISNUMBER($E638),$E638&gt;0,$D638&lt;=$E638),$D638/$E638,"")</f>
        <v/>
      </c>
      <c r="P638" s="26" t="n"/>
      <c r="Q638" s="26" t="n"/>
      <c r="R638" s="26" t="n"/>
      <c r="S638" s="26" t="n"/>
      <c r="T638" s="26" t="n"/>
      <c r="V638" s="27">
        <f>IF(ISNUMBER($C638),COUNTIFS($A$14:$A$1213,$A638,$C$14:$C$1213,"&gt;"&amp;$C638)+(COUNTIFS($A$14:$A$1213,$A638,$C$14:$C$1213,"="&amp;$C638)+1)/2,"")</f>
        <v/>
      </c>
      <c r="W638" s="27">
        <f>IF(ISNUMBER($F638),COUNTIFS($A$14:$A$1213,$A638,$F$14:$F$1213,"&gt;"&amp;$F638)+(COUNTIFS($A$14:$A$1213,$A638,$F$14:$F$1213,"="&amp;$F638)+1)/2,"")</f>
        <v/>
      </c>
      <c r="X638" s="27">
        <f>IF(OR(NOT(ISNUMBER($V638)),$AO638=1),"",$V638-(COUNTIFS($A$14:$A$1213,$A638,$C$14:$C$1213,"&gt;=0")+1)/2)</f>
        <v/>
      </c>
      <c r="Y638" s="27">
        <f>IF(OR(NOT(ISNUMBER($W638)),$AO638=1),"",$W638-(COUNTIFS($A$14:$A$1213,$A638,$F$14:$F$1213,"&gt;=0")+1)/2)</f>
        <v/>
      </c>
      <c r="Z638" s="27">
        <f>IF(ISNUMBER($V638),$A638&amp;"|"&amp;$V638,"")</f>
        <v/>
      </c>
      <c r="AA638" s="27">
        <f>IF(ISNUMBER($W638),$A638&amp;"|"&amp;$W638,"")</f>
        <v/>
      </c>
      <c r="AB638" s="27">
        <f>IF(ISNUMBER($F638),$A638&amp;"|"&amp;$F638,"")</f>
        <v/>
      </c>
      <c r="AC638" s="27">
        <f>IF(ISNUMBER($P638),COUNTIFS($A$14:$A$1213,$A638,$P$14:$P$1213,"&gt;"&amp;$P638)+(COUNTIFS($A$14:$A$1213,$A638,$P$14:$P$1213,"="&amp;$P638)+1)/2,"")</f>
        <v/>
      </c>
      <c r="AD638" s="27">
        <f>IF(ISNUMBER($Q638),COUNTIFS($A$14:$A$1213,$A638,$Q$14:$Q$1213,"&gt;"&amp;$Q638)+(COUNTIFS($A$14:$A$1213,$A638,$Q$14:$Q$1213,"="&amp;$Q638)+1)/2,"")</f>
        <v/>
      </c>
      <c r="AE638" s="27">
        <f>IF(ISNUMBER($R638),COUNTIFS($A$14:$A$1213,$A638,$R$14:$R$1213,"&gt;"&amp;$R638)+(COUNTIFS($A$14:$A$1213,$A638,$R$14:$R$1213,"="&amp;$R638)+1)/2,"")</f>
        <v/>
      </c>
      <c r="AF638" s="27">
        <f>IF(ISNUMBER($S638),COUNTIFS($A$14:$A$1213,$A638,$S$14:$S$1213,"&gt;"&amp;$S638)+(COUNTIFS($A$14:$A$1213,$A638,$S$14:$S$1213,"="&amp;$S638)+1)/2,"")</f>
        <v/>
      </c>
      <c r="AG638" s="27">
        <f>IF(ISNUMBER($T638),COUNTIFS($A$14:$A$1213,$A638,$T$14:$T$1213,"&gt;"&amp;$T638)+(COUNTIFS($A$14:$A$1213,$A638,$T$14:$T$1213,"="&amp;$T638)+1)/2,"")</f>
        <v/>
      </c>
      <c r="AH638" s="27">
        <f>IF(COUNT($AC638:$AG638)&lt;2,"",IF(MAX($AC638:$AG638)=MIN($AC638:$AG638),0,1))</f>
        <v/>
      </c>
      <c r="AI638" s="27">
        <f>IF($A638="","",IF(COUNTIF($A$14:$A638,$A638)=1,COUNTIF($AI$13:AI637,"&gt;0")+1,""))</f>
        <v/>
      </c>
      <c r="AO638" s="27">
        <f>IF($A638="","",IF(AND(COUNTIFS($A$14:$A$1213,$A638,$F$14:$F$1213,"&gt;=0")=2,IFERROR(INDEX($M$14:$M$313,MATCH($A638,$H$14:$H$313,0)),"Yes")&lt;&gt;"Yes"),1,0))</f>
        <v/>
      </c>
    </row>
    <row r="639">
      <c r="A639" s="19">
        <f>IF('Enter messages'!A639="","",'Enter messages'!A639)</f>
        <v/>
      </c>
      <c r="B639" s="20">
        <f>IF('Enter messages'!B639="","",'Enter messages'!B639)</f>
        <v/>
      </c>
      <c r="C639" s="21">
        <f>IFERROR(AVERAGE(P639:T639),"")</f>
        <v/>
      </c>
      <c r="D639" s="29" t="n"/>
      <c r="E639" s="29" t="n"/>
      <c r="F639" s="30">
        <f>IF(AND(ISNUMBER($D639),ISNUMBER($E639),$E639&gt;0,$D639&lt;=$E639),$D639/$E639,"")</f>
        <v/>
      </c>
      <c r="P639" s="26" t="n"/>
      <c r="Q639" s="26" t="n"/>
      <c r="R639" s="26" t="n"/>
      <c r="S639" s="26" t="n"/>
      <c r="T639" s="26" t="n"/>
      <c r="V639" s="27">
        <f>IF(ISNUMBER($C639),COUNTIFS($A$14:$A$1213,$A639,$C$14:$C$1213,"&gt;"&amp;$C639)+(COUNTIFS($A$14:$A$1213,$A639,$C$14:$C$1213,"="&amp;$C639)+1)/2,"")</f>
        <v/>
      </c>
      <c r="W639" s="27">
        <f>IF(ISNUMBER($F639),COUNTIFS($A$14:$A$1213,$A639,$F$14:$F$1213,"&gt;"&amp;$F639)+(COUNTIFS($A$14:$A$1213,$A639,$F$14:$F$1213,"="&amp;$F639)+1)/2,"")</f>
        <v/>
      </c>
      <c r="X639" s="27">
        <f>IF(OR(NOT(ISNUMBER($V639)),$AO639=1),"",$V639-(COUNTIFS($A$14:$A$1213,$A639,$C$14:$C$1213,"&gt;=0")+1)/2)</f>
        <v/>
      </c>
      <c r="Y639" s="27">
        <f>IF(OR(NOT(ISNUMBER($W639)),$AO639=1),"",$W639-(COUNTIFS($A$14:$A$1213,$A639,$F$14:$F$1213,"&gt;=0")+1)/2)</f>
        <v/>
      </c>
      <c r="Z639" s="27">
        <f>IF(ISNUMBER($V639),$A639&amp;"|"&amp;$V639,"")</f>
        <v/>
      </c>
      <c r="AA639" s="27">
        <f>IF(ISNUMBER($W639),$A639&amp;"|"&amp;$W639,"")</f>
        <v/>
      </c>
      <c r="AB639" s="27">
        <f>IF(ISNUMBER($F639),$A639&amp;"|"&amp;$F639,"")</f>
        <v/>
      </c>
      <c r="AC639" s="27">
        <f>IF(ISNUMBER($P639),COUNTIFS($A$14:$A$1213,$A639,$P$14:$P$1213,"&gt;"&amp;$P639)+(COUNTIFS($A$14:$A$1213,$A639,$P$14:$P$1213,"="&amp;$P639)+1)/2,"")</f>
        <v/>
      </c>
      <c r="AD639" s="27">
        <f>IF(ISNUMBER($Q639),COUNTIFS($A$14:$A$1213,$A639,$Q$14:$Q$1213,"&gt;"&amp;$Q639)+(COUNTIFS($A$14:$A$1213,$A639,$Q$14:$Q$1213,"="&amp;$Q639)+1)/2,"")</f>
        <v/>
      </c>
      <c r="AE639" s="27">
        <f>IF(ISNUMBER($R639),COUNTIFS($A$14:$A$1213,$A639,$R$14:$R$1213,"&gt;"&amp;$R639)+(COUNTIFS($A$14:$A$1213,$A639,$R$14:$R$1213,"="&amp;$R639)+1)/2,"")</f>
        <v/>
      </c>
      <c r="AF639" s="27">
        <f>IF(ISNUMBER($S639),COUNTIFS($A$14:$A$1213,$A639,$S$14:$S$1213,"&gt;"&amp;$S639)+(COUNTIFS($A$14:$A$1213,$A639,$S$14:$S$1213,"="&amp;$S639)+1)/2,"")</f>
        <v/>
      </c>
      <c r="AG639" s="27">
        <f>IF(ISNUMBER($T639),COUNTIFS($A$14:$A$1213,$A639,$T$14:$T$1213,"&gt;"&amp;$T639)+(COUNTIFS($A$14:$A$1213,$A639,$T$14:$T$1213,"="&amp;$T639)+1)/2,"")</f>
        <v/>
      </c>
      <c r="AH639" s="27">
        <f>IF(COUNT($AC639:$AG639)&lt;2,"",IF(MAX($AC639:$AG639)=MIN($AC639:$AG639),0,1))</f>
        <v/>
      </c>
      <c r="AI639" s="27">
        <f>IF($A639="","",IF(COUNTIF($A$14:$A639,$A639)=1,COUNTIF($AI$13:AI638,"&gt;0")+1,""))</f>
        <v/>
      </c>
      <c r="AO639" s="27">
        <f>IF($A639="","",IF(AND(COUNTIFS($A$14:$A$1213,$A639,$F$14:$F$1213,"&gt;=0")=2,IFERROR(INDEX($M$14:$M$313,MATCH($A639,$H$14:$H$313,0)),"Yes")&lt;&gt;"Yes"),1,0))</f>
        <v/>
      </c>
    </row>
    <row r="640">
      <c r="A640" s="19">
        <f>IF('Enter messages'!A640="","",'Enter messages'!A640)</f>
        <v/>
      </c>
      <c r="B640" s="20">
        <f>IF('Enter messages'!B640="","",'Enter messages'!B640)</f>
        <v/>
      </c>
      <c r="C640" s="21">
        <f>IFERROR(AVERAGE(P640:T640),"")</f>
        <v/>
      </c>
      <c r="D640" s="29" t="n"/>
      <c r="E640" s="29" t="n"/>
      <c r="F640" s="30">
        <f>IF(AND(ISNUMBER($D640),ISNUMBER($E640),$E640&gt;0,$D640&lt;=$E640),$D640/$E640,"")</f>
        <v/>
      </c>
      <c r="P640" s="26" t="n"/>
      <c r="Q640" s="26" t="n"/>
      <c r="R640" s="26" t="n"/>
      <c r="S640" s="26" t="n"/>
      <c r="T640" s="26" t="n"/>
      <c r="V640" s="27">
        <f>IF(ISNUMBER($C640),COUNTIFS($A$14:$A$1213,$A640,$C$14:$C$1213,"&gt;"&amp;$C640)+(COUNTIFS($A$14:$A$1213,$A640,$C$14:$C$1213,"="&amp;$C640)+1)/2,"")</f>
        <v/>
      </c>
      <c r="W640" s="27">
        <f>IF(ISNUMBER($F640),COUNTIFS($A$14:$A$1213,$A640,$F$14:$F$1213,"&gt;"&amp;$F640)+(COUNTIFS($A$14:$A$1213,$A640,$F$14:$F$1213,"="&amp;$F640)+1)/2,"")</f>
        <v/>
      </c>
      <c r="X640" s="27">
        <f>IF(OR(NOT(ISNUMBER($V640)),$AO640=1),"",$V640-(COUNTIFS($A$14:$A$1213,$A640,$C$14:$C$1213,"&gt;=0")+1)/2)</f>
        <v/>
      </c>
      <c r="Y640" s="27">
        <f>IF(OR(NOT(ISNUMBER($W640)),$AO640=1),"",$W640-(COUNTIFS($A$14:$A$1213,$A640,$F$14:$F$1213,"&gt;=0")+1)/2)</f>
        <v/>
      </c>
      <c r="Z640" s="27">
        <f>IF(ISNUMBER($V640),$A640&amp;"|"&amp;$V640,"")</f>
        <v/>
      </c>
      <c r="AA640" s="27">
        <f>IF(ISNUMBER($W640),$A640&amp;"|"&amp;$W640,"")</f>
        <v/>
      </c>
      <c r="AB640" s="27">
        <f>IF(ISNUMBER($F640),$A640&amp;"|"&amp;$F640,"")</f>
        <v/>
      </c>
      <c r="AC640" s="27">
        <f>IF(ISNUMBER($P640),COUNTIFS($A$14:$A$1213,$A640,$P$14:$P$1213,"&gt;"&amp;$P640)+(COUNTIFS($A$14:$A$1213,$A640,$P$14:$P$1213,"="&amp;$P640)+1)/2,"")</f>
        <v/>
      </c>
      <c r="AD640" s="27">
        <f>IF(ISNUMBER($Q640),COUNTIFS($A$14:$A$1213,$A640,$Q$14:$Q$1213,"&gt;"&amp;$Q640)+(COUNTIFS($A$14:$A$1213,$A640,$Q$14:$Q$1213,"="&amp;$Q640)+1)/2,"")</f>
        <v/>
      </c>
      <c r="AE640" s="27">
        <f>IF(ISNUMBER($R640),COUNTIFS($A$14:$A$1213,$A640,$R$14:$R$1213,"&gt;"&amp;$R640)+(COUNTIFS($A$14:$A$1213,$A640,$R$14:$R$1213,"="&amp;$R640)+1)/2,"")</f>
        <v/>
      </c>
      <c r="AF640" s="27">
        <f>IF(ISNUMBER($S640),COUNTIFS($A$14:$A$1213,$A640,$S$14:$S$1213,"&gt;"&amp;$S640)+(COUNTIFS($A$14:$A$1213,$A640,$S$14:$S$1213,"="&amp;$S640)+1)/2,"")</f>
        <v/>
      </c>
      <c r="AG640" s="27">
        <f>IF(ISNUMBER($T640),COUNTIFS($A$14:$A$1213,$A640,$T$14:$T$1213,"&gt;"&amp;$T640)+(COUNTIFS($A$14:$A$1213,$A640,$T$14:$T$1213,"="&amp;$T640)+1)/2,"")</f>
        <v/>
      </c>
      <c r="AH640" s="27">
        <f>IF(COUNT($AC640:$AG640)&lt;2,"",IF(MAX($AC640:$AG640)=MIN($AC640:$AG640),0,1))</f>
        <v/>
      </c>
      <c r="AI640" s="27">
        <f>IF($A640="","",IF(COUNTIF($A$14:$A640,$A640)=1,COUNTIF($AI$13:AI639,"&gt;0")+1,""))</f>
        <v/>
      </c>
      <c r="AO640" s="27">
        <f>IF($A640="","",IF(AND(COUNTIFS($A$14:$A$1213,$A640,$F$14:$F$1213,"&gt;=0")=2,IFERROR(INDEX($M$14:$M$313,MATCH($A640,$H$14:$H$313,0)),"Yes")&lt;&gt;"Yes"),1,0))</f>
        <v/>
      </c>
    </row>
    <row r="641">
      <c r="A641" s="19">
        <f>IF('Enter messages'!A641="","",'Enter messages'!A641)</f>
        <v/>
      </c>
      <c r="B641" s="20">
        <f>IF('Enter messages'!B641="","",'Enter messages'!B641)</f>
        <v/>
      </c>
      <c r="C641" s="21">
        <f>IFERROR(AVERAGE(P641:T641),"")</f>
        <v/>
      </c>
      <c r="D641" s="29" t="n"/>
      <c r="E641" s="29" t="n"/>
      <c r="F641" s="30">
        <f>IF(AND(ISNUMBER($D641),ISNUMBER($E641),$E641&gt;0,$D641&lt;=$E641),$D641/$E641,"")</f>
        <v/>
      </c>
      <c r="P641" s="26" t="n"/>
      <c r="Q641" s="26" t="n"/>
      <c r="R641" s="26" t="n"/>
      <c r="S641" s="26" t="n"/>
      <c r="T641" s="26" t="n"/>
      <c r="V641" s="27">
        <f>IF(ISNUMBER($C641),COUNTIFS($A$14:$A$1213,$A641,$C$14:$C$1213,"&gt;"&amp;$C641)+(COUNTIFS($A$14:$A$1213,$A641,$C$14:$C$1213,"="&amp;$C641)+1)/2,"")</f>
        <v/>
      </c>
      <c r="W641" s="27">
        <f>IF(ISNUMBER($F641),COUNTIFS($A$14:$A$1213,$A641,$F$14:$F$1213,"&gt;"&amp;$F641)+(COUNTIFS($A$14:$A$1213,$A641,$F$14:$F$1213,"="&amp;$F641)+1)/2,"")</f>
        <v/>
      </c>
      <c r="X641" s="27">
        <f>IF(OR(NOT(ISNUMBER($V641)),$AO641=1),"",$V641-(COUNTIFS($A$14:$A$1213,$A641,$C$14:$C$1213,"&gt;=0")+1)/2)</f>
        <v/>
      </c>
      <c r="Y641" s="27">
        <f>IF(OR(NOT(ISNUMBER($W641)),$AO641=1),"",$W641-(COUNTIFS($A$14:$A$1213,$A641,$F$14:$F$1213,"&gt;=0")+1)/2)</f>
        <v/>
      </c>
      <c r="Z641" s="27">
        <f>IF(ISNUMBER($V641),$A641&amp;"|"&amp;$V641,"")</f>
        <v/>
      </c>
      <c r="AA641" s="27">
        <f>IF(ISNUMBER($W641),$A641&amp;"|"&amp;$W641,"")</f>
        <v/>
      </c>
      <c r="AB641" s="27">
        <f>IF(ISNUMBER($F641),$A641&amp;"|"&amp;$F641,"")</f>
        <v/>
      </c>
      <c r="AC641" s="27">
        <f>IF(ISNUMBER($P641),COUNTIFS($A$14:$A$1213,$A641,$P$14:$P$1213,"&gt;"&amp;$P641)+(COUNTIFS($A$14:$A$1213,$A641,$P$14:$P$1213,"="&amp;$P641)+1)/2,"")</f>
        <v/>
      </c>
      <c r="AD641" s="27">
        <f>IF(ISNUMBER($Q641),COUNTIFS($A$14:$A$1213,$A641,$Q$14:$Q$1213,"&gt;"&amp;$Q641)+(COUNTIFS($A$14:$A$1213,$A641,$Q$14:$Q$1213,"="&amp;$Q641)+1)/2,"")</f>
        <v/>
      </c>
      <c r="AE641" s="27">
        <f>IF(ISNUMBER($R641),COUNTIFS($A$14:$A$1213,$A641,$R$14:$R$1213,"&gt;"&amp;$R641)+(COUNTIFS($A$14:$A$1213,$A641,$R$14:$R$1213,"="&amp;$R641)+1)/2,"")</f>
        <v/>
      </c>
      <c r="AF641" s="27">
        <f>IF(ISNUMBER($S641),COUNTIFS($A$14:$A$1213,$A641,$S$14:$S$1213,"&gt;"&amp;$S641)+(COUNTIFS($A$14:$A$1213,$A641,$S$14:$S$1213,"="&amp;$S641)+1)/2,"")</f>
        <v/>
      </c>
      <c r="AG641" s="27">
        <f>IF(ISNUMBER($T641),COUNTIFS($A$14:$A$1213,$A641,$T$14:$T$1213,"&gt;"&amp;$T641)+(COUNTIFS($A$14:$A$1213,$A641,$T$14:$T$1213,"="&amp;$T641)+1)/2,"")</f>
        <v/>
      </c>
      <c r="AH641" s="27">
        <f>IF(COUNT($AC641:$AG641)&lt;2,"",IF(MAX($AC641:$AG641)=MIN($AC641:$AG641),0,1))</f>
        <v/>
      </c>
      <c r="AI641" s="27">
        <f>IF($A641="","",IF(COUNTIF($A$14:$A641,$A641)=1,COUNTIF($AI$13:AI640,"&gt;0")+1,""))</f>
        <v/>
      </c>
      <c r="AO641" s="27">
        <f>IF($A641="","",IF(AND(COUNTIFS($A$14:$A$1213,$A641,$F$14:$F$1213,"&gt;=0")=2,IFERROR(INDEX($M$14:$M$313,MATCH($A641,$H$14:$H$313,0)),"Yes")&lt;&gt;"Yes"),1,0))</f>
        <v/>
      </c>
    </row>
    <row r="642">
      <c r="A642" s="19">
        <f>IF('Enter messages'!A642="","",'Enter messages'!A642)</f>
        <v/>
      </c>
      <c r="B642" s="20">
        <f>IF('Enter messages'!B642="","",'Enter messages'!B642)</f>
        <v/>
      </c>
      <c r="C642" s="21">
        <f>IFERROR(AVERAGE(P642:T642),"")</f>
        <v/>
      </c>
      <c r="D642" s="29" t="n"/>
      <c r="E642" s="29" t="n"/>
      <c r="F642" s="30">
        <f>IF(AND(ISNUMBER($D642),ISNUMBER($E642),$E642&gt;0,$D642&lt;=$E642),$D642/$E642,"")</f>
        <v/>
      </c>
      <c r="P642" s="26" t="n"/>
      <c r="Q642" s="26" t="n"/>
      <c r="R642" s="26" t="n"/>
      <c r="S642" s="26" t="n"/>
      <c r="T642" s="26" t="n"/>
      <c r="V642" s="27">
        <f>IF(ISNUMBER($C642),COUNTIFS($A$14:$A$1213,$A642,$C$14:$C$1213,"&gt;"&amp;$C642)+(COUNTIFS($A$14:$A$1213,$A642,$C$14:$C$1213,"="&amp;$C642)+1)/2,"")</f>
        <v/>
      </c>
      <c r="W642" s="27">
        <f>IF(ISNUMBER($F642),COUNTIFS($A$14:$A$1213,$A642,$F$14:$F$1213,"&gt;"&amp;$F642)+(COUNTIFS($A$14:$A$1213,$A642,$F$14:$F$1213,"="&amp;$F642)+1)/2,"")</f>
        <v/>
      </c>
      <c r="X642" s="27">
        <f>IF(OR(NOT(ISNUMBER($V642)),$AO642=1),"",$V642-(COUNTIFS($A$14:$A$1213,$A642,$C$14:$C$1213,"&gt;=0")+1)/2)</f>
        <v/>
      </c>
      <c r="Y642" s="27">
        <f>IF(OR(NOT(ISNUMBER($W642)),$AO642=1),"",$W642-(COUNTIFS($A$14:$A$1213,$A642,$F$14:$F$1213,"&gt;=0")+1)/2)</f>
        <v/>
      </c>
      <c r="Z642" s="27">
        <f>IF(ISNUMBER($V642),$A642&amp;"|"&amp;$V642,"")</f>
        <v/>
      </c>
      <c r="AA642" s="27">
        <f>IF(ISNUMBER($W642),$A642&amp;"|"&amp;$W642,"")</f>
        <v/>
      </c>
      <c r="AB642" s="27">
        <f>IF(ISNUMBER($F642),$A642&amp;"|"&amp;$F642,"")</f>
        <v/>
      </c>
      <c r="AC642" s="27">
        <f>IF(ISNUMBER($P642),COUNTIFS($A$14:$A$1213,$A642,$P$14:$P$1213,"&gt;"&amp;$P642)+(COUNTIFS($A$14:$A$1213,$A642,$P$14:$P$1213,"="&amp;$P642)+1)/2,"")</f>
        <v/>
      </c>
      <c r="AD642" s="27">
        <f>IF(ISNUMBER($Q642),COUNTIFS($A$14:$A$1213,$A642,$Q$14:$Q$1213,"&gt;"&amp;$Q642)+(COUNTIFS($A$14:$A$1213,$A642,$Q$14:$Q$1213,"="&amp;$Q642)+1)/2,"")</f>
        <v/>
      </c>
      <c r="AE642" s="27">
        <f>IF(ISNUMBER($R642),COUNTIFS($A$14:$A$1213,$A642,$R$14:$R$1213,"&gt;"&amp;$R642)+(COUNTIFS($A$14:$A$1213,$A642,$R$14:$R$1213,"="&amp;$R642)+1)/2,"")</f>
        <v/>
      </c>
      <c r="AF642" s="27">
        <f>IF(ISNUMBER($S642),COUNTIFS($A$14:$A$1213,$A642,$S$14:$S$1213,"&gt;"&amp;$S642)+(COUNTIFS($A$14:$A$1213,$A642,$S$14:$S$1213,"="&amp;$S642)+1)/2,"")</f>
        <v/>
      </c>
      <c r="AG642" s="27">
        <f>IF(ISNUMBER($T642),COUNTIFS($A$14:$A$1213,$A642,$T$14:$T$1213,"&gt;"&amp;$T642)+(COUNTIFS($A$14:$A$1213,$A642,$T$14:$T$1213,"="&amp;$T642)+1)/2,"")</f>
        <v/>
      </c>
      <c r="AH642" s="27">
        <f>IF(COUNT($AC642:$AG642)&lt;2,"",IF(MAX($AC642:$AG642)=MIN($AC642:$AG642),0,1))</f>
        <v/>
      </c>
      <c r="AI642" s="27">
        <f>IF($A642="","",IF(COUNTIF($A$14:$A642,$A642)=1,COUNTIF($AI$13:AI641,"&gt;0")+1,""))</f>
        <v/>
      </c>
      <c r="AO642" s="27">
        <f>IF($A642="","",IF(AND(COUNTIFS($A$14:$A$1213,$A642,$F$14:$F$1213,"&gt;=0")=2,IFERROR(INDEX($M$14:$M$313,MATCH($A642,$H$14:$H$313,0)),"Yes")&lt;&gt;"Yes"),1,0))</f>
        <v/>
      </c>
    </row>
    <row r="643">
      <c r="A643" s="19">
        <f>IF('Enter messages'!A643="","",'Enter messages'!A643)</f>
        <v/>
      </c>
      <c r="B643" s="20">
        <f>IF('Enter messages'!B643="","",'Enter messages'!B643)</f>
        <v/>
      </c>
      <c r="C643" s="21">
        <f>IFERROR(AVERAGE(P643:T643),"")</f>
        <v/>
      </c>
      <c r="D643" s="29" t="n"/>
      <c r="E643" s="29" t="n"/>
      <c r="F643" s="30">
        <f>IF(AND(ISNUMBER($D643),ISNUMBER($E643),$E643&gt;0,$D643&lt;=$E643),$D643/$E643,"")</f>
        <v/>
      </c>
      <c r="P643" s="26" t="n"/>
      <c r="Q643" s="26" t="n"/>
      <c r="R643" s="26" t="n"/>
      <c r="S643" s="26" t="n"/>
      <c r="T643" s="26" t="n"/>
      <c r="V643" s="27">
        <f>IF(ISNUMBER($C643),COUNTIFS($A$14:$A$1213,$A643,$C$14:$C$1213,"&gt;"&amp;$C643)+(COUNTIFS($A$14:$A$1213,$A643,$C$14:$C$1213,"="&amp;$C643)+1)/2,"")</f>
        <v/>
      </c>
      <c r="W643" s="27">
        <f>IF(ISNUMBER($F643),COUNTIFS($A$14:$A$1213,$A643,$F$14:$F$1213,"&gt;"&amp;$F643)+(COUNTIFS($A$14:$A$1213,$A643,$F$14:$F$1213,"="&amp;$F643)+1)/2,"")</f>
        <v/>
      </c>
      <c r="X643" s="27">
        <f>IF(OR(NOT(ISNUMBER($V643)),$AO643=1),"",$V643-(COUNTIFS($A$14:$A$1213,$A643,$C$14:$C$1213,"&gt;=0")+1)/2)</f>
        <v/>
      </c>
      <c r="Y643" s="27">
        <f>IF(OR(NOT(ISNUMBER($W643)),$AO643=1),"",$W643-(COUNTIFS($A$14:$A$1213,$A643,$F$14:$F$1213,"&gt;=0")+1)/2)</f>
        <v/>
      </c>
      <c r="Z643" s="27">
        <f>IF(ISNUMBER($V643),$A643&amp;"|"&amp;$V643,"")</f>
        <v/>
      </c>
      <c r="AA643" s="27">
        <f>IF(ISNUMBER($W643),$A643&amp;"|"&amp;$W643,"")</f>
        <v/>
      </c>
      <c r="AB643" s="27">
        <f>IF(ISNUMBER($F643),$A643&amp;"|"&amp;$F643,"")</f>
        <v/>
      </c>
      <c r="AC643" s="27">
        <f>IF(ISNUMBER($P643),COUNTIFS($A$14:$A$1213,$A643,$P$14:$P$1213,"&gt;"&amp;$P643)+(COUNTIFS($A$14:$A$1213,$A643,$P$14:$P$1213,"="&amp;$P643)+1)/2,"")</f>
        <v/>
      </c>
      <c r="AD643" s="27">
        <f>IF(ISNUMBER($Q643),COUNTIFS($A$14:$A$1213,$A643,$Q$14:$Q$1213,"&gt;"&amp;$Q643)+(COUNTIFS($A$14:$A$1213,$A643,$Q$14:$Q$1213,"="&amp;$Q643)+1)/2,"")</f>
        <v/>
      </c>
      <c r="AE643" s="27">
        <f>IF(ISNUMBER($R643),COUNTIFS($A$14:$A$1213,$A643,$R$14:$R$1213,"&gt;"&amp;$R643)+(COUNTIFS($A$14:$A$1213,$A643,$R$14:$R$1213,"="&amp;$R643)+1)/2,"")</f>
        <v/>
      </c>
      <c r="AF643" s="27">
        <f>IF(ISNUMBER($S643),COUNTIFS($A$14:$A$1213,$A643,$S$14:$S$1213,"&gt;"&amp;$S643)+(COUNTIFS($A$14:$A$1213,$A643,$S$14:$S$1213,"="&amp;$S643)+1)/2,"")</f>
        <v/>
      </c>
      <c r="AG643" s="27">
        <f>IF(ISNUMBER($T643),COUNTIFS($A$14:$A$1213,$A643,$T$14:$T$1213,"&gt;"&amp;$T643)+(COUNTIFS($A$14:$A$1213,$A643,$T$14:$T$1213,"="&amp;$T643)+1)/2,"")</f>
        <v/>
      </c>
      <c r="AH643" s="27">
        <f>IF(COUNT($AC643:$AG643)&lt;2,"",IF(MAX($AC643:$AG643)=MIN($AC643:$AG643),0,1))</f>
        <v/>
      </c>
      <c r="AI643" s="27">
        <f>IF($A643="","",IF(COUNTIF($A$14:$A643,$A643)=1,COUNTIF($AI$13:AI642,"&gt;0")+1,""))</f>
        <v/>
      </c>
      <c r="AO643" s="27">
        <f>IF($A643="","",IF(AND(COUNTIFS($A$14:$A$1213,$A643,$F$14:$F$1213,"&gt;=0")=2,IFERROR(INDEX($M$14:$M$313,MATCH($A643,$H$14:$H$313,0)),"Yes")&lt;&gt;"Yes"),1,0))</f>
        <v/>
      </c>
    </row>
    <row r="644">
      <c r="A644" s="19">
        <f>IF('Enter messages'!A644="","",'Enter messages'!A644)</f>
        <v/>
      </c>
      <c r="B644" s="20">
        <f>IF('Enter messages'!B644="","",'Enter messages'!B644)</f>
        <v/>
      </c>
      <c r="C644" s="21">
        <f>IFERROR(AVERAGE(P644:T644),"")</f>
        <v/>
      </c>
      <c r="D644" s="29" t="n"/>
      <c r="E644" s="29" t="n"/>
      <c r="F644" s="30">
        <f>IF(AND(ISNUMBER($D644),ISNUMBER($E644),$E644&gt;0,$D644&lt;=$E644),$D644/$E644,"")</f>
        <v/>
      </c>
      <c r="P644" s="26" t="n"/>
      <c r="Q644" s="26" t="n"/>
      <c r="R644" s="26" t="n"/>
      <c r="S644" s="26" t="n"/>
      <c r="T644" s="26" t="n"/>
      <c r="V644" s="27">
        <f>IF(ISNUMBER($C644),COUNTIFS($A$14:$A$1213,$A644,$C$14:$C$1213,"&gt;"&amp;$C644)+(COUNTIFS($A$14:$A$1213,$A644,$C$14:$C$1213,"="&amp;$C644)+1)/2,"")</f>
        <v/>
      </c>
      <c r="W644" s="27">
        <f>IF(ISNUMBER($F644),COUNTIFS($A$14:$A$1213,$A644,$F$14:$F$1213,"&gt;"&amp;$F644)+(COUNTIFS($A$14:$A$1213,$A644,$F$14:$F$1213,"="&amp;$F644)+1)/2,"")</f>
        <v/>
      </c>
      <c r="X644" s="27">
        <f>IF(OR(NOT(ISNUMBER($V644)),$AO644=1),"",$V644-(COUNTIFS($A$14:$A$1213,$A644,$C$14:$C$1213,"&gt;=0")+1)/2)</f>
        <v/>
      </c>
      <c r="Y644" s="27">
        <f>IF(OR(NOT(ISNUMBER($W644)),$AO644=1),"",$W644-(COUNTIFS($A$14:$A$1213,$A644,$F$14:$F$1213,"&gt;=0")+1)/2)</f>
        <v/>
      </c>
      <c r="Z644" s="27">
        <f>IF(ISNUMBER($V644),$A644&amp;"|"&amp;$V644,"")</f>
        <v/>
      </c>
      <c r="AA644" s="27">
        <f>IF(ISNUMBER($W644),$A644&amp;"|"&amp;$W644,"")</f>
        <v/>
      </c>
      <c r="AB644" s="27">
        <f>IF(ISNUMBER($F644),$A644&amp;"|"&amp;$F644,"")</f>
        <v/>
      </c>
      <c r="AC644" s="27">
        <f>IF(ISNUMBER($P644),COUNTIFS($A$14:$A$1213,$A644,$P$14:$P$1213,"&gt;"&amp;$P644)+(COUNTIFS($A$14:$A$1213,$A644,$P$14:$P$1213,"="&amp;$P644)+1)/2,"")</f>
        <v/>
      </c>
      <c r="AD644" s="27">
        <f>IF(ISNUMBER($Q644),COUNTIFS($A$14:$A$1213,$A644,$Q$14:$Q$1213,"&gt;"&amp;$Q644)+(COUNTIFS($A$14:$A$1213,$A644,$Q$14:$Q$1213,"="&amp;$Q644)+1)/2,"")</f>
        <v/>
      </c>
      <c r="AE644" s="27">
        <f>IF(ISNUMBER($R644),COUNTIFS($A$14:$A$1213,$A644,$R$14:$R$1213,"&gt;"&amp;$R644)+(COUNTIFS($A$14:$A$1213,$A644,$R$14:$R$1213,"="&amp;$R644)+1)/2,"")</f>
        <v/>
      </c>
      <c r="AF644" s="27">
        <f>IF(ISNUMBER($S644),COUNTIFS($A$14:$A$1213,$A644,$S$14:$S$1213,"&gt;"&amp;$S644)+(COUNTIFS($A$14:$A$1213,$A644,$S$14:$S$1213,"="&amp;$S644)+1)/2,"")</f>
        <v/>
      </c>
      <c r="AG644" s="27">
        <f>IF(ISNUMBER($T644),COUNTIFS($A$14:$A$1213,$A644,$T$14:$T$1213,"&gt;"&amp;$T644)+(COUNTIFS($A$14:$A$1213,$A644,$T$14:$T$1213,"="&amp;$T644)+1)/2,"")</f>
        <v/>
      </c>
      <c r="AH644" s="27">
        <f>IF(COUNT($AC644:$AG644)&lt;2,"",IF(MAX($AC644:$AG644)=MIN($AC644:$AG644),0,1))</f>
        <v/>
      </c>
      <c r="AI644" s="27">
        <f>IF($A644="","",IF(COUNTIF($A$14:$A644,$A644)=1,COUNTIF($AI$13:AI643,"&gt;0")+1,""))</f>
        <v/>
      </c>
      <c r="AO644" s="27">
        <f>IF($A644="","",IF(AND(COUNTIFS($A$14:$A$1213,$A644,$F$14:$F$1213,"&gt;=0")=2,IFERROR(INDEX($M$14:$M$313,MATCH($A644,$H$14:$H$313,0)),"Yes")&lt;&gt;"Yes"),1,0))</f>
        <v/>
      </c>
    </row>
    <row r="645">
      <c r="A645" s="19">
        <f>IF('Enter messages'!A645="","",'Enter messages'!A645)</f>
        <v/>
      </c>
      <c r="B645" s="20">
        <f>IF('Enter messages'!B645="","",'Enter messages'!B645)</f>
        <v/>
      </c>
      <c r="C645" s="21">
        <f>IFERROR(AVERAGE(P645:T645),"")</f>
        <v/>
      </c>
      <c r="D645" s="29" t="n"/>
      <c r="E645" s="29" t="n"/>
      <c r="F645" s="30">
        <f>IF(AND(ISNUMBER($D645),ISNUMBER($E645),$E645&gt;0,$D645&lt;=$E645),$D645/$E645,"")</f>
        <v/>
      </c>
      <c r="P645" s="26" t="n"/>
      <c r="Q645" s="26" t="n"/>
      <c r="R645" s="26" t="n"/>
      <c r="S645" s="26" t="n"/>
      <c r="T645" s="26" t="n"/>
      <c r="V645" s="27">
        <f>IF(ISNUMBER($C645),COUNTIFS($A$14:$A$1213,$A645,$C$14:$C$1213,"&gt;"&amp;$C645)+(COUNTIFS($A$14:$A$1213,$A645,$C$14:$C$1213,"="&amp;$C645)+1)/2,"")</f>
        <v/>
      </c>
      <c r="W645" s="27">
        <f>IF(ISNUMBER($F645),COUNTIFS($A$14:$A$1213,$A645,$F$14:$F$1213,"&gt;"&amp;$F645)+(COUNTIFS($A$14:$A$1213,$A645,$F$14:$F$1213,"="&amp;$F645)+1)/2,"")</f>
        <v/>
      </c>
      <c r="X645" s="27">
        <f>IF(OR(NOT(ISNUMBER($V645)),$AO645=1),"",$V645-(COUNTIFS($A$14:$A$1213,$A645,$C$14:$C$1213,"&gt;=0")+1)/2)</f>
        <v/>
      </c>
      <c r="Y645" s="27">
        <f>IF(OR(NOT(ISNUMBER($W645)),$AO645=1),"",$W645-(COUNTIFS($A$14:$A$1213,$A645,$F$14:$F$1213,"&gt;=0")+1)/2)</f>
        <v/>
      </c>
      <c r="Z645" s="27">
        <f>IF(ISNUMBER($V645),$A645&amp;"|"&amp;$V645,"")</f>
        <v/>
      </c>
      <c r="AA645" s="27">
        <f>IF(ISNUMBER($W645),$A645&amp;"|"&amp;$W645,"")</f>
        <v/>
      </c>
      <c r="AB645" s="27">
        <f>IF(ISNUMBER($F645),$A645&amp;"|"&amp;$F645,"")</f>
        <v/>
      </c>
      <c r="AC645" s="27">
        <f>IF(ISNUMBER($P645),COUNTIFS($A$14:$A$1213,$A645,$P$14:$P$1213,"&gt;"&amp;$P645)+(COUNTIFS($A$14:$A$1213,$A645,$P$14:$P$1213,"="&amp;$P645)+1)/2,"")</f>
        <v/>
      </c>
      <c r="AD645" s="27">
        <f>IF(ISNUMBER($Q645),COUNTIFS($A$14:$A$1213,$A645,$Q$14:$Q$1213,"&gt;"&amp;$Q645)+(COUNTIFS($A$14:$A$1213,$A645,$Q$14:$Q$1213,"="&amp;$Q645)+1)/2,"")</f>
        <v/>
      </c>
      <c r="AE645" s="27">
        <f>IF(ISNUMBER($R645),COUNTIFS($A$14:$A$1213,$A645,$R$14:$R$1213,"&gt;"&amp;$R645)+(COUNTIFS($A$14:$A$1213,$A645,$R$14:$R$1213,"="&amp;$R645)+1)/2,"")</f>
        <v/>
      </c>
      <c r="AF645" s="27">
        <f>IF(ISNUMBER($S645),COUNTIFS($A$14:$A$1213,$A645,$S$14:$S$1213,"&gt;"&amp;$S645)+(COUNTIFS($A$14:$A$1213,$A645,$S$14:$S$1213,"="&amp;$S645)+1)/2,"")</f>
        <v/>
      </c>
      <c r="AG645" s="27">
        <f>IF(ISNUMBER($T645),COUNTIFS($A$14:$A$1213,$A645,$T$14:$T$1213,"&gt;"&amp;$T645)+(COUNTIFS($A$14:$A$1213,$A645,$T$14:$T$1213,"="&amp;$T645)+1)/2,"")</f>
        <v/>
      </c>
      <c r="AH645" s="27">
        <f>IF(COUNT($AC645:$AG645)&lt;2,"",IF(MAX($AC645:$AG645)=MIN($AC645:$AG645),0,1))</f>
        <v/>
      </c>
      <c r="AI645" s="27">
        <f>IF($A645="","",IF(COUNTIF($A$14:$A645,$A645)=1,COUNTIF($AI$13:AI644,"&gt;0")+1,""))</f>
        <v/>
      </c>
      <c r="AO645" s="27">
        <f>IF($A645="","",IF(AND(COUNTIFS($A$14:$A$1213,$A645,$F$14:$F$1213,"&gt;=0")=2,IFERROR(INDEX($M$14:$M$313,MATCH($A645,$H$14:$H$313,0)),"Yes")&lt;&gt;"Yes"),1,0))</f>
        <v/>
      </c>
    </row>
    <row r="646">
      <c r="A646" s="19">
        <f>IF('Enter messages'!A646="","",'Enter messages'!A646)</f>
        <v/>
      </c>
      <c r="B646" s="20">
        <f>IF('Enter messages'!B646="","",'Enter messages'!B646)</f>
        <v/>
      </c>
      <c r="C646" s="21">
        <f>IFERROR(AVERAGE(P646:T646),"")</f>
        <v/>
      </c>
      <c r="D646" s="29" t="n"/>
      <c r="E646" s="29" t="n"/>
      <c r="F646" s="30">
        <f>IF(AND(ISNUMBER($D646),ISNUMBER($E646),$E646&gt;0,$D646&lt;=$E646),$D646/$E646,"")</f>
        <v/>
      </c>
      <c r="P646" s="26" t="n"/>
      <c r="Q646" s="26" t="n"/>
      <c r="R646" s="26" t="n"/>
      <c r="S646" s="26" t="n"/>
      <c r="T646" s="26" t="n"/>
      <c r="V646" s="27">
        <f>IF(ISNUMBER($C646),COUNTIFS($A$14:$A$1213,$A646,$C$14:$C$1213,"&gt;"&amp;$C646)+(COUNTIFS($A$14:$A$1213,$A646,$C$14:$C$1213,"="&amp;$C646)+1)/2,"")</f>
        <v/>
      </c>
      <c r="W646" s="27">
        <f>IF(ISNUMBER($F646),COUNTIFS($A$14:$A$1213,$A646,$F$14:$F$1213,"&gt;"&amp;$F646)+(COUNTIFS($A$14:$A$1213,$A646,$F$14:$F$1213,"="&amp;$F646)+1)/2,"")</f>
        <v/>
      </c>
      <c r="X646" s="27">
        <f>IF(OR(NOT(ISNUMBER($V646)),$AO646=1),"",$V646-(COUNTIFS($A$14:$A$1213,$A646,$C$14:$C$1213,"&gt;=0")+1)/2)</f>
        <v/>
      </c>
      <c r="Y646" s="27">
        <f>IF(OR(NOT(ISNUMBER($W646)),$AO646=1),"",$W646-(COUNTIFS($A$14:$A$1213,$A646,$F$14:$F$1213,"&gt;=0")+1)/2)</f>
        <v/>
      </c>
      <c r="Z646" s="27">
        <f>IF(ISNUMBER($V646),$A646&amp;"|"&amp;$V646,"")</f>
        <v/>
      </c>
      <c r="AA646" s="27">
        <f>IF(ISNUMBER($W646),$A646&amp;"|"&amp;$W646,"")</f>
        <v/>
      </c>
      <c r="AB646" s="27">
        <f>IF(ISNUMBER($F646),$A646&amp;"|"&amp;$F646,"")</f>
        <v/>
      </c>
      <c r="AC646" s="27">
        <f>IF(ISNUMBER($P646),COUNTIFS($A$14:$A$1213,$A646,$P$14:$P$1213,"&gt;"&amp;$P646)+(COUNTIFS($A$14:$A$1213,$A646,$P$14:$P$1213,"="&amp;$P646)+1)/2,"")</f>
        <v/>
      </c>
      <c r="AD646" s="27">
        <f>IF(ISNUMBER($Q646),COUNTIFS($A$14:$A$1213,$A646,$Q$14:$Q$1213,"&gt;"&amp;$Q646)+(COUNTIFS($A$14:$A$1213,$A646,$Q$14:$Q$1213,"="&amp;$Q646)+1)/2,"")</f>
        <v/>
      </c>
      <c r="AE646" s="27">
        <f>IF(ISNUMBER($R646),COUNTIFS($A$14:$A$1213,$A646,$R$14:$R$1213,"&gt;"&amp;$R646)+(COUNTIFS($A$14:$A$1213,$A646,$R$14:$R$1213,"="&amp;$R646)+1)/2,"")</f>
        <v/>
      </c>
      <c r="AF646" s="27">
        <f>IF(ISNUMBER($S646),COUNTIFS($A$14:$A$1213,$A646,$S$14:$S$1213,"&gt;"&amp;$S646)+(COUNTIFS($A$14:$A$1213,$A646,$S$14:$S$1213,"="&amp;$S646)+1)/2,"")</f>
        <v/>
      </c>
      <c r="AG646" s="27">
        <f>IF(ISNUMBER($T646),COUNTIFS($A$14:$A$1213,$A646,$T$14:$T$1213,"&gt;"&amp;$T646)+(COUNTIFS($A$14:$A$1213,$A646,$T$14:$T$1213,"="&amp;$T646)+1)/2,"")</f>
        <v/>
      </c>
      <c r="AH646" s="27">
        <f>IF(COUNT($AC646:$AG646)&lt;2,"",IF(MAX($AC646:$AG646)=MIN($AC646:$AG646),0,1))</f>
        <v/>
      </c>
      <c r="AI646" s="27">
        <f>IF($A646="","",IF(COUNTIF($A$14:$A646,$A646)=1,COUNTIF($AI$13:AI645,"&gt;0")+1,""))</f>
        <v/>
      </c>
      <c r="AO646" s="27">
        <f>IF($A646="","",IF(AND(COUNTIFS($A$14:$A$1213,$A646,$F$14:$F$1213,"&gt;=0")=2,IFERROR(INDEX($M$14:$M$313,MATCH($A646,$H$14:$H$313,0)),"Yes")&lt;&gt;"Yes"),1,0))</f>
        <v/>
      </c>
    </row>
    <row r="647">
      <c r="A647" s="19">
        <f>IF('Enter messages'!A647="","",'Enter messages'!A647)</f>
        <v/>
      </c>
      <c r="B647" s="20">
        <f>IF('Enter messages'!B647="","",'Enter messages'!B647)</f>
        <v/>
      </c>
      <c r="C647" s="21">
        <f>IFERROR(AVERAGE(P647:T647),"")</f>
        <v/>
      </c>
      <c r="D647" s="29" t="n"/>
      <c r="E647" s="29" t="n"/>
      <c r="F647" s="30">
        <f>IF(AND(ISNUMBER($D647),ISNUMBER($E647),$E647&gt;0,$D647&lt;=$E647),$D647/$E647,"")</f>
        <v/>
      </c>
      <c r="P647" s="26" t="n"/>
      <c r="Q647" s="26" t="n"/>
      <c r="R647" s="26" t="n"/>
      <c r="S647" s="26" t="n"/>
      <c r="T647" s="26" t="n"/>
      <c r="V647" s="27">
        <f>IF(ISNUMBER($C647),COUNTIFS($A$14:$A$1213,$A647,$C$14:$C$1213,"&gt;"&amp;$C647)+(COUNTIFS($A$14:$A$1213,$A647,$C$14:$C$1213,"="&amp;$C647)+1)/2,"")</f>
        <v/>
      </c>
      <c r="W647" s="27">
        <f>IF(ISNUMBER($F647),COUNTIFS($A$14:$A$1213,$A647,$F$14:$F$1213,"&gt;"&amp;$F647)+(COUNTIFS($A$14:$A$1213,$A647,$F$14:$F$1213,"="&amp;$F647)+1)/2,"")</f>
        <v/>
      </c>
      <c r="X647" s="27">
        <f>IF(OR(NOT(ISNUMBER($V647)),$AO647=1),"",$V647-(COUNTIFS($A$14:$A$1213,$A647,$C$14:$C$1213,"&gt;=0")+1)/2)</f>
        <v/>
      </c>
      <c r="Y647" s="27">
        <f>IF(OR(NOT(ISNUMBER($W647)),$AO647=1),"",$W647-(COUNTIFS($A$14:$A$1213,$A647,$F$14:$F$1213,"&gt;=0")+1)/2)</f>
        <v/>
      </c>
      <c r="Z647" s="27">
        <f>IF(ISNUMBER($V647),$A647&amp;"|"&amp;$V647,"")</f>
        <v/>
      </c>
      <c r="AA647" s="27">
        <f>IF(ISNUMBER($W647),$A647&amp;"|"&amp;$W647,"")</f>
        <v/>
      </c>
      <c r="AB647" s="27">
        <f>IF(ISNUMBER($F647),$A647&amp;"|"&amp;$F647,"")</f>
        <v/>
      </c>
      <c r="AC647" s="27">
        <f>IF(ISNUMBER($P647),COUNTIFS($A$14:$A$1213,$A647,$P$14:$P$1213,"&gt;"&amp;$P647)+(COUNTIFS($A$14:$A$1213,$A647,$P$14:$P$1213,"="&amp;$P647)+1)/2,"")</f>
        <v/>
      </c>
      <c r="AD647" s="27">
        <f>IF(ISNUMBER($Q647),COUNTIFS($A$14:$A$1213,$A647,$Q$14:$Q$1213,"&gt;"&amp;$Q647)+(COUNTIFS($A$14:$A$1213,$A647,$Q$14:$Q$1213,"="&amp;$Q647)+1)/2,"")</f>
        <v/>
      </c>
      <c r="AE647" s="27">
        <f>IF(ISNUMBER($R647),COUNTIFS($A$14:$A$1213,$A647,$R$14:$R$1213,"&gt;"&amp;$R647)+(COUNTIFS($A$14:$A$1213,$A647,$R$14:$R$1213,"="&amp;$R647)+1)/2,"")</f>
        <v/>
      </c>
      <c r="AF647" s="27">
        <f>IF(ISNUMBER($S647),COUNTIFS($A$14:$A$1213,$A647,$S$14:$S$1213,"&gt;"&amp;$S647)+(COUNTIFS($A$14:$A$1213,$A647,$S$14:$S$1213,"="&amp;$S647)+1)/2,"")</f>
        <v/>
      </c>
      <c r="AG647" s="27">
        <f>IF(ISNUMBER($T647),COUNTIFS($A$14:$A$1213,$A647,$T$14:$T$1213,"&gt;"&amp;$T647)+(COUNTIFS($A$14:$A$1213,$A647,$T$14:$T$1213,"="&amp;$T647)+1)/2,"")</f>
        <v/>
      </c>
      <c r="AH647" s="27">
        <f>IF(COUNT($AC647:$AG647)&lt;2,"",IF(MAX($AC647:$AG647)=MIN($AC647:$AG647),0,1))</f>
        <v/>
      </c>
      <c r="AI647" s="27">
        <f>IF($A647="","",IF(COUNTIF($A$14:$A647,$A647)=1,COUNTIF($AI$13:AI646,"&gt;0")+1,""))</f>
        <v/>
      </c>
      <c r="AO647" s="27">
        <f>IF($A647="","",IF(AND(COUNTIFS($A$14:$A$1213,$A647,$F$14:$F$1213,"&gt;=0")=2,IFERROR(INDEX($M$14:$M$313,MATCH($A647,$H$14:$H$313,0)),"Yes")&lt;&gt;"Yes"),1,0))</f>
        <v/>
      </c>
    </row>
    <row r="648">
      <c r="A648" s="19">
        <f>IF('Enter messages'!A648="","",'Enter messages'!A648)</f>
        <v/>
      </c>
      <c r="B648" s="20">
        <f>IF('Enter messages'!B648="","",'Enter messages'!B648)</f>
        <v/>
      </c>
      <c r="C648" s="21">
        <f>IFERROR(AVERAGE(P648:T648),"")</f>
        <v/>
      </c>
      <c r="D648" s="29" t="n"/>
      <c r="E648" s="29" t="n"/>
      <c r="F648" s="30">
        <f>IF(AND(ISNUMBER($D648),ISNUMBER($E648),$E648&gt;0,$D648&lt;=$E648),$D648/$E648,"")</f>
        <v/>
      </c>
      <c r="P648" s="26" t="n"/>
      <c r="Q648" s="26" t="n"/>
      <c r="R648" s="26" t="n"/>
      <c r="S648" s="26" t="n"/>
      <c r="T648" s="26" t="n"/>
      <c r="V648" s="27">
        <f>IF(ISNUMBER($C648),COUNTIFS($A$14:$A$1213,$A648,$C$14:$C$1213,"&gt;"&amp;$C648)+(COUNTIFS($A$14:$A$1213,$A648,$C$14:$C$1213,"="&amp;$C648)+1)/2,"")</f>
        <v/>
      </c>
      <c r="W648" s="27">
        <f>IF(ISNUMBER($F648),COUNTIFS($A$14:$A$1213,$A648,$F$14:$F$1213,"&gt;"&amp;$F648)+(COUNTIFS($A$14:$A$1213,$A648,$F$14:$F$1213,"="&amp;$F648)+1)/2,"")</f>
        <v/>
      </c>
      <c r="X648" s="27">
        <f>IF(OR(NOT(ISNUMBER($V648)),$AO648=1),"",$V648-(COUNTIFS($A$14:$A$1213,$A648,$C$14:$C$1213,"&gt;=0")+1)/2)</f>
        <v/>
      </c>
      <c r="Y648" s="27">
        <f>IF(OR(NOT(ISNUMBER($W648)),$AO648=1),"",$W648-(COUNTIFS($A$14:$A$1213,$A648,$F$14:$F$1213,"&gt;=0")+1)/2)</f>
        <v/>
      </c>
      <c r="Z648" s="27">
        <f>IF(ISNUMBER($V648),$A648&amp;"|"&amp;$V648,"")</f>
        <v/>
      </c>
      <c r="AA648" s="27">
        <f>IF(ISNUMBER($W648),$A648&amp;"|"&amp;$W648,"")</f>
        <v/>
      </c>
      <c r="AB648" s="27">
        <f>IF(ISNUMBER($F648),$A648&amp;"|"&amp;$F648,"")</f>
        <v/>
      </c>
      <c r="AC648" s="27">
        <f>IF(ISNUMBER($P648),COUNTIFS($A$14:$A$1213,$A648,$P$14:$P$1213,"&gt;"&amp;$P648)+(COUNTIFS($A$14:$A$1213,$A648,$P$14:$P$1213,"="&amp;$P648)+1)/2,"")</f>
        <v/>
      </c>
      <c r="AD648" s="27">
        <f>IF(ISNUMBER($Q648),COUNTIFS($A$14:$A$1213,$A648,$Q$14:$Q$1213,"&gt;"&amp;$Q648)+(COUNTIFS($A$14:$A$1213,$A648,$Q$14:$Q$1213,"="&amp;$Q648)+1)/2,"")</f>
        <v/>
      </c>
      <c r="AE648" s="27">
        <f>IF(ISNUMBER($R648),COUNTIFS($A$14:$A$1213,$A648,$R$14:$R$1213,"&gt;"&amp;$R648)+(COUNTIFS($A$14:$A$1213,$A648,$R$14:$R$1213,"="&amp;$R648)+1)/2,"")</f>
        <v/>
      </c>
      <c r="AF648" s="27">
        <f>IF(ISNUMBER($S648),COUNTIFS($A$14:$A$1213,$A648,$S$14:$S$1213,"&gt;"&amp;$S648)+(COUNTIFS($A$14:$A$1213,$A648,$S$14:$S$1213,"="&amp;$S648)+1)/2,"")</f>
        <v/>
      </c>
      <c r="AG648" s="27">
        <f>IF(ISNUMBER($T648),COUNTIFS($A$14:$A$1213,$A648,$T$14:$T$1213,"&gt;"&amp;$T648)+(COUNTIFS($A$14:$A$1213,$A648,$T$14:$T$1213,"="&amp;$T648)+1)/2,"")</f>
        <v/>
      </c>
      <c r="AH648" s="27">
        <f>IF(COUNT($AC648:$AG648)&lt;2,"",IF(MAX($AC648:$AG648)=MIN($AC648:$AG648),0,1))</f>
        <v/>
      </c>
      <c r="AI648" s="27">
        <f>IF($A648="","",IF(COUNTIF($A$14:$A648,$A648)=1,COUNTIF($AI$13:AI647,"&gt;0")+1,""))</f>
        <v/>
      </c>
      <c r="AO648" s="27">
        <f>IF($A648="","",IF(AND(COUNTIFS($A$14:$A$1213,$A648,$F$14:$F$1213,"&gt;=0")=2,IFERROR(INDEX($M$14:$M$313,MATCH($A648,$H$14:$H$313,0)),"Yes")&lt;&gt;"Yes"),1,0))</f>
        <v/>
      </c>
    </row>
    <row r="649">
      <c r="A649" s="19">
        <f>IF('Enter messages'!A649="","",'Enter messages'!A649)</f>
        <v/>
      </c>
      <c r="B649" s="20">
        <f>IF('Enter messages'!B649="","",'Enter messages'!B649)</f>
        <v/>
      </c>
      <c r="C649" s="21">
        <f>IFERROR(AVERAGE(P649:T649),"")</f>
        <v/>
      </c>
      <c r="D649" s="29" t="n"/>
      <c r="E649" s="29" t="n"/>
      <c r="F649" s="30">
        <f>IF(AND(ISNUMBER($D649),ISNUMBER($E649),$E649&gt;0,$D649&lt;=$E649),$D649/$E649,"")</f>
        <v/>
      </c>
      <c r="P649" s="26" t="n"/>
      <c r="Q649" s="26" t="n"/>
      <c r="R649" s="26" t="n"/>
      <c r="S649" s="26" t="n"/>
      <c r="T649" s="26" t="n"/>
      <c r="V649" s="27">
        <f>IF(ISNUMBER($C649),COUNTIFS($A$14:$A$1213,$A649,$C$14:$C$1213,"&gt;"&amp;$C649)+(COUNTIFS($A$14:$A$1213,$A649,$C$14:$C$1213,"="&amp;$C649)+1)/2,"")</f>
        <v/>
      </c>
      <c r="W649" s="27">
        <f>IF(ISNUMBER($F649),COUNTIFS($A$14:$A$1213,$A649,$F$14:$F$1213,"&gt;"&amp;$F649)+(COUNTIFS($A$14:$A$1213,$A649,$F$14:$F$1213,"="&amp;$F649)+1)/2,"")</f>
        <v/>
      </c>
      <c r="X649" s="27">
        <f>IF(OR(NOT(ISNUMBER($V649)),$AO649=1),"",$V649-(COUNTIFS($A$14:$A$1213,$A649,$C$14:$C$1213,"&gt;=0")+1)/2)</f>
        <v/>
      </c>
      <c r="Y649" s="27">
        <f>IF(OR(NOT(ISNUMBER($W649)),$AO649=1),"",$W649-(COUNTIFS($A$14:$A$1213,$A649,$F$14:$F$1213,"&gt;=0")+1)/2)</f>
        <v/>
      </c>
      <c r="Z649" s="27">
        <f>IF(ISNUMBER($V649),$A649&amp;"|"&amp;$V649,"")</f>
        <v/>
      </c>
      <c r="AA649" s="27">
        <f>IF(ISNUMBER($W649),$A649&amp;"|"&amp;$W649,"")</f>
        <v/>
      </c>
      <c r="AB649" s="27">
        <f>IF(ISNUMBER($F649),$A649&amp;"|"&amp;$F649,"")</f>
        <v/>
      </c>
      <c r="AC649" s="27">
        <f>IF(ISNUMBER($P649),COUNTIFS($A$14:$A$1213,$A649,$P$14:$P$1213,"&gt;"&amp;$P649)+(COUNTIFS($A$14:$A$1213,$A649,$P$14:$P$1213,"="&amp;$P649)+1)/2,"")</f>
        <v/>
      </c>
      <c r="AD649" s="27">
        <f>IF(ISNUMBER($Q649),COUNTIFS($A$14:$A$1213,$A649,$Q$14:$Q$1213,"&gt;"&amp;$Q649)+(COUNTIFS($A$14:$A$1213,$A649,$Q$14:$Q$1213,"="&amp;$Q649)+1)/2,"")</f>
        <v/>
      </c>
      <c r="AE649" s="27">
        <f>IF(ISNUMBER($R649),COUNTIFS($A$14:$A$1213,$A649,$R$14:$R$1213,"&gt;"&amp;$R649)+(COUNTIFS($A$14:$A$1213,$A649,$R$14:$R$1213,"="&amp;$R649)+1)/2,"")</f>
        <v/>
      </c>
      <c r="AF649" s="27">
        <f>IF(ISNUMBER($S649),COUNTIFS($A$14:$A$1213,$A649,$S$14:$S$1213,"&gt;"&amp;$S649)+(COUNTIFS($A$14:$A$1213,$A649,$S$14:$S$1213,"="&amp;$S649)+1)/2,"")</f>
        <v/>
      </c>
      <c r="AG649" s="27">
        <f>IF(ISNUMBER($T649),COUNTIFS($A$14:$A$1213,$A649,$T$14:$T$1213,"&gt;"&amp;$T649)+(COUNTIFS($A$14:$A$1213,$A649,$T$14:$T$1213,"="&amp;$T649)+1)/2,"")</f>
        <v/>
      </c>
      <c r="AH649" s="27">
        <f>IF(COUNT($AC649:$AG649)&lt;2,"",IF(MAX($AC649:$AG649)=MIN($AC649:$AG649),0,1))</f>
        <v/>
      </c>
      <c r="AI649" s="27">
        <f>IF($A649="","",IF(COUNTIF($A$14:$A649,$A649)=1,COUNTIF($AI$13:AI648,"&gt;0")+1,""))</f>
        <v/>
      </c>
      <c r="AO649" s="27">
        <f>IF($A649="","",IF(AND(COUNTIFS($A$14:$A$1213,$A649,$F$14:$F$1213,"&gt;=0")=2,IFERROR(INDEX($M$14:$M$313,MATCH($A649,$H$14:$H$313,0)),"Yes")&lt;&gt;"Yes"),1,0))</f>
        <v/>
      </c>
    </row>
    <row r="650">
      <c r="A650" s="19">
        <f>IF('Enter messages'!A650="","",'Enter messages'!A650)</f>
        <v/>
      </c>
      <c r="B650" s="20">
        <f>IF('Enter messages'!B650="","",'Enter messages'!B650)</f>
        <v/>
      </c>
      <c r="C650" s="21">
        <f>IFERROR(AVERAGE(P650:T650),"")</f>
        <v/>
      </c>
      <c r="D650" s="29" t="n"/>
      <c r="E650" s="29" t="n"/>
      <c r="F650" s="30">
        <f>IF(AND(ISNUMBER($D650),ISNUMBER($E650),$E650&gt;0,$D650&lt;=$E650),$D650/$E650,"")</f>
        <v/>
      </c>
      <c r="P650" s="26" t="n"/>
      <c r="Q650" s="26" t="n"/>
      <c r="R650" s="26" t="n"/>
      <c r="S650" s="26" t="n"/>
      <c r="T650" s="26" t="n"/>
      <c r="V650" s="27">
        <f>IF(ISNUMBER($C650),COUNTIFS($A$14:$A$1213,$A650,$C$14:$C$1213,"&gt;"&amp;$C650)+(COUNTIFS($A$14:$A$1213,$A650,$C$14:$C$1213,"="&amp;$C650)+1)/2,"")</f>
        <v/>
      </c>
      <c r="W650" s="27">
        <f>IF(ISNUMBER($F650),COUNTIFS($A$14:$A$1213,$A650,$F$14:$F$1213,"&gt;"&amp;$F650)+(COUNTIFS($A$14:$A$1213,$A650,$F$14:$F$1213,"="&amp;$F650)+1)/2,"")</f>
        <v/>
      </c>
      <c r="X650" s="27">
        <f>IF(OR(NOT(ISNUMBER($V650)),$AO650=1),"",$V650-(COUNTIFS($A$14:$A$1213,$A650,$C$14:$C$1213,"&gt;=0")+1)/2)</f>
        <v/>
      </c>
      <c r="Y650" s="27">
        <f>IF(OR(NOT(ISNUMBER($W650)),$AO650=1),"",$W650-(COUNTIFS($A$14:$A$1213,$A650,$F$14:$F$1213,"&gt;=0")+1)/2)</f>
        <v/>
      </c>
      <c r="Z650" s="27">
        <f>IF(ISNUMBER($V650),$A650&amp;"|"&amp;$V650,"")</f>
        <v/>
      </c>
      <c r="AA650" s="27">
        <f>IF(ISNUMBER($W650),$A650&amp;"|"&amp;$W650,"")</f>
        <v/>
      </c>
      <c r="AB650" s="27">
        <f>IF(ISNUMBER($F650),$A650&amp;"|"&amp;$F650,"")</f>
        <v/>
      </c>
      <c r="AC650" s="27">
        <f>IF(ISNUMBER($P650),COUNTIFS($A$14:$A$1213,$A650,$P$14:$P$1213,"&gt;"&amp;$P650)+(COUNTIFS($A$14:$A$1213,$A650,$P$14:$P$1213,"="&amp;$P650)+1)/2,"")</f>
        <v/>
      </c>
      <c r="AD650" s="27">
        <f>IF(ISNUMBER($Q650),COUNTIFS($A$14:$A$1213,$A650,$Q$14:$Q$1213,"&gt;"&amp;$Q650)+(COUNTIFS($A$14:$A$1213,$A650,$Q$14:$Q$1213,"="&amp;$Q650)+1)/2,"")</f>
        <v/>
      </c>
      <c r="AE650" s="27">
        <f>IF(ISNUMBER($R650),COUNTIFS($A$14:$A$1213,$A650,$R$14:$R$1213,"&gt;"&amp;$R650)+(COUNTIFS($A$14:$A$1213,$A650,$R$14:$R$1213,"="&amp;$R650)+1)/2,"")</f>
        <v/>
      </c>
      <c r="AF650" s="27">
        <f>IF(ISNUMBER($S650),COUNTIFS($A$14:$A$1213,$A650,$S$14:$S$1213,"&gt;"&amp;$S650)+(COUNTIFS($A$14:$A$1213,$A650,$S$14:$S$1213,"="&amp;$S650)+1)/2,"")</f>
        <v/>
      </c>
      <c r="AG650" s="27">
        <f>IF(ISNUMBER($T650),COUNTIFS($A$14:$A$1213,$A650,$T$14:$T$1213,"&gt;"&amp;$T650)+(COUNTIFS($A$14:$A$1213,$A650,$T$14:$T$1213,"="&amp;$T650)+1)/2,"")</f>
        <v/>
      </c>
      <c r="AH650" s="27">
        <f>IF(COUNT($AC650:$AG650)&lt;2,"",IF(MAX($AC650:$AG650)=MIN($AC650:$AG650),0,1))</f>
        <v/>
      </c>
      <c r="AI650" s="27">
        <f>IF($A650="","",IF(COUNTIF($A$14:$A650,$A650)=1,COUNTIF($AI$13:AI649,"&gt;0")+1,""))</f>
        <v/>
      </c>
      <c r="AO650" s="27">
        <f>IF($A650="","",IF(AND(COUNTIFS($A$14:$A$1213,$A650,$F$14:$F$1213,"&gt;=0")=2,IFERROR(INDEX($M$14:$M$313,MATCH($A650,$H$14:$H$313,0)),"Yes")&lt;&gt;"Yes"),1,0))</f>
        <v/>
      </c>
    </row>
    <row r="651">
      <c r="A651" s="19">
        <f>IF('Enter messages'!A651="","",'Enter messages'!A651)</f>
        <v/>
      </c>
      <c r="B651" s="20">
        <f>IF('Enter messages'!B651="","",'Enter messages'!B651)</f>
        <v/>
      </c>
      <c r="C651" s="21">
        <f>IFERROR(AVERAGE(P651:T651),"")</f>
        <v/>
      </c>
      <c r="D651" s="29" t="n"/>
      <c r="E651" s="29" t="n"/>
      <c r="F651" s="30">
        <f>IF(AND(ISNUMBER($D651),ISNUMBER($E651),$E651&gt;0,$D651&lt;=$E651),$D651/$E651,"")</f>
        <v/>
      </c>
      <c r="P651" s="26" t="n"/>
      <c r="Q651" s="26" t="n"/>
      <c r="R651" s="26" t="n"/>
      <c r="S651" s="26" t="n"/>
      <c r="T651" s="26" t="n"/>
      <c r="V651" s="27">
        <f>IF(ISNUMBER($C651),COUNTIFS($A$14:$A$1213,$A651,$C$14:$C$1213,"&gt;"&amp;$C651)+(COUNTIFS($A$14:$A$1213,$A651,$C$14:$C$1213,"="&amp;$C651)+1)/2,"")</f>
        <v/>
      </c>
      <c r="W651" s="27">
        <f>IF(ISNUMBER($F651),COUNTIFS($A$14:$A$1213,$A651,$F$14:$F$1213,"&gt;"&amp;$F651)+(COUNTIFS($A$14:$A$1213,$A651,$F$14:$F$1213,"="&amp;$F651)+1)/2,"")</f>
        <v/>
      </c>
      <c r="X651" s="27">
        <f>IF(OR(NOT(ISNUMBER($V651)),$AO651=1),"",$V651-(COUNTIFS($A$14:$A$1213,$A651,$C$14:$C$1213,"&gt;=0")+1)/2)</f>
        <v/>
      </c>
      <c r="Y651" s="27">
        <f>IF(OR(NOT(ISNUMBER($W651)),$AO651=1),"",$W651-(COUNTIFS($A$14:$A$1213,$A651,$F$14:$F$1213,"&gt;=0")+1)/2)</f>
        <v/>
      </c>
      <c r="Z651" s="27">
        <f>IF(ISNUMBER($V651),$A651&amp;"|"&amp;$V651,"")</f>
        <v/>
      </c>
      <c r="AA651" s="27">
        <f>IF(ISNUMBER($W651),$A651&amp;"|"&amp;$W651,"")</f>
        <v/>
      </c>
      <c r="AB651" s="27">
        <f>IF(ISNUMBER($F651),$A651&amp;"|"&amp;$F651,"")</f>
        <v/>
      </c>
      <c r="AC651" s="27">
        <f>IF(ISNUMBER($P651),COUNTIFS($A$14:$A$1213,$A651,$P$14:$P$1213,"&gt;"&amp;$P651)+(COUNTIFS($A$14:$A$1213,$A651,$P$14:$P$1213,"="&amp;$P651)+1)/2,"")</f>
        <v/>
      </c>
      <c r="AD651" s="27">
        <f>IF(ISNUMBER($Q651),COUNTIFS($A$14:$A$1213,$A651,$Q$14:$Q$1213,"&gt;"&amp;$Q651)+(COUNTIFS($A$14:$A$1213,$A651,$Q$14:$Q$1213,"="&amp;$Q651)+1)/2,"")</f>
        <v/>
      </c>
      <c r="AE651" s="27">
        <f>IF(ISNUMBER($R651),COUNTIFS($A$14:$A$1213,$A651,$R$14:$R$1213,"&gt;"&amp;$R651)+(COUNTIFS($A$14:$A$1213,$A651,$R$14:$R$1213,"="&amp;$R651)+1)/2,"")</f>
        <v/>
      </c>
      <c r="AF651" s="27">
        <f>IF(ISNUMBER($S651),COUNTIFS($A$14:$A$1213,$A651,$S$14:$S$1213,"&gt;"&amp;$S651)+(COUNTIFS($A$14:$A$1213,$A651,$S$14:$S$1213,"="&amp;$S651)+1)/2,"")</f>
        <v/>
      </c>
      <c r="AG651" s="27">
        <f>IF(ISNUMBER($T651),COUNTIFS($A$14:$A$1213,$A651,$T$14:$T$1213,"&gt;"&amp;$T651)+(COUNTIFS($A$14:$A$1213,$A651,$T$14:$T$1213,"="&amp;$T651)+1)/2,"")</f>
        <v/>
      </c>
      <c r="AH651" s="27">
        <f>IF(COUNT($AC651:$AG651)&lt;2,"",IF(MAX($AC651:$AG651)=MIN($AC651:$AG651),0,1))</f>
        <v/>
      </c>
      <c r="AI651" s="27">
        <f>IF($A651="","",IF(COUNTIF($A$14:$A651,$A651)=1,COUNTIF($AI$13:AI650,"&gt;0")+1,""))</f>
        <v/>
      </c>
      <c r="AO651" s="27">
        <f>IF($A651="","",IF(AND(COUNTIFS($A$14:$A$1213,$A651,$F$14:$F$1213,"&gt;=0")=2,IFERROR(INDEX($M$14:$M$313,MATCH($A651,$H$14:$H$313,0)),"Yes")&lt;&gt;"Yes"),1,0))</f>
        <v/>
      </c>
    </row>
    <row r="652">
      <c r="A652" s="19">
        <f>IF('Enter messages'!A652="","",'Enter messages'!A652)</f>
        <v/>
      </c>
      <c r="B652" s="20">
        <f>IF('Enter messages'!B652="","",'Enter messages'!B652)</f>
        <v/>
      </c>
      <c r="C652" s="21">
        <f>IFERROR(AVERAGE(P652:T652),"")</f>
        <v/>
      </c>
      <c r="D652" s="29" t="n"/>
      <c r="E652" s="29" t="n"/>
      <c r="F652" s="30">
        <f>IF(AND(ISNUMBER($D652),ISNUMBER($E652),$E652&gt;0,$D652&lt;=$E652),$D652/$E652,"")</f>
        <v/>
      </c>
      <c r="P652" s="26" t="n"/>
      <c r="Q652" s="26" t="n"/>
      <c r="R652" s="26" t="n"/>
      <c r="S652" s="26" t="n"/>
      <c r="T652" s="26" t="n"/>
      <c r="V652" s="27">
        <f>IF(ISNUMBER($C652),COUNTIFS($A$14:$A$1213,$A652,$C$14:$C$1213,"&gt;"&amp;$C652)+(COUNTIFS($A$14:$A$1213,$A652,$C$14:$C$1213,"="&amp;$C652)+1)/2,"")</f>
        <v/>
      </c>
      <c r="W652" s="27">
        <f>IF(ISNUMBER($F652),COUNTIFS($A$14:$A$1213,$A652,$F$14:$F$1213,"&gt;"&amp;$F652)+(COUNTIFS($A$14:$A$1213,$A652,$F$14:$F$1213,"="&amp;$F652)+1)/2,"")</f>
        <v/>
      </c>
      <c r="X652" s="27">
        <f>IF(OR(NOT(ISNUMBER($V652)),$AO652=1),"",$V652-(COUNTIFS($A$14:$A$1213,$A652,$C$14:$C$1213,"&gt;=0")+1)/2)</f>
        <v/>
      </c>
      <c r="Y652" s="27">
        <f>IF(OR(NOT(ISNUMBER($W652)),$AO652=1),"",$W652-(COUNTIFS($A$14:$A$1213,$A652,$F$14:$F$1213,"&gt;=0")+1)/2)</f>
        <v/>
      </c>
      <c r="Z652" s="27">
        <f>IF(ISNUMBER($V652),$A652&amp;"|"&amp;$V652,"")</f>
        <v/>
      </c>
      <c r="AA652" s="27">
        <f>IF(ISNUMBER($W652),$A652&amp;"|"&amp;$W652,"")</f>
        <v/>
      </c>
      <c r="AB652" s="27">
        <f>IF(ISNUMBER($F652),$A652&amp;"|"&amp;$F652,"")</f>
        <v/>
      </c>
      <c r="AC652" s="27">
        <f>IF(ISNUMBER($P652),COUNTIFS($A$14:$A$1213,$A652,$P$14:$P$1213,"&gt;"&amp;$P652)+(COUNTIFS($A$14:$A$1213,$A652,$P$14:$P$1213,"="&amp;$P652)+1)/2,"")</f>
        <v/>
      </c>
      <c r="AD652" s="27">
        <f>IF(ISNUMBER($Q652),COUNTIFS($A$14:$A$1213,$A652,$Q$14:$Q$1213,"&gt;"&amp;$Q652)+(COUNTIFS($A$14:$A$1213,$A652,$Q$14:$Q$1213,"="&amp;$Q652)+1)/2,"")</f>
        <v/>
      </c>
      <c r="AE652" s="27">
        <f>IF(ISNUMBER($R652),COUNTIFS($A$14:$A$1213,$A652,$R$14:$R$1213,"&gt;"&amp;$R652)+(COUNTIFS($A$14:$A$1213,$A652,$R$14:$R$1213,"="&amp;$R652)+1)/2,"")</f>
        <v/>
      </c>
      <c r="AF652" s="27">
        <f>IF(ISNUMBER($S652),COUNTIFS($A$14:$A$1213,$A652,$S$14:$S$1213,"&gt;"&amp;$S652)+(COUNTIFS($A$14:$A$1213,$A652,$S$14:$S$1213,"="&amp;$S652)+1)/2,"")</f>
        <v/>
      </c>
      <c r="AG652" s="27">
        <f>IF(ISNUMBER($T652),COUNTIFS($A$14:$A$1213,$A652,$T$14:$T$1213,"&gt;"&amp;$T652)+(COUNTIFS($A$14:$A$1213,$A652,$T$14:$T$1213,"="&amp;$T652)+1)/2,"")</f>
        <v/>
      </c>
      <c r="AH652" s="27">
        <f>IF(COUNT($AC652:$AG652)&lt;2,"",IF(MAX($AC652:$AG652)=MIN($AC652:$AG652),0,1))</f>
        <v/>
      </c>
      <c r="AI652" s="27">
        <f>IF($A652="","",IF(COUNTIF($A$14:$A652,$A652)=1,COUNTIF($AI$13:AI651,"&gt;0")+1,""))</f>
        <v/>
      </c>
      <c r="AO652" s="27">
        <f>IF($A652="","",IF(AND(COUNTIFS($A$14:$A$1213,$A652,$F$14:$F$1213,"&gt;=0")=2,IFERROR(INDEX($M$14:$M$313,MATCH($A652,$H$14:$H$313,0)),"Yes")&lt;&gt;"Yes"),1,0))</f>
        <v/>
      </c>
    </row>
    <row r="653">
      <c r="A653" s="19">
        <f>IF('Enter messages'!A653="","",'Enter messages'!A653)</f>
        <v/>
      </c>
      <c r="B653" s="20">
        <f>IF('Enter messages'!B653="","",'Enter messages'!B653)</f>
        <v/>
      </c>
      <c r="C653" s="21">
        <f>IFERROR(AVERAGE(P653:T653),"")</f>
        <v/>
      </c>
      <c r="D653" s="29" t="n"/>
      <c r="E653" s="29" t="n"/>
      <c r="F653" s="30">
        <f>IF(AND(ISNUMBER($D653),ISNUMBER($E653),$E653&gt;0,$D653&lt;=$E653),$D653/$E653,"")</f>
        <v/>
      </c>
      <c r="P653" s="26" t="n"/>
      <c r="Q653" s="26" t="n"/>
      <c r="R653" s="26" t="n"/>
      <c r="S653" s="26" t="n"/>
      <c r="T653" s="26" t="n"/>
      <c r="V653" s="27">
        <f>IF(ISNUMBER($C653),COUNTIFS($A$14:$A$1213,$A653,$C$14:$C$1213,"&gt;"&amp;$C653)+(COUNTIFS($A$14:$A$1213,$A653,$C$14:$C$1213,"="&amp;$C653)+1)/2,"")</f>
        <v/>
      </c>
      <c r="W653" s="27">
        <f>IF(ISNUMBER($F653),COUNTIFS($A$14:$A$1213,$A653,$F$14:$F$1213,"&gt;"&amp;$F653)+(COUNTIFS($A$14:$A$1213,$A653,$F$14:$F$1213,"="&amp;$F653)+1)/2,"")</f>
        <v/>
      </c>
      <c r="X653" s="27">
        <f>IF(OR(NOT(ISNUMBER($V653)),$AO653=1),"",$V653-(COUNTIFS($A$14:$A$1213,$A653,$C$14:$C$1213,"&gt;=0")+1)/2)</f>
        <v/>
      </c>
      <c r="Y653" s="27">
        <f>IF(OR(NOT(ISNUMBER($W653)),$AO653=1),"",$W653-(COUNTIFS($A$14:$A$1213,$A653,$F$14:$F$1213,"&gt;=0")+1)/2)</f>
        <v/>
      </c>
      <c r="Z653" s="27">
        <f>IF(ISNUMBER($V653),$A653&amp;"|"&amp;$V653,"")</f>
        <v/>
      </c>
      <c r="AA653" s="27">
        <f>IF(ISNUMBER($W653),$A653&amp;"|"&amp;$W653,"")</f>
        <v/>
      </c>
      <c r="AB653" s="27">
        <f>IF(ISNUMBER($F653),$A653&amp;"|"&amp;$F653,"")</f>
        <v/>
      </c>
      <c r="AC653" s="27">
        <f>IF(ISNUMBER($P653),COUNTIFS($A$14:$A$1213,$A653,$P$14:$P$1213,"&gt;"&amp;$P653)+(COUNTIFS($A$14:$A$1213,$A653,$P$14:$P$1213,"="&amp;$P653)+1)/2,"")</f>
        <v/>
      </c>
      <c r="AD653" s="27">
        <f>IF(ISNUMBER($Q653),COUNTIFS($A$14:$A$1213,$A653,$Q$14:$Q$1213,"&gt;"&amp;$Q653)+(COUNTIFS($A$14:$A$1213,$A653,$Q$14:$Q$1213,"="&amp;$Q653)+1)/2,"")</f>
        <v/>
      </c>
      <c r="AE653" s="27">
        <f>IF(ISNUMBER($R653),COUNTIFS($A$14:$A$1213,$A653,$R$14:$R$1213,"&gt;"&amp;$R653)+(COUNTIFS($A$14:$A$1213,$A653,$R$14:$R$1213,"="&amp;$R653)+1)/2,"")</f>
        <v/>
      </c>
      <c r="AF653" s="27">
        <f>IF(ISNUMBER($S653),COUNTIFS($A$14:$A$1213,$A653,$S$14:$S$1213,"&gt;"&amp;$S653)+(COUNTIFS($A$14:$A$1213,$A653,$S$14:$S$1213,"="&amp;$S653)+1)/2,"")</f>
        <v/>
      </c>
      <c r="AG653" s="27">
        <f>IF(ISNUMBER($T653),COUNTIFS($A$14:$A$1213,$A653,$T$14:$T$1213,"&gt;"&amp;$T653)+(COUNTIFS($A$14:$A$1213,$A653,$T$14:$T$1213,"="&amp;$T653)+1)/2,"")</f>
        <v/>
      </c>
      <c r="AH653" s="27">
        <f>IF(COUNT($AC653:$AG653)&lt;2,"",IF(MAX($AC653:$AG653)=MIN($AC653:$AG653),0,1))</f>
        <v/>
      </c>
      <c r="AI653" s="27">
        <f>IF($A653="","",IF(COUNTIF($A$14:$A653,$A653)=1,COUNTIF($AI$13:AI652,"&gt;0")+1,""))</f>
        <v/>
      </c>
      <c r="AO653" s="27">
        <f>IF($A653="","",IF(AND(COUNTIFS($A$14:$A$1213,$A653,$F$14:$F$1213,"&gt;=0")=2,IFERROR(INDEX($M$14:$M$313,MATCH($A653,$H$14:$H$313,0)),"Yes")&lt;&gt;"Yes"),1,0))</f>
        <v/>
      </c>
    </row>
    <row r="654">
      <c r="A654" s="19">
        <f>IF('Enter messages'!A654="","",'Enter messages'!A654)</f>
        <v/>
      </c>
      <c r="B654" s="20">
        <f>IF('Enter messages'!B654="","",'Enter messages'!B654)</f>
        <v/>
      </c>
      <c r="C654" s="21">
        <f>IFERROR(AVERAGE(P654:T654),"")</f>
        <v/>
      </c>
      <c r="D654" s="29" t="n"/>
      <c r="E654" s="29" t="n"/>
      <c r="F654" s="30">
        <f>IF(AND(ISNUMBER($D654),ISNUMBER($E654),$E654&gt;0,$D654&lt;=$E654),$D654/$E654,"")</f>
        <v/>
      </c>
      <c r="P654" s="26" t="n"/>
      <c r="Q654" s="26" t="n"/>
      <c r="R654" s="26" t="n"/>
      <c r="S654" s="26" t="n"/>
      <c r="T654" s="26" t="n"/>
      <c r="V654" s="27">
        <f>IF(ISNUMBER($C654),COUNTIFS($A$14:$A$1213,$A654,$C$14:$C$1213,"&gt;"&amp;$C654)+(COUNTIFS($A$14:$A$1213,$A654,$C$14:$C$1213,"="&amp;$C654)+1)/2,"")</f>
        <v/>
      </c>
      <c r="W654" s="27">
        <f>IF(ISNUMBER($F654),COUNTIFS($A$14:$A$1213,$A654,$F$14:$F$1213,"&gt;"&amp;$F654)+(COUNTIFS($A$14:$A$1213,$A654,$F$14:$F$1213,"="&amp;$F654)+1)/2,"")</f>
        <v/>
      </c>
      <c r="X654" s="27">
        <f>IF(OR(NOT(ISNUMBER($V654)),$AO654=1),"",$V654-(COUNTIFS($A$14:$A$1213,$A654,$C$14:$C$1213,"&gt;=0")+1)/2)</f>
        <v/>
      </c>
      <c r="Y654" s="27">
        <f>IF(OR(NOT(ISNUMBER($W654)),$AO654=1),"",$W654-(COUNTIFS($A$14:$A$1213,$A654,$F$14:$F$1213,"&gt;=0")+1)/2)</f>
        <v/>
      </c>
      <c r="Z654" s="27">
        <f>IF(ISNUMBER($V654),$A654&amp;"|"&amp;$V654,"")</f>
        <v/>
      </c>
      <c r="AA654" s="27">
        <f>IF(ISNUMBER($W654),$A654&amp;"|"&amp;$W654,"")</f>
        <v/>
      </c>
      <c r="AB654" s="27">
        <f>IF(ISNUMBER($F654),$A654&amp;"|"&amp;$F654,"")</f>
        <v/>
      </c>
      <c r="AC654" s="27">
        <f>IF(ISNUMBER($P654),COUNTIFS($A$14:$A$1213,$A654,$P$14:$P$1213,"&gt;"&amp;$P654)+(COUNTIFS($A$14:$A$1213,$A654,$P$14:$P$1213,"="&amp;$P654)+1)/2,"")</f>
        <v/>
      </c>
      <c r="AD654" s="27">
        <f>IF(ISNUMBER($Q654),COUNTIFS($A$14:$A$1213,$A654,$Q$14:$Q$1213,"&gt;"&amp;$Q654)+(COUNTIFS($A$14:$A$1213,$A654,$Q$14:$Q$1213,"="&amp;$Q654)+1)/2,"")</f>
        <v/>
      </c>
      <c r="AE654" s="27">
        <f>IF(ISNUMBER($R654),COUNTIFS($A$14:$A$1213,$A654,$R$14:$R$1213,"&gt;"&amp;$R654)+(COUNTIFS($A$14:$A$1213,$A654,$R$14:$R$1213,"="&amp;$R654)+1)/2,"")</f>
        <v/>
      </c>
      <c r="AF654" s="27">
        <f>IF(ISNUMBER($S654),COUNTIFS($A$14:$A$1213,$A654,$S$14:$S$1213,"&gt;"&amp;$S654)+(COUNTIFS($A$14:$A$1213,$A654,$S$14:$S$1213,"="&amp;$S654)+1)/2,"")</f>
        <v/>
      </c>
      <c r="AG654" s="27">
        <f>IF(ISNUMBER($T654),COUNTIFS($A$14:$A$1213,$A654,$T$14:$T$1213,"&gt;"&amp;$T654)+(COUNTIFS($A$14:$A$1213,$A654,$T$14:$T$1213,"="&amp;$T654)+1)/2,"")</f>
        <v/>
      </c>
      <c r="AH654" s="27">
        <f>IF(COUNT($AC654:$AG654)&lt;2,"",IF(MAX($AC654:$AG654)=MIN($AC654:$AG654),0,1))</f>
        <v/>
      </c>
      <c r="AI654" s="27">
        <f>IF($A654="","",IF(COUNTIF($A$14:$A654,$A654)=1,COUNTIF($AI$13:AI653,"&gt;0")+1,""))</f>
        <v/>
      </c>
      <c r="AO654" s="27">
        <f>IF($A654="","",IF(AND(COUNTIFS($A$14:$A$1213,$A654,$F$14:$F$1213,"&gt;=0")=2,IFERROR(INDEX($M$14:$M$313,MATCH($A654,$H$14:$H$313,0)),"Yes")&lt;&gt;"Yes"),1,0))</f>
        <v/>
      </c>
    </row>
    <row r="655">
      <c r="A655" s="19">
        <f>IF('Enter messages'!A655="","",'Enter messages'!A655)</f>
        <v/>
      </c>
      <c r="B655" s="20">
        <f>IF('Enter messages'!B655="","",'Enter messages'!B655)</f>
        <v/>
      </c>
      <c r="C655" s="21">
        <f>IFERROR(AVERAGE(P655:T655),"")</f>
        <v/>
      </c>
      <c r="D655" s="29" t="n"/>
      <c r="E655" s="29" t="n"/>
      <c r="F655" s="30">
        <f>IF(AND(ISNUMBER($D655),ISNUMBER($E655),$E655&gt;0,$D655&lt;=$E655),$D655/$E655,"")</f>
        <v/>
      </c>
      <c r="P655" s="26" t="n"/>
      <c r="Q655" s="26" t="n"/>
      <c r="R655" s="26" t="n"/>
      <c r="S655" s="26" t="n"/>
      <c r="T655" s="26" t="n"/>
      <c r="V655" s="27">
        <f>IF(ISNUMBER($C655),COUNTIFS($A$14:$A$1213,$A655,$C$14:$C$1213,"&gt;"&amp;$C655)+(COUNTIFS($A$14:$A$1213,$A655,$C$14:$C$1213,"="&amp;$C655)+1)/2,"")</f>
        <v/>
      </c>
      <c r="W655" s="27">
        <f>IF(ISNUMBER($F655),COUNTIFS($A$14:$A$1213,$A655,$F$14:$F$1213,"&gt;"&amp;$F655)+(COUNTIFS($A$14:$A$1213,$A655,$F$14:$F$1213,"="&amp;$F655)+1)/2,"")</f>
        <v/>
      </c>
      <c r="X655" s="27">
        <f>IF(OR(NOT(ISNUMBER($V655)),$AO655=1),"",$V655-(COUNTIFS($A$14:$A$1213,$A655,$C$14:$C$1213,"&gt;=0")+1)/2)</f>
        <v/>
      </c>
      <c r="Y655" s="27">
        <f>IF(OR(NOT(ISNUMBER($W655)),$AO655=1),"",$W655-(COUNTIFS($A$14:$A$1213,$A655,$F$14:$F$1213,"&gt;=0")+1)/2)</f>
        <v/>
      </c>
      <c r="Z655" s="27">
        <f>IF(ISNUMBER($V655),$A655&amp;"|"&amp;$V655,"")</f>
        <v/>
      </c>
      <c r="AA655" s="27">
        <f>IF(ISNUMBER($W655),$A655&amp;"|"&amp;$W655,"")</f>
        <v/>
      </c>
      <c r="AB655" s="27">
        <f>IF(ISNUMBER($F655),$A655&amp;"|"&amp;$F655,"")</f>
        <v/>
      </c>
      <c r="AC655" s="27">
        <f>IF(ISNUMBER($P655),COUNTIFS($A$14:$A$1213,$A655,$P$14:$P$1213,"&gt;"&amp;$P655)+(COUNTIFS($A$14:$A$1213,$A655,$P$14:$P$1213,"="&amp;$P655)+1)/2,"")</f>
        <v/>
      </c>
      <c r="AD655" s="27">
        <f>IF(ISNUMBER($Q655),COUNTIFS($A$14:$A$1213,$A655,$Q$14:$Q$1213,"&gt;"&amp;$Q655)+(COUNTIFS($A$14:$A$1213,$A655,$Q$14:$Q$1213,"="&amp;$Q655)+1)/2,"")</f>
        <v/>
      </c>
      <c r="AE655" s="27">
        <f>IF(ISNUMBER($R655),COUNTIFS($A$14:$A$1213,$A655,$R$14:$R$1213,"&gt;"&amp;$R655)+(COUNTIFS($A$14:$A$1213,$A655,$R$14:$R$1213,"="&amp;$R655)+1)/2,"")</f>
        <v/>
      </c>
      <c r="AF655" s="27">
        <f>IF(ISNUMBER($S655),COUNTIFS($A$14:$A$1213,$A655,$S$14:$S$1213,"&gt;"&amp;$S655)+(COUNTIFS($A$14:$A$1213,$A655,$S$14:$S$1213,"="&amp;$S655)+1)/2,"")</f>
        <v/>
      </c>
      <c r="AG655" s="27">
        <f>IF(ISNUMBER($T655),COUNTIFS($A$14:$A$1213,$A655,$T$14:$T$1213,"&gt;"&amp;$T655)+(COUNTIFS($A$14:$A$1213,$A655,$T$14:$T$1213,"="&amp;$T655)+1)/2,"")</f>
        <v/>
      </c>
      <c r="AH655" s="27">
        <f>IF(COUNT($AC655:$AG655)&lt;2,"",IF(MAX($AC655:$AG655)=MIN($AC655:$AG655),0,1))</f>
        <v/>
      </c>
      <c r="AI655" s="27">
        <f>IF($A655="","",IF(COUNTIF($A$14:$A655,$A655)=1,COUNTIF($AI$13:AI654,"&gt;0")+1,""))</f>
        <v/>
      </c>
      <c r="AO655" s="27">
        <f>IF($A655="","",IF(AND(COUNTIFS($A$14:$A$1213,$A655,$F$14:$F$1213,"&gt;=0")=2,IFERROR(INDEX($M$14:$M$313,MATCH($A655,$H$14:$H$313,0)),"Yes")&lt;&gt;"Yes"),1,0))</f>
        <v/>
      </c>
    </row>
    <row r="656">
      <c r="A656" s="19">
        <f>IF('Enter messages'!A656="","",'Enter messages'!A656)</f>
        <v/>
      </c>
      <c r="B656" s="20">
        <f>IF('Enter messages'!B656="","",'Enter messages'!B656)</f>
        <v/>
      </c>
      <c r="C656" s="21">
        <f>IFERROR(AVERAGE(P656:T656),"")</f>
        <v/>
      </c>
      <c r="D656" s="29" t="n"/>
      <c r="E656" s="29" t="n"/>
      <c r="F656" s="30">
        <f>IF(AND(ISNUMBER($D656),ISNUMBER($E656),$E656&gt;0,$D656&lt;=$E656),$D656/$E656,"")</f>
        <v/>
      </c>
      <c r="P656" s="26" t="n"/>
      <c r="Q656" s="26" t="n"/>
      <c r="R656" s="26" t="n"/>
      <c r="S656" s="26" t="n"/>
      <c r="T656" s="26" t="n"/>
      <c r="V656" s="27">
        <f>IF(ISNUMBER($C656),COUNTIFS($A$14:$A$1213,$A656,$C$14:$C$1213,"&gt;"&amp;$C656)+(COUNTIFS($A$14:$A$1213,$A656,$C$14:$C$1213,"="&amp;$C656)+1)/2,"")</f>
        <v/>
      </c>
      <c r="W656" s="27">
        <f>IF(ISNUMBER($F656),COUNTIFS($A$14:$A$1213,$A656,$F$14:$F$1213,"&gt;"&amp;$F656)+(COUNTIFS($A$14:$A$1213,$A656,$F$14:$F$1213,"="&amp;$F656)+1)/2,"")</f>
        <v/>
      </c>
      <c r="X656" s="27">
        <f>IF(OR(NOT(ISNUMBER($V656)),$AO656=1),"",$V656-(COUNTIFS($A$14:$A$1213,$A656,$C$14:$C$1213,"&gt;=0")+1)/2)</f>
        <v/>
      </c>
      <c r="Y656" s="27">
        <f>IF(OR(NOT(ISNUMBER($W656)),$AO656=1),"",$W656-(COUNTIFS($A$14:$A$1213,$A656,$F$14:$F$1213,"&gt;=0")+1)/2)</f>
        <v/>
      </c>
      <c r="Z656" s="27">
        <f>IF(ISNUMBER($V656),$A656&amp;"|"&amp;$V656,"")</f>
        <v/>
      </c>
      <c r="AA656" s="27">
        <f>IF(ISNUMBER($W656),$A656&amp;"|"&amp;$W656,"")</f>
        <v/>
      </c>
      <c r="AB656" s="27">
        <f>IF(ISNUMBER($F656),$A656&amp;"|"&amp;$F656,"")</f>
        <v/>
      </c>
      <c r="AC656" s="27">
        <f>IF(ISNUMBER($P656),COUNTIFS($A$14:$A$1213,$A656,$P$14:$P$1213,"&gt;"&amp;$P656)+(COUNTIFS($A$14:$A$1213,$A656,$P$14:$P$1213,"="&amp;$P656)+1)/2,"")</f>
        <v/>
      </c>
      <c r="AD656" s="27">
        <f>IF(ISNUMBER($Q656),COUNTIFS($A$14:$A$1213,$A656,$Q$14:$Q$1213,"&gt;"&amp;$Q656)+(COUNTIFS($A$14:$A$1213,$A656,$Q$14:$Q$1213,"="&amp;$Q656)+1)/2,"")</f>
        <v/>
      </c>
      <c r="AE656" s="27">
        <f>IF(ISNUMBER($R656),COUNTIFS($A$14:$A$1213,$A656,$R$14:$R$1213,"&gt;"&amp;$R656)+(COUNTIFS($A$14:$A$1213,$A656,$R$14:$R$1213,"="&amp;$R656)+1)/2,"")</f>
        <v/>
      </c>
      <c r="AF656" s="27">
        <f>IF(ISNUMBER($S656),COUNTIFS($A$14:$A$1213,$A656,$S$14:$S$1213,"&gt;"&amp;$S656)+(COUNTIFS($A$14:$A$1213,$A656,$S$14:$S$1213,"="&amp;$S656)+1)/2,"")</f>
        <v/>
      </c>
      <c r="AG656" s="27">
        <f>IF(ISNUMBER($T656),COUNTIFS($A$14:$A$1213,$A656,$T$14:$T$1213,"&gt;"&amp;$T656)+(COUNTIFS($A$14:$A$1213,$A656,$T$14:$T$1213,"="&amp;$T656)+1)/2,"")</f>
        <v/>
      </c>
      <c r="AH656" s="27">
        <f>IF(COUNT($AC656:$AG656)&lt;2,"",IF(MAX($AC656:$AG656)=MIN($AC656:$AG656),0,1))</f>
        <v/>
      </c>
      <c r="AI656" s="27">
        <f>IF($A656="","",IF(COUNTIF($A$14:$A656,$A656)=1,COUNTIF($AI$13:AI655,"&gt;0")+1,""))</f>
        <v/>
      </c>
      <c r="AO656" s="27">
        <f>IF($A656="","",IF(AND(COUNTIFS($A$14:$A$1213,$A656,$F$14:$F$1213,"&gt;=0")=2,IFERROR(INDEX($M$14:$M$313,MATCH($A656,$H$14:$H$313,0)),"Yes")&lt;&gt;"Yes"),1,0))</f>
        <v/>
      </c>
    </row>
    <row r="657">
      <c r="A657" s="19">
        <f>IF('Enter messages'!A657="","",'Enter messages'!A657)</f>
        <v/>
      </c>
      <c r="B657" s="20">
        <f>IF('Enter messages'!B657="","",'Enter messages'!B657)</f>
        <v/>
      </c>
      <c r="C657" s="21">
        <f>IFERROR(AVERAGE(P657:T657),"")</f>
        <v/>
      </c>
      <c r="D657" s="29" t="n"/>
      <c r="E657" s="29" t="n"/>
      <c r="F657" s="30">
        <f>IF(AND(ISNUMBER($D657),ISNUMBER($E657),$E657&gt;0,$D657&lt;=$E657),$D657/$E657,"")</f>
        <v/>
      </c>
      <c r="P657" s="26" t="n"/>
      <c r="Q657" s="26" t="n"/>
      <c r="R657" s="26" t="n"/>
      <c r="S657" s="26" t="n"/>
      <c r="T657" s="26" t="n"/>
      <c r="V657" s="27">
        <f>IF(ISNUMBER($C657),COUNTIFS($A$14:$A$1213,$A657,$C$14:$C$1213,"&gt;"&amp;$C657)+(COUNTIFS($A$14:$A$1213,$A657,$C$14:$C$1213,"="&amp;$C657)+1)/2,"")</f>
        <v/>
      </c>
      <c r="W657" s="27">
        <f>IF(ISNUMBER($F657),COUNTIFS($A$14:$A$1213,$A657,$F$14:$F$1213,"&gt;"&amp;$F657)+(COUNTIFS($A$14:$A$1213,$A657,$F$14:$F$1213,"="&amp;$F657)+1)/2,"")</f>
        <v/>
      </c>
      <c r="X657" s="27">
        <f>IF(OR(NOT(ISNUMBER($V657)),$AO657=1),"",$V657-(COUNTIFS($A$14:$A$1213,$A657,$C$14:$C$1213,"&gt;=0")+1)/2)</f>
        <v/>
      </c>
      <c r="Y657" s="27">
        <f>IF(OR(NOT(ISNUMBER($W657)),$AO657=1),"",$W657-(COUNTIFS($A$14:$A$1213,$A657,$F$14:$F$1213,"&gt;=0")+1)/2)</f>
        <v/>
      </c>
      <c r="Z657" s="27">
        <f>IF(ISNUMBER($V657),$A657&amp;"|"&amp;$V657,"")</f>
        <v/>
      </c>
      <c r="AA657" s="27">
        <f>IF(ISNUMBER($W657),$A657&amp;"|"&amp;$W657,"")</f>
        <v/>
      </c>
      <c r="AB657" s="27">
        <f>IF(ISNUMBER($F657),$A657&amp;"|"&amp;$F657,"")</f>
        <v/>
      </c>
      <c r="AC657" s="27">
        <f>IF(ISNUMBER($P657),COUNTIFS($A$14:$A$1213,$A657,$P$14:$P$1213,"&gt;"&amp;$P657)+(COUNTIFS($A$14:$A$1213,$A657,$P$14:$P$1213,"="&amp;$P657)+1)/2,"")</f>
        <v/>
      </c>
      <c r="AD657" s="27">
        <f>IF(ISNUMBER($Q657),COUNTIFS($A$14:$A$1213,$A657,$Q$14:$Q$1213,"&gt;"&amp;$Q657)+(COUNTIFS($A$14:$A$1213,$A657,$Q$14:$Q$1213,"="&amp;$Q657)+1)/2,"")</f>
        <v/>
      </c>
      <c r="AE657" s="27">
        <f>IF(ISNUMBER($R657),COUNTIFS($A$14:$A$1213,$A657,$R$14:$R$1213,"&gt;"&amp;$R657)+(COUNTIFS($A$14:$A$1213,$A657,$R$14:$R$1213,"="&amp;$R657)+1)/2,"")</f>
        <v/>
      </c>
      <c r="AF657" s="27">
        <f>IF(ISNUMBER($S657),COUNTIFS($A$14:$A$1213,$A657,$S$14:$S$1213,"&gt;"&amp;$S657)+(COUNTIFS($A$14:$A$1213,$A657,$S$14:$S$1213,"="&amp;$S657)+1)/2,"")</f>
        <v/>
      </c>
      <c r="AG657" s="27">
        <f>IF(ISNUMBER($T657),COUNTIFS($A$14:$A$1213,$A657,$T$14:$T$1213,"&gt;"&amp;$T657)+(COUNTIFS($A$14:$A$1213,$A657,$T$14:$T$1213,"="&amp;$T657)+1)/2,"")</f>
        <v/>
      </c>
      <c r="AH657" s="27">
        <f>IF(COUNT($AC657:$AG657)&lt;2,"",IF(MAX($AC657:$AG657)=MIN($AC657:$AG657),0,1))</f>
        <v/>
      </c>
      <c r="AI657" s="27">
        <f>IF($A657="","",IF(COUNTIF($A$14:$A657,$A657)=1,COUNTIF($AI$13:AI656,"&gt;0")+1,""))</f>
        <v/>
      </c>
      <c r="AO657" s="27">
        <f>IF($A657="","",IF(AND(COUNTIFS($A$14:$A$1213,$A657,$F$14:$F$1213,"&gt;=0")=2,IFERROR(INDEX($M$14:$M$313,MATCH($A657,$H$14:$H$313,0)),"Yes")&lt;&gt;"Yes"),1,0))</f>
        <v/>
      </c>
    </row>
    <row r="658">
      <c r="A658" s="19">
        <f>IF('Enter messages'!A658="","",'Enter messages'!A658)</f>
        <v/>
      </c>
      <c r="B658" s="20">
        <f>IF('Enter messages'!B658="","",'Enter messages'!B658)</f>
        <v/>
      </c>
      <c r="C658" s="21">
        <f>IFERROR(AVERAGE(P658:T658),"")</f>
        <v/>
      </c>
      <c r="D658" s="29" t="n"/>
      <c r="E658" s="29" t="n"/>
      <c r="F658" s="30">
        <f>IF(AND(ISNUMBER($D658),ISNUMBER($E658),$E658&gt;0,$D658&lt;=$E658),$D658/$E658,"")</f>
        <v/>
      </c>
      <c r="P658" s="26" t="n"/>
      <c r="Q658" s="26" t="n"/>
      <c r="R658" s="26" t="n"/>
      <c r="S658" s="26" t="n"/>
      <c r="T658" s="26" t="n"/>
      <c r="V658" s="27">
        <f>IF(ISNUMBER($C658),COUNTIFS($A$14:$A$1213,$A658,$C$14:$C$1213,"&gt;"&amp;$C658)+(COUNTIFS($A$14:$A$1213,$A658,$C$14:$C$1213,"="&amp;$C658)+1)/2,"")</f>
        <v/>
      </c>
      <c r="W658" s="27">
        <f>IF(ISNUMBER($F658),COUNTIFS($A$14:$A$1213,$A658,$F$14:$F$1213,"&gt;"&amp;$F658)+(COUNTIFS($A$14:$A$1213,$A658,$F$14:$F$1213,"="&amp;$F658)+1)/2,"")</f>
        <v/>
      </c>
      <c r="X658" s="27">
        <f>IF(OR(NOT(ISNUMBER($V658)),$AO658=1),"",$V658-(COUNTIFS($A$14:$A$1213,$A658,$C$14:$C$1213,"&gt;=0")+1)/2)</f>
        <v/>
      </c>
      <c r="Y658" s="27">
        <f>IF(OR(NOT(ISNUMBER($W658)),$AO658=1),"",$W658-(COUNTIFS($A$14:$A$1213,$A658,$F$14:$F$1213,"&gt;=0")+1)/2)</f>
        <v/>
      </c>
      <c r="Z658" s="27">
        <f>IF(ISNUMBER($V658),$A658&amp;"|"&amp;$V658,"")</f>
        <v/>
      </c>
      <c r="AA658" s="27">
        <f>IF(ISNUMBER($W658),$A658&amp;"|"&amp;$W658,"")</f>
        <v/>
      </c>
      <c r="AB658" s="27">
        <f>IF(ISNUMBER($F658),$A658&amp;"|"&amp;$F658,"")</f>
        <v/>
      </c>
      <c r="AC658" s="27">
        <f>IF(ISNUMBER($P658),COUNTIFS($A$14:$A$1213,$A658,$P$14:$P$1213,"&gt;"&amp;$P658)+(COUNTIFS($A$14:$A$1213,$A658,$P$14:$P$1213,"="&amp;$P658)+1)/2,"")</f>
        <v/>
      </c>
      <c r="AD658" s="27">
        <f>IF(ISNUMBER($Q658),COUNTIFS($A$14:$A$1213,$A658,$Q$14:$Q$1213,"&gt;"&amp;$Q658)+(COUNTIFS($A$14:$A$1213,$A658,$Q$14:$Q$1213,"="&amp;$Q658)+1)/2,"")</f>
        <v/>
      </c>
      <c r="AE658" s="27">
        <f>IF(ISNUMBER($R658),COUNTIFS($A$14:$A$1213,$A658,$R$14:$R$1213,"&gt;"&amp;$R658)+(COUNTIFS($A$14:$A$1213,$A658,$R$14:$R$1213,"="&amp;$R658)+1)/2,"")</f>
        <v/>
      </c>
      <c r="AF658" s="27">
        <f>IF(ISNUMBER($S658),COUNTIFS($A$14:$A$1213,$A658,$S$14:$S$1213,"&gt;"&amp;$S658)+(COUNTIFS($A$14:$A$1213,$A658,$S$14:$S$1213,"="&amp;$S658)+1)/2,"")</f>
        <v/>
      </c>
      <c r="AG658" s="27">
        <f>IF(ISNUMBER($T658),COUNTIFS($A$14:$A$1213,$A658,$T$14:$T$1213,"&gt;"&amp;$T658)+(COUNTIFS($A$14:$A$1213,$A658,$T$14:$T$1213,"="&amp;$T658)+1)/2,"")</f>
        <v/>
      </c>
      <c r="AH658" s="27">
        <f>IF(COUNT($AC658:$AG658)&lt;2,"",IF(MAX($AC658:$AG658)=MIN($AC658:$AG658),0,1))</f>
        <v/>
      </c>
      <c r="AI658" s="27">
        <f>IF($A658="","",IF(COUNTIF($A$14:$A658,$A658)=1,COUNTIF($AI$13:AI657,"&gt;0")+1,""))</f>
        <v/>
      </c>
      <c r="AO658" s="27">
        <f>IF($A658="","",IF(AND(COUNTIFS($A$14:$A$1213,$A658,$F$14:$F$1213,"&gt;=0")=2,IFERROR(INDEX($M$14:$M$313,MATCH($A658,$H$14:$H$313,0)),"Yes")&lt;&gt;"Yes"),1,0))</f>
        <v/>
      </c>
    </row>
    <row r="659">
      <c r="A659" s="19">
        <f>IF('Enter messages'!A659="","",'Enter messages'!A659)</f>
        <v/>
      </c>
      <c r="B659" s="20">
        <f>IF('Enter messages'!B659="","",'Enter messages'!B659)</f>
        <v/>
      </c>
      <c r="C659" s="21">
        <f>IFERROR(AVERAGE(P659:T659),"")</f>
        <v/>
      </c>
      <c r="D659" s="29" t="n"/>
      <c r="E659" s="29" t="n"/>
      <c r="F659" s="30">
        <f>IF(AND(ISNUMBER($D659),ISNUMBER($E659),$E659&gt;0,$D659&lt;=$E659),$D659/$E659,"")</f>
        <v/>
      </c>
      <c r="P659" s="26" t="n"/>
      <c r="Q659" s="26" t="n"/>
      <c r="R659" s="26" t="n"/>
      <c r="S659" s="26" t="n"/>
      <c r="T659" s="26" t="n"/>
      <c r="V659" s="27">
        <f>IF(ISNUMBER($C659),COUNTIFS($A$14:$A$1213,$A659,$C$14:$C$1213,"&gt;"&amp;$C659)+(COUNTIFS($A$14:$A$1213,$A659,$C$14:$C$1213,"="&amp;$C659)+1)/2,"")</f>
        <v/>
      </c>
      <c r="W659" s="27">
        <f>IF(ISNUMBER($F659),COUNTIFS($A$14:$A$1213,$A659,$F$14:$F$1213,"&gt;"&amp;$F659)+(COUNTIFS($A$14:$A$1213,$A659,$F$14:$F$1213,"="&amp;$F659)+1)/2,"")</f>
        <v/>
      </c>
      <c r="X659" s="27">
        <f>IF(OR(NOT(ISNUMBER($V659)),$AO659=1),"",$V659-(COUNTIFS($A$14:$A$1213,$A659,$C$14:$C$1213,"&gt;=0")+1)/2)</f>
        <v/>
      </c>
      <c r="Y659" s="27">
        <f>IF(OR(NOT(ISNUMBER($W659)),$AO659=1),"",$W659-(COUNTIFS($A$14:$A$1213,$A659,$F$14:$F$1213,"&gt;=0")+1)/2)</f>
        <v/>
      </c>
      <c r="Z659" s="27">
        <f>IF(ISNUMBER($V659),$A659&amp;"|"&amp;$V659,"")</f>
        <v/>
      </c>
      <c r="AA659" s="27">
        <f>IF(ISNUMBER($W659),$A659&amp;"|"&amp;$W659,"")</f>
        <v/>
      </c>
      <c r="AB659" s="27">
        <f>IF(ISNUMBER($F659),$A659&amp;"|"&amp;$F659,"")</f>
        <v/>
      </c>
      <c r="AC659" s="27">
        <f>IF(ISNUMBER($P659),COUNTIFS($A$14:$A$1213,$A659,$P$14:$P$1213,"&gt;"&amp;$P659)+(COUNTIFS($A$14:$A$1213,$A659,$P$14:$P$1213,"="&amp;$P659)+1)/2,"")</f>
        <v/>
      </c>
      <c r="AD659" s="27">
        <f>IF(ISNUMBER($Q659),COUNTIFS($A$14:$A$1213,$A659,$Q$14:$Q$1213,"&gt;"&amp;$Q659)+(COUNTIFS($A$14:$A$1213,$A659,$Q$14:$Q$1213,"="&amp;$Q659)+1)/2,"")</f>
        <v/>
      </c>
      <c r="AE659" s="27">
        <f>IF(ISNUMBER($R659),COUNTIFS($A$14:$A$1213,$A659,$R$14:$R$1213,"&gt;"&amp;$R659)+(COUNTIFS($A$14:$A$1213,$A659,$R$14:$R$1213,"="&amp;$R659)+1)/2,"")</f>
        <v/>
      </c>
      <c r="AF659" s="27">
        <f>IF(ISNUMBER($S659),COUNTIFS($A$14:$A$1213,$A659,$S$14:$S$1213,"&gt;"&amp;$S659)+(COUNTIFS($A$14:$A$1213,$A659,$S$14:$S$1213,"="&amp;$S659)+1)/2,"")</f>
        <v/>
      </c>
      <c r="AG659" s="27">
        <f>IF(ISNUMBER($T659),COUNTIFS($A$14:$A$1213,$A659,$T$14:$T$1213,"&gt;"&amp;$T659)+(COUNTIFS($A$14:$A$1213,$A659,$T$14:$T$1213,"="&amp;$T659)+1)/2,"")</f>
        <v/>
      </c>
      <c r="AH659" s="27">
        <f>IF(COUNT($AC659:$AG659)&lt;2,"",IF(MAX($AC659:$AG659)=MIN($AC659:$AG659),0,1))</f>
        <v/>
      </c>
      <c r="AI659" s="27">
        <f>IF($A659="","",IF(COUNTIF($A$14:$A659,$A659)=1,COUNTIF($AI$13:AI658,"&gt;0")+1,""))</f>
        <v/>
      </c>
      <c r="AO659" s="27">
        <f>IF($A659="","",IF(AND(COUNTIFS($A$14:$A$1213,$A659,$F$14:$F$1213,"&gt;=0")=2,IFERROR(INDEX($M$14:$M$313,MATCH($A659,$H$14:$H$313,0)),"Yes")&lt;&gt;"Yes"),1,0))</f>
        <v/>
      </c>
    </row>
    <row r="660">
      <c r="A660" s="19">
        <f>IF('Enter messages'!A660="","",'Enter messages'!A660)</f>
        <v/>
      </c>
      <c r="B660" s="20">
        <f>IF('Enter messages'!B660="","",'Enter messages'!B660)</f>
        <v/>
      </c>
      <c r="C660" s="21">
        <f>IFERROR(AVERAGE(P660:T660),"")</f>
        <v/>
      </c>
      <c r="D660" s="29" t="n"/>
      <c r="E660" s="29" t="n"/>
      <c r="F660" s="30">
        <f>IF(AND(ISNUMBER($D660),ISNUMBER($E660),$E660&gt;0,$D660&lt;=$E660),$D660/$E660,"")</f>
        <v/>
      </c>
      <c r="P660" s="26" t="n"/>
      <c r="Q660" s="26" t="n"/>
      <c r="R660" s="26" t="n"/>
      <c r="S660" s="26" t="n"/>
      <c r="T660" s="26" t="n"/>
      <c r="V660" s="27">
        <f>IF(ISNUMBER($C660),COUNTIFS($A$14:$A$1213,$A660,$C$14:$C$1213,"&gt;"&amp;$C660)+(COUNTIFS($A$14:$A$1213,$A660,$C$14:$C$1213,"="&amp;$C660)+1)/2,"")</f>
        <v/>
      </c>
      <c r="W660" s="27">
        <f>IF(ISNUMBER($F660),COUNTIFS($A$14:$A$1213,$A660,$F$14:$F$1213,"&gt;"&amp;$F660)+(COUNTIFS($A$14:$A$1213,$A660,$F$14:$F$1213,"="&amp;$F660)+1)/2,"")</f>
        <v/>
      </c>
      <c r="X660" s="27">
        <f>IF(OR(NOT(ISNUMBER($V660)),$AO660=1),"",$V660-(COUNTIFS($A$14:$A$1213,$A660,$C$14:$C$1213,"&gt;=0")+1)/2)</f>
        <v/>
      </c>
      <c r="Y660" s="27">
        <f>IF(OR(NOT(ISNUMBER($W660)),$AO660=1),"",$W660-(COUNTIFS($A$14:$A$1213,$A660,$F$14:$F$1213,"&gt;=0")+1)/2)</f>
        <v/>
      </c>
      <c r="Z660" s="27">
        <f>IF(ISNUMBER($V660),$A660&amp;"|"&amp;$V660,"")</f>
        <v/>
      </c>
      <c r="AA660" s="27">
        <f>IF(ISNUMBER($W660),$A660&amp;"|"&amp;$W660,"")</f>
        <v/>
      </c>
      <c r="AB660" s="27">
        <f>IF(ISNUMBER($F660),$A660&amp;"|"&amp;$F660,"")</f>
        <v/>
      </c>
      <c r="AC660" s="27">
        <f>IF(ISNUMBER($P660),COUNTIFS($A$14:$A$1213,$A660,$P$14:$P$1213,"&gt;"&amp;$P660)+(COUNTIFS($A$14:$A$1213,$A660,$P$14:$P$1213,"="&amp;$P660)+1)/2,"")</f>
        <v/>
      </c>
      <c r="AD660" s="27">
        <f>IF(ISNUMBER($Q660),COUNTIFS($A$14:$A$1213,$A660,$Q$14:$Q$1213,"&gt;"&amp;$Q660)+(COUNTIFS($A$14:$A$1213,$A660,$Q$14:$Q$1213,"="&amp;$Q660)+1)/2,"")</f>
        <v/>
      </c>
      <c r="AE660" s="27">
        <f>IF(ISNUMBER($R660),COUNTIFS($A$14:$A$1213,$A660,$R$14:$R$1213,"&gt;"&amp;$R660)+(COUNTIFS($A$14:$A$1213,$A660,$R$14:$R$1213,"="&amp;$R660)+1)/2,"")</f>
        <v/>
      </c>
      <c r="AF660" s="27">
        <f>IF(ISNUMBER($S660),COUNTIFS($A$14:$A$1213,$A660,$S$14:$S$1213,"&gt;"&amp;$S660)+(COUNTIFS($A$14:$A$1213,$A660,$S$14:$S$1213,"="&amp;$S660)+1)/2,"")</f>
        <v/>
      </c>
      <c r="AG660" s="27">
        <f>IF(ISNUMBER($T660),COUNTIFS($A$14:$A$1213,$A660,$T$14:$T$1213,"&gt;"&amp;$T660)+(COUNTIFS($A$14:$A$1213,$A660,$T$14:$T$1213,"="&amp;$T660)+1)/2,"")</f>
        <v/>
      </c>
      <c r="AH660" s="27">
        <f>IF(COUNT($AC660:$AG660)&lt;2,"",IF(MAX($AC660:$AG660)=MIN($AC660:$AG660),0,1))</f>
        <v/>
      </c>
      <c r="AI660" s="27">
        <f>IF($A660="","",IF(COUNTIF($A$14:$A660,$A660)=1,COUNTIF($AI$13:AI659,"&gt;0")+1,""))</f>
        <v/>
      </c>
      <c r="AO660" s="27">
        <f>IF($A660="","",IF(AND(COUNTIFS($A$14:$A$1213,$A660,$F$14:$F$1213,"&gt;=0")=2,IFERROR(INDEX($M$14:$M$313,MATCH($A660,$H$14:$H$313,0)),"Yes")&lt;&gt;"Yes"),1,0))</f>
        <v/>
      </c>
    </row>
    <row r="661">
      <c r="A661" s="19">
        <f>IF('Enter messages'!A661="","",'Enter messages'!A661)</f>
        <v/>
      </c>
      <c r="B661" s="20">
        <f>IF('Enter messages'!B661="","",'Enter messages'!B661)</f>
        <v/>
      </c>
      <c r="C661" s="21">
        <f>IFERROR(AVERAGE(P661:T661),"")</f>
        <v/>
      </c>
      <c r="D661" s="29" t="n"/>
      <c r="E661" s="29" t="n"/>
      <c r="F661" s="30">
        <f>IF(AND(ISNUMBER($D661),ISNUMBER($E661),$E661&gt;0,$D661&lt;=$E661),$D661/$E661,"")</f>
        <v/>
      </c>
      <c r="P661" s="26" t="n"/>
      <c r="Q661" s="26" t="n"/>
      <c r="R661" s="26" t="n"/>
      <c r="S661" s="26" t="n"/>
      <c r="T661" s="26" t="n"/>
      <c r="V661" s="27">
        <f>IF(ISNUMBER($C661),COUNTIFS($A$14:$A$1213,$A661,$C$14:$C$1213,"&gt;"&amp;$C661)+(COUNTIFS($A$14:$A$1213,$A661,$C$14:$C$1213,"="&amp;$C661)+1)/2,"")</f>
        <v/>
      </c>
      <c r="W661" s="27">
        <f>IF(ISNUMBER($F661),COUNTIFS($A$14:$A$1213,$A661,$F$14:$F$1213,"&gt;"&amp;$F661)+(COUNTIFS($A$14:$A$1213,$A661,$F$14:$F$1213,"="&amp;$F661)+1)/2,"")</f>
        <v/>
      </c>
      <c r="X661" s="27">
        <f>IF(OR(NOT(ISNUMBER($V661)),$AO661=1),"",$V661-(COUNTIFS($A$14:$A$1213,$A661,$C$14:$C$1213,"&gt;=0")+1)/2)</f>
        <v/>
      </c>
      <c r="Y661" s="27">
        <f>IF(OR(NOT(ISNUMBER($W661)),$AO661=1),"",$W661-(COUNTIFS($A$14:$A$1213,$A661,$F$14:$F$1213,"&gt;=0")+1)/2)</f>
        <v/>
      </c>
      <c r="Z661" s="27">
        <f>IF(ISNUMBER($V661),$A661&amp;"|"&amp;$V661,"")</f>
        <v/>
      </c>
      <c r="AA661" s="27">
        <f>IF(ISNUMBER($W661),$A661&amp;"|"&amp;$W661,"")</f>
        <v/>
      </c>
      <c r="AB661" s="27">
        <f>IF(ISNUMBER($F661),$A661&amp;"|"&amp;$F661,"")</f>
        <v/>
      </c>
      <c r="AC661" s="27">
        <f>IF(ISNUMBER($P661),COUNTIFS($A$14:$A$1213,$A661,$P$14:$P$1213,"&gt;"&amp;$P661)+(COUNTIFS($A$14:$A$1213,$A661,$P$14:$P$1213,"="&amp;$P661)+1)/2,"")</f>
        <v/>
      </c>
      <c r="AD661" s="27">
        <f>IF(ISNUMBER($Q661),COUNTIFS($A$14:$A$1213,$A661,$Q$14:$Q$1213,"&gt;"&amp;$Q661)+(COUNTIFS($A$14:$A$1213,$A661,$Q$14:$Q$1213,"="&amp;$Q661)+1)/2,"")</f>
        <v/>
      </c>
      <c r="AE661" s="27">
        <f>IF(ISNUMBER($R661),COUNTIFS($A$14:$A$1213,$A661,$R$14:$R$1213,"&gt;"&amp;$R661)+(COUNTIFS($A$14:$A$1213,$A661,$R$14:$R$1213,"="&amp;$R661)+1)/2,"")</f>
        <v/>
      </c>
      <c r="AF661" s="27">
        <f>IF(ISNUMBER($S661),COUNTIFS($A$14:$A$1213,$A661,$S$14:$S$1213,"&gt;"&amp;$S661)+(COUNTIFS($A$14:$A$1213,$A661,$S$14:$S$1213,"="&amp;$S661)+1)/2,"")</f>
        <v/>
      </c>
      <c r="AG661" s="27">
        <f>IF(ISNUMBER($T661),COUNTIFS($A$14:$A$1213,$A661,$T$14:$T$1213,"&gt;"&amp;$T661)+(COUNTIFS($A$14:$A$1213,$A661,$T$14:$T$1213,"="&amp;$T661)+1)/2,"")</f>
        <v/>
      </c>
      <c r="AH661" s="27">
        <f>IF(COUNT($AC661:$AG661)&lt;2,"",IF(MAX($AC661:$AG661)=MIN($AC661:$AG661),0,1))</f>
        <v/>
      </c>
      <c r="AI661" s="27">
        <f>IF($A661="","",IF(COUNTIF($A$14:$A661,$A661)=1,COUNTIF($AI$13:AI660,"&gt;0")+1,""))</f>
        <v/>
      </c>
      <c r="AO661" s="27">
        <f>IF($A661="","",IF(AND(COUNTIFS($A$14:$A$1213,$A661,$F$14:$F$1213,"&gt;=0")=2,IFERROR(INDEX($M$14:$M$313,MATCH($A661,$H$14:$H$313,0)),"Yes")&lt;&gt;"Yes"),1,0))</f>
        <v/>
      </c>
    </row>
    <row r="662">
      <c r="A662" s="19">
        <f>IF('Enter messages'!A662="","",'Enter messages'!A662)</f>
        <v/>
      </c>
      <c r="B662" s="20">
        <f>IF('Enter messages'!B662="","",'Enter messages'!B662)</f>
        <v/>
      </c>
      <c r="C662" s="21">
        <f>IFERROR(AVERAGE(P662:T662),"")</f>
        <v/>
      </c>
      <c r="D662" s="29" t="n"/>
      <c r="E662" s="29" t="n"/>
      <c r="F662" s="30">
        <f>IF(AND(ISNUMBER($D662),ISNUMBER($E662),$E662&gt;0,$D662&lt;=$E662),$D662/$E662,"")</f>
        <v/>
      </c>
      <c r="P662" s="26" t="n"/>
      <c r="Q662" s="26" t="n"/>
      <c r="R662" s="26" t="n"/>
      <c r="S662" s="26" t="n"/>
      <c r="T662" s="26" t="n"/>
      <c r="V662" s="27">
        <f>IF(ISNUMBER($C662),COUNTIFS($A$14:$A$1213,$A662,$C$14:$C$1213,"&gt;"&amp;$C662)+(COUNTIFS($A$14:$A$1213,$A662,$C$14:$C$1213,"="&amp;$C662)+1)/2,"")</f>
        <v/>
      </c>
      <c r="W662" s="27">
        <f>IF(ISNUMBER($F662),COUNTIFS($A$14:$A$1213,$A662,$F$14:$F$1213,"&gt;"&amp;$F662)+(COUNTIFS($A$14:$A$1213,$A662,$F$14:$F$1213,"="&amp;$F662)+1)/2,"")</f>
        <v/>
      </c>
      <c r="X662" s="27">
        <f>IF(OR(NOT(ISNUMBER($V662)),$AO662=1),"",$V662-(COUNTIFS($A$14:$A$1213,$A662,$C$14:$C$1213,"&gt;=0")+1)/2)</f>
        <v/>
      </c>
      <c r="Y662" s="27">
        <f>IF(OR(NOT(ISNUMBER($W662)),$AO662=1),"",$W662-(COUNTIFS($A$14:$A$1213,$A662,$F$14:$F$1213,"&gt;=0")+1)/2)</f>
        <v/>
      </c>
      <c r="Z662" s="27">
        <f>IF(ISNUMBER($V662),$A662&amp;"|"&amp;$V662,"")</f>
        <v/>
      </c>
      <c r="AA662" s="27">
        <f>IF(ISNUMBER($W662),$A662&amp;"|"&amp;$W662,"")</f>
        <v/>
      </c>
      <c r="AB662" s="27">
        <f>IF(ISNUMBER($F662),$A662&amp;"|"&amp;$F662,"")</f>
        <v/>
      </c>
      <c r="AC662" s="27">
        <f>IF(ISNUMBER($P662),COUNTIFS($A$14:$A$1213,$A662,$P$14:$P$1213,"&gt;"&amp;$P662)+(COUNTIFS($A$14:$A$1213,$A662,$P$14:$P$1213,"="&amp;$P662)+1)/2,"")</f>
        <v/>
      </c>
      <c r="AD662" s="27">
        <f>IF(ISNUMBER($Q662),COUNTIFS($A$14:$A$1213,$A662,$Q$14:$Q$1213,"&gt;"&amp;$Q662)+(COUNTIFS($A$14:$A$1213,$A662,$Q$14:$Q$1213,"="&amp;$Q662)+1)/2,"")</f>
        <v/>
      </c>
      <c r="AE662" s="27">
        <f>IF(ISNUMBER($R662),COUNTIFS($A$14:$A$1213,$A662,$R$14:$R$1213,"&gt;"&amp;$R662)+(COUNTIFS($A$14:$A$1213,$A662,$R$14:$R$1213,"="&amp;$R662)+1)/2,"")</f>
        <v/>
      </c>
      <c r="AF662" s="27">
        <f>IF(ISNUMBER($S662),COUNTIFS($A$14:$A$1213,$A662,$S$14:$S$1213,"&gt;"&amp;$S662)+(COUNTIFS($A$14:$A$1213,$A662,$S$14:$S$1213,"="&amp;$S662)+1)/2,"")</f>
        <v/>
      </c>
      <c r="AG662" s="27">
        <f>IF(ISNUMBER($T662),COUNTIFS($A$14:$A$1213,$A662,$T$14:$T$1213,"&gt;"&amp;$T662)+(COUNTIFS($A$14:$A$1213,$A662,$T$14:$T$1213,"="&amp;$T662)+1)/2,"")</f>
        <v/>
      </c>
      <c r="AH662" s="27">
        <f>IF(COUNT($AC662:$AG662)&lt;2,"",IF(MAX($AC662:$AG662)=MIN($AC662:$AG662),0,1))</f>
        <v/>
      </c>
      <c r="AI662" s="27">
        <f>IF($A662="","",IF(COUNTIF($A$14:$A662,$A662)=1,COUNTIF($AI$13:AI661,"&gt;0")+1,""))</f>
        <v/>
      </c>
      <c r="AO662" s="27">
        <f>IF($A662="","",IF(AND(COUNTIFS($A$14:$A$1213,$A662,$F$14:$F$1213,"&gt;=0")=2,IFERROR(INDEX($M$14:$M$313,MATCH($A662,$H$14:$H$313,0)),"Yes")&lt;&gt;"Yes"),1,0))</f>
        <v/>
      </c>
    </row>
    <row r="663">
      <c r="A663" s="19">
        <f>IF('Enter messages'!A663="","",'Enter messages'!A663)</f>
        <v/>
      </c>
      <c r="B663" s="20">
        <f>IF('Enter messages'!B663="","",'Enter messages'!B663)</f>
        <v/>
      </c>
      <c r="C663" s="21">
        <f>IFERROR(AVERAGE(P663:T663),"")</f>
        <v/>
      </c>
      <c r="D663" s="29" t="n"/>
      <c r="E663" s="29" t="n"/>
      <c r="F663" s="30">
        <f>IF(AND(ISNUMBER($D663),ISNUMBER($E663),$E663&gt;0,$D663&lt;=$E663),$D663/$E663,"")</f>
        <v/>
      </c>
      <c r="P663" s="26" t="n"/>
      <c r="Q663" s="26" t="n"/>
      <c r="R663" s="26" t="n"/>
      <c r="S663" s="26" t="n"/>
      <c r="T663" s="26" t="n"/>
      <c r="V663" s="27">
        <f>IF(ISNUMBER($C663),COUNTIFS($A$14:$A$1213,$A663,$C$14:$C$1213,"&gt;"&amp;$C663)+(COUNTIFS($A$14:$A$1213,$A663,$C$14:$C$1213,"="&amp;$C663)+1)/2,"")</f>
        <v/>
      </c>
      <c r="W663" s="27">
        <f>IF(ISNUMBER($F663),COUNTIFS($A$14:$A$1213,$A663,$F$14:$F$1213,"&gt;"&amp;$F663)+(COUNTIFS($A$14:$A$1213,$A663,$F$14:$F$1213,"="&amp;$F663)+1)/2,"")</f>
        <v/>
      </c>
      <c r="X663" s="27">
        <f>IF(OR(NOT(ISNUMBER($V663)),$AO663=1),"",$V663-(COUNTIFS($A$14:$A$1213,$A663,$C$14:$C$1213,"&gt;=0")+1)/2)</f>
        <v/>
      </c>
      <c r="Y663" s="27">
        <f>IF(OR(NOT(ISNUMBER($W663)),$AO663=1),"",$W663-(COUNTIFS($A$14:$A$1213,$A663,$F$14:$F$1213,"&gt;=0")+1)/2)</f>
        <v/>
      </c>
      <c r="Z663" s="27">
        <f>IF(ISNUMBER($V663),$A663&amp;"|"&amp;$V663,"")</f>
        <v/>
      </c>
      <c r="AA663" s="27">
        <f>IF(ISNUMBER($W663),$A663&amp;"|"&amp;$W663,"")</f>
        <v/>
      </c>
      <c r="AB663" s="27">
        <f>IF(ISNUMBER($F663),$A663&amp;"|"&amp;$F663,"")</f>
        <v/>
      </c>
      <c r="AC663" s="27">
        <f>IF(ISNUMBER($P663),COUNTIFS($A$14:$A$1213,$A663,$P$14:$P$1213,"&gt;"&amp;$P663)+(COUNTIFS($A$14:$A$1213,$A663,$P$14:$P$1213,"="&amp;$P663)+1)/2,"")</f>
        <v/>
      </c>
      <c r="AD663" s="27">
        <f>IF(ISNUMBER($Q663),COUNTIFS($A$14:$A$1213,$A663,$Q$14:$Q$1213,"&gt;"&amp;$Q663)+(COUNTIFS($A$14:$A$1213,$A663,$Q$14:$Q$1213,"="&amp;$Q663)+1)/2,"")</f>
        <v/>
      </c>
      <c r="AE663" s="27">
        <f>IF(ISNUMBER($R663),COUNTIFS($A$14:$A$1213,$A663,$R$14:$R$1213,"&gt;"&amp;$R663)+(COUNTIFS($A$14:$A$1213,$A663,$R$14:$R$1213,"="&amp;$R663)+1)/2,"")</f>
        <v/>
      </c>
      <c r="AF663" s="27">
        <f>IF(ISNUMBER($S663),COUNTIFS($A$14:$A$1213,$A663,$S$14:$S$1213,"&gt;"&amp;$S663)+(COUNTIFS($A$14:$A$1213,$A663,$S$14:$S$1213,"="&amp;$S663)+1)/2,"")</f>
        <v/>
      </c>
      <c r="AG663" s="27">
        <f>IF(ISNUMBER($T663),COUNTIFS($A$14:$A$1213,$A663,$T$14:$T$1213,"&gt;"&amp;$T663)+(COUNTIFS($A$14:$A$1213,$A663,$T$14:$T$1213,"="&amp;$T663)+1)/2,"")</f>
        <v/>
      </c>
      <c r="AH663" s="27">
        <f>IF(COUNT($AC663:$AG663)&lt;2,"",IF(MAX($AC663:$AG663)=MIN($AC663:$AG663),0,1))</f>
        <v/>
      </c>
      <c r="AI663" s="27">
        <f>IF($A663="","",IF(COUNTIF($A$14:$A663,$A663)=1,COUNTIF($AI$13:AI662,"&gt;0")+1,""))</f>
        <v/>
      </c>
      <c r="AO663" s="27">
        <f>IF($A663="","",IF(AND(COUNTIFS($A$14:$A$1213,$A663,$F$14:$F$1213,"&gt;=0")=2,IFERROR(INDEX($M$14:$M$313,MATCH($A663,$H$14:$H$313,0)),"Yes")&lt;&gt;"Yes"),1,0))</f>
        <v/>
      </c>
    </row>
    <row r="664">
      <c r="A664" s="19">
        <f>IF('Enter messages'!A664="","",'Enter messages'!A664)</f>
        <v/>
      </c>
      <c r="B664" s="20">
        <f>IF('Enter messages'!B664="","",'Enter messages'!B664)</f>
        <v/>
      </c>
      <c r="C664" s="21">
        <f>IFERROR(AVERAGE(P664:T664),"")</f>
        <v/>
      </c>
      <c r="D664" s="29" t="n"/>
      <c r="E664" s="29" t="n"/>
      <c r="F664" s="30">
        <f>IF(AND(ISNUMBER($D664),ISNUMBER($E664),$E664&gt;0,$D664&lt;=$E664),$D664/$E664,"")</f>
        <v/>
      </c>
      <c r="P664" s="26" t="n"/>
      <c r="Q664" s="26" t="n"/>
      <c r="R664" s="26" t="n"/>
      <c r="S664" s="26" t="n"/>
      <c r="T664" s="26" t="n"/>
      <c r="V664" s="27">
        <f>IF(ISNUMBER($C664),COUNTIFS($A$14:$A$1213,$A664,$C$14:$C$1213,"&gt;"&amp;$C664)+(COUNTIFS($A$14:$A$1213,$A664,$C$14:$C$1213,"="&amp;$C664)+1)/2,"")</f>
        <v/>
      </c>
      <c r="W664" s="27">
        <f>IF(ISNUMBER($F664),COUNTIFS($A$14:$A$1213,$A664,$F$14:$F$1213,"&gt;"&amp;$F664)+(COUNTIFS($A$14:$A$1213,$A664,$F$14:$F$1213,"="&amp;$F664)+1)/2,"")</f>
        <v/>
      </c>
      <c r="X664" s="27">
        <f>IF(OR(NOT(ISNUMBER($V664)),$AO664=1),"",$V664-(COUNTIFS($A$14:$A$1213,$A664,$C$14:$C$1213,"&gt;=0")+1)/2)</f>
        <v/>
      </c>
      <c r="Y664" s="27">
        <f>IF(OR(NOT(ISNUMBER($W664)),$AO664=1),"",$W664-(COUNTIFS($A$14:$A$1213,$A664,$F$14:$F$1213,"&gt;=0")+1)/2)</f>
        <v/>
      </c>
      <c r="Z664" s="27">
        <f>IF(ISNUMBER($V664),$A664&amp;"|"&amp;$V664,"")</f>
        <v/>
      </c>
      <c r="AA664" s="27">
        <f>IF(ISNUMBER($W664),$A664&amp;"|"&amp;$W664,"")</f>
        <v/>
      </c>
      <c r="AB664" s="27">
        <f>IF(ISNUMBER($F664),$A664&amp;"|"&amp;$F664,"")</f>
        <v/>
      </c>
      <c r="AC664" s="27">
        <f>IF(ISNUMBER($P664),COUNTIFS($A$14:$A$1213,$A664,$P$14:$P$1213,"&gt;"&amp;$P664)+(COUNTIFS($A$14:$A$1213,$A664,$P$14:$P$1213,"="&amp;$P664)+1)/2,"")</f>
        <v/>
      </c>
      <c r="AD664" s="27">
        <f>IF(ISNUMBER($Q664),COUNTIFS($A$14:$A$1213,$A664,$Q$14:$Q$1213,"&gt;"&amp;$Q664)+(COUNTIFS($A$14:$A$1213,$A664,$Q$14:$Q$1213,"="&amp;$Q664)+1)/2,"")</f>
        <v/>
      </c>
      <c r="AE664" s="27">
        <f>IF(ISNUMBER($R664),COUNTIFS($A$14:$A$1213,$A664,$R$14:$R$1213,"&gt;"&amp;$R664)+(COUNTIFS($A$14:$A$1213,$A664,$R$14:$R$1213,"="&amp;$R664)+1)/2,"")</f>
        <v/>
      </c>
      <c r="AF664" s="27">
        <f>IF(ISNUMBER($S664),COUNTIFS($A$14:$A$1213,$A664,$S$14:$S$1213,"&gt;"&amp;$S664)+(COUNTIFS($A$14:$A$1213,$A664,$S$14:$S$1213,"="&amp;$S664)+1)/2,"")</f>
        <v/>
      </c>
      <c r="AG664" s="27">
        <f>IF(ISNUMBER($T664),COUNTIFS($A$14:$A$1213,$A664,$T$14:$T$1213,"&gt;"&amp;$T664)+(COUNTIFS($A$14:$A$1213,$A664,$T$14:$T$1213,"="&amp;$T664)+1)/2,"")</f>
        <v/>
      </c>
      <c r="AH664" s="27">
        <f>IF(COUNT($AC664:$AG664)&lt;2,"",IF(MAX($AC664:$AG664)=MIN($AC664:$AG664),0,1))</f>
        <v/>
      </c>
      <c r="AI664" s="27">
        <f>IF($A664="","",IF(COUNTIF($A$14:$A664,$A664)=1,COUNTIF($AI$13:AI663,"&gt;0")+1,""))</f>
        <v/>
      </c>
      <c r="AO664" s="27">
        <f>IF($A664="","",IF(AND(COUNTIFS($A$14:$A$1213,$A664,$F$14:$F$1213,"&gt;=0")=2,IFERROR(INDEX($M$14:$M$313,MATCH($A664,$H$14:$H$313,0)),"Yes")&lt;&gt;"Yes"),1,0))</f>
        <v/>
      </c>
    </row>
    <row r="665">
      <c r="A665" s="19">
        <f>IF('Enter messages'!A665="","",'Enter messages'!A665)</f>
        <v/>
      </c>
      <c r="B665" s="20">
        <f>IF('Enter messages'!B665="","",'Enter messages'!B665)</f>
        <v/>
      </c>
      <c r="C665" s="21">
        <f>IFERROR(AVERAGE(P665:T665),"")</f>
        <v/>
      </c>
      <c r="D665" s="29" t="n"/>
      <c r="E665" s="29" t="n"/>
      <c r="F665" s="30">
        <f>IF(AND(ISNUMBER($D665),ISNUMBER($E665),$E665&gt;0,$D665&lt;=$E665),$D665/$E665,"")</f>
        <v/>
      </c>
      <c r="P665" s="26" t="n"/>
      <c r="Q665" s="26" t="n"/>
      <c r="R665" s="26" t="n"/>
      <c r="S665" s="26" t="n"/>
      <c r="T665" s="26" t="n"/>
      <c r="V665" s="27">
        <f>IF(ISNUMBER($C665),COUNTIFS($A$14:$A$1213,$A665,$C$14:$C$1213,"&gt;"&amp;$C665)+(COUNTIFS($A$14:$A$1213,$A665,$C$14:$C$1213,"="&amp;$C665)+1)/2,"")</f>
        <v/>
      </c>
      <c r="W665" s="27">
        <f>IF(ISNUMBER($F665),COUNTIFS($A$14:$A$1213,$A665,$F$14:$F$1213,"&gt;"&amp;$F665)+(COUNTIFS($A$14:$A$1213,$A665,$F$14:$F$1213,"="&amp;$F665)+1)/2,"")</f>
        <v/>
      </c>
      <c r="X665" s="27">
        <f>IF(OR(NOT(ISNUMBER($V665)),$AO665=1),"",$V665-(COUNTIFS($A$14:$A$1213,$A665,$C$14:$C$1213,"&gt;=0")+1)/2)</f>
        <v/>
      </c>
      <c r="Y665" s="27">
        <f>IF(OR(NOT(ISNUMBER($W665)),$AO665=1),"",$W665-(COUNTIFS($A$14:$A$1213,$A665,$F$14:$F$1213,"&gt;=0")+1)/2)</f>
        <v/>
      </c>
      <c r="Z665" s="27">
        <f>IF(ISNUMBER($V665),$A665&amp;"|"&amp;$V665,"")</f>
        <v/>
      </c>
      <c r="AA665" s="27">
        <f>IF(ISNUMBER($W665),$A665&amp;"|"&amp;$W665,"")</f>
        <v/>
      </c>
      <c r="AB665" s="27">
        <f>IF(ISNUMBER($F665),$A665&amp;"|"&amp;$F665,"")</f>
        <v/>
      </c>
      <c r="AC665" s="27">
        <f>IF(ISNUMBER($P665),COUNTIFS($A$14:$A$1213,$A665,$P$14:$P$1213,"&gt;"&amp;$P665)+(COUNTIFS($A$14:$A$1213,$A665,$P$14:$P$1213,"="&amp;$P665)+1)/2,"")</f>
        <v/>
      </c>
      <c r="AD665" s="27">
        <f>IF(ISNUMBER($Q665),COUNTIFS($A$14:$A$1213,$A665,$Q$14:$Q$1213,"&gt;"&amp;$Q665)+(COUNTIFS($A$14:$A$1213,$A665,$Q$14:$Q$1213,"="&amp;$Q665)+1)/2,"")</f>
        <v/>
      </c>
      <c r="AE665" s="27">
        <f>IF(ISNUMBER($R665),COUNTIFS($A$14:$A$1213,$A665,$R$14:$R$1213,"&gt;"&amp;$R665)+(COUNTIFS($A$14:$A$1213,$A665,$R$14:$R$1213,"="&amp;$R665)+1)/2,"")</f>
        <v/>
      </c>
      <c r="AF665" s="27">
        <f>IF(ISNUMBER($S665),COUNTIFS($A$14:$A$1213,$A665,$S$14:$S$1213,"&gt;"&amp;$S665)+(COUNTIFS($A$14:$A$1213,$A665,$S$14:$S$1213,"="&amp;$S665)+1)/2,"")</f>
        <v/>
      </c>
      <c r="AG665" s="27">
        <f>IF(ISNUMBER($T665),COUNTIFS($A$14:$A$1213,$A665,$T$14:$T$1213,"&gt;"&amp;$T665)+(COUNTIFS($A$14:$A$1213,$A665,$T$14:$T$1213,"="&amp;$T665)+1)/2,"")</f>
        <v/>
      </c>
      <c r="AH665" s="27">
        <f>IF(COUNT($AC665:$AG665)&lt;2,"",IF(MAX($AC665:$AG665)=MIN($AC665:$AG665),0,1))</f>
        <v/>
      </c>
      <c r="AI665" s="27">
        <f>IF($A665="","",IF(COUNTIF($A$14:$A665,$A665)=1,COUNTIF($AI$13:AI664,"&gt;0")+1,""))</f>
        <v/>
      </c>
      <c r="AO665" s="27">
        <f>IF($A665="","",IF(AND(COUNTIFS($A$14:$A$1213,$A665,$F$14:$F$1213,"&gt;=0")=2,IFERROR(INDEX($M$14:$M$313,MATCH($A665,$H$14:$H$313,0)),"Yes")&lt;&gt;"Yes"),1,0))</f>
        <v/>
      </c>
    </row>
    <row r="666">
      <c r="A666" s="19">
        <f>IF('Enter messages'!A666="","",'Enter messages'!A666)</f>
        <v/>
      </c>
      <c r="B666" s="20">
        <f>IF('Enter messages'!B666="","",'Enter messages'!B666)</f>
        <v/>
      </c>
      <c r="C666" s="21">
        <f>IFERROR(AVERAGE(P666:T666),"")</f>
        <v/>
      </c>
      <c r="D666" s="29" t="n"/>
      <c r="E666" s="29" t="n"/>
      <c r="F666" s="30">
        <f>IF(AND(ISNUMBER($D666),ISNUMBER($E666),$E666&gt;0,$D666&lt;=$E666),$D666/$E666,"")</f>
        <v/>
      </c>
      <c r="P666" s="26" t="n"/>
      <c r="Q666" s="26" t="n"/>
      <c r="R666" s="26" t="n"/>
      <c r="S666" s="26" t="n"/>
      <c r="T666" s="26" t="n"/>
      <c r="V666" s="27">
        <f>IF(ISNUMBER($C666),COUNTIFS($A$14:$A$1213,$A666,$C$14:$C$1213,"&gt;"&amp;$C666)+(COUNTIFS($A$14:$A$1213,$A666,$C$14:$C$1213,"="&amp;$C666)+1)/2,"")</f>
        <v/>
      </c>
      <c r="W666" s="27">
        <f>IF(ISNUMBER($F666),COUNTIFS($A$14:$A$1213,$A666,$F$14:$F$1213,"&gt;"&amp;$F666)+(COUNTIFS($A$14:$A$1213,$A666,$F$14:$F$1213,"="&amp;$F666)+1)/2,"")</f>
        <v/>
      </c>
      <c r="X666" s="27">
        <f>IF(OR(NOT(ISNUMBER($V666)),$AO666=1),"",$V666-(COUNTIFS($A$14:$A$1213,$A666,$C$14:$C$1213,"&gt;=0")+1)/2)</f>
        <v/>
      </c>
      <c r="Y666" s="27">
        <f>IF(OR(NOT(ISNUMBER($W666)),$AO666=1),"",$W666-(COUNTIFS($A$14:$A$1213,$A666,$F$14:$F$1213,"&gt;=0")+1)/2)</f>
        <v/>
      </c>
      <c r="Z666" s="27">
        <f>IF(ISNUMBER($V666),$A666&amp;"|"&amp;$V666,"")</f>
        <v/>
      </c>
      <c r="AA666" s="27">
        <f>IF(ISNUMBER($W666),$A666&amp;"|"&amp;$W666,"")</f>
        <v/>
      </c>
      <c r="AB666" s="27">
        <f>IF(ISNUMBER($F666),$A666&amp;"|"&amp;$F666,"")</f>
        <v/>
      </c>
      <c r="AC666" s="27">
        <f>IF(ISNUMBER($P666),COUNTIFS($A$14:$A$1213,$A666,$P$14:$P$1213,"&gt;"&amp;$P666)+(COUNTIFS($A$14:$A$1213,$A666,$P$14:$P$1213,"="&amp;$P666)+1)/2,"")</f>
        <v/>
      </c>
      <c r="AD666" s="27">
        <f>IF(ISNUMBER($Q666),COUNTIFS($A$14:$A$1213,$A666,$Q$14:$Q$1213,"&gt;"&amp;$Q666)+(COUNTIFS($A$14:$A$1213,$A666,$Q$14:$Q$1213,"="&amp;$Q666)+1)/2,"")</f>
        <v/>
      </c>
      <c r="AE666" s="27">
        <f>IF(ISNUMBER($R666),COUNTIFS($A$14:$A$1213,$A666,$R$14:$R$1213,"&gt;"&amp;$R666)+(COUNTIFS($A$14:$A$1213,$A666,$R$14:$R$1213,"="&amp;$R666)+1)/2,"")</f>
        <v/>
      </c>
      <c r="AF666" s="27">
        <f>IF(ISNUMBER($S666),COUNTIFS($A$14:$A$1213,$A666,$S$14:$S$1213,"&gt;"&amp;$S666)+(COUNTIFS($A$14:$A$1213,$A666,$S$14:$S$1213,"="&amp;$S666)+1)/2,"")</f>
        <v/>
      </c>
      <c r="AG666" s="27">
        <f>IF(ISNUMBER($T666),COUNTIFS($A$14:$A$1213,$A666,$T$14:$T$1213,"&gt;"&amp;$T666)+(COUNTIFS($A$14:$A$1213,$A666,$T$14:$T$1213,"="&amp;$T666)+1)/2,"")</f>
        <v/>
      </c>
      <c r="AH666" s="27">
        <f>IF(COUNT($AC666:$AG666)&lt;2,"",IF(MAX($AC666:$AG666)=MIN($AC666:$AG666),0,1))</f>
        <v/>
      </c>
      <c r="AI666" s="27">
        <f>IF($A666="","",IF(COUNTIF($A$14:$A666,$A666)=1,COUNTIF($AI$13:AI665,"&gt;0")+1,""))</f>
        <v/>
      </c>
      <c r="AO666" s="27">
        <f>IF($A666="","",IF(AND(COUNTIFS($A$14:$A$1213,$A666,$F$14:$F$1213,"&gt;=0")=2,IFERROR(INDEX($M$14:$M$313,MATCH($A666,$H$14:$H$313,0)),"Yes")&lt;&gt;"Yes"),1,0))</f>
        <v/>
      </c>
    </row>
    <row r="667">
      <c r="A667" s="19">
        <f>IF('Enter messages'!A667="","",'Enter messages'!A667)</f>
        <v/>
      </c>
      <c r="B667" s="20">
        <f>IF('Enter messages'!B667="","",'Enter messages'!B667)</f>
        <v/>
      </c>
      <c r="C667" s="21">
        <f>IFERROR(AVERAGE(P667:T667),"")</f>
        <v/>
      </c>
      <c r="D667" s="29" t="n"/>
      <c r="E667" s="29" t="n"/>
      <c r="F667" s="30">
        <f>IF(AND(ISNUMBER($D667),ISNUMBER($E667),$E667&gt;0,$D667&lt;=$E667),$D667/$E667,"")</f>
        <v/>
      </c>
      <c r="P667" s="26" t="n"/>
      <c r="Q667" s="26" t="n"/>
      <c r="R667" s="26" t="n"/>
      <c r="S667" s="26" t="n"/>
      <c r="T667" s="26" t="n"/>
      <c r="V667" s="27">
        <f>IF(ISNUMBER($C667),COUNTIFS($A$14:$A$1213,$A667,$C$14:$C$1213,"&gt;"&amp;$C667)+(COUNTIFS($A$14:$A$1213,$A667,$C$14:$C$1213,"="&amp;$C667)+1)/2,"")</f>
        <v/>
      </c>
      <c r="W667" s="27">
        <f>IF(ISNUMBER($F667),COUNTIFS($A$14:$A$1213,$A667,$F$14:$F$1213,"&gt;"&amp;$F667)+(COUNTIFS($A$14:$A$1213,$A667,$F$14:$F$1213,"="&amp;$F667)+1)/2,"")</f>
        <v/>
      </c>
      <c r="X667" s="27">
        <f>IF(OR(NOT(ISNUMBER($V667)),$AO667=1),"",$V667-(COUNTIFS($A$14:$A$1213,$A667,$C$14:$C$1213,"&gt;=0")+1)/2)</f>
        <v/>
      </c>
      <c r="Y667" s="27">
        <f>IF(OR(NOT(ISNUMBER($W667)),$AO667=1),"",$W667-(COUNTIFS($A$14:$A$1213,$A667,$F$14:$F$1213,"&gt;=0")+1)/2)</f>
        <v/>
      </c>
      <c r="Z667" s="27">
        <f>IF(ISNUMBER($V667),$A667&amp;"|"&amp;$V667,"")</f>
        <v/>
      </c>
      <c r="AA667" s="27">
        <f>IF(ISNUMBER($W667),$A667&amp;"|"&amp;$W667,"")</f>
        <v/>
      </c>
      <c r="AB667" s="27">
        <f>IF(ISNUMBER($F667),$A667&amp;"|"&amp;$F667,"")</f>
        <v/>
      </c>
      <c r="AC667" s="27">
        <f>IF(ISNUMBER($P667),COUNTIFS($A$14:$A$1213,$A667,$P$14:$P$1213,"&gt;"&amp;$P667)+(COUNTIFS($A$14:$A$1213,$A667,$P$14:$P$1213,"="&amp;$P667)+1)/2,"")</f>
        <v/>
      </c>
      <c r="AD667" s="27">
        <f>IF(ISNUMBER($Q667),COUNTIFS($A$14:$A$1213,$A667,$Q$14:$Q$1213,"&gt;"&amp;$Q667)+(COUNTIFS($A$14:$A$1213,$A667,$Q$14:$Q$1213,"="&amp;$Q667)+1)/2,"")</f>
        <v/>
      </c>
      <c r="AE667" s="27">
        <f>IF(ISNUMBER($R667),COUNTIFS($A$14:$A$1213,$A667,$R$14:$R$1213,"&gt;"&amp;$R667)+(COUNTIFS($A$14:$A$1213,$A667,$R$14:$R$1213,"="&amp;$R667)+1)/2,"")</f>
        <v/>
      </c>
      <c r="AF667" s="27">
        <f>IF(ISNUMBER($S667),COUNTIFS($A$14:$A$1213,$A667,$S$14:$S$1213,"&gt;"&amp;$S667)+(COUNTIFS($A$14:$A$1213,$A667,$S$14:$S$1213,"="&amp;$S667)+1)/2,"")</f>
        <v/>
      </c>
      <c r="AG667" s="27">
        <f>IF(ISNUMBER($T667),COUNTIFS($A$14:$A$1213,$A667,$T$14:$T$1213,"&gt;"&amp;$T667)+(COUNTIFS($A$14:$A$1213,$A667,$T$14:$T$1213,"="&amp;$T667)+1)/2,"")</f>
        <v/>
      </c>
      <c r="AH667" s="27">
        <f>IF(COUNT($AC667:$AG667)&lt;2,"",IF(MAX($AC667:$AG667)=MIN($AC667:$AG667),0,1))</f>
        <v/>
      </c>
      <c r="AI667" s="27">
        <f>IF($A667="","",IF(COUNTIF($A$14:$A667,$A667)=1,COUNTIF($AI$13:AI666,"&gt;0")+1,""))</f>
        <v/>
      </c>
      <c r="AO667" s="27">
        <f>IF($A667="","",IF(AND(COUNTIFS($A$14:$A$1213,$A667,$F$14:$F$1213,"&gt;=0")=2,IFERROR(INDEX($M$14:$M$313,MATCH($A667,$H$14:$H$313,0)),"Yes")&lt;&gt;"Yes"),1,0))</f>
        <v/>
      </c>
    </row>
    <row r="668">
      <c r="A668" s="19">
        <f>IF('Enter messages'!A668="","",'Enter messages'!A668)</f>
        <v/>
      </c>
      <c r="B668" s="20">
        <f>IF('Enter messages'!B668="","",'Enter messages'!B668)</f>
        <v/>
      </c>
      <c r="C668" s="21">
        <f>IFERROR(AVERAGE(P668:T668),"")</f>
        <v/>
      </c>
      <c r="D668" s="29" t="n"/>
      <c r="E668" s="29" t="n"/>
      <c r="F668" s="30">
        <f>IF(AND(ISNUMBER($D668),ISNUMBER($E668),$E668&gt;0,$D668&lt;=$E668),$D668/$E668,"")</f>
        <v/>
      </c>
      <c r="P668" s="26" t="n"/>
      <c r="Q668" s="26" t="n"/>
      <c r="R668" s="26" t="n"/>
      <c r="S668" s="26" t="n"/>
      <c r="T668" s="26" t="n"/>
      <c r="V668" s="27">
        <f>IF(ISNUMBER($C668),COUNTIFS($A$14:$A$1213,$A668,$C$14:$C$1213,"&gt;"&amp;$C668)+(COUNTIFS($A$14:$A$1213,$A668,$C$14:$C$1213,"="&amp;$C668)+1)/2,"")</f>
        <v/>
      </c>
      <c r="W668" s="27">
        <f>IF(ISNUMBER($F668),COUNTIFS($A$14:$A$1213,$A668,$F$14:$F$1213,"&gt;"&amp;$F668)+(COUNTIFS($A$14:$A$1213,$A668,$F$14:$F$1213,"="&amp;$F668)+1)/2,"")</f>
        <v/>
      </c>
      <c r="X668" s="27">
        <f>IF(OR(NOT(ISNUMBER($V668)),$AO668=1),"",$V668-(COUNTIFS($A$14:$A$1213,$A668,$C$14:$C$1213,"&gt;=0")+1)/2)</f>
        <v/>
      </c>
      <c r="Y668" s="27">
        <f>IF(OR(NOT(ISNUMBER($W668)),$AO668=1),"",$W668-(COUNTIFS($A$14:$A$1213,$A668,$F$14:$F$1213,"&gt;=0")+1)/2)</f>
        <v/>
      </c>
      <c r="Z668" s="27">
        <f>IF(ISNUMBER($V668),$A668&amp;"|"&amp;$V668,"")</f>
        <v/>
      </c>
      <c r="AA668" s="27">
        <f>IF(ISNUMBER($W668),$A668&amp;"|"&amp;$W668,"")</f>
        <v/>
      </c>
      <c r="AB668" s="27">
        <f>IF(ISNUMBER($F668),$A668&amp;"|"&amp;$F668,"")</f>
        <v/>
      </c>
      <c r="AC668" s="27">
        <f>IF(ISNUMBER($P668),COUNTIFS($A$14:$A$1213,$A668,$P$14:$P$1213,"&gt;"&amp;$P668)+(COUNTIFS($A$14:$A$1213,$A668,$P$14:$P$1213,"="&amp;$P668)+1)/2,"")</f>
        <v/>
      </c>
      <c r="AD668" s="27">
        <f>IF(ISNUMBER($Q668),COUNTIFS($A$14:$A$1213,$A668,$Q$14:$Q$1213,"&gt;"&amp;$Q668)+(COUNTIFS($A$14:$A$1213,$A668,$Q$14:$Q$1213,"="&amp;$Q668)+1)/2,"")</f>
        <v/>
      </c>
      <c r="AE668" s="27">
        <f>IF(ISNUMBER($R668),COUNTIFS($A$14:$A$1213,$A668,$R$14:$R$1213,"&gt;"&amp;$R668)+(COUNTIFS($A$14:$A$1213,$A668,$R$14:$R$1213,"="&amp;$R668)+1)/2,"")</f>
        <v/>
      </c>
      <c r="AF668" s="27">
        <f>IF(ISNUMBER($S668),COUNTIFS($A$14:$A$1213,$A668,$S$14:$S$1213,"&gt;"&amp;$S668)+(COUNTIFS($A$14:$A$1213,$A668,$S$14:$S$1213,"="&amp;$S668)+1)/2,"")</f>
        <v/>
      </c>
      <c r="AG668" s="27">
        <f>IF(ISNUMBER($T668),COUNTIFS($A$14:$A$1213,$A668,$T$14:$T$1213,"&gt;"&amp;$T668)+(COUNTIFS($A$14:$A$1213,$A668,$T$14:$T$1213,"="&amp;$T668)+1)/2,"")</f>
        <v/>
      </c>
      <c r="AH668" s="27">
        <f>IF(COUNT($AC668:$AG668)&lt;2,"",IF(MAX($AC668:$AG668)=MIN($AC668:$AG668),0,1))</f>
        <v/>
      </c>
      <c r="AI668" s="27">
        <f>IF($A668="","",IF(COUNTIF($A$14:$A668,$A668)=1,COUNTIF($AI$13:AI667,"&gt;0")+1,""))</f>
        <v/>
      </c>
      <c r="AO668" s="27">
        <f>IF($A668="","",IF(AND(COUNTIFS($A$14:$A$1213,$A668,$F$14:$F$1213,"&gt;=0")=2,IFERROR(INDEX($M$14:$M$313,MATCH($A668,$H$14:$H$313,0)),"Yes")&lt;&gt;"Yes"),1,0))</f>
        <v/>
      </c>
    </row>
    <row r="669">
      <c r="A669" s="19">
        <f>IF('Enter messages'!A669="","",'Enter messages'!A669)</f>
        <v/>
      </c>
      <c r="B669" s="20">
        <f>IF('Enter messages'!B669="","",'Enter messages'!B669)</f>
        <v/>
      </c>
      <c r="C669" s="21">
        <f>IFERROR(AVERAGE(P669:T669),"")</f>
        <v/>
      </c>
      <c r="D669" s="29" t="n"/>
      <c r="E669" s="29" t="n"/>
      <c r="F669" s="30">
        <f>IF(AND(ISNUMBER($D669),ISNUMBER($E669),$E669&gt;0,$D669&lt;=$E669),$D669/$E669,"")</f>
        <v/>
      </c>
      <c r="P669" s="26" t="n"/>
      <c r="Q669" s="26" t="n"/>
      <c r="R669" s="26" t="n"/>
      <c r="S669" s="26" t="n"/>
      <c r="T669" s="26" t="n"/>
      <c r="V669" s="27">
        <f>IF(ISNUMBER($C669),COUNTIFS($A$14:$A$1213,$A669,$C$14:$C$1213,"&gt;"&amp;$C669)+(COUNTIFS($A$14:$A$1213,$A669,$C$14:$C$1213,"="&amp;$C669)+1)/2,"")</f>
        <v/>
      </c>
      <c r="W669" s="27">
        <f>IF(ISNUMBER($F669),COUNTIFS($A$14:$A$1213,$A669,$F$14:$F$1213,"&gt;"&amp;$F669)+(COUNTIFS($A$14:$A$1213,$A669,$F$14:$F$1213,"="&amp;$F669)+1)/2,"")</f>
        <v/>
      </c>
      <c r="X669" s="27">
        <f>IF(OR(NOT(ISNUMBER($V669)),$AO669=1),"",$V669-(COUNTIFS($A$14:$A$1213,$A669,$C$14:$C$1213,"&gt;=0")+1)/2)</f>
        <v/>
      </c>
      <c r="Y669" s="27">
        <f>IF(OR(NOT(ISNUMBER($W669)),$AO669=1),"",$W669-(COUNTIFS($A$14:$A$1213,$A669,$F$14:$F$1213,"&gt;=0")+1)/2)</f>
        <v/>
      </c>
      <c r="Z669" s="27">
        <f>IF(ISNUMBER($V669),$A669&amp;"|"&amp;$V669,"")</f>
        <v/>
      </c>
      <c r="AA669" s="27">
        <f>IF(ISNUMBER($W669),$A669&amp;"|"&amp;$W669,"")</f>
        <v/>
      </c>
      <c r="AB669" s="27">
        <f>IF(ISNUMBER($F669),$A669&amp;"|"&amp;$F669,"")</f>
        <v/>
      </c>
      <c r="AC669" s="27">
        <f>IF(ISNUMBER($P669),COUNTIFS($A$14:$A$1213,$A669,$P$14:$P$1213,"&gt;"&amp;$P669)+(COUNTIFS($A$14:$A$1213,$A669,$P$14:$P$1213,"="&amp;$P669)+1)/2,"")</f>
        <v/>
      </c>
      <c r="AD669" s="27">
        <f>IF(ISNUMBER($Q669),COUNTIFS($A$14:$A$1213,$A669,$Q$14:$Q$1213,"&gt;"&amp;$Q669)+(COUNTIFS($A$14:$A$1213,$A669,$Q$14:$Q$1213,"="&amp;$Q669)+1)/2,"")</f>
        <v/>
      </c>
      <c r="AE669" s="27">
        <f>IF(ISNUMBER($R669),COUNTIFS($A$14:$A$1213,$A669,$R$14:$R$1213,"&gt;"&amp;$R669)+(COUNTIFS($A$14:$A$1213,$A669,$R$14:$R$1213,"="&amp;$R669)+1)/2,"")</f>
        <v/>
      </c>
      <c r="AF669" s="27">
        <f>IF(ISNUMBER($S669),COUNTIFS($A$14:$A$1213,$A669,$S$14:$S$1213,"&gt;"&amp;$S669)+(COUNTIFS($A$14:$A$1213,$A669,$S$14:$S$1213,"="&amp;$S669)+1)/2,"")</f>
        <v/>
      </c>
      <c r="AG669" s="27">
        <f>IF(ISNUMBER($T669),COUNTIFS($A$14:$A$1213,$A669,$T$14:$T$1213,"&gt;"&amp;$T669)+(COUNTIFS($A$14:$A$1213,$A669,$T$14:$T$1213,"="&amp;$T669)+1)/2,"")</f>
        <v/>
      </c>
      <c r="AH669" s="27">
        <f>IF(COUNT($AC669:$AG669)&lt;2,"",IF(MAX($AC669:$AG669)=MIN($AC669:$AG669),0,1))</f>
        <v/>
      </c>
      <c r="AI669" s="27">
        <f>IF($A669="","",IF(COUNTIF($A$14:$A669,$A669)=1,COUNTIF($AI$13:AI668,"&gt;0")+1,""))</f>
        <v/>
      </c>
      <c r="AO669" s="27">
        <f>IF($A669="","",IF(AND(COUNTIFS($A$14:$A$1213,$A669,$F$14:$F$1213,"&gt;=0")=2,IFERROR(INDEX($M$14:$M$313,MATCH($A669,$H$14:$H$313,0)),"Yes")&lt;&gt;"Yes"),1,0))</f>
        <v/>
      </c>
    </row>
    <row r="670">
      <c r="A670" s="19">
        <f>IF('Enter messages'!A670="","",'Enter messages'!A670)</f>
        <v/>
      </c>
      <c r="B670" s="20">
        <f>IF('Enter messages'!B670="","",'Enter messages'!B670)</f>
        <v/>
      </c>
      <c r="C670" s="21">
        <f>IFERROR(AVERAGE(P670:T670),"")</f>
        <v/>
      </c>
      <c r="D670" s="29" t="n"/>
      <c r="E670" s="29" t="n"/>
      <c r="F670" s="30">
        <f>IF(AND(ISNUMBER($D670),ISNUMBER($E670),$E670&gt;0,$D670&lt;=$E670),$D670/$E670,"")</f>
        <v/>
      </c>
      <c r="P670" s="26" t="n"/>
      <c r="Q670" s="26" t="n"/>
      <c r="R670" s="26" t="n"/>
      <c r="S670" s="26" t="n"/>
      <c r="T670" s="26" t="n"/>
      <c r="V670" s="27">
        <f>IF(ISNUMBER($C670),COUNTIFS($A$14:$A$1213,$A670,$C$14:$C$1213,"&gt;"&amp;$C670)+(COUNTIFS($A$14:$A$1213,$A670,$C$14:$C$1213,"="&amp;$C670)+1)/2,"")</f>
        <v/>
      </c>
      <c r="W670" s="27">
        <f>IF(ISNUMBER($F670),COUNTIFS($A$14:$A$1213,$A670,$F$14:$F$1213,"&gt;"&amp;$F670)+(COUNTIFS($A$14:$A$1213,$A670,$F$14:$F$1213,"="&amp;$F670)+1)/2,"")</f>
        <v/>
      </c>
      <c r="X670" s="27">
        <f>IF(OR(NOT(ISNUMBER($V670)),$AO670=1),"",$V670-(COUNTIFS($A$14:$A$1213,$A670,$C$14:$C$1213,"&gt;=0")+1)/2)</f>
        <v/>
      </c>
      <c r="Y670" s="27">
        <f>IF(OR(NOT(ISNUMBER($W670)),$AO670=1),"",$W670-(COUNTIFS($A$14:$A$1213,$A670,$F$14:$F$1213,"&gt;=0")+1)/2)</f>
        <v/>
      </c>
      <c r="Z670" s="27">
        <f>IF(ISNUMBER($V670),$A670&amp;"|"&amp;$V670,"")</f>
        <v/>
      </c>
      <c r="AA670" s="27">
        <f>IF(ISNUMBER($W670),$A670&amp;"|"&amp;$W670,"")</f>
        <v/>
      </c>
      <c r="AB670" s="27">
        <f>IF(ISNUMBER($F670),$A670&amp;"|"&amp;$F670,"")</f>
        <v/>
      </c>
      <c r="AC670" s="27">
        <f>IF(ISNUMBER($P670),COUNTIFS($A$14:$A$1213,$A670,$P$14:$P$1213,"&gt;"&amp;$P670)+(COUNTIFS($A$14:$A$1213,$A670,$P$14:$P$1213,"="&amp;$P670)+1)/2,"")</f>
        <v/>
      </c>
      <c r="AD670" s="27">
        <f>IF(ISNUMBER($Q670),COUNTIFS($A$14:$A$1213,$A670,$Q$14:$Q$1213,"&gt;"&amp;$Q670)+(COUNTIFS($A$14:$A$1213,$A670,$Q$14:$Q$1213,"="&amp;$Q670)+1)/2,"")</f>
        <v/>
      </c>
      <c r="AE670" s="27">
        <f>IF(ISNUMBER($R670),COUNTIFS($A$14:$A$1213,$A670,$R$14:$R$1213,"&gt;"&amp;$R670)+(COUNTIFS($A$14:$A$1213,$A670,$R$14:$R$1213,"="&amp;$R670)+1)/2,"")</f>
        <v/>
      </c>
      <c r="AF670" s="27">
        <f>IF(ISNUMBER($S670),COUNTIFS($A$14:$A$1213,$A670,$S$14:$S$1213,"&gt;"&amp;$S670)+(COUNTIFS($A$14:$A$1213,$A670,$S$14:$S$1213,"="&amp;$S670)+1)/2,"")</f>
        <v/>
      </c>
      <c r="AG670" s="27">
        <f>IF(ISNUMBER($T670),COUNTIFS($A$14:$A$1213,$A670,$T$14:$T$1213,"&gt;"&amp;$T670)+(COUNTIFS($A$14:$A$1213,$A670,$T$14:$T$1213,"="&amp;$T670)+1)/2,"")</f>
        <v/>
      </c>
      <c r="AH670" s="27">
        <f>IF(COUNT($AC670:$AG670)&lt;2,"",IF(MAX($AC670:$AG670)=MIN($AC670:$AG670),0,1))</f>
        <v/>
      </c>
      <c r="AI670" s="27">
        <f>IF($A670="","",IF(COUNTIF($A$14:$A670,$A670)=1,COUNTIF($AI$13:AI669,"&gt;0")+1,""))</f>
        <v/>
      </c>
      <c r="AO670" s="27">
        <f>IF($A670="","",IF(AND(COUNTIFS($A$14:$A$1213,$A670,$F$14:$F$1213,"&gt;=0")=2,IFERROR(INDEX($M$14:$M$313,MATCH($A670,$H$14:$H$313,0)),"Yes")&lt;&gt;"Yes"),1,0))</f>
        <v/>
      </c>
    </row>
    <row r="671">
      <c r="A671" s="19">
        <f>IF('Enter messages'!A671="","",'Enter messages'!A671)</f>
        <v/>
      </c>
      <c r="B671" s="20">
        <f>IF('Enter messages'!B671="","",'Enter messages'!B671)</f>
        <v/>
      </c>
      <c r="C671" s="21">
        <f>IFERROR(AVERAGE(P671:T671),"")</f>
        <v/>
      </c>
      <c r="D671" s="29" t="n"/>
      <c r="E671" s="29" t="n"/>
      <c r="F671" s="30">
        <f>IF(AND(ISNUMBER($D671),ISNUMBER($E671),$E671&gt;0,$D671&lt;=$E671),$D671/$E671,"")</f>
        <v/>
      </c>
      <c r="P671" s="26" t="n"/>
      <c r="Q671" s="26" t="n"/>
      <c r="R671" s="26" t="n"/>
      <c r="S671" s="26" t="n"/>
      <c r="T671" s="26" t="n"/>
      <c r="V671" s="27">
        <f>IF(ISNUMBER($C671),COUNTIFS($A$14:$A$1213,$A671,$C$14:$C$1213,"&gt;"&amp;$C671)+(COUNTIFS($A$14:$A$1213,$A671,$C$14:$C$1213,"="&amp;$C671)+1)/2,"")</f>
        <v/>
      </c>
      <c r="W671" s="27">
        <f>IF(ISNUMBER($F671),COUNTIFS($A$14:$A$1213,$A671,$F$14:$F$1213,"&gt;"&amp;$F671)+(COUNTIFS($A$14:$A$1213,$A671,$F$14:$F$1213,"="&amp;$F671)+1)/2,"")</f>
        <v/>
      </c>
      <c r="X671" s="27">
        <f>IF(OR(NOT(ISNUMBER($V671)),$AO671=1),"",$V671-(COUNTIFS($A$14:$A$1213,$A671,$C$14:$C$1213,"&gt;=0")+1)/2)</f>
        <v/>
      </c>
      <c r="Y671" s="27">
        <f>IF(OR(NOT(ISNUMBER($W671)),$AO671=1),"",$W671-(COUNTIFS($A$14:$A$1213,$A671,$F$14:$F$1213,"&gt;=0")+1)/2)</f>
        <v/>
      </c>
      <c r="Z671" s="27">
        <f>IF(ISNUMBER($V671),$A671&amp;"|"&amp;$V671,"")</f>
        <v/>
      </c>
      <c r="AA671" s="27">
        <f>IF(ISNUMBER($W671),$A671&amp;"|"&amp;$W671,"")</f>
        <v/>
      </c>
      <c r="AB671" s="27">
        <f>IF(ISNUMBER($F671),$A671&amp;"|"&amp;$F671,"")</f>
        <v/>
      </c>
      <c r="AC671" s="27">
        <f>IF(ISNUMBER($P671),COUNTIFS($A$14:$A$1213,$A671,$P$14:$P$1213,"&gt;"&amp;$P671)+(COUNTIFS($A$14:$A$1213,$A671,$P$14:$P$1213,"="&amp;$P671)+1)/2,"")</f>
        <v/>
      </c>
      <c r="AD671" s="27">
        <f>IF(ISNUMBER($Q671),COUNTIFS($A$14:$A$1213,$A671,$Q$14:$Q$1213,"&gt;"&amp;$Q671)+(COUNTIFS($A$14:$A$1213,$A671,$Q$14:$Q$1213,"="&amp;$Q671)+1)/2,"")</f>
        <v/>
      </c>
      <c r="AE671" s="27">
        <f>IF(ISNUMBER($R671),COUNTIFS($A$14:$A$1213,$A671,$R$14:$R$1213,"&gt;"&amp;$R671)+(COUNTIFS($A$14:$A$1213,$A671,$R$14:$R$1213,"="&amp;$R671)+1)/2,"")</f>
        <v/>
      </c>
      <c r="AF671" s="27">
        <f>IF(ISNUMBER($S671),COUNTIFS($A$14:$A$1213,$A671,$S$14:$S$1213,"&gt;"&amp;$S671)+(COUNTIFS($A$14:$A$1213,$A671,$S$14:$S$1213,"="&amp;$S671)+1)/2,"")</f>
        <v/>
      </c>
      <c r="AG671" s="27">
        <f>IF(ISNUMBER($T671),COUNTIFS($A$14:$A$1213,$A671,$T$14:$T$1213,"&gt;"&amp;$T671)+(COUNTIFS($A$14:$A$1213,$A671,$T$14:$T$1213,"="&amp;$T671)+1)/2,"")</f>
        <v/>
      </c>
      <c r="AH671" s="27">
        <f>IF(COUNT($AC671:$AG671)&lt;2,"",IF(MAX($AC671:$AG671)=MIN($AC671:$AG671),0,1))</f>
        <v/>
      </c>
      <c r="AI671" s="27">
        <f>IF($A671="","",IF(COUNTIF($A$14:$A671,$A671)=1,COUNTIF($AI$13:AI670,"&gt;0")+1,""))</f>
        <v/>
      </c>
      <c r="AO671" s="27">
        <f>IF($A671="","",IF(AND(COUNTIFS($A$14:$A$1213,$A671,$F$14:$F$1213,"&gt;=0")=2,IFERROR(INDEX($M$14:$M$313,MATCH($A671,$H$14:$H$313,0)),"Yes")&lt;&gt;"Yes"),1,0))</f>
        <v/>
      </c>
    </row>
    <row r="672">
      <c r="A672" s="19">
        <f>IF('Enter messages'!A672="","",'Enter messages'!A672)</f>
        <v/>
      </c>
      <c r="B672" s="20">
        <f>IF('Enter messages'!B672="","",'Enter messages'!B672)</f>
        <v/>
      </c>
      <c r="C672" s="21">
        <f>IFERROR(AVERAGE(P672:T672),"")</f>
        <v/>
      </c>
      <c r="D672" s="29" t="n"/>
      <c r="E672" s="29" t="n"/>
      <c r="F672" s="30">
        <f>IF(AND(ISNUMBER($D672),ISNUMBER($E672),$E672&gt;0,$D672&lt;=$E672),$D672/$E672,"")</f>
        <v/>
      </c>
      <c r="P672" s="26" t="n"/>
      <c r="Q672" s="26" t="n"/>
      <c r="R672" s="26" t="n"/>
      <c r="S672" s="26" t="n"/>
      <c r="T672" s="26" t="n"/>
      <c r="V672" s="27">
        <f>IF(ISNUMBER($C672),COUNTIFS($A$14:$A$1213,$A672,$C$14:$C$1213,"&gt;"&amp;$C672)+(COUNTIFS($A$14:$A$1213,$A672,$C$14:$C$1213,"="&amp;$C672)+1)/2,"")</f>
        <v/>
      </c>
      <c r="W672" s="27">
        <f>IF(ISNUMBER($F672),COUNTIFS($A$14:$A$1213,$A672,$F$14:$F$1213,"&gt;"&amp;$F672)+(COUNTIFS($A$14:$A$1213,$A672,$F$14:$F$1213,"="&amp;$F672)+1)/2,"")</f>
        <v/>
      </c>
      <c r="X672" s="27">
        <f>IF(OR(NOT(ISNUMBER($V672)),$AO672=1),"",$V672-(COUNTIFS($A$14:$A$1213,$A672,$C$14:$C$1213,"&gt;=0")+1)/2)</f>
        <v/>
      </c>
      <c r="Y672" s="27">
        <f>IF(OR(NOT(ISNUMBER($W672)),$AO672=1),"",$W672-(COUNTIFS($A$14:$A$1213,$A672,$F$14:$F$1213,"&gt;=0")+1)/2)</f>
        <v/>
      </c>
      <c r="Z672" s="27">
        <f>IF(ISNUMBER($V672),$A672&amp;"|"&amp;$V672,"")</f>
        <v/>
      </c>
      <c r="AA672" s="27">
        <f>IF(ISNUMBER($W672),$A672&amp;"|"&amp;$W672,"")</f>
        <v/>
      </c>
      <c r="AB672" s="27">
        <f>IF(ISNUMBER($F672),$A672&amp;"|"&amp;$F672,"")</f>
        <v/>
      </c>
      <c r="AC672" s="27">
        <f>IF(ISNUMBER($P672),COUNTIFS($A$14:$A$1213,$A672,$P$14:$P$1213,"&gt;"&amp;$P672)+(COUNTIFS($A$14:$A$1213,$A672,$P$14:$P$1213,"="&amp;$P672)+1)/2,"")</f>
        <v/>
      </c>
      <c r="AD672" s="27">
        <f>IF(ISNUMBER($Q672),COUNTIFS($A$14:$A$1213,$A672,$Q$14:$Q$1213,"&gt;"&amp;$Q672)+(COUNTIFS($A$14:$A$1213,$A672,$Q$14:$Q$1213,"="&amp;$Q672)+1)/2,"")</f>
        <v/>
      </c>
      <c r="AE672" s="27">
        <f>IF(ISNUMBER($R672),COUNTIFS($A$14:$A$1213,$A672,$R$14:$R$1213,"&gt;"&amp;$R672)+(COUNTIFS($A$14:$A$1213,$A672,$R$14:$R$1213,"="&amp;$R672)+1)/2,"")</f>
        <v/>
      </c>
      <c r="AF672" s="27">
        <f>IF(ISNUMBER($S672),COUNTIFS($A$14:$A$1213,$A672,$S$14:$S$1213,"&gt;"&amp;$S672)+(COUNTIFS($A$14:$A$1213,$A672,$S$14:$S$1213,"="&amp;$S672)+1)/2,"")</f>
        <v/>
      </c>
      <c r="AG672" s="27">
        <f>IF(ISNUMBER($T672),COUNTIFS($A$14:$A$1213,$A672,$T$14:$T$1213,"&gt;"&amp;$T672)+(COUNTIFS($A$14:$A$1213,$A672,$T$14:$T$1213,"="&amp;$T672)+1)/2,"")</f>
        <v/>
      </c>
      <c r="AH672" s="27">
        <f>IF(COUNT($AC672:$AG672)&lt;2,"",IF(MAX($AC672:$AG672)=MIN($AC672:$AG672),0,1))</f>
        <v/>
      </c>
      <c r="AI672" s="27">
        <f>IF($A672="","",IF(COUNTIF($A$14:$A672,$A672)=1,COUNTIF($AI$13:AI671,"&gt;0")+1,""))</f>
        <v/>
      </c>
      <c r="AO672" s="27">
        <f>IF($A672="","",IF(AND(COUNTIFS($A$14:$A$1213,$A672,$F$14:$F$1213,"&gt;=0")=2,IFERROR(INDEX($M$14:$M$313,MATCH($A672,$H$14:$H$313,0)),"Yes")&lt;&gt;"Yes"),1,0))</f>
        <v/>
      </c>
    </row>
    <row r="673">
      <c r="A673" s="19">
        <f>IF('Enter messages'!A673="","",'Enter messages'!A673)</f>
        <v/>
      </c>
      <c r="B673" s="20">
        <f>IF('Enter messages'!B673="","",'Enter messages'!B673)</f>
        <v/>
      </c>
      <c r="C673" s="21">
        <f>IFERROR(AVERAGE(P673:T673),"")</f>
        <v/>
      </c>
      <c r="D673" s="29" t="n"/>
      <c r="E673" s="29" t="n"/>
      <c r="F673" s="30">
        <f>IF(AND(ISNUMBER($D673),ISNUMBER($E673),$E673&gt;0,$D673&lt;=$E673),$D673/$E673,"")</f>
        <v/>
      </c>
      <c r="P673" s="26" t="n"/>
      <c r="Q673" s="26" t="n"/>
      <c r="R673" s="26" t="n"/>
      <c r="S673" s="26" t="n"/>
      <c r="T673" s="26" t="n"/>
      <c r="V673" s="27">
        <f>IF(ISNUMBER($C673),COUNTIFS($A$14:$A$1213,$A673,$C$14:$C$1213,"&gt;"&amp;$C673)+(COUNTIFS($A$14:$A$1213,$A673,$C$14:$C$1213,"="&amp;$C673)+1)/2,"")</f>
        <v/>
      </c>
      <c r="W673" s="27">
        <f>IF(ISNUMBER($F673),COUNTIFS($A$14:$A$1213,$A673,$F$14:$F$1213,"&gt;"&amp;$F673)+(COUNTIFS($A$14:$A$1213,$A673,$F$14:$F$1213,"="&amp;$F673)+1)/2,"")</f>
        <v/>
      </c>
      <c r="X673" s="27">
        <f>IF(OR(NOT(ISNUMBER($V673)),$AO673=1),"",$V673-(COUNTIFS($A$14:$A$1213,$A673,$C$14:$C$1213,"&gt;=0")+1)/2)</f>
        <v/>
      </c>
      <c r="Y673" s="27">
        <f>IF(OR(NOT(ISNUMBER($W673)),$AO673=1),"",$W673-(COUNTIFS($A$14:$A$1213,$A673,$F$14:$F$1213,"&gt;=0")+1)/2)</f>
        <v/>
      </c>
      <c r="Z673" s="27">
        <f>IF(ISNUMBER($V673),$A673&amp;"|"&amp;$V673,"")</f>
        <v/>
      </c>
      <c r="AA673" s="27">
        <f>IF(ISNUMBER($W673),$A673&amp;"|"&amp;$W673,"")</f>
        <v/>
      </c>
      <c r="AB673" s="27">
        <f>IF(ISNUMBER($F673),$A673&amp;"|"&amp;$F673,"")</f>
        <v/>
      </c>
      <c r="AC673" s="27">
        <f>IF(ISNUMBER($P673),COUNTIFS($A$14:$A$1213,$A673,$P$14:$P$1213,"&gt;"&amp;$P673)+(COUNTIFS($A$14:$A$1213,$A673,$P$14:$P$1213,"="&amp;$P673)+1)/2,"")</f>
        <v/>
      </c>
      <c r="AD673" s="27">
        <f>IF(ISNUMBER($Q673),COUNTIFS($A$14:$A$1213,$A673,$Q$14:$Q$1213,"&gt;"&amp;$Q673)+(COUNTIFS($A$14:$A$1213,$A673,$Q$14:$Q$1213,"="&amp;$Q673)+1)/2,"")</f>
        <v/>
      </c>
      <c r="AE673" s="27">
        <f>IF(ISNUMBER($R673),COUNTIFS($A$14:$A$1213,$A673,$R$14:$R$1213,"&gt;"&amp;$R673)+(COUNTIFS($A$14:$A$1213,$A673,$R$14:$R$1213,"="&amp;$R673)+1)/2,"")</f>
        <v/>
      </c>
      <c r="AF673" s="27">
        <f>IF(ISNUMBER($S673),COUNTIFS($A$14:$A$1213,$A673,$S$14:$S$1213,"&gt;"&amp;$S673)+(COUNTIFS($A$14:$A$1213,$A673,$S$14:$S$1213,"="&amp;$S673)+1)/2,"")</f>
        <v/>
      </c>
      <c r="AG673" s="27">
        <f>IF(ISNUMBER($T673),COUNTIFS($A$14:$A$1213,$A673,$T$14:$T$1213,"&gt;"&amp;$T673)+(COUNTIFS($A$14:$A$1213,$A673,$T$14:$T$1213,"="&amp;$T673)+1)/2,"")</f>
        <v/>
      </c>
      <c r="AH673" s="27">
        <f>IF(COUNT($AC673:$AG673)&lt;2,"",IF(MAX($AC673:$AG673)=MIN($AC673:$AG673),0,1))</f>
        <v/>
      </c>
      <c r="AI673" s="27">
        <f>IF($A673="","",IF(COUNTIF($A$14:$A673,$A673)=1,COUNTIF($AI$13:AI672,"&gt;0")+1,""))</f>
        <v/>
      </c>
      <c r="AO673" s="27">
        <f>IF($A673="","",IF(AND(COUNTIFS($A$14:$A$1213,$A673,$F$14:$F$1213,"&gt;=0")=2,IFERROR(INDEX($M$14:$M$313,MATCH($A673,$H$14:$H$313,0)),"Yes")&lt;&gt;"Yes"),1,0))</f>
        <v/>
      </c>
    </row>
    <row r="674">
      <c r="A674" s="19">
        <f>IF('Enter messages'!A674="","",'Enter messages'!A674)</f>
        <v/>
      </c>
      <c r="B674" s="20">
        <f>IF('Enter messages'!B674="","",'Enter messages'!B674)</f>
        <v/>
      </c>
      <c r="C674" s="21">
        <f>IFERROR(AVERAGE(P674:T674),"")</f>
        <v/>
      </c>
      <c r="D674" s="29" t="n"/>
      <c r="E674" s="29" t="n"/>
      <c r="F674" s="30">
        <f>IF(AND(ISNUMBER($D674),ISNUMBER($E674),$E674&gt;0,$D674&lt;=$E674),$D674/$E674,"")</f>
        <v/>
      </c>
      <c r="P674" s="26" t="n"/>
      <c r="Q674" s="26" t="n"/>
      <c r="R674" s="26" t="n"/>
      <c r="S674" s="26" t="n"/>
      <c r="T674" s="26" t="n"/>
      <c r="V674" s="27">
        <f>IF(ISNUMBER($C674),COUNTIFS($A$14:$A$1213,$A674,$C$14:$C$1213,"&gt;"&amp;$C674)+(COUNTIFS($A$14:$A$1213,$A674,$C$14:$C$1213,"="&amp;$C674)+1)/2,"")</f>
        <v/>
      </c>
      <c r="W674" s="27">
        <f>IF(ISNUMBER($F674),COUNTIFS($A$14:$A$1213,$A674,$F$14:$F$1213,"&gt;"&amp;$F674)+(COUNTIFS($A$14:$A$1213,$A674,$F$14:$F$1213,"="&amp;$F674)+1)/2,"")</f>
        <v/>
      </c>
      <c r="X674" s="27">
        <f>IF(OR(NOT(ISNUMBER($V674)),$AO674=1),"",$V674-(COUNTIFS($A$14:$A$1213,$A674,$C$14:$C$1213,"&gt;=0")+1)/2)</f>
        <v/>
      </c>
      <c r="Y674" s="27">
        <f>IF(OR(NOT(ISNUMBER($W674)),$AO674=1),"",$W674-(COUNTIFS($A$14:$A$1213,$A674,$F$14:$F$1213,"&gt;=0")+1)/2)</f>
        <v/>
      </c>
      <c r="Z674" s="27">
        <f>IF(ISNUMBER($V674),$A674&amp;"|"&amp;$V674,"")</f>
        <v/>
      </c>
      <c r="AA674" s="27">
        <f>IF(ISNUMBER($W674),$A674&amp;"|"&amp;$W674,"")</f>
        <v/>
      </c>
      <c r="AB674" s="27">
        <f>IF(ISNUMBER($F674),$A674&amp;"|"&amp;$F674,"")</f>
        <v/>
      </c>
      <c r="AC674" s="27">
        <f>IF(ISNUMBER($P674),COUNTIFS($A$14:$A$1213,$A674,$P$14:$P$1213,"&gt;"&amp;$P674)+(COUNTIFS($A$14:$A$1213,$A674,$P$14:$P$1213,"="&amp;$P674)+1)/2,"")</f>
        <v/>
      </c>
      <c r="AD674" s="27">
        <f>IF(ISNUMBER($Q674),COUNTIFS($A$14:$A$1213,$A674,$Q$14:$Q$1213,"&gt;"&amp;$Q674)+(COUNTIFS($A$14:$A$1213,$A674,$Q$14:$Q$1213,"="&amp;$Q674)+1)/2,"")</f>
        <v/>
      </c>
      <c r="AE674" s="27">
        <f>IF(ISNUMBER($R674),COUNTIFS($A$14:$A$1213,$A674,$R$14:$R$1213,"&gt;"&amp;$R674)+(COUNTIFS($A$14:$A$1213,$A674,$R$14:$R$1213,"="&amp;$R674)+1)/2,"")</f>
        <v/>
      </c>
      <c r="AF674" s="27">
        <f>IF(ISNUMBER($S674),COUNTIFS($A$14:$A$1213,$A674,$S$14:$S$1213,"&gt;"&amp;$S674)+(COUNTIFS($A$14:$A$1213,$A674,$S$14:$S$1213,"="&amp;$S674)+1)/2,"")</f>
        <v/>
      </c>
      <c r="AG674" s="27">
        <f>IF(ISNUMBER($T674),COUNTIFS($A$14:$A$1213,$A674,$T$14:$T$1213,"&gt;"&amp;$T674)+(COUNTIFS($A$14:$A$1213,$A674,$T$14:$T$1213,"="&amp;$T674)+1)/2,"")</f>
        <v/>
      </c>
      <c r="AH674" s="27">
        <f>IF(COUNT($AC674:$AG674)&lt;2,"",IF(MAX($AC674:$AG674)=MIN($AC674:$AG674),0,1))</f>
        <v/>
      </c>
      <c r="AI674" s="27">
        <f>IF($A674="","",IF(COUNTIF($A$14:$A674,$A674)=1,COUNTIF($AI$13:AI673,"&gt;0")+1,""))</f>
        <v/>
      </c>
      <c r="AO674" s="27">
        <f>IF($A674="","",IF(AND(COUNTIFS($A$14:$A$1213,$A674,$F$14:$F$1213,"&gt;=0")=2,IFERROR(INDEX($M$14:$M$313,MATCH($A674,$H$14:$H$313,0)),"Yes")&lt;&gt;"Yes"),1,0))</f>
        <v/>
      </c>
    </row>
    <row r="675">
      <c r="A675" s="19">
        <f>IF('Enter messages'!A675="","",'Enter messages'!A675)</f>
        <v/>
      </c>
      <c r="B675" s="20">
        <f>IF('Enter messages'!B675="","",'Enter messages'!B675)</f>
        <v/>
      </c>
      <c r="C675" s="21">
        <f>IFERROR(AVERAGE(P675:T675),"")</f>
        <v/>
      </c>
      <c r="D675" s="29" t="n"/>
      <c r="E675" s="29" t="n"/>
      <c r="F675" s="30">
        <f>IF(AND(ISNUMBER($D675),ISNUMBER($E675),$E675&gt;0,$D675&lt;=$E675),$D675/$E675,"")</f>
        <v/>
      </c>
      <c r="P675" s="26" t="n"/>
      <c r="Q675" s="26" t="n"/>
      <c r="R675" s="26" t="n"/>
      <c r="S675" s="26" t="n"/>
      <c r="T675" s="26" t="n"/>
      <c r="V675" s="27">
        <f>IF(ISNUMBER($C675),COUNTIFS($A$14:$A$1213,$A675,$C$14:$C$1213,"&gt;"&amp;$C675)+(COUNTIFS($A$14:$A$1213,$A675,$C$14:$C$1213,"="&amp;$C675)+1)/2,"")</f>
        <v/>
      </c>
      <c r="W675" s="27">
        <f>IF(ISNUMBER($F675),COUNTIFS($A$14:$A$1213,$A675,$F$14:$F$1213,"&gt;"&amp;$F675)+(COUNTIFS($A$14:$A$1213,$A675,$F$14:$F$1213,"="&amp;$F675)+1)/2,"")</f>
        <v/>
      </c>
      <c r="X675" s="27">
        <f>IF(OR(NOT(ISNUMBER($V675)),$AO675=1),"",$V675-(COUNTIFS($A$14:$A$1213,$A675,$C$14:$C$1213,"&gt;=0")+1)/2)</f>
        <v/>
      </c>
      <c r="Y675" s="27">
        <f>IF(OR(NOT(ISNUMBER($W675)),$AO675=1),"",$W675-(COUNTIFS($A$14:$A$1213,$A675,$F$14:$F$1213,"&gt;=0")+1)/2)</f>
        <v/>
      </c>
      <c r="Z675" s="27">
        <f>IF(ISNUMBER($V675),$A675&amp;"|"&amp;$V675,"")</f>
        <v/>
      </c>
      <c r="AA675" s="27">
        <f>IF(ISNUMBER($W675),$A675&amp;"|"&amp;$W675,"")</f>
        <v/>
      </c>
      <c r="AB675" s="27">
        <f>IF(ISNUMBER($F675),$A675&amp;"|"&amp;$F675,"")</f>
        <v/>
      </c>
      <c r="AC675" s="27">
        <f>IF(ISNUMBER($P675),COUNTIFS($A$14:$A$1213,$A675,$P$14:$P$1213,"&gt;"&amp;$P675)+(COUNTIFS($A$14:$A$1213,$A675,$P$14:$P$1213,"="&amp;$P675)+1)/2,"")</f>
        <v/>
      </c>
      <c r="AD675" s="27">
        <f>IF(ISNUMBER($Q675),COUNTIFS($A$14:$A$1213,$A675,$Q$14:$Q$1213,"&gt;"&amp;$Q675)+(COUNTIFS($A$14:$A$1213,$A675,$Q$14:$Q$1213,"="&amp;$Q675)+1)/2,"")</f>
        <v/>
      </c>
      <c r="AE675" s="27">
        <f>IF(ISNUMBER($R675),COUNTIFS($A$14:$A$1213,$A675,$R$14:$R$1213,"&gt;"&amp;$R675)+(COUNTIFS($A$14:$A$1213,$A675,$R$14:$R$1213,"="&amp;$R675)+1)/2,"")</f>
        <v/>
      </c>
      <c r="AF675" s="27">
        <f>IF(ISNUMBER($S675),COUNTIFS($A$14:$A$1213,$A675,$S$14:$S$1213,"&gt;"&amp;$S675)+(COUNTIFS($A$14:$A$1213,$A675,$S$14:$S$1213,"="&amp;$S675)+1)/2,"")</f>
        <v/>
      </c>
      <c r="AG675" s="27">
        <f>IF(ISNUMBER($T675),COUNTIFS($A$14:$A$1213,$A675,$T$14:$T$1213,"&gt;"&amp;$T675)+(COUNTIFS($A$14:$A$1213,$A675,$T$14:$T$1213,"="&amp;$T675)+1)/2,"")</f>
        <v/>
      </c>
      <c r="AH675" s="27">
        <f>IF(COUNT($AC675:$AG675)&lt;2,"",IF(MAX($AC675:$AG675)=MIN($AC675:$AG675),0,1))</f>
        <v/>
      </c>
      <c r="AI675" s="27">
        <f>IF($A675="","",IF(COUNTIF($A$14:$A675,$A675)=1,COUNTIF($AI$13:AI674,"&gt;0")+1,""))</f>
        <v/>
      </c>
      <c r="AO675" s="27">
        <f>IF($A675="","",IF(AND(COUNTIFS($A$14:$A$1213,$A675,$F$14:$F$1213,"&gt;=0")=2,IFERROR(INDEX($M$14:$M$313,MATCH($A675,$H$14:$H$313,0)),"Yes")&lt;&gt;"Yes"),1,0))</f>
        <v/>
      </c>
    </row>
    <row r="676">
      <c r="A676" s="19">
        <f>IF('Enter messages'!A676="","",'Enter messages'!A676)</f>
        <v/>
      </c>
      <c r="B676" s="20">
        <f>IF('Enter messages'!B676="","",'Enter messages'!B676)</f>
        <v/>
      </c>
      <c r="C676" s="21">
        <f>IFERROR(AVERAGE(P676:T676),"")</f>
        <v/>
      </c>
      <c r="D676" s="29" t="n"/>
      <c r="E676" s="29" t="n"/>
      <c r="F676" s="30">
        <f>IF(AND(ISNUMBER($D676),ISNUMBER($E676),$E676&gt;0,$D676&lt;=$E676),$D676/$E676,"")</f>
        <v/>
      </c>
      <c r="P676" s="26" t="n"/>
      <c r="Q676" s="26" t="n"/>
      <c r="R676" s="26" t="n"/>
      <c r="S676" s="26" t="n"/>
      <c r="T676" s="26" t="n"/>
      <c r="V676" s="27">
        <f>IF(ISNUMBER($C676),COUNTIFS($A$14:$A$1213,$A676,$C$14:$C$1213,"&gt;"&amp;$C676)+(COUNTIFS($A$14:$A$1213,$A676,$C$14:$C$1213,"="&amp;$C676)+1)/2,"")</f>
        <v/>
      </c>
      <c r="W676" s="27">
        <f>IF(ISNUMBER($F676),COUNTIFS($A$14:$A$1213,$A676,$F$14:$F$1213,"&gt;"&amp;$F676)+(COUNTIFS($A$14:$A$1213,$A676,$F$14:$F$1213,"="&amp;$F676)+1)/2,"")</f>
        <v/>
      </c>
      <c r="X676" s="27">
        <f>IF(OR(NOT(ISNUMBER($V676)),$AO676=1),"",$V676-(COUNTIFS($A$14:$A$1213,$A676,$C$14:$C$1213,"&gt;=0")+1)/2)</f>
        <v/>
      </c>
      <c r="Y676" s="27">
        <f>IF(OR(NOT(ISNUMBER($W676)),$AO676=1),"",$W676-(COUNTIFS($A$14:$A$1213,$A676,$F$14:$F$1213,"&gt;=0")+1)/2)</f>
        <v/>
      </c>
      <c r="Z676" s="27">
        <f>IF(ISNUMBER($V676),$A676&amp;"|"&amp;$V676,"")</f>
        <v/>
      </c>
      <c r="AA676" s="27">
        <f>IF(ISNUMBER($W676),$A676&amp;"|"&amp;$W676,"")</f>
        <v/>
      </c>
      <c r="AB676" s="27">
        <f>IF(ISNUMBER($F676),$A676&amp;"|"&amp;$F676,"")</f>
        <v/>
      </c>
      <c r="AC676" s="27">
        <f>IF(ISNUMBER($P676),COUNTIFS($A$14:$A$1213,$A676,$P$14:$P$1213,"&gt;"&amp;$P676)+(COUNTIFS($A$14:$A$1213,$A676,$P$14:$P$1213,"="&amp;$P676)+1)/2,"")</f>
        <v/>
      </c>
      <c r="AD676" s="27">
        <f>IF(ISNUMBER($Q676),COUNTIFS($A$14:$A$1213,$A676,$Q$14:$Q$1213,"&gt;"&amp;$Q676)+(COUNTIFS($A$14:$A$1213,$A676,$Q$14:$Q$1213,"="&amp;$Q676)+1)/2,"")</f>
        <v/>
      </c>
      <c r="AE676" s="27">
        <f>IF(ISNUMBER($R676),COUNTIFS($A$14:$A$1213,$A676,$R$14:$R$1213,"&gt;"&amp;$R676)+(COUNTIFS($A$14:$A$1213,$A676,$R$14:$R$1213,"="&amp;$R676)+1)/2,"")</f>
        <v/>
      </c>
      <c r="AF676" s="27">
        <f>IF(ISNUMBER($S676),COUNTIFS($A$14:$A$1213,$A676,$S$14:$S$1213,"&gt;"&amp;$S676)+(COUNTIFS($A$14:$A$1213,$A676,$S$14:$S$1213,"="&amp;$S676)+1)/2,"")</f>
        <v/>
      </c>
      <c r="AG676" s="27">
        <f>IF(ISNUMBER($T676),COUNTIFS($A$14:$A$1213,$A676,$T$14:$T$1213,"&gt;"&amp;$T676)+(COUNTIFS($A$14:$A$1213,$A676,$T$14:$T$1213,"="&amp;$T676)+1)/2,"")</f>
        <v/>
      </c>
      <c r="AH676" s="27">
        <f>IF(COUNT($AC676:$AG676)&lt;2,"",IF(MAX($AC676:$AG676)=MIN($AC676:$AG676),0,1))</f>
        <v/>
      </c>
      <c r="AI676" s="27">
        <f>IF($A676="","",IF(COUNTIF($A$14:$A676,$A676)=1,COUNTIF($AI$13:AI675,"&gt;0")+1,""))</f>
        <v/>
      </c>
      <c r="AO676" s="27">
        <f>IF($A676="","",IF(AND(COUNTIFS($A$14:$A$1213,$A676,$F$14:$F$1213,"&gt;=0")=2,IFERROR(INDEX($M$14:$M$313,MATCH($A676,$H$14:$H$313,0)),"Yes")&lt;&gt;"Yes"),1,0))</f>
        <v/>
      </c>
    </row>
    <row r="677">
      <c r="A677" s="19">
        <f>IF('Enter messages'!A677="","",'Enter messages'!A677)</f>
        <v/>
      </c>
      <c r="B677" s="20">
        <f>IF('Enter messages'!B677="","",'Enter messages'!B677)</f>
        <v/>
      </c>
      <c r="C677" s="21">
        <f>IFERROR(AVERAGE(P677:T677),"")</f>
        <v/>
      </c>
      <c r="D677" s="29" t="n"/>
      <c r="E677" s="29" t="n"/>
      <c r="F677" s="30">
        <f>IF(AND(ISNUMBER($D677),ISNUMBER($E677),$E677&gt;0,$D677&lt;=$E677),$D677/$E677,"")</f>
        <v/>
      </c>
      <c r="P677" s="26" t="n"/>
      <c r="Q677" s="26" t="n"/>
      <c r="R677" s="26" t="n"/>
      <c r="S677" s="26" t="n"/>
      <c r="T677" s="26" t="n"/>
      <c r="V677" s="27">
        <f>IF(ISNUMBER($C677),COUNTIFS($A$14:$A$1213,$A677,$C$14:$C$1213,"&gt;"&amp;$C677)+(COUNTIFS($A$14:$A$1213,$A677,$C$14:$C$1213,"="&amp;$C677)+1)/2,"")</f>
        <v/>
      </c>
      <c r="W677" s="27">
        <f>IF(ISNUMBER($F677),COUNTIFS($A$14:$A$1213,$A677,$F$14:$F$1213,"&gt;"&amp;$F677)+(COUNTIFS($A$14:$A$1213,$A677,$F$14:$F$1213,"="&amp;$F677)+1)/2,"")</f>
        <v/>
      </c>
      <c r="X677" s="27">
        <f>IF(OR(NOT(ISNUMBER($V677)),$AO677=1),"",$V677-(COUNTIFS($A$14:$A$1213,$A677,$C$14:$C$1213,"&gt;=0")+1)/2)</f>
        <v/>
      </c>
      <c r="Y677" s="27">
        <f>IF(OR(NOT(ISNUMBER($W677)),$AO677=1),"",$W677-(COUNTIFS($A$14:$A$1213,$A677,$F$14:$F$1213,"&gt;=0")+1)/2)</f>
        <v/>
      </c>
      <c r="Z677" s="27">
        <f>IF(ISNUMBER($V677),$A677&amp;"|"&amp;$V677,"")</f>
        <v/>
      </c>
      <c r="AA677" s="27">
        <f>IF(ISNUMBER($W677),$A677&amp;"|"&amp;$W677,"")</f>
        <v/>
      </c>
      <c r="AB677" s="27">
        <f>IF(ISNUMBER($F677),$A677&amp;"|"&amp;$F677,"")</f>
        <v/>
      </c>
      <c r="AC677" s="27">
        <f>IF(ISNUMBER($P677),COUNTIFS($A$14:$A$1213,$A677,$P$14:$P$1213,"&gt;"&amp;$P677)+(COUNTIFS($A$14:$A$1213,$A677,$P$14:$P$1213,"="&amp;$P677)+1)/2,"")</f>
        <v/>
      </c>
      <c r="AD677" s="27">
        <f>IF(ISNUMBER($Q677),COUNTIFS($A$14:$A$1213,$A677,$Q$14:$Q$1213,"&gt;"&amp;$Q677)+(COUNTIFS($A$14:$A$1213,$A677,$Q$14:$Q$1213,"="&amp;$Q677)+1)/2,"")</f>
        <v/>
      </c>
      <c r="AE677" s="27">
        <f>IF(ISNUMBER($R677),COUNTIFS($A$14:$A$1213,$A677,$R$14:$R$1213,"&gt;"&amp;$R677)+(COUNTIFS($A$14:$A$1213,$A677,$R$14:$R$1213,"="&amp;$R677)+1)/2,"")</f>
        <v/>
      </c>
      <c r="AF677" s="27">
        <f>IF(ISNUMBER($S677),COUNTIFS($A$14:$A$1213,$A677,$S$14:$S$1213,"&gt;"&amp;$S677)+(COUNTIFS($A$14:$A$1213,$A677,$S$14:$S$1213,"="&amp;$S677)+1)/2,"")</f>
        <v/>
      </c>
      <c r="AG677" s="27">
        <f>IF(ISNUMBER($T677),COUNTIFS($A$14:$A$1213,$A677,$T$14:$T$1213,"&gt;"&amp;$T677)+(COUNTIFS($A$14:$A$1213,$A677,$T$14:$T$1213,"="&amp;$T677)+1)/2,"")</f>
        <v/>
      </c>
      <c r="AH677" s="27">
        <f>IF(COUNT($AC677:$AG677)&lt;2,"",IF(MAX($AC677:$AG677)=MIN($AC677:$AG677),0,1))</f>
        <v/>
      </c>
      <c r="AI677" s="27">
        <f>IF($A677="","",IF(COUNTIF($A$14:$A677,$A677)=1,COUNTIF($AI$13:AI676,"&gt;0")+1,""))</f>
        <v/>
      </c>
      <c r="AO677" s="27">
        <f>IF($A677="","",IF(AND(COUNTIFS($A$14:$A$1213,$A677,$F$14:$F$1213,"&gt;=0")=2,IFERROR(INDEX($M$14:$M$313,MATCH($A677,$H$14:$H$313,0)),"Yes")&lt;&gt;"Yes"),1,0))</f>
        <v/>
      </c>
    </row>
    <row r="678">
      <c r="A678" s="19">
        <f>IF('Enter messages'!A678="","",'Enter messages'!A678)</f>
        <v/>
      </c>
      <c r="B678" s="20">
        <f>IF('Enter messages'!B678="","",'Enter messages'!B678)</f>
        <v/>
      </c>
      <c r="C678" s="21">
        <f>IFERROR(AVERAGE(P678:T678),"")</f>
        <v/>
      </c>
      <c r="D678" s="29" t="n"/>
      <c r="E678" s="29" t="n"/>
      <c r="F678" s="30">
        <f>IF(AND(ISNUMBER($D678),ISNUMBER($E678),$E678&gt;0,$D678&lt;=$E678),$D678/$E678,"")</f>
        <v/>
      </c>
      <c r="P678" s="26" t="n"/>
      <c r="Q678" s="26" t="n"/>
      <c r="R678" s="26" t="n"/>
      <c r="S678" s="26" t="n"/>
      <c r="T678" s="26" t="n"/>
      <c r="V678" s="27">
        <f>IF(ISNUMBER($C678),COUNTIFS($A$14:$A$1213,$A678,$C$14:$C$1213,"&gt;"&amp;$C678)+(COUNTIFS($A$14:$A$1213,$A678,$C$14:$C$1213,"="&amp;$C678)+1)/2,"")</f>
        <v/>
      </c>
      <c r="W678" s="27">
        <f>IF(ISNUMBER($F678),COUNTIFS($A$14:$A$1213,$A678,$F$14:$F$1213,"&gt;"&amp;$F678)+(COUNTIFS($A$14:$A$1213,$A678,$F$14:$F$1213,"="&amp;$F678)+1)/2,"")</f>
        <v/>
      </c>
      <c r="X678" s="27">
        <f>IF(OR(NOT(ISNUMBER($V678)),$AO678=1),"",$V678-(COUNTIFS($A$14:$A$1213,$A678,$C$14:$C$1213,"&gt;=0")+1)/2)</f>
        <v/>
      </c>
      <c r="Y678" s="27">
        <f>IF(OR(NOT(ISNUMBER($W678)),$AO678=1),"",$W678-(COUNTIFS($A$14:$A$1213,$A678,$F$14:$F$1213,"&gt;=0")+1)/2)</f>
        <v/>
      </c>
      <c r="Z678" s="27">
        <f>IF(ISNUMBER($V678),$A678&amp;"|"&amp;$V678,"")</f>
        <v/>
      </c>
      <c r="AA678" s="27">
        <f>IF(ISNUMBER($W678),$A678&amp;"|"&amp;$W678,"")</f>
        <v/>
      </c>
      <c r="AB678" s="27">
        <f>IF(ISNUMBER($F678),$A678&amp;"|"&amp;$F678,"")</f>
        <v/>
      </c>
      <c r="AC678" s="27">
        <f>IF(ISNUMBER($P678),COUNTIFS($A$14:$A$1213,$A678,$P$14:$P$1213,"&gt;"&amp;$P678)+(COUNTIFS($A$14:$A$1213,$A678,$P$14:$P$1213,"="&amp;$P678)+1)/2,"")</f>
        <v/>
      </c>
      <c r="AD678" s="27">
        <f>IF(ISNUMBER($Q678),COUNTIFS($A$14:$A$1213,$A678,$Q$14:$Q$1213,"&gt;"&amp;$Q678)+(COUNTIFS($A$14:$A$1213,$A678,$Q$14:$Q$1213,"="&amp;$Q678)+1)/2,"")</f>
        <v/>
      </c>
      <c r="AE678" s="27">
        <f>IF(ISNUMBER($R678),COUNTIFS($A$14:$A$1213,$A678,$R$14:$R$1213,"&gt;"&amp;$R678)+(COUNTIFS($A$14:$A$1213,$A678,$R$14:$R$1213,"="&amp;$R678)+1)/2,"")</f>
        <v/>
      </c>
      <c r="AF678" s="27">
        <f>IF(ISNUMBER($S678),COUNTIFS($A$14:$A$1213,$A678,$S$14:$S$1213,"&gt;"&amp;$S678)+(COUNTIFS($A$14:$A$1213,$A678,$S$14:$S$1213,"="&amp;$S678)+1)/2,"")</f>
        <v/>
      </c>
      <c r="AG678" s="27">
        <f>IF(ISNUMBER($T678),COUNTIFS($A$14:$A$1213,$A678,$T$14:$T$1213,"&gt;"&amp;$T678)+(COUNTIFS($A$14:$A$1213,$A678,$T$14:$T$1213,"="&amp;$T678)+1)/2,"")</f>
        <v/>
      </c>
      <c r="AH678" s="27">
        <f>IF(COUNT($AC678:$AG678)&lt;2,"",IF(MAX($AC678:$AG678)=MIN($AC678:$AG678),0,1))</f>
        <v/>
      </c>
      <c r="AI678" s="27">
        <f>IF($A678="","",IF(COUNTIF($A$14:$A678,$A678)=1,COUNTIF($AI$13:AI677,"&gt;0")+1,""))</f>
        <v/>
      </c>
      <c r="AO678" s="27">
        <f>IF($A678="","",IF(AND(COUNTIFS($A$14:$A$1213,$A678,$F$14:$F$1213,"&gt;=0")=2,IFERROR(INDEX($M$14:$M$313,MATCH($A678,$H$14:$H$313,0)),"Yes")&lt;&gt;"Yes"),1,0))</f>
        <v/>
      </c>
    </row>
    <row r="679">
      <c r="A679" s="19">
        <f>IF('Enter messages'!A679="","",'Enter messages'!A679)</f>
        <v/>
      </c>
      <c r="B679" s="20">
        <f>IF('Enter messages'!B679="","",'Enter messages'!B679)</f>
        <v/>
      </c>
      <c r="C679" s="21">
        <f>IFERROR(AVERAGE(P679:T679),"")</f>
        <v/>
      </c>
      <c r="D679" s="29" t="n"/>
      <c r="E679" s="29" t="n"/>
      <c r="F679" s="30">
        <f>IF(AND(ISNUMBER($D679),ISNUMBER($E679),$E679&gt;0,$D679&lt;=$E679),$D679/$E679,"")</f>
        <v/>
      </c>
      <c r="P679" s="26" t="n"/>
      <c r="Q679" s="26" t="n"/>
      <c r="R679" s="26" t="n"/>
      <c r="S679" s="26" t="n"/>
      <c r="T679" s="26" t="n"/>
      <c r="V679" s="27">
        <f>IF(ISNUMBER($C679),COUNTIFS($A$14:$A$1213,$A679,$C$14:$C$1213,"&gt;"&amp;$C679)+(COUNTIFS($A$14:$A$1213,$A679,$C$14:$C$1213,"="&amp;$C679)+1)/2,"")</f>
        <v/>
      </c>
      <c r="W679" s="27">
        <f>IF(ISNUMBER($F679),COUNTIFS($A$14:$A$1213,$A679,$F$14:$F$1213,"&gt;"&amp;$F679)+(COUNTIFS($A$14:$A$1213,$A679,$F$14:$F$1213,"="&amp;$F679)+1)/2,"")</f>
        <v/>
      </c>
      <c r="X679" s="27">
        <f>IF(OR(NOT(ISNUMBER($V679)),$AO679=1),"",$V679-(COUNTIFS($A$14:$A$1213,$A679,$C$14:$C$1213,"&gt;=0")+1)/2)</f>
        <v/>
      </c>
      <c r="Y679" s="27">
        <f>IF(OR(NOT(ISNUMBER($W679)),$AO679=1),"",$W679-(COUNTIFS($A$14:$A$1213,$A679,$F$14:$F$1213,"&gt;=0")+1)/2)</f>
        <v/>
      </c>
      <c r="Z679" s="27">
        <f>IF(ISNUMBER($V679),$A679&amp;"|"&amp;$V679,"")</f>
        <v/>
      </c>
      <c r="AA679" s="27">
        <f>IF(ISNUMBER($W679),$A679&amp;"|"&amp;$W679,"")</f>
        <v/>
      </c>
      <c r="AB679" s="27">
        <f>IF(ISNUMBER($F679),$A679&amp;"|"&amp;$F679,"")</f>
        <v/>
      </c>
      <c r="AC679" s="27">
        <f>IF(ISNUMBER($P679),COUNTIFS($A$14:$A$1213,$A679,$P$14:$P$1213,"&gt;"&amp;$P679)+(COUNTIFS($A$14:$A$1213,$A679,$P$14:$P$1213,"="&amp;$P679)+1)/2,"")</f>
        <v/>
      </c>
      <c r="AD679" s="27">
        <f>IF(ISNUMBER($Q679),COUNTIFS($A$14:$A$1213,$A679,$Q$14:$Q$1213,"&gt;"&amp;$Q679)+(COUNTIFS($A$14:$A$1213,$A679,$Q$14:$Q$1213,"="&amp;$Q679)+1)/2,"")</f>
        <v/>
      </c>
      <c r="AE679" s="27">
        <f>IF(ISNUMBER($R679),COUNTIFS($A$14:$A$1213,$A679,$R$14:$R$1213,"&gt;"&amp;$R679)+(COUNTIFS($A$14:$A$1213,$A679,$R$14:$R$1213,"="&amp;$R679)+1)/2,"")</f>
        <v/>
      </c>
      <c r="AF679" s="27">
        <f>IF(ISNUMBER($S679),COUNTIFS($A$14:$A$1213,$A679,$S$14:$S$1213,"&gt;"&amp;$S679)+(COUNTIFS($A$14:$A$1213,$A679,$S$14:$S$1213,"="&amp;$S679)+1)/2,"")</f>
        <v/>
      </c>
      <c r="AG679" s="27">
        <f>IF(ISNUMBER($T679),COUNTIFS($A$14:$A$1213,$A679,$T$14:$T$1213,"&gt;"&amp;$T679)+(COUNTIFS($A$14:$A$1213,$A679,$T$14:$T$1213,"="&amp;$T679)+1)/2,"")</f>
        <v/>
      </c>
      <c r="AH679" s="27">
        <f>IF(COUNT($AC679:$AG679)&lt;2,"",IF(MAX($AC679:$AG679)=MIN($AC679:$AG679),0,1))</f>
        <v/>
      </c>
      <c r="AI679" s="27">
        <f>IF($A679="","",IF(COUNTIF($A$14:$A679,$A679)=1,COUNTIF($AI$13:AI678,"&gt;0")+1,""))</f>
        <v/>
      </c>
      <c r="AO679" s="27">
        <f>IF($A679="","",IF(AND(COUNTIFS($A$14:$A$1213,$A679,$F$14:$F$1213,"&gt;=0")=2,IFERROR(INDEX($M$14:$M$313,MATCH($A679,$H$14:$H$313,0)),"Yes")&lt;&gt;"Yes"),1,0))</f>
        <v/>
      </c>
    </row>
    <row r="680">
      <c r="A680" s="19">
        <f>IF('Enter messages'!A680="","",'Enter messages'!A680)</f>
        <v/>
      </c>
      <c r="B680" s="20">
        <f>IF('Enter messages'!B680="","",'Enter messages'!B680)</f>
        <v/>
      </c>
      <c r="C680" s="21">
        <f>IFERROR(AVERAGE(P680:T680),"")</f>
        <v/>
      </c>
      <c r="D680" s="29" t="n"/>
      <c r="E680" s="29" t="n"/>
      <c r="F680" s="30">
        <f>IF(AND(ISNUMBER($D680),ISNUMBER($E680),$E680&gt;0,$D680&lt;=$E680),$D680/$E680,"")</f>
        <v/>
      </c>
      <c r="P680" s="26" t="n"/>
      <c r="Q680" s="26" t="n"/>
      <c r="R680" s="26" t="n"/>
      <c r="S680" s="26" t="n"/>
      <c r="T680" s="26" t="n"/>
      <c r="V680" s="27">
        <f>IF(ISNUMBER($C680),COUNTIFS($A$14:$A$1213,$A680,$C$14:$C$1213,"&gt;"&amp;$C680)+(COUNTIFS($A$14:$A$1213,$A680,$C$14:$C$1213,"="&amp;$C680)+1)/2,"")</f>
        <v/>
      </c>
      <c r="W680" s="27">
        <f>IF(ISNUMBER($F680),COUNTIFS($A$14:$A$1213,$A680,$F$14:$F$1213,"&gt;"&amp;$F680)+(COUNTIFS($A$14:$A$1213,$A680,$F$14:$F$1213,"="&amp;$F680)+1)/2,"")</f>
        <v/>
      </c>
      <c r="X680" s="27">
        <f>IF(OR(NOT(ISNUMBER($V680)),$AO680=1),"",$V680-(COUNTIFS($A$14:$A$1213,$A680,$C$14:$C$1213,"&gt;=0")+1)/2)</f>
        <v/>
      </c>
      <c r="Y680" s="27">
        <f>IF(OR(NOT(ISNUMBER($W680)),$AO680=1),"",$W680-(COUNTIFS($A$14:$A$1213,$A680,$F$14:$F$1213,"&gt;=0")+1)/2)</f>
        <v/>
      </c>
      <c r="Z680" s="27">
        <f>IF(ISNUMBER($V680),$A680&amp;"|"&amp;$V680,"")</f>
        <v/>
      </c>
      <c r="AA680" s="27">
        <f>IF(ISNUMBER($W680),$A680&amp;"|"&amp;$W680,"")</f>
        <v/>
      </c>
      <c r="AB680" s="27">
        <f>IF(ISNUMBER($F680),$A680&amp;"|"&amp;$F680,"")</f>
        <v/>
      </c>
      <c r="AC680" s="27">
        <f>IF(ISNUMBER($P680),COUNTIFS($A$14:$A$1213,$A680,$P$14:$P$1213,"&gt;"&amp;$P680)+(COUNTIFS($A$14:$A$1213,$A680,$P$14:$P$1213,"="&amp;$P680)+1)/2,"")</f>
        <v/>
      </c>
      <c r="AD680" s="27">
        <f>IF(ISNUMBER($Q680),COUNTIFS($A$14:$A$1213,$A680,$Q$14:$Q$1213,"&gt;"&amp;$Q680)+(COUNTIFS($A$14:$A$1213,$A680,$Q$14:$Q$1213,"="&amp;$Q680)+1)/2,"")</f>
        <v/>
      </c>
      <c r="AE680" s="27">
        <f>IF(ISNUMBER($R680),COUNTIFS($A$14:$A$1213,$A680,$R$14:$R$1213,"&gt;"&amp;$R680)+(COUNTIFS($A$14:$A$1213,$A680,$R$14:$R$1213,"="&amp;$R680)+1)/2,"")</f>
        <v/>
      </c>
      <c r="AF680" s="27">
        <f>IF(ISNUMBER($S680),COUNTIFS($A$14:$A$1213,$A680,$S$14:$S$1213,"&gt;"&amp;$S680)+(COUNTIFS($A$14:$A$1213,$A680,$S$14:$S$1213,"="&amp;$S680)+1)/2,"")</f>
        <v/>
      </c>
      <c r="AG680" s="27">
        <f>IF(ISNUMBER($T680),COUNTIFS($A$14:$A$1213,$A680,$T$14:$T$1213,"&gt;"&amp;$T680)+(COUNTIFS($A$14:$A$1213,$A680,$T$14:$T$1213,"="&amp;$T680)+1)/2,"")</f>
        <v/>
      </c>
      <c r="AH680" s="27">
        <f>IF(COUNT($AC680:$AG680)&lt;2,"",IF(MAX($AC680:$AG680)=MIN($AC680:$AG680),0,1))</f>
        <v/>
      </c>
      <c r="AI680" s="27">
        <f>IF($A680="","",IF(COUNTIF($A$14:$A680,$A680)=1,COUNTIF($AI$13:AI679,"&gt;0")+1,""))</f>
        <v/>
      </c>
      <c r="AO680" s="27">
        <f>IF($A680="","",IF(AND(COUNTIFS($A$14:$A$1213,$A680,$F$14:$F$1213,"&gt;=0")=2,IFERROR(INDEX($M$14:$M$313,MATCH($A680,$H$14:$H$313,0)),"Yes")&lt;&gt;"Yes"),1,0))</f>
        <v/>
      </c>
    </row>
    <row r="681">
      <c r="A681" s="19">
        <f>IF('Enter messages'!A681="","",'Enter messages'!A681)</f>
        <v/>
      </c>
      <c r="B681" s="20">
        <f>IF('Enter messages'!B681="","",'Enter messages'!B681)</f>
        <v/>
      </c>
      <c r="C681" s="21">
        <f>IFERROR(AVERAGE(P681:T681),"")</f>
        <v/>
      </c>
      <c r="D681" s="29" t="n"/>
      <c r="E681" s="29" t="n"/>
      <c r="F681" s="30">
        <f>IF(AND(ISNUMBER($D681),ISNUMBER($E681),$E681&gt;0,$D681&lt;=$E681),$D681/$E681,"")</f>
        <v/>
      </c>
      <c r="P681" s="26" t="n"/>
      <c r="Q681" s="26" t="n"/>
      <c r="R681" s="26" t="n"/>
      <c r="S681" s="26" t="n"/>
      <c r="T681" s="26" t="n"/>
      <c r="V681" s="27">
        <f>IF(ISNUMBER($C681),COUNTIFS($A$14:$A$1213,$A681,$C$14:$C$1213,"&gt;"&amp;$C681)+(COUNTIFS($A$14:$A$1213,$A681,$C$14:$C$1213,"="&amp;$C681)+1)/2,"")</f>
        <v/>
      </c>
      <c r="W681" s="27">
        <f>IF(ISNUMBER($F681),COUNTIFS($A$14:$A$1213,$A681,$F$14:$F$1213,"&gt;"&amp;$F681)+(COUNTIFS($A$14:$A$1213,$A681,$F$14:$F$1213,"="&amp;$F681)+1)/2,"")</f>
        <v/>
      </c>
      <c r="X681" s="27">
        <f>IF(OR(NOT(ISNUMBER($V681)),$AO681=1),"",$V681-(COUNTIFS($A$14:$A$1213,$A681,$C$14:$C$1213,"&gt;=0")+1)/2)</f>
        <v/>
      </c>
      <c r="Y681" s="27">
        <f>IF(OR(NOT(ISNUMBER($W681)),$AO681=1),"",$W681-(COUNTIFS($A$14:$A$1213,$A681,$F$14:$F$1213,"&gt;=0")+1)/2)</f>
        <v/>
      </c>
      <c r="Z681" s="27">
        <f>IF(ISNUMBER($V681),$A681&amp;"|"&amp;$V681,"")</f>
        <v/>
      </c>
      <c r="AA681" s="27">
        <f>IF(ISNUMBER($W681),$A681&amp;"|"&amp;$W681,"")</f>
        <v/>
      </c>
      <c r="AB681" s="27">
        <f>IF(ISNUMBER($F681),$A681&amp;"|"&amp;$F681,"")</f>
        <v/>
      </c>
      <c r="AC681" s="27">
        <f>IF(ISNUMBER($P681),COUNTIFS($A$14:$A$1213,$A681,$P$14:$P$1213,"&gt;"&amp;$P681)+(COUNTIFS($A$14:$A$1213,$A681,$P$14:$P$1213,"="&amp;$P681)+1)/2,"")</f>
        <v/>
      </c>
      <c r="AD681" s="27">
        <f>IF(ISNUMBER($Q681),COUNTIFS($A$14:$A$1213,$A681,$Q$14:$Q$1213,"&gt;"&amp;$Q681)+(COUNTIFS($A$14:$A$1213,$A681,$Q$14:$Q$1213,"="&amp;$Q681)+1)/2,"")</f>
        <v/>
      </c>
      <c r="AE681" s="27">
        <f>IF(ISNUMBER($R681),COUNTIFS($A$14:$A$1213,$A681,$R$14:$R$1213,"&gt;"&amp;$R681)+(COUNTIFS($A$14:$A$1213,$A681,$R$14:$R$1213,"="&amp;$R681)+1)/2,"")</f>
        <v/>
      </c>
      <c r="AF681" s="27">
        <f>IF(ISNUMBER($S681),COUNTIFS($A$14:$A$1213,$A681,$S$14:$S$1213,"&gt;"&amp;$S681)+(COUNTIFS($A$14:$A$1213,$A681,$S$14:$S$1213,"="&amp;$S681)+1)/2,"")</f>
        <v/>
      </c>
      <c r="AG681" s="27">
        <f>IF(ISNUMBER($T681),COUNTIFS($A$14:$A$1213,$A681,$T$14:$T$1213,"&gt;"&amp;$T681)+(COUNTIFS($A$14:$A$1213,$A681,$T$14:$T$1213,"="&amp;$T681)+1)/2,"")</f>
        <v/>
      </c>
      <c r="AH681" s="27">
        <f>IF(COUNT($AC681:$AG681)&lt;2,"",IF(MAX($AC681:$AG681)=MIN($AC681:$AG681),0,1))</f>
        <v/>
      </c>
      <c r="AI681" s="27">
        <f>IF($A681="","",IF(COUNTIF($A$14:$A681,$A681)=1,COUNTIF($AI$13:AI680,"&gt;0")+1,""))</f>
        <v/>
      </c>
      <c r="AO681" s="27">
        <f>IF($A681="","",IF(AND(COUNTIFS($A$14:$A$1213,$A681,$F$14:$F$1213,"&gt;=0")=2,IFERROR(INDEX($M$14:$M$313,MATCH($A681,$H$14:$H$313,0)),"Yes")&lt;&gt;"Yes"),1,0))</f>
        <v/>
      </c>
    </row>
    <row r="682">
      <c r="A682" s="19">
        <f>IF('Enter messages'!A682="","",'Enter messages'!A682)</f>
        <v/>
      </c>
      <c r="B682" s="20">
        <f>IF('Enter messages'!B682="","",'Enter messages'!B682)</f>
        <v/>
      </c>
      <c r="C682" s="21">
        <f>IFERROR(AVERAGE(P682:T682),"")</f>
        <v/>
      </c>
      <c r="D682" s="29" t="n"/>
      <c r="E682" s="29" t="n"/>
      <c r="F682" s="30">
        <f>IF(AND(ISNUMBER($D682),ISNUMBER($E682),$E682&gt;0,$D682&lt;=$E682),$D682/$E682,"")</f>
        <v/>
      </c>
      <c r="P682" s="26" t="n"/>
      <c r="Q682" s="26" t="n"/>
      <c r="R682" s="26" t="n"/>
      <c r="S682" s="26" t="n"/>
      <c r="T682" s="26" t="n"/>
      <c r="V682" s="27">
        <f>IF(ISNUMBER($C682),COUNTIFS($A$14:$A$1213,$A682,$C$14:$C$1213,"&gt;"&amp;$C682)+(COUNTIFS($A$14:$A$1213,$A682,$C$14:$C$1213,"="&amp;$C682)+1)/2,"")</f>
        <v/>
      </c>
      <c r="W682" s="27">
        <f>IF(ISNUMBER($F682),COUNTIFS($A$14:$A$1213,$A682,$F$14:$F$1213,"&gt;"&amp;$F682)+(COUNTIFS($A$14:$A$1213,$A682,$F$14:$F$1213,"="&amp;$F682)+1)/2,"")</f>
        <v/>
      </c>
      <c r="X682" s="27">
        <f>IF(OR(NOT(ISNUMBER($V682)),$AO682=1),"",$V682-(COUNTIFS($A$14:$A$1213,$A682,$C$14:$C$1213,"&gt;=0")+1)/2)</f>
        <v/>
      </c>
      <c r="Y682" s="27">
        <f>IF(OR(NOT(ISNUMBER($W682)),$AO682=1),"",$W682-(COUNTIFS($A$14:$A$1213,$A682,$F$14:$F$1213,"&gt;=0")+1)/2)</f>
        <v/>
      </c>
      <c r="Z682" s="27">
        <f>IF(ISNUMBER($V682),$A682&amp;"|"&amp;$V682,"")</f>
        <v/>
      </c>
      <c r="AA682" s="27">
        <f>IF(ISNUMBER($W682),$A682&amp;"|"&amp;$W682,"")</f>
        <v/>
      </c>
      <c r="AB682" s="27">
        <f>IF(ISNUMBER($F682),$A682&amp;"|"&amp;$F682,"")</f>
        <v/>
      </c>
      <c r="AC682" s="27">
        <f>IF(ISNUMBER($P682),COUNTIFS($A$14:$A$1213,$A682,$P$14:$P$1213,"&gt;"&amp;$P682)+(COUNTIFS($A$14:$A$1213,$A682,$P$14:$P$1213,"="&amp;$P682)+1)/2,"")</f>
        <v/>
      </c>
      <c r="AD682" s="27">
        <f>IF(ISNUMBER($Q682),COUNTIFS($A$14:$A$1213,$A682,$Q$14:$Q$1213,"&gt;"&amp;$Q682)+(COUNTIFS($A$14:$A$1213,$A682,$Q$14:$Q$1213,"="&amp;$Q682)+1)/2,"")</f>
        <v/>
      </c>
      <c r="AE682" s="27">
        <f>IF(ISNUMBER($R682),COUNTIFS($A$14:$A$1213,$A682,$R$14:$R$1213,"&gt;"&amp;$R682)+(COUNTIFS($A$14:$A$1213,$A682,$R$14:$R$1213,"="&amp;$R682)+1)/2,"")</f>
        <v/>
      </c>
      <c r="AF682" s="27">
        <f>IF(ISNUMBER($S682),COUNTIFS($A$14:$A$1213,$A682,$S$14:$S$1213,"&gt;"&amp;$S682)+(COUNTIFS($A$14:$A$1213,$A682,$S$14:$S$1213,"="&amp;$S682)+1)/2,"")</f>
        <v/>
      </c>
      <c r="AG682" s="27">
        <f>IF(ISNUMBER($T682),COUNTIFS($A$14:$A$1213,$A682,$T$14:$T$1213,"&gt;"&amp;$T682)+(COUNTIFS($A$14:$A$1213,$A682,$T$14:$T$1213,"="&amp;$T682)+1)/2,"")</f>
        <v/>
      </c>
      <c r="AH682" s="27">
        <f>IF(COUNT($AC682:$AG682)&lt;2,"",IF(MAX($AC682:$AG682)=MIN($AC682:$AG682),0,1))</f>
        <v/>
      </c>
      <c r="AI682" s="27">
        <f>IF($A682="","",IF(COUNTIF($A$14:$A682,$A682)=1,COUNTIF($AI$13:AI681,"&gt;0")+1,""))</f>
        <v/>
      </c>
      <c r="AO682" s="27">
        <f>IF($A682="","",IF(AND(COUNTIFS($A$14:$A$1213,$A682,$F$14:$F$1213,"&gt;=0")=2,IFERROR(INDEX($M$14:$M$313,MATCH($A682,$H$14:$H$313,0)),"Yes")&lt;&gt;"Yes"),1,0))</f>
        <v/>
      </c>
    </row>
    <row r="683">
      <c r="A683" s="19">
        <f>IF('Enter messages'!A683="","",'Enter messages'!A683)</f>
        <v/>
      </c>
      <c r="B683" s="20">
        <f>IF('Enter messages'!B683="","",'Enter messages'!B683)</f>
        <v/>
      </c>
      <c r="C683" s="21">
        <f>IFERROR(AVERAGE(P683:T683),"")</f>
        <v/>
      </c>
      <c r="D683" s="29" t="n"/>
      <c r="E683" s="29" t="n"/>
      <c r="F683" s="30">
        <f>IF(AND(ISNUMBER($D683),ISNUMBER($E683),$E683&gt;0,$D683&lt;=$E683),$D683/$E683,"")</f>
        <v/>
      </c>
      <c r="P683" s="26" t="n"/>
      <c r="Q683" s="26" t="n"/>
      <c r="R683" s="26" t="n"/>
      <c r="S683" s="26" t="n"/>
      <c r="T683" s="26" t="n"/>
      <c r="V683" s="27">
        <f>IF(ISNUMBER($C683),COUNTIFS($A$14:$A$1213,$A683,$C$14:$C$1213,"&gt;"&amp;$C683)+(COUNTIFS($A$14:$A$1213,$A683,$C$14:$C$1213,"="&amp;$C683)+1)/2,"")</f>
        <v/>
      </c>
      <c r="W683" s="27">
        <f>IF(ISNUMBER($F683),COUNTIFS($A$14:$A$1213,$A683,$F$14:$F$1213,"&gt;"&amp;$F683)+(COUNTIFS($A$14:$A$1213,$A683,$F$14:$F$1213,"="&amp;$F683)+1)/2,"")</f>
        <v/>
      </c>
      <c r="X683" s="27">
        <f>IF(OR(NOT(ISNUMBER($V683)),$AO683=1),"",$V683-(COUNTIFS($A$14:$A$1213,$A683,$C$14:$C$1213,"&gt;=0")+1)/2)</f>
        <v/>
      </c>
      <c r="Y683" s="27">
        <f>IF(OR(NOT(ISNUMBER($W683)),$AO683=1),"",$W683-(COUNTIFS($A$14:$A$1213,$A683,$F$14:$F$1213,"&gt;=0")+1)/2)</f>
        <v/>
      </c>
      <c r="Z683" s="27">
        <f>IF(ISNUMBER($V683),$A683&amp;"|"&amp;$V683,"")</f>
        <v/>
      </c>
      <c r="AA683" s="27">
        <f>IF(ISNUMBER($W683),$A683&amp;"|"&amp;$W683,"")</f>
        <v/>
      </c>
      <c r="AB683" s="27">
        <f>IF(ISNUMBER($F683),$A683&amp;"|"&amp;$F683,"")</f>
        <v/>
      </c>
      <c r="AC683" s="27">
        <f>IF(ISNUMBER($P683),COUNTIFS($A$14:$A$1213,$A683,$P$14:$P$1213,"&gt;"&amp;$P683)+(COUNTIFS($A$14:$A$1213,$A683,$P$14:$P$1213,"="&amp;$P683)+1)/2,"")</f>
        <v/>
      </c>
      <c r="AD683" s="27">
        <f>IF(ISNUMBER($Q683),COUNTIFS($A$14:$A$1213,$A683,$Q$14:$Q$1213,"&gt;"&amp;$Q683)+(COUNTIFS($A$14:$A$1213,$A683,$Q$14:$Q$1213,"="&amp;$Q683)+1)/2,"")</f>
        <v/>
      </c>
      <c r="AE683" s="27">
        <f>IF(ISNUMBER($R683),COUNTIFS($A$14:$A$1213,$A683,$R$14:$R$1213,"&gt;"&amp;$R683)+(COUNTIFS($A$14:$A$1213,$A683,$R$14:$R$1213,"="&amp;$R683)+1)/2,"")</f>
        <v/>
      </c>
      <c r="AF683" s="27">
        <f>IF(ISNUMBER($S683),COUNTIFS($A$14:$A$1213,$A683,$S$14:$S$1213,"&gt;"&amp;$S683)+(COUNTIFS($A$14:$A$1213,$A683,$S$14:$S$1213,"="&amp;$S683)+1)/2,"")</f>
        <v/>
      </c>
      <c r="AG683" s="27">
        <f>IF(ISNUMBER($T683),COUNTIFS($A$14:$A$1213,$A683,$T$14:$T$1213,"&gt;"&amp;$T683)+(COUNTIFS($A$14:$A$1213,$A683,$T$14:$T$1213,"="&amp;$T683)+1)/2,"")</f>
        <v/>
      </c>
      <c r="AH683" s="27">
        <f>IF(COUNT($AC683:$AG683)&lt;2,"",IF(MAX($AC683:$AG683)=MIN($AC683:$AG683),0,1))</f>
        <v/>
      </c>
      <c r="AI683" s="27">
        <f>IF($A683="","",IF(COUNTIF($A$14:$A683,$A683)=1,COUNTIF($AI$13:AI682,"&gt;0")+1,""))</f>
        <v/>
      </c>
      <c r="AO683" s="27">
        <f>IF($A683="","",IF(AND(COUNTIFS($A$14:$A$1213,$A683,$F$14:$F$1213,"&gt;=0")=2,IFERROR(INDEX($M$14:$M$313,MATCH($A683,$H$14:$H$313,0)),"Yes")&lt;&gt;"Yes"),1,0))</f>
        <v/>
      </c>
    </row>
    <row r="684">
      <c r="A684" s="19">
        <f>IF('Enter messages'!A684="","",'Enter messages'!A684)</f>
        <v/>
      </c>
      <c r="B684" s="20">
        <f>IF('Enter messages'!B684="","",'Enter messages'!B684)</f>
        <v/>
      </c>
      <c r="C684" s="21">
        <f>IFERROR(AVERAGE(P684:T684),"")</f>
        <v/>
      </c>
      <c r="D684" s="29" t="n"/>
      <c r="E684" s="29" t="n"/>
      <c r="F684" s="30">
        <f>IF(AND(ISNUMBER($D684),ISNUMBER($E684),$E684&gt;0,$D684&lt;=$E684),$D684/$E684,"")</f>
        <v/>
      </c>
      <c r="P684" s="26" t="n"/>
      <c r="Q684" s="26" t="n"/>
      <c r="R684" s="26" t="n"/>
      <c r="S684" s="26" t="n"/>
      <c r="T684" s="26" t="n"/>
      <c r="V684" s="27">
        <f>IF(ISNUMBER($C684),COUNTIFS($A$14:$A$1213,$A684,$C$14:$C$1213,"&gt;"&amp;$C684)+(COUNTIFS($A$14:$A$1213,$A684,$C$14:$C$1213,"="&amp;$C684)+1)/2,"")</f>
        <v/>
      </c>
      <c r="W684" s="27">
        <f>IF(ISNUMBER($F684),COUNTIFS($A$14:$A$1213,$A684,$F$14:$F$1213,"&gt;"&amp;$F684)+(COUNTIFS($A$14:$A$1213,$A684,$F$14:$F$1213,"="&amp;$F684)+1)/2,"")</f>
        <v/>
      </c>
      <c r="X684" s="27">
        <f>IF(OR(NOT(ISNUMBER($V684)),$AO684=1),"",$V684-(COUNTIFS($A$14:$A$1213,$A684,$C$14:$C$1213,"&gt;=0")+1)/2)</f>
        <v/>
      </c>
      <c r="Y684" s="27">
        <f>IF(OR(NOT(ISNUMBER($W684)),$AO684=1),"",$W684-(COUNTIFS($A$14:$A$1213,$A684,$F$14:$F$1213,"&gt;=0")+1)/2)</f>
        <v/>
      </c>
      <c r="Z684" s="27">
        <f>IF(ISNUMBER($V684),$A684&amp;"|"&amp;$V684,"")</f>
        <v/>
      </c>
      <c r="AA684" s="27">
        <f>IF(ISNUMBER($W684),$A684&amp;"|"&amp;$W684,"")</f>
        <v/>
      </c>
      <c r="AB684" s="27">
        <f>IF(ISNUMBER($F684),$A684&amp;"|"&amp;$F684,"")</f>
        <v/>
      </c>
      <c r="AC684" s="27">
        <f>IF(ISNUMBER($P684),COUNTIFS($A$14:$A$1213,$A684,$P$14:$P$1213,"&gt;"&amp;$P684)+(COUNTIFS($A$14:$A$1213,$A684,$P$14:$P$1213,"="&amp;$P684)+1)/2,"")</f>
        <v/>
      </c>
      <c r="AD684" s="27">
        <f>IF(ISNUMBER($Q684),COUNTIFS($A$14:$A$1213,$A684,$Q$14:$Q$1213,"&gt;"&amp;$Q684)+(COUNTIFS($A$14:$A$1213,$A684,$Q$14:$Q$1213,"="&amp;$Q684)+1)/2,"")</f>
        <v/>
      </c>
      <c r="AE684" s="27">
        <f>IF(ISNUMBER($R684),COUNTIFS($A$14:$A$1213,$A684,$R$14:$R$1213,"&gt;"&amp;$R684)+(COUNTIFS($A$14:$A$1213,$A684,$R$14:$R$1213,"="&amp;$R684)+1)/2,"")</f>
        <v/>
      </c>
      <c r="AF684" s="27">
        <f>IF(ISNUMBER($S684),COUNTIFS($A$14:$A$1213,$A684,$S$14:$S$1213,"&gt;"&amp;$S684)+(COUNTIFS($A$14:$A$1213,$A684,$S$14:$S$1213,"="&amp;$S684)+1)/2,"")</f>
        <v/>
      </c>
      <c r="AG684" s="27">
        <f>IF(ISNUMBER($T684),COUNTIFS($A$14:$A$1213,$A684,$T$14:$T$1213,"&gt;"&amp;$T684)+(COUNTIFS($A$14:$A$1213,$A684,$T$14:$T$1213,"="&amp;$T684)+1)/2,"")</f>
        <v/>
      </c>
      <c r="AH684" s="27">
        <f>IF(COUNT($AC684:$AG684)&lt;2,"",IF(MAX($AC684:$AG684)=MIN($AC684:$AG684),0,1))</f>
        <v/>
      </c>
      <c r="AI684" s="27">
        <f>IF($A684="","",IF(COUNTIF($A$14:$A684,$A684)=1,COUNTIF($AI$13:AI683,"&gt;0")+1,""))</f>
        <v/>
      </c>
      <c r="AO684" s="27">
        <f>IF($A684="","",IF(AND(COUNTIFS($A$14:$A$1213,$A684,$F$14:$F$1213,"&gt;=0")=2,IFERROR(INDEX($M$14:$M$313,MATCH($A684,$H$14:$H$313,0)),"Yes")&lt;&gt;"Yes"),1,0))</f>
        <v/>
      </c>
    </row>
    <row r="685">
      <c r="A685" s="19">
        <f>IF('Enter messages'!A685="","",'Enter messages'!A685)</f>
        <v/>
      </c>
      <c r="B685" s="20">
        <f>IF('Enter messages'!B685="","",'Enter messages'!B685)</f>
        <v/>
      </c>
      <c r="C685" s="21">
        <f>IFERROR(AVERAGE(P685:T685),"")</f>
        <v/>
      </c>
      <c r="D685" s="29" t="n"/>
      <c r="E685" s="29" t="n"/>
      <c r="F685" s="30">
        <f>IF(AND(ISNUMBER($D685),ISNUMBER($E685),$E685&gt;0,$D685&lt;=$E685),$D685/$E685,"")</f>
        <v/>
      </c>
      <c r="P685" s="26" t="n"/>
      <c r="Q685" s="26" t="n"/>
      <c r="R685" s="26" t="n"/>
      <c r="S685" s="26" t="n"/>
      <c r="T685" s="26" t="n"/>
      <c r="V685" s="27">
        <f>IF(ISNUMBER($C685),COUNTIFS($A$14:$A$1213,$A685,$C$14:$C$1213,"&gt;"&amp;$C685)+(COUNTIFS($A$14:$A$1213,$A685,$C$14:$C$1213,"="&amp;$C685)+1)/2,"")</f>
        <v/>
      </c>
      <c r="W685" s="27">
        <f>IF(ISNUMBER($F685),COUNTIFS($A$14:$A$1213,$A685,$F$14:$F$1213,"&gt;"&amp;$F685)+(COUNTIFS($A$14:$A$1213,$A685,$F$14:$F$1213,"="&amp;$F685)+1)/2,"")</f>
        <v/>
      </c>
      <c r="X685" s="27">
        <f>IF(OR(NOT(ISNUMBER($V685)),$AO685=1),"",$V685-(COUNTIFS($A$14:$A$1213,$A685,$C$14:$C$1213,"&gt;=0")+1)/2)</f>
        <v/>
      </c>
      <c r="Y685" s="27">
        <f>IF(OR(NOT(ISNUMBER($W685)),$AO685=1),"",$W685-(COUNTIFS($A$14:$A$1213,$A685,$F$14:$F$1213,"&gt;=0")+1)/2)</f>
        <v/>
      </c>
      <c r="Z685" s="27">
        <f>IF(ISNUMBER($V685),$A685&amp;"|"&amp;$V685,"")</f>
        <v/>
      </c>
      <c r="AA685" s="27">
        <f>IF(ISNUMBER($W685),$A685&amp;"|"&amp;$W685,"")</f>
        <v/>
      </c>
      <c r="AB685" s="27">
        <f>IF(ISNUMBER($F685),$A685&amp;"|"&amp;$F685,"")</f>
        <v/>
      </c>
      <c r="AC685" s="27">
        <f>IF(ISNUMBER($P685),COUNTIFS($A$14:$A$1213,$A685,$P$14:$P$1213,"&gt;"&amp;$P685)+(COUNTIFS($A$14:$A$1213,$A685,$P$14:$P$1213,"="&amp;$P685)+1)/2,"")</f>
        <v/>
      </c>
      <c r="AD685" s="27">
        <f>IF(ISNUMBER($Q685),COUNTIFS($A$14:$A$1213,$A685,$Q$14:$Q$1213,"&gt;"&amp;$Q685)+(COUNTIFS($A$14:$A$1213,$A685,$Q$14:$Q$1213,"="&amp;$Q685)+1)/2,"")</f>
        <v/>
      </c>
      <c r="AE685" s="27">
        <f>IF(ISNUMBER($R685),COUNTIFS($A$14:$A$1213,$A685,$R$14:$R$1213,"&gt;"&amp;$R685)+(COUNTIFS($A$14:$A$1213,$A685,$R$14:$R$1213,"="&amp;$R685)+1)/2,"")</f>
        <v/>
      </c>
      <c r="AF685" s="27">
        <f>IF(ISNUMBER($S685),COUNTIFS($A$14:$A$1213,$A685,$S$14:$S$1213,"&gt;"&amp;$S685)+(COUNTIFS($A$14:$A$1213,$A685,$S$14:$S$1213,"="&amp;$S685)+1)/2,"")</f>
        <v/>
      </c>
      <c r="AG685" s="27">
        <f>IF(ISNUMBER($T685),COUNTIFS($A$14:$A$1213,$A685,$T$14:$T$1213,"&gt;"&amp;$T685)+(COUNTIFS($A$14:$A$1213,$A685,$T$14:$T$1213,"="&amp;$T685)+1)/2,"")</f>
        <v/>
      </c>
      <c r="AH685" s="27">
        <f>IF(COUNT($AC685:$AG685)&lt;2,"",IF(MAX($AC685:$AG685)=MIN($AC685:$AG685),0,1))</f>
        <v/>
      </c>
      <c r="AI685" s="27">
        <f>IF($A685="","",IF(COUNTIF($A$14:$A685,$A685)=1,COUNTIF($AI$13:AI684,"&gt;0")+1,""))</f>
        <v/>
      </c>
      <c r="AO685" s="27">
        <f>IF($A685="","",IF(AND(COUNTIFS($A$14:$A$1213,$A685,$F$14:$F$1213,"&gt;=0")=2,IFERROR(INDEX($M$14:$M$313,MATCH($A685,$H$14:$H$313,0)),"Yes")&lt;&gt;"Yes"),1,0))</f>
        <v/>
      </c>
    </row>
    <row r="686">
      <c r="A686" s="19">
        <f>IF('Enter messages'!A686="","",'Enter messages'!A686)</f>
        <v/>
      </c>
      <c r="B686" s="20">
        <f>IF('Enter messages'!B686="","",'Enter messages'!B686)</f>
        <v/>
      </c>
      <c r="C686" s="21">
        <f>IFERROR(AVERAGE(P686:T686),"")</f>
        <v/>
      </c>
      <c r="D686" s="29" t="n"/>
      <c r="E686" s="29" t="n"/>
      <c r="F686" s="30">
        <f>IF(AND(ISNUMBER($D686),ISNUMBER($E686),$E686&gt;0,$D686&lt;=$E686),$D686/$E686,"")</f>
        <v/>
      </c>
      <c r="P686" s="26" t="n"/>
      <c r="Q686" s="26" t="n"/>
      <c r="R686" s="26" t="n"/>
      <c r="S686" s="26" t="n"/>
      <c r="T686" s="26" t="n"/>
      <c r="V686" s="27">
        <f>IF(ISNUMBER($C686),COUNTIFS($A$14:$A$1213,$A686,$C$14:$C$1213,"&gt;"&amp;$C686)+(COUNTIFS($A$14:$A$1213,$A686,$C$14:$C$1213,"="&amp;$C686)+1)/2,"")</f>
        <v/>
      </c>
      <c r="W686" s="27">
        <f>IF(ISNUMBER($F686),COUNTIFS($A$14:$A$1213,$A686,$F$14:$F$1213,"&gt;"&amp;$F686)+(COUNTIFS($A$14:$A$1213,$A686,$F$14:$F$1213,"="&amp;$F686)+1)/2,"")</f>
        <v/>
      </c>
      <c r="X686" s="27">
        <f>IF(OR(NOT(ISNUMBER($V686)),$AO686=1),"",$V686-(COUNTIFS($A$14:$A$1213,$A686,$C$14:$C$1213,"&gt;=0")+1)/2)</f>
        <v/>
      </c>
      <c r="Y686" s="27">
        <f>IF(OR(NOT(ISNUMBER($W686)),$AO686=1),"",$W686-(COUNTIFS($A$14:$A$1213,$A686,$F$14:$F$1213,"&gt;=0")+1)/2)</f>
        <v/>
      </c>
      <c r="Z686" s="27">
        <f>IF(ISNUMBER($V686),$A686&amp;"|"&amp;$V686,"")</f>
        <v/>
      </c>
      <c r="AA686" s="27">
        <f>IF(ISNUMBER($W686),$A686&amp;"|"&amp;$W686,"")</f>
        <v/>
      </c>
      <c r="AB686" s="27">
        <f>IF(ISNUMBER($F686),$A686&amp;"|"&amp;$F686,"")</f>
        <v/>
      </c>
      <c r="AC686" s="27">
        <f>IF(ISNUMBER($P686),COUNTIFS($A$14:$A$1213,$A686,$P$14:$P$1213,"&gt;"&amp;$P686)+(COUNTIFS($A$14:$A$1213,$A686,$P$14:$P$1213,"="&amp;$P686)+1)/2,"")</f>
        <v/>
      </c>
      <c r="AD686" s="27">
        <f>IF(ISNUMBER($Q686),COUNTIFS($A$14:$A$1213,$A686,$Q$14:$Q$1213,"&gt;"&amp;$Q686)+(COUNTIFS($A$14:$A$1213,$A686,$Q$14:$Q$1213,"="&amp;$Q686)+1)/2,"")</f>
        <v/>
      </c>
      <c r="AE686" s="27">
        <f>IF(ISNUMBER($R686),COUNTIFS($A$14:$A$1213,$A686,$R$14:$R$1213,"&gt;"&amp;$R686)+(COUNTIFS($A$14:$A$1213,$A686,$R$14:$R$1213,"="&amp;$R686)+1)/2,"")</f>
        <v/>
      </c>
      <c r="AF686" s="27">
        <f>IF(ISNUMBER($S686),COUNTIFS($A$14:$A$1213,$A686,$S$14:$S$1213,"&gt;"&amp;$S686)+(COUNTIFS($A$14:$A$1213,$A686,$S$14:$S$1213,"="&amp;$S686)+1)/2,"")</f>
        <v/>
      </c>
      <c r="AG686" s="27">
        <f>IF(ISNUMBER($T686),COUNTIFS($A$14:$A$1213,$A686,$T$14:$T$1213,"&gt;"&amp;$T686)+(COUNTIFS($A$14:$A$1213,$A686,$T$14:$T$1213,"="&amp;$T686)+1)/2,"")</f>
        <v/>
      </c>
      <c r="AH686" s="27">
        <f>IF(COUNT($AC686:$AG686)&lt;2,"",IF(MAX($AC686:$AG686)=MIN($AC686:$AG686),0,1))</f>
        <v/>
      </c>
      <c r="AI686" s="27">
        <f>IF($A686="","",IF(COUNTIF($A$14:$A686,$A686)=1,COUNTIF($AI$13:AI685,"&gt;0")+1,""))</f>
        <v/>
      </c>
      <c r="AO686" s="27">
        <f>IF($A686="","",IF(AND(COUNTIFS($A$14:$A$1213,$A686,$F$14:$F$1213,"&gt;=0")=2,IFERROR(INDEX($M$14:$M$313,MATCH($A686,$H$14:$H$313,0)),"Yes")&lt;&gt;"Yes"),1,0))</f>
        <v/>
      </c>
    </row>
    <row r="687">
      <c r="A687" s="19">
        <f>IF('Enter messages'!A687="","",'Enter messages'!A687)</f>
        <v/>
      </c>
      <c r="B687" s="20">
        <f>IF('Enter messages'!B687="","",'Enter messages'!B687)</f>
        <v/>
      </c>
      <c r="C687" s="21">
        <f>IFERROR(AVERAGE(P687:T687),"")</f>
        <v/>
      </c>
      <c r="D687" s="29" t="n"/>
      <c r="E687" s="29" t="n"/>
      <c r="F687" s="30">
        <f>IF(AND(ISNUMBER($D687),ISNUMBER($E687),$E687&gt;0,$D687&lt;=$E687),$D687/$E687,"")</f>
        <v/>
      </c>
      <c r="P687" s="26" t="n"/>
      <c r="Q687" s="26" t="n"/>
      <c r="R687" s="26" t="n"/>
      <c r="S687" s="26" t="n"/>
      <c r="T687" s="26" t="n"/>
      <c r="V687" s="27">
        <f>IF(ISNUMBER($C687),COUNTIFS($A$14:$A$1213,$A687,$C$14:$C$1213,"&gt;"&amp;$C687)+(COUNTIFS($A$14:$A$1213,$A687,$C$14:$C$1213,"="&amp;$C687)+1)/2,"")</f>
        <v/>
      </c>
      <c r="W687" s="27">
        <f>IF(ISNUMBER($F687),COUNTIFS($A$14:$A$1213,$A687,$F$14:$F$1213,"&gt;"&amp;$F687)+(COUNTIFS($A$14:$A$1213,$A687,$F$14:$F$1213,"="&amp;$F687)+1)/2,"")</f>
        <v/>
      </c>
      <c r="X687" s="27">
        <f>IF(OR(NOT(ISNUMBER($V687)),$AO687=1),"",$V687-(COUNTIFS($A$14:$A$1213,$A687,$C$14:$C$1213,"&gt;=0")+1)/2)</f>
        <v/>
      </c>
      <c r="Y687" s="27">
        <f>IF(OR(NOT(ISNUMBER($W687)),$AO687=1),"",$W687-(COUNTIFS($A$14:$A$1213,$A687,$F$14:$F$1213,"&gt;=0")+1)/2)</f>
        <v/>
      </c>
      <c r="Z687" s="27">
        <f>IF(ISNUMBER($V687),$A687&amp;"|"&amp;$V687,"")</f>
        <v/>
      </c>
      <c r="AA687" s="27">
        <f>IF(ISNUMBER($W687),$A687&amp;"|"&amp;$W687,"")</f>
        <v/>
      </c>
      <c r="AB687" s="27">
        <f>IF(ISNUMBER($F687),$A687&amp;"|"&amp;$F687,"")</f>
        <v/>
      </c>
      <c r="AC687" s="27">
        <f>IF(ISNUMBER($P687),COUNTIFS($A$14:$A$1213,$A687,$P$14:$P$1213,"&gt;"&amp;$P687)+(COUNTIFS($A$14:$A$1213,$A687,$P$14:$P$1213,"="&amp;$P687)+1)/2,"")</f>
        <v/>
      </c>
      <c r="AD687" s="27">
        <f>IF(ISNUMBER($Q687),COUNTIFS($A$14:$A$1213,$A687,$Q$14:$Q$1213,"&gt;"&amp;$Q687)+(COUNTIFS($A$14:$A$1213,$A687,$Q$14:$Q$1213,"="&amp;$Q687)+1)/2,"")</f>
        <v/>
      </c>
      <c r="AE687" s="27">
        <f>IF(ISNUMBER($R687),COUNTIFS($A$14:$A$1213,$A687,$R$14:$R$1213,"&gt;"&amp;$R687)+(COUNTIFS($A$14:$A$1213,$A687,$R$14:$R$1213,"="&amp;$R687)+1)/2,"")</f>
        <v/>
      </c>
      <c r="AF687" s="27">
        <f>IF(ISNUMBER($S687),COUNTIFS($A$14:$A$1213,$A687,$S$14:$S$1213,"&gt;"&amp;$S687)+(COUNTIFS($A$14:$A$1213,$A687,$S$14:$S$1213,"="&amp;$S687)+1)/2,"")</f>
        <v/>
      </c>
      <c r="AG687" s="27">
        <f>IF(ISNUMBER($T687),COUNTIFS($A$14:$A$1213,$A687,$T$14:$T$1213,"&gt;"&amp;$T687)+(COUNTIFS($A$14:$A$1213,$A687,$T$14:$T$1213,"="&amp;$T687)+1)/2,"")</f>
        <v/>
      </c>
      <c r="AH687" s="27">
        <f>IF(COUNT($AC687:$AG687)&lt;2,"",IF(MAX($AC687:$AG687)=MIN($AC687:$AG687),0,1))</f>
        <v/>
      </c>
      <c r="AI687" s="27">
        <f>IF($A687="","",IF(COUNTIF($A$14:$A687,$A687)=1,COUNTIF($AI$13:AI686,"&gt;0")+1,""))</f>
        <v/>
      </c>
      <c r="AO687" s="27">
        <f>IF($A687="","",IF(AND(COUNTIFS($A$14:$A$1213,$A687,$F$14:$F$1213,"&gt;=0")=2,IFERROR(INDEX($M$14:$M$313,MATCH($A687,$H$14:$H$313,0)),"Yes")&lt;&gt;"Yes"),1,0))</f>
        <v/>
      </c>
    </row>
    <row r="688">
      <c r="A688" s="19">
        <f>IF('Enter messages'!A688="","",'Enter messages'!A688)</f>
        <v/>
      </c>
      <c r="B688" s="20">
        <f>IF('Enter messages'!B688="","",'Enter messages'!B688)</f>
        <v/>
      </c>
      <c r="C688" s="21">
        <f>IFERROR(AVERAGE(P688:T688),"")</f>
        <v/>
      </c>
      <c r="D688" s="29" t="n"/>
      <c r="E688" s="29" t="n"/>
      <c r="F688" s="30">
        <f>IF(AND(ISNUMBER($D688),ISNUMBER($E688),$E688&gt;0,$D688&lt;=$E688),$D688/$E688,"")</f>
        <v/>
      </c>
      <c r="P688" s="26" t="n"/>
      <c r="Q688" s="26" t="n"/>
      <c r="R688" s="26" t="n"/>
      <c r="S688" s="26" t="n"/>
      <c r="T688" s="26" t="n"/>
      <c r="V688" s="27">
        <f>IF(ISNUMBER($C688),COUNTIFS($A$14:$A$1213,$A688,$C$14:$C$1213,"&gt;"&amp;$C688)+(COUNTIFS($A$14:$A$1213,$A688,$C$14:$C$1213,"="&amp;$C688)+1)/2,"")</f>
        <v/>
      </c>
      <c r="W688" s="27">
        <f>IF(ISNUMBER($F688),COUNTIFS($A$14:$A$1213,$A688,$F$14:$F$1213,"&gt;"&amp;$F688)+(COUNTIFS($A$14:$A$1213,$A688,$F$14:$F$1213,"="&amp;$F688)+1)/2,"")</f>
        <v/>
      </c>
      <c r="X688" s="27">
        <f>IF(OR(NOT(ISNUMBER($V688)),$AO688=1),"",$V688-(COUNTIFS($A$14:$A$1213,$A688,$C$14:$C$1213,"&gt;=0")+1)/2)</f>
        <v/>
      </c>
      <c r="Y688" s="27">
        <f>IF(OR(NOT(ISNUMBER($W688)),$AO688=1),"",$W688-(COUNTIFS($A$14:$A$1213,$A688,$F$14:$F$1213,"&gt;=0")+1)/2)</f>
        <v/>
      </c>
      <c r="Z688" s="27">
        <f>IF(ISNUMBER($V688),$A688&amp;"|"&amp;$V688,"")</f>
        <v/>
      </c>
      <c r="AA688" s="27">
        <f>IF(ISNUMBER($W688),$A688&amp;"|"&amp;$W688,"")</f>
        <v/>
      </c>
      <c r="AB688" s="27">
        <f>IF(ISNUMBER($F688),$A688&amp;"|"&amp;$F688,"")</f>
        <v/>
      </c>
      <c r="AC688" s="27">
        <f>IF(ISNUMBER($P688),COUNTIFS($A$14:$A$1213,$A688,$P$14:$P$1213,"&gt;"&amp;$P688)+(COUNTIFS($A$14:$A$1213,$A688,$P$14:$P$1213,"="&amp;$P688)+1)/2,"")</f>
        <v/>
      </c>
      <c r="AD688" s="27">
        <f>IF(ISNUMBER($Q688),COUNTIFS($A$14:$A$1213,$A688,$Q$14:$Q$1213,"&gt;"&amp;$Q688)+(COUNTIFS($A$14:$A$1213,$A688,$Q$14:$Q$1213,"="&amp;$Q688)+1)/2,"")</f>
        <v/>
      </c>
      <c r="AE688" s="27">
        <f>IF(ISNUMBER($R688),COUNTIFS($A$14:$A$1213,$A688,$R$14:$R$1213,"&gt;"&amp;$R688)+(COUNTIFS($A$14:$A$1213,$A688,$R$14:$R$1213,"="&amp;$R688)+1)/2,"")</f>
        <v/>
      </c>
      <c r="AF688" s="27">
        <f>IF(ISNUMBER($S688),COUNTIFS($A$14:$A$1213,$A688,$S$14:$S$1213,"&gt;"&amp;$S688)+(COUNTIFS($A$14:$A$1213,$A688,$S$14:$S$1213,"="&amp;$S688)+1)/2,"")</f>
        <v/>
      </c>
      <c r="AG688" s="27">
        <f>IF(ISNUMBER($T688),COUNTIFS($A$14:$A$1213,$A688,$T$14:$T$1213,"&gt;"&amp;$T688)+(COUNTIFS($A$14:$A$1213,$A688,$T$14:$T$1213,"="&amp;$T688)+1)/2,"")</f>
        <v/>
      </c>
      <c r="AH688" s="27">
        <f>IF(COUNT($AC688:$AG688)&lt;2,"",IF(MAX($AC688:$AG688)=MIN($AC688:$AG688),0,1))</f>
        <v/>
      </c>
      <c r="AI688" s="27">
        <f>IF($A688="","",IF(COUNTIF($A$14:$A688,$A688)=1,COUNTIF($AI$13:AI687,"&gt;0")+1,""))</f>
        <v/>
      </c>
      <c r="AO688" s="27">
        <f>IF($A688="","",IF(AND(COUNTIFS($A$14:$A$1213,$A688,$F$14:$F$1213,"&gt;=0")=2,IFERROR(INDEX($M$14:$M$313,MATCH($A688,$H$14:$H$313,0)),"Yes")&lt;&gt;"Yes"),1,0))</f>
        <v/>
      </c>
    </row>
    <row r="689">
      <c r="A689" s="19">
        <f>IF('Enter messages'!A689="","",'Enter messages'!A689)</f>
        <v/>
      </c>
      <c r="B689" s="20">
        <f>IF('Enter messages'!B689="","",'Enter messages'!B689)</f>
        <v/>
      </c>
      <c r="C689" s="21">
        <f>IFERROR(AVERAGE(P689:T689),"")</f>
        <v/>
      </c>
      <c r="D689" s="29" t="n"/>
      <c r="E689" s="29" t="n"/>
      <c r="F689" s="30">
        <f>IF(AND(ISNUMBER($D689),ISNUMBER($E689),$E689&gt;0,$D689&lt;=$E689),$D689/$E689,"")</f>
        <v/>
      </c>
      <c r="P689" s="26" t="n"/>
      <c r="Q689" s="26" t="n"/>
      <c r="R689" s="26" t="n"/>
      <c r="S689" s="26" t="n"/>
      <c r="T689" s="26" t="n"/>
      <c r="V689" s="27">
        <f>IF(ISNUMBER($C689),COUNTIFS($A$14:$A$1213,$A689,$C$14:$C$1213,"&gt;"&amp;$C689)+(COUNTIFS($A$14:$A$1213,$A689,$C$14:$C$1213,"="&amp;$C689)+1)/2,"")</f>
        <v/>
      </c>
      <c r="W689" s="27">
        <f>IF(ISNUMBER($F689),COUNTIFS($A$14:$A$1213,$A689,$F$14:$F$1213,"&gt;"&amp;$F689)+(COUNTIFS($A$14:$A$1213,$A689,$F$14:$F$1213,"="&amp;$F689)+1)/2,"")</f>
        <v/>
      </c>
      <c r="X689" s="27">
        <f>IF(OR(NOT(ISNUMBER($V689)),$AO689=1),"",$V689-(COUNTIFS($A$14:$A$1213,$A689,$C$14:$C$1213,"&gt;=0")+1)/2)</f>
        <v/>
      </c>
      <c r="Y689" s="27">
        <f>IF(OR(NOT(ISNUMBER($W689)),$AO689=1),"",$W689-(COUNTIFS($A$14:$A$1213,$A689,$F$14:$F$1213,"&gt;=0")+1)/2)</f>
        <v/>
      </c>
      <c r="Z689" s="27">
        <f>IF(ISNUMBER($V689),$A689&amp;"|"&amp;$V689,"")</f>
        <v/>
      </c>
      <c r="AA689" s="27">
        <f>IF(ISNUMBER($W689),$A689&amp;"|"&amp;$W689,"")</f>
        <v/>
      </c>
      <c r="AB689" s="27">
        <f>IF(ISNUMBER($F689),$A689&amp;"|"&amp;$F689,"")</f>
        <v/>
      </c>
      <c r="AC689" s="27">
        <f>IF(ISNUMBER($P689),COUNTIFS($A$14:$A$1213,$A689,$P$14:$P$1213,"&gt;"&amp;$P689)+(COUNTIFS($A$14:$A$1213,$A689,$P$14:$P$1213,"="&amp;$P689)+1)/2,"")</f>
        <v/>
      </c>
      <c r="AD689" s="27">
        <f>IF(ISNUMBER($Q689),COUNTIFS($A$14:$A$1213,$A689,$Q$14:$Q$1213,"&gt;"&amp;$Q689)+(COUNTIFS($A$14:$A$1213,$A689,$Q$14:$Q$1213,"="&amp;$Q689)+1)/2,"")</f>
        <v/>
      </c>
      <c r="AE689" s="27">
        <f>IF(ISNUMBER($R689),COUNTIFS($A$14:$A$1213,$A689,$R$14:$R$1213,"&gt;"&amp;$R689)+(COUNTIFS($A$14:$A$1213,$A689,$R$14:$R$1213,"="&amp;$R689)+1)/2,"")</f>
        <v/>
      </c>
      <c r="AF689" s="27">
        <f>IF(ISNUMBER($S689),COUNTIFS($A$14:$A$1213,$A689,$S$14:$S$1213,"&gt;"&amp;$S689)+(COUNTIFS($A$14:$A$1213,$A689,$S$14:$S$1213,"="&amp;$S689)+1)/2,"")</f>
        <v/>
      </c>
      <c r="AG689" s="27">
        <f>IF(ISNUMBER($T689),COUNTIFS($A$14:$A$1213,$A689,$T$14:$T$1213,"&gt;"&amp;$T689)+(COUNTIFS($A$14:$A$1213,$A689,$T$14:$T$1213,"="&amp;$T689)+1)/2,"")</f>
        <v/>
      </c>
      <c r="AH689" s="27">
        <f>IF(COUNT($AC689:$AG689)&lt;2,"",IF(MAX($AC689:$AG689)=MIN($AC689:$AG689),0,1))</f>
        <v/>
      </c>
      <c r="AI689" s="27">
        <f>IF($A689="","",IF(COUNTIF($A$14:$A689,$A689)=1,COUNTIF($AI$13:AI688,"&gt;0")+1,""))</f>
        <v/>
      </c>
      <c r="AO689" s="27">
        <f>IF($A689="","",IF(AND(COUNTIFS($A$14:$A$1213,$A689,$F$14:$F$1213,"&gt;=0")=2,IFERROR(INDEX($M$14:$M$313,MATCH($A689,$H$14:$H$313,0)),"Yes")&lt;&gt;"Yes"),1,0))</f>
        <v/>
      </c>
    </row>
    <row r="690">
      <c r="A690" s="19">
        <f>IF('Enter messages'!A690="","",'Enter messages'!A690)</f>
        <v/>
      </c>
      <c r="B690" s="20">
        <f>IF('Enter messages'!B690="","",'Enter messages'!B690)</f>
        <v/>
      </c>
      <c r="C690" s="21">
        <f>IFERROR(AVERAGE(P690:T690),"")</f>
        <v/>
      </c>
      <c r="D690" s="29" t="n"/>
      <c r="E690" s="29" t="n"/>
      <c r="F690" s="30">
        <f>IF(AND(ISNUMBER($D690),ISNUMBER($E690),$E690&gt;0,$D690&lt;=$E690),$D690/$E690,"")</f>
        <v/>
      </c>
      <c r="P690" s="26" t="n"/>
      <c r="Q690" s="26" t="n"/>
      <c r="R690" s="26" t="n"/>
      <c r="S690" s="26" t="n"/>
      <c r="T690" s="26" t="n"/>
      <c r="V690" s="27">
        <f>IF(ISNUMBER($C690),COUNTIFS($A$14:$A$1213,$A690,$C$14:$C$1213,"&gt;"&amp;$C690)+(COUNTIFS($A$14:$A$1213,$A690,$C$14:$C$1213,"="&amp;$C690)+1)/2,"")</f>
        <v/>
      </c>
      <c r="W690" s="27">
        <f>IF(ISNUMBER($F690),COUNTIFS($A$14:$A$1213,$A690,$F$14:$F$1213,"&gt;"&amp;$F690)+(COUNTIFS($A$14:$A$1213,$A690,$F$14:$F$1213,"="&amp;$F690)+1)/2,"")</f>
        <v/>
      </c>
      <c r="X690" s="27">
        <f>IF(OR(NOT(ISNUMBER($V690)),$AO690=1),"",$V690-(COUNTIFS($A$14:$A$1213,$A690,$C$14:$C$1213,"&gt;=0")+1)/2)</f>
        <v/>
      </c>
      <c r="Y690" s="27">
        <f>IF(OR(NOT(ISNUMBER($W690)),$AO690=1),"",$W690-(COUNTIFS($A$14:$A$1213,$A690,$F$14:$F$1213,"&gt;=0")+1)/2)</f>
        <v/>
      </c>
      <c r="Z690" s="27">
        <f>IF(ISNUMBER($V690),$A690&amp;"|"&amp;$V690,"")</f>
        <v/>
      </c>
      <c r="AA690" s="27">
        <f>IF(ISNUMBER($W690),$A690&amp;"|"&amp;$W690,"")</f>
        <v/>
      </c>
      <c r="AB690" s="27">
        <f>IF(ISNUMBER($F690),$A690&amp;"|"&amp;$F690,"")</f>
        <v/>
      </c>
      <c r="AC690" s="27">
        <f>IF(ISNUMBER($P690),COUNTIFS($A$14:$A$1213,$A690,$P$14:$P$1213,"&gt;"&amp;$P690)+(COUNTIFS($A$14:$A$1213,$A690,$P$14:$P$1213,"="&amp;$P690)+1)/2,"")</f>
        <v/>
      </c>
      <c r="AD690" s="27">
        <f>IF(ISNUMBER($Q690),COUNTIFS($A$14:$A$1213,$A690,$Q$14:$Q$1213,"&gt;"&amp;$Q690)+(COUNTIFS($A$14:$A$1213,$A690,$Q$14:$Q$1213,"="&amp;$Q690)+1)/2,"")</f>
        <v/>
      </c>
      <c r="AE690" s="27">
        <f>IF(ISNUMBER($R690),COUNTIFS($A$14:$A$1213,$A690,$R$14:$R$1213,"&gt;"&amp;$R690)+(COUNTIFS($A$14:$A$1213,$A690,$R$14:$R$1213,"="&amp;$R690)+1)/2,"")</f>
        <v/>
      </c>
      <c r="AF690" s="27">
        <f>IF(ISNUMBER($S690),COUNTIFS($A$14:$A$1213,$A690,$S$14:$S$1213,"&gt;"&amp;$S690)+(COUNTIFS($A$14:$A$1213,$A690,$S$14:$S$1213,"="&amp;$S690)+1)/2,"")</f>
        <v/>
      </c>
      <c r="AG690" s="27">
        <f>IF(ISNUMBER($T690),COUNTIFS($A$14:$A$1213,$A690,$T$14:$T$1213,"&gt;"&amp;$T690)+(COUNTIFS($A$14:$A$1213,$A690,$T$14:$T$1213,"="&amp;$T690)+1)/2,"")</f>
        <v/>
      </c>
      <c r="AH690" s="27">
        <f>IF(COUNT($AC690:$AG690)&lt;2,"",IF(MAX($AC690:$AG690)=MIN($AC690:$AG690),0,1))</f>
        <v/>
      </c>
      <c r="AI690" s="27">
        <f>IF($A690="","",IF(COUNTIF($A$14:$A690,$A690)=1,COUNTIF($AI$13:AI689,"&gt;0")+1,""))</f>
        <v/>
      </c>
      <c r="AO690" s="27">
        <f>IF($A690="","",IF(AND(COUNTIFS($A$14:$A$1213,$A690,$F$14:$F$1213,"&gt;=0")=2,IFERROR(INDEX($M$14:$M$313,MATCH($A690,$H$14:$H$313,0)),"Yes")&lt;&gt;"Yes"),1,0))</f>
        <v/>
      </c>
    </row>
    <row r="691">
      <c r="A691" s="19">
        <f>IF('Enter messages'!A691="","",'Enter messages'!A691)</f>
        <v/>
      </c>
      <c r="B691" s="20">
        <f>IF('Enter messages'!B691="","",'Enter messages'!B691)</f>
        <v/>
      </c>
      <c r="C691" s="21">
        <f>IFERROR(AVERAGE(P691:T691),"")</f>
        <v/>
      </c>
      <c r="D691" s="29" t="n"/>
      <c r="E691" s="29" t="n"/>
      <c r="F691" s="30">
        <f>IF(AND(ISNUMBER($D691),ISNUMBER($E691),$E691&gt;0,$D691&lt;=$E691),$D691/$E691,"")</f>
        <v/>
      </c>
      <c r="P691" s="26" t="n"/>
      <c r="Q691" s="26" t="n"/>
      <c r="R691" s="26" t="n"/>
      <c r="S691" s="26" t="n"/>
      <c r="T691" s="26" t="n"/>
      <c r="V691" s="27">
        <f>IF(ISNUMBER($C691),COUNTIFS($A$14:$A$1213,$A691,$C$14:$C$1213,"&gt;"&amp;$C691)+(COUNTIFS($A$14:$A$1213,$A691,$C$14:$C$1213,"="&amp;$C691)+1)/2,"")</f>
        <v/>
      </c>
      <c r="W691" s="27">
        <f>IF(ISNUMBER($F691),COUNTIFS($A$14:$A$1213,$A691,$F$14:$F$1213,"&gt;"&amp;$F691)+(COUNTIFS($A$14:$A$1213,$A691,$F$14:$F$1213,"="&amp;$F691)+1)/2,"")</f>
        <v/>
      </c>
      <c r="X691" s="27">
        <f>IF(OR(NOT(ISNUMBER($V691)),$AO691=1),"",$V691-(COUNTIFS($A$14:$A$1213,$A691,$C$14:$C$1213,"&gt;=0")+1)/2)</f>
        <v/>
      </c>
      <c r="Y691" s="27">
        <f>IF(OR(NOT(ISNUMBER($W691)),$AO691=1),"",$W691-(COUNTIFS($A$14:$A$1213,$A691,$F$14:$F$1213,"&gt;=0")+1)/2)</f>
        <v/>
      </c>
      <c r="Z691" s="27">
        <f>IF(ISNUMBER($V691),$A691&amp;"|"&amp;$V691,"")</f>
        <v/>
      </c>
      <c r="AA691" s="27">
        <f>IF(ISNUMBER($W691),$A691&amp;"|"&amp;$W691,"")</f>
        <v/>
      </c>
      <c r="AB691" s="27">
        <f>IF(ISNUMBER($F691),$A691&amp;"|"&amp;$F691,"")</f>
        <v/>
      </c>
      <c r="AC691" s="27">
        <f>IF(ISNUMBER($P691),COUNTIFS($A$14:$A$1213,$A691,$P$14:$P$1213,"&gt;"&amp;$P691)+(COUNTIFS($A$14:$A$1213,$A691,$P$14:$P$1213,"="&amp;$P691)+1)/2,"")</f>
        <v/>
      </c>
      <c r="AD691" s="27">
        <f>IF(ISNUMBER($Q691),COUNTIFS($A$14:$A$1213,$A691,$Q$14:$Q$1213,"&gt;"&amp;$Q691)+(COUNTIFS($A$14:$A$1213,$A691,$Q$14:$Q$1213,"="&amp;$Q691)+1)/2,"")</f>
        <v/>
      </c>
      <c r="AE691" s="27">
        <f>IF(ISNUMBER($R691),COUNTIFS($A$14:$A$1213,$A691,$R$14:$R$1213,"&gt;"&amp;$R691)+(COUNTIFS($A$14:$A$1213,$A691,$R$14:$R$1213,"="&amp;$R691)+1)/2,"")</f>
        <v/>
      </c>
      <c r="AF691" s="27">
        <f>IF(ISNUMBER($S691),COUNTIFS($A$14:$A$1213,$A691,$S$14:$S$1213,"&gt;"&amp;$S691)+(COUNTIFS($A$14:$A$1213,$A691,$S$14:$S$1213,"="&amp;$S691)+1)/2,"")</f>
        <v/>
      </c>
      <c r="AG691" s="27">
        <f>IF(ISNUMBER($T691),COUNTIFS($A$14:$A$1213,$A691,$T$14:$T$1213,"&gt;"&amp;$T691)+(COUNTIFS($A$14:$A$1213,$A691,$T$14:$T$1213,"="&amp;$T691)+1)/2,"")</f>
        <v/>
      </c>
      <c r="AH691" s="27">
        <f>IF(COUNT($AC691:$AG691)&lt;2,"",IF(MAX($AC691:$AG691)=MIN($AC691:$AG691),0,1))</f>
        <v/>
      </c>
      <c r="AI691" s="27">
        <f>IF($A691="","",IF(COUNTIF($A$14:$A691,$A691)=1,COUNTIF($AI$13:AI690,"&gt;0")+1,""))</f>
        <v/>
      </c>
      <c r="AO691" s="27">
        <f>IF($A691="","",IF(AND(COUNTIFS($A$14:$A$1213,$A691,$F$14:$F$1213,"&gt;=0")=2,IFERROR(INDEX($M$14:$M$313,MATCH($A691,$H$14:$H$313,0)),"Yes")&lt;&gt;"Yes"),1,0))</f>
        <v/>
      </c>
    </row>
    <row r="692">
      <c r="A692" s="19">
        <f>IF('Enter messages'!A692="","",'Enter messages'!A692)</f>
        <v/>
      </c>
      <c r="B692" s="20">
        <f>IF('Enter messages'!B692="","",'Enter messages'!B692)</f>
        <v/>
      </c>
      <c r="C692" s="21">
        <f>IFERROR(AVERAGE(P692:T692),"")</f>
        <v/>
      </c>
      <c r="D692" s="29" t="n"/>
      <c r="E692" s="29" t="n"/>
      <c r="F692" s="30">
        <f>IF(AND(ISNUMBER($D692),ISNUMBER($E692),$E692&gt;0,$D692&lt;=$E692),$D692/$E692,"")</f>
        <v/>
      </c>
      <c r="P692" s="26" t="n"/>
      <c r="Q692" s="26" t="n"/>
      <c r="R692" s="26" t="n"/>
      <c r="S692" s="26" t="n"/>
      <c r="T692" s="26" t="n"/>
      <c r="V692" s="27">
        <f>IF(ISNUMBER($C692),COUNTIFS($A$14:$A$1213,$A692,$C$14:$C$1213,"&gt;"&amp;$C692)+(COUNTIFS($A$14:$A$1213,$A692,$C$14:$C$1213,"="&amp;$C692)+1)/2,"")</f>
        <v/>
      </c>
      <c r="W692" s="27">
        <f>IF(ISNUMBER($F692),COUNTIFS($A$14:$A$1213,$A692,$F$14:$F$1213,"&gt;"&amp;$F692)+(COUNTIFS($A$14:$A$1213,$A692,$F$14:$F$1213,"="&amp;$F692)+1)/2,"")</f>
        <v/>
      </c>
      <c r="X692" s="27">
        <f>IF(OR(NOT(ISNUMBER($V692)),$AO692=1),"",$V692-(COUNTIFS($A$14:$A$1213,$A692,$C$14:$C$1213,"&gt;=0")+1)/2)</f>
        <v/>
      </c>
      <c r="Y692" s="27">
        <f>IF(OR(NOT(ISNUMBER($W692)),$AO692=1),"",$W692-(COUNTIFS($A$14:$A$1213,$A692,$F$14:$F$1213,"&gt;=0")+1)/2)</f>
        <v/>
      </c>
      <c r="Z692" s="27">
        <f>IF(ISNUMBER($V692),$A692&amp;"|"&amp;$V692,"")</f>
        <v/>
      </c>
      <c r="AA692" s="27">
        <f>IF(ISNUMBER($W692),$A692&amp;"|"&amp;$W692,"")</f>
        <v/>
      </c>
      <c r="AB692" s="27">
        <f>IF(ISNUMBER($F692),$A692&amp;"|"&amp;$F692,"")</f>
        <v/>
      </c>
      <c r="AC692" s="27">
        <f>IF(ISNUMBER($P692),COUNTIFS($A$14:$A$1213,$A692,$P$14:$P$1213,"&gt;"&amp;$P692)+(COUNTIFS($A$14:$A$1213,$A692,$P$14:$P$1213,"="&amp;$P692)+1)/2,"")</f>
        <v/>
      </c>
      <c r="AD692" s="27">
        <f>IF(ISNUMBER($Q692),COUNTIFS($A$14:$A$1213,$A692,$Q$14:$Q$1213,"&gt;"&amp;$Q692)+(COUNTIFS($A$14:$A$1213,$A692,$Q$14:$Q$1213,"="&amp;$Q692)+1)/2,"")</f>
        <v/>
      </c>
      <c r="AE692" s="27">
        <f>IF(ISNUMBER($R692),COUNTIFS($A$14:$A$1213,$A692,$R$14:$R$1213,"&gt;"&amp;$R692)+(COUNTIFS($A$14:$A$1213,$A692,$R$14:$R$1213,"="&amp;$R692)+1)/2,"")</f>
        <v/>
      </c>
      <c r="AF692" s="27">
        <f>IF(ISNUMBER($S692),COUNTIFS($A$14:$A$1213,$A692,$S$14:$S$1213,"&gt;"&amp;$S692)+(COUNTIFS($A$14:$A$1213,$A692,$S$14:$S$1213,"="&amp;$S692)+1)/2,"")</f>
        <v/>
      </c>
      <c r="AG692" s="27">
        <f>IF(ISNUMBER($T692),COUNTIFS($A$14:$A$1213,$A692,$T$14:$T$1213,"&gt;"&amp;$T692)+(COUNTIFS($A$14:$A$1213,$A692,$T$14:$T$1213,"="&amp;$T692)+1)/2,"")</f>
        <v/>
      </c>
      <c r="AH692" s="27">
        <f>IF(COUNT($AC692:$AG692)&lt;2,"",IF(MAX($AC692:$AG692)=MIN($AC692:$AG692),0,1))</f>
        <v/>
      </c>
      <c r="AI692" s="27">
        <f>IF($A692="","",IF(COUNTIF($A$14:$A692,$A692)=1,COUNTIF($AI$13:AI691,"&gt;0")+1,""))</f>
        <v/>
      </c>
      <c r="AO692" s="27">
        <f>IF($A692="","",IF(AND(COUNTIFS($A$14:$A$1213,$A692,$F$14:$F$1213,"&gt;=0")=2,IFERROR(INDEX($M$14:$M$313,MATCH($A692,$H$14:$H$313,0)),"Yes")&lt;&gt;"Yes"),1,0))</f>
        <v/>
      </c>
    </row>
    <row r="693">
      <c r="A693" s="19">
        <f>IF('Enter messages'!A693="","",'Enter messages'!A693)</f>
        <v/>
      </c>
      <c r="B693" s="20">
        <f>IF('Enter messages'!B693="","",'Enter messages'!B693)</f>
        <v/>
      </c>
      <c r="C693" s="21">
        <f>IFERROR(AVERAGE(P693:T693),"")</f>
        <v/>
      </c>
      <c r="D693" s="29" t="n"/>
      <c r="E693" s="29" t="n"/>
      <c r="F693" s="30">
        <f>IF(AND(ISNUMBER($D693),ISNUMBER($E693),$E693&gt;0,$D693&lt;=$E693),$D693/$E693,"")</f>
        <v/>
      </c>
      <c r="P693" s="26" t="n"/>
      <c r="Q693" s="26" t="n"/>
      <c r="R693" s="26" t="n"/>
      <c r="S693" s="26" t="n"/>
      <c r="T693" s="26" t="n"/>
      <c r="V693" s="27">
        <f>IF(ISNUMBER($C693),COUNTIFS($A$14:$A$1213,$A693,$C$14:$C$1213,"&gt;"&amp;$C693)+(COUNTIFS($A$14:$A$1213,$A693,$C$14:$C$1213,"="&amp;$C693)+1)/2,"")</f>
        <v/>
      </c>
      <c r="W693" s="27">
        <f>IF(ISNUMBER($F693),COUNTIFS($A$14:$A$1213,$A693,$F$14:$F$1213,"&gt;"&amp;$F693)+(COUNTIFS($A$14:$A$1213,$A693,$F$14:$F$1213,"="&amp;$F693)+1)/2,"")</f>
        <v/>
      </c>
      <c r="X693" s="27">
        <f>IF(OR(NOT(ISNUMBER($V693)),$AO693=1),"",$V693-(COUNTIFS($A$14:$A$1213,$A693,$C$14:$C$1213,"&gt;=0")+1)/2)</f>
        <v/>
      </c>
      <c r="Y693" s="27">
        <f>IF(OR(NOT(ISNUMBER($W693)),$AO693=1),"",$W693-(COUNTIFS($A$14:$A$1213,$A693,$F$14:$F$1213,"&gt;=0")+1)/2)</f>
        <v/>
      </c>
      <c r="Z693" s="27">
        <f>IF(ISNUMBER($V693),$A693&amp;"|"&amp;$V693,"")</f>
        <v/>
      </c>
      <c r="AA693" s="27">
        <f>IF(ISNUMBER($W693),$A693&amp;"|"&amp;$W693,"")</f>
        <v/>
      </c>
      <c r="AB693" s="27">
        <f>IF(ISNUMBER($F693),$A693&amp;"|"&amp;$F693,"")</f>
        <v/>
      </c>
      <c r="AC693" s="27">
        <f>IF(ISNUMBER($P693),COUNTIFS($A$14:$A$1213,$A693,$P$14:$P$1213,"&gt;"&amp;$P693)+(COUNTIFS($A$14:$A$1213,$A693,$P$14:$P$1213,"="&amp;$P693)+1)/2,"")</f>
        <v/>
      </c>
      <c r="AD693" s="27">
        <f>IF(ISNUMBER($Q693),COUNTIFS($A$14:$A$1213,$A693,$Q$14:$Q$1213,"&gt;"&amp;$Q693)+(COUNTIFS($A$14:$A$1213,$A693,$Q$14:$Q$1213,"="&amp;$Q693)+1)/2,"")</f>
        <v/>
      </c>
      <c r="AE693" s="27">
        <f>IF(ISNUMBER($R693),COUNTIFS($A$14:$A$1213,$A693,$R$14:$R$1213,"&gt;"&amp;$R693)+(COUNTIFS($A$14:$A$1213,$A693,$R$14:$R$1213,"="&amp;$R693)+1)/2,"")</f>
        <v/>
      </c>
      <c r="AF693" s="27">
        <f>IF(ISNUMBER($S693),COUNTIFS($A$14:$A$1213,$A693,$S$14:$S$1213,"&gt;"&amp;$S693)+(COUNTIFS($A$14:$A$1213,$A693,$S$14:$S$1213,"="&amp;$S693)+1)/2,"")</f>
        <v/>
      </c>
      <c r="AG693" s="27">
        <f>IF(ISNUMBER($T693),COUNTIFS($A$14:$A$1213,$A693,$T$14:$T$1213,"&gt;"&amp;$T693)+(COUNTIFS($A$14:$A$1213,$A693,$T$14:$T$1213,"="&amp;$T693)+1)/2,"")</f>
        <v/>
      </c>
      <c r="AH693" s="27">
        <f>IF(COUNT($AC693:$AG693)&lt;2,"",IF(MAX($AC693:$AG693)=MIN($AC693:$AG693),0,1))</f>
        <v/>
      </c>
      <c r="AI693" s="27">
        <f>IF($A693="","",IF(COUNTIF($A$14:$A693,$A693)=1,COUNTIF($AI$13:AI692,"&gt;0")+1,""))</f>
        <v/>
      </c>
      <c r="AO693" s="27">
        <f>IF($A693="","",IF(AND(COUNTIFS($A$14:$A$1213,$A693,$F$14:$F$1213,"&gt;=0")=2,IFERROR(INDEX($M$14:$M$313,MATCH($A693,$H$14:$H$313,0)),"Yes")&lt;&gt;"Yes"),1,0))</f>
        <v/>
      </c>
    </row>
    <row r="694">
      <c r="A694" s="19">
        <f>IF('Enter messages'!A694="","",'Enter messages'!A694)</f>
        <v/>
      </c>
      <c r="B694" s="20">
        <f>IF('Enter messages'!B694="","",'Enter messages'!B694)</f>
        <v/>
      </c>
      <c r="C694" s="21">
        <f>IFERROR(AVERAGE(P694:T694),"")</f>
        <v/>
      </c>
      <c r="D694" s="29" t="n"/>
      <c r="E694" s="29" t="n"/>
      <c r="F694" s="30">
        <f>IF(AND(ISNUMBER($D694),ISNUMBER($E694),$E694&gt;0,$D694&lt;=$E694),$D694/$E694,"")</f>
        <v/>
      </c>
      <c r="P694" s="26" t="n"/>
      <c r="Q694" s="26" t="n"/>
      <c r="R694" s="26" t="n"/>
      <c r="S694" s="26" t="n"/>
      <c r="T694" s="26" t="n"/>
      <c r="V694" s="27">
        <f>IF(ISNUMBER($C694),COUNTIFS($A$14:$A$1213,$A694,$C$14:$C$1213,"&gt;"&amp;$C694)+(COUNTIFS($A$14:$A$1213,$A694,$C$14:$C$1213,"="&amp;$C694)+1)/2,"")</f>
        <v/>
      </c>
      <c r="W694" s="27">
        <f>IF(ISNUMBER($F694),COUNTIFS($A$14:$A$1213,$A694,$F$14:$F$1213,"&gt;"&amp;$F694)+(COUNTIFS($A$14:$A$1213,$A694,$F$14:$F$1213,"="&amp;$F694)+1)/2,"")</f>
        <v/>
      </c>
      <c r="X694" s="27">
        <f>IF(OR(NOT(ISNUMBER($V694)),$AO694=1),"",$V694-(COUNTIFS($A$14:$A$1213,$A694,$C$14:$C$1213,"&gt;=0")+1)/2)</f>
        <v/>
      </c>
      <c r="Y694" s="27">
        <f>IF(OR(NOT(ISNUMBER($W694)),$AO694=1),"",$W694-(COUNTIFS($A$14:$A$1213,$A694,$F$14:$F$1213,"&gt;=0")+1)/2)</f>
        <v/>
      </c>
      <c r="Z694" s="27">
        <f>IF(ISNUMBER($V694),$A694&amp;"|"&amp;$V694,"")</f>
        <v/>
      </c>
      <c r="AA694" s="27">
        <f>IF(ISNUMBER($W694),$A694&amp;"|"&amp;$W694,"")</f>
        <v/>
      </c>
      <c r="AB694" s="27">
        <f>IF(ISNUMBER($F694),$A694&amp;"|"&amp;$F694,"")</f>
        <v/>
      </c>
      <c r="AC694" s="27">
        <f>IF(ISNUMBER($P694),COUNTIFS($A$14:$A$1213,$A694,$P$14:$P$1213,"&gt;"&amp;$P694)+(COUNTIFS($A$14:$A$1213,$A694,$P$14:$P$1213,"="&amp;$P694)+1)/2,"")</f>
        <v/>
      </c>
      <c r="AD694" s="27">
        <f>IF(ISNUMBER($Q694),COUNTIFS($A$14:$A$1213,$A694,$Q$14:$Q$1213,"&gt;"&amp;$Q694)+(COUNTIFS($A$14:$A$1213,$A694,$Q$14:$Q$1213,"="&amp;$Q694)+1)/2,"")</f>
        <v/>
      </c>
      <c r="AE694" s="27">
        <f>IF(ISNUMBER($R694),COUNTIFS($A$14:$A$1213,$A694,$R$14:$R$1213,"&gt;"&amp;$R694)+(COUNTIFS($A$14:$A$1213,$A694,$R$14:$R$1213,"="&amp;$R694)+1)/2,"")</f>
        <v/>
      </c>
      <c r="AF694" s="27">
        <f>IF(ISNUMBER($S694),COUNTIFS($A$14:$A$1213,$A694,$S$14:$S$1213,"&gt;"&amp;$S694)+(COUNTIFS($A$14:$A$1213,$A694,$S$14:$S$1213,"="&amp;$S694)+1)/2,"")</f>
        <v/>
      </c>
      <c r="AG694" s="27">
        <f>IF(ISNUMBER($T694),COUNTIFS($A$14:$A$1213,$A694,$T$14:$T$1213,"&gt;"&amp;$T694)+(COUNTIFS($A$14:$A$1213,$A694,$T$14:$T$1213,"="&amp;$T694)+1)/2,"")</f>
        <v/>
      </c>
      <c r="AH694" s="27">
        <f>IF(COUNT($AC694:$AG694)&lt;2,"",IF(MAX($AC694:$AG694)=MIN($AC694:$AG694),0,1))</f>
        <v/>
      </c>
      <c r="AI694" s="27">
        <f>IF($A694="","",IF(COUNTIF($A$14:$A694,$A694)=1,COUNTIF($AI$13:AI693,"&gt;0")+1,""))</f>
        <v/>
      </c>
      <c r="AO694" s="27">
        <f>IF($A694="","",IF(AND(COUNTIFS($A$14:$A$1213,$A694,$F$14:$F$1213,"&gt;=0")=2,IFERROR(INDEX($M$14:$M$313,MATCH($A694,$H$14:$H$313,0)),"Yes")&lt;&gt;"Yes"),1,0))</f>
        <v/>
      </c>
    </row>
    <row r="695">
      <c r="A695" s="19">
        <f>IF('Enter messages'!A695="","",'Enter messages'!A695)</f>
        <v/>
      </c>
      <c r="B695" s="20">
        <f>IF('Enter messages'!B695="","",'Enter messages'!B695)</f>
        <v/>
      </c>
      <c r="C695" s="21">
        <f>IFERROR(AVERAGE(P695:T695),"")</f>
        <v/>
      </c>
      <c r="D695" s="29" t="n"/>
      <c r="E695" s="29" t="n"/>
      <c r="F695" s="30">
        <f>IF(AND(ISNUMBER($D695),ISNUMBER($E695),$E695&gt;0,$D695&lt;=$E695),$D695/$E695,"")</f>
        <v/>
      </c>
      <c r="P695" s="26" t="n"/>
      <c r="Q695" s="26" t="n"/>
      <c r="R695" s="26" t="n"/>
      <c r="S695" s="26" t="n"/>
      <c r="T695" s="26" t="n"/>
      <c r="V695" s="27">
        <f>IF(ISNUMBER($C695),COUNTIFS($A$14:$A$1213,$A695,$C$14:$C$1213,"&gt;"&amp;$C695)+(COUNTIFS($A$14:$A$1213,$A695,$C$14:$C$1213,"="&amp;$C695)+1)/2,"")</f>
        <v/>
      </c>
      <c r="W695" s="27">
        <f>IF(ISNUMBER($F695),COUNTIFS($A$14:$A$1213,$A695,$F$14:$F$1213,"&gt;"&amp;$F695)+(COUNTIFS($A$14:$A$1213,$A695,$F$14:$F$1213,"="&amp;$F695)+1)/2,"")</f>
        <v/>
      </c>
      <c r="X695" s="27">
        <f>IF(OR(NOT(ISNUMBER($V695)),$AO695=1),"",$V695-(COUNTIFS($A$14:$A$1213,$A695,$C$14:$C$1213,"&gt;=0")+1)/2)</f>
        <v/>
      </c>
      <c r="Y695" s="27">
        <f>IF(OR(NOT(ISNUMBER($W695)),$AO695=1),"",$W695-(COUNTIFS($A$14:$A$1213,$A695,$F$14:$F$1213,"&gt;=0")+1)/2)</f>
        <v/>
      </c>
      <c r="Z695" s="27">
        <f>IF(ISNUMBER($V695),$A695&amp;"|"&amp;$V695,"")</f>
        <v/>
      </c>
      <c r="AA695" s="27">
        <f>IF(ISNUMBER($W695),$A695&amp;"|"&amp;$W695,"")</f>
        <v/>
      </c>
      <c r="AB695" s="27">
        <f>IF(ISNUMBER($F695),$A695&amp;"|"&amp;$F695,"")</f>
        <v/>
      </c>
      <c r="AC695" s="27">
        <f>IF(ISNUMBER($P695),COUNTIFS($A$14:$A$1213,$A695,$P$14:$P$1213,"&gt;"&amp;$P695)+(COUNTIFS($A$14:$A$1213,$A695,$P$14:$P$1213,"="&amp;$P695)+1)/2,"")</f>
        <v/>
      </c>
      <c r="AD695" s="27">
        <f>IF(ISNUMBER($Q695),COUNTIFS($A$14:$A$1213,$A695,$Q$14:$Q$1213,"&gt;"&amp;$Q695)+(COUNTIFS($A$14:$A$1213,$A695,$Q$14:$Q$1213,"="&amp;$Q695)+1)/2,"")</f>
        <v/>
      </c>
      <c r="AE695" s="27">
        <f>IF(ISNUMBER($R695),COUNTIFS($A$14:$A$1213,$A695,$R$14:$R$1213,"&gt;"&amp;$R695)+(COUNTIFS($A$14:$A$1213,$A695,$R$14:$R$1213,"="&amp;$R695)+1)/2,"")</f>
        <v/>
      </c>
      <c r="AF695" s="27">
        <f>IF(ISNUMBER($S695),COUNTIFS($A$14:$A$1213,$A695,$S$14:$S$1213,"&gt;"&amp;$S695)+(COUNTIFS($A$14:$A$1213,$A695,$S$14:$S$1213,"="&amp;$S695)+1)/2,"")</f>
        <v/>
      </c>
      <c r="AG695" s="27">
        <f>IF(ISNUMBER($T695),COUNTIFS($A$14:$A$1213,$A695,$T$14:$T$1213,"&gt;"&amp;$T695)+(COUNTIFS($A$14:$A$1213,$A695,$T$14:$T$1213,"="&amp;$T695)+1)/2,"")</f>
        <v/>
      </c>
      <c r="AH695" s="27">
        <f>IF(COUNT($AC695:$AG695)&lt;2,"",IF(MAX($AC695:$AG695)=MIN($AC695:$AG695),0,1))</f>
        <v/>
      </c>
      <c r="AI695" s="27">
        <f>IF($A695="","",IF(COUNTIF($A$14:$A695,$A695)=1,COUNTIF($AI$13:AI694,"&gt;0")+1,""))</f>
        <v/>
      </c>
      <c r="AO695" s="27">
        <f>IF($A695="","",IF(AND(COUNTIFS($A$14:$A$1213,$A695,$F$14:$F$1213,"&gt;=0")=2,IFERROR(INDEX($M$14:$M$313,MATCH($A695,$H$14:$H$313,0)),"Yes")&lt;&gt;"Yes"),1,0))</f>
        <v/>
      </c>
    </row>
    <row r="696">
      <c r="A696" s="19">
        <f>IF('Enter messages'!A696="","",'Enter messages'!A696)</f>
        <v/>
      </c>
      <c r="B696" s="20">
        <f>IF('Enter messages'!B696="","",'Enter messages'!B696)</f>
        <v/>
      </c>
      <c r="C696" s="21">
        <f>IFERROR(AVERAGE(P696:T696),"")</f>
        <v/>
      </c>
      <c r="D696" s="29" t="n"/>
      <c r="E696" s="29" t="n"/>
      <c r="F696" s="30">
        <f>IF(AND(ISNUMBER($D696),ISNUMBER($E696),$E696&gt;0,$D696&lt;=$E696),$D696/$E696,"")</f>
        <v/>
      </c>
      <c r="P696" s="26" t="n"/>
      <c r="Q696" s="26" t="n"/>
      <c r="R696" s="26" t="n"/>
      <c r="S696" s="26" t="n"/>
      <c r="T696" s="26" t="n"/>
      <c r="V696" s="27">
        <f>IF(ISNUMBER($C696),COUNTIFS($A$14:$A$1213,$A696,$C$14:$C$1213,"&gt;"&amp;$C696)+(COUNTIFS($A$14:$A$1213,$A696,$C$14:$C$1213,"="&amp;$C696)+1)/2,"")</f>
        <v/>
      </c>
      <c r="W696" s="27">
        <f>IF(ISNUMBER($F696),COUNTIFS($A$14:$A$1213,$A696,$F$14:$F$1213,"&gt;"&amp;$F696)+(COUNTIFS($A$14:$A$1213,$A696,$F$14:$F$1213,"="&amp;$F696)+1)/2,"")</f>
        <v/>
      </c>
      <c r="X696" s="27">
        <f>IF(OR(NOT(ISNUMBER($V696)),$AO696=1),"",$V696-(COUNTIFS($A$14:$A$1213,$A696,$C$14:$C$1213,"&gt;=0")+1)/2)</f>
        <v/>
      </c>
      <c r="Y696" s="27">
        <f>IF(OR(NOT(ISNUMBER($W696)),$AO696=1),"",$W696-(COUNTIFS($A$14:$A$1213,$A696,$F$14:$F$1213,"&gt;=0")+1)/2)</f>
        <v/>
      </c>
      <c r="Z696" s="27">
        <f>IF(ISNUMBER($V696),$A696&amp;"|"&amp;$V696,"")</f>
        <v/>
      </c>
      <c r="AA696" s="27">
        <f>IF(ISNUMBER($W696),$A696&amp;"|"&amp;$W696,"")</f>
        <v/>
      </c>
      <c r="AB696" s="27">
        <f>IF(ISNUMBER($F696),$A696&amp;"|"&amp;$F696,"")</f>
        <v/>
      </c>
      <c r="AC696" s="27">
        <f>IF(ISNUMBER($P696),COUNTIFS($A$14:$A$1213,$A696,$P$14:$P$1213,"&gt;"&amp;$P696)+(COUNTIFS($A$14:$A$1213,$A696,$P$14:$P$1213,"="&amp;$P696)+1)/2,"")</f>
        <v/>
      </c>
      <c r="AD696" s="27">
        <f>IF(ISNUMBER($Q696),COUNTIFS($A$14:$A$1213,$A696,$Q$14:$Q$1213,"&gt;"&amp;$Q696)+(COUNTIFS($A$14:$A$1213,$A696,$Q$14:$Q$1213,"="&amp;$Q696)+1)/2,"")</f>
        <v/>
      </c>
      <c r="AE696" s="27">
        <f>IF(ISNUMBER($R696),COUNTIFS($A$14:$A$1213,$A696,$R$14:$R$1213,"&gt;"&amp;$R696)+(COUNTIFS($A$14:$A$1213,$A696,$R$14:$R$1213,"="&amp;$R696)+1)/2,"")</f>
        <v/>
      </c>
      <c r="AF696" s="27">
        <f>IF(ISNUMBER($S696),COUNTIFS($A$14:$A$1213,$A696,$S$14:$S$1213,"&gt;"&amp;$S696)+(COUNTIFS($A$14:$A$1213,$A696,$S$14:$S$1213,"="&amp;$S696)+1)/2,"")</f>
        <v/>
      </c>
      <c r="AG696" s="27">
        <f>IF(ISNUMBER($T696),COUNTIFS($A$14:$A$1213,$A696,$T$14:$T$1213,"&gt;"&amp;$T696)+(COUNTIFS($A$14:$A$1213,$A696,$T$14:$T$1213,"="&amp;$T696)+1)/2,"")</f>
        <v/>
      </c>
      <c r="AH696" s="27">
        <f>IF(COUNT($AC696:$AG696)&lt;2,"",IF(MAX($AC696:$AG696)=MIN($AC696:$AG696),0,1))</f>
        <v/>
      </c>
      <c r="AI696" s="27">
        <f>IF($A696="","",IF(COUNTIF($A$14:$A696,$A696)=1,COUNTIF($AI$13:AI695,"&gt;0")+1,""))</f>
        <v/>
      </c>
      <c r="AO696" s="27">
        <f>IF($A696="","",IF(AND(COUNTIFS($A$14:$A$1213,$A696,$F$14:$F$1213,"&gt;=0")=2,IFERROR(INDEX($M$14:$M$313,MATCH($A696,$H$14:$H$313,0)),"Yes")&lt;&gt;"Yes"),1,0))</f>
        <v/>
      </c>
    </row>
    <row r="697">
      <c r="A697" s="19">
        <f>IF('Enter messages'!A697="","",'Enter messages'!A697)</f>
        <v/>
      </c>
      <c r="B697" s="20">
        <f>IF('Enter messages'!B697="","",'Enter messages'!B697)</f>
        <v/>
      </c>
      <c r="C697" s="21">
        <f>IFERROR(AVERAGE(P697:T697),"")</f>
        <v/>
      </c>
      <c r="D697" s="29" t="n"/>
      <c r="E697" s="29" t="n"/>
      <c r="F697" s="30">
        <f>IF(AND(ISNUMBER($D697),ISNUMBER($E697),$E697&gt;0,$D697&lt;=$E697),$D697/$E697,"")</f>
        <v/>
      </c>
      <c r="P697" s="26" t="n"/>
      <c r="Q697" s="26" t="n"/>
      <c r="R697" s="26" t="n"/>
      <c r="S697" s="26" t="n"/>
      <c r="T697" s="26" t="n"/>
      <c r="V697" s="27">
        <f>IF(ISNUMBER($C697),COUNTIFS($A$14:$A$1213,$A697,$C$14:$C$1213,"&gt;"&amp;$C697)+(COUNTIFS($A$14:$A$1213,$A697,$C$14:$C$1213,"="&amp;$C697)+1)/2,"")</f>
        <v/>
      </c>
      <c r="W697" s="27">
        <f>IF(ISNUMBER($F697),COUNTIFS($A$14:$A$1213,$A697,$F$14:$F$1213,"&gt;"&amp;$F697)+(COUNTIFS($A$14:$A$1213,$A697,$F$14:$F$1213,"="&amp;$F697)+1)/2,"")</f>
        <v/>
      </c>
      <c r="X697" s="27">
        <f>IF(OR(NOT(ISNUMBER($V697)),$AO697=1),"",$V697-(COUNTIFS($A$14:$A$1213,$A697,$C$14:$C$1213,"&gt;=0")+1)/2)</f>
        <v/>
      </c>
      <c r="Y697" s="27">
        <f>IF(OR(NOT(ISNUMBER($W697)),$AO697=1),"",$W697-(COUNTIFS($A$14:$A$1213,$A697,$F$14:$F$1213,"&gt;=0")+1)/2)</f>
        <v/>
      </c>
      <c r="Z697" s="27">
        <f>IF(ISNUMBER($V697),$A697&amp;"|"&amp;$V697,"")</f>
        <v/>
      </c>
      <c r="AA697" s="27">
        <f>IF(ISNUMBER($W697),$A697&amp;"|"&amp;$W697,"")</f>
        <v/>
      </c>
      <c r="AB697" s="27">
        <f>IF(ISNUMBER($F697),$A697&amp;"|"&amp;$F697,"")</f>
        <v/>
      </c>
      <c r="AC697" s="27">
        <f>IF(ISNUMBER($P697),COUNTIFS($A$14:$A$1213,$A697,$P$14:$P$1213,"&gt;"&amp;$P697)+(COUNTIFS($A$14:$A$1213,$A697,$P$14:$P$1213,"="&amp;$P697)+1)/2,"")</f>
        <v/>
      </c>
      <c r="AD697" s="27">
        <f>IF(ISNUMBER($Q697),COUNTIFS($A$14:$A$1213,$A697,$Q$14:$Q$1213,"&gt;"&amp;$Q697)+(COUNTIFS($A$14:$A$1213,$A697,$Q$14:$Q$1213,"="&amp;$Q697)+1)/2,"")</f>
        <v/>
      </c>
      <c r="AE697" s="27">
        <f>IF(ISNUMBER($R697),COUNTIFS($A$14:$A$1213,$A697,$R$14:$R$1213,"&gt;"&amp;$R697)+(COUNTIFS($A$14:$A$1213,$A697,$R$14:$R$1213,"="&amp;$R697)+1)/2,"")</f>
        <v/>
      </c>
      <c r="AF697" s="27">
        <f>IF(ISNUMBER($S697),COUNTIFS($A$14:$A$1213,$A697,$S$14:$S$1213,"&gt;"&amp;$S697)+(COUNTIFS($A$14:$A$1213,$A697,$S$14:$S$1213,"="&amp;$S697)+1)/2,"")</f>
        <v/>
      </c>
      <c r="AG697" s="27">
        <f>IF(ISNUMBER($T697),COUNTIFS($A$14:$A$1213,$A697,$T$14:$T$1213,"&gt;"&amp;$T697)+(COUNTIFS($A$14:$A$1213,$A697,$T$14:$T$1213,"="&amp;$T697)+1)/2,"")</f>
        <v/>
      </c>
      <c r="AH697" s="27">
        <f>IF(COUNT($AC697:$AG697)&lt;2,"",IF(MAX($AC697:$AG697)=MIN($AC697:$AG697),0,1))</f>
        <v/>
      </c>
      <c r="AI697" s="27">
        <f>IF($A697="","",IF(COUNTIF($A$14:$A697,$A697)=1,COUNTIF($AI$13:AI696,"&gt;0")+1,""))</f>
        <v/>
      </c>
      <c r="AO697" s="27">
        <f>IF($A697="","",IF(AND(COUNTIFS($A$14:$A$1213,$A697,$F$14:$F$1213,"&gt;=0")=2,IFERROR(INDEX($M$14:$M$313,MATCH($A697,$H$14:$H$313,0)),"Yes")&lt;&gt;"Yes"),1,0))</f>
        <v/>
      </c>
    </row>
    <row r="698">
      <c r="A698" s="19">
        <f>IF('Enter messages'!A698="","",'Enter messages'!A698)</f>
        <v/>
      </c>
      <c r="B698" s="20">
        <f>IF('Enter messages'!B698="","",'Enter messages'!B698)</f>
        <v/>
      </c>
      <c r="C698" s="21">
        <f>IFERROR(AVERAGE(P698:T698),"")</f>
        <v/>
      </c>
      <c r="D698" s="29" t="n"/>
      <c r="E698" s="29" t="n"/>
      <c r="F698" s="30">
        <f>IF(AND(ISNUMBER($D698),ISNUMBER($E698),$E698&gt;0,$D698&lt;=$E698),$D698/$E698,"")</f>
        <v/>
      </c>
      <c r="P698" s="26" t="n"/>
      <c r="Q698" s="26" t="n"/>
      <c r="R698" s="26" t="n"/>
      <c r="S698" s="26" t="n"/>
      <c r="T698" s="26" t="n"/>
      <c r="V698" s="27">
        <f>IF(ISNUMBER($C698),COUNTIFS($A$14:$A$1213,$A698,$C$14:$C$1213,"&gt;"&amp;$C698)+(COUNTIFS($A$14:$A$1213,$A698,$C$14:$C$1213,"="&amp;$C698)+1)/2,"")</f>
        <v/>
      </c>
      <c r="W698" s="27">
        <f>IF(ISNUMBER($F698),COUNTIFS($A$14:$A$1213,$A698,$F$14:$F$1213,"&gt;"&amp;$F698)+(COUNTIFS($A$14:$A$1213,$A698,$F$14:$F$1213,"="&amp;$F698)+1)/2,"")</f>
        <v/>
      </c>
      <c r="X698" s="27">
        <f>IF(OR(NOT(ISNUMBER($V698)),$AO698=1),"",$V698-(COUNTIFS($A$14:$A$1213,$A698,$C$14:$C$1213,"&gt;=0")+1)/2)</f>
        <v/>
      </c>
      <c r="Y698" s="27">
        <f>IF(OR(NOT(ISNUMBER($W698)),$AO698=1),"",$W698-(COUNTIFS($A$14:$A$1213,$A698,$F$14:$F$1213,"&gt;=0")+1)/2)</f>
        <v/>
      </c>
      <c r="Z698" s="27">
        <f>IF(ISNUMBER($V698),$A698&amp;"|"&amp;$V698,"")</f>
        <v/>
      </c>
      <c r="AA698" s="27">
        <f>IF(ISNUMBER($W698),$A698&amp;"|"&amp;$W698,"")</f>
        <v/>
      </c>
      <c r="AB698" s="27">
        <f>IF(ISNUMBER($F698),$A698&amp;"|"&amp;$F698,"")</f>
        <v/>
      </c>
      <c r="AC698" s="27">
        <f>IF(ISNUMBER($P698),COUNTIFS($A$14:$A$1213,$A698,$P$14:$P$1213,"&gt;"&amp;$P698)+(COUNTIFS($A$14:$A$1213,$A698,$P$14:$P$1213,"="&amp;$P698)+1)/2,"")</f>
        <v/>
      </c>
      <c r="AD698" s="27">
        <f>IF(ISNUMBER($Q698),COUNTIFS($A$14:$A$1213,$A698,$Q$14:$Q$1213,"&gt;"&amp;$Q698)+(COUNTIFS($A$14:$A$1213,$A698,$Q$14:$Q$1213,"="&amp;$Q698)+1)/2,"")</f>
        <v/>
      </c>
      <c r="AE698" s="27">
        <f>IF(ISNUMBER($R698),COUNTIFS($A$14:$A$1213,$A698,$R$14:$R$1213,"&gt;"&amp;$R698)+(COUNTIFS($A$14:$A$1213,$A698,$R$14:$R$1213,"="&amp;$R698)+1)/2,"")</f>
        <v/>
      </c>
      <c r="AF698" s="27">
        <f>IF(ISNUMBER($S698),COUNTIFS($A$14:$A$1213,$A698,$S$14:$S$1213,"&gt;"&amp;$S698)+(COUNTIFS($A$14:$A$1213,$A698,$S$14:$S$1213,"="&amp;$S698)+1)/2,"")</f>
        <v/>
      </c>
      <c r="AG698" s="27">
        <f>IF(ISNUMBER($T698),COUNTIFS($A$14:$A$1213,$A698,$T$14:$T$1213,"&gt;"&amp;$T698)+(COUNTIFS($A$14:$A$1213,$A698,$T$14:$T$1213,"="&amp;$T698)+1)/2,"")</f>
        <v/>
      </c>
      <c r="AH698" s="27">
        <f>IF(COUNT($AC698:$AG698)&lt;2,"",IF(MAX($AC698:$AG698)=MIN($AC698:$AG698),0,1))</f>
        <v/>
      </c>
      <c r="AI698" s="27">
        <f>IF($A698="","",IF(COUNTIF($A$14:$A698,$A698)=1,COUNTIF($AI$13:AI697,"&gt;0")+1,""))</f>
        <v/>
      </c>
      <c r="AO698" s="27">
        <f>IF($A698="","",IF(AND(COUNTIFS($A$14:$A$1213,$A698,$F$14:$F$1213,"&gt;=0")=2,IFERROR(INDEX($M$14:$M$313,MATCH($A698,$H$14:$H$313,0)),"Yes")&lt;&gt;"Yes"),1,0))</f>
        <v/>
      </c>
    </row>
    <row r="699">
      <c r="A699" s="19">
        <f>IF('Enter messages'!A699="","",'Enter messages'!A699)</f>
        <v/>
      </c>
      <c r="B699" s="20">
        <f>IF('Enter messages'!B699="","",'Enter messages'!B699)</f>
        <v/>
      </c>
      <c r="C699" s="21">
        <f>IFERROR(AVERAGE(P699:T699),"")</f>
        <v/>
      </c>
      <c r="D699" s="29" t="n"/>
      <c r="E699" s="29" t="n"/>
      <c r="F699" s="30">
        <f>IF(AND(ISNUMBER($D699),ISNUMBER($E699),$E699&gt;0,$D699&lt;=$E699),$D699/$E699,"")</f>
        <v/>
      </c>
      <c r="P699" s="26" t="n"/>
      <c r="Q699" s="26" t="n"/>
      <c r="R699" s="26" t="n"/>
      <c r="S699" s="26" t="n"/>
      <c r="T699" s="26" t="n"/>
      <c r="V699" s="27">
        <f>IF(ISNUMBER($C699),COUNTIFS($A$14:$A$1213,$A699,$C$14:$C$1213,"&gt;"&amp;$C699)+(COUNTIFS($A$14:$A$1213,$A699,$C$14:$C$1213,"="&amp;$C699)+1)/2,"")</f>
        <v/>
      </c>
      <c r="W699" s="27">
        <f>IF(ISNUMBER($F699),COUNTIFS($A$14:$A$1213,$A699,$F$14:$F$1213,"&gt;"&amp;$F699)+(COUNTIFS($A$14:$A$1213,$A699,$F$14:$F$1213,"="&amp;$F699)+1)/2,"")</f>
        <v/>
      </c>
      <c r="X699" s="27">
        <f>IF(OR(NOT(ISNUMBER($V699)),$AO699=1),"",$V699-(COUNTIFS($A$14:$A$1213,$A699,$C$14:$C$1213,"&gt;=0")+1)/2)</f>
        <v/>
      </c>
      <c r="Y699" s="27">
        <f>IF(OR(NOT(ISNUMBER($W699)),$AO699=1),"",$W699-(COUNTIFS($A$14:$A$1213,$A699,$F$14:$F$1213,"&gt;=0")+1)/2)</f>
        <v/>
      </c>
      <c r="Z699" s="27">
        <f>IF(ISNUMBER($V699),$A699&amp;"|"&amp;$V699,"")</f>
        <v/>
      </c>
      <c r="AA699" s="27">
        <f>IF(ISNUMBER($W699),$A699&amp;"|"&amp;$W699,"")</f>
        <v/>
      </c>
      <c r="AB699" s="27">
        <f>IF(ISNUMBER($F699),$A699&amp;"|"&amp;$F699,"")</f>
        <v/>
      </c>
      <c r="AC699" s="27">
        <f>IF(ISNUMBER($P699),COUNTIFS($A$14:$A$1213,$A699,$P$14:$P$1213,"&gt;"&amp;$P699)+(COUNTIFS($A$14:$A$1213,$A699,$P$14:$P$1213,"="&amp;$P699)+1)/2,"")</f>
        <v/>
      </c>
      <c r="AD699" s="27">
        <f>IF(ISNUMBER($Q699),COUNTIFS($A$14:$A$1213,$A699,$Q$14:$Q$1213,"&gt;"&amp;$Q699)+(COUNTIFS($A$14:$A$1213,$A699,$Q$14:$Q$1213,"="&amp;$Q699)+1)/2,"")</f>
        <v/>
      </c>
      <c r="AE699" s="27">
        <f>IF(ISNUMBER($R699),COUNTIFS($A$14:$A$1213,$A699,$R$14:$R$1213,"&gt;"&amp;$R699)+(COUNTIFS($A$14:$A$1213,$A699,$R$14:$R$1213,"="&amp;$R699)+1)/2,"")</f>
        <v/>
      </c>
      <c r="AF699" s="27">
        <f>IF(ISNUMBER($S699),COUNTIFS($A$14:$A$1213,$A699,$S$14:$S$1213,"&gt;"&amp;$S699)+(COUNTIFS($A$14:$A$1213,$A699,$S$14:$S$1213,"="&amp;$S699)+1)/2,"")</f>
        <v/>
      </c>
      <c r="AG699" s="27">
        <f>IF(ISNUMBER($T699),COUNTIFS($A$14:$A$1213,$A699,$T$14:$T$1213,"&gt;"&amp;$T699)+(COUNTIFS($A$14:$A$1213,$A699,$T$14:$T$1213,"="&amp;$T699)+1)/2,"")</f>
        <v/>
      </c>
      <c r="AH699" s="27">
        <f>IF(COUNT($AC699:$AG699)&lt;2,"",IF(MAX($AC699:$AG699)=MIN($AC699:$AG699),0,1))</f>
        <v/>
      </c>
      <c r="AI699" s="27">
        <f>IF($A699="","",IF(COUNTIF($A$14:$A699,$A699)=1,COUNTIF($AI$13:AI698,"&gt;0")+1,""))</f>
        <v/>
      </c>
      <c r="AO699" s="27">
        <f>IF($A699="","",IF(AND(COUNTIFS($A$14:$A$1213,$A699,$F$14:$F$1213,"&gt;=0")=2,IFERROR(INDEX($M$14:$M$313,MATCH($A699,$H$14:$H$313,0)),"Yes")&lt;&gt;"Yes"),1,0))</f>
        <v/>
      </c>
    </row>
    <row r="700">
      <c r="A700" s="19">
        <f>IF('Enter messages'!A700="","",'Enter messages'!A700)</f>
        <v/>
      </c>
      <c r="B700" s="20">
        <f>IF('Enter messages'!B700="","",'Enter messages'!B700)</f>
        <v/>
      </c>
      <c r="C700" s="21">
        <f>IFERROR(AVERAGE(P700:T700),"")</f>
        <v/>
      </c>
      <c r="D700" s="29" t="n"/>
      <c r="E700" s="29" t="n"/>
      <c r="F700" s="30">
        <f>IF(AND(ISNUMBER($D700),ISNUMBER($E700),$E700&gt;0,$D700&lt;=$E700),$D700/$E700,"")</f>
        <v/>
      </c>
      <c r="P700" s="26" t="n"/>
      <c r="Q700" s="26" t="n"/>
      <c r="R700" s="26" t="n"/>
      <c r="S700" s="26" t="n"/>
      <c r="T700" s="26" t="n"/>
      <c r="V700" s="27">
        <f>IF(ISNUMBER($C700),COUNTIFS($A$14:$A$1213,$A700,$C$14:$C$1213,"&gt;"&amp;$C700)+(COUNTIFS($A$14:$A$1213,$A700,$C$14:$C$1213,"="&amp;$C700)+1)/2,"")</f>
        <v/>
      </c>
      <c r="W700" s="27">
        <f>IF(ISNUMBER($F700),COUNTIFS($A$14:$A$1213,$A700,$F$14:$F$1213,"&gt;"&amp;$F700)+(COUNTIFS($A$14:$A$1213,$A700,$F$14:$F$1213,"="&amp;$F700)+1)/2,"")</f>
        <v/>
      </c>
      <c r="X700" s="27">
        <f>IF(OR(NOT(ISNUMBER($V700)),$AO700=1),"",$V700-(COUNTIFS($A$14:$A$1213,$A700,$C$14:$C$1213,"&gt;=0")+1)/2)</f>
        <v/>
      </c>
      <c r="Y700" s="27">
        <f>IF(OR(NOT(ISNUMBER($W700)),$AO700=1),"",$W700-(COUNTIFS($A$14:$A$1213,$A700,$F$14:$F$1213,"&gt;=0")+1)/2)</f>
        <v/>
      </c>
      <c r="Z700" s="27">
        <f>IF(ISNUMBER($V700),$A700&amp;"|"&amp;$V700,"")</f>
        <v/>
      </c>
      <c r="AA700" s="27">
        <f>IF(ISNUMBER($W700),$A700&amp;"|"&amp;$W700,"")</f>
        <v/>
      </c>
      <c r="AB700" s="27">
        <f>IF(ISNUMBER($F700),$A700&amp;"|"&amp;$F700,"")</f>
        <v/>
      </c>
      <c r="AC700" s="27">
        <f>IF(ISNUMBER($P700),COUNTIFS($A$14:$A$1213,$A700,$P$14:$P$1213,"&gt;"&amp;$P700)+(COUNTIFS($A$14:$A$1213,$A700,$P$14:$P$1213,"="&amp;$P700)+1)/2,"")</f>
        <v/>
      </c>
      <c r="AD700" s="27">
        <f>IF(ISNUMBER($Q700),COUNTIFS($A$14:$A$1213,$A700,$Q$14:$Q$1213,"&gt;"&amp;$Q700)+(COUNTIFS($A$14:$A$1213,$A700,$Q$14:$Q$1213,"="&amp;$Q700)+1)/2,"")</f>
        <v/>
      </c>
      <c r="AE700" s="27">
        <f>IF(ISNUMBER($R700),COUNTIFS($A$14:$A$1213,$A700,$R$14:$R$1213,"&gt;"&amp;$R700)+(COUNTIFS($A$14:$A$1213,$A700,$R$14:$R$1213,"="&amp;$R700)+1)/2,"")</f>
        <v/>
      </c>
      <c r="AF700" s="27">
        <f>IF(ISNUMBER($S700),COUNTIFS($A$14:$A$1213,$A700,$S$14:$S$1213,"&gt;"&amp;$S700)+(COUNTIFS($A$14:$A$1213,$A700,$S$14:$S$1213,"="&amp;$S700)+1)/2,"")</f>
        <v/>
      </c>
      <c r="AG700" s="27">
        <f>IF(ISNUMBER($T700),COUNTIFS($A$14:$A$1213,$A700,$T$14:$T$1213,"&gt;"&amp;$T700)+(COUNTIFS($A$14:$A$1213,$A700,$T$14:$T$1213,"="&amp;$T700)+1)/2,"")</f>
        <v/>
      </c>
      <c r="AH700" s="27">
        <f>IF(COUNT($AC700:$AG700)&lt;2,"",IF(MAX($AC700:$AG700)=MIN($AC700:$AG700),0,1))</f>
        <v/>
      </c>
      <c r="AI700" s="27">
        <f>IF($A700="","",IF(COUNTIF($A$14:$A700,$A700)=1,COUNTIF($AI$13:AI699,"&gt;0")+1,""))</f>
        <v/>
      </c>
      <c r="AO700" s="27">
        <f>IF($A700="","",IF(AND(COUNTIFS($A$14:$A$1213,$A700,$F$14:$F$1213,"&gt;=0")=2,IFERROR(INDEX($M$14:$M$313,MATCH($A700,$H$14:$H$313,0)),"Yes")&lt;&gt;"Yes"),1,0))</f>
        <v/>
      </c>
    </row>
    <row r="701">
      <c r="A701" s="19">
        <f>IF('Enter messages'!A701="","",'Enter messages'!A701)</f>
        <v/>
      </c>
      <c r="B701" s="20">
        <f>IF('Enter messages'!B701="","",'Enter messages'!B701)</f>
        <v/>
      </c>
      <c r="C701" s="21">
        <f>IFERROR(AVERAGE(P701:T701),"")</f>
        <v/>
      </c>
      <c r="D701" s="29" t="n"/>
      <c r="E701" s="29" t="n"/>
      <c r="F701" s="30">
        <f>IF(AND(ISNUMBER($D701),ISNUMBER($E701),$E701&gt;0,$D701&lt;=$E701),$D701/$E701,"")</f>
        <v/>
      </c>
      <c r="P701" s="26" t="n"/>
      <c r="Q701" s="26" t="n"/>
      <c r="R701" s="26" t="n"/>
      <c r="S701" s="26" t="n"/>
      <c r="T701" s="26" t="n"/>
      <c r="V701" s="27">
        <f>IF(ISNUMBER($C701),COUNTIFS($A$14:$A$1213,$A701,$C$14:$C$1213,"&gt;"&amp;$C701)+(COUNTIFS($A$14:$A$1213,$A701,$C$14:$C$1213,"="&amp;$C701)+1)/2,"")</f>
        <v/>
      </c>
      <c r="W701" s="27">
        <f>IF(ISNUMBER($F701),COUNTIFS($A$14:$A$1213,$A701,$F$14:$F$1213,"&gt;"&amp;$F701)+(COUNTIFS($A$14:$A$1213,$A701,$F$14:$F$1213,"="&amp;$F701)+1)/2,"")</f>
        <v/>
      </c>
      <c r="X701" s="27">
        <f>IF(OR(NOT(ISNUMBER($V701)),$AO701=1),"",$V701-(COUNTIFS($A$14:$A$1213,$A701,$C$14:$C$1213,"&gt;=0")+1)/2)</f>
        <v/>
      </c>
      <c r="Y701" s="27">
        <f>IF(OR(NOT(ISNUMBER($W701)),$AO701=1),"",$W701-(COUNTIFS($A$14:$A$1213,$A701,$F$14:$F$1213,"&gt;=0")+1)/2)</f>
        <v/>
      </c>
      <c r="Z701" s="27">
        <f>IF(ISNUMBER($V701),$A701&amp;"|"&amp;$V701,"")</f>
        <v/>
      </c>
      <c r="AA701" s="27">
        <f>IF(ISNUMBER($W701),$A701&amp;"|"&amp;$W701,"")</f>
        <v/>
      </c>
      <c r="AB701" s="27">
        <f>IF(ISNUMBER($F701),$A701&amp;"|"&amp;$F701,"")</f>
        <v/>
      </c>
      <c r="AC701" s="27">
        <f>IF(ISNUMBER($P701),COUNTIFS($A$14:$A$1213,$A701,$P$14:$P$1213,"&gt;"&amp;$P701)+(COUNTIFS($A$14:$A$1213,$A701,$P$14:$P$1213,"="&amp;$P701)+1)/2,"")</f>
        <v/>
      </c>
      <c r="AD701" s="27">
        <f>IF(ISNUMBER($Q701),COUNTIFS($A$14:$A$1213,$A701,$Q$14:$Q$1213,"&gt;"&amp;$Q701)+(COUNTIFS($A$14:$A$1213,$A701,$Q$14:$Q$1213,"="&amp;$Q701)+1)/2,"")</f>
        <v/>
      </c>
      <c r="AE701" s="27">
        <f>IF(ISNUMBER($R701),COUNTIFS($A$14:$A$1213,$A701,$R$14:$R$1213,"&gt;"&amp;$R701)+(COUNTIFS($A$14:$A$1213,$A701,$R$14:$R$1213,"="&amp;$R701)+1)/2,"")</f>
        <v/>
      </c>
      <c r="AF701" s="27">
        <f>IF(ISNUMBER($S701),COUNTIFS($A$14:$A$1213,$A701,$S$14:$S$1213,"&gt;"&amp;$S701)+(COUNTIFS($A$14:$A$1213,$A701,$S$14:$S$1213,"="&amp;$S701)+1)/2,"")</f>
        <v/>
      </c>
      <c r="AG701" s="27">
        <f>IF(ISNUMBER($T701),COUNTIFS($A$14:$A$1213,$A701,$T$14:$T$1213,"&gt;"&amp;$T701)+(COUNTIFS($A$14:$A$1213,$A701,$T$14:$T$1213,"="&amp;$T701)+1)/2,"")</f>
        <v/>
      </c>
      <c r="AH701" s="27">
        <f>IF(COUNT($AC701:$AG701)&lt;2,"",IF(MAX($AC701:$AG701)=MIN($AC701:$AG701),0,1))</f>
        <v/>
      </c>
      <c r="AI701" s="27">
        <f>IF($A701="","",IF(COUNTIF($A$14:$A701,$A701)=1,COUNTIF($AI$13:AI700,"&gt;0")+1,""))</f>
        <v/>
      </c>
      <c r="AO701" s="27">
        <f>IF($A701="","",IF(AND(COUNTIFS($A$14:$A$1213,$A701,$F$14:$F$1213,"&gt;=0")=2,IFERROR(INDEX($M$14:$M$313,MATCH($A701,$H$14:$H$313,0)),"Yes")&lt;&gt;"Yes"),1,0))</f>
        <v/>
      </c>
    </row>
    <row r="702">
      <c r="A702" s="19">
        <f>IF('Enter messages'!A702="","",'Enter messages'!A702)</f>
        <v/>
      </c>
      <c r="B702" s="20">
        <f>IF('Enter messages'!B702="","",'Enter messages'!B702)</f>
        <v/>
      </c>
      <c r="C702" s="21">
        <f>IFERROR(AVERAGE(P702:T702),"")</f>
        <v/>
      </c>
      <c r="D702" s="29" t="n"/>
      <c r="E702" s="29" t="n"/>
      <c r="F702" s="30">
        <f>IF(AND(ISNUMBER($D702),ISNUMBER($E702),$E702&gt;0,$D702&lt;=$E702),$D702/$E702,"")</f>
        <v/>
      </c>
      <c r="P702" s="26" t="n"/>
      <c r="Q702" s="26" t="n"/>
      <c r="R702" s="26" t="n"/>
      <c r="S702" s="26" t="n"/>
      <c r="T702" s="26" t="n"/>
      <c r="V702" s="27">
        <f>IF(ISNUMBER($C702),COUNTIFS($A$14:$A$1213,$A702,$C$14:$C$1213,"&gt;"&amp;$C702)+(COUNTIFS($A$14:$A$1213,$A702,$C$14:$C$1213,"="&amp;$C702)+1)/2,"")</f>
        <v/>
      </c>
      <c r="W702" s="27">
        <f>IF(ISNUMBER($F702),COUNTIFS($A$14:$A$1213,$A702,$F$14:$F$1213,"&gt;"&amp;$F702)+(COUNTIFS($A$14:$A$1213,$A702,$F$14:$F$1213,"="&amp;$F702)+1)/2,"")</f>
        <v/>
      </c>
      <c r="X702" s="27">
        <f>IF(OR(NOT(ISNUMBER($V702)),$AO702=1),"",$V702-(COUNTIFS($A$14:$A$1213,$A702,$C$14:$C$1213,"&gt;=0")+1)/2)</f>
        <v/>
      </c>
      <c r="Y702" s="27">
        <f>IF(OR(NOT(ISNUMBER($W702)),$AO702=1),"",$W702-(COUNTIFS($A$14:$A$1213,$A702,$F$14:$F$1213,"&gt;=0")+1)/2)</f>
        <v/>
      </c>
      <c r="Z702" s="27">
        <f>IF(ISNUMBER($V702),$A702&amp;"|"&amp;$V702,"")</f>
        <v/>
      </c>
      <c r="AA702" s="27">
        <f>IF(ISNUMBER($W702),$A702&amp;"|"&amp;$W702,"")</f>
        <v/>
      </c>
      <c r="AB702" s="27">
        <f>IF(ISNUMBER($F702),$A702&amp;"|"&amp;$F702,"")</f>
        <v/>
      </c>
      <c r="AC702" s="27">
        <f>IF(ISNUMBER($P702),COUNTIFS($A$14:$A$1213,$A702,$P$14:$P$1213,"&gt;"&amp;$P702)+(COUNTIFS($A$14:$A$1213,$A702,$P$14:$P$1213,"="&amp;$P702)+1)/2,"")</f>
        <v/>
      </c>
      <c r="AD702" s="27">
        <f>IF(ISNUMBER($Q702),COUNTIFS($A$14:$A$1213,$A702,$Q$14:$Q$1213,"&gt;"&amp;$Q702)+(COUNTIFS($A$14:$A$1213,$A702,$Q$14:$Q$1213,"="&amp;$Q702)+1)/2,"")</f>
        <v/>
      </c>
      <c r="AE702" s="27">
        <f>IF(ISNUMBER($R702),COUNTIFS($A$14:$A$1213,$A702,$R$14:$R$1213,"&gt;"&amp;$R702)+(COUNTIFS($A$14:$A$1213,$A702,$R$14:$R$1213,"="&amp;$R702)+1)/2,"")</f>
        <v/>
      </c>
      <c r="AF702" s="27">
        <f>IF(ISNUMBER($S702),COUNTIFS($A$14:$A$1213,$A702,$S$14:$S$1213,"&gt;"&amp;$S702)+(COUNTIFS($A$14:$A$1213,$A702,$S$14:$S$1213,"="&amp;$S702)+1)/2,"")</f>
        <v/>
      </c>
      <c r="AG702" s="27">
        <f>IF(ISNUMBER($T702),COUNTIFS($A$14:$A$1213,$A702,$T$14:$T$1213,"&gt;"&amp;$T702)+(COUNTIFS($A$14:$A$1213,$A702,$T$14:$T$1213,"="&amp;$T702)+1)/2,"")</f>
        <v/>
      </c>
      <c r="AH702" s="27">
        <f>IF(COUNT($AC702:$AG702)&lt;2,"",IF(MAX($AC702:$AG702)=MIN($AC702:$AG702),0,1))</f>
        <v/>
      </c>
      <c r="AI702" s="27">
        <f>IF($A702="","",IF(COUNTIF($A$14:$A702,$A702)=1,COUNTIF($AI$13:AI701,"&gt;0")+1,""))</f>
        <v/>
      </c>
      <c r="AO702" s="27">
        <f>IF($A702="","",IF(AND(COUNTIFS($A$14:$A$1213,$A702,$F$14:$F$1213,"&gt;=0")=2,IFERROR(INDEX($M$14:$M$313,MATCH($A702,$H$14:$H$313,0)),"Yes")&lt;&gt;"Yes"),1,0))</f>
        <v/>
      </c>
    </row>
    <row r="703">
      <c r="A703" s="19">
        <f>IF('Enter messages'!A703="","",'Enter messages'!A703)</f>
        <v/>
      </c>
      <c r="B703" s="20">
        <f>IF('Enter messages'!B703="","",'Enter messages'!B703)</f>
        <v/>
      </c>
      <c r="C703" s="21">
        <f>IFERROR(AVERAGE(P703:T703),"")</f>
        <v/>
      </c>
      <c r="D703" s="29" t="n"/>
      <c r="E703" s="29" t="n"/>
      <c r="F703" s="30">
        <f>IF(AND(ISNUMBER($D703),ISNUMBER($E703),$E703&gt;0,$D703&lt;=$E703),$D703/$E703,"")</f>
        <v/>
      </c>
      <c r="P703" s="26" t="n"/>
      <c r="Q703" s="26" t="n"/>
      <c r="R703" s="26" t="n"/>
      <c r="S703" s="26" t="n"/>
      <c r="T703" s="26" t="n"/>
      <c r="V703" s="27">
        <f>IF(ISNUMBER($C703),COUNTIFS($A$14:$A$1213,$A703,$C$14:$C$1213,"&gt;"&amp;$C703)+(COUNTIFS($A$14:$A$1213,$A703,$C$14:$C$1213,"="&amp;$C703)+1)/2,"")</f>
        <v/>
      </c>
      <c r="W703" s="27">
        <f>IF(ISNUMBER($F703),COUNTIFS($A$14:$A$1213,$A703,$F$14:$F$1213,"&gt;"&amp;$F703)+(COUNTIFS($A$14:$A$1213,$A703,$F$14:$F$1213,"="&amp;$F703)+1)/2,"")</f>
        <v/>
      </c>
      <c r="X703" s="27">
        <f>IF(OR(NOT(ISNUMBER($V703)),$AO703=1),"",$V703-(COUNTIFS($A$14:$A$1213,$A703,$C$14:$C$1213,"&gt;=0")+1)/2)</f>
        <v/>
      </c>
      <c r="Y703" s="27">
        <f>IF(OR(NOT(ISNUMBER($W703)),$AO703=1),"",$W703-(COUNTIFS($A$14:$A$1213,$A703,$F$14:$F$1213,"&gt;=0")+1)/2)</f>
        <v/>
      </c>
      <c r="Z703" s="27">
        <f>IF(ISNUMBER($V703),$A703&amp;"|"&amp;$V703,"")</f>
        <v/>
      </c>
      <c r="AA703" s="27">
        <f>IF(ISNUMBER($W703),$A703&amp;"|"&amp;$W703,"")</f>
        <v/>
      </c>
      <c r="AB703" s="27">
        <f>IF(ISNUMBER($F703),$A703&amp;"|"&amp;$F703,"")</f>
        <v/>
      </c>
      <c r="AC703" s="27">
        <f>IF(ISNUMBER($P703),COUNTIFS($A$14:$A$1213,$A703,$P$14:$P$1213,"&gt;"&amp;$P703)+(COUNTIFS($A$14:$A$1213,$A703,$P$14:$P$1213,"="&amp;$P703)+1)/2,"")</f>
        <v/>
      </c>
      <c r="AD703" s="27">
        <f>IF(ISNUMBER($Q703),COUNTIFS($A$14:$A$1213,$A703,$Q$14:$Q$1213,"&gt;"&amp;$Q703)+(COUNTIFS($A$14:$A$1213,$A703,$Q$14:$Q$1213,"="&amp;$Q703)+1)/2,"")</f>
        <v/>
      </c>
      <c r="AE703" s="27">
        <f>IF(ISNUMBER($R703),COUNTIFS($A$14:$A$1213,$A703,$R$14:$R$1213,"&gt;"&amp;$R703)+(COUNTIFS($A$14:$A$1213,$A703,$R$14:$R$1213,"="&amp;$R703)+1)/2,"")</f>
        <v/>
      </c>
      <c r="AF703" s="27">
        <f>IF(ISNUMBER($S703),COUNTIFS($A$14:$A$1213,$A703,$S$14:$S$1213,"&gt;"&amp;$S703)+(COUNTIFS($A$14:$A$1213,$A703,$S$14:$S$1213,"="&amp;$S703)+1)/2,"")</f>
        <v/>
      </c>
      <c r="AG703" s="27">
        <f>IF(ISNUMBER($T703),COUNTIFS($A$14:$A$1213,$A703,$T$14:$T$1213,"&gt;"&amp;$T703)+(COUNTIFS($A$14:$A$1213,$A703,$T$14:$T$1213,"="&amp;$T703)+1)/2,"")</f>
        <v/>
      </c>
      <c r="AH703" s="27">
        <f>IF(COUNT($AC703:$AG703)&lt;2,"",IF(MAX($AC703:$AG703)=MIN($AC703:$AG703),0,1))</f>
        <v/>
      </c>
      <c r="AI703" s="27">
        <f>IF($A703="","",IF(COUNTIF($A$14:$A703,$A703)=1,COUNTIF($AI$13:AI702,"&gt;0")+1,""))</f>
        <v/>
      </c>
      <c r="AO703" s="27">
        <f>IF($A703="","",IF(AND(COUNTIFS($A$14:$A$1213,$A703,$F$14:$F$1213,"&gt;=0")=2,IFERROR(INDEX($M$14:$M$313,MATCH($A703,$H$14:$H$313,0)),"Yes")&lt;&gt;"Yes"),1,0))</f>
        <v/>
      </c>
    </row>
    <row r="704">
      <c r="A704" s="19">
        <f>IF('Enter messages'!A704="","",'Enter messages'!A704)</f>
        <v/>
      </c>
      <c r="B704" s="20">
        <f>IF('Enter messages'!B704="","",'Enter messages'!B704)</f>
        <v/>
      </c>
      <c r="C704" s="21">
        <f>IFERROR(AVERAGE(P704:T704),"")</f>
        <v/>
      </c>
      <c r="D704" s="29" t="n"/>
      <c r="E704" s="29" t="n"/>
      <c r="F704" s="30">
        <f>IF(AND(ISNUMBER($D704),ISNUMBER($E704),$E704&gt;0,$D704&lt;=$E704),$D704/$E704,"")</f>
        <v/>
      </c>
      <c r="P704" s="26" t="n"/>
      <c r="Q704" s="26" t="n"/>
      <c r="R704" s="26" t="n"/>
      <c r="S704" s="26" t="n"/>
      <c r="T704" s="26" t="n"/>
      <c r="V704" s="27">
        <f>IF(ISNUMBER($C704),COUNTIFS($A$14:$A$1213,$A704,$C$14:$C$1213,"&gt;"&amp;$C704)+(COUNTIFS($A$14:$A$1213,$A704,$C$14:$C$1213,"="&amp;$C704)+1)/2,"")</f>
        <v/>
      </c>
      <c r="W704" s="27">
        <f>IF(ISNUMBER($F704),COUNTIFS($A$14:$A$1213,$A704,$F$14:$F$1213,"&gt;"&amp;$F704)+(COUNTIFS($A$14:$A$1213,$A704,$F$14:$F$1213,"="&amp;$F704)+1)/2,"")</f>
        <v/>
      </c>
      <c r="X704" s="27">
        <f>IF(OR(NOT(ISNUMBER($V704)),$AO704=1),"",$V704-(COUNTIFS($A$14:$A$1213,$A704,$C$14:$C$1213,"&gt;=0")+1)/2)</f>
        <v/>
      </c>
      <c r="Y704" s="27">
        <f>IF(OR(NOT(ISNUMBER($W704)),$AO704=1),"",$W704-(COUNTIFS($A$14:$A$1213,$A704,$F$14:$F$1213,"&gt;=0")+1)/2)</f>
        <v/>
      </c>
      <c r="Z704" s="27">
        <f>IF(ISNUMBER($V704),$A704&amp;"|"&amp;$V704,"")</f>
        <v/>
      </c>
      <c r="AA704" s="27">
        <f>IF(ISNUMBER($W704),$A704&amp;"|"&amp;$W704,"")</f>
        <v/>
      </c>
      <c r="AB704" s="27">
        <f>IF(ISNUMBER($F704),$A704&amp;"|"&amp;$F704,"")</f>
        <v/>
      </c>
      <c r="AC704" s="27">
        <f>IF(ISNUMBER($P704),COUNTIFS($A$14:$A$1213,$A704,$P$14:$P$1213,"&gt;"&amp;$P704)+(COUNTIFS($A$14:$A$1213,$A704,$P$14:$P$1213,"="&amp;$P704)+1)/2,"")</f>
        <v/>
      </c>
      <c r="AD704" s="27">
        <f>IF(ISNUMBER($Q704),COUNTIFS($A$14:$A$1213,$A704,$Q$14:$Q$1213,"&gt;"&amp;$Q704)+(COUNTIFS($A$14:$A$1213,$A704,$Q$14:$Q$1213,"="&amp;$Q704)+1)/2,"")</f>
        <v/>
      </c>
      <c r="AE704" s="27">
        <f>IF(ISNUMBER($R704),COUNTIFS($A$14:$A$1213,$A704,$R$14:$R$1213,"&gt;"&amp;$R704)+(COUNTIFS($A$14:$A$1213,$A704,$R$14:$R$1213,"="&amp;$R704)+1)/2,"")</f>
        <v/>
      </c>
      <c r="AF704" s="27">
        <f>IF(ISNUMBER($S704),COUNTIFS($A$14:$A$1213,$A704,$S$14:$S$1213,"&gt;"&amp;$S704)+(COUNTIFS($A$14:$A$1213,$A704,$S$14:$S$1213,"="&amp;$S704)+1)/2,"")</f>
        <v/>
      </c>
      <c r="AG704" s="27">
        <f>IF(ISNUMBER($T704),COUNTIFS($A$14:$A$1213,$A704,$T$14:$T$1213,"&gt;"&amp;$T704)+(COUNTIFS($A$14:$A$1213,$A704,$T$14:$T$1213,"="&amp;$T704)+1)/2,"")</f>
        <v/>
      </c>
      <c r="AH704" s="27">
        <f>IF(COUNT($AC704:$AG704)&lt;2,"",IF(MAX($AC704:$AG704)=MIN($AC704:$AG704),0,1))</f>
        <v/>
      </c>
      <c r="AI704" s="27">
        <f>IF($A704="","",IF(COUNTIF($A$14:$A704,$A704)=1,COUNTIF($AI$13:AI703,"&gt;0")+1,""))</f>
        <v/>
      </c>
      <c r="AO704" s="27">
        <f>IF($A704="","",IF(AND(COUNTIFS($A$14:$A$1213,$A704,$F$14:$F$1213,"&gt;=0")=2,IFERROR(INDEX($M$14:$M$313,MATCH($A704,$H$14:$H$313,0)),"Yes")&lt;&gt;"Yes"),1,0))</f>
        <v/>
      </c>
    </row>
    <row r="705">
      <c r="A705" s="19">
        <f>IF('Enter messages'!A705="","",'Enter messages'!A705)</f>
        <v/>
      </c>
      <c r="B705" s="20">
        <f>IF('Enter messages'!B705="","",'Enter messages'!B705)</f>
        <v/>
      </c>
      <c r="C705" s="21">
        <f>IFERROR(AVERAGE(P705:T705),"")</f>
        <v/>
      </c>
      <c r="D705" s="29" t="n"/>
      <c r="E705" s="29" t="n"/>
      <c r="F705" s="30">
        <f>IF(AND(ISNUMBER($D705),ISNUMBER($E705),$E705&gt;0,$D705&lt;=$E705),$D705/$E705,"")</f>
        <v/>
      </c>
      <c r="P705" s="26" t="n"/>
      <c r="Q705" s="26" t="n"/>
      <c r="R705" s="26" t="n"/>
      <c r="S705" s="26" t="n"/>
      <c r="T705" s="26" t="n"/>
      <c r="V705" s="27">
        <f>IF(ISNUMBER($C705),COUNTIFS($A$14:$A$1213,$A705,$C$14:$C$1213,"&gt;"&amp;$C705)+(COUNTIFS($A$14:$A$1213,$A705,$C$14:$C$1213,"="&amp;$C705)+1)/2,"")</f>
        <v/>
      </c>
      <c r="W705" s="27">
        <f>IF(ISNUMBER($F705),COUNTIFS($A$14:$A$1213,$A705,$F$14:$F$1213,"&gt;"&amp;$F705)+(COUNTIFS($A$14:$A$1213,$A705,$F$14:$F$1213,"="&amp;$F705)+1)/2,"")</f>
        <v/>
      </c>
      <c r="X705" s="27">
        <f>IF(OR(NOT(ISNUMBER($V705)),$AO705=1),"",$V705-(COUNTIFS($A$14:$A$1213,$A705,$C$14:$C$1213,"&gt;=0")+1)/2)</f>
        <v/>
      </c>
      <c r="Y705" s="27">
        <f>IF(OR(NOT(ISNUMBER($W705)),$AO705=1),"",$W705-(COUNTIFS($A$14:$A$1213,$A705,$F$14:$F$1213,"&gt;=0")+1)/2)</f>
        <v/>
      </c>
      <c r="Z705" s="27">
        <f>IF(ISNUMBER($V705),$A705&amp;"|"&amp;$V705,"")</f>
        <v/>
      </c>
      <c r="AA705" s="27">
        <f>IF(ISNUMBER($W705),$A705&amp;"|"&amp;$W705,"")</f>
        <v/>
      </c>
      <c r="AB705" s="27">
        <f>IF(ISNUMBER($F705),$A705&amp;"|"&amp;$F705,"")</f>
        <v/>
      </c>
      <c r="AC705" s="27">
        <f>IF(ISNUMBER($P705),COUNTIFS($A$14:$A$1213,$A705,$P$14:$P$1213,"&gt;"&amp;$P705)+(COUNTIFS($A$14:$A$1213,$A705,$P$14:$P$1213,"="&amp;$P705)+1)/2,"")</f>
        <v/>
      </c>
      <c r="AD705" s="27">
        <f>IF(ISNUMBER($Q705),COUNTIFS($A$14:$A$1213,$A705,$Q$14:$Q$1213,"&gt;"&amp;$Q705)+(COUNTIFS($A$14:$A$1213,$A705,$Q$14:$Q$1213,"="&amp;$Q705)+1)/2,"")</f>
        <v/>
      </c>
      <c r="AE705" s="27">
        <f>IF(ISNUMBER($R705),COUNTIFS($A$14:$A$1213,$A705,$R$14:$R$1213,"&gt;"&amp;$R705)+(COUNTIFS($A$14:$A$1213,$A705,$R$14:$R$1213,"="&amp;$R705)+1)/2,"")</f>
        <v/>
      </c>
      <c r="AF705" s="27">
        <f>IF(ISNUMBER($S705),COUNTIFS($A$14:$A$1213,$A705,$S$14:$S$1213,"&gt;"&amp;$S705)+(COUNTIFS($A$14:$A$1213,$A705,$S$14:$S$1213,"="&amp;$S705)+1)/2,"")</f>
        <v/>
      </c>
      <c r="AG705" s="27">
        <f>IF(ISNUMBER($T705),COUNTIFS($A$14:$A$1213,$A705,$T$14:$T$1213,"&gt;"&amp;$T705)+(COUNTIFS($A$14:$A$1213,$A705,$T$14:$T$1213,"="&amp;$T705)+1)/2,"")</f>
        <v/>
      </c>
      <c r="AH705" s="27">
        <f>IF(COUNT($AC705:$AG705)&lt;2,"",IF(MAX($AC705:$AG705)=MIN($AC705:$AG705),0,1))</f>
        <v/>
      </c>
      <c r="AI705" s="27">
        <f>IF($A705="","",IF(COUNTIF($A$14:$A705,$A705)=1,COUNTIF($AI$13:AI704,"&gt;0")+1,""))</f>
        <v/>
      </c>
      <c r="AO705" s="27">
        <f>IF($A705="","",IF(AND(COUNTIFS($A$14:$A$1213,$A705,$F$14:$F$1213,"&gt;=0")=2,IFERROR(INDEX($M$14:$M$313,MATCH($A705,$H$14:$H$313,0)),"Yes")&lt;&gt;"Yes"),1,0))</f>
        <v/>
      </c>
    </row>
    <row r="706">
      <c r="A706" s="19">
        <f>IF('Enter messages'!A706="","",'Enter messages'!A706)</f>
        <v/>
      </c>
      <c r="B706" s="20">
        <f>IF('Enter messages'!B706="","",'Enter messages'!B706)</f>
        <v/>
      </c>
      <c r="C706" s="21">
        <f>IFERROR(AVERAGE(P706:T706),"")</f>
        <v/>
      </c>
      <c r="D706" s="29" t="n"/>
      <c r="E706" s="29" t="n"/>
      <c r="F706" s="30">
        <f>IF(AND(ISNUMBER($D706),ISNUMBER($E706),$E706&gt;0,$D706&lt;=$E706),$D706/$E706,"")</f>
        <v/>
      </c>
      <c r="P706" s="26" t="n"/>
      <c r="Q706" s="26" t="n"/>
      <c r="R706" s="26" t="n"/>
      <c r="S706" s="26" t="n"/>
      <c r="T706" s="26" t="n"/>
      <c r="V706" s="27">
        <f>IF(ISNUMBER($C706),COUNTIFS($A$14:$A$1213,$A706,$C$14:$C$1213,"&gt;"&amp;$C706)+(COUNTIFS($A$14:$A$1213,$A706,$C$14:$C$1213,"="&amp;$C706)+1)/2,"")</f>
        <v/>
      </c>
      <c r="W706" s="27">
        <f>IF(ISNUMBER($F706),COUNTIFS($A$14:$A$1213,$A706,$F$14:$F$1213,"&gt;"&amp;$F706)+(COUNTIFS($A$14:$A$1213,$A706,$F$14:$F$1213,"="&amp;$F706)+1)/2,"")</f>
        <v/>
      </c>
      <c r="X706" s="27">
        <f>IF(OR(NOT(ISNUMBER($V706)),$AO706=1),"",$V706-(COUNTIFS($A$14:$A$1213,$A706,$C$14:$C$1213,"&gt;=0")+1)/2)</f>
        <v/>
      </c>
      <c r="Y706" s="27">
        <f>IF(OR(NOT(ISNUMBER($W706)),$AO706=1),"",$W706-(COUNTIFS($A$14:$A$1213,$A706,$F$14:$F$1213,"&gt;=0")+1)/2)</f>
        <v/>
      </c>
      <c r="Z706" s="27">
        <f>IF(ISNUMBER($V706),$A706&amp;"|"&amp;$V706,"")</f>
        <v/>
      </c>
      <c r="AA706" s="27">
        <f>IF(ISNUMBER($W706),$A706&amp;"|"&amp;$W706,"")</f>
        <v/>
      </c>
      <c r="AB706" s="27">
        <f>IF(ISNUMBER($F706),$A706&amp;"|"&amp;$F706,"")</f>
        <v/>
      </c>
      <c r="AC706" s="27">
        <f>IF(ISNUMBER($P706),COUNTIFS($A$14:$A$1213,$A706,$P$14:$P$1213,"&gt;"&amp;$P706)+(COUNTIFS($A$14:$A$1213,$A706,$P$14:$P$1213,"="&amp;$P706)+1)/2,"")</f>
        <v/>
      </c>
      <c r="AD706" s="27">
        <f>IF(ISNUMBER($Q706),COUNTIFS($A$14:$A$1213,$A706,$Q$14:$Q$1213,"&gt;"&amp;$Q706)+(COUNTIFS($A$14:$A$1213,$A706,$Q$14:$Q$1213,"="&amp;$Q706)+1)/2,"")</f>
        <v/>
      </c>
      <c r="AE706" s="27">
        <f>IF(ISNUMBER($R706),COUNTIFS($A$14:$A$1213,$A706,$R$14:$R$1213,"&gt;"&amp;$R706)+(COUNTIFS($A$14:$A$1213,$A706,$R$14:$R$1213,"="&amp;$R706)+1)/2,"")</f>
        <v/>
      </c>
      <c r="AF706" s="27">
        <f>IF(ISNUMBER($S706),COUNTIFS($A$14:$A$1213,$A706,$S$14:$S$1213,"&gt;"&amp;$S706)+(COUNTIFS($A$14:$A$1213,$A706,$S$14:$S$1213,"="&amp;$S706)+1)/2,"")</f>
        <v/>
      </c>
      <c r="AG706" s="27">
        <f>IF(ISNUMBER($T706),COUNTIFS($A$14:$A$1213,$A706,$T$14:$T$1213,"&gt;"&amp;$T706)+(COUNTIFS($A$14:$A$1213,$A706,$T$14:$T$1213,"="&amp;$T706)+1)/2,"")</f>
        <v/>
      </c>
      <c r="AH706" s="27">
        <f>IF(COUNT($AC706:$AG706)&lt;2,"",IF(MAX($AC706:$AG706)=MIN($AC706:$AG706),0,1))</f>
        <v/>
      </c>
      <c r="AI706" s="27">
        <f>IF($A706="","",IF(COUNTIF($A$14:$A706,$A706)=1,COUNTIF($AI$13:AI705,"&gt;0")+1,""))</f>
        <v/>
      </c>
      <c r="AO706" s="27">
        <f>IF($A706="","",IF(AND(COUNTIFS($A$14:$A$1213,$A706,$F$14:$F$1213,"&gt;=0")=2,IFERROR(INDEX($M$14:$M$313,MATCH($A706,$H$14:$H$313,0)),"Yes")&lt;&gt;"Yes"),1,0))</f>
        <v/>
      </c>
    </row>
    <row r="707">
      <c r="A707" s="19">
        <f>IF('Enter messages'!A707="","",'Enter messages'!A707)</f>
        <v/>
      </c>
      <c r="B707" s="20">
        <f>IF('Enter messages'!B707="","",'Enter messages'!B707)</f>
        <v/>
      </c>
      <c r="C707" s="21">
        <f>IFERROR(AVERAGE(P707:T707),"")</f>
        <v/>
      </c>
      <c r="D707" s="29" t="n"/>
      <c r="E707" s="29" t="n"/>
      <c r="F707" s="30">
        <f>IF(AND(ISNUMBER($D707),ISNUMBER($E707),$E707&gt;0,$D707&lt;=$E707),$D707/$E707,"")</f>
        <v/>
      </c>
      <c r="P707" s="26" t="n"/>
      <c r="Q707" s="26" t="n"/>
      <c r="R707" s="26" t="n"/>
      <c r="S707" s="26" t="n"/>
      <c r="T707" s="26" t="n"/>
      <c r="V707" s="27">
        <f>IF(ISNUMBER($C707),COUNTIFS($A$14:$A$1213,$A707,$C$14:$C$1213,"&gt;"&amp;$C707)+(COUNTIFS($A$14:$A$1213,$A707,$C$14:$C$1213,"="&amp;$C707)+1)/2,"")</f>
        <v/>
      </c>
      <c r="W707" s="27">
        <f>IF(ISNUMBER($F707),COUNTIFS($A$14:$A$1213,$A707,$F$14:$F$1213,"&gt;"&amp;$F707)+(COUNTIFS($A$14:$A$1213,$A707,$F$14:$F$1213,"="&amp;$F707)+1)/2,"")</f>
        <v/>
      </c>
      <c r="X707" s="27">
        <f>IF(OR(NOT(ISNUMBER($V707)),$AO707=1),"",$V707-(COUNTIFS($A$14:$A$1213,$A707,$C$14:$C$1213,"&gt;=0")+1)/2)</f>
        <v/>
      </c>
      <c r="Y707" s="27">
        <f>IF(OR(NOT(ISNUMBER($W707)),$AO707=1),"",$W707-(COUNTIFS($A$14:$A$1213,$A707,$F$14:$F$1213,"&gt;=0")+1)/2)</f>
        <v/>
      </c>
      <c r="Z707" s="27">
        <f>IF(ISNUMBER($V707),$A707&amp;"|"&amp;$V707,"")</f>
        <v/>
      </c>
      <c r="AA707" s="27">
        <f>IF(ISNUMBER($W707),$A707&amp;"|"&amp;$W707,"")</f>
        <v/>
      </c>
      <c r="AB707" s="27">
        <f>IF(ISNUMBER($F707),$A707&amp;"|"&amp;$F707,"")</f>
        <v/>
      </c>
      <c r="AC707" s="27">
        <f>IF(ISNUMBER($P707),COUNTIFS($A$14:$A$1213,$A707,$P$14:$P$1213,"&gt;"&amp;$P707)+(COUNTIFS($A$14:$A$1213,$A707,$P$14:$P$1213,"="&amp;$P707)+1)/2,"")</f>
        <v/>
      </c>
      <c r="AD707" s="27">
        <f>IF(ISNUMBER($Q707),COUNTIFS($A$14:$A$1213,$A707,$Q$14:$Q$1213,"&gt;"&amp;$Q707)+(COUNTIFS($A$14:$A$1213,$A707,$Q$14:$Q$1213,"="&amp;$Q707)+1)/2,"")</f>
        <v/>
      </c>
      <c r="AE707" s="27">
        <f>IF(ISNUMBER($R707),COUNTIFS($A$14:$A$1213,$A707,$R$14:$R$1213,"&gt;"&amp;$R707)+(COUNTIFS($A$14:$A$1213,$A707,$R$14:$R$1213,"="&amp;$R707)+1)/2,"")</f>
        <v/>
      </c>
      <c r="AF707" s="27">
        <f>IF(ISNUMBER($S707),COUNTIFS($A$14:$A$1213,$A707,$S$14:$S$1213,"&gt;"&amp;$S707)+(COUNTIFS($A$14:$A$1213,$A707,$S$14:$S$1213,"="&amp;$S707)+1)/2,"")</f>
        <v/>
      </c>
      <c r="AG707" s="27">
        <f>IF(ISNUMBER($T707),COUNTIFS($A$14:$A$1213,$A707,$T$14:$T$1213,"&gt;"&amp;$T707)+(COUNTIFS($A$14:$A$1213,$A707,$T$14:$T$1213,"="&amp;$T707)+1)/2,"")</f>
        <v/>
      </c>
      <c r="AH707" s="27">
        <f>IF(COUNT($AC707:$AG707)&lt;2,"",IF(MAX($AC707:$AG707)=MIN($AC707:$AG707),0,1))</f>
        <v/>
      </c>
      <c r="AI707" s="27">
        <f>IF($A707="","",IF(COUNTIF($A$14:$A707,$A707)=1,COUNTIF($AI$13:AI706,"&gt;0")+1,""))</f>
        <v/>
      </c>
      <c r="AO707" s="27">
        <f>IF($A707="","",IF(AND(COUNTIFS($A$14:$A$1213,$A707,$F$14:$F$1213,"&gt;=0")=2,IFERROR(INDEX($M$14:$M$313,MATCH($A707,$H$14:$H$313,0)),"Yes")&lt;&gt;"Yes"),1,0))</f>
        <v/>
      </c>
    </row>
    <row r="708">
      <c r="A708" s="19">
        <f>IF('Enter messages'!A708="","",'Enter messages'!A708)</f>
        <v/>
      </c>
      <c r="B708" s="20">
        <f>IF('Enter messages'!B708="","",'Enter messages'!B708)</f>
        <v/>
      </c>
      <c r="C708" s="21">
        <f>IFERROR(AVERAGE(P708:T708),"")</f>
        <v/>
      </c>
      <c r="D708" s="29" t="n"/>
      <c r="E708" s="29" t="n"/>
      <c r="F708" s="30">
        <f>IF(AND(ISNUMBER($D708),ISNUMBER($E708),$E708&gt;0,$D708&lt;=$E708),$D708/$E708,"")</f>
        <v/>
      </c>
      <c r="P708" s="26" t="n"/>
      <c r="Q708" s="26" t="n"/>
      <c r="R708" s="26" t="n"/>
      <c r="S708" s="26" t="n"/>
      <c r="T708" s="26" t="n"/>
      <c r="V708" s="27">
        <f>IF(ISNUMBER($C708),COUNTIFS($A$14:$A$1213,$A708,$C$14:$C$1213,"&gt;"&amp;$C708)+(COUNTIFS($A$14:$A$1213,$A708,$C$14:$C$1213,"="&amp;$C708)+1)/2,"")</f>
        <v/>
      </c>
      <c r="W708" s="27">
        <f>IF(ISNUMBER($F708),COUNTIFS($A$14:$A$1213,$A708,$F$14:$F$1213,"&gt;"&amp;$F708)+(COUNTIFS($A$14:$A$1213,$A708,$F$14:$F$1213,"="&amp;$F708)+1)/2,"")</f>
        <v/>
      </c>
      <c r="X708" s="27">
        <f>IF(OR(NOT(ISNUMBER($V708)),$AO708=1),"",$V708-(COUNTIFS($A$14:$A$1213,$A708,$C$14:$C$1213,"&gt;=0")+1)/2)</f>
        <v/>
      </c>
      <c r="Y708" s="27">
        <f>IF(OR(NOT(ISNUMBER($W708)),$AO708=1),"",$W708-(COUNTIFS($A$14:$A$1213,$A708,$F$14:$F$1213,"&gt;=0")+1)/2)</f>
        <v/>
      </c>
      <c r="Z708" s="27">
        <f>IF(ISNUMBER($V708),$A708&amp;"|"&amp;$V708,"")</f>
        <v/>
      </c>
      <c r="AA708" s="27">
        <f>IF(ISNUMBER($W708),$A708&amp;"|"&amp;$W708,"")</f>
        <v/>
      </c>
      <c r="AB708" s="27">
        <f>IF(ISNUMBER($F708),$A708&amp;"|"&amp;$F708,"")</f>
        <v/>
      </c>
      <c r="AC708" s="27">
        <f>IF(ISNUMBER($P708),COUNTIFS($A$14:$A$1213,$A708,$P$14:$P$1213,"&gt;"&amp;$P708)+(COUNTIFS($A$14:$A$1213,$A708,$P$14:$P$1213,"="&amp;$P708)+1)/2,"")</f>
        <v/>
      </c>
      <c r="AD708" s="27">
        <f>IF(ISNUMBER($Q708),COUNTIFS($A$14:$A$1213,$A708,$Q$14:$Q$1213,"&gt;"&amp;$Q708)+(COUNTIFS($A$14:$A$1213,$A708,$Q$14:$Q$1213,"="&amp;$Q708)+1)/2,"")</f>
        <v/>
      </c>
      <c r="AE708" s="27">
        <f>IF(ISNUMBER($R708),COUNTIFS($A$14:$A$1213,$A708,$R$14:$R$1213,"&gt;"&amp;$R708)+(COUNTIFS($A$14:$A$1213,$A708,$R$14:$R$1213,"="&amp;$R708)+1)/2,"")</f>
        <v/>
      </c>
      <c r="AF708" s="27">
        <f>IF(ISNUMBER($S708),COUNTIFS($A$14:$A$1213,$A708,$S$14:$S$1213,"&gt;"&amp;$S708)+(COUNTIFS($A$14:$A$1213,$A708,$S$14:$S$1213,"="&amp;$S708)+1)/2,"")</f>
        <v/>
      </c>
      <c r="AG708" s="27">
        <f>IF(ISNUMBER($T708),COUNTIFS($A$14:$A$1213,$A708,$T$14:$T$1213,"&gt;"&amp;$T708)+(COUNTIFS($A$14:$A$1213,$A708,$T$14:$T$1213,"="&amp;$T708)+1)/2,"")</f>
        <v/>
      </c>
      <c r="AH708" s="27">
        <f>IF(COUNT($AC708:$AG708)&lt;2,"",IF(MAX($AC708:$AG708)=MIN($AC708:$AG708),0,1))</f>
        <v/>
      </c>
      <c r="AI708" s="27">
        <f>IF($A708="","",IF(COUNTIF($A$14:$A708,$A708)=1,COUNTIF($AI$13:AI707,"&gt;0")+1,""))</f>
        <v/>
      </c>
      <c r="AO708" s="27">
        <f>IF($A708="","",IF(AND(COUNTIFS($A$14:$A$1213,$A708,$F$14:$F$1213,"&gt;=0")=2,IFERROR(INDEX($M$14:$M$313,MATCH($A708,$H$14:$H$313,0)),"Yes")&lt;&gt;"Yes"),1,0))</f>
        <v/>
      </c>
    </row>
    <row r="709">
      <c r="A709" s="19">
        <f>IF('Enter messages'!A709="","",'Enter messages'!A709)</f>
        <v/>
      </c>
      <c r="B709" s="20">
        <f>IF('Enter messages'!B709="","",'Enter messages'!B709)</f>
        <v/>
      </c>
      <c r="C709" s="21">
        <f>IFERROR(AVERAGE(P709:T709),"")</f>
        <v/>
      </c>
      <c r="D709" s="29" t="n"/>
      <c r="E709" s="29" t="n"/>
      <c r="F709" s="30">
        <f>IF(AND(ISNUMBER($D709),ISNUMBER($E709),$E709&gt;0,$D709&lt;=$E709),$D709/$E709,"")</f>
        <v/>
      </c>
      <c r="P709" s="26" t="n"/>
      <c r="Q709" s="26" t="n"/>
      <c r="R709" s="26" t="n"/>
      <c r="S709" s="26" t="n"/>
      <c r="T709" s="26" t="n"/>
      <c r="V709" s="27">
        <f>IF(ISNUMBER($C709),COUNTIFS($A$14:$A$1213,$A709,$C$14:$C$1213,"&gt;"&amp;$C709)+(COUNTIFS($A$14:$A$1213,$A709,$C$14:$C$1213,"="&amp;$C709)+1)/2,"")</f>
        <v/>
      </c>
      <c r="W709" s="27">
        <f>IF(ISNUMBER($F709),COUNTIFS($A$14:$A$1213,$A709,$F$14:$F$1213,"&gt;"&amp;$F709)+(COUNTIFS($A$14:$A$1213,$A709,$F$14:$F$1213,"="&amp;$F709)+1)/2,"")</f>
        <v/>
      </c>
      <c r="X709" s="27">
        <f>IF(OR(NOT(ISNUMBER($V709)),$AO709=1),"",$V709-(COUNTIFS($A$14:$A$1213,$A709,$C$14:$C$1213,"&gt;=0")+1)/2)</f>
        <v/>
      </c>
      <c r="Y709" s="27">
        <f>IF(OR(NOT(ISNUMBER($W709)),$AO709=1),"",$W709-(COUNTIFS($A$14:$A$1213,$A709,$F$14:$F$1213,"&gt;=0")+1)/2)</f>
        <v/>
      </c>
      <c r="Z709" s="27">
        <f>IF(ISNUMBER($V709),$A709&amp;"|"&amp;$V709,"")</f>
        <v/>
      </c>
      <c r="AA709" s="27">
        <f>IF(ISNUMBER($W709),$A709&amp;"|"&amp;$W709,"")</f>
        <v/>
      </c>
      <c r="AB709" s="27">
        <f>IF(ISNUMBER($F709),$A709&amp;"|"&amp;$F709,"")</f>
        <v/>
      </c>
      <c r="AC709" s="27">
        <f>IF(ISNUMBER($P709),COUNTIFS($A$14:$A$1213,$A709,$P$14:$P$1213,"&gt;"&amp;$P709)+(COUNTIFS($A$14:$A$1213,$A709,$P$14:$P$1213,"="&amp;$P709)+1)/2,"")</f>
        <v/>
      </c>
      <c r="AD709" s="27">
        <f>IF(ISNUMBER($Q709),COUNTIFS($A$14:$A$1213,$A709,$Q$14:$Q$1213,"&gt;"&amp;$Q709)+(COUNTIFS($A$14:$A$1213,$A709,$Q$14:$Q$1213,"="&amp;$Q709)+1)/2,"")</f>
        <v/>
      </c>
      <c r="AE709" s="27">
        <f>IF(ISNUMBER($R709),COUNTIFS($A$14:$A$1213,$A709,$R$14:$R$1213,"&gt;"&amp;$R709)+(COUNTIFS($A$14:$A$1213,$A709,$R$14:$R$1213,"="&amp;$R709)+1)/2,"")</f>
        <v/>
      </c>
      <c r="AF709" s="27">
        <f>IF(ISNUMBER($S709),COUNTIFS($A$14:$A$1213,$A709,$S$14:$S$1213,"&gt;"&amp;$S709)+(COUNTIFS($A$14:$A$1213,$A709,$S$14:$S$1213,"="&amp;$S709)+1)/2,"")</f>
        <v/>
      </c>
      <c r="AG709" s="27">
        <f>IF(ISNUMBER($T709),COUNTIFS($A$14:$A$1213,$A709,$T$14:$T$1213,"&gt;"&amp;$T709)+(COUNTIFS($A$14:$A$1213,$A709,$T$14:$T$1213,"="&amp;$T709)+1)/2,"")</f>
        <v/>
      </c>
      <c r="AH709" s="27">
        <f>IF(COUNT($AC709:$AG709)&lt;2,"",IF(MAX($AC709:$AG709)=MIN($AC709:$AG709),0,1))</f>
        <v/>
      </c>
      <c r="AI709" s="27">
        <f>IF($A709="","",IF(COUNTIF($A$14:$A709,$A709)=1,COUNTIF($AI$13:AI708,"&gt;0")+1,""))</f>
        <v/>
      </c>
      <c r="AO709" s="27">
        <f>IF($A709="","",IF(AND(COUNTIFS($A$14:$A$1213,$A709,$F$14:$F$1213,"&gt;=0")=2,IFERROR(INDEX($M$14:$M$313,MATCH($A709,$H$14:$H$313,0)),"Yes")&lt;&gt;"Yes"),1,0))</f>
        <v/>
      </c>
    </row>
    <row r="710">
      <c r="A710" s="19">
        <f>IF('Enter messages'!A710="","",'Enter messages'!A710)</f>
        <v/>
      </c>
      <c r="B710" s="20">
        <f>IF('Enter messages'!B710="","",'Enter messages'!B710)</f>
        <v/>
      </c>
      <c r="C710" s="21">
        <f>IFERROR(AVERAGE(P710:T710),"")</f>
        <v/>
      </c>
      <c r="D710" s="29" t="n"/>
      <c r="E710" s="29" t="n"/>
      <c r="F710" s="30">
        <f>IF(AND(ISNUMBER($D710),ISNUMBER($E710),$E710&gt;0,$D710&lt;=$E710),$D710/$E710,"")</f>
        <v/>
      </c>
      <c r="P710" s="26" t="n"/>
      <c r="Q710" s="26" t="n"/>
      <c r="R710" s="26" t="n"/>
      <c r="S710" s="26" t="n"/>
      <c r="T710" s="26" t="n"/>
      <c r="V710" s="27">
        <f>IF(ISNUMBER($C710),COUNTIFS($A$14:$A$1213,$A710,$C$14:$C$1213,"&gt;"&amp;$C710)+(COUNTIFS($A$14:$A$1213,$A710,$C$14:$C$1213,"="&amp;$C710)+1)/2,"")</f>
        <v/>
      </c>
      <c r="W710" s="27">
        <f>IF(ISNUMBER($F710),COUNTIFS($A$14:$A$1213,$A710,$F$14:$F$1213,"&gt;"&amp;$F710)+(COUNTIFS($A$14:$A$1213,$A710,$F$14:$F$1213,"="&amp;$F710)+1)/2,"")</f>
        <v/>
      </c>
      <c r="X710" s="27">
        <f>IF(OR(NOT(ISNUMBER($V710)),$AO710=1),"",$V710-(COUNTIFS($A$14:$A$1213,$A710,$C$14:$C$1213,"&gt;=0")+1)/2)</f>
        <v/>
      </c>
      <c r="Y710" s="27">
        <f>IF(OR(NOT(ISNUMBER($W710)),$AO710=1),"",$W710-(COUNTIFS($A$14:$A$1213,$A710,$F$14:$F$1213,"&gt;=0")+1)/2)</f>
        <v/>
      </c>
      <c r="Z710" s="27">
        <f>IF(ISNUMBER($V710),$A710&amp;"|"&amp;$V710,"")</f>
        <v/>
      </c>
      <c r="AA710" s="27">
        <f>IF(ISNUMBER($W710),$A710&amp;"|"&amp;$W710,"")</f>
        <v/>
      </c>
      <c r="AB710" s="27">
        <f>IF(ISNUMBER($F710),$A710&amp;"|"&amp;$F710,"")</f>
        <v/>
      </c>
      <c r="AC710" s="27">
        <f>IF(ISNUMBER($P710),COUNTIFS($A$14:$A$1213,$A710,$P$14:$P$1213,"&gt;"&amp;$P710)+(COUNTIFS($A$14:$A$1213,$A710,$P$14:$P$1213,"="&amp;$P710)+1)/2,"")</f>
        <v/>
      </c>
      <c r="AD710" s="27">
        <f>IF(ISNUMBER($Q710),COUNTIFS($A$14:$A$1213,$A710,$Q$14:$Q$1213,"&gt;"&amp;$Q710)+(COUNTIFS($A$14:$A$1213,$A710,$Q$14:$Q$1213,"="&amp;$Q710)+1)/2,"")</f>
        <v/>
      </c>
      <c r="AE710" s="27">
        <f>IF(ISNUMBER($R710),COUNTIFS($A$14:$A$1213,$A710,$R$14:$R$1213,"&gt;"&amp;$R710)+(COUNTIFS($A$14:$A$1213,$A710,$R$14:$R$1213,"="&amp;$R710)+1)/2,"")</f>
        <v/>
      </c>
      <c r="AF710" s="27">
        <f>IF(ISNUMBER($S710),COUNTIFS($A$14:$A$1213,$A710,$S$14:$S$1213,"&gt;"&amp;$S710)+(COUNTIFS($A$14:$A$1213,$A710,$S$14:$S$1213,"="&amp;$S710)+1)/2,"")</f>
        <v/>
      </c>
      <c r="AG710" s="27">
        <f>IF(ISNUMBER($T710),COUNTIFS($A$14:$A$1213,$A710,$T$14:$T$1213,"&gt;"&amp;$T710)+(COUNTIFS($A$14:$A$1213,$A710,$T$14:$T$1213,"="&amp;$T710)+1)/2,"")</f>
        <v/>
      </c>
      <c r="AH710" s="27">
        <f>IF(COUNT($AC710:$AG710)&lt;2,"",IF(MAX($AC710:$AG710)=MIN($AC710:$AG710),0,1))</f>
        <v/>
      </c>
      <c r="AI710" s="27">
        <f>IF($A710="","",IF(COUNTIF($A$14:$A710,$A710)=1,COUNTIF($AI$13:AI709,"&gt;0")+1,""))</f>
        <v/>
      </c>
      <c r="AO710" s="27">
        <f>IF($A710="","",IF(AND(COUNTIFS($A$14:$A$1213,$A710,$F$14:$F$1213,"&gt;=0")=2,IFERROR(INDEX($M$14:$M$313,MATCH($A710,$H$14:$H$313,0)),"Yes")&lt;&gt;"Yes"),1,0))</f>
        <v/>
      </c>
    </row>
    <row r="711">
      <c r="A711" s="19">
        <f>IF('Enter messages'!A711="","",'Enter messages'!A711)</f>
        <v/>
      </c>
      <c r="B711" s="20">
        <f>IF('Enter messages'!B711="","",'Enter messages'!B711)</f>
        <v/>
      </c>
      <c r="C711" s="21">
        <f>IFERROR(AVERAGE(P711:T711),"")</f>
        <v/>
      </c>
      <c r="D711" s="29" t="n"/>
      <c r="E711" s="29" t="n"/>
      <c r="F711" s="30">
        <f>IF(AND(ISNUMBER($D711),ISNUMBER($E711),$E711&gt;0,$D711&lt;=$E711),$D711/$E711,"")</f>
        <v/>
      </c>
      <c r="P711" s="26" t="n"/>
      <c r="Q711" s="26" t="n"/>
      <c r="R711" s="26" t="n"/>
      <c r="S711" s="26" t="n"/>
      <c r="T711" s="26" t="n"/>
      <c r="V711" s="27">
        <f>IF(ISNUMBER($C711),COUNTIFS($A$14:$A$1213,$A711,$C$14:$C$1213,"&gt;"&amp;$C711)+(COUNTIFS($A$14:$A$1213,$A711,$C$14:$C$1213,"="&amp;$C711)+1)/2,"")</f>
        <v/>
      </c>
      <c r="W711" s="27">
        <f>IF(ISNUMBER($F711),COUNTIFS($A$14:$A$1213,$A711,$F$14:$F$1213,"&gt;"&amp;$F711)+(COUNTIFS($A$14:$A$1213,$A711,$F$14:$F$1213,"="&amp;$F711)+1)/2,"")</f>
        <v/>
      </c>
      <c r="X711" s="27">
        <f>IF(OR(NOT(ISNUMBER($V711)),$AO711=1),"",$V711-(COUNTIFS($A$14:$A$1213,$A711,$C$14:$C$1213,"&gt;=0")+1)/2)</f>
        <v/>
      </c>
      <c r="Y711" s="27">
        <f>IF(OR(NOT(ISNUMBER($W711)),$AO711=1),"",$W711-(COUNTIFS($A$14:$A$1213,$A711,$F$14:$F$1213,"&gt;=0")+1)/2)</f>
        <v/>
      </c>
      <c r="Z711" s="27">
        <f>IF(ISNUMBER($V711),$A711&amp;"|"&amp;$V711,"")</f>
        <v/>
      </c>
      <c r="AA711" s="27">
        <f>IF(ISNUMBER($W711),$A711&amp;"|"&amp;$W711,"")</f>
        <v/>
      </c>
      <c r="AB711" s="27">
        <f>IF(ISNUMBER($F711),$A711&amp;"|"&amp;$F711,"")</f>
        <v/>
      </c>
      <c r="AC711" s="27">
        <f>IF(ISNUMBER($P711),COUNTIFS($A$14:$A$1213,$A711,$P$14:$P$1213,"&gt;"&amp;$P711)+(COUNTIFS($A$14:$A$1213,$A711,$P$14:$P$1213,"="&amp;$P711)+1)/2,"")</f>
        <v/>
      </c>
      <c r="AD711" s="27">
        <f>IF(ISNUMBER($Q711),COUNTIFS($A$14:$A$1213,$A711,$Q$14:$Q$1213,"&gt;"&amp;$Q711)+(COUNTIFS($A$14:$A$1213,$A711,$Q$14:$Q$1213,"="&amp;$Q711)+1)/2,"")</f>
        <v/>
      </c>
      <c r="AE711" s="27">
        <f>IF(ISNUMBER($R711),COUNTIFS($A$14:$A$1213,$A711,$R$14:$R$1213,"&gt;"&amp;$R711)+(COUNTIFS($A$14:$A$1213,$A711,$R$14:$R$1213,"="&amp;$R711)+1)/2,"")</f>
        <v/>
      </c>
      <c r="AF711" s="27">
        <f>IF(ISNUMBER($S711),COUNTIFS($A$14:$A$1213,$A711,$S$14:$S$1213,"&gt;"&amp;$S711)+(COUNTIFS($A$14:$A$1213,$A711,$S$14:$S$1213,"="&amp;$S711)+1)/2,"")</f>
        <v/>
      </c>
      <c r="AG711" s="27">
        <f>IF(ISNUMBER($T711),COUNTIFS($A$14:$A$1213,$A711,$T$14:$T$1213,"&gt;"&amp;$T711)+(COUNTIFS($A$14:$A$1213,$A711,$T$14:$T$1213,"="&amp;$T711)+1)/2,"")</f>
        <v/>
      </c>
      <c r="AH711" s="27">
        <f>IF(COUNT($AC711:$AG711)&lt;2,"",IF(MAX($AC711:$AG711)=MIN($AC711:$AG711),0,1))</f>
        <v/>
      </c>
      <c r="AI711" s="27">
        <f>IF($A711="","",IF(COUNTIF($A$14:$A711,$A711)=1,COUNTIF($AI$13:AI710,"&gt;0")+1,""))</f>
        <v/>
      </c>
      <c r="AO711" s="27">
        <f>IF($A711="","",IF(AND(COUNTIFS($A$14:$A$1213,$A711,$F$14:$F$1213,"&gt;=0")=2,IFERROR(INDEX($M$14:$M$313,MATCH($A711,$H$14:$H$313,0)),"Yes")&lt;&gt;"Yes"),1,0))</f>
        <v/>
      </c>
    </row>
    <row r="712">
      <c r="A712" s="19">
        <f>IF('Enter messages'!A712="","",'Enter messages'!A712)</f>
        <v/>
      </c>
      <c r="B712" s="20">
        <f>IF('Enter messages'!B712="","",'Enter messages'!B712)</f>
        <v/>
      </c>
      <c r="C712" s="21">
        <f>IFERROR(AVERAGE(P712:T712),"")</f>
        <v/>
      </c>
      <c r="D712" s="29" t="n"/>
      <c r="E712" s="29" t="n"/>
      <c r="F712" s="30">
        <f>IF(AND(ISNUMBER($D712),ISNUMBER($E712),$E712&gt;0,$D712&lt;=$E712),$D712/$E712,"")</f>
        <v/>
      </c>
      <c r="P712" s="26" t="n"/>
      <c r="Q712" s="26" t="n"/>
      <c r="R712" s="26" t="n"/>
      <c r="S712" s="26" t="n"/>
      <c r="T712" s="26" t="n"/>
      <c r="V712" s="27">
        <f>IF(ISNUMBER($C712),COUNTIFS($A$14:$A$1213,$A712,$C$14:$C$1213,"&gt;"&amp;$C712)+(COUNTIFS($A$14:$A$1213,$A712,$C$14:$C$1213,"="&amp;$C712)+1)/2,"")</f>
        <v/>
      </c>
      <c r="W712" s="27">
        <f>IF(ISNUMBER($F712),COUNTIFS($A$14:$A$1213,$A712,$F$14:$F$1213,"&gt;"&amp;$F712)+(COUNTIFS($A$14:$A$1213,$A712,$F$14:$F$1213,"="&amp;$F712)+1)/2,"")</f>
        <v/>
      </c>
      <c r="X712" s="27">
        <f>IF(OR(NOT(ISNUMBER($V712)),$AO712=1),"",$V712-(COUNTIFS($A$14:$A$1213,$A712,$C$14:$C$1213,"&gt;=0")+1)/2)</f>
        <v/>
      </c>
      <c r="Y712" s="27">
        <f>IF(OR(NOT(ISNUMBER($W712)),$AO712=1),"",$W712-(COUNTIFS($A$14:$A$1213,$A712,$F$14:$F$1213,"&gt;=0")+1)/2)</f>
        <v/>
      </c>
      <c r="Z712" s="27">
        <f>IF(ISNUMBER($V712),$A712&amp;"|"&amp;$V712,"")</f>
        <v/>
      </c>
      <c r="AA712" s="27">
        <f>IF(ISNUMBER($W712),$A712&amp;"|"&amp;$W712,"")</f>
        <v/>
      </c>
      <c r="AB712" s="27">
        <f>IF(ISNUMBER($F712),$A712&amp;"|"&amp;$F712,"")</f>
        <v/>
      </c>
      <c r="AC712" s="27">
        <f>IF(ISNUMBER($P712),COUNTIFS($A$14:$A$1213,$A712,$P$14:$P$1213,"&gt;"&amp;$P712)+(COUNTIFS($A$14:$A$1213,$A712,$P$14:$P$1213,"="&amp;$P712)+1)/2,"")</f>
        <v/>
      </c>
      <c r="AD712" s="27">
        <f>IF(ISNUMBER($Q712),COUNTIFS($A$14:$A$1213,$A712,$Q$14:$Q$1213,"&gt;"&amp;$Q712)+(COUNTIFS($A$14:$A$1213,$A712,$Q$14:$Q$1213,"="&amp;$Q712)+1)/2,"")</f>
        <v/>
      </c>
      <c r="AE712" s="27">
        <f>IF(ISNUMBER($R712),COUNTIFS($A$14:$A$1213,$A712,$R$14:$R$1213,"&gt;"&amp;$R712)+(COUNTIFS($A$14:$A$1213,$A712,$R$14:$R$1213,"="&amp;$R712)+1)/2,"")</f>
        <v/>
      </c>
      <c r="AF712" s="27">
        <f>IF(ISNUMBER($S712),COUNTIFS($A$14:$A$1213,$A712,$S$14:$S$1213,"&gt;"&amp;$S712)+(COUNTIFS($A$14:$A$1213,$A712,$S$14:$S$1213,"="&amp;$S712)+1)/2,"")</f>
        <v/>
      </c>
      <c r="AG712" s="27">
        <f>IF(ISNUMBER($T712),COUNTIFS($A$14:$A$1213,$A712,$T$14:$T$1213,"&gt;"&amp;$T712)+(COUNTIFS($A$14:$A$1213,$A712,$T$14:$T$1213,"="&amp;$T712)+1)/2,"")</f>
        <v/>
      </c>
      <c r="AH712" s="27">
        <f>IF(COUNT($AC712:$AG712)&lt;2,"",IF(MAX($AC712:$AG712)=MIN($AC712:$AG712),0,1))</f>
        <v/>
      </c>
      <c r="AI712" s="27">
        <f>IF($A712="","",IF(COUNTIF($A$14:$A712,$A712)=1,COUNTIF($AI$13:AI711,"&gt;0")+1,""))</f>
        <v/>
      </c>
      <c r="AO712" s="27">
        <f>IF($A712="","",IF(AND(COUNTIFS($A$14:$A$1213,$A712,$F$14:$F$1213,"&gt;=0")=2,IFERROR(INDEX($M$14:$M$313,MATCH($A712,$H$14:$H$313,0)),"Yes")&lt;&gt;"Yes"),1,0))</f>
        <v/>
      </c>
    </row>
    <row r="713">
      <c r="A713" s="19">
        <f>IF('Enter messages'!A713="","",'Enter messages'!A713)</f>
        <v/>
      </c>
      <c r="B713" s="20">
        <f>IF('Enter messages'!B713="","",'Enter messages'!B713)</f>
        <v/>
      </c>
      <c r="C713" s="21">
        <f>IFERROR(AVERAGE(P713:T713),"")</f>
        <v/>
      </c>
      <c r="D713" s="29" t="n"/>
      <c r="E713" s="29" t="n"/>
      <c r="F713" s="30">
        <f>IF(AND(ISNUMBER($D713),ISNUMBER($E713),$E713&gt;0,$D713&lt;=$E713),$D713/$E713,"")</f>
        <v/>
      </c>
      <c r="P713" s="26" t="n"/>
      <c r="Q713" s="26" t="n"/>
      <c r="R713" s="26" t="n"/>
      <c r="S713" s="26" t="n"/>
      <c r="T713" s="26" t="n"/>
      <c r="V713" s="27">
        <f>IF(ISNUMBER($C713),COUNTIFS($A$14:$A$1213,$A713,$C$14:$C$1213,"&gt;"&amp;$C713)+(COUNTIFS($A$14:$A$1213,$A713,$C$14:$C$1213,"="&amp;$C713)+1)/2,"")</f>
        <v/>
      </c>
      <c r="W713" s="27">
        <f>IF(ISNUMBER($F713),COUNTIFS($A$14:$A$1213,$A713,$F$14:$F$1213,"&gt;"&amp;$F713)+(COUNTIFS($A$14:$A$1213,$A713,$F$14:$F$1213,"="&amp;$F713)+1)/2,"")</f>
        <v/>
      </c>
      <c r="X713" s="27">
        <f>IF(OR(NOT(ISNUMBER($V713)),$AO713=1),"",$V713-(COUNTIFS($A$14:$A$1213,$A713,$C$14:$C$1213,"&gt;=0")+1)/2)</f>
        <v/>
      </c>
      <c r="Y713" s="27">
        <f>IF(OR(NOT(ISNUMBER($W713)),$AO713=1),"",$W713-(COUNTIFS($A$14:$A$1213,$A713,$F$14:$F$1213,"&gt;=0")+1)/2)</f>
        <v/>
      </c>
      <c r="Z713" s="27">
        <f>IF(ISNUMBER($V713),$A713&amp;"|"&amp;$V713,"")</f>
        <v/>
      </c>
      <c r="AA713" s="27">
        <f>IF(ISNUMBER($W713),$A713&amp;"|"&amp;$W713,"")</f>
        <v/>
      </c>
      <c r="AB713" s="27">
        <f>IF(ISNUMBER($F713),$A713&amp;"|"&amp;$F713,"")</f>
        <v/>
      </c>
      <c r="AC713" s="27">
        <f>IF(ISNUMBER($P713),COUNTIFS($A$14:$A$1213,$A713,$P$14:$P$1213,"&gt;"&amp;$P713)+(COUNTIFS($A$14:$A$1213,$A713,$P$14:$P$1213,"="&amp;$P713)+1)/2,"")</f>
        <v/>
      </c>
      <c r="AD713" s="27">
        <f>IF(ISNUMBER($Q713),COUNTIFS($A$14:$A$1213,$A713,$Q$14:$Q$1213,"&gt;"&amp;$Q713)+(COUNTIFS($A$14:$A$1213,$A713,$Q$14:$Q$1213,"="&amp;$Q713)+1)/2,"")</f>
        <v/>
      </c>
      <c r="AE713" s="27">
        <f>IF(ISNUMBER($R713),COUNTIFS($A$14:$A$1213,$A713,$R$14:$R$1213,"&gt;"&amp;$R713)+(COUNTIFS($A$14:$A$1213,$A713,$R$14:$R$1213,"="&amp;$R713)+1)/2,"")</f>
        <v/>
      </c>
      <c r="AF713" s="27">
        <f>IF(ISNUMBER($S713),COUNTIFS($A$14:$A$1213,$A713,$S$14:$S$1213,"&gt;"&amp;$S713)+(COUNTIFS($A$14:$A$1213,$A713,$S$14:$S$1213,"="&amp;$S713)+1)/2,"")</f>
        <v/>
      </c>
      <c r="AG713" s="27">
        <f>IF(ISNUMBER($T713),COUNTIFS($A$14:$A$1213,$A713,$T$14:$T$1213,"&gt;"&amp;$T713)+(COUNTIFS($A$14:$A$1213,$A713,$T$14:$T$1213,"="&amp;$T713)+1)/2,"")</f>
        <v/>
      </c>
      <c r="AH713" s="27">
        <f>IF(COUNT($AC713:$AG713)&lt;2,"",IF(MAX($AC713:$AG713)=MIN($AC713:$AG713),0,1))</f>
        <v/>
      </c>
      <c r="AI713" s="27">
        <f>IF($A713="","",IF(COUNTIF($A$14:$A713,$A713)=1,COUNTIF($AI$13:AI712,"&gt;0")+1,""))</f>
        <v/>
      </c>
      <c r="AO713" s="27">
        <f>IF($A713="","",IF(AND(COUNTIFS($A$14:$A$1213,$A713,$F$14:$F$1213,"&gt;=0")=2,IFERROR(INDEX($M$14:$M$313,MATCH($A713,$H$14:$H$313,0)),"Yes")&lt;&gt;"Yes"),1,0))</f>
        <v/>
      </c>
    </row>
    <row r="714">
      <c r="A714" s="19">
        <f>IF('Enter messages'!A714="","",'Enter messages'!A714)</f>
        <v/>
      </c>
      <c r="B714" s="20">
        <f>IF('Enter messages'!B714="","",'Enter messages'!B714)</f>
        <v/>
      </c>
      <c r="C714" s="21">
        <f>IFERROR(AVERAGE(P714:T714),"")</f>
        <v/>
      </c>
      <c r="D714" s="29" t="n"/>
      <c r="E714" s="29" t="n"/>
      <c r="F714" s="30">
        <f>IF(AND(ISNUMBER($D714),ISNUMBER($E714),$E714&gt;0,$D714&lt;=$E714),$D714/$E714,"")</f>
        <v/>
      </c>
      <c r="P714" s="26" t="n"/>
      <c r="Q714" s="26" t="n"/>
      <c r="R714" s="26" t="n"/>
      <c r="S714" s="26" t="n"/>
      <c r="T714" s="26" t="n"/>
      <c r="V714" s="27">
        <f>IF(ISNUMBER($C714),COUNTIFS($A$14:$A$1213,$A714,$C$14:$C$1213,"&gt;"&amp;$C714)+(COUNTIFS($A$14:$A$1213,$A714,$C$14:$C$1213,"="&amp;$C714)+1)/2,"")</f>
        <v/>
      </c>
      <c r="W714" s="27">
        <f>IF(ISNUMBER($F714),COUNTIFS($A$14:$A$1213,$A714,$F$14:$F$1213,"&gt;"&amp;$F714)+(COUNTIFS($A$14:$A$1213,$A714,$F$14:$F$1213,"="&amp;$F714)+1)/2,"")</f>
        <v/>
      </c>
      <c r="X714" s="27">
        <f>IF(OR(NOT(ISNUMBER($V714)),$AO714=1),"",$V714-(COUNTIFS($A$14:$A$1213,$A714,$C$14:$C$1213,"&gt;=0")+1)/2)</f>
        <v/>
      </c>
      <c r="Y714" s="27">
        <f>IF(OR(NOT(ISNUMBER($W714)),$AO714=1),"",$W714-(COUNTIFS($A$14:$A$1213,$A714,$F$14:$F$1213,"&gt;=0")+1)/2)</f>
        <v/>
      </c>
      <c r="Z714" s="27">
        <f>IF(ISNUMBER($V714),$A714&amp;"|"&amp;$V714,"")</f>
        <v/>
      </c>
      <c r="AA714" s="27">
        <f>IF(ISNUMBER($W714),$A714&amp;"|"&amp;$W714,"")</f>
        <v/>
      </c>
      <c r="AB714" s="27">
        <f>IF(ISNUMBER($F714),$A714&amp;"|"&amp;$F714,"")</f>
        <v/>
      </c>
      <c r="AC714" s="27">
        <f>IF(ISNUMBER($P714),COUNTIFS($A$14:$A$1213,$A714,$P$14:$P$1213,"&gt;"&amp;$P714)+(COUNTIFS($A$14:$A$1213,$A714,$P$14:$P$1213,"="&amp;$P714)+1)/2,"")</f>
        <v/>
      </c>
      <c r="AD714" s="27">
        <f>IF(ISNUMBER($Q714),COUNTIFS($A$14:$A$1213,$A714,$Q$14:$Q$1213,"&gt;"&amp;$Q714)+(COUNTIFS($A$14:$A$1213,$A714,$Q$14:$Q$1213,"="&amp;$Q714)+1)/2,"")</f>
        <v/>
      </c>
      <c r="AE714" s="27">
        <f>IF(ISNUMBER($R714),COUNTIFS($A$14:$A$1213,$A714,$R$14:$R$1213,"&gt;"&amp;$R714)+(COUNTIFS($A$14:$A$1213,$A714,$R$14:$R$1213,"="&amp;$R714)+1)/2,"")</f>
        <v/>
      </c>
      <c r="AF714" s="27">
        <f>IF(ISNUMBER($S714),COUNTIFS($A$14:$A$1213,$A714,$S$14:$S$1213,"&gt;"&amp;$S714)+(COUNTIFS($A$14:$A$1213,$A714,$S$14:$S$1213,"="&amp;$S714)+1)/2,"")</f>
        <v/>
      </c>
      <c r="AG714" s="27">
        <f>IF(ISNUMBER($T714),COUNTIFS($A$14:$A$1213,$A714,$T$14:$T$1213,"&gt;"&amp;$T714)+(COUNTIFS($A$14:$A$1213,$A714,$T$14:$T$1213,"="&amp;$T714)+1)/2,"")</f>
        <v/>
      </c>
      <c r="AH714" s="27">
        <f>IF(COUNT($AC714:$AG714)&lt;2,"",IF(MAX($AC714:$AG714)=MIN($AC714:$AG714),0,1))</f>
        <v/>
      </c>
      <c r="AI714" s="27">
        <f>IF($A714="","",IF(COUNTIF($A$14:$A714,$A714)=1,COUNTIF($AI$13:AI713,"&gt;0")+1,""))</f>
        <v/>
      </c>
      <c r="AO714" s="27">
        <f>IF($A714="","",IF(AND(COUNTIFS($A$14:$A$1213,$A714,$F$14:$F$1213,"&gt;=0")=2,IFERROR(INDEX($M$14:$M$313,MATCH($A714,$H$14:$H$313,0)),"Yes")&lt;&gt;"Yes"),1,0))</f>
        <v/>
      </c>
    </row>
    <row r="715">
      <c r="A715" s="19">
        <f>IF('Enter messages'!A715="","",'Enter messages'!A715)</f>
        <v/>
      </c>
      <c r="B715" s="20">
        <f>IF('Enter messages'!B715="","",'Enter messages'!B715)</f>
        <v/>
      </c>
      <c r="C715" s="21">
        <f>IFERROR(AVERAGE(P715:T715),"")</f>
        <v/>
      </c>
      <c r="D715" s="29" t="n"/>
      <c r="E715" s="29" t="n"/>
      <c r="F715" s="30">
        <f>IF(AND(ISNUMBER($D715),ISNUMBER($E715),$E715&gt;0,$D715&lt;=$E715),$D715/$E715,"")</f>
        <v/>
      </c>
      <c r="P715" s="26" t="n"/>
      <c r="Q715" s="26" t="n"/>
      <c r="R715" s="26" t="n"/>
      <c r="S715" s="26" t="n"/>
      <c r="T715" s="26" t="n"/>
      <c r="V715" s="27">
        <f>IF(ISNUMBER($C715),COUNTIFS($A$14:$A$1213,$A715,$C$14:$C$1213,"&gt;"&amp;$C715)+(COUNTIFS($A$14:$A$1213,$A715,$C$14:$C$1213,"="&amp;$C715)+1)/2,"")</f>
        <v/>
      </c>
      <c r="W715" s="27">
        <f>IF(ISNUMBER($F715),COUNTIFS($A$14:$A$1213,$A715,$F$14:$F$1213,"&gt;"&amp;$F715)+(COUNTIFS($A$14:$A$1213,$A715,$F$14:$F$1213,"="&amp;$F715)+1)/2,"")</f>
        <v/>
      </c>
      <c r="X715" s="27">
        <f>IF(OR(NOT(ISNUMBER($V715)),$AO715=1),"",$V715-(COUNTIFS($A$14:$A$1213,$A715,$C$14:$C$1213,"&gt;=0")+1)/2)</f>
        <v/>
      </c>
      <c r="Y715" s="27">
        <f>IF(OR(NOT(ISNUMBER($W715)),$AO715=1),"",$W715-(COUNTIFS($A$14:$A$1213,$A715,$F$14:$F$1213,"&gt;=0")+1)/2)</f>
        <v/>
      </c>
      <c r="Z715" s="27">
        <f>IF(ISNUMBER($V715),$A715&amp;"|"&amp;$V715,"")</f>
        <v/>
      </c>
      <c r="AA715" s="27">
        <f>IF(ISNUMBER($W715),$A715&amp;"|"&amp;$W715,"")</f>
        <v/>
      </c>
      <c r="AB715" s="27">
        <f>IF(ISNUMBER($F715),$A715&amp;"|"&amp;$F715,"")</f>
        <v/>
      </c>
      <c r="AC715" s="27">
        <f>IF(ISNUMBER($P715),COUNTIFS($A$14:$A$1213,$A715,$P$14:$P$1213,"&gt;"&amp;$P715)+(COUNTIFS($A$14:$A$1213,$A715,$P$14:$P$1213,"="&amp;$P715)+1)/2,"")</f>
        <v/>
      </c>
      <c r="AD715" s="27">
        <f>IF(ISNUMBER($Q715),COUNTIFS($A$14:$A$1213,$A715,$Q$14:$Q$1213,"&gt;"&amp;$Q715)+(COUNTIFS($A$14:$A$1213,$A715,$Q$14:$Q$1213,"="&amp;$Q715)+1)/2,"")</f>
        <v/>
      </c>
      <c r="AE715" s="27">
        <f>IF(ISNUMBER($R715),COUNTIFS($A$14:$A$1213,$A715,$R$14:$R$1213,"&gt;"&amp;$R715)+(COUNTIFS($A$14:$A$1213,$A715,$R$14:$R$1213,"="&amp;$R715)+1)/2,"")</f>
        <v/>
      </c>
      <c r="AF715" s="27">
        <f>IF(ISNUMBER($S715),COUNTIFS($A$14:$A$1213,$A715,$S$14:$S$1213,"&gt;"&amp;$S715)+(COUNTIFS($A$14:$A$1213,$A715,$S$14:$S$1213,"="&amp;$S715)+1)/2,"")</f>
        <v/>
      </c>
      <c r="AG715" s="27">
        <f>IF(ISNUMBER($T715),COUNTIFS($A$14:$A$1213,$A715,$T$14:$T$1213,"&gt;"&amp;$T715)+(COUNTIFS($A$14:$A$1213,$A715,$T$14:$T$1213,"="&amp;$T715)+1)/2,"")</f>
        <v/>
      </c>
      <c r="AH715" s="27">
        <f>IF(COUNT($AC715:$AG715)&lt;2,"",IF(MAX($AC715:$AG715)=MIN($AC715:$AG715),0,1))</f>
        <v/>
      </c>
      <c r="AI715" s="27">
        <f>IF($A715="","",IF(COUNTIF($A$14:$A715,$A715)=1,COUNTIF($AI$13:AI714,"&gt;0")+1,""))</f>
        <v/>
      </c>
      <c r="AO715" s="27">
        <f>IF($A715="","",IF(AND(COUNTIFS($A$14:$A$1213,$A715,$F$14:$F$1213,"&gt;=0")=2,IFERROR(INDEX($M$14:$M$313,MATCH($A715,$H$14:$H$313,0)),"Yes")&lt;&gt;"Yes"),1,0))</f>
        <v/>
      </c>
    </row>
    <row r="716">
      <c r="A716" s="19">
        <f>IF('Enter messages'!A716="","",'Enter messages'!A716)</f>
        <v/>
      </c>
      <c r="B716" s="20">
        <f>IF('Enter messages'!B716="","",'Enter messages'!B716)</f>
        <v/>
      </c>
      <c r="C716" s="21">
        <f>IFERROR(AVERAGE(P716:T716),"")</f>
        <v/>
      </c>
      <c r="D716" s="29" t="n"/>
      <c r="E716" s="29" t="n"/>
      <c r="F716" s="30">
        <f>IF(AND(ISNUMBER($D716),ISNUMBER($E716),$E716&gt;0,$D716&lt;=$E716),$D716/$E716,"")</f>
        <v/>
      </c>
      <c r="P716" s="26" t="n"/>
      <c r="Q716" s="26" t="n"/>
      <c r="R716" s="26" t="n"/>
      <c r="S716" s="26" t="n"/>
      <c r="T716" s="26" t="n"/>
      <c r="V716" s="27">
        <f>IF(ISNUMBER($C716),COUNTIFS($A$14:$A$1213,$A716,$C$14:$C$1213,"&gt;"&amp;$C716)+(COUNTIFS($A$14:$A$1213,$A716,$C$14:$C$1213,"="&amp;$C716)+1)/2,"")</f>
        <v/>
      </c>
      <c r="W716" s="27">
        <f>IF(ISNUMBER($F716),COUNTIFS($A$14:$A$1213,$A716,$F$14:$F$1213,"&gt;"&amp;$F716)+(COUNTIFS($A$14:$A$1213,$A716,$F$14:$F$1213,"="&amp;$F716)+1)/2,"")</f>
        <v/>
      </c>
      <c r="X716" s="27">
        <f>IF(OR(NOT(ISNUMBER($V716)),$AO716=1),"",$V716-(COUNTIFS($A$14:$A$1213,$A716,$C$14:$C$1213,"&gt;=0")+1)/2)</f>
        <v/>
      </c>
      <c r="Y716" s="27">
        <f>IF(OR(NOT(ISNUMBER($W716)),$AO716=1),"",$W716-(COUNTIFS($A$14:$A$1213,$A716,$F$14:$F$1213,"&gt;=0")+1)/2)</f>
        <v/>
      </c>
      <c r="Z716" s="27">
        <f>IF(ISNUMBER($V716),$A716&amp;"|"&amp;$V716,"")</f>
        <v/>
      </c>
      <c r="AA716" s="27">
        <f>IF(ISNUMBER($W716),$A716&amp;"|"&amp;$W716,"")</f>
        <v/>
      </c>
      <c r="AB716" s="27">
        <f>IF(ISNUMBER($F716),$A716&amp;"|"&amp;$F716,"")</f>
        <v/>
      </c>
      <c r="AC716" s="27">
        <f>IF(ISNUMBER($P716),COUNTIFS($A$14:$A$1213,$A716,$P$14:$P$1213,"&gt;"&amp;$P716)+(COUNTIFS($A$14:$A$1213,$A716,$P$14:$P$1213,"="&amp;$P716)+1)/2,"")</f>
        <v/>
      </c>
      <c r="AD716" s="27">
        <f>IF(ISNUMBER($Q716),COUNTIFS($A$14:$A$1213,$A716,$Q$14:$Q$1213,"&gt;"&amp;$Q716)+(COUNTIFS($A$14:$A$1213,$A716,$Q$14:$Q$1213,"="&amp;$Q716)+1)/2,"")</f>
        <v/>
      </c>
      <c r="AE716" s="27">
        <f>IF(ISNUMBER($R716),COUNTIFS($A$14:$A$1213,$A716,$R$14:$R$1213,"&gt;"&amp;$R716)+(COUNTIFS($A$14:$A$1213,$A716,$R$14:$R$1213,"="&amp;$R716)+1)/2,"")</f>
        <v/>
      </c>
      <c r="AF716" s="27">
        <f>IF(ISNUMBER($S716),COUNTIFS($A$14:$A$1213,$A716,$S$14:$S$1213,"&gt;"&amp;$S716)+(COUNTIFS($A$14:$A$1213,$A716,$S$14:$S$1213,"="&amp;$S716)+1)/2,"")</f>
        <v/>
      </c>
      <c r="AG716" s="27">
        <f>IF(ISNUMBER($T716),COUNTIFS($A$14:$A$1213,$A716,$T$14:$T$1213,"&gt;"&amp;$T716)+(COUNTIFS($A$14:$A$1213,$A716,$T$14:$T$1213,"="&amp;$T716)+1)/2,"")</f>
        <v/>
      </c>
      <c r="AH716" s="27">
        <f>IF(COUNT($AC716:$AG716)&lt;2,"",IF(MAX($AC716:$AG716)=MIN($AC716:$AG716),0,1))</f>
        <v/>
      </c>
      <c r="AI716" s="27">
        <f>IF($A716="","",IF(COUNTIF($A$14:$A716,$A716)=1,COUNTIF($AI$13:AI715,"&gt;0")+1,""))</f>
        <v/>
      </c>
      <c r="AO716" s="27">
        <f>IF($A716="","",IF(AND(COUNTIFS($A$14:$A$1213,$A716,$F$14:$F$1213,"&gt;=0")=2,IFERROR(INDEX($M$14:$M$313,MATCH($A716,$H$14:$H$313,0)),"Yes")&lt;&gt;"Yes"),1,0))</f>
        <v/>
      </c>
    </row>
    <row r="717">
      <c r="A717" s="19">
        <f>IF('Enter messages'!A717="","",'Enter messages'!A717)</f>
        <v/>
      </c>
      <c r="B717" s="20">
        <f>IF('Enter messages'!B717="","",'Enter messages'!B717)</f>
        <v/>
      </c>
      <c r="C717" s="21">
        <f>IFERROR(AVERAGE(P717:T717),"")</f>
        <v/>
      </c>
      <c r="D717" s="29" t="n"/>
      <c r="E717" s="29" t="n"/>
      <c r="F717" s="30">
        <f>IF(AND(ISNUMBER($D717),ISNUMBER($E717),$E717&gt;0,$D717&lt;=$E717),$D717/$E717,"")</f>
        <v/>
      </c>
      <c r="P717" s="26" t="n"/>
      <c r="Q717" s="26" t="n"/>
      <c r="R717" s="26" t="n"/>
      <c r="S717" s="26" t="n"/>
      <c r="T717" s="26" t="n"/>
      <c r="V717" s="27">
        <f>IF(ISNUMBER($C717),COUNTIFS($A$14:$A$1213,$A717,$C$14:$C$1213,"&gt;"&amp;$C717)+(COUNTIFS($A$14:$A$1213,$A717,$C$14:$C$1213,"="&amp;$C717)+1)/2,"")</f>
        <v/>
      </c>
      <c r="W717" s="27">
        <f>IF(ISNUMBER($F717),COUNTIFS($A$14:$A$1213,$A717,$F$14:$F$1213,"&gt;"&amp;$F717)+(COUNTIFS($A$14:$A$1213,$A717,$F$14:$F$1213,"="&amp;$F717)+1)/2,"")</f>
        <v/>
      </c>
      <c r="X717" s="27">
        <f>IF(OR(NOT(ISNUMBER($V717)),$AO717=1),"",$V717-(COUNTIFS($A$14:$A$1213,$A717,$C$14:$C$1213,"&gt;=0")+1)/2)</f>
        <v/>
      </c>
      <c r="Y717" s="27">
        <f>IF(OR(NOT(ISNUMBER($W717)),$AO717=1),"",$W717-(COUNTIFS($A$14:$A$1213,$A717,$F$14:$F$1213,"&gt;=0")+1)/2)</f>
        <v/>
      </c>
      <c r="Z717" s="27">
        <f>IF(ISNUMBER($V717),$A717&amp;"|"&amp;$V717,"")</f>
        <v/>
      </c>
      <c r="AA717" s="27">
        <f>IF(ISNUMBER($W717),$A717&amp;"|"&amp;$W717,"")</f>
        <v/>
      </c>
      <c r="AB717" s="27">
        <f>IF(ISNUMBER($F717),$A717&amp;"|"&amp;$F717,"")</f>
        <v/>
      </c>
      <c r="AC717" s="27">
        <f>IF(ISNUMBER($P717),COUNTIFS($A$14:$A$1213,$A717,$P$14:$P$1213,"&gt;"&amp;$P717)+(COUNTIFS($A$14:$A$1213,$A717,$P$14:$P$1213,"="&amp;$P717)+1)/2,"")</f>
        <v/>
      </c>
      <c r="AD717" s="27">
        <f>IF(ISNUMBER($Q717),COUNTIFS($A$14:$A$1213,$A717,$Q$14:$Q$1213,"&gt;"&amp;$Q717)+(COUNTIFS($A$14:$A$1213,$A717,$Q$14:$Q$1213,"="&amp;$Q717)+1)/2,"")</f>
        <v/>
      </c>
      <c r="AE717" s="27">
        <f>IF(ISNUMBER($R717),COUNTIFS($A$14:$A$1213,$A717,$R$14:$R$1213,"&gt;"&amp;$R717)+(COUNTIFS($A$14:$A$1213,$A717,$R$14:$R$1213,"="&amp;$R717)+1)/2,"")</f>
        <v/>
      </c>
      <c r="AF717" s="27">
        <f>IF(ISNUMBER($S717),COUNTIFS($A$14:$A$1213,$A717,$S$14:$S$1213,"&gt;"&amp;$S717)+(COUNTIFS($A$14:$A$1213,$A717,$S$14:$S$1213,"="&amp;$S717)+1)/2,"")</f>
        <v/>
      </c>
      <c r="AG717" s="27">
        <f>IF(ISNUMBER($T717),COUNTIFS($A$14:$A$1213,$A717,$T$14:$T$1213,"&gt;"&amp;$T717)+(COUNTIFS($A$14:$A$1213,$A717,$T$14:$T$1213,"="&amp;$T717)+1)/2,"")</f>
        <v/>
      </c>
      <c r="AH717" s="27">
        <f>IF(COUNT($AC717:$AG717)&lt;2,"",IF(MAX($AC717:$AG717)=MIN($AC717:$AG717),0,1))</f>
        <v/>
      </c>
      <c r="AI717" s="27">
        <f>IF($A717="","",IF(COUNTIF($A$14:$A717,$A717)=1,COUNTIF($AI$13:AI716,"&gt;0")+1,""))</f>
        <v/>
      </c>
      <c r="AO717" s="27">
        <f>IF($A717="","",IF(AND(COUNTIFS($A$14:$A$1213,$A717,$F$14:$F$1213,"&gt;=0")=2,IFERROR(INDEX($M$14:$M$313,MATCH($A717,$H$14:$H$313,0)),"Yes")&lt;&gt;"Yes"),1,0))</f>
        <v/>
      </c>
    </row>
    <row r="718">
      <c r="A718" s="19">
        <f>IF('Enter messages'!A718="","",'Enter messages'!A718)</f>
        <v/>
      </c>
      <c r="B718" s="20">
        <f>IF('Enter messages'!B718="","",'Enter messages'!B718)</f>
        <v/>
      </c>
      <c r="C718" s="21">
        <f>IFERROR(AVERAGE(P718:T718),"")</f>
        <v/>
      </c>
      <c r="D718" s="29" t="n"/>
      <c r="E718" s="29" t="n"/>
      <c r="F718" s="30">
        <f>IF(AND(ISNUMBER($D718),ISNUMBER($E718),$E718&gt;0,$D718&lt;=$E718),$D718/$E718,"")</f>
        <v/>
      </c>
      <c r="P718" s="26" t="n"/>
      <c r="Q718" s="26" t="n"/>
      <c r="R718" s="26" t="n"/>
      <c r="S718" s="26" t="n"/>
      <c r="T718" s="26" t="n"/>
      <c r="V718" s="27">
        <f>IF(ISNUMBER($C718),COUNTIFS($A$14:$A$1213,$A718,$C$14:$C$1213,"&gt;"&amp;$C718)+(COUNTIFS($A$14:$A$1213,$A718,$C$14:$C$1213,"="&amp;$C718)+1)/2,"")</f>
        <v/>
      </c>
      <c r="W718" s="27">
        <f>IF(ISNUMBER($F718),COUNTIFS($A$14:$A$1213,$A718,$F$14:$F$1213,"&gt;"&amp;$F718)+(COUNTIFS($A$14:$A$1213,$A718,$F$14:$F$1213,"="&amp;$F718)+1)/2,"")</f>
        <v/>
      </c>
      <c r="X718" s="27">
        <f>IF(OR(NOT(ISNUMBER($V718)),$AO718=1),"",$V718-(COUNTIFS($A$14:$A$1213,$A718,$C$14:$C$1213,"&gt;=0")+1)/2)</f>
        <v/>
      </c>
      <c r="Y718" s="27">
        <f>IF(OR(NOT(ISNUMBER($W718)),$AO718=1),"",$W718-(COUNTIFS($A$14:$A$1213,$A718,$F$14:$F$1213,"&gt;=0")+1)/2)</f>
        <v/>
      </c>
      <c r="Z718" s="27">
        <f>IF(ISNUMBER($V718),$A718&amp;"|"&amp;$V718,"")</f>
        <v/>
      </c>
      <c r="AA718" s="27">
        <f>IF(ISNUMBER($W718),$A718&amp;"|"&amp;$W718,"")</f>
        <v/>
      </c>
      <c r="AB718" s="27">
        <f>IF(ISNUMBER($F718),$A718&amp;"|"&amp;$F718,"")</f>
        <v/>
      </c>
      <c r="AC718" s="27">
        <f>IF(ISNUMBER($P718),COUNTIFS($A$14:$A$1213,$A718,$P$14:$P$1213,"&gt;"&amp;$P718)+(COUNTIFS($A$14:$A$1213,$A718,$P$14:$P$1213,"="&amp;$P718)+1)/2,"")</f>
        <v/>
      </c>
      <c r="AD718" s="27">
        <f>IF(ISNUMBER($Q718),COUNTIFS($A$14:$A$1213,$A718,$Q$14:$Q$1213,"&gt;"&amp;$Q718)+(COUNTIFS($A$14:$A$1213,$A718,$Q$14:$Q$1213,"="&amp;$Q718)+1)/2,"")</f>
        <v/>
      </c>
      <c r="AE718" s="27">
        <f>IF(ISNUMBER($R718),COUNTIFS($A$14:$A$1213,$A718,$R$14:$R$1213,"&gt;"&amp;$R718)+(COUNTIFS($A$14:$A$1213,$A718,$R$14:$R$1213,"="&amp;$R718)+1)/2,"")</f>
        <v/>
      </c>
      <c r="AF718" s="27">
        <f>IF(ISNUMBER($S718),COUNTIFS($A$14:$A$1213,$A718,$S$14:$S$1213,"&gt;"&amp;$S718)+(COUNTIFS($A$14:$A$1213,$A718,$S$14:$S$1213,"="&amp;$S718)+1)/2,"")</f>
        <v/>
      </c>
      <c r="AG718" s="27">
        <f>IF(ISNUMBER($T718),COUNTIFS($A$14:$A$1213,$A718,$T$14:$T$1213,"&gt;"&amp;$T718)+(COUNTIFS($A$14:$A$1213,$A718,$T$14:$T$1213,"="&amp;$T718)+1)/2,"")</f>
        <v/>
      </c>
      <c r="AH718" s="27">
        <f>IF(COUNT($AC718:$AG718)&lt;2,"",IF(MAX($AC718:$AG718)=MIN($AC718:$AG718),0,1))</f>
        <v/>
      </c>
      <c r="AI718" s="27">
        <f>IF($A718="","",IF(COUNTIF($A$14:$A718,$A718)=1,COUNTIF($AI$13:AI717,"&gt;0")+1,""))</f>
        <v/>
      </c>
      <c r="AO718" s="27">
        <f>IF($A718="","",IF(AND(COUNTIFS($A$14:$A$1213,$A718,$F$14:$F$1213,"&gt;=0")=2,IFERROR(INDEX($M$14:$M$313,MATCH($A718,$H$14:$H$313,0)),"Yes")&lt;&gt;"Yes"),1,0))</f>
        <v/>
      </c>
    </row>
    <row r="719">
      <c r="A719" s="19">
        <f>IF('Enter messages'!A719="","",'Enter messages'!A719)</f>
        <v/>
      </c>
      <c r="B719" s="20">
        <f>IF('Enter messages'!B719="","",'Enter messages'!B719)</f>
        <v/>
      </c>
      <c r="C719" s="21">
        <f>IFERROR(AVERAGE(P719:T719),"")</f>
        <v/>
      </c>
      <c r="D719" s="29" t="n"/>
      <c r="E719" s="29" t="n"/>
      <c r="F719" s="30">
        <f>IF(AND(ISNUMBER($D719),ISNUMBER($E719),$E719&gt;0,$D719&lt;=$E719),$D719/$E719,"")</f>
        <v/>
      </c>
      <c r="P719" s="26" t="n"/>
      <c r="Q719" s="26" t="n"/>
      <c r="R719" s="26" t="n"/>
      <c r="S719" s="26" t="n"/>
      <c r="T719" s="26" t="n"/>
      <c r="V719" s="27">
        <f>IF(ISNUMBER($C719),COUNTIFS($A$14:$A$1213,$A719,$C$14:$C$1213,"&gt;"&amp;$C719)+(COUNTIFS($A$14:$A$1213,$A719,$C$14:$C$1213,"="&amp;$C719)+1)/2,"")</f>
        <v/>
      </c>
      <c r="W719" s="27">
        <f>IF(ISNUMBER($F719),COUNTIFS($A$14:$A$1213,$A719,$F$14:$F$1213,"&gt;"&amp;$F719)+(COUNTIFS($A$14:$A$1213,$A719,$F$14:$F$1213,"="&amp;$F719)+1)/2,"")</f>
        <v/>
      </c>
      <c r="X719" s="27">
        <f>IF(OR(NOT(ISNUMBER($V719)),$AO719=1),"",$V719-(COUNTIFS($A$14:$A$1213,$A719,$C$14:$C$1213,"&gt;=0")+1)/2)</f>
        <v/>
      </c>
      <c r="Y719" s="27">
        <f>IF(OR(NOT(ISNUMBER($W719)),$AO719=1),"",$W719-(COUNTIFS($A$14:$A$1213,$A719,$F$14:$F$1213,"&gt;=0")+1)/2)</f>
        <v/>
      </c>
      <c r="Z719" s="27">
        <f>IF(ISNUMBER($V719),$A719&amp;"|"&amp;$V719,"")</f>
        <v/>
      </c>
      <c r="AA719" s="27">
        <f>IF(ISNUMBER($W719),$A719&amp;"|"&amp;$W719,"")</f>
        <v/>
      </c>
      <c r="AB719" s="27">
        <f>IF(ISNUMBER($F719),$A719&amp;"|"&amp;$F719,"")</f>
        <v/>
      </c>
      <c r="AC719" s="27">
        <f>IF(ISNUMBER($P719),COUNTIFS($A$14:$A$1213,$A719,$P$14:$P$1213,"&gt;"&amp;$P719)+(COUNTIFS($A$14:$A$1213,$A719,$P$14:$P$1213,"="&amp;$P719)+1)/2,"")</f>
        <v/>
      </c>
      <c r="AD719" s="27">
        <f>IF(ISNUMBER($Q719),COUNTIFS($A$14:$A$1213,$A719,$Q$14:$Q$1213,"&gt;"&amp;$Q719)+(COUNTIFS($A$14:$A$1213,$A719,$Q$14:$Q$1213,"="&amp;$Q719)+1)/2,"")</f>
        <v/>
      </c>
      <c r="AE719" s="27">
        <f>IF(ISNUMBER($R719),COUNTIFS($A$14:$A$1213,$A719,$R$14:$R$1213,"&gt;"&amp;$R719)+(COUNTIFS($A$14:$A$1213,$A719,$R$14:$R$1213,"="&amp;$R719)+1)/2,"")</f>
        <v/>
      </c>
      <c r="AF719" s="27">
        <f>IF(ISNUMBER($S719),COUNTIFS($A$14:$A$1213,$A719,$S$14:$S$1213,"&gt;"&amp;$S719)+(COUNTIFS($A$14:$A$1213,$A719,$S$14:$S$1213,"="&amp;$S719)+1)/2,"")</f>
        <v/>
      </c>
      <c r="AG719" s="27">
        <f>IF(ISNUMBER($T719),COUNTIFS($A$14:$A$1213,$A719,$T$14:$T$1213,"&gt;"&amp;$T719)+(COUNTIFS($A$14:$A$1213,$A719,$T$14:$T$1213,"="&amp;$T719)+1)/2,"")</f>
        <v/>
      </c>
      <c r="AH719" s="27">
        <f>IF(COUNT($AC719:$AG719)&lt;2,"",IF(MAX($AC719:$AG719)=MIN($AC719:$AG719),0,1))</f>
        <v/>
      </c>
      <c r="AI719" s="27">
        <f>IF($A719="","",IF(COUNTIF($A$14:$A719,$A719)=1,COUNTIF($AI$13:AI718,"&gt;0")+1,""))</f>
        <v/>
      </c>
      <c r="AO719" s="27">
        <f>IF($A719="","",IF(AND(COUNTIFS($A$14:$A$1213,$A719,$F$14:$F$1213,"&gt;=0")=2,IFERROR(INDEX($M$14:$M$313,MATCH($A719,$H$14:$H$313,0)),"Yes")&lt;&gt;"Yes"),1,0))</f>
        <v/>
      </c>
    </row>
    <row r="720">
      <c r="A720" s="19">
        <f>IF('Enter messages'!A720="","",'Enter messages'!A720)</f>
        <v/>
      </c>
      <c r="B720" s="20">
        <f>IF('Enter messages'!B720="","",'Enter messages'!B720)</f>
        <v/>
      </c>
      <c r="C720" s="21">
        <f>IFERROR(AVERAGE(P720:T720),"")</f>
        <v/>
      </c>
      <c r="D720" s="29" t="n"/>
      <c r="E720" s="29" t="n"/>
      <c r="F720" s="30">
        <f>IF(AND(ISNUMBER($D720),ISNUMBER($E720),$E720&gt;0,$D720&lt;=$E720),$D720/$E720,"")</f>
        <v/>
      </c>
      <c r="P720" s="26" t="n"/>
      <c r="Q720" s="26" t="n"/>
      <c r="R720" s="26" t="n"/>
      <c r="S720" s="26" t="n"/>
      <c r="T720" s="26" t="n"/>
      <c r="V720" s="27">
        <f>IF(ISNUMBER($C720),COUNTIFS($A$14:$A$1213,$A720,$C$14:$C$1213,"&gt;"&amp;$C720)+(COUNTIFS($A$14:$A$1213,$A720,$C$14:$C$1213,"="&amp;$C720)+1)/2,"")</f>
        <v/>
      </c>
      <c r="W720" s="27">
        <f>IF(ISNUMBER($F720),COUNTIFS($A$14:$A$1213,$A720,$F$14:$F$1213,"&gt;"&amp;$F720)+(COUNTIFS($A$14:$A$1213,$A720,$F$14:$F$1213,"="&amp;$F720)+1)/2,"")</f>
        <v/>
      </c>
      <c r="X720" s="27">
        <f>IF(OR(NOT(ISNUMBER($V720)),$AO720=1),"",$V720-(COUNTIFS($A$14:$A$1213,$A720,$C$14:$C$1213,"&gt;=0")+1)/2)</f>
        <v/>
      </c>
      <c r="Y720" s="27">
        <f>IF(OR(NOT(ISNUMBER($W720)),$AO720=1),"",$W720-(COUNTIFS($A$14:$A$1213,$A720,$F$14:$F$1213,"&gt;=0")+1)/2)</f>
        <v/>
      </c>
      <c r="Z720" s="27">
        <f>IF(ISNUMBER($V720),$A720&amp;"|"&amp;$V720,"")</f>
        <v/>
      </c>
      <c r="AA720" s="27">
        <f>IF(ISNUMBER($W720),$A720&amp;"|"&amp;$W720,"")</f>
        <v/>
      </c>
      <c r="AB720" s="27">
        <f>IF(ISNUMBER($F720),$A720&amp;"|"&amp;$F720,"")</f>
        <v/>
      </c>
      <c r="AC720" s="27">
        <f>IF(ISNUMBER($P720),COUNTIFS($A$14:$A$1213,$A720,$P$14:$P$1213,"&gt;"&amp;$P720)+(COUNTIFS($A$14:$A$1213,$A720,$P$14:$P$1213,"="&amp;$P720)+1)/2,"")</f>
        <v/>
      </c>
      <c r="AD720" s="27">
        <f>IF(ISNUMBER($Q720),COUNTIFS($A$14:$A$1213,$A720,$Q$14:$Q$1213,"&gt;"&amp;$Q720)+(COUNTIFS($A$14:$A$1213,$A720,$Q$14:$Q$1213,"="&amp;$Q720)+1)/2,"")</f>
        <v/>
      </c>
      <c r="AE720" s="27">
        <f>IF(ISNUMBER($R720),COUNTIFS($A$14:$A$1213,$A720,$R$14:$R$1213,"&gt;"&amp;$R720)+(COUNTIFS($A$14:$A$1213,$A720,$R$14:$R$1213,"="&amp;$R720)+1)/2,"")</f>
        <v/>
      </c>
      <c r="AF720" s="27">
        <f>IF(ISNUMBER($S720),COUNTIFS($A$14:$A$1213,$A720,$S$14:$S$1213,"&gt;"&amp;$S720)+(COUNTIFS($A$14:$A$1213,$A720,$S$14:$S$1213,"="&amp;$S720)+1)/2,"")</f>
        <v/>
      </c>
      <c r="AG720" s="27">
        <f>IF(ISNUMBER($T720),COUNTIFS($A$14:$A$1213,$A720,$T$14:$T$1213,"&gt;"&amp;$T720)+(COUNTIFS($A$14:$A$1213,$A720,$T$14:$T$1213,"="&amp;$T720)+1)/2,"")</f>
        <v/>
      </c>
      <c r="AH720" s="27">
        <f>IF(COUNT($AC720:$AG720)&lt;2,"",IF(MAX($AC720:$AG720)=MIN($AC720:$AG720),0,1))</f>
        <v/>
      </c>
      <c r="AI720" s="27">
        <f>IF($A720="","",IF(COUNTIF($A$14:$A720,$A720)=1,COUNTIF($AI$13:AI719,"&gt;0")+1,""))</f>
        <v/>
      </c>
      <c r="AO720" s="27">
        <f>IF($A720="","",IF(AND(COUNTIFS($A$14:$A$1213,$A720,$F$14:$F$1213,"&gt;=0")=2,IFERROR(INDEX($M$14:$M$313,MATCH($A720,$H$14:$H$313,0)),"Yes")&lt;&gt;"Yes"),1,0))</f>
        <v/>
      </c>
    </row>
    <row r="721">
      <c r="A721" s="19">
        <f>IF('Enter messages'!A721="","",'Enter messages'!A721)</f>
        <v/>
      </c>
      <c r="B721" s="20">
        <f>IF('Enter messages'!B721="","",'Enter messages'!B721)</f>
        <v/>
      </c>
      <c r="C721" s="21">
        <f>IFERROR(AVERAGE(P721:T721),"")</f>
        <v/>
      </c>
      <c r="D721" s="29" t="n"/>
      <c r="E721" s="29" t="n"/>
      <c r="F721" s="30">
        <f>IF(AND(ISNUMBER($D721),ISNUMBER($E721),$E721&gt;0,$D721&lt;=$E721),$D721/$E721,"")</f>
        <v/>
      </c>
      <c r="P721" s="26" t="n"/>
      <c r="Q721" s="26" t="n"/>
      <c r="R721" s="26" t="n"/>
      <c r="S721" s="26" t="n"/>
      <c r="T721" s="26" t="n"/>
      <c r="V721" s="27">
        <f>IF(ISNUMBER($C721),COUNTIFS($A$14:$A$1213,$A721,$C$14:$C$1213,"&gt;"&amp;$C721)+(COUNTIFS($A$14:$A$1213,$A721,$C$14:$C$1213,"="&amp;$C721)+1)/2,"")</f>
        <v/>
      </c>
      <c r="W721" s="27">
        <f>IF(ISNUMBER($F721),COUNTIFS($A$14:$A$1213,$A721,$F$14:$F$1213,"&gt;"&amp;$F721)+(COUNTIFS($A$14:$A$1213,$A721,$F$14:$F$1213,"="&amp;$F721)+1)/2,"")</f>
        <v/>
      </c>
      <c r="X721" s="27">
        <f>IF(OR(NOT(ISNUMBER($V721)),$AO721=1),"",$V721-(COUNTIFS($A$14:$A$1213,$A721,$C$14:$C$1213,"&gt;=0")+1)/2)</f>
        <v/>
      </c>
      <c r="Y721" s="27">
        <f>IF(OR(NOT(ISNUMBER($W721)),$AO721=1),"",$W721-(COUNTIFS($A$14:$A$1213,$A721,$F$14:$F$1213,"&gt;=0")+1)/2)</f>
        <v/>
      </c>
      <c r="Z721" s="27">
        <f>IF(ISNUMBER($V721),$A721&amp;"|"&amp;$V721,"")</f>
        <v/>
      </c>
      <c r="AA721" s="27">
        <f>IF(ISNUMBER($W721),$A721&amp;"|"&amp;$W721,"")</f>
        <v/>
      </c>
      <c r="AB721" s="27">
        <f>IF(ISNUMBER($F721),$A721&amp;"|"&amp;$F721,"")</f>
        <v/>
      </c>
      <c r="AC721" s="27">
        <f>IF(ISNUMBER($P721),COUNTIFS($A$14:$A$1213,$A721,$P$14:$P$1213,"&gt;"&amp;$P721)+(COUNTIFS($A$14:$A$1213,$A721,$P$14:$P$1213,"="&amp;$P721)+1)/2,"")</f>
        <v/>
      </c>
      <c r="AD721" s="27">
        <f>IF(ISNUMBER($Q721),COUNTIFS($A$14:$A$1213,$A721,$Q$14:$Q$1213,"&gt;"&amp;$Q721)+(COUNTIFS($A$14:$A$1213,$A721,$Q$14:$Q$1213,"="&amp;$Q721)+1)/2,"")</f>
        <v/>
      </c>
      <c r="AE721" s="27">
        <f>IF(ISNUMBER($R721),COUNTIFS($A$14:$A$1213,$A721,$R$14:$R$1213,"&gt;"&amp;$R721)+(COUNTIFS($A$14:$A$1213,$A721,$R$14:$R$1213,"="&amp;$R721)+1)/2,"")</f>
        <v/>
      </c>
      <c r="AF721" s="27">
        <f>IF(ISNUMBER($S721),COUNTIFS($A$14:$A$1213,$A721,$S$14:$S$1213,"&gt;"&amp;$S721)+(COUNTIFS($A$14:$A$1213,$A721,$S$14:$S$1213,"="&amp;$S721)+1)/2,"")</f>
        <v/>
      </c>
      <c r="AG721" s="27">
        <f>IF(ISNUMBER($T721),COUNTIFS($A$14:$A$1213,$A721,$T$14:$T$1213,"&gt;"&amp;$T721)+(COUNTIFS($A$14:$A$1213,$A721,$T$14:$T$1213,"="&amp;$T721)+1)/2,"")</f>
        <v/>
      </c>
      <c r="AH721" s="27">
        <f>IF(COUNT($AC721:$AG721)&lt;2,"",IF(MAX($AC721:$AG721)=MIN($AC721:$AG721),0,1))</f>
        <v/>
      </c>
      <c r="AI721" s="27">
        <f>IF($A721="","",IF(COUNTIF($A$14:$A721,$A721)=1,COUNTIF($AI$13:AI720,"&gt;0")+1,""))</f>
        <v/>
      </c>
      <c r="AO721" s="27">
        <f>IF($A721="","",IF(AND(COUNTIFS($A$14:$A$1213,$A721,$F$14:$F$1213,"&gt;=0")=2,IFERROR(INDEX($M$14:$M$313,MATCH($A721,$H$14:$H$313,0)),"Yes")&lt;&gt;"Yes"),1,0))</f>
        <v/>
      </c>
    </row>
    <row r="722">
      <c r="A722" s="19">
        <f>IF('Enter messages'!A722="","",'Enter messages'!A722)</f>
        <v/>
      </c>
      <c r="B722" s="20">
        <f>IF('Enter messages'!B722="","",'Enter messages'!B722)</f>
        <v/>
      </c>
      <c r="C722" s="21">
        <f>IFERROR(AVERAGE(P722:T722),"")</f>
        <v/>
      </c>
      <c r="D722" s="29" t="n"/>
      <c r="E722" s="29" t="n"/>
      <c r="F722" s="30">
        <f>IF(AND(ISNUMBER($D722),ISNUMBER($E722),$E722&gt;0,$D722&lt;=$E722),$D722/$E722,"")</f>
        <v/>
      </c>
      <c r="P722" s="26" t="n"/>
      <c r="Q722" s="26" t="n"/>
      <c r="R722" s="26" t="n"/>
      <c r="S722" s="26" t="n"/>
      <c r="T722" s="26" t="n"/>
      <c r="V722" s="27">
        <f>IF(ISNUMBER($C722),COUNTIFS($A$14:$A$1213,$A722,$C$14:$C$1213,"&gt;"&amp;$C722)+(COUNTIFS($A$14:$A$1213,$A722,$C$14:$C$1213,"="&amp;$C722)+1)/2,"")</f>
        <v/>
      </c>
      <c r="W722" s="27">
        <f>IF(ISNUMBER($F722),COUNTIFS($A$14:$A$1213,$A722,$F$14:$F$1213,"&gt;"&amp;$F722)+(COUNTIFS($A$14:$A$1213,$A722,$F$14:$F$1213,"="&amp;$F722)+1)/2,"")</f>
        <v/>
      </c>
      <c r="X722" s="27">
        <f>IF(OR(NOT(ISNUMBER($V722)),$AO722=1),"",$V722-(COUNTIFS($A$14:$A$1213,$A722,$C$14:$C$1213,"&gt;=0")+1)/2)</f>
        <v/>
      </c>
      <c r="Y722" s="27">
        <f>IF(OR(NOT(ISNUMBER($W722)),$AO722=1),"",$W722-(COUNTIFS($A$14:$A$1213,$A722,$F$14:$F$1213,"&gt;=0")+1)/2)</f>
        <v/>
      </c>
      <c r="Z722" s="27">
        <f>IF(ISNUMBER($V722),$A722&amp;"|"&amp;$V722,"")</f>
        <v/>
      </c>
      <c r="AA722" s="27">
        <f>IF(ISNUMBER($W722),$A722&amp;"|"&amp;$W722,"")</f>
        <v/>
      </c>
      <c r="AB722" s="27">
        <f>IF(ISNUMBER($F722),$A722&amp;"|"&amp;$F722,"")</f>
        <v/>
      </c>
      <c r="AC722" s="27">
        <f>IF(ISNUMBER($P722),COUNTIFS($A$14:$A$1213,$A722,$P$14:$P$1213,"&gt;"&amp;$P722)+(COUNTIFS($A$14:$A$1213,$A722,$P$14:$P$1213,"="&amp;$P722)+1)/2,"")</f>
        <v/>
      </c>
      <c r="AD722" s="27">
        <f>IF(ISNUMBER($Q722),COUNTIFS($A$14:$A$1213,$A722,$Q$14:$Q$1213,"&gt;"&amp;$Q722)+(COUNTIFS($A$14:$A$1213,$A722,$Q$14:$Q$1213,"="&amp;$Q722)+1)/2,"")</f>
        <v/>
      </c>
      <c r="AE722" s="27">
        <f>IF(ISNUMBER($R722),COUNTIFS($A$14:$A$1213,$A722,$R$14:$R$1213,"&gt;"&amp;$R722)+(COUNTIFS($A$14:$A$1213,$A722,$R$14:$R$1213,"="&amp;$R722)+1)/2,"")</f>
        <v/>
      </c>
      <c r="AF722" s="27">
        <f>IF(ISNUMBER($S722),COUNTIFS($A$14:$A$1213,$A722,$S$14:$S$1213,"&gt;"&amp;$S722)+(COUNTIFS($A$14:$A$1213,$A722,$S$14:$S$1213,"="&amp;$S722)+1)/2,"")</f>
        <v/>
      </c>
      <c r="AG722" s="27">
        <f>IF(ISNUMBER($T722),COUNTIFS($A$14:$A$1213,$A722,$T$14:$T$1213,"&gt;"&amp;$T722)+(COUNTIFS($A$14:$A$1213,$A722,$T$14:$T$1213,"="&amp;$T722)+1)/2,"")</f>
        <v/>
      </c>
      <c r="AH722" s="27">
        <f>IF(COUNT($AC722:$AG722)&lt;2,"",IF(MAX($AC722:$AG722)=MIN($AC722:$AG722),0,1))</f>
        <v/>
      </c>
      <c r="AI722" s="27">
        <f>IF($A722="","",IF(COUNTIF($A$14:$A722,$A722)=1,COUNTIF($AI$13:AI721,"&gt;0")+1,""))</f>
        <v/>
      </c>
      <c r="AO722" s="27">
        <f>IF($A722="","",IF(AND(COUNTIFS($A$14:$A$1213,$A722,$F$14:$F$1213,"&gt;=0")=2,IFERROR(INDEX($M$14:$M$313,MATCH($A722,$H$14:$H$313,0)),"Yes")&lt;&gt;"Yes"),1,0))</f>
        <v/>
      </c>
    </row>
    <row r="723">
      <c r="A723" s="19">
        <f>IF('Enter messages'!A723="","",'Enter messages'!A723)</f>
        <v/>
      </c>
      <c r="B723" s="20">
        <f>IF('Enter messages'!B723="","",'Enter messages'!B723)</f>
        <v/>
      </c>
      <c r="C723" s="21">
        <f>IFERROR(AVERAGE(P723:T723),"")</f>
        <v/>
      </c>
      <c r="D723" s="29" t="n"/>
      <c r="E723" s="29" t="n"/>
      <c r="F723" s="30">
        <f>IF(AND(ISNUMBER($D723),ISNUMBER($E723),$E723&gt;0,$D723&lt;=$E723),$D723/$E723,"")</f>
        <v/>
      </c>
      <c r="P723" s="26" t="n"/>
      <c r="Q723" s="26" t="n"/>
      <c r="R723" s="26" t="n"/>
      <c r="S723" s="26" t="n"/>
      <c r="T723" s="26" t="n"/>
      <c r="V723" s="27">
        <f>IF(ISNUMBER($C723),COUNTIFS($A$14:$A$1213,$A723,$C$14:$C$1213,"&gt;"&amp;$C723)+(COUNTIFS($A$14:$A$1213,$A723,$C$14:$C$1213,"="&amp;$C723)+1)/2,"")</f>
        <v/>
      </c>
      <c r="W723" s="27">
        <f>IF(ISNUMBER($F723),COUNTIFS($A$14:$A$1213,$A723,$F$14:$F$1213,"&gt;"&amp;$F723)+(COUNTIFS($A$14:$A$1213,$A723,$F$14:$F$1213,"="&amp;$F723)+1)/2,"")</f>
        <v/>
      </c>
      <c r="X723" s="27">
        <f>IF(OR(NOT(ISNUMBER($V723)),$AO723=1),"",$V723-(COUNTIFS($A$14:$A$1213,$A723,$C$14:$C$1213,"&gt;=0")+1)/2)</f>
        <v/>
      </c>
      <c r="Y723" s="27">
        <f>IF(OR(NOT(ISNUMBER($W723)),$AO723=1),"",$W723-(COUNTIFS($A$14:$A$1213,$A723,$F$14:$F$1213,"&gt;=0")+1)/2)</f>
        <v/>
      </c>
      <c r="Z723" s="27">
        <f>IF(ISNUMBER($V723),$A723&amp;"|"&amp;$V723,"")</f>
        <v/>
      </c>
      <c r="AA723" s="27">
        <f>IF(ISNUMBER($W723),$A723&amp;"|"&amp;$W723,"")</f>
        <v/>
      </c>
      <c r="AB723" s="27">
        <f>IF(ISNUMBER($F723),$A723&amp;"|"&amp;$F723,"")</f>
        <v/>
      </c>
      <c r="AC723" s="27">
        <f>IF(ISNUMBER($P723),COUNTIFS($A$14:$A$1213,$A723,$P$14:$P$1213,"&gt;"&amp;$P723)+(COUNTIFS($A$14:$A$1213,$A723,$P$14:$P$1213,"="&amp;$P723)+1)/2,"")</f>
        <v/>
      </c>
      <c r="AD723" s="27">
        <f>IF(ISNUMBER($Q723),COUNTIFS($A$14:$A$1213,$A723,$Q$14:$Q$1213,"&gt;"&amp;$Q723)+(COUNTIFS($A$14:$A$1213,$A723,$Q$14:$Q$1213,"="&amp;$Q723)+1)/2,"")</f>
        <v/>
      </c>
      <c r="AE723" s="27">
        <f>IF(ISNUMBER($R723),COUNTIFS($A$14:$A$1213,$A723,$R$14:$R$1213,"&gt;"&amp;$R723)+(COUNTIFS($A$14:$A$1213,$A723,$R$14:$R$1213,"="&amp;$R723)+1)/2,"")</f>
        <v/>
      </c>
      <c r="AF723" s="27">
        <f>IF(ISNUMBER($S723),COUNTIFS($A$14:$A$1213,$A723,$S$14:$S$1213,"&gt;"&amp;$S723)+(COUNTIFS($A$14:$A$1213,$A723,$S$14:$S$1213,"="&amp;$S723)+1)/2,"")</f>
        <v/>
      </c>
      <c r="AG723" s="27">
        <f>IF(ISNUMBER($T723),COUNTIFS($A$14:$A$1213,$A723,$T$14:$T$1213,"&gt;"&amp;$T723)+(COUNTIFS($A$14:$A$1213,$A723,$T$14:$T$1213,"="&amp;$T723)+1)/2,"")</f>
        <v/>
      </c>
      <c r="AH723" s="27">
        <f>IF(COUNT($AC723:$AG723)&lt;2,"",IF(MAX($AC723:$AG723)=MIN($AC723:$AG723),0,1))</f>
        <v/>
      </c>
      <c r="AI723" s="27">
        <f>IF($A723="","",IF(COUNTIF($A$14:$A723,$A723)=1,COUNTIF($AI$13:AI722,"&gt;0")+1,""))</f>
        <v/>
      </c>
      <c r="AO723" s="27">
        <f>IF($A723="","",IF(AND(COUNTIFS($A$14:$A$1213,$A723,$F$14:$F$1213,"&gt;=0")=2,IFERROR(INDEX($M$14:$M$313,MATCH($A723,$H$14:$H$313,0)),"Yes")&lt;&gt;"Yes"),1,0))</f>
        <v/>
      </c>
    </row>
    <row r="724">
      <c r="A724" s="19">
        <f>IF('Enter messages'!A724="","",'Enter messages'!A724)</f>
        <v/>
      </c>
      <c r="B724" s="20">
        <f>IF('Enter messages'!B724="","",'Enter messages'!B724)</f>
        <v/>
      </c>
      <c r="C724" s="21">
        <f>IFERROR(AVERAGE(P724:T724),"")</f>
        <v/>
      </c>
      <c r="D724" s="29" t="n"/>
      <c r="E724" s="29" t="n"/>
      <c r="F724" s="30">
        <f>IF(AND(ISNUMBER($D724),ISNUMBER($E724),$E724&gt;0,$D724&lt;=$E724),$D724/$E724,"")</f>
        <v/>
      </c>
      <c r="P724" s="26" t="n"/>
      <c r="Q724" s="26" t="n"/>
      <c r="R724" s="26" t="n"/>
      <c r="S724" s="26" t="n"/>
      <c r="T724" s="26" t="n"/>
      <c r="V724" s="27">
        <f>IF(ISNUMBER($C724),COUNTIFS($A$14:$A$1213,$A724,$C$14:$C$1213,"&gt;"&amp;$C724)+(COUNTIFS($A$14:$A$1213,$A724,$C$14:$C$1213,"="&amp;$C724)+1)/2,"")</f>
        <v/>
      </c>
      <c r="W724" s="27">
        <f>IF(ISNUMBER($F724),COUNTIFS($A$14:$A$1213,$A724,$F$14:$F$1213,"&gt;"&amp;$F724)+(COUNTIFS($A$14:$A$1213,$A724,$F$14:$F$1213,"="&amp;$F724)+1)/2,"")</f>
        <v/>
      </c>
      <c r="X724" s="27">
        <f>IF(OR(NOT(ISNUMBER($V724)),$AO724=1),"",$V724-(COUNTIFS($A$14:$A$1213,$A724,$C$14:$C$1213,"&gt;=0")+1)/2)</f>
        <v/>
      </c>
      <c r="Y724" s="27">
        <f>IF(OR(NOT(ISNUMBER($W724)),$AO724=1),"",$W724-(COUNTIFS($A$14:$A$1213,$A724,$F$14:$F$1213,"&gt;=0")+1)/2)</f>
        <v/>
      </c>
      <c r="Z724" s="27">
        <f>IF(ISNUMBER($V724),$A724&amp;"|"&amp;$V724,"")</f>
        <v/>
      </c>
      <c r="AA724" s="27">
        <f>IF(ISNUMBER($W724),$A724&amp;"|"&amp;$W724,"")</f>
        <v/>
      </c>
      <c r="AB724" s="27">
        <f>IF(ISNUMBER($F724),$A724&amp;"|"&amp;$F724,"")</f>
        <v/>
      </c>
      <c r="AC724" s="27">
        <f>IF(ISNUMBER($P724),COUNTIFS($A$14:$A$1213,$A724,$P$14:$P$1213,"&gt;"&amp;$P724)+(COUNTIFS($A$14:$A$1213,$A724,$P$14:$P$1213,"="&amp;$P724)+1)/2,"")</f>
        <v/>
      </c>
      <c r="AD724" s="27">
        <f>IF(ISNUMBER($Q724),COUNTIFS($A$14:$A$1213,$A724,$Q$14:$Q$1213,"&gt;"&amp;$Q724)+(COUNTIFS($A$14:$A$1213,$A724,$Q$14:$Q$1213,"="&amp;$Q724)+1)/2,"")</f>
        <v/>
      </c>
      <c r="AE724" s="27">
        <f>IF(ISNUMBER($R724),COUNTIFS($A$14:$A$1213,$A724,$R$14:$R$1213,"&gt;"&amp;$R724)+(COUNTIFS($A$14:$A$1213,$A724,$R$14:$R$1213,"="&amp;$R724)+1)/2,"")</f>
        <v/>
      </c>
      <c r="AF724" s="27">
        <f>IF(ISNUMBER($S724),COUNTIFS($A$14:$A$1213,$A724,$S$14:$S$1213,"&gt;"&amp;$S724)+(COUNTIFS($A$14:$A$1213,$A724,$S$14:$S$1213,"="&amp;$S724)+1)/2,"")</f>
        <v/>
      </c>
      <c r="AG724" s="27">
        <f>IF(ISNUMBER($T724),COUNTIFS($A$14:$A$1213,$A724,$T$14:$T$1213,"&gt;"&amp;$T724)+(COUNTIFS($A$14:$A$1213,$A724,$T$14:$T$1213,"="&amp;$T724)+1)/2,"")</f>
        <v/>
      </c>
      <c r="AH724" s="27">
        <f>IF(COUNT($AC724:$AG724)&lt;2,"",IF(MAX($AC724:$AG724)=MIN($AC724:$AG724),0,1))</f>
        <v/>
      </c>
      <c r="AI724" s="27">
        <f>IF($A724="","",IF(COUNTIF($A$14:$A724,$A724)=1,COUNTIF($AI$13:AI723,"&gt;0")+1,""))</f>
        <v/>
      </c>
      <c r="AO724" s="27">
        <f>IF($A724="","",IF(AND(COUNTIFS($A$14:$A$1213,$A724,$F$14:$F$1213,"&gt;=0")=2,IFERROR(INDEX($M$14:$M$313,MATCH($A724,$H$14:$H$313,0)),"Yes")&lt;&gt;"Yes"),1,0))</f>
        <v/>
      </c>
    </row>
    <row r="725">
      <c r="A725" s="19">
        <f>IF('Enter messages'!A725="","",'Enter messages'!A725)</f>
        <v/>
      </c>
      <c r="B725" s="20">
        <f>IF('Enter messages'!B725="","",'Enter messages'!B725)</f>
        <v/>
      </c>
      <c r="C725" s="21">
        <f>IFERROR(AVERAGE(P725:T725),"")</f>
        <v/>
      </c>
      <c r="D725" s="29" t="n"/>
      <c r="E725" s="29" t="n"/>
      <c r="F725" s="30">
        <f>IF(AND(ISNUMBER($D725),ISNUMBER($E725),$E725&gt;0,$D725&lt;=$E725),$D725/$E725,"")</f>
        <v/>
      </c>
      <c r="P725" s="26" t="n"/>
      <c r="Q725" s="26" t="n"/>
      <c r="R725" s="26" t="n"/>
      <c r="S725" s="26" t="n"/>
      <c r="T725" s="26" t="n"/>
      <c r="V725" s="27">
        <f>IF(ISNUMBER($C725),COUNTIFS($A$14:$A$1213,$A725,$C$14:$C$1213,"&gt;"&amp;$C725)+(COUNTIFS($A$14:$A$1213,$A725,$C$14:$C$1213,"="&amp;$C725)+1)/2,"")</f>
        <v/>
      </c>
      <c r="W725" s="27">
        <f>IF(ISNUMBER($F725),COUNTIFS($A$14:$A$1213,$A725,$F$14:$F$1213,"&gt;"&amp;$F725)+(COUNTIFS($A$14:$A$1213,$A725,$F$14:$F$1213,"="&amp;$F725)+1)/2,"")</f>
        <v/>
      </c>
      <c r="X725" s="27">
        <f>IF(OR(NOT(ISNUMBER($V725)),$AO725=1),"",$V725-(COUNTIFS($A$14:$A$1213,$A725,$C$14:$C$1213,"&gt;=0")+1)/2)</f>
        <v/>
      </c>
      <c r="Y725" s="27">
        <f>IF(OR(NOT(ISNUMBER($W725)),$AO725=1),"",$W725-(COUNTIFS($A$14:$A$1213,$A725,$F$14:$F$1213,"&gt;=0")+1)/2)</f>
        <v/>
      </c>
      <c r="Z725" s="27">
        <f>IF(ISNUMBER($V725),$A725&amp;"|"&amp;$V725,"")</f>
        <v/>
      </c>
      <c r="AA725" s="27">
        <f>IF(ISNUMBER($W725),$A725&amp;"|"&amp;$W725,"")</f>
        <v/>
      </c>
      <c r="AB725" s="27">
        <f>IF(ISNUMBER($F725),$A725&amp;"|"&amp;$F725,"")</f>
        <v/>
      </c>
      <c r="AC725" s="27">
        <f>IF(ISNUMBER($P725),COUNTIFS($A$14:$A$1213,$A725,$P$14:$P$1213,"&gt;"&amp;$P725)+(COUNTIFS($A$14:$A$1213,$A725,$P$14:$P$1213,"="&amp;$P725)+1)/2,"")</f>
        <v/>
      </c>
      <c r="AD725" s="27">
        <f>IF(ISNUMBER($Q725),COUNTIFS($A$14:$A$1213,$A725,$Q$14:$Q$1213,"&gt;"&amp;$Q725)+(COUNTIFS($A$14:$A$1213,$A725,$Q$14:$Q$1213,"="&amp;$Q725)+1)/2,"")</f>
        <v/>
      </c>
      <c r="AE725" s="27">
        <f>IF(ISNUMBER($R725),COUNTIFS($A$14:$A$1213,$A725,$R$14:$R$1213,"&gt;"&amp;$R725)+(COUNTIFS($A$14:$A$1213,$A725,$R$14:$R$1213,"="&amp;$R725)+1)/2,"")</f>
        <v/>
      </c>
      <c r="AF725" s="27">
        <f>IF(ISNUMBER($S725),COUNTIFS($A$14:$A$1213,$A725,$S$14:$S$1213,"&gt;"&amp;$S725)+(COUNTIFS($A$14:$A$1213,$A725,$S$14:$S$1213,"="&amp;$S725)+1)/2,"")</f>
        <v/>
      </c>
      <c r="AG725" s="27">
        <f>IF(ISNUMBER($T725),COUNTIFS($A$14:$A$1213,$A725,$T$14:$T$1213,"&gt;"&amp;$T725)+(COUNTIFS($A$14:$A$1213,$A725,$T$14:$T$1213,"="&amp;$T725)+1)/2,"")</f>
        <v/>
      </c>
      <c r="AH725" s="27">
        <f>IF(COUNT($AC725:$AG725)&lt;2,"",IF(MAX($AC725:$AG725)=MIN($AC725:$AG725),0,1))</f>
        <v/>
      </c>
      <c r="AI725" s="27">
        <f>IF($A725="","",IF(COUNTIF($A$14:$A725,$A725)=1,COUNTIF($AI$13:AI724,"&gt;0")+1,""))</f>
        <v/>
      </c>
      <c r="AO725" s="27">
        <f>IF($A725="","",IF(AND(COUNTIFS($A$14:$A$1213,$A725,$F$14:$F$1213,"&gt;=0")=2,IFERROR(INDEX($M$14:$M$313,MATCH($A725,$H$14:$H$313,0)),"Yes")&lt;&gt;"Yes"),1,0))</f>
        <v/>
      </c>
    </row>
    <row r="726">
      <c r="A726" s="19">
        <f>IF('Enter messages'!A726="","",'Enter messages'!A726)</f>
        <v/>
      </c>
      <c r="B726" s="20">
        <f>IF('Enter messages'!B726="","",'Enter messages'!B726)</f>
        <v/>
      </c>
      <c r="C726" s="21">
        <f>IFERROR(AVERAGE(P726:T726),"")</f>
        <v/>
      </c>
      <c r="D726" s="29" t="n"/>
      <c r="E726" s="29" t="n"/>
      <c r="F726" s="30">
        <f>IF(AND(ISNUMBER($D726),ISNUMBER($E726),$E726&gt;0,$D726&lt;=$E726),$D726/$E726,"")</f>
        <v/>
      </c>
      <c r="P726" s="26" t="n"/>
      <c r="Q726" s="26" t="n"/>
      <c r="R726" s="26" t="n"/>
      <c r="S726" s="26" t="n"/>
      <c r="T726" s="26" t="n"/>
      <c r="V726" s="27">
        <f>IF(ISNUMBER($C726),COUNTIFS($A$14:$A$1213,$A726,$C$14:$C$1213,"&gt;"&amp;$C726)+(COUNTIFS($A$14:$A$1213,$A726,$C$14:$C$1213,"="&amp;$C726)+1)/2,"")</f>
        <v/>
      </c>
      <c r="W726" s="27">
        <f>IF(ISNUMBER($F726),COUNTIFS($A$14:$A$1213,$A726,$F$14:$F$1213,"&gt;"&amp;$F726)+(COUNTIFS($A$14:$A$1213,$A726,$F$14:$F$1213,"="&amp;$F726)+1)/2,"")</f>
        <v/>
      </c>
      <c r="X726" s="27">
        <f>IF(OR(NOT(ISNUMBER($V726)),$AO726=1),"",$V726-(COUNTIFS($A$14:$A$1213,$A726,$C$14:$C$1213,"&gt;=0")+1)/2)</f>
        <v/>
      </c>
      <c r="Y726" s="27">
        <f>IF(OR(NOT(ISNUMBER($W726)),$AO726=1),"",$W726-(COUNTIFS($A$14:$A$1213,$A726,$F$14:$F$1213,"&gt;=0")+1)/2)</f>
        <v/>
      </c>
      <c r="Z726" s="27">
        <f>IF(ISNUMBER($V726),$A726&amp;"|"&amp;$V726,"")</f>
        <v/>
      </c>
      <c r="AA726" s="27">
        <f>IF(ISNUMBER($W726),$A726&amp;"|"&amp;$W726,"")</f>
        <v/>
      </c>
      <c r="AB726" s="27">
        <f>IF(ISNUMBER($F726),$A726&amp;"|"&amp;$F726,"")</f>
        <v/>
      </c>
      <c r="AC726" s="27">
        <f>IF(ISNUMBER($P726),COUNTIFS($A$14:$A$1213,$A726,$P$14:$P$1213,"&gt;"&amp;$P726)+(COUNTIFS($A$14:$A$1213,$A726,$P$14:$P$1213,"="&amp;$P726)+1)/2,"")</f>
        <v/>
      </c>
      <c r="AD726" s="27">
        <f>IF(ISNUMBER($Q726),COUNTIFS($A$14:$A$1213,$A726,$Q$14:$Q$1213,"&gt;"&amp;$Q726)+(COUNTIFS($A$14:$A$1213,$A726,$Q$14:$Q$1213,"="&amp;$Q726)+1)/2,"")</f>
        <v/>
      </c>
      <c r="AE726" s="27">
        <f>IF(ISNUMBER($R726),COUNTIFS($A$14:$A$1213,$A726,$R$14:$R$1213,"&gt;"&amp;$R726)+(COUNTIFS($A$14:$A$1213,$A726,$R$14:$R$1213,"="&amp;$R726)+1)/2,"")</f>
        <v/>
      </c>
      <c r="AF726" s="27">
        <f>IF(ISNUMBER($S726),COUNTIFS($A$14:$A$1213,$A726,$S$14:$S$1213,"&gt;"&amp;$S726)+(COUNTIFS($A$14:$A$1213,$A726,$S$14:$S$1213,"="&amp;$S726)+1)/2,"")</f>
        <v/>
      </c>
      <c r="AG726" s="27">
        <f>IF(ISNUMBER($T726),COUNTIFS($A$14:$A$1213,$A726,$T$14:$T$1213,"&gt;"&amp;$T726)+(COUNTIFS($A$14:$A$1213,$A726,$T$14:$T$1213,"="&amp;$T726)+1)/2,"")</f>
        <v/>
      </c>
      <c r="AH726" s="27">
        <f>IF(COUNT($AC726:$AG726)&lt;2,"",IF(MAX($AC726:$AG726)=MIN($AC726:$AG726),0,1))</f>
        <v/>
      </c>
      <c r="AI726" s="27">
        <f>IF($A726="","",IF(COUNTIF($A$14:$A726,$A726)=1,COUNTIF($AI$13:AI725,"&gt;0")+1,""))</f>
        <v/>
      </c>
      <c r="AO726" s="27">
        <f>IF($A726="","",IF(AND(COUNTIFS($A$14:$A$1213,$A726,$F$14:$F$1213,"&gt;=0")=2,IFERROR(INDEX($M$14:$M$313,MATCH($A726,$H$14:$H$313,0)),"Yes")&lt;&gt;"Yes"),1,0))</f>
        <v/>
      </c>
    </row>
    <row r="727">
      <c r="A727" s="19">
        <f>IF('Enter messages'!A727="","",'Enter messages'!A727)</f>
        <v/>
      </c>
      <c r="B727" s="20">
        <f>IF('Enter messages'!B727="","",'Enter messages'!B727)</f>
        <v/>
      </c>
      <c r="C727" s="21">
        <f>IFERROR(AVERAGE(P727:T727),"")</f>
        <v/>
      </c>
      <c r="D727" s="29" t="n"/>
      <c r="E727" s="29" t="n"/>
      <c r="F727" s="30">
        <f>IF(AND(ISNUMBER($D727),ISNUMBER($E727),$E727&gt;0,$D727&lt;=$E727),$D727/$E727,"")</f>
        <v/>
      </c>
      <c r="P727" s="26" t="n"/>
      <c r="Q727" s="26" t="n"/>
      <c r="R727" s="26" t="n"/>
      <c r="S727" s="26" t="n"/>
      <c r="T727" s="26" t="n"/>
      <c r="V727" s="27">
        <f>IF(ISNUMBER($C727),COUNTIFS($A$14:$A$1213,$A727,$C$14:$C$1213,"&gt;"&amp;$C727)+(COUNTIFS($A$14:$A$1213,$A727,$C$14:$C$1213,"="&amp;$C727)+1)/2,"")</f>
        <v/>
      </c>
      <c r="W727" s="27">
        <f>IF(ISNUMBER($F727),COUNTIFS($A$14:$A$1213,$A727,$F$14:$F$1213,"&gt;"&amp;$F727)+(COUNTIFS($A$14:$A$1213,$A727,$F$14:$F$1213,"="&amp;$F727)+1)/2,"")</f>
        <v/>
      </c>
      <c r="X727" s="27">
        <f>IF(OR(NOT(ISNUMBER($V727)),$AO727=1),"",$V727-(COUNTIFS($A$14:$A$1213,$A727,$C$14:$C$1213,"&gt;=0")+1)/2)</f>
        <v/>
      </c>
      <c r="Y727" s="27">
        <f>IF(OR(NOT(ISNUMBER($W727)),$AO727=1),"",$W727-(COUNTIFS($A$14:$A$1213,$A727,$F$14:$F$1213,"&gt;=0")+1)/2)</f>
        <v/>
      </c>
      <c r="Z727" s="27">
        <f>IF(ISNUMBER($V727),$A727&amp;"|"&amp;$V727,"")</f>
        <v/>
      </c>
      <c r="AA727" s="27">
        <f>IF(ISNUMBER($W727),$A727&amp;"|"&amp;$W727,"")</f>
        <v/>
      </c>
      <c r="AB727" s="27">
        <f>IF(ISNUMBER($F727),$A727&amp;"|"&amp;$F727,"")</f>
        <v/>
      </c>
      <c r="AC727" s="27">
        <f>IF(ISNUMBER($P727),COUNTIFS($A$14:$A$1213,$A727,$P$14:$P$1213,"&gt;"&amp;$P727)+(COUNTIFS($A$14:$A$1213,$A727,$P$14:$P$1213,"="&amp;$P727)+1)/2,"")</f>
        <v/>
      </c>
      <c r="AD727" s="27">
        <f>IF(ISNUMBER($Q727),COUNTIFS($A$14:$A$1213,$A727,$Q$14:$Q$1213,"&gt;"&amp;$Q727)+(COUNTIFS($A$14:$A$1213,$A727,$Q$14:$Q$1213,"="&amp;$Q727)+1)/2,"")</f>
        <v/>
      </c>
      <c r="AE727" s="27">
        <f>IF(ISNUMBER($R727),COUNTIFS($A$14:$A$1213,$A727,$R$14:$R$1213,"&gt;"&amp;$R727)+(COUNTIFS($A$14:$A$1213,$A727,$R$14:$R$1213,"="&amp;$R727)+1)/2,"")</f>
        <v/>
      </c>
      <c r="AF727" s="27">
        <f>IF(ISNUMBER($S727),COUNTIFS($A$14:$A$1213,$A727,$S$14:$S$1213,"&gt;"&amp;$S727)+(COUNTIFS($A$14:$A$1213,$A727,$S$14:$S$1213,"="&amp;$S727)+1)/2,"")</f>
        <v/>
      </c>
      <c r="AG727" s="27">
        <f>IF(ISNUMBER($T727),COUNTIFS($A$14:$A$1213,$A727,$T$14:$T$1213,"&gt;"&amp;$T727)+(COUNTIFS($A$14:$A$1213,$A727,$T$14:$T$1213,"="&amp;$T727)+1)/2,"")</f>
        <v/>
      </c>
      <c r="AH727" s="27">
        <f>IF(COUNT($AC727:$AG727)&lt;2,"",IF(MAX($AC727:$AG727)=MIN($AC727:$AG727),0,1))</f>
        <v/>
      </c>
      <c r="AI727" s="27">
        <f>IF($A727="","",IF(COUNTIF($A$14:$A727,$A727)=1,COUNTIF($AI$13:AI726,"&gt;0")+1,""))</f>
        <v/>
      </c>
      <c r="AO727" s="27">
        <f>IF($A727="","",IF(AND(COUNTIFS($A$14:$A$1213,$A727,$F$14:$F$1213,"&gt;=0")=2,IFERROR(INDEX($M$14:$M$313,MATCH($A727,$H$14:$H$313,0)),"Yes")&lt;&gt;"Yes"),1,0))</f>
        <v/>
      </c>
    </row>
    <row r="728">
      <c r="A728" s="19">
        <f>IF('Enter messages'!A728="","",'Enter messages'!A728)</f>
        <v/>
      </c>
      <c r="B728" s="20">
        <f>IF('Enter messages'!B728="","",'Enter messages'!B728)</f>
        <v/>
      </c>
      <c r="C728" s="21">
        <f>IFERROR(AVERAGE(P728:T728),"")</f>
        <v/>
      </c>
      <c r="D728" s="29" t="n"/>
      <c r="E728" s="29" t="n"/>
      <c r="F728" s="30">
        <f>IF(AND(ISNUMBER($D728),ISNUMBER($E728),$E728&gt;0,$D728&lt;=$E728),$D728/$E728,"")</f>
        <v/>
      </c>
      <c r="P728" s="26" t="n"/>
      <c r="Q728" s="26" t="n"/>
      <c r="R728" s="26" t="n"/>
      <c r="S728" s="26" t="n"/>
      <c r="T728" s="26" t="n"/>
      <c r="V728" s="27">
        <f>IF(ISNUMBER($C728),COUNTIFS($A$14:$A$1213,$A728,$C$14:$C$1213,"&gt;"&amp;$C728)+(COUNTIFS($A$14:$A$1213,$A728,$C$14:$C$1213,"="&amp;$C728)+1)/2,"")</f>
        <v/>
      </c>
      <c r="W728" s="27">
        <f>IF(ISNUMBER($F728),COUNTIFS($A$14:$A$1213,$A728,$F$14:$F$1213,"&gt;"&amp;$F728)+(COUNTIFS($A$14:$A$1213,$A728,$F$14:$F$1213,"="&amp;$F728)+1)/2,"")</f>
        <v/>
      </c>
      <c r="X728" s="27">
        <f>IF(OR(NOT(ISNUMBER($V728)),$AO728=1),"",$V728-(COUNTIFS($A$14:$A$1213,$A728,$C$14:$C$1213,"&gt;=0")+1)/2)</f>
        <v/>
      </c>
      <c r="Y728" s="27">
        <f>IF(OR(NOT(ISNUMBER($W728)),$AO728=1),"",$W728-(COUNTIFS($A$14:$A$1213,$A728,$F$14:$F$1213,"&gt;=0")+1)/2)</f>
        <v/>
      </c>
      <c r="Z728" s="27">
        <f>IF(ISNUMBER($V728),$A728&amp;"|"&amp;$V728,"")</f>
        <v/>
      </c>
      <c r="AA728" s="27">
        <f>IF(ISNUMBER($W728),$A728&amp;"|"&amp;$W728,"")</f>
        <v/>
      </c>
      <c r="AB728" s="27">
        <f>IF(ISNUMBER($F728),$A728&amp;"|"&amp;$F728,"")</f>
        <v/>
      </c>
      <c r="AC728" s="27">
        <f>IF(ISNUMBER($P728),COUNTIFS($A$14:$A$1213,$A728,$P$14:$P$1213,"&gt;"&amp;$P728)+(COUNTIFS($A$14:$A$1213,$A728,$P$14:$P$1213,"="&amp;$P728)+1)/2,"")</f>
        <v/>
      </c>
      <c r="AD728" s="27">
        <f>IF(ISNUMBER($Q728),COUNTIFS($A$14:$A$1213,$A728,$Q$14:$Q$1213,"&gt;"&amp;$Q728)+(COUNTIFS($A$14:$A$1213,$A728,$Q$14:$Q$1213,"="&amp;$Q728)+1)/2,"")</f>
        <v/>
      </c>
      <c r="AE728" s="27">
        <f>IF(ISNUMBER($R728),COUNTIFS($A$14:$A$1213,$A728,$R$14:$R$1213,"&gt;"&amp;$R728)+(COUNTIFS($A$14:$A$1213,$A728,$R$14:$R$1213,"="&amp;$R728)+1)/2,"")</f>
        <v/>
      </c>
      <c r="AF728" s="27">
        <f>IF(ISNUMBER($S728),COUNTIFS($A$14:$A$1213,$A728,$S$14:$S$1213,"&gt;"&amp;$S728)+(COUNTIFS($A$14:$A$1213,$A728,$S$14:$S$1213,"="&amp;$S728)+1)/2,"")</f>
        <v/>
      </c>
      <c r="AG728" s="27">
        <f>IF(ISNUMBER($T728),COUNTIFS($A$14:$A$1213,$A728,$T$14:$T$1213,"&gt;"&amp;$T728)+(COUNTIFS($A$14:$A$1213,$A728,$T$14:$T$1213,"="&amp;$T728)+1)/2,"")</f>
        <v/>
      </c>
      <c r="AH728" s="27">
        <f>IF(COUNT($AC728:$AG728)&lt;2,"",IF(MAX($AC728:$AG728)=MIN($AC728:$AG728),0,1))</f>
        <v/>
      </c>
      <c r="AI728" s="27">
        <f>IF($A728="","",IF(COUNTIF($A$14:$A728,$A728)=1,COUNTIF($AI$13:AI727,"&gt;0")+1,""))</f>
        <v/>
      </c>
      <c r="AO728" s="27">
        <f>IF($A728="","",IF(AND(COUNTIFS($A$14:$A$1213,$A728,$F$14:$F$1213,"&gt;=0")=2,IFERROR(INDEX($M$14:$M$313,MATCH($A728,$H$14:$H$313,0)),"Yes")&lt;&gt;"Yes"),1,0))</f>
        <v/>
      </c>
    </row>
    <row r="729">
      <c r="A729" s="19">
        <f>IF('Enter messages'!A729="","",'Enter messages'!A729)</f>
        <v/>
      </c>
      <c r="B729" s="20">
        <f>IF('Enter messages'!B729="","",'Enter messages'!B729)</f>
        <v/>
      </c>
      <c r="C729" s="21">
        <f>IFERROR(AVERAGE(P729:T729),"")</f>
        <v/>
      </c>
      <c r="D729" s="29" t="n"/>
      <c r="E729" s="29" t="n"/>
      <c r="F729" s="30">
        <f>IF(AND(ISNUMBER($D729),ISNUMBER($E729),$E729&gt;0,$D729&lt;=$E729),$D729/$E729,"")</f>
        <v/>
      </c>
      <c r="P729" s="26" t="n"/>
      <c r="Q729" s="26" t="n"/>
      <c r="R729" s="26" t="n"/>
      <c r="S729" s="26" t="n"/>
      <c r="T729" s="26" t="n"/>
      <c r="V729" s="27">
        <f>IF(ISNUMBER($C729),COUNTIFS($A$14:$A$1213,$A729,$C$14:$C$1213,"&gt;"&amp;$C729)+(COUNTIFS($A$14:$A$1213,$A729,$C$14:$C$1213,"="&amp;$C729)+1)/2,"")</f>
        <v/>
      </c>
      <c r="W729" s="27">
        <f>IF(ISNUMBER($F729),COUNTIFS($A$14:$A$1213,$A729,$F$14:$F$1213,"&gt;"&amp;$F729)+(COUNTIFS($A$14:$A$1213,$A729,$F$14:$F$1213,"="&amp;$F729)+1)/2,"")</f>
        <v/>
      </c>
      <c r="X729" s="27">
        <f>IF(OR(NOT(ISNUMBER($V729)),$AO729=1),"",$V729-(COUNTIFS($A$14:$A$1213,$A729,$C$14:$C$1213,"&gt;=0")+1)/2)</f>
        <v/>
      </c>
      <c r="Y729" s="27">
        <f>IF(OR(NOT(ISNUMBER($W729)),$AO729=1),"",$W729-(COUNTIFS($A$14:$A$1213,$A729,$F$14:$F$1213,"&gt;=0")+1)/2)</f>
        <v/>
      </c>
      <c r="Z729" s="27">
        <f>IF(ISNUMBER($V729),$A729&amp;"|"&amp;$V729,"")</f>
        <v/>
      </c>
      <c r="AA729" s="27">
        <f>IF(ISNUMBER($W729),$A729&amp;"|"&amp;$W729,"")</f>
        <v/>
      </c>
      <c r="AB729" s="27">
        <f>IF(ISNUMBER($F729),$A729&amp;"|"&amp;$F729,"")</f>
        <v/>
      </c>
      <c r="AC729" s="27">
        <f>IF(ISNUMBER($P729),COUNTIFS($A$14:$A$1213,$A729,$P$14:$P$1213,"&gt;"&amp;$P729)+(COUNTIFS($A$14:$A$1213,$A729,$P$14:$P$1213,"="&amp;$P729)+1)/2,"")</f>
        <v/>
      </c>
      <c r="AD729" s="27">
        <f>IF(ISNUMBER($Q729),COUNTIFS($A$14:$A$1213,$A729,$Q$14:$Q$1213,"&gt;"&amp;$Q729)+(COUNTIFS($A$14:$A$1213,$A729,$Q$14:$Q$1213,"="&amp;$Q729)+1)/2,"")</f>
        <v/>
      </c>
      <c r="AE729" s="27">
        <f>IF(ISNUMBER($R729),COUNTIFS($A$14:$A$1213,$A729,$R$14:$R$1213,"&gt;"&amp;$R729)+(COUNTIFS($A$14:$A$1213,$A729,$R$14:$R$1213,"="&amp;$R729)+1)/2,"")</f>
        <v/>
      </c>
      <c r="AF729" s="27">
        <f>IF(ISNUMBER($S729),COUNTIFS($A$14:$A$1213,$A729,$S$14:$S$1213,"&gt;"&amp;$S729)+(COUNTIFS($A$14:$A$1213,$A729,$S$14:$S$1213,"="&amp;$S729)+1)/2,"")</f>
        <v/>
      </c>
      <c r="AG729" s="27">
        <f>IF(ISNUMBER($T729),COUNTIFS($A$14:$A$1213,$A729,$T$14:$T$1213,"&gt;"&amp;$T729)+(COUNTIFS($A$14:$A$1213,$A729,$T$14:$T$1213,"="&amp;$T729)+1)/2,"")</f>
        <v/>
      </c>
      <c r="AH729" s="27">
        <f>IF(COUNT($AC729:$AG729)&lt;2,"",IF(MAX($AC729:$AG729)=MIN($AC729:$AG729),0,1))</f>
        <v/>
      </c>
      <c r="AI729" s="27">
        <f>IF($A729="","",IF(COUNTIF($A$14:$A729,$A729)=1,COUNTIF($AI$13:AI728,"&gt;0")+1,""))</f>
        <v/>
      </c>
      <c r="AO729" s="27">
        <f>IF($A729="","",IF(AND(COUNTIFS($A$14:$A$1213,$A729,$F$14:$F$1213,"&gt;=0")=2,IFERROR(INDEX($M$14:$M$313,MATCH($A729,$H$14:$H$313,0)),"Yes")&lt;&gt;"Yes"),1,0))</f>
        <v/>
      </c>
    </row>
    <row r="730">
      <c r="A730" s="19">
        <f>IF('Enter messages'!A730="","",'Enter messages'!A730)</f>
        <v/>
      </c>
      <c r="B730" s="20">
        <f>IF('Enter messages'!B730="","",'Enter messages'!B730)</f>
        <v/>
      </c>
      <c r="C730" s="21">
        <f>IFERROR(AVERAGE(P730:T730),"")</f>
        <v/>
      </c>
      <c r="D730" s="29" t="n"/>
      <c r="E730" s="29" t="n"/>
      <c r="F730" s="30">
        <f>IF(AND(ISNUMBER($D730),ISNUMBER($E730),$E730&gt;0,$D730&lt;=$E730),$D730/$E730,"")</f>
        <v/>
      </c>
      <c r="P730" s="26" t="n"/>
      <c r="Q730" s="26" t="n"/>
      <c r="R730" s="26" t="n"/>
      <c r="S730" s="26" t="n"/>
      <c r="T730" s="26" t="n"/>
      <c r="V730" s="27">
        <f>IF(ISNUMBER($C730),COUNTIFS($A$14:$A$1213,$A730,$C$14:$C$1213,"&gt;"&amp;$C730)+(COUNTIFS($A$14:$A$1213,$A730,$C$14:$C$1213,"="&amp;$C730)+1)/2,"")</f>
        <v/>
      </c>
      <c r="W730" s="27">
        <f>IF(ISNUMBER($F730),COUNTIFS($A$14:$A$1213,$A730,$F$14:$F$1213,"&gt;"&amp;$F730)+(COUNTIFS($A$14:$A$1213,$A730,$F$14:$F$1213,"="&amp;$F730)+1)/2,"")</f>
        <v/>
      </c>
      <c r="X730" s="27">
        <f>IF(OR(NOT(ISNUMBER($V730)),$AO730=1),"",$V730-(COUNTIFS($A$14:$A$1213,$A730,$C$14:$C$1213,"&gt;=0")+1)/2)</f>
        <v/>
      </c>
      <c r="Y730" s="27">
        <f>IF(OR(NOT(ISNUMBER($W730)),$AO730=1),"",$W730-(COUNTIFS($A$14:$A$1213,$A730,$F$14:$F$1213,"&gt;=0")+1)/2)</f>
        <v/>
      </c>
      <c r="Z730" s="27">
        <f>IF(ISNUMBER($V730),$A730&amp;"|"&amp;$V730,"")</f>
        <v/>
      </c>
      <c r="AA730" s="27">
        <f>IF(ISNUMBER($W730),$A730&amp;"|"&amp;$W730,"")</f>
        <v/>
      </c>
      <c r="AB730" s="27">
        <f>IF(ISNUMBER($F730),$A730&amp;"|"&amp;$F730,"")</f>
        <v/>
      </c>
      <c r="AC730" s="27">
        <f>IF(ISNUMBER($P730),COUNTIFS($A$14:$A$1213,$A730,$P$14:$P$1213,"&gt;"&amp;$P730)+(COUNTIFS($A$14:$A$1213,$A730,$P$14:$P$1213,"="&amp;$P730)+1)/2,"")</f>
        <v/>
      </c>
      <c r="AD730" s="27">
        <f>IF(ISNUMBER($Q730),COUNTIFS($A$14:$A$1213,$A730,$Q$14:$Q$1213,"&gt;"&amp;$Q730)+(COUNTIFS($A$14:$A$1213,$A730,$Q$14:$Q$1213,"="&amp;$Q730)+1)/2,"")</f>
        <v/>
      </c>
      <c r="AE730" s="27">
        <f>IF(ISNUMBER($R730),COUNTIFS($A$14:$A$1213,$A730,$R$14:$R$1213,"&gt;"&amp;$R730)+(COUNTIFS($A$14:$A$1213,$A730,$R$14:$R$1213,"="&amp;$R730)+1)/2,"")</f>
        <v/>
      </c>
      <c r="AF730" s="27">
        <f>IF(ISNUMBER($S730),COUNTIFS($A$14:$A$1213,$A730,$S$14:$S$1213,"&gt;"&amp;$S730)+(COUNTIFS($A$14:$A$1213,$A730,$S$14:$S$1213,"="&amp;$S730)+1)/2,"")</f>
        <v/>
      </c>
      <c r="AG730" s="27">
        <f>IF(ISNUMBER($T730),COUNTIFS($A$14:$A$1213,$A730,$T$14:$T$1213,"&gt;"&amp;$T730)+(COUNTIFS($A$14:$A$1213,$A730,$T$14:$T$1213,"="&amp;$T730)+1)/2,"")</f>
        <v/>
      </c>
      <c r="AH730" s="27">
        <f>IF(COUNT($AC730:$AG730)&lt;2,"",IF(MAX($AC730:$AG730)=MIN($AC730:$AG730),0,1))</f>
        <v/>
      </c>
      <c r="AI730" s="27">
        <f>IF($A730="","",IF(COUNTIF($A$14:$A730,$A730)=1,COUNTIF($AI$13:AI729,"&gt;0")+1,""))</f>
        <v/>
      </c>
      <c r="AO730" s="27">
        <f>IF($A730="","",IF(AND(COUNTIFS($A$14:$A$1213,$A730,$F$14:$F$1213,"&gt;=0")=2,IFERROR(INDEX($M$14:$M$313,MATCH($A730,$H$14:$H$313,0)),"Yes")&lt;&gt;"Yes"),1,0))</f>
        <v/>
      </c>
    </row>
    <row r="731">
      <c r="A731" s="19">
        <f>IF('Enter messages'!A731="","",'Enter messages'!A731)</f>
        <v/>
      </c>
      <c r="B731" s="20">
        <f>IF('Enter messages'!B731="","",'Enter messages'!B731)</f>
        <v/>
      </c>
      <c r="C731" s="21">
        <f>IFERROR(AVERAGE(P731:T731),"")</f>
        <v/>
      </c>
      <c r="D731" s="29" t="n"/>
      <c r="E731" s="29" t="n"/>
      <c r="F731" s="30">
        <f>IF(AND(ISNUMBER($D731),ISNUMBER($E731),$E731&gt;0,$D731&lt;=$E731),$D731/$E731,"")</f>
        <v/>
      </c>
      <c r="P731" s="26" t="n"/>
      <c r="Q731" s="26" t="n"/>
      <c r="R731" s="26" t="n"/>
      <c r="S731" s="26" t="n"/>
      <c r="T731" s="26" t="n"/>
      <c r="V731" s="27">
        <f>IF(ISNUMBER($C731),COUNTIFS($A$14:$A$1213,$A731,$C$14:$C$1213,"&gt;"&amp;$C731)+(COUNTIFS($A$14:$A$1213,$A731,$C$14:$C$1213,"="&amp;$C731)+1)/2,"")</f>
        <v/>
      </c>
      <c r="W731" s="27">
        <f>IF(ISNUMBER($F731),COUNTIFS($A$14:$A$1213,$A731,$F$14:$F$1213,"&gt;"&amp;$F731)+(COUNTIFS($A$14:$A$1213,$A731,$F$14:$F$1213,"="&amp;$F731)+1)/2,"")</f>
        <v/>
      </c>
      <c r="X731" s="27">
        <f>IF(OR(NOT(ISNUMBER($V731)),$AO731=1),"",$V731-(COUNTIFS($A$14:$A$1213,$A731,$C$14:$C$1213,"&gt;=0")+1)/2)</f>
        <v/>
      </c>
      <c r="Y731" s="27">
        <f>IF(OR(NOT(ISNUMBER($W731)),$AO731=1),"",$W731-(COUNTIFS($A$14:$A$1213,$A731,$F$14:$F$1213,"&gt;=0")+1)/2)</f>
        <v/>
      </c>
      <c r="Z731" s="27">
        <f>IF(ISNUMBER($V731),$A731&amp;"|"&amp;$V731,"")</f>
        <v/>
      </c>
      <c r="AA731" s="27">
        <f>IF(ISNUMBER($W731),$A731&amp;"|"&amp;$W731,"")</f>
        <v/>
      </c>
      <c r="AB731" s="27">
        <f>IF(ISNUMBER($F731),$A731&amp;"|"&amp;$F731,"")</f>
        <v/>
      </c>
      <c r="AC731" s="27">
        <f>IF(ISNUMBER($P731),COUNTIFS($A$14:$A$1213,$A731,$P$14:$P$1213,"&gt;"&amp;$P731)+(COUNTIFS($A$14:$A$1213,$A731,$P$14:$P$1213,"="&amp;$P731)+1)/2,"")</f>
        <v/>
      </c>
      <c r="AD731" s="27">
        <f>IF(ISNUMBER($Q731),COUNTIFS($A$14:$A$1213,$A731,$Q$14:$Q$1213,"&gt;"&amp;$Q731)+(COUNTIFS($A$14:$A$1213,$A731,$Q$14:$Q$1213,"="&amp;$Q731)+1)/2,"")</f>
        <v/>
      </c>
      <c r="AE731" s="27">
        <f>IF(ISNUMBER($R731),COUNTIFS($A$14:$A$1213,$A731,$R$14:$R$1213,"&gt;"&amp;$R731)+(COUNTIFS($A$14:$A$1213,$A731,$R$14:$R$1213,"="&amp;$R731)+1)/2,"")</f>
        <v/>
      </c>
      <c r="AF731" s="27">
        <f>IF(ISNUMBER($S731),COUNTIFS($A$14:$A$1213,$A731,$S$14:$S$1213,"&gt;"&amp;$S731)+(COUNTIFS($A$14:$A$1213,$A731,$S$14:$S$1213,"="&amp;$S731)+1)/2,"")</f>
        <v/>
      </c>
      <c r="AG731" s="27">
        <f>IF(ISNUMBER($T731),COUNTIFS($A$14:$A$1213,$A731,$T$14:$T$1213,"&gt;"&amp;$T731)+(COUNTIFS($A$14:$A$1213,$A731,$T$14:$T$1213,"="&amp;$T731)+1)/2,"")</f>
        <v/>
      </c>
      <c r="AH731" s="27">
        <f>IF(COUNT($AC731:$AG731)&lt;2,"",IF(MAX($AC731:$AG731)=MIN($AC731:$AG731),0,1))</f>
        <v/>
      </c>
      <c r="AI731" s="27">
        <f>IF($A731="","",IF(COUNTIF($A$14:$A731,$A731)=1,COUNTIF($AI$13:AI730,"&gt;0")+1,""))</f>
        <v/>
      </c>
      <c r="AO731" s="27">
        <f>IF($A731="","",IF(AND(COUNTIFS($A$14:$A$1213,$A731,$F$14:$F$1213,"&gt;=0")=2,IFERROR(INDEX($M$14:$M$313,MATCH($A731,$H$14:$H$313,0)),"Yes")&lt;&gt;"Yes"),1,0))</f>
        <v/>
      </c>
    </row>
    <row r="732">
      <c r="A732" s="19">
        <f>IF('Enter messages'!A732="","",'Enter messages'!A732)</f>
        <v/>
      </c>
      <c r="B732" s="20">
        <f>IF('Enter messages'!B732="","",'Enter messages'!B732)</f>
        <v/>
      </c>
      <c r="C732" s="21">
        <f>IFERROR(AVERAGE(P732:T732),"")</f>
        <v/>
      </c>
      <c r="D732" s="29" t="n"/>
      <c r="E732" s="29" t="n"/>
      <c r="F732" s="30">
        <f>IF(AND(ISNUMBER($D732),ISNUMBER($E732),$E732&gt;0,$D732&lt;=$E732),$D732/$E732,"")</f>
        <v/>
      </c>
      <c r="P732" s="26" t="n"/>
      <c r="Q732" s="26" t="n"/>
      <c r="R732" s="26" t="n"/>
      <c r="S732" s="26" t="n"/>
      <c r="T732" s="26" t="n"/>
      <c r="V732" s="27">
        <f>IF(ISNUMBER($C732),COUNTIFS($A$14:$A$1213,$A732,$C$14:$C$1213,"&gt;"&amp;$C732)+(COUNTIFS($A$14:$A$1213,$A732,$C$14:$C$1213,"="&amp;$C732)+1)/2,"")</f>
        <v/>
      </c>
      <c r="W732" s="27">
        <f>IF(ISNUMBER($F732),COUNTIFS($A$14:$A$1213,$A732,$F$14:$F$1213,"&gt;"&amp;$F732)+(COUNTIFS($A$14:$A$1213,$A732,$F$14:$F$1213,"="&amp;$F732)+1)/2,"")</f>
        <v/>
      </c>
      <c r="X732" s="27">
        <f>IF(OR(NOT(ISNUMBER($V732)),$AO732=1),"",$V732-(COUNTIFS($A$14:$A$1213,$A732,$C$14:$C$1213,"&gt;=0")+1)/2)</f>
        <v/>
      </c>
      <c r="Y732" s="27">
        <f>IF(OR(NOT(ISNUMBER($W732)),$AO732=1),"",$W732-(COUNTIFS($A$14:$A$1213,$A732,$F$14:$F$1213,"&gt;=0")+1)/2)</f>
        <v/>
      </c>
      <c r="Z732" s="27">
        <f>IF(ISNUMBER($V732),$A732&amp;"|"&amp;$V732,"")</f>
        <v/>
      </c>
      <c r="AA732" s="27">
        <f>IF(ISNUMBER($W732),$A732&amp;"|"&amp;$W732,"")</f>
        <v/>
      </c>
      <c r="AB732" s="27">
        <f>IF(ISNUMBER($F732),$A732&amp;"|"&amp;$F732,"")</f>
        <v/>
      </c>
      <c r="AC732" s="27">
        <f>IF(ISNUMBER($P732),COUNTIFS($A$14:$A$1213,$A732,$P$14:$P$1213,"&gt;"&amp;$P732)+(COUNTIFS($A$14:$A$1213,$A732,$P$14:$P$1213,"="&amp;$P732)+1)/2,"")</f>
        <v/>
      </c>
      <c r="AD732" s="27">
        <f>IF(ISNUMBER($Q732),COUNTIFS($A$14:$A$1213,$A732,$Q$14:$Q$1213,"&gt;"&amp;$Q732)+(COUNTIFS($A$14:$A$1213,$A732,$Q$14:$Q$1213,"="&amp;$Q732)+1)/2,"")</f>
        <v/>
      </c>
      <c r="AE732" s="27">
        <f>IF(ISNUMBER($R732),COUNTIFS($A$14:$A$1213,$A732,$R$14:$R$1213,"&gt;"&amp;$R732)+(COUNTIFS($A$14:$A$1213,$A732,$R$14:$R$1213,"="&amp;$R732)+1)/2,"")</f>
        <v/>
      </c>
      <c r="AF732" s="27">
        <f>IF(ISNUMBER($S732),COUNTIFS($A$14:$A$1213,$A732,$S$14:$S$1213,"&gt;"&amp;$S732)+(COUNTIFS($A$14:$A$1213,$A732,$S$14:$S$1213,"="&amp;$S732)+1)/2,"")</f>
        <v/>
      </c>
      <c r="AG732" s="27">
        <f>IF(ISNUMBER($T732),COUNTIFS($A$14:$A$1213,$A732,$T$14:$T$1213,"&gt;"&amp;$T732)+(COUNTIFS($A$14:$A$1213,$A732,$T$14:$T$1213,"="&amp;$T732)+1)/2,"")</f>
        <v/>
      </c>
      <c r="AH732" s="27">
        <f>IF(COUNT($AC732:$AG732)&lt;2,"",IF(MAX($AC732:$AG732)=MIN($AC732:$AG732),0,1))</f>
        <v/>
      </c>
      <c r="AI732" s="27">
        <f>IF($A732="","",IF(COUNTIF($A$14:$A732,$A732)=1,COUNTIF($AI$13:AI731,"&gt;0")+1,""))</f>
        <v/>
      </c>
      <c r="AO732" s="27">
        <f>IF($A732="","",IF(AND(COUNTIFS($A$14:$A$1213,$A732,$F$14:$F$1213,"&gt;=0")=2,IFERROR(INDEX($M$14:$M$313,MATCH($A732,$H$14:$H$313,0)),"Yes")&lt;&gt;"Yes"),1,0))</f>
        <v/>
      </c>
    </row>
    <row r="733">
      <c r="A733" s="19">
        <f>IF('Enter messages'!A733="","",'Enter messages'!A733)</f>
        <v/>
      </c>
      <c r="B733" s="20">
        <f>IF('Enter messages'!B733="","",'Enter messages'!B733)</f>
        <v/>
      </c>
      <c r="C733" s="21">
        <f>IFERROR(AVERAGE(P733:T733),"")</f>
        <v/>
      </c>
      <c r="D733" s="29" t="n"/>
      <c r="E733" s="29" t="n"/>
      <c r="F733" s="30">
        <f>IF(AND(ISNUMBER($D733),ISNUMBER($E733),$E733&gt;0,$D733&lt;=$E733),$D733/$E733,"")</f>
        <v/>
      </c>
      <c r="P733" s="26" t="n"/>
      <c r="Q733" s="26" t="n"/>
      <c r="R733" s="26" t="n"/>
      <c r="S733" s="26" t="n"/>
      <c r="T733" s="26" t="n"/>
      <c r="V733" s="27">
        <f>IF(ISNUMBER($C733),COUNTIFS($A$14:$A$1213,$A733,$C$14:$C$1213,"&gt;"&amp;$C733)+(COUNTIFS($A$14:$A$1213,$A733,$C$14:$C$1213,"="&amp;$C733)+1)/2,"")</f>
        <v/>
      </c>
      <c r="W733" s="27">
        <f>IF(ISNUMBER($F733),COUNTIFS($A$14:$A$1213,$A733,$F$14:$F$1213,"&gt;"&amp;$F733)+(COUNTIFS($A$14:$A$1213,$A733,$F$14:$F$1213,"="&amp;$F733)+1)/2,"")</f>
        <v/>
      </c>
      <c r="X733" s="27">
        <f>IF(OR(NOT(ISNUMBER($V733)),$AO733=1),"",$V733-(COUNTIFS($A$14:$A$1213,$A733,$C$14:$C$1213,"&gt;=0")+1)/2)</f>
        <v/>
      </c>
      <c r="Y733" s="27">
        <f>IF(OR(NOT(ISNUMBER($W733)),$AO733=1),"",$W733-(COUNTIFS($A$14:$A$1213,$A733,$F$14:$F$1213,"&gt;=0")+1)/2)</f>
        <v/>
      </c>
      <c r="Z733" s="27">
        <f>IF(ISNUMBER($V733),$A733&amp;"|"&amp;$V733,"")</f>
        <v/>
      </c>
      <c r="AA733" s="27">
        <f>IF(ISNUMBER($W733),$A733&amp;"|"&amp;$W733,"")</f>
        <v/>
      </c>
      <c r="AB733" s="27">
        <f>IF(ISNUMBER($F733),$A733&amp;"|"&amp;$F733,"")</f>
        <v/>
      </c>
      <c r="AC733" s="27">
        <f>IF(ISNUMBER($P733),COUNTIFS($A$14:$A$1213,$A733,$P$14:$P$1213,"&gt;"&amp;$P733)+(COUNTIFS($A$14:$A$1213,$A733,$P$14:$P$1213,"="&amp;$P733)+1)/2,"")</f>
        <v/>
      </c>
      <c r="AD733" s="27">
        <f>IF(ISNUMBER($Q733),COUNTIFS($A$14:$A$1213,$A733,$Q$14:$Q$1213,"&gt;"&amp;$Q733)+(COUNTIFS($A$14:$A$1213,$A733,$Q$14:$Q$1213,"="&amp;$Q733)+1)/2,"")</f>
        <v/>
      </c>
      <c r="AE733" s="27">
        <f>IF(ISNUMBER($R733),COUNTIFS($A$14:$A$1213,$A733,$R$14:$R$1213,"&gt;"&amp;$R733)+(COUNTIFS($A$14:$A$1213,$A733,$R$14:$R$1213,"="&amp;$R733)+1)/2,"")</f>
        <v/>
      </c>
      <c r="AF733" s="27">
        <f>IF(ISNUMBER($S733),COUNTIFS($A$14:$A$1213,$A733,$S$14:$S$1213,"&gt;"&amp;$S733)+(COUNTIFS($A$14:$A$1213,$A733,$S$14:$S$1213,"="&amp;$S733)+1)/2,"")</f>
        <v/>
      </c>
      <c r="AG733" s="27">
        <f>IF(ISNUMBER($T733),COUNTIFS($A$14:$A$1213,$A733,$T$14:$T$1213,"&gt;"&amp;$T733)+(COUNTIFS($A$14:$A$1213,$A733,$T$14:$T$1213,"="&amp;$T733)+1)/2,"")</f>
        <v/>
      </c>
      <c r="AH733" s="27">
        <f>IF(COUNT($AC733:$AG733)&lt;2,"",IF(MAX($AC733:$AG733)=MIN($AC733:$AG733),0,1))</f>
        <v/>
      </c>
      <c r="AI733" s="27">
        <f>IF($A733="","",IF(COUNTIF($A$14:$A733,$A733)=1,COUNTIF($AI$13:AI732,"&gt;0")+1,""))</f>
        <v/>
      </c>
      <c r="AO733" s="27">
        <f>IF($A733="","",IF(AND(COUNTIFS($A$14:$A$1213,$A733,$F$14:$F$1213,"&gt;=0")=2,IFERROR(INDEX($M$14:$M$313,MATCH($A733,$H$14:$H$313,0)),"Yes")&lt;&gt;"Yes"),1,0))</f>
        <v/>
      </c>
    </row>
    <row r="734">
      <c r="A734" s="19">
        <f>IF('Enter messages'!A734="","",'Enter messages'!A734)</f>
        <v/>
      </c>
      <c r="B734" s="20">
        <f>IF('Enter messages'!B734="","",'Enter messages'!B734)</f>
        <v/>
      </c>
      <c r="C734" s="21">
        <f>IFERROR(AVERAGE(P734:T734),"")</f>
        <v/>
      </c>
      <c r="D734" s="29" t="n"/>
      <c r="E734" s="29" t="n"/>
      <c r="F734" s="30">
        <f>IF(AND(ISNUMBER($D734),ISNUMBER($E734),$E734&gt;0,$D734&lt;=$E734),$D734/$E734,"")</f>
        <v/>
      </c>
      <c r="P734" s="26" t="n"/>
      <c r="Q734" s="26" t="n"/>
      <c r="R734" s="26" t="n"/>
      <c r="S734" s="26" t="n"/>
      <c r="T734" s="26" t="n"/>
      <c r="V734" s="27">
        <f>IF(ISNUMBER($C734),COUNTIFS($A$14:$A$1213,$A734,$C$14:$C$1213,"&gt;"&amp;$C734)+(COUNTIFS($A$14:$A$1213,$A734,$C$14:$C$1213,"="&amp;$C734)+1)/2,"")</f>
        <v/>
      </c>
      <c r="W734" s="27">
        <f>IF(ISNUMBER($F734),COUNTIFS($A$14:$A$1213,$A734,$F$14:$F$1213,"&gt;"&amp;$F734)+(COUNTIFS($A$14:$A$1213,$A734,$F$14:$F$1213,"="&amp;$F734)+1)/2,"")</f>
        <v/>
      </c>
      <c r="X734" s="27">
        <f>IF(OR(NOT(ISNUMBER($V734)),$AO734=1),"",$V734-(COUNTIFS($A$14:$A$1213,$A734,$C$14:$C$1213,"&gt;=0")+1)/2)</f>
        <v/>
      </c>
      <c r="Y734" s="27">
        <f>IF(OR(NOT(ISNUMBER($W734)),$AO734=1),"",$W734-(COUNTIFS($A$14:$A$1213,$A734,$F$14:$F$1213,"&gt;=0")+1)/2)</f>
        <v/>
      </c>
      <c r="Z734" s="27">
        <f>IF(ISNUMBER($V734),$A734&amp;"|"&amp;$V734,"")</f>
        <v/>
      </c>
      <c r="AA734" s="27">
        <f>IF(ISNUMBER($W734),$A734&amp;"|"&amp;$W734,"")</f>
        <v/>
      </c>
      <c r="AB734" s="27">
        <f>IF(ISNUMBER($F734),$A734&amp;"|"&amp;$F734,"")</f>
        <v/>
      </c>
      <c r="AC734" s="27">
        <f>IF(ISNUMBER($P734),COUNTIFS($A$14:$A$1213,$A734,$P$14:$P$1213,"&gt;"&amp;$P734)+(COUNTIFS($A$14:$A$1213,$A734,$P$14:$P$1213,"="&amp;$P734)+1)/2,"")</f>
        <v/>
      </c>
      <c r="AD734" s="27">
        <f>IF(ISNUMBER($Q734),COUNTIFS($A$14:$A$1213,$A734,$Q$14:$Q$1213,"&gt;"&amp;$Q734)+(COUNTIFS($A$14:$A$1213,$A734,$Q$14:$Q$1213,"="&amp;$Q734)+1)/2,"")</f>
        <v/>
      </c>
      <c r="AE734" s="27">
        <f>IF(ISNUMBER($R734),COUNTIFS($A$14:$A$1213,$A734,$R$14:$R$1213,"&gt;"&amp;$R734)+(COUNTIFS($A$14:$A$1213,$A734,$R$14:$R$1213,"="&amp;$R734)+1)/2,"")</f>
        <v/>
      </c>
      <c r="AF734" s="27">
        <f>IF(ISNUMBER($S734),COUNTIFS($A$14:$A$1213,$A734,$S$14:$S$1213,"&gt;"&amp;$S734)+(COUNTIFS($A$14:$A$1213,$A734,$S$14:$S$1213,"="&amp;$S734)+1)/2,"")</f>
        <v/>
      </c>
      <c r="AG734" s="27">
        <f>IF(ISNUMBER($T734),COUNTIFS($A$14:$A$1213,$A734,$T$14:$T$1213,"&gt;"&amp;$T734)+(COUNTIFS($A$14:$A$1213,$A734,$T$14:$T$1213,"="&amp;$T734)+1)/2,"")</f>
        <v/>
      </c>
      <c r="AH734" s="27">
        <f>IF(COUNT($AC734:$AG734)&lt;2,"",IF(MAX($AC734:$AG734)=MIN($AC734:$AG734),0,1))</f>
        <v/>
      </c>
      <c r="AI734" s="27">
        <f>IF($A734="","",IF(COUNTIF($A$14:$A734,$A734)=1,COUNTIF($AI$13:AI733,"&gt;0")+1,""))</f>
        <v/>
      </c>
      <c r="AO734" s="27">
        <f>IF($A734="","",IF(AND(COUNTIFS($A$14:$A$1213,$A734,$F$14:$F$1213,"&gt;=0")=2,IFERROR(INDEX($M$14:$M$313,MATCH($A734,$H$14:$H$313,0)),"Yes")&lt;&gt;"Yes"),1,0))</f>
        <v/>
      </c>
    </row>
    <row r="735">
      <c r="A735" s="19">
        <f>IF('Enter messages'!A735="","",'Enter messages'!A735)</f>
        <v/>
      </c>
      <c r="B735" s="20">
        <f>IF('Enter messages'!B735="","",'Enter messages'!B735)</f>
        <v/>
      </c>
      <c r="C735" s="21">
        <f>IFERROR(AVERAGE(P735:T735),"")</f>
        <v/>
      </c>
      <c r="D735" s="29" t="n"/>
      <c r="E735" s="29" t="n"/>
      <c r="F735" s="30">
        <f>IF(AND(ISNUMBER($D735),ISNUMBER($E735),$E735&gt;0,$D735&lt;=$E735),$D735/$E735,"")</f>
        <v/>
      </c>
      <c r="P735" s="26" t="n"/>
      <c r="Q735" s="26" t="n"/>
      <c r="R735" s="26" t="n"/>
      <c r="S735" s="26" t="n"/>
      <c r="T735" s="26" t="n"/>
      <c r="V735" s="27">
        <f>IF(ISNUMBER($C735),COUNTIFS($A$14:$A$1213,$A735,$C$14:$C$1213,"&gt;"&amp;$C735)+(COUNTIFS($A$14:$A$1213,$A735,$C$14:$C$1213,"="&amp;$C735)+1)/2,"")</f>
        <v/>
      </c>
      <c r="W735" s="27">
        <f>IF(ISNUMBER($F735),COUNTIFS($A$14:$A$1213,$A735,$F$14:$F$1213,"&gt;"&amp;$F735)+(COUNTIFS($A$14:$A$1213,$A735,$F$14:$F$1213,"="&amp;$F735)+1)/2,"")</f>
        <v/>
      </c>
      <c r="X735" s="27">
        <f>IF(OR(NOT(ISNUMBER($V735)),$AO735=1),"",$V735-(COUNTIFS($A$14:$A$1213,$A735,$C$14:$C$1213,"&gt;=0")+1)/2)</f>
        <v/>
      </c>
      <c r="Y735" s="27">
        <f>IF(OR(NOT(ISNUMBER($W735)),$AO735=1),"",$W735-(COUNTIFS($A$14:$A$1213,$A735,$F$14:$F$1213,"&gt;=0")+1)/2)</f>
        <v/>
      </c>
      <c r="Z735" s="27">
        <f>IF(ISNUMBER($V735),$A735&amp;"|"&amp;$V735,"")</f>
        <v/>
      </c>
      <c r="AA735" s="27">
        <f>IF(ISNUMBER($W735),$A735&amp;"|"&amp;$W735,"")</f>
        <v/>
      </c>
      <c r="AB735" s="27">
        <f>IF(ISNUMBER($F735),$A735&amp;"|"&amp;$F735,"")</f>
        <v/>
      </c>
      <c r="AC735" s="27">
        <f>IF(ISNUMBER($P735),COUNTIFS($A$14:$A$1213,$A735,$P$14:$P$1213,"&gt;"&amp;$P735)+(COUNTIFS($A$14:$A$1213,$A735,$P$14:$P$1213,"="&amp;$P735)+1)/2,"")</f>
        <v/>
      </c>
      <c r="AD735" s="27">
        <f>IF(ISNUMBER($Q735),COUNTIFS($A$14:$A$1213,$A735,$Q$14:$Q$1213,"&gt;"&amp;$Q735)+(COUNTIFS($A$14:$A$1213,$A735,$Q$14:$Q$1213,"="&amp;$Q735)+1)/2,"")</f>
        <v/>
      </c>
      <c r="AE735" s="27">
        <f>IF(ISNUMBER($R735),COUNTIFS($A$14:$A$1213,$A735,$R$14:$R$1213,"&gt;"&amp;$R735)+(COUNTIFS($A$14:$A$1213,$A735,$R$14:$R$1213,"="&amp;$R735)+1)/2,"")</f>
        <v/>
      </c>
      <c r="AF735" s="27">
        <f>IF(ISNUMBER($S735),COUNTIFS($A$14:$A$1213,$A735,$S$14:$S$1213,"&gt;"&amp;$S735)+(COUNTIFS($A$14:$A$1213,$A735,$S$14:$S$1213,"="&amp;$S735)+1)/2,"")</f>
        <v/>
      </c>
      <c r="AG735" s="27">
        <f>IF(ISNUMBER($T735),COUNTIFS($A$14:$A$1213,$A735,$T$14:$T$1213,"&gt;"&amp;$T735)+(COUNTIFS($A$14:$A$1213,$A735,$T$14:$T$1213,"="&amp;$T735)+1)/2,"")</f>
        <v/>
      </c>
      <c r="AH735" s="27">
        <f>IF(COUNT($AC735:$AG735)&lt;2,"",IF(MAX($AC735:$AG735)=MIN($AC735:$AG735),0,1))</f>
        <v/>
      </c>
      <c r="AI735" s="27">
        <f>IF($A735="","",IF(COUNTIF($A$14:$A735,$A735)=1,COUNTIF($AI$13:AI734,"&gt;0")+1,""))</f>
        <v/>
      </c>
      <c r="AO735" s="27">
        <f>IF($A735="","",IF(AND(COUNTIFS($A$14:$A$1213,$A735,$F$14:$F$1213,"&gt;=0")=2,IFERROR(INDEX($M$14:$M$313,MATCH($A735,$H$14:$H$313,0)),"Yes")&lt;&gt;"Yes"),1,0))</f>
        <v/>
      </c>
    </row>
    <row r="736">
      <c r="A736" s="19">
        <f>IF('Enter messages'!A736="","",'Enter messages'!A736)</f>
        <v/>
      </c>
      <c r="B736" s="20">
        <f>IF('Enter messages'!B736="","",'Enter messages'!B736)</f>
        <v/>
      </c>
      <c r="C736" s="21">
        <f>IFERROR(AVERAGE(P736:T736),"")</f>
        <v/>
      </c>
      <c r="D736" s="29" t="n"/>
      <c r="E736" s="29" t="n"/>
      <c r="F736" s="30">
        <f>IF(AND(ISNUMBER($D736),ISNUMBER($E736),$E736&gt;0,$D736&lt;=$E736),$D736/$E736,"")</f>
        <v/>
      </c>
      <c r="P736" s="26" t="n"/>
      <c r="Q736" s="26" t="n"/>
      <c r="R736" s="26" t="n"/>
      <c r="S736" s="26" t="n"/>
      <c r="T736" s="26" t="n"/>
      <c r="V736" s="27">
        <f>IF(ISNUMBER($C736),COUNTIFS($A$14:$A$1213,$A736,$C$14:$C$1213,"&gt;"&amp;$C736)+(COUNTIFS($A$14:$A$1213,$A736,$C$14:$C$1213,"="&amp;$C736)+1)/2,"")</f>
        <v/>
      </c>
      <c r="W736" s="27">
        <f>IF(ISNUMBER($F736),COUNTIFS($A$14:$A$1213,$A736,$F$14:$F$1213,"&gt;"&amp;$F736)+(COUNTIFS($A$14:$A$1213,$A736,$F$14:$F$1213,"="&amp;$F736)+1)/2,"")</f>
        <v/>
      </c>
      <c r="X736" s="27">
        <f>IF(OR(NOT(ISNUMBER($V736)),$AO736=1),"",$V736-(COUNTIFS($A$14:$A$1213,$A736,$C$14:$C$1213,"&gt;=0")+1)/2)</f>
        <v/>
      </c>
      <c r="Y736" s="27">
        <f>IF(OR(NOT(ISNUMBER($W736)),$AO736=1),"",$W736-(COUNTIFS($A$14:$A$1213,$A736,$F$14:$F$1213,"&gt;=0")+1)/2)</f>
        <v/>
      </c>
      <c r="Z736" s="27">
        <f>IF(ISNUMBER($V736),$A736&amp;"|"&amp;$V736,"")</f>
        <v/>
      </c>
      <c r="AA736" s="27">
        <f>IF(ISNUMBER($W736),$A736&amp;"|"&amp;$W736,"")</f>
        <v/>
      </c>
      <c r="AB736" s="27">
        <f>IF(ISNUMBER($F736),$A736&amp;"|"&amp;$F736,"")</f>
        <v/>
      </c>
      <c r="AC736" s="27">
        <f>IF(ISNUMBER($P736),COUNTIFS($A$14:$A$1213,$A736,$P$14:$P$1213,"&gt;"&amp;$P736)+(COUNTIFS($A$14:$A$1213,$A736,$P$14:$P$1213,"="&amp;$P736)+1)/2,"")</f>
        <v/>
      </c>
      <c r="AD736" s="27">
        <f>IF(ISNUMBER($Q736),COUNTIFS($A$14:$A$1213,$A736,$Q$14:$Q$1213,"&gt;"&amp;$Q736)+(COUNTIFS($A$14:$A$1213,$A736,$Q$14:$Q$1213,"="&amp;$Q736)+1)/2,"")</f>
        <v/>
      </c>
      <c r="AE736" s="27">
        <f>IF(ISNUMBER($R736),COUNTIFS($A$14:$A$1213,$A736,$R$14:$R$1213,"&gt;"&amp;$R736)+(COUNTIFS($A$14:$A$1213,$A736,$R$14:$R$1213,"="&amp;$R736)+1)/2,"")</f>
        <v/>
      </c>
      <c r="AF736" s="27">
        <f>IF(ISNUMBER($S736),COUNTIFS($A$14:$A$1213,$A736,$S$14:$S$1213,"&gt;"&amp;$S736)+(COUNTIFS($A$14:$A$1213,$A736,$S$14:$S$1213,"="&amp;$S736)+1)/2,"")</f>
        <v/>
      </c>
      <c r="AG736" s="27">
        <f>IF(ISNUMBER($T736),COUNTIFS($A$14:$A$1213,$A736,$T$14:$T$1213,"&gt;"&amp;$T736)+(COUNTIFS($A$14:$A$1213,$A736,$T$14:$T$1213,"="&amp;$T736)+1)/2,"")</f>
        <v/>
      </c>
      <c r="AH736" s="27">
        <f>IF(COUNT($AC736:$AG736)&lt;2,"",IF(MAX($AC736:$AG736)=MIN($AC736:$AG736),0,1))</f>
        <v/>
      </c>
      <c r="AI736" s="27">
        <f>IF($A736="","",IF(COUNTIF($A$14:$A736,$A736)=1,COUNTIF($AI$13:AI735,"&gt;0")+1,""))</f>
        <v/>
      </c>
      <c r="AO736" s="27">
        <f>IF($A736="","",IF(AND(COUNTIFS($A$14:$A$1213,$A736,$F$14:$F$1213,"&gt;=0")=2,IFERROR(INDEX($M$14:$M$313,MATCH($A736,$H$14:$H$313,0)),"Yes")&lt;&gt;"Yes"),1,0))</f>
        <v/>
      </c>
    </row>
    <row r="737">
      <c r="A737" s="19">
        <f>IF('Enter messages'!A737="","",'Enter messages'!A737)</f>
        <v/>
      </c>
      <c r="B737" s="20">
        <f>IF('Enter messages'!B737="","",'Enter messages'!B737)</f>
        <v/>
      </c>
      <c r="C737" s="21">
        <f>IFERROR(AVERAGE(P737:T737),"")</f>
        <v/>
      </c>
      <c r="D737" s="29" t="n"/>
      <c r="E737" s="29" t="n"/>
      <c r="F737" s="30">
        <f>IF(AND(ISNUMBER($D737),ISNUMBER($E737),$E737&gt;0,$D737&lt;=$E737),$D737/$E737,"")</f>
        <v/>
      </c>
      <c r="P737" s="26" t="n"/>
      <c r="Q737" s="26" t="n"/>
      <c r="R737" s="26" t="n"/>
      <c r="S737" s="26" t="n"/>
      <c r="T737" s="26" t="n"/>
      <c r="V737" s="27">
        <f>IF(ISNUMBER($C737),COUNTIFS($A$14:$A$1213,$A737,$C$14:$C$1213,"&gt;"&amp;$C737)+(COUNTIFS($A$14:$A$1213,$A737,$C$14:$C$1213,"="&amp;$C737)+1)/2,"")</f>
        <v/>
      </c>
      <c r="W737" s="27">
        <f>IF(ISNUMBER($F737),COUNTIFS($A$14:$A$1213,$A737,$F$14:$F$1213,"&gt;"&amp;$F737)+(COUNTIFS($A$14:$A$1213,$A737,$F$14:$F$1213,"="&amp;$F737)+1)/2,"")</f>
        <v/>
      </c>
      <c r="X737" s="27">
        <f>IF(OR(NOT(ISNUMBER($V737)),$AO737=1),"",$V737-(COUNTIFS($A$14:$A$1213,$A737,$C$14:$C$1213,"&gt;=0")+1)/2)</f>
        <v/>
      </c>
      <c r="Y737" s="27">
        <f>IF(OR(NOT(ISNUMBER($W737)),$AO737=1),"",$W737-(COUNTIFS($A$14:$A$1213,$A737,$F$14:$F$1213,"&gt;=0")+1)/2)</f>
        <v/>
      </c>
      <c r="Z737" s="27">
        <f>IF(ISNUMBER($V737),$A737&amp;"|"&amp;$V737,"")</f>
        <v/>
      </c>
      <c r="AA737" s="27">
        <f>IF(ISNUMBER($W737),$A737&amp;"|"&amp;$W737,"")</f>
        <v/>
      </c>
      <c r="AB737" s="27">
        <f>IF(ISNUMBER($F737),$A737&amp;"|"&amp;$F737,"")</f>
        <v/>
      </c>
      <c r="AC737" s="27">
        <f>IF(ISNUMBER($P737),COUNTIFS($A$14:$A$1213,$A737,$P$14:$P$1213,"&gt;"&amp;$P737)+(COUNTIFS($A$14:$A$1213,$A737,$P$14:$P$1213,"="&amp;$P737)+1)/2,"")</f>
        <v/>
      </c>
      <c r="AD737" s="27">
        <f>IF(ISNUMBER($Q737),COUNTIFS($A$14:$A$1213,$A737,$Q$14:$Q$1213,"&gt;"&amp;$Q737)+(COUNTIFS($A$14:$A$1213,$A737,$Q$14:$Q$1213,"="&amp;$Q737)+1)/2,"")</f>
        <v/>
      </c>
      <c r="AE737" s="27">
        <f>IF(ISNUMBER($R737),COUNTIFS($A$14:$A$1213,$A737,$R$14:$R$1213,"&gt;"&amp;$R737)+(COUNTIFS($A$14:$A$1213,$A737,$R$14:$R$1213,"="&amp;$R737)+1)/2,"")</f>
        <v/>
      </c>
      <c r="AF737" s="27">
        <f>IF(ISNUMBER($S737),COUNTIFS($A$14:$A$1213,$A737,$S$14:$S$1213,"&gt;"&amp;$S737)+(COUNTIFS($A$14:$A$1213,$A737,$S$14:$S$1213,"="&amp;$S737)+1)/2,"")</f>
        <v/>
      </c>
      <c r="AG737" s="27">
        <f>IF(ISNUMBER($T737),COUNTIFS($A$14:$A$1213,$A737,$T$14:$T$1213,"&gt;"&amp;$T737)+(COUNTIFS($A$14:$A$1213,$A737,$T$14:$T$1213,"="&amp;$T737)+1)/2,"")</f>
        <v/>
      </c>
      <c r="AH737" s="27">
        <f>IF(COUNT($AC737:$AG737)&lt;2,"",IF(MAX($AC737:$AG737)=MIN($AC737:$AG737),0,1))</f>
        <v/>
      </c>
      <c r="AI737" s="27">
        <f>IF($A737="","",IF(COUNTIF($A$14:$A737,$A737)=1,COUNTIF($AI$13:AI736,"&gt;0")+1,""))</f>
        <v/>
      </c>
      <c r="AO737" s="27">
        <f>IF($A737="","",IF(AND(COUNTIFS($A$14:$A$1213,$A737,$F$14:$F$1213,"&gt;=0")=2,IFERROR(INDEX($M$14:$M$313,MATCH($A737,$H$14:$H$313,0)),"Yes")&lt;&gt;"Yes"),1,0))</f>
        <v/>
      </c>
    </row>
    <row r="738">
      <c r="A738" s="19">
        <f>IF('Enter messages'!A738="","",'Enter messages'!A738)</f>
        <v/>
      </c>
      <c r="B738" s="20">
        <f>IF('Enter messages'!B738="","",'Enter messages'!B738)</f>
        <v/>
      </c>
      <c r="C738" s="21">
        <f>IFERROR(AVERAGE(P738:T738),"")</f>
        <v/>
      </c>
      <c r="D738" s="29" t="n"/>
      <c r="E738" s="29" t="n"/>
      <c r="F738" s="30">
        <f>IF(AND(ISNUMBER($D738),ISNUMBER($E738),$E738&gt;0,$D738&lt;=$E738),$D738/$E738,"")</f>
        <v/>
      </c>
      <c r="P738" s="26" t="n"/>
      <c r="Q738" s="26" t="n"/>
      <c r="R738" s="26" t="n"/>
      <c r="S738" s="26" t="n"/>
      <c r="T738" s="26" t="n"/>
      <c r="V738" s="27">
        <f>IF(ISNUMBER($C738),COUNTIFS($A$14:$A$1213,$A738,$C$14:$C$1213,"&gt;"&amp;$C738)+(COUNTIFS($A$14:$A$1213,$A738,$C$14:$C$1213,"="&amp;$C738)+1)/2,"")</f>
        <v/>
      </c>
      <c r="W738" s="27">
        <f>IF(ISNUMBER($F738),COUNTIFS($A$14:$A$1213,$A738,$F$14:$F$1213,"&gt;"&amp;$F738)+(COUNTIFS($A$14:$A$1213,$A738,$F$14:$F$1213,"="&amp;$F738)+1)/2,"")</f>
        <v/>
      </c>
      <c r="X738" s="27">
        <f>IF(OR(NOT(ISNUMBER($V738)),$AO738=1),"",$V738-(COUNTIFS($A$14:$A$1213,$A738,$C$14:$C$1213,"&gt;=0")+1)/2)</f>
        <v/>
      </c>
      <c r="Y738" s="27">
        <f>IF(OR(NOT(ISNUMBER($W738)),$AO738=1),"",$W738-(COUNTIFS($A$14:$A$1213,$A738,$F$14:$F$1213,"&gt;=0")+1)/2)</f>
        <v/>
      </c>
      <c r="Z738" s="27">
        <f>IF(ISNUMBER($V738),$A738&amp;"|"&amp;$V738,"")</f>
        <v/>
      </c>
      <c r="AA738" s="27">
        <f>IF(ISNUMBER($W738),$A738&amp;"|"&amp;$W738,"")</f>
        <v/>
      </c>
      <c r="AB738" s="27">
        <f>IF(ISNUMBER($F738),$A738&amp;"|"&amp;$F738,"")</f>
        <v/>
      </c>
      <c r="AC738" s="27">
        <f>IF(ISNUMBER($P738),COUNTIFS($A$14:$A$1213,$A738,$P$14:$P$1213,"&gt;"&amp;$P738)+(COUNTIFS($A$14:$A$1213,$A738,$P$14:$P$1213,"="&amp;$P738)+1)/2,"")</f>
        <v/>
      </c>
      <c r="AD738" s="27">
        <f>IF(ISNUMBER($Q738),COUNTIFS($A$14:$A$1213,$A738,$Q$14:$Q$1213,"&gt;"&amp;$Q738)+(COUNTIFS($A$14:$A$1213,$A738,$Q$14:$Q$1213,"="&amp;$Q738)+1)/2,"")</f>
        <v/>
      </c>
      <c r="AE738" s="27">
        <f>IF(ISNUMBER($R738),COUNTIFS($A$14:$A$1213,$A738,$R$14:$R$1213,"&gt;"&amp;$R738)+(COUNTIFS($A$14:$A$1213,$A738,$R$14:$R$1213,"="&amp;$R738)+1)/2,"")</f>
        <v/>
      </c>
      <c r="AF738" s="27">
        <f>IF(ISNUMBER($S738),COUNTIFS($A$14:$A$1213,$A738,$S$14:$S$1213,"&gt;"&amp;$S738)+(COUNTIFS($A$14:$A$1213,$A738,$S$14:$S$1213,"="&amp;$S738)+1)/2,"")</f>
        <v/>
      </c>
      <c r="AG738" s="27">
        <f>IF(ISNUMBER($T738),COUNTIFS($A$14:$A$1213,$A738,$T$14:$T$1213,"&gt;"&amp;$T738)+(COUNTIFS($A$14:$A$1213,$A738,$T$14:$T$1213,"="&amp;$T738)+1)/2,"")</f>
        <v/>
      </c>
      <c r="AH738" s="27">
        <f>IF(COUNT($AC738:$AG738)&lt;2,"",IF(MAX($AC738:$AG738)=MIN($AC738:$AG738),0,1))</f>
        <v/>
      </c>
      <c r="AI738" s="27">
        <f>IF($A738="","",IF(COUNTIF($A$14:$A738,$A738)=1,COUNTIF($AI$13:AI737,"&gt;0")+1,""))</f>
        <v/>
      </c>
      <c r="AO738" s="27">
        <f>IF($A738="","",IF(AND(COUNTIFS($A$14:$A$1213,$A738,$F$14:$F$1213,"&gt;=0")=2,IFERROR(INDEX($M$14:$M$313,MATCH($A738,$H$14:$H$313,0)),"Yes")&lt;&gt;"Yes"),1,0))</f>
        <v/>
      </c>
    </row>
    <row r="739">
      <c r="A739" s="19">
        <f>IF('Enter messages'!A739="","",'Enter messages'!A739)</f>
        <v/>
      </c>
      <c r="B739" s="20">
        <f>IF('Enter messages'!B739="","",'Enter messages'!B739)</f>
        <v/>
      </c>
      <c r="C739" s="21">
        <f>IFERROR(AVERAGE(P739:T739),"")</f>
        <v/>
      </c>
      <c r="D739" s="29" t="n"/>
      <c r="E739" s="29" t="n"/>
      <c r="F739" s="30">
        <f>IF(AND(ISNUMBER($D739),ISNUMBER($E739),$E739&gt;0,$D739&lt;=$E739),$D739/$E739,"")</f>
        <v/>
      </c>
      <c r="P739" s="26" t="n"/>
      <c r="Q739" s="26" t="n"/>
      <c r="R739" s="26" t="n"/>
      <c r="S739" s="26" t="n"/>
      <c r="T739" s="26" t="n"/>
      <c r="V739" s="27">
        <f>IF(ISNUMBER($C739),COUNTIFS($A$14:$A$1213,$A739,$C$14:$C$1213,"&gt;"&amp;$C739)+(COUNTIFS($A$14:$A$1213,$A739,$C$14:$C$1213,"="&amp;$C739)+1)/2,"")</f>
        <v/>
      </c>
      <c r="W739" s="27">
        <f>IF(ISNUMBER($F739),COUNTIFS($A$14:$A$1213,$A739,$F$14:$F$1213,"&gt;"&amp;$F739)+(COUNTIFS($A$14:$A$1213,$A739,$F$14:$F$1213,"="&amp;$F739)+1)/2,"")</f>
        <v/>
      </c>
      <c r="X739" s="27">
        <f>IF(OR(NOT(ISNUMBER($V739)),$AO739=1),"",$V739-(COUNTIFS($A$14:$A$1213,$A739,$C$14:$C$1213,"&gt;=0")+1)/2)</f>
        <v/>
      </c>
      <c r="Y739" s="27">
        <f>IF(OR(NOT(ISNUMBER($W739)),$AO739=1),"",$W739-(COUNTIFS($A$14:$A$1213,$A739,$F$14:$F$1213,"&gt;=0")+1)/2)</f>
        <v/>
      </c>
      <c r="Z739" s="27">
        <f>IF(ISNUMBER($V739),$A739&amp;"|"&amp;$V739,"")</f>
        <v/>
      </c>
      <c r="AA739" s="27">
        <f>IF(ISNUMBER($W739),$A739&amp;"|"&amp;$W739,"")</f>
        <v/>
      </c>
      <c r="AB739" s="27">
        <f>IF(ISNUMBER($F739),$A739&amp;"|"&amp;$F739,"")</f>
        <v/>
      </c>
      <c r="AC739" s="27">
        <f>IF(ISNUMBER($P739),COUNTIFS($A$14:$A$1213,$A739,$P$14:$P$1213,"&gt;"&amp;$P739)+(COUNTIFS($A$14:$A$1213,$A739,$P$14:$P$1213,"="&amp;$P739)+1)/2,"")</f>
        <v/>
      </c>
      <c r="AD739" s="27">
        <f>IF(ISNUMBER($Q739),COUNTIFS($A$14:$A$1213,$A739,$Q$14:$Q$1213,"&gt;"&amp;$Q739)+(COUNTIFS($A$14:$A$1213,$A739,$Q$14:$Q$1213,"="&amp;$Q739)+1)/2,"")</f>
        <v/>
      </c>
      <c r="AE739" s="27">
        <f>IF(ISNUMBER($R739),COUNTIFS($A$14:$A$1213,$A739,$R$14:$R$1213,"&gt;"&amp;$R739)+(COUNTIFS($A$14:$A$1213,$A739,$R$14:$R$1213,"="&amp;$R739)+1)/2,"")</f>
        <v/>
      </c>
      <c r="AF739" s="27">
        <f>IF(ISNUMBER($S739),COUNTIFS($A$14:$A$1213,$A739,$S$14:$S$1213,"&gt;"&amp;$S739)+(COUNTIFS($A$14:$A$1213,$A739,$S$14:$S$1213,"="&amp;$S739)+1)/2,"")</f>
        <v/>
      </c>
      <c r="AG739" s="27">
        <f>IF(ISNUMBER($T739),COUNTIFS($A$14:$A$1213,$A739,$T$14:$T$1213,"&gt;"&amp;$T739)+(COUNTIFS($A$14:$A$1213,$A739,$T$14:$T$1213,"="&amp;$T739)+1)/2,"")</f>
        <v/>
      </c>
      <c r="AH739" s="27">
        <f>IF(COUNT($AC739:$AG739)&lt;2,"",IF(MAX($AC739:$AG739)=MIN($AC739:$AG739),0,1))</f>
        <v/>
      </c>
      <c r="AI739" s="27">
        <f>IF($A739="","",IF(COUNTIF($A$14:$A739,$A739)=1,COUNTIF($AI$13:AI738,"&gt;0")+1,""))</f>
        <v/>
      </c>
      <c r="AO739" s="27">
        <f>IF($A739="","",IF(AND(COUNTIFS($A$14:$A$1213,$A739,$F$14:$F$1213,"&gt;=0")=2,IFERROR(INDEX($M$14:$M$313,MATCH($A739,$H$14:$H$313,0)),"Yes")&lt;&gt;"Yes"),1,0))</f>
        <v/>
      </c>
    </row>
    <row r="740">
      <c r="A740" s="19">
        <f>IF('Enter messages'!A740="","",'Enter messages'!A740)</f>
        <v/>
      </c>
      <c r="B740" s="20">
        <f>IF('Enter messages'!B740="","",'Enter messages'!B740)</f>
        <v/>
      </c>
      <c r="C740" s="21">
        <f>IFERROR(AVERAGE(P740:T740),"")</f>
        <v/>
      </c>
      <c r="D740" s="29" t="n"/>
      <c r="E740" s="29" t="n"/>
      <c r="F740" s="30">
        <f>IF(AND(ISNUMBER($D740),ISNUMBER($E740),$E740&gt;0,$D740&lt;=$E740),$D740/$E740,"")</f>
        <v/>
      </c>
      <c r="P740" s="26" t="n"/>
      <c r="Q740" s="26" t="n"/>
      <c r="R740" s="26" t="n"/>
      <c r="S740" s="26" t="n"/>
      <c r="T740" s="26" t="n"/>
      <c r="V740" s="27">
        <f>IF(ISNUMBER($C740),COUNTIFS($A$14:$A$1213,$A740,$C$14:$C$1213,"&gt;"&amp;$C740)+(COUNTIFS($A$14:$A$1213,$A740,$C$14:$C$1213,"="&amp;$C740)+1)/2,"")</f>
        <v/>
      </c>
      <c r="W740" s="27">
        <f>IF(ISNUMBER($F740),COUNTIFS($A$14:$A$1213,$A740,$F$14:$F$1213,"&gt;"&amp;$F740)+(COUNTIFS($A$14:$A$1213,$A740,$F$14:$F$1213,"="&amp;$F740)+1)/2,"")</f>
        <v/>
      </c>
      <c r="X740" s="27">
        <f>IF(OR(NOT(ISNUMBER($V740)),$AO740=1),"",$V740-(COUNTIFS($A$14:$A$1213,$A740,$C$14:$C$1213,"&gt;=0")+1)/2)</f>
        <v/>
      </c>
      <c r="Y740" s="27">
        <f>IF(OR(NOT(ISNUMBER($W740)),$AO740=1),"",$W740-(COUNTIFS($A$14:$A$1213,$A740,$F$14:$F$1213,"&gt;=0")+1)/2)</f>
        <v/>
      </c>
      <c r="Z740" s="27">
        <f>IF(ISNUMBER($V740),$A740&amp;"|"&amp;$V740,"")</f>
        <v/>
      </c>
      <c r="AA740" s="27">
        <f>IF(ISNUMBER($W740),$A740&amp;"|"&amp;$W740,"")</f>
        <v/>
      </c>
      <c r="AB740" s="27">
        <f>IF(ISNUMBER($F740),$A740&amp;"|"&amp;$F740,"")</f>
        <v/>
      </c>
      <c r="AC740" s="27">
        <f>IF(ISNUMBER($P740),COUNTIFS($A$14:$A$1213,$A740,$P$14:$P$1213,"&gt;"&amp;$P740)+(COUNTIFS($A$14:$A$1213,$A740,$P$14:$P$1213,"="&amp;$P740)+1)/2,"")</f>
        <v/>
      </c>
      <c r="AD740" s="27">
        <f>IF(ISNUMBER($Q740),COUNTIFS($A$14:$A$1213,$A740,$Q$14:$Q$1213,"&gt;"&amp;$Q740)+(COUNTIFS($A$14:$A$1213,$A740,$Q$14:$Q$1213,"="&amp;$Q740)+1)/2,"")</f>
        <v/>
      </c>
      <c r="AE740" s="27">
        <f>IF(ISNUMBER($R740),COUNTIFS($A$14:$A$1213,$A740,$R$14:$R$1213,"&gt;"&amp;$R740)+(COUNTIFS($A$14:$A$1213,$A740,$R$14:$R$1213,"="&amp;$R740)+1)/2,"")</f>
        <v/>
      </c>
      <c r="AF740" s="27">
        <f>IF(ISNUMBER($S740),COUNTIFS($A$14:$A$1213,$A740,$S$14:$S$1213,"&gt;"&amp;$S740)+(COUNTIFS($A$14:$A$1213,$A740,$S$14:$S$1213,"="&amp;$S740)+1)/2,"")</f>
        <v/>
      </c>
      <c r="AG740" s="27">
        <f>IF(ISNUMBER($T740),COUNTIFS($A$14:$A$1213,$A740,$T$14:$T$1213,"&gt;"&amp;$T740)+(COUNTIFS($A$14:$A$1213,$A740,$T$14:$T$1213,"="&amp;$T740)+1)/2,"")</f>
        <v/>
      </c>
      <c r="AH740" s="27">
        <f>IF(COUNT($AC740:$AG740)&lt;2,"",IF(MAX($AC740:$AG740)=MIN($AC740:$AG740),0,1))</f>
        <v/>
      </c>
      <c r="AI740" s="27">
        <f>IF($A740="","",IF(COUNTIF($A$14:$A740,$A740)=1,COUNTIF($AI$13:AI739,"&gt;0")+1,""))</f>
        <v/>
      </c>
      <c r="AO740" s="27">
        <f>IF($A740="","",IF(AND(COUNTIFS($A$14:$A$1213,$A740,$F$14:$F$1213,"&gt;=0")=2,IFERROR(INDEX($M$14:$M$313,MATCH($A740,$H$14:$H$313,0)),"Yes")&lt;&gt;"Yes"),1,0))</f>
        <v/>
      </c>
    </row>
    <row r="741">
      <c r="A741" s="19">
        <f>IF('Enter messages'!A741="","",'Enter messages'!A741)</f>
        <v/>
      </c>
      <c r="B741" s="20">
        <f>IF('Enter messages'!B741="","",'Enter messages'!B741)</f>
        <v/>
      </c>
      <c r="C741" s="21">
        <f>IFERROR(AVERAGE(P741:T741),"")</f>
        <v/>
      </c>
      <c r="D741" s="29" t="n"/>
      <c r="E741" s="29" t="n"/>
      <c r="F741" s="30">
        <f>IF(AND(ISNUMBER($D741),ISNUMBER($E741),$E741&gt;0,$D741&lt;=$E741),$D741/$E741,"")</f>
        <v/>
      </c>
      <c r="P741" s="26" t="n"/>
      <c r="Q741" s="26" t="n"/>
      <c r="R741" s="26" t="n"/>
      <c r="S741" s="26" t="n"/>
      <c r="T741" s="26" t="n"/>
      <c r="V741" s="27">
        <f>IF(ISNUMBER($C741),COUNTIFS($A$14:$A$1213,$A741,$C$14:$C$1213,"&gt;"&amp;$C741)+(COUNTIFS($A$14:$A$1213,$A741,$C$14:$C$1213,"="&amp;$C741)+1)/2,"")</f>
        <v/>
      </c>
      <c r="W741" s="27">
        <f>IF(ISNUMBER($F741),COUNTIFS($A$14:$A$1213,$A741,$F$14:$F$1213,"&gt;"&amp;$F741)+(COUNTIFS($A$14:$A$1213,$A741,$F$14:$F$1213,"="&amp;$F741)+1)/2,"")</f>
        <v/>
      </c>
      <c r="X741" s="27">
        <f>IF(OR(NOT(ISNUMBER($V741)),$AO741=1),"",$V741-(COUNTIFS($A$14:$A$1213,$A741,$C$14:$C$1213,"&gt;=0")+1)/2)</f>
        <v/>
      </c>
      <c r="Y741" s="27">
        <f>IF(OR(NOT(ISNUMBER($W741)),$AO741=1),"",$W741-(COUNTIFS($A$14:$A$1213,$A741,$F$14:$F$1213,"&gt;=0")+1)/2)</f>
        <v/>
      </c>
      <c r="Z741" s="27">
        <f>IF(ISNUMBER($V741),$A741&amp;"|"&amp;$V741,"")</f>
        <v/>
      </c>
      <c r="AA741" s="27">
        <f>IF(ISNUMBER($W741),$A741&amp;"|"&amp;$W741,"")</f>
        <v/>
      </c>
      <c r="AB741" s="27">
        <f>IF(ISNUMBER($F741),$A741&amp;"|"&amp;$F741,"")</f>
        <v/>
      </c>
      <c r="AC741" s="27">
        <f>IF(ISNUMBER($P741),COUNTIFS($A$14:$A$1213,$A741,$P$14:$P$1213,"&gt;"&amp;$P741)+(COUNTIFS($A$14:$A$1213,$A741,$P$14:$P$1213,"="&amp;$P741)+1)/2,"")</f>
        <v/>
      </c>
      <c r="AD741" s="27">
        <f>IF(ISNUMBER($Q741),COUNTIFS($A$14:$A$1213,$A741,$Q$14:$Q$1213,"&gt;"&amp;$Q741)+(COUNTIFS($A$14:$A$1213,$A741,$Q$14:$Q$1213,"="&amp;$Q741)+1)/2,"")</f>
        <v/>
      </c>
      <c r="AE741" s="27">
        <f>IF(ISNUMBER($R741),COUNTIFS($A$14:$A$1213,$A741,$R$14:$R$1213,"&gt;"&amp;$R741)+(COUNTIFS($A$14:$A$1213,$A741,$R$14:$R$1213,"="&amp;$R741)+1)/2,"")</f>
        <v/>
      </c>
      <c r="AF741" s="27">
        <f>IF(ISNUMBER($S741),COUNTIFS($A$14:$A$1213,$A741,$S$14:$S$1213,"&gt;"&amp;$S741)+(COUNTIFS($A$14:$A$1213,$A741,$S$14:$S$1213,"="&amp;$S741)+1)/2,"")</f>
        <v/>
      </c>
      <c r="AG741" s="27">
        <f>IF(ISNUMBER($T741),COUNTIFS($A$14:$A$1213,$A741,$T$14:$T$1213,"&gt;"&amp;$T741)+(COUNTIFS($A$14:$A$1213,$A741,$T$14:$T$1213,"="&amp;$T741)+1)/2,"")</f>
        <v/>
      </c>
      <c r="AH741" s="27">
        <f>IF(COUNT($AC741:$AG741)&lt;2,"",IF(MAX($AC741:$AG741)=MIN($AC741:$AG741),0,1))</f>
        <v/>
      </c>
      <c r="AI741" s="27">
        <f>IF($A741="","",IF(COUNTIF($A$14:$A741,$A741)=1,COUNTIF($AI$13:AI740,"&gt;0")+1,""))</f>
        <v/>
      </c>
      <c r="AO741" s="27">
        <f>IF($A741="","",IF(AND(COUNTIFS($A$14:$A$1213,$A741,$F$14:$F$1213,"&gt;=0")=2,IFERROR(INDEX($M$14:$M$313,MATCH($A741,$H$14:$H$313,0)),"Yes")&lt;&gt;"Yes"),1,0))</f>
        <v/>
      </c>
    </row>
    <row r="742">
      <c r="A742" s="19">
        <f>IF('Enter messages'!A742="","",'Enter messages'!A742)</f>
        <v/>
      </c>
      <c r="B742" s="20">
        <f>IF('Enter messages'!B742="","",'Enter messages'!B742)</f>
        <v/>
      </c>
      <c r="C742" s="21">
        <f>IFERROR(AVERAGE(P742:T742),"")</f>
        <v/>
      </c>
      <c r="D742" s="29" t="n"/>
      <c r="E742" s="29" t="n"/>
      <c r="F742" s="30">
        <f>IF(AND(ISNUMBER($D742),ISNUMBER($E742),$E742&gt;0,$D742&lt;=$E742),$D742/$E742,"")</f>
        <v/>
      </c>
      <c r="P742" s="26" t="n"/>
      <c r="Q742" s="26" t="n"/>
      <c r="R742" s="26" t="n"/>
      <c r="S742" s="26" t="n"/>
      <c r="T742" s="26" t="n"/>
      <c r="V742" s="27">
        <f>IF(ISNUMBER($C742),COUNTIFS($A$14:$A$1213,$A742,$C$14:$C$1213,"&gt;"&amp;$C742)+(COUNTIFS($A$14:$A$1213,$A742,$C$14:$C$1213,"="&amp;$C742)+1)/2,"")</f>
        <v/>
      </c>
      <c r="W742" s="27">
        <f>IF(ISNUMBER($F742),COUNTIFS($A$14:$A$1213,$A742,$F$14:$F$1213,"&gt;"&amp;$F742)+(COUNTIFS($A$14:$A$1213,$A742,$F$14:$F$1213,"="&amp;$F742)+1)/2,"")</f>
        <v/>
      </c>
      <c r="X742" s="27">
        <f>IF(OR(NOT(ISNUMBER($V742)),$AO742=1),"",$V742-(COUNTIFS($A$14:$A$1213,$A742,$C$14:$C$1213,"&gt;=0")+1)/2)</f>
        <v/>
      </c>
      <c r="Y742" s="27">
        <f>IF(OR(NOT(ISNUMBER($W742)),$AO742=1),"",$W742-(COUNTIFS($A$14:$A$1213,$A742,$F$14:$F$1213,"&gt;=0")+1)/2)</f>
        <v/>
      </c>
      <c r="Z742" s="27">
        <f>IF(ISNUMBER($V742),$A742&amp;"|"&amp;$V742,"")</f>
        <v/>
      </c>
      <c r="AA742" s="27">
        <f>IF(ISNUMBER($W742),$A742&amp;"|"&amp;$W742,"")</f>
        <v/>
      </c>
      <c r="AB742" s="27">
        <f>IF(ISNUMBER($F742),$A742&amp;"|"&amp;$F742,"")</f>
        <v/>
      </c>
      <c r="AC742" s="27">
        <f>IF(ISNUMBER($P742),COUNTIFS($A$14:$A$1213,$A742,$P$14:$P$1213,"&gt;"&amp;$P742)+(COUNTIFS($A$14:$A$1213,$A742,$P$14:$P$1213,"="&amp;$P742)+1)/2,"")</f>
        <v/>
      </c>
      <c r="AD742" s="27">
        <f>IF(ISNUMBER($Q742),COUNTIFS($A$14:$A$1213,$A742,$Q$14:$Q$1213,"&gt;"&amp;$Q742)+(COUNTIFS($A$14:$A$1213,$A742,$Q$14:$Q$1213,"="&amp;$Q742)+1)/2,"")</f>
        <v/>
      </c>
      <c r="AE742" s="27">
        <f>IF(ISNUMBER($R742),COUNTIFS($A$14:$A$1213,$A742,$R$14:$R$1213,"&gt;"&amp;$R742)+(COUNTIFS($A$14:$A$1213,$A742,$R$14:$R$1213,"="&amp;$R742)+1)/2,"")</f>
        <v/>
      </c>
      <c r="AF742" s="27">
        <f>IF(ISNUMBER($S742),COUNTIFS($A$14:$A$1213,$A742,$S$14:$S$1213,"&gt;"&amp;$S742)+(COUNTIFS($A$14:$A$1213,$A742,$S$14:$S$1213,"="&amp;$S742)+1)/2,"")</f>
        <v/>
      </c>
      <c r="AG742" s="27">
        <f>IF(ISNUMBER($T742),COUNTIFS($A$14:$A$1213,$A742,$T$14:$T$1213,"&gt;"&amp;$T742)+(COUNTIFS($A$14:$A$1213,$A742,$T$14:$T$1213,"="&amp;$T742)+1)/2,"")</f>
        <v/>
      </c>
      <c r="AH742" s="27">
        <f>IF(COUNT($AC742:$AG742)&lt;2,"",IF(MAX($AC742:$AG742)=MIN($AC742:$AG742),0,1))</f>
        <v/>
      </c>
      <c r="AI742" s="27">
        <f>IF($A742="","",IF(COUNTIF($A$14:$A742,$A742)=1,COUNTIF($AI$13:AI741,"&gt;0")+1,""))</f>
        <v/>
      </c>
      <c r="AO742" s="27">
        <f>IF($A742="","",IF(AND(COUNTIFS($A$14:$A$1213,$A742,$F$14:$F$1213,"&gt;=0")=2,IFERROR(INDEX($M$14:$M$313,MATCH($A742,$H$14:$H$313,0)),"Yes")&lt;&gt;"Yes"),1,0))</f>
        <v/>
      </c>
    </row>
    <row r="743">
      <c r="A743" s="19">
        <f>IF('Enter messages'!A743="","",'Enter messages'!A743)</f>
        <v/>
      </c>
      <c r="B743" s="20">
        <f>IF('Enter messages'!B743="","",'Enter messages'!B743)</f>
        <v/>
      </c>
      <c r="C743" s="21">
        <f>IFERROR(AVERAGE(P743:T743),"")</f>
        <v/>
      </c>
      <c r="D743" s="29" t="n"/>
      <c r="E743" s="29" t="n"/>
      <c r="F743" s="30">
        <f>IF(AND(ISNUMBER($D743),ISNUMBER($E743),$E743&gt;0,$D743&lt;=$E743),$D743/$E743,"")</f>
        <v/>
      </c>
      <c r="P743" s="26" t="n"/>
      <c r="Q743" s="26" t="n"/>
      <c r="R743" s="26" t="n"/>
      <c r="S743" s="26" t="n"/>
      <c r="T743" s="26" t="n"/>
      <c r="V743" s="27">
        <f>IF(ISNUMBER($C743),COUNTIFS($A$14:$A$1213,$A743,$C$14:$C$1213,"&gt;"&amp;$C743)+(COUNTIFS($A$14:$A$1213,$A743,$C$14:$C$1213,"="&amp;$C743)+1)/2,"")</f>
        <v/>
      </c>
      <c r="W743" s="27">
        <f>IF(ISNUMBER($F743),COUNTIFS($A$14:$A$1213,$A743,$F$14:$F$1213,"&gt;"&amp;$F743)+(COUNTIFS($A$14:$A$1213,$A743,$F$14:$F$1213,"="&amp;$F743)+1)/2,"")</f>
        <v/>
      </c>
      <c r="X743" s="27">
        <f>IF(OR(NOT(ISNUMBER($V743)),$AO743=1),"",$V743-(COUNTIFS($A$14:$A$1213,$A743,$C$14:$C$1213,"&gt;=0")+1)/2)</f>
        <v/>
      </c>
      <c r="Y743" s="27">
        <f>IF(OR(NOT(ISNUMBER($W743)),$AO743=1),"",$W743-(COUNTIFS($A$14:$A$1213,$A743,$F$14:$F$1213,"&gt;=0")+1)/2)</f>
        <v/>
      </c>
      <c r="Z743" s="27">
        <f>IF(ISNUMBER($V743),$A743&amp;"|"&amp;$V743,"")</f>
        <v/>
      </c>
      <c r="AA743" s="27">
        <f>IF(ISNUMBER($W743),$A743&amp;"|"&amp;$W743,"")</f>
        <v/>
      </c>
      <c r="AB743" s="27">
        <f>IF(ISNUMBER($F743),$A743&amp;"|"&amp;$F743,"")</f>
        <v/>
      </c>
      <c r="AC743" s="27">
        <f>IF(ISNUMBER($P743),COUNTIFS($A$14:$A$1213,$A743,$P$14:$P$1213,"&gt;"&amp;$P743)+(COUNTIFS($A$14:$A$1213,$A743,$P$14:$P$1213,"="&amp;$P743)+1)/2,"")</f>
        <v/>
      </c>
      <c r="AD743" s="27">
        <f>IF(ISNUMBER($Q743),COUNTIFS($A$14:$A$1213,$A743,$Q$14:$Q$1213,"&gt;"&amp;$Q743)+(COUNTIFS($A$14:$A$1213,$A743,$Q$14:$Q$1213,"="&amp;$Q743)+1)/2,"")</f>
        <v/>
      </c>
      <c r="AE743" s="27">
        <f>IF(ISNUMBER($R743),COUNTIFS($A$14:$A$1213,$A743,$R$14:$R$1213,"&gt;"&amp;$R743)+(COUNTIFS($A$14:$A$1213,$A743,$R$14:$R$1213,"="&amp;$R743)+1)/2,"")</f>
        <v/>
      </c>
      <c r="AF743" s="27">
        <f>IF(ISNUMBER($S743),COUNTIFS($A$14:$A$1213,$A743,$S$14:$S$1213,"&gt;"&amp;$S743)+(COUNTIFS($A$14:$A$1213,$A743,$S$14:$S$1213,"="&amp;$S743)+1)/2,"")</f>
        <v/>
      </c>
      <c r="AG743" s="27">
        <f>IF(ISNUMBER($T743),COUNTIFS($A$14:$A$1213,$A743,$T$14:$T$1213,"&gt;"&amp;$T743)+(COUNTIFS($A$14:$A$1213,$A743,$T$14:$T$1213,"="&amp;$T743)+1)/2,"")</f>
        <v/>
      </c>
      <c r="AH743" s="27">
        <f>IF(COUNT($AC743:$AG743)&lt;2,"",IF(MAX($AC743:$AG743)=MIN($AC743:$AG743),0,1))</f>
        <v/>
      </c>
      <c r="AI743" s="27">
        <f>IF($A743="","",IF(COUNTIF($A$14:$A743,$A743)=1,COUNTIF($AI$13:AI742,"&gt;0")+1,""))</f>
        <v/>
      </c>
      <c r="AO743" s="27">
        <f>IF($A743="","",IF(AND(COUNTIFS($A$14:$A$1213,$A743,$F$14:$F$1213,"&gt;=0")=2,IFERROR(INDEX($M$14:$M$313,MATCH($A743,$H$14:$H$313,0)),"Yes")&lt;&gt;"Yes"),1,0))</f>
        <v/>
      </c>
    </row>
    <row r="744">
      <c r="A744" s="19">
        <f>IF('Enter messages'!A744="","",'Enter messages'!A744)</f>
        <v/>
      </c>
      <c r="B744" s="20">
        <f>IF('Enter messages'!B744="","",'Enter messages'!B744)</f>
        <v/>
      </c>
      <c r="C744" s="21">
        <f>IFERROR(AVERAGE(P744:T744),"")</f>
        <v/>
      </c>
      <c r="D744" s="29" t="n"/>
      <c r="E744" s="29" t="n"/>
      <c r="F744" s="30">
        <f>IF(AND(ISNUMBER($D744),ISNUMBER($E744),$E744&gt;0,$D744&lt;=$E744),$D744/$E744,"")</f>
        <v/>
      </c>
      <c r="P744" s="26" t="n"/>
      <c r="Q744" s="26" t="n"/>
      <c r="R744" s="26" t="n"/>
      <c r="S744" s="26" t="n"/>
      <c r="T744" s="26" t="n"/>
      <c r="V744" s="27">
        <f>IF(ISNUMBER($C744),COUNTIFS($A$14:$A$1213,$A744,$C$14:$C$1213,"&gt;"&amp;$C744)+(COUNTIFS($A$14:$A$1213,$A744,$C$14:$C$1213,"="&amp;$C744)+1)/2,"")</f>
        <v/>
      </c>
      <c r="W744" s="27">
        <f>IF(ISNUMBER($F744),COUNTIFS($A$14:$A$1213,$A744,$F$14:$F$1213,"&gt;"&amp;$F744)+(COUNTIFS($A$14:$A$1213,$A744,$F$14:$F$1213,"="&amp;$F744)+1)/2,"")</f>
        <v/>
      </c>
      <c r="X744" s="27">
        <f>IF(OR(NOT(ISNUMBER($V744)),$AO744=1),"",$V744-(COUNTIFS($A$14:$A$1213,$A744,$C$14:$C$1213,"&gt;=0")+1)/2)</f>
        <v/>
      </c>
      <c r="Y744" s="27">
        <f>IF(OR(NOT(ISNUMBER($W744)),$AO744=1),"",$W744-(COUNTIFS($A$14:$A$1213,$A744,$F$14:$F$1213,"&gt;=0")+1)/2)</f>
        <v/>
      </c>
      <c r="Z744" s="27">
        <f>IF(ISNUMBER($V744),$A744&amp;"|"&amp;$V744,"")</f>
        <v/>
      </c>
      <c r="AA744" s="27">
        <f>IF(ISNUMBER($W744),$A744&amp;"|"&amp;$W744,"")</f>
        <v/>
      </c>
      <c r="AB744" s="27">
        <f>IF(ISNUMBER($F744),$A744&amp;"|"&amp;$F744,"")</f>
        <v/>
      </c>
      <c r="AC744" s="27">
        <f>IF(ISNUMBER($P744),COUNTIFS($A$14:$A$1213,$A744,$P$14:$P$1213,"&gt;"&amp;$P744)+(COUNTIFS($A$14:$A$1213,$A744,$P$14:$P$1213,"="&amp;$P744)+1)/2,"")</f>
        <v/>
      </c>
      <c r="AD744" s="27">
        <f>IF(ISNUMBER($Q744),COUNTIFS($A$14:$A$1213,$A744,$Q$14:$Q$1213,"&gt;"&amp;$Q744)+(COUNTIFS($A$14:$A$1213,$A744,$Q$14:$Q$1213,"="&amp;$Q744)+1)/2,"")</f>
        <v/>
      </c>
      <c r="AE744" s="27">
        <f>IF(ISNUMBER($R744),COUNTIFS($A$14:$A$1213,$A744,$R$14:$R$1213,"&gt;"&amp;$R744)+(COUNTIFS($A$14:$A$1213,$A744,$R$14:$R$1213,"="&amp;$R744)+1)/2,"")</f>
        <v/>
      </c>
      <c r="AF744" s="27">
        <f>IF(ISNUMBER($S744),COUNTIFS($A$14:$A$1213,$A744,$S$14:$S$1213,"&gt;"&amp;$S744)+(COUNTIFS($A$14:$A$1213,$A744,$S$14:$S$1213,"="&amp;$S744)+1)/2,"")</f>
        <v/>
      </c>
      <c r="AG744" s="27">
        <f>IF(ISNUMBER($T744),COUNTIFS($A$14:$A$1213,$A744,$T$14:$T$1213,"&gt;"&amp;$T744)+(COUNTIFS($A$14:$A$1213,$A744,$T$14:$T$1213,"="&amp;$T744)+1)/2,"")</f>
        <v/>
      </c>
      <c r="AH744" s="27">
        <f>IF(COUNT($AC744:$AG744)&lt;2,"",IF(MAX($AC744:$AG744)=MIN($AC744:$AG744),0,1))</f>
        <v/>
      </c>
      <c r="AI744" s="27">
        <f>IF($A744="","",IF(COUNTIF($A$14:$A744,$A744)=1,COUNTIF($AI$13:AI743,"&gt;0")+1,""))</f>
        <v/>
      </c>
      <c r="AO744" s="27">
        <f>IF($A744="","",IF(AND(COUNTIFS($A$14:$A$1213,$A744,$F$14:$F$1213,"&gt;=0")=2,IFERROR(INDEX($M$14:$M$313,MATCH($A744,$H$14:$H$313,0)),"Yes")&lt;&gt;"Yes"),1,0))</f>
        <v/>
      </c>
    </row>
    <row r="745">
      <c r="A745" s="19">
        <f>IF('Enter messages'!A745="","",'Enter messages'!A745)</f>
        <v/>
      </c>
      <c r="B745" s="20">
        <f>IF('Enter messages'!B745="","",'Enter messages'!B745)</f>
        <v/>
      </c>
      <c r="C745" s="21">
        <f>IFERROR(AVERAGE(P745:T745),"")</f>
        <v/>
      </c>
      <c r="D745" s="29" t="n"/>
      <c r="E745" s="29" t="n"/>
      <c r="F745" s="30">
        <f>IF(AND(ISNUMBER($D745),ISNUMBER($E745),$E745&gt;0,$D745&lt;=$E745),$D745/$E745,"")</f>
        <v/>
      </c>
      <c r="P745" s="26" t="n"/>
      <c r="Q745" s="26" t="n"/>
      <c r="R745" s="26" t="n"/>
      <c r="S745" s="26" t="n"/>
      <c r="T745" s="26" t="n"/>
      <c r="V745" s="27">
        <f>IF(ISNUMBER($C745),COUNTIFS($A$14:$A$1213,$A745,$C$14:$C$1213,"&gt;"&amp;$C745)+(COUNTIFS($A$14:$A$1213,$A745,$C$14:$C$1213,"="&amp;$C745)+1)/2,"")</f>
        <v/>
      </c>
      <c r="W745" s="27">
        <f>IF(ISNUMBER($F745),COUNTIFS($A$14:$A$1213,$A745,$F$14:$F$1213,"&gt;"&amp;$F745)+(COUNTIFS($A$14:$A$1213,$A745,$F$14:$F$1213,"="&amp;$F745)+1)/2,"")</f>
        <v/>
      </c>
      <c r="X745" s="27">
        <f>IF(OR(NOT(ISNUMBER($V745)),$AO745=1),"",$V745-(COUNTIFS($A$14:$A$1213,$A745,$C$14:$C$1213,"&gt;=0")+1)/2)</f>
        <v/>
      </c>
      <c r="Y745" s="27">
        <f>IF(OR(NOT(ISNUMBER($W745)),$AO745=1),"",$W745-(COUNTIFS($A$14:$A$1213,$A745,$F$14:$F$1213,"&gt;=0")+1)/2)</f>
        <v/>
      </c>
      <c r="Z745" s="27">
        <f>IF(ISNUMBER($V745),$A745&amp;"|"&amp;$V745,"")</f>
        <v/>
      </c>
      <c r="AA745" s="27">
        <f>IF(ISNUMBER($W745),$A745&amp;"|"&amp;$W745,"")</f>
        <v/>
      </c>
      <c r="AB745" s="27">
        <f>IF(ISNUMBER($F745),$A745&amp;"|"&amp;$F745,"")</f>
        <v/>
      </c>
      <c r="AC745" s="27">
        <f>IF(ISNUMBER($P745),COUNTIFS($A$14:$A$1213,$A745,$P$14:$P$1213,"&gt;"&amp;$P745)+(COUNTIFS($A$14:$A$1213,$A745,$P$14:$P$1213,"="&amp;$P745)+1)/2,"")</f>
        <v/>
      </c>
      <c r="AD745" s="27">
        <f>IF(ISNUMBER($Q745),COUNTIFS($A$14:$A$1213,$A745,$Q$14:$Q$1213,"&gt;"&amp;$Q745)+(COUNTIFS($A$14:$A$1213,$A745,$Q$14:$Q$1213,"="&amp;$Q745)+1)/2,"")</f>
        <v/>
      </c>
      <c r="AE745" s="27">
        <f>IF(ISNUMBER($R745),COUNTIFS($A$14:$A$1213,$A745,$R$14:$R$1213,"&gt;"&amp;$R745)+(COUNTIFS($A$14:$A$1213,$A745,$R$14:$R$1213,"="&amp;$R745)+1)/2,"")</f>
        <v/>
      </c>
      <c r="AF745" s="27">
        <f>IF(ISNUMBER($S745),COUNTIFS($A$14:$A$1213,$A745,$S$14:$S$1213,"&gt;"&amp;$S745)+(COUNTIFS($A$14:$A$1213,$A745,$S$14:$S$1213,"="&amp;$S745)+1)/2,"")</f>
        <v/>
      </c>
      <c r="AG745" s="27">
        <f>IF(ISNUMBER($T745),COUNTIFS($A$14:$A$1213,$A745,$T$14:$T$1213,"&gt;"&amp;$T745)+(COUNTIFS($A$14:$A$1213,$A745,$T$14:$T$1213,"="&amp;$T745)+1)/2,"")</f>
        <v/>
      </c>
      <c r="AH745" s="27">
        <f>IF(COUNT($AC745:$AG745)&lt;2,"",IF(MAX($AC745:$AG745)=MIN($AC745:$AG745),0,1))</f>
        <v/>
      </c>
      <c r="AI745" s="27">
        <f>IF($A745="","",IF(COUNTIF($A$14:$A745,$A745)=1,COUNTIF($AI$13:AI744,"&gt;0")+1,""))</f>
        <v/>
      </c>
      <c r="AO745" s="27">
        <f>IF($A745="","",IF(AND(COUNTIFS($A$14:$A$1213,$A745,$F$14:$F$1213,"&gt;=0")=2,IFERROR(INDEX($M$14:$M$313,MATCH($A745,$H$14:$H$313,0)),"Yes")&lt;&gt;"Yes"),1,0))</f>
        <v/>
      </c>
    </row>
    <row r="746">
      <c r="A746" s="19">
        <f>IF('Enter messages'!A746="","",'Enter messages'!A746)</f>
        <v/>
      </c>
      <c r="B746" s="20">
        <f>IF('Enter messages'!B746="","",'Enter messages'!B746)</f>
        <v/>
      </c>
      <c r="C746" s="21">
        <f>IFERROR(AVERAGE(P746:T746),"")</f>
        <v/>
      </c>
      <c r="D746" s="29" t="n"/>
      <c r="E746" s="29" t="n"/>
      <c r="F746" s="30">
        <f>IF(AND(ISNUMBER($D746),ISNUMBER($E746),$E746&gt;0,$D746&lt;=$E746),$D746/$E746,"")</f>
        <v/>
      </c>
      <c r="P746" s="26" t="n"/>
      <c r="Q746" s="26" t="n"/>
      <c r="R746" s="26" t="n"/>
      <c r="S746" s="26" t="n"/>
      <c r="T746" s="26" t="n"/>
      <c r="V746" s="27">
        <f>IF(ISNUMBER($C746),COUNTIFS($A$14:$A$1213,$A746,$C$14:$C$1213,"&gt;"&amp;$C746)+(COUNTIFS($A$14:$A$1213,$A746,$C$14:$C$1213,"="&amp;$C746)+1)/2,"")</f>
        <v/>
      </c>
      <c r="W746" s="27">
        <f>IF(ISNUMBER($F746),COUNTIFS($A$14:$A$1213,$A746,$F$14:$F$1213,"&gt;"&amp;$F746)+(COUNTIFS($A$14:$A$1213,$A746,$F$14:$F$1213,"="&amp;$F746)+1)/2,"")</f>
        <v/>
      </c>
      <c r="X746" s="27">
        <f>IF(OR(NOT(ISNUMBER($V746)),$AO746=1),"",$V746-(COUNTIFS($A$14:$A$1213,$A746,$C$14:$C$1213,"&gt;=0")+1)/2)</f>
        <v/>
      </c>
      <c r="Y746" s="27">
        <f>IF(OR(NOT(ISNUMBER($W746)),$AO746=1),"",$W746-(COUNTIFS($A$14:$A$1213,$A746,$F$14:$F$1213,"&gt;=0")+1)/2)</f>
        <v/>
      </c>
      <c r="Z746" s="27">
        <f>IF(ISNUMBER($V746),$A746&amp;"|"&amp;$V746,"")</f>
        <v/>
      </c>
      <c r="AA746" s="27">
        <f>IF(ISNUMBER($W746),$A746&amp;"|"&amp;$W746,"")</f>
        <v/>
      </c>
      <c r="AB746" s="27">
        <f>IF(ISNUMBER($F746),$A746&amp;"|"&amp;$F746,"")</f>
        <v/>
      </c>
      <c r="AC746" s="27">
        <f>IF(ISNUMBER($P746),COUNTIFS($A$14:$A$1213,$A746,$P$14:$P$1213,"&gt;"&amp;$P746)+(COUNTIFS($A$14:$A$1213,$A746,$P$14:$P$1213,"="&amp;$P746)+1)/2,"")</f>
        <v/>
      </c>
      <c r="AD746" s="27">
        <f>IF(ISNUMBER($Q746),COUNTIFS($A$14:$A$1213,$A746,$Q$14:$Q$1213,"&gt;"&amp;$Q746)+(COUNTIFS($A$14:$A$1213,$A746,$Q$14:$Q$1213,"="&amp;$Q746)+1)/2,"")</f>
        <v/>
      </c>
      <c r="AE746" s="27">
        <f>IF(ISNUMBER($R746),COUNTIFS($A$14:$A$1213,$A746,$R$14:$R$1213,"&gt;"&amp;$R746)+(COUNTIFS($A$14:$A$1213,$A746,$R$14:$R$1213,"="&amp;$R746)+1)/2,"")</f>
        <v/>
      </c>
      <c r="AF746" s="27">
        <f>IF(ISNUMBER($S746),COUNTIFS($A$14:$A$1213,$A746,$S$14:$S$1213,"&gt;"&amp;$S746)+(COUNTIFS($A$14:$A$1213,$A746,$S$14:$S$1213,"="&amp;$S746)+1)/2,"")</f>
        <v/>
      </c>
      <c r="AG746" s="27">
        <f>IF(ISNUMBER($T746),COUNTIFS($A$14:$A$1213,$A746,$T$14:$T$1213,"&gt;"&amp;$T746)+(COUNTIFS($A$14:$A$1213,$A746,$T$14:$T$1213,"="&amp;$T746)+1)/2,"")</f>
        <v/>
      </c>
      <c r="AH746" s="27">
        <f>IF(COUNT($AC746:$AG746)&lt;2,"",IF(MAX($AC746:$AG746)=MIN($AC746:$AG746),0,1))</f>
        <v/>
      </c>
      <c r="AI746" s="27">
        <f>IF($A746="","",IF(COUNTIF($A$14:$A746,$A746)=1,COUNTIF($AI$13:AI745,"&gt;0")+1,""))</f>
        <v/>
      </c>
      <c r="AO746" s="27">
        <f>IF($A746="","",IF(AND(COUNTIFS($A$14:$A$1213,$A746,$F$14:$F$1213,"&gt;=0")=2,IFERROR(INDEX($M$14:$M$313,MATCH($A746,$H$14:$H$313,0)),"Yes")&lt;&gt;"Yes"),1,0))</f>
        <v/>
      </c>
    </row>
    <row r="747">
      <c r="A747" s="19">
        <f>IF('Enter messages'!A747="","",'Enter messages'!A747)</f>
        <v/>
      </c>
      <c r="B747" s="20">
        <f>IF('Enter messages'!B747="","",'Enter messages'!B747)</f>
        <v/>
      </c>
      <c r="C747" s="21">
        <f>IFERROR(AVERAGE(P747:T747),"")</f>
        <v/>
      </c>
      <c r="D747" s="29" t="n"/>
      <c r="E747" s="29" t="n"/>
      <c r="F747" s="30">
        <f>IF(AND(ISNUMBER($D747),ISNUMBER($E747),$E747&gt;0,$D747&lt;=$E747),$D747/$E747,"")</f>
        <v/>
      </c>
      <c r="P747" s="26" t="n"/>
      <c r="Q747" s="26" t="n"/>
      <c r="R747" s="26" t="n"/>
      <c r="S747" s="26" t="n"/>
      <c r="T747" s="26" t="n"/>
      <c r="V747" s="27">
        <f>IF(ISNUMBER($C747),COUNTIFS($A$14:$A$1213,$A747,$C$14:$C$1213,"&gt;"&amp;$C747)+(COUNTIFS($A$14:$A$1213,$A747,$C$14:$C$1213,"="&amp;$C747)+1)/2,"")</f>
        <v/>
      </c>
      <c r="W747" s="27">
        <f>IF(ISNUMBER($F747),COUNTIFS($A$14:$A$1213,$A747,$F$14:$F$1213,"&gt;"&amp;$F747)+(COUNTIFS($A$14:$A$1213,$A747,$F$14:$F$1213,"="&amp;$F747)+1)/2,"")</f>
        <v/>
      </c>
      <c r="X747" s="27">
        <f>IF(OR(NOT(ISNUMBER($V747)),$AO747=1),"",$V747-(COUNTIFS($A$14:$A$1213,$A747,$C$14:$C$1213,"&gt;=0")+1)/2)</f>
        <v/>
      </c>
      <c r="Y747" s="27">
        <f>IF(OR(NOT(ISNUMBER($W747)),$AO747=1),"",$W747-(COUNTIFS($A$14:$A$1213,$A747,$F$14:$F$1213,"&gt;=0")+1)/2)</f>
        <v/>
      </c>
      <c r="Z747" s="27">
        <f>IF(ISNUMBER($V747),$A747&amp;"|"&amp;$V747,"")</f>
        <v/>
      </c>
      <c r="AA747" s="27">
        <f>IF(ISNUMBER($W747),$A747&amp;"|"&amp;$W747,"")</f>
        <v/>
      </c>
      <c r="AB747" s="27">
        <f>IF(ISNUMBER($F747),$A747&amp;"|"&amp;$F747,"")</f>
        <v/>
      </c>
      <c r="AC747" s="27">
        <f>IF(ISNUMBER($P747),COUNTIFS($A$14:$A$1213,$A747,$P$14:$P$1213,"&gt;"&amp;$P747)+(COUNTIFS($A$14:$A$1213,$A747,$P$14:$P$1213,"="&amp;$P747)+1)/2,"")</f>
        <v/>
      </c>
      <c r="AD747" s="27">
        <f>IF(ISNUMBER($Q747),COUNTIFS($A$14:$A$1213,$A747,$Q$14:$Q$1213,"&gt;"&amp;$Q747)+(COUNTIFS($A$14:$A$1213,$A747,$Q$14:$Q$1213,"="&amp;$Q747)+1)/2,"")</f>
        <v/>
      </c>
      <c r="AE747" s="27">
        <f>IF(ISNUMBER($R747),COUNTIFS($A$14:$A$1213,$A747,$R$14:$R$1213,"&gt;"&amp;$R747)+(COUNTIFS($A$14:$A$1213,$A747,$R$14:$R$1213,"="&amp;$R747)+1)/2,"")</f>
        <v/>
      </c>
      <c r="AF747" s="27">
        <f>IF(ISNUMBER($S747),COUNTIFS($A$14:$A$1213,$A747,$S$14:$S$1213,"&gt;"&amp;$S747)+(COUNTIFS($A$14:$A$1213,$A747,$S$14:$S$1213,"="&amp;$S747)+1)/2,"")</f>
        <v/>
      </c>
      <c r="AG747" s="27">
        <f>IF(ISNUMBER($T747),COUNTIFS($A$14:$A$1213,$A747,$T$14:$T$1213,"&gt;"&amp;$T747)+(COUNTIFS($A$14:$A$1213,$A747,$T$14:$T$1213,"="&amp;$T747)+1)/2,"")</f>
        <v/>
      </c>
      <c r="AH747" s="27">
        <f>IF(COUNT($AC747:$AG747)&lt;2,"",IF(MAX($AC747:$AG747)=MIN($AC747:$AG747),0,1))</f>
        <v/>
      </c>
      <c r="AI747" s="27">
        <f>IF($A747="","",IF(COUNTIF($A$14:$A747,$A747)=1,COUNTIF($AI$13:AI746,"&gt;0")+1,""))</f>
        <v/>
      </c>
      <c r="AO747" s="27">
        <f>IF($A747="","",IF(AND(COUNTIFS($A$14:$A$1213,$A747,$F$14:$F$1213,"&gt;=0")=2,IFERROR(INDEX($M$14:$M$313,MATCH($A747,$H$14:$H$313,0)),"Yes")&lt;&gt;"Yes"),1,0))</f>
        <v/>
      </c>
    </row>
    <row r="748">
      <c r="A748" s="19">
        <f>IF('Enter messages'!A748="","",'Enter messages'!A748)</f>
        <v/>
      </c>
      <c r="B748" s="20">
        <f>IF('Enter messages'!B748="","",'Enter messages'!B748)</f>
        <v/>
      </c>
      <c r="C748" s="21">
        <f>IFERROR(AVERAGE(P748:T748),"")</f>
        <v/>
      </c>
      <c r="D748" s="29" t="n"/>
      <c r="E748" s="29" t="n"/>
      <c r="F748" s="30">
        <f>IF(AND(ISNUMBER($D748),ISNUMBER($E748),$E748&gt;0,$D748&lt;=$E748),$D748/$E748,"")</f>
        <v/>
      </c>
      <c r="P748" s="26" t="n"/>
      <c r="Q748" s="26" t="n"/>
      <c r="R748" s="26" t="n"/>
      <c r="S748" s="26" t="n"/>
      <c r="T748" s="26" t="n"/>
      <c r="V748" s="27">
        <f>IF(ISNUMBER($C748),COUNTIFS($A$14:$A$1213,$A748,$C$14:$C$1213,"&gt;"&amp;$C748)+(COUNTIFS($A$14:$A$1213,$A748,$C$14:$C$1213,"="&amp;$C748)+1)/2,"")</f>
        <v/>
      </c>
      <c r="W748" s="27">
        <f>IF(ISNUMBER($F748),COUNTIFS($A$14:$A$1213,$A748,$F$14:$F$1213,"&gt;"&amp;$F748)+(COUNTIFS($A$14:$A$1213,$A748,$F$14:$F$1213,"="&amp;$F748)+1)/2,"")</f>
        <v/>
      </c>
      <c r="X748" s="27">
        <f>IF(OR(NOT(ISNUMBER($V748)),$AO748=1),"",$V748-(COUNTIFS($A$14:$A$1213,$A748,$C$14:$C$1213,"&gt;=0")+1)/2)</f>
        <v/>
      </c>
      <c r="Y748" s="27">
        <f>IF(OR(NOT(ISNUMBER($W748)),$AO748=1),"",$W748-(COUNTIFS($A$14:$A$1213,$A748,$F$14:$F$1213,"&gt;=0")+1)/2)</f>
        <v/>
      </c>
      <c r="Z748" s="27">
        <f>IF(ISNUMBER($V748),$A748&amp;"|"&amp;$V748,"")</f>
        <v/>
      </c>
      <c r="AA748" s="27">
        <f>IF(ISNUMBER($W748),$A748&amp;"|"&amp;$W748,"")</f>
        <v/>
      </c>
      <c r="AB748" s="27">
        <f>IF(ISNUMBER($F748),$A748&amp;"|"&amp;$F748,"")</f>
        <v/>
      </c>
      <c r="AC748" s="27">
        <f>IF(ISNUMBER($P748),COUNTIFS($A$14:$A$1213,$A748,$P$14:$P$1213,"&gt;"&amp;$P748)+(COUNTIFS($A$14:$A$1213,$A748,$P$14:$P$1213,"="&amp;$P748)+1)/2,"")</f>
        <v/>
      </c>
      <c r="AD748" s="27">
        <f>IF(ISNUMBER($Q748),COUNTIFS($A$14:$A$1213,$A748,$Q$14:$Q$1213,"&gt;"&amp;$Q748)+(COUNTIFS($A$14:$A$1213,$A748,$Q$14:$Q$1213,"="&amp;$Q748)+1)/2,"")</f>
        <v/>
      </c>
      <c r="AE748" s="27">
        <f>IF(ISNUMBER($R748),COUNTIFS($A$14:$A$1213,$A748,$R$14:$R$1213,"&gt;"&amp;$R748)+(COUNTIFS($A$14:$A$1213,$A748,$R$14:$R$1213,"="&amp;$R748)+1)/2,"")</f>
        <v/>
      </c>
      <c r="AF748" s="27">
        <f>IF(ISNUMBER($S748),COUNTIFS($A$14:$A$1213,$A748,$S$14:$S$1213,"&gt;"&amp;$S748)+(COUNTIFS($A$14:$A$1213,$A748,$S$14:$S$1213,"="&amp;$S748)+1)/2,"")</f>
        <v/>
      </c>
      <c r="AG748" s="27">
        <f>IF(ISNUMBER($T748),COUNTIFS($A$14:$A$1213,$A748,$T$14:$T$1213,"&gt;"&amp;$T748)+(COUNTIFS($A$14:$A$1213,$A748,$T$14:$T$1213,"="&amp;$T748)+1)/2,"")</f>
        <v/>
      </c>
      <c r="AH748" s="27">
        <f>IF(COUNT($AC748:$AG748)&lt;2,"",IF(MAX($AC748:$AG748)=MIN($AC748:$AG748),0,1))</f>
        <v/>
      </c>
      <c r="AI748" s="27">
        <f>IF($A748="","",IF(COUNTIF($A$14:$A748,$A748)=1,COUNTIF($AI$13:AI747,"&gt;0")+1,""))</f>
        <v/>
      </c>
      <c r="AO748" s="27">
        <f>IF($A748="","",IF(AND(COUNTIFS($A$14:$A$1213,$A748,$F$14:$F$1213,"&gt;=0")=2,IFERROR(INDEX($M$14:$M$313,MATCH($A748,$H$14:$H$313,0)),"Yes")&lt;&gt;"Yes"),1,0))</f>
        <v/>
      </c>
    </row>
    <row r="749">
      <c r="A749" s="19">
        <f>IF('Enter messages'!A749="","",'Enter messages'!A749)</f>
        <v/>
      </c>
      <c r="B749" s="20">
        <f>IF('Enter messages'!B749="","",'Enter messages'!B749)</f>
        <v/>
      </c>
      <c r="C749" s="21">
        <f>IFERROR(AVERAGE(P749:T749),"")</f>
        <v/>
      </c>
      <c r="D749" s="29" t="n"/>
      <c r="E749" s="29" t="n"/>
      <c r="F749" s="30">
        <f>IF(AND(ISNUMBER($D749),ISNUMBER($E749),$E749&gt;0,$D749&lt;=$E749),$D749/$E749,"")</f>
        <v/>
      </c>
      <c r="P749" s="26" t="n"/>
      <c r="Q749" s="26" t="n"/>
      <c r="R749" s="26" t="n"/>
      <c r="S749" s="26" t="n"/>
      <c r="T749" s="26" t="n"/>
      <c r="V749" s="27">
        <f>IF(ISNUMBER($C749),COUNTIFS($A$14:$A$1213,$A749,$C$14:$C$1213,"&gt;"&amp;$C749)+(COUNTIFS($A$14:$A$1213,$A749,$C$14:$C$1213,"="&amp;$C749)+1)/2,"")</f>
        <v/>
      </c>
      <c r="W749" s="27">
        <f>IF(ISNUMBER($F749),COUNTIFS($A$14:$A$1213,$A749,$F$14:$F$1213,"&gt;"&amp;$F749)+(COUNTIFS($A$14:$A$1213,$A749,$F$14:$F$1213,"="&amp;$F749)+1)/2,"")</f>
        <v/>
      </c>
      <c r="X749" s="27">
        <f>IF(OR(NOT(ISNUMBER($V749)),$AO749=1),"",$V749-(COUNTIFS($A$14:$A$1213,$A749,$C$14:$C$1213,"&gt;=0")+1)/2)</f>
        <v/>
      </c>
      <c r="Y749" s="27">
        <f>IF(OR(NOT(ISNUMBER($W749)),$AO749=1),"",$W749-(COUNTIFS($A$14:$A$1213,$A749,$F$14:$F$1213,"&gt;=0")+1)/2)</f>
        <v/>
      </c>
      <c r="Z749" s="27">
        <f>IF(ISNUMBER($V749),$A749&amp;"|"&amp;$V749,"")</f>
        <v/>
      </c>
      <c r="AA749" s="27">
        <f>IF(ISNUMBER($W749),$A749&amp;"|"&amp;$W749,"")</f>
        <v/>
      </c>
      <c r="AB749" s="27">
        <f>IF(ISNUMBER($F749),$A749&amp;"|"&amp;$F749,"")</f>
        <v/>
      </c>
      <c r="AC749" s="27">
        <f>IF(ISNUMBER($P749),COUNTIFS($A$14:$A$1213,$A749,$P$14:$P$1213,"&gt;"&amp;$P749)+(COUNTIFS($A$14:$A$1213,$A749,$P$14:$P$1213,"="&amp;$P749)+1)/2,"")</f>
        <v/>
      </c>
      <c r="AD749" s="27">
        <f>IF(ISNUMBER($Q749),COUNTIFS($A$14:$A$1213,$A749,$Q$14:$Q$1213,"&gt;"&amp;$Q749)+(COUNTIFS($A$14:$A$1213,$A749,$Q$14:$Q$1213,"="&amp;$Q749)+1)/2,"")</f>
        <v/>
      </c>
      <c r="AE749" s="27">
        <f>IF(ISNUMBER($R749),COUNTIFS($A$14:$A$1213,$A749,$R$14:$R$1213,"&gt;"&amp;$R749)+(COUNTIFS($A$14:$A$1213,$A749,$R$14:$R$1213,"="&amp;$R749)+1)/2,"")</f>
        <v/>
      </c>
      <c r="AF749" s="27">
        <f>IF(ISNUMBER($S749),COUNTIFS($A$14:$A$1213,$A749,$S$14:$S$1213,"&gt;"&amp;$S749)+(COUNTIFS($A$14:$A$1213,$A749,$S$14:$S$1213,"="&amp;$S749)+1)/2,"")</f>
        <v/>
      </c>
      <c r="AG749" s="27">
        <f>IF(ISNUMBER($T749),COUNTIFS($A$14:$A$1213,$A749,$T$14:$T$1213,"&gt;"&amp;$T749)+(COUNTIFS($A$14:$A$1213,$A749,$T$14:$T$1213,"="&amp;$T749)+1)/2,"")</f>
        <v/>
      </c>
      <c r="AH749" s="27">
        <f>IF(COUNT($AC749:$AG749)&lt;2,"",IF(MAX($AC749:$AG749)=MIN($AC749:$AG749),0,1))</f>
        <v/>
      </c>
      <c r="AI749" s="27">
        <f>IF($A749="","",IF(COUNTIF($A$14:$A749,$A749)=1,COUNTIF($AI$13:AI748,"&gt;0")+1,""))</f>
        <v/>
      </c>
      <c r="AO749" s="27">
        <f>IF($A749="","",IF(AND(COUNTIFS($A$14:$A$1213,$A749,$F$14:$F$1213,"&gt;=0")=2,IFERROR(INDEX($M$14:$M$313,MATCH($A749,$H$14:$H$313,0)),"Yes")&lt;&gt;"Yes"),1,0))</f>
        <v/>
      </c>
    </row>
    <row r="750">
      <c r="A750" s="19">
        <f>IF('Enter messages'!A750="","",'Enter messages'!A750)</f>
        <v/>
      </c>
      <c r="B750" s="20">
        <f>IF('Enter messages'!B750="","",'Enter messages'!B750)</f>
        <v/>
      </c>
      <c r="C750" s="21">
        <f>IFERROR(AVERAGE(P750:T750),"")</f>
        <v/>
      </c>
      <c r="D750" s="29" t="n"/>
      <c r="E750" s="29" t="n"/>
      <c r="F750" s="30">
        <f>IF(AND(ISNUMBER($D750),ISNUMBER($E750),$E750&gt;0,$D750&lt;=$E750),$D750/$E750,"")</f>
        <v/>
      </c>
      <c r="P750" s="26" t="n"/>
      <c r="Q750" s="26" t="n"/>
      <c r="R750" s="26" t="n"/>
      <c r="S750" s="26" t="n"/>
      <c r="T750" s="26" t="n"/>
      <c r="V750" s="27">
        <f>IF(ISNUMBER($C750),COUNTIFS($A$14:$A$1213,$A750,$C$14:$C$1213,"&gt;"&amp;$C750)+(COUNTIFS($A$14:$A$1213,$A750,$C$14:$C$1213,"="&amp;$C750)+1)/2,"")</f>
        <v/>
      </c>
      <c r="W750" s="27">
        <f>IF(ISNUMBER($F750),COUNTIFS($A$14:$A$1213,$A750,$F$14:$F$1213,"&gt;"&amp;$F750)+(COUNTIFS($A$14:$A$1213,$A750,$F$14:$F$1213,"="&amp;$F750)+1)/2,"")</f>
        <v/>
      </c>
      <c r="X750" s="27">
        <f>IF(OR(NOT(ISNUMBER($V750)),$AO750=1),"",$V750-(COUNTIFS($A$14:$A$1213,$A750,$C$14:$C$1213,"&gt;=0")+1)/2)</f>
        <v/>
      </c>
      <c r="Y750" s="27">
        <f>IF(OR(NOT(ISNUMBER($W750)),$AO750=1),"",$W750-(COUNTIFS($A$14:$A$1213,$A750,$F$14:$F$1213,"&gt;=0")+1)/2)</f>
        <v/>
      </c>
      <c r="Z750" s="27">
        <f>IF(ISNUMBER($V750),$A750&amp;"|"&amp;$V750,"")</f>
        <v/>
      </c>
      <c r="AA750" s="27">
        <f>IF(ISNUMBER($W750),$A750&amp;"|"&amp;$W750,"")</f>
        <v/>
      </c>
      <c r="AB750" s="27">
        <f>IF(ISNUMBER($F750),$A750&amp;"|"&amp;$F750,"")</f>
        <v/>
      </c>
      <c r="AC750" s="27">
        <f>IF(ISNUMBER($P750),COUNTIFS($A$14:$A$1213,$A750,$P$14:$P$1213,"&gt;"&amp;$P750)+(COUNTIFS($A$14:$A$1213,$A750,$P$14:$P$1213,"="&amp;$P750)+1)/2,"")</f>
        <v/>
      </c>
      <c r="AD750" s="27">
        <f>IF(ISNUMBER($Q750),COUNTIFS($A$14:$A$1213,$A750,$Q$14:$Q$1213,"&gt;"&amp;$Q750)+(COUNTIFS($A$14:$A$1213,$A750,$Q$14:$Q$1213,"="&amp;$Q750)+1)/2,"")</f>
        <v/>
      </c>
      <c r="AE750" s="27">
        <f>IF(ISNUMBER($R750),COUNTIFS($A$14:$A$1213,$A750,$R$14:$R$1213,"&gt;"&amp;$R750)+(COUNTIFS($A$14:$A$1213,$A750,$R$14:$R$1213,"="&amp;$R750)+1)/2,"")</f>
        <v/>
      </c>
      <c r="AF750" s="27">
        <f>IF(ISNUMBER($S750),COUNTIFS($A$14:$A$1213,$A750,$S$14:$S$1213,"&gt;"&amp;$S750)+(COUNTIFS($A$14:$A$1213,$A750,$S$14:$S$1213,"="&amp;$S750)+1)/2,"")</f>
        <v/>
      </c>
      <c r="AG750" s="27">
        <f>IF(ISNUMBER($T750),COUNTIFS($A$14:$A$1213,$A750,$T$14:$T$1213,"&gt;"&amp;$T750)+(COUNTIFS($A$14:$A$1213,$A750,$T$14:$T$1213,"="&amp;$T750)+1)/2,"")</f>
        <v/>
      </c>
      <c r="AH750" s="27">
        <f>IF(COUNT($AC750:$AG750)&lt;2,"",IF(MAX($AC750:$AG750)=MIN($AC750:$AG750),0,1))</f>
        <v/>
      </c>
      <c r="AI750" s="27">
        <f>IF($A750="","",IF(COUNTIF($A$14:$A750,$A750)=1,COUNTIF($AI$13:AI749,"&gt;0")+1,""))</f>
        <v/>
      </c>
      <c r="AO750" s="27">
        <f>IF($A750="","",IF(AND(COUNTIFS($A$14:$A$1213,$A750,$F$14:$F$1213,"&gt;=0")=2,IFERROR(INDEX($M$14:$M$313,MATCH($A750,$H$14:$H$313,0)),"Yes")&lt;&gt;"Yes"),1,0))</f>
        <v/>
      </c>
    </row>
    <row r="751">
      <c r="A751" s="19">
        <f>IF('Enter messages'!A751="","",'Enter messages'!A751)</f>
        <v/>
      </c>
      <c r="B751" s="20">
        <f>IF('Enter messages'!B751="","",'Enter messages'!B751)</f>
        <v/>
      </c>
      <c r="C751" s="21">
        <f>IFERROR(AVERAGE(P751:T751),"")</f>
        <v/>
      </c>
      <c r="D751" s="29" t="n"/>
      <c r="E751" s="29" t="n"/>
      <c r="F751" s="30">
        <f>IF(AND(ISNUMBER($D751),ISNUMBER($E751),$E751&gt;0,$D751&lt;=$E751),$D751/$E751,"")</f>
        <v/>
      </c>
      <c r="P751" s="26" t="n"/>
      <c r="Q751" s="26" t="n"/>
      <c r="R751" s="26" t="n"/>
      <c r="S751" s="26" t="n"/>
      <c r="T751" s="26" t="n"/>
      <c r="V751" s="27">
        <f>IF(ISNUMBER($C751),COUNTIFS($A$14:$A$1213,$A751,$C$14:$C$1213,"&gt;"&amp;$C751)+(COUNTIFS($A$14:$A$1213,$A751,$C$14:$C$1213,"="&amp;$C751)+1)/2,"")</f>
        <v/>
      </c>
      <c r="W751" s="27">
        <f>IF(ISNUMBER($F751),COUNTIFS($A$14:$A$1213,$A751,$F$14:$F$1213,"&gt;"&amp;$F751)+(COUNTIFS($A$14:$A$1213,$A751,$F$14:$F$1213,"="&amp;$F751)+1)/2,"")</f>
        <v/>
      </c>
      <c r="X751" s="27">
        <f>IF(OR(NOT(ISNUMBER($V751)),$AO751=1),"",$V751-(COUNTIFS($A$14:$A$1213,$A751,$C$14:$C$1213,"&gt;=0")+1)/2)</f>
        <v/>
      </c>
      <c r="Y751" s="27">
        <f>IF(OR(NOT(ISNUMBER($W751)),$AO751=1),"",$W751-(COUNTIFS($A$14:$A$1213,$A751,$F$14:$F$1213,"&gt;=0")+1)/2)</f>
        <v/>
      </c>
      <c r="Z751" s="27">
        <f>IF(ISNUMBER($V751),$A751&amp;"|"&amp;$V751,"")</f>
        <v/>
      </c>
      <c r="AA751" s="27">
        <f>IF(ISNUMBER($W751),$A751&amp;"|"&amp;$W751,"")</f>
        <v/>
      </c>
      <c r="AB751" s="27">
        <f>IF(ISNUMBER($F751),$A751&amp;"|"&amp;$F751,"")</f>
        <v/>
      </c>
      <c r="AC751" s="27">
        <f>IF(ISNUMBER($P751),COUNTIFS($A$14:$A$1213,$A751,$P$14:$P$1213,"&gt;"&amp;$P751)+(COUNTIFS($A$14:$A$1213,$A751,$P$14:$P$1213,"="&amp;$P751)+1)/2,"")</f>
        <v/>
      </c>
      <c r="AD751" s="27">
        <f>IF(ISNUMBER($Q751),COUNTIFS($A$14:$A$1213,$A751,$Q$14:$Q$1213,"&gt;"&amp;$Q751)+(COUNTIFS($A$14:$A$1213,$A751,$Q$14:$Q$1213,"="&amp;$Q751)+1)/2,"")</f>
        <v/>
      </c>
      <c r="AE751" s="27">
        <f>IF(ISNUMBER($R751),COUNTIFS($A$14:$A$1213,$A751,$R$14:$R$1213,"&gt;"&amp;$R751)+(COUNTIFS($A$14:$A$1213,$A751,$R$14:$R$1213,"="&amp;$R751)+1)/2,"")</f>
        <v/>
      </c>
      <c r="AF751" s="27">
        <f>IF(ISNUMBER($S751),COUNTIFS($A$14:$A$1213,$A751,$S$14:$S$1213,"&gt;"&amp;$S751)+(COUNTIFS($A$14:$A$1213,$A751,$S$14:$S$1213,"="&amp;$S751)+1)/2,"")</f>
        <v/>
      </c>
      <c r="AG751" s="27">
        <f>IF(ISNUMBER($T751),COUNTIFS($A$14:$A$1213,$A751,$T$14:$T$1213,"&gt;"&amp;$T751)+(COUNTIFS($A$14:$A$1213,$A751,$T$14:$T$1213,"="&amp;$T751)+1)/2,"")</f>
        <v/>
      </c>
      <c r="AH751" s="27">
        <f>IF(COUNT($AC751:$AG751)&lt;2,"",IF(MAX($AC751:$AG751)=MIN($AC751:$AG751),0,1))</f>
        <v/>
      </c>
      <c r="AI751" s="27">
        <f>IF($A751="","",IF(COUNTIF($A$14:$A751,$A751)=1,COUNTIF($AI$13:AI750,"&gt;0")+1,""))</f>
        <v/>
      </c>
      <c r="AO751" s="27">
        <f>IF($A751="","",IF(AND(COUNTIFS($A$14:$A$1213,$A751,$F$14:$F$1213,"&gt;=0")=2,IFERROR(INDEX($M$14:$M$313,MATCH($A751,$H$14:$H$313,0)),"Yes")&lt;&gt;"Yes"),1,0))</f>
        <v/>
      </c>
    </row>
    <row r="752">
      <c r="A752" s="19">
        <f>IF('Enter messages'!A752="","",'Enter messages'!A752)</f>
        <v/>
      </c>
      <c r="B752" s="20">
        <f>IF('Enter messages'!B752="","",'Enter messages'!B752)</f>
        <v/>
      </c>
      <c r="C752" s="21">
        <f>IFERROR(AVERAGE(P752:T752),"")</f>
        <v/>
      </c>
      <c r="D752" s="29" t="n"/>
      <c r="E752" s="29" t="n"/>
      <c r="F752" s="30">
        <f>IF(AND(ISNUMBER($D752),ISNUMBER($E752),$E752&gt;0,$D752&lt;=$E752),$D752/$E752,"")</f>
        <v/>
      </c>
      <c r="P752" s="26" t="n"/>
      <c r="Q752" s="26" t="n"/>
      <c r="R752" s="26" t="n"/>
      <c r="S752" s="26" t="n"/>
      <c r="T752" s="26" t="n"/>
      <c r="V752" s="27">
        <f>IF(ISNUMBER($C752),COUNTIFS($A$14:$A$1213,$A752,$C$14:$C$1213,"&gt;"&amp;$C752)+(COUNTIFS($A$14:$A$1213,$A752,$C$14:$C$1213,"="&amp;$C752)+1)/2,"")</f>
        <v/>
      </c>
      <c r="W752" s="27">
        <f>IF(ISNUMBER($F752),COUNTIFS($A$14:$A$1213,$A752,$F$14:$F$1213,"&gt;"&amp;$F752)+(COUNTIFS($A$14:$A$1213,$A752,$F$14:$F$1213,"="&amp;$F752)+1)/2,"")</f>
        <v/>
      </c>
      <c r="X752" s="27">
        <f>IF(OR(NOT(ISNUMBER($V752)),$AO752=1),"",$V752-(COUNTIFS($A$14:$A$1213,$A752,$C$14:$C$1213,"&gt;=0")+1)/2)</f>
        <v/>
      </c>
      <c r="Y752" s="27">
        <f>IF(OR(NOT(ISNUMBER($W752)),$AO752=1),"",$W752-(COUNTIFS($A$14:$A$1213,$A752,$F$14:$F$1213,"&gt;=0")+1)/2)</f>
        <v/>
      </c>
      <c r="Z752" s="27">
        <f>IF(ISNUMBER($V752),$A752&amp;"|"&amp;$V752,"")</f>
        <v/>
      </c>
      <c r="AA752" s="27">
        <f>IF(ISNUMBER($W752),$A752&amp;"|"&amp;$W752,"")</f>
        <v/>
      </c>
      <c r="AB752" s="27">
        <f>IF(ISNUMBER($F752),$A752&amp;"|"&amp;$F752,"")</f>
        <v/>
      </c>
      <c r="AC752" s="27">
        <f>IF(ISNUMBER($P752),COUNTIFS($A$14:$A$1213,$A752,$P$14:$P$1213,"&gt;"&amp;$P752)+(COUNTIFS($A$14:$A$1213,$A752,$P$14:$P$1213,"="&amp;$P752)+1)/2,"")</f>
        <v/>
      </c>
      <c r="AD752" s="27">
        <f>IF(ISNUMBER($Q752),COUNTIFS($A$14:$A$1213,$A752,$Q$14:$Q$1213,"&gt;"&amp;$Q752)+(COUNTIFS($A$14:$A$1213,$A752,$Q$14:$Q$1213,"="&amp;$Q752)+1)/2,"")</f>
        <v/>
      </c>
      <c r="AE752" s="27">
        <f>IF(ISNUMBER($R752),COUNTIFS($A$14:$A$1213,$A752,$R$14:$R$1213,"&gt;"&amp;$R752)+(COUNTIFS($A$14:$A$1213,$A752,$R$14:$R$1213,"="&amp;$R752)+1)/2,"")</f>
        <v/>
      </c>
      <c r="AF752" s="27">
        <f>IF(ISNUMBER($S752),COUNTIFS($A$14:$A$1213,$A752,$S$14:$S$1213,"&gt;"&amp;$S752)+(COUNTIFS($A$14:$A$1213,$A752,$S$14:$S$1213,"="&amp;$S752)+1)/2,"")</f>
        <v/>
      </c>
      <c r="AG752" s="27">
        <f>IF(ISNUMBER($T752),COUNTIFS($A$14:$A$1213,$A752,$T$14:$T$1213,"&gt;"&amp;$T752)+(COUNTIFS($A$14:$A$1213,$A752,$T$14:$T$1213,"="&amp;$T752)+1)/2,"")</f>
        <v/>
      </c>
      <c r="AH752" s="27">
        <f>IF(COUNT($AC752:$AG752)&lt;2,"",IF(MAX($AC752:$AG752)=MIN($AC752:$AG752),0,1))</f>
        <v/>
      </c>
      <c r="AI752" s="27">
        <f>IF($A752="","",IF(COUNTIF($A$14:$A752,$A752)=1,COUNTIF($AI$13:AI751,"&gt;0")+1,""))</f>
        <v/>
      </c>
      <c r="AO752" s="27">
        <f>IF($A752="","",IF(AND(COUNTIFS($A$14:$A$1213,$A752,$F$14:$F$1213,"&gt;=0")=2,IFERROR(INDEX($M$14:$M$313,MATCH($A752,$H$14:$H$313,0)),"Yes")&lt;&gt;"Yes"),1,0))</f>
        <v/>
      </c>
    </row>
    <row r="753">
      <c r="A753" s="19">
        <f>IF('Enter messages'!A753="","",'Enter messages'!A753)</f>
        <v/>
      </c>
      <c r="B753" s="20">
        <f>IF('Enter messages'!B753="","",'Enter messages'!B753)</f>
        <v/>
      </c>
      <c r="C753" s="21">
        <f>IFERROR(AVERAGE(P753:T753),"")</f>
        <v/>
      </c>
      <c r="D753" s="29" t="n"/>
      <c r="E753" s="29" t="n"/>
      <c r="F753" s="30">
        <f>IF(AND(ISNUMBER($D753),ISNUMBER($E753),$E753&gt;0,$D753&lt;=$E753),$D753/$E753,"")</f>
        <v/>
      </c>
      <c r="P753" s="26" t="n"/>
      <c r="Q753" s="26" t="n"/>
      <c r="R753" s="26" t="n"/>
      <c r="S753" s="26" t="n"/>
      <c r="T753" s="26" t="n"/>
      <c r="V753" s="27">
        <f>IF(ISNUMBER($C753),COUNTIFS($A$14:$A$1213,$A753,$C$14:$C$1213,"&gt;"&amp;$C753)+(COUNTIFS($A$14:$A$1213,$A753,$C$14:$C$1213,"="&amp;$C753)+1)/2,"")</f>
        <v/>
      </c>
      <c r="W753" s="27">
        <f>IF(ISNUMBER($F753),COUNTIFS($A$14:$A$1213,$A753,$F$14:$F$1213,"&gt;"&amp;$F753)+(COUNTIFS($A$14:$A$1213,$A753,$F$14:$F$1213,"="&amp;$F753)+1)/2,"")</f>
        <v/>
      </c>
      <c r="X753" s="27">
        <f>IF(OR(NOT(ISNUMBER($V753)),$AO753=1),"",$V753-(COUNTIFS($A$14:$A$1213,$A753,$C$14:$C$1213,"&gt;=0")+1)/2)</f>
        <v/>
      </c>
      <c r="Y753" s="27">
        <f>IF(OR(NOT(ISNUMBER($W753)),$AO753=1),"",$W753-(COUNTIFS($A$14:$A$1213,$A753,$F$14:$F$1213,"&gt;=0")+1)/2)</f>
        <v/>
      </c>
      <c r="Z753" s="27">
        <f>IF(ISNUMBER($V753),$A753&amp;"|"&amp;$V753,"")</f>
        <v/>
      </c>
      <c r="AA753" s="27">
        <f>IF(ISNUMBER($W753),$A753&amp;"|"&amp;$W753,"")</f>
        <v/>
      </c>
      <c r="AB753" s="27">
        <f>IF(ISNUMBER($F753),$A753&amp;"|"&amp;$F753,"")</f>
        <v/>
      </c>
      <c r="AC753" s="27">
        <f>IF(ISNUMBER($P753),COUNTIFS($A$14:$A$1213,$A753,$P$14:$P$1213,"&gt;"&amp;$P753)+(COUNTIFS($A$14:$A$1213,$A753,$P$14:$P$1213,"="&amp;$P753)+1)/2,"")</f>
        <v/>
      </c>
      <c r="AD753" s="27">
        <f>IF(ISNUMBER($Q753),COUNTIFS($A$14:$A$1213,$A753,$Q$14:$Q$1213,"&gt;"&amp;$Q753)+(COUNTIFS($A$14:$A$1213,$A753,$Q$14:$Q$1213,"="&amp;$Q753)+1)/2,"")</f>
        <v/>
      </c>
      <c r="AE753" s="27">
        <f>IF(ISNUMBER($R753),COUNTIFS($A$14:$A$1213,$A753,$R$14:$R$1213,"&gt;"&amp;$R753)+(COUNTIFS($A$14:$A$1213,$A753,$R$14:$R$1213,"="&amp;$R753)+1)/2,"")</f>
        <v/>
      </c>
      <c r="AF753" s="27">
        <f>IF(ISNUMBER($S753),COUNTIFS($A$14:$A$1213,$A753,$S$14:$S$1213,"&gt;"&amp;$S753)+(COUNTIFS($A$14:$A$1213,$A753,$S$14:$S$1213,"="&amp;$S753)+1)/2,"")</f>
        <v/>
      </c>
      <c r="AG753" s="27">
        <f>IF(ISNUMBER($T753),COUNTIFS($A$14:$A$1213,$A753,$T$14:$T$1213,"&gt;"&amp;$T753)+(COUNTIFS($A$14:$A$1213,$A753,$T$14:$T$1213,"="&amp;$T753)+1)/2,"")</f>
        <v/>
      </c>
      <c r="AH753" s="27">
        <f>IF(COUNT($AC753:$AG753)&lt;2,"",IF(MAX($AC753:$AG753)=MIN($AC753:$AG753),0,1))</f>
        <v/>
      </c>
      <c r="AI753" s="27">
        <f>IF($A753="","",IF(COUNTIF($A$14:$A753,$A753)=1,COUNTIF($AI$13:AI752,"&gt;0")+1,""))</f>
        <v/>
      </c>
      <c r="AO753" s="27">
        <f>IF($A753="","",IF(AND(COUNTIFS($A$14:$A$1213,$A753,$F$14:$F$1213,"&gt;=0")=2,IFERROR(INDEX($M$14:$M$313,MATCH($A753,$H$14:$H$313,0)),"Yes")&lt;&gt;"Yes"),1,0))</f>
        <v/>
      </c>
    </row>
    <row r="754">
      <c r="A754" s="19">
        <f>IF('Enter messages'!A754="","",'Enter messages'!A754)</f>
        <v/>
      </c>
      <c r="B754" s="20">
        <f>IF('Enter messages'!B754="","",'Enter messages'!B754)</f>
        <v/>
      </c>
      <c r="C754" s="21">
        <f>IFERROR(AVERAGE(P754:T754),"")</f>
        <v/>
      </c>
      <c r="D754" s="29" t="n"/>
      <c r="E754" s="29" t="n"/>
      <c r="F754" s="30">
        <f>IF(AND(ISNUMBER($D754),ISNUMBER($E754),$E754&gt;0,$D754&lt;=$E754),$D754/$E754,"")</f>
        <v/>
      </c>
      <c r="P754" s="26" t="n"/>
      <c r="Q754" s="26" t="n"/>
      <c r="R754" s="26" t="n"/>
      <c r="S754" s="26" t="n"/>
      <c r="T754" s="26" t="n"/>
      <c r="V754" s="27">
        <f>IF(ISNUMBER($C754),COUNTIFS($A$14:$A$1213,$A754,$C$14:$C$1213,"&gt;"&amp;$C754)+(COUNTIFS($A$14:$A$1213,$A754,$C$14:$C$1213,"="&amp;$C754)+1)/2,"")</f>
        <v/>
      </c>
      <c r="W754" s="27">
        <f>IF(ISNUMBER($F754),COUNTIFS($A$14:$A$1213,$A754,$F$14:$F$1213,"&gt;"&amp;$F754)+(COUNTIFS($A$14:$A$1213,$A754,$F$14:$F$1213,"="&amp;$F754)+1)/2,"")</f>
        <v/>
      </c>
      <c r="X754" s="27">
        <f>IF(OR(NOT(ISNUMBER($V754)),$AO754=1),"",$V754-(COUNTIFS($A$14:$A$1213,$A754,$C$14:$C$1213,"&gt;=0")+1)/2)</f>
        <v/>
      </c>
      <c r="Y754" s="27">
        <f>IF(OR(NOT(ISNUMBER($W754)),$AO754=1),"",$W754-(COUNTIFS($A$14:$A$1213,$A754,$F$14:$F$1213,"&gt;=0")+1)/2)</f>
        <v/>
      </c>
      <c r="Z754" s="27">
        <f>IF(ISNUMBER($V754),$A754&amp;"|"&amp;$V754,"")</f>
        <v/>
      </c>
      <c r="AA754" s="27">
        <f>IF(ISNUMBER($W754),$A754&amp;"|"&amp;$W754,"")</f>
        <v/>
      </c>
      <c r="AB754" s="27">
        <f>IF(ISNUMBER($F754),$A754&amp;"|"&amp;$F754,"")</f>
        <v/>
      </c>
      <c r="AC754" s="27">
        <f>IF(ISNUMBER($P754),COUNTIFS($A$14:$A$1213,$A754,$P$14:$P$1213,"&gt;"&amp;$P754)+(COUNTIFS($A$14:$A$1213,$A754,$P$14:$P$1213,"="&amp;$P754)+1)/2,"")</f>
        <v/>
      </c>
      <c r="AD754" s="27">
        <f>IF(ISNUMBER($Q754),COUNTIFS($A$14:$A$1213,$A754,$Q$14:$Q$1213,"&gt;"&amp;$Q754)+(COUNTIFS($A$14:$A$1213,$A754,$Q$14:$Q$1213,"="&amp;$Q754)+1)/2,"")</f>
        <v/>
      </c>
      <c r="AE754" s="27">
        <f>IF(ISNUMBER($R754),COUNTIFS($A$14:$A$1213,$A754,$R$14:$R$1213,"&gt;"&amp;$R754)+(COUNTIFS($A$14:$A$1213,$A754,$R$14:$R$1213,"="&amp;$R754)+1)/2,"")</f>
        <v/>
      </c>
      <c r="AF754" s="27">
        <f>IF(ISNUMBER($S754),COUNTIFS($A$14:$A$1213,$A754,$S$14:$S$1213,"&gt;"&amp;$S754)+(COUNTIFS($A$14:$A$1213,$A754,$S$14:$S$1213,"="&amp;$S754)+1)/2,"")</f>
        <v/>
      </c>
      <c r="AG754" s="27">
        <f>IF(ISNUMBER($T754),COUNTIFS($A$14:$A$1213,$A754,$T$14:$T$1213,"&gt;"&amp;$T754)+(COUNTIFS($A$14:$A$1213,$A754,$T$14:$T$1213,"="&amp;$T754)+1)/2,"")</f>
        <v/>
      </c>
      <c r="AH754" s="27">
        <f>IF(COUNT($AC754:$AG754)&lt;2,"",IF(MAX($AC754:$AG754)=MIN($AC754:$AG754),0,1))</f>
        <v/>
      </c>
      <c r="AI754" s="27">
        <f>IF($A754="","",IF(COUNTIF($A$14:$A754,$A754)=1,COUNTIF($AI$13:AI753,"&gt;0")+1,""))</f>
        <v/>
      </c>
      <c r="AO754" s="27">
        <f>IF($A754="","",IF(AND(COUNTIFS($A$14:$A$1213,$A754,$F$14:$F$1213,"&gt;=0")=2,IFERROR(INDEX($M$14:$M$313,MATCH($A754,$H$14:$H$313,0)),"Yes")&lt;&gt;"Yes"),1,0))</f>
        <v/>
      </c>
    </row>
    <row r="755">
      <c r="A755" s="19">
        <f>IF('Enter messages'!A755="","",'Enter messages'!A755)</f>
        <v/>
      </c>
      <c r="B755" s="20">
        <f>IF('Enter messages'!B755="","",'Enter messages'!B755)</f>
        <v/>
      </c>
      <c r="C755" s="21">
        <f>IFERROR(AVERAGE(P755:T755),"")</f>
        <v/>
      </c>
      <c r="D755" s="29" t="n"/>
      <c r="E755" s="29" t="n"/>
      <c r="F755" s="30">
        <f>IF(AND(ISNUMBER($D755),ISNUMBER($E755),$E755&gt;0,$D755&lt;=$E755),$D755/$E755,"")</f>
        <v/>
      </c>
      <c r="P755" s="26" t="n"/>
      <c r="Q755" s="26" t="n"/>
      <c r="R755" s="26" t="n"/>
      <c r="S755" s="26" t="n"/>
      <c r="T755" s="26" t="n"/>
      <c r="V755" s="27">
        <f>IF(ISNUMBER($C755),COUNTIFS($A$14:$A$1213,$A755,$C$14:$C$1213,"&gt;"&amp;$C755)+(COUNTIFS($A$14:$A$1213,$A755,$C$14:$C$1213,"="&amp;$C755)+1)/2,"")</f>
        <v/>
      </c>
      <c r="W755" s="27">
        <f>IF(ISNUMBER($F755),COUNTIFS($A$14:$A$1213,$A755,$F$14:$F$1213,"&gt;"&amp;$F755)+(COUNTIFS($A$14:$A$1213,$A755,$F$14:$F$1213,"="&amp;$F755)+1)/2,"")</f>
        <v/>
      </c>
      <c r="X755" s="27">
        <f>IF(OR(NOT(ISNUMBER($V755)),$AO755=1),"",$V755-(COUNTIFS($A$14:$A$1213,$A755,$C$14:$C$1213,"&gt;=0")+1)/2)</f>
        <v/>
      </c>
      <c r="Y755" s="27">
        <f>IF(OR(NOT(ISNUMBER($W755)),$AO755=1),"",$W755-(COUNTIFS($A$14:$A$1213,$A755,$F$14:$F$1213,"&gt;=0")+1)/2)</f>
        <v/>
      </c>
      <c r="Z755" s="27">
        <f>IF(ISNUMBER($V755),$A755&amp;"|"&amp;$V755,"")</f>
        <v/>
      </c>
      <c r="AA755" s="27">
        <f>IF(ISNUMBER($W755),$A755&amp;"|"&amp;$W755,"")</f>
        <v/>
      </c>
      <c r="AB755" s="27">
        <f>IF(ISNUMBER($F755),$A755&amp;"|"&amp;$F755,"")</f>
        <v/>
      </c>
      <c r="AC755" s="27">
        <f>IF(ISNUMBER($P755),COUNTIFS($A$14:$A$1213,$A755,$P$14:$P$1213,"&gt;"&amp;$P755)+(COUNTIFS($A$14:$A$1213,$A755,$P$14:$P$1213,"="&amp;$P755)+1)/2,"")</f>
        <v/>
      </c>
      <c r="AD755" s="27">
        <f>IF(ISNUMBER($Q755),COUNTIFS($A$14:$A$1213,$A755,$Q$14:$Q$1213,"&gt;"&amp;$Q755)+(COUNTIFS($A$14:$A$1213,$A755,$Q$14:$Q$1213,"="&amp;$Q755)+1)/2,"")</f>
        <v/>
      </c>
      <c r="AE755" s="27">
        <f>IF(ISNUMBER($R755),COUNTIFS($A$14:$A$1213,$A755,$R$14:$R$1213,"&gt;"&amp;$R755)+(COUNTIFS($A$14:$A$1213,$A755,$R$14:$R$1213,"="&amp;$R755)+1)/2,"")</f>
        <v/>
      </c>
      <c r="AF755" s="27">
        <f>IF(ISNUMBER($S755),COUNTIFS($A$14:$A$1213,$A755,$S$14:$S$1213,"&gt;"&amp;$S755)+(COUNTIFS($A$14:$A$1213,$A755,$S$14:$S$1213,"="&amp;$S755)+1)/2,"")</f>
        <v/>
      </c>
      <c r="AG755" s="27">
        <f>IF(ISNUMBER($T755),COUNTIFS($A$14:$A$1213,$A755,$T$14:$T$1213,"&gt;"&amp;$T755)+(COUNTIFS($A$14:$A$1213,$A755,$T$14:$T$1213,"="&amp;$T755)+1)/2,"")</f>
        <v/>
      </c>
      <c r="AH755" s="27">
        <f>IF(COUNT($AC755:$AG755)&lt;2,"",IF(MAX($AC755:$AG755)=MIN($AC755:$AG755),0,1))</f>
        <v/>
      </c>
      <c r="AI755" s="27">
        <f>IF($A755="","",IF(COUNTIF($A$14:$A755,$A755)=1,COUNTIF($AI$13:AI754,"&gt;0")+1,""))</f>
        <v/>
      </c>
      <c r="AO755" s="27">
        <f>IF($A755="","",IF(AND(COUNTIFS($A$14:$A$1213,$A755,$F$14:$F$1213,"&gt;=0")=2,IFERROR(INDEX($M$14:$M$313,MATCH($A755,$H$14:$H$313,0)),"Yes")&lt;&gt;"Yes"),1,0))</f>
        <v/>
      </c>
    </row>
    <row r="756">
      <c r="A756" s="19">
        <f>IF('Enter messages'!A756="","",'Enter messages'!A756)</f>
        <v/>
      </c>
      <c r="B756" s="20">
        <f>IF('Enter messages'!B756="","",'Enter messages'!B756)</f>
        <v/>
      </c>
      <c r="C756" s="21">
        <f>IFERROR(AVERAGE(P756:T756),"")</f>
        <v/>
      </c>
      <c r="D756" s="29" t="n"/>
      <c r="E756" s="29" t="n"/>
      <c r="F756" s="30">
        <f>IF(AND(ISNUMBER($D756),ISNUMBER($E756),$E756&gt;0,$D756&lt;=$E756),$D756/$E756,"")</f>
        <v/>
      </c>
      <c r="P756" s="26" t="n"/>
      <c r="Q756" s="26" t="n"/>
      <c r="R756" s="26" t="n"/>
      <c r="S756" s="26" t="n"/>
      <c r="T756" s="26" t="n"/>
      <c r="V756" s="27">
        <f>IF(ISNUMBER($C756),COUNTIFS($A$14:$A$1213,$A756,$C$14:$C$1213,"&gt;"&amp;$C756)+(COUNTIFS($A$14:$A$1213,$A756,$C$14:$C$1213,"="&amp;$C756)+1)/2,"")</f>
        <v/>
      </c>
      <c r="W756" s="27">
        <f>IF(ISNUMBER($F756),COUNTIFS($A$14:$A$1213,$A756,$F$14:$F$1213,"&gt;"&amp;$F756)+(COUNTIFS($A$14:$A$1213,$A756,$F$14:$F$1213,"="&amp;$F756)+1)/2,"")</f>
        <v/>
      </c>
      <c r="X756" s="27">
        <f>IF(OR(NOT(ISNUMBER($V756)),$AO756=1),"",$V756-(COUNTIFS($A$14:$A$1213,$A756,$C$14:$C$1213,"&gt;=0")+1)/2)</f>
        <v/>
      </c>
      <c r="Y756" s="27">
        <f>IF(OR(NOT(ISNUMBER($W756)),$AO756=1),"",$W756-(COUNTIFS($A$14:$A$1213,$A756,$F$14:$F$1213,"&gt;=0")+1)/2)</f>
        <v/>
      </c>
      <c r="Z756" s="27">
        <f>IF(ISNUMBER($V756),$A756&amp;"|"&amp;$V756,"")</f>
        <v/>
      </c>
      <c r="AA756" s="27">
        <f>IF(ISNUMBER($W756),$A756&amp;"|"&amp;$W756,"")</f>
        <v/>
      </c>
      <c r="AB756" s="27">
        <f>IF(ISNUMBER($F756),$A756&amp;"|"&amp;$F756,"")</f>
        <v/>
      </c>
      <c r="AC756" s="27">
        <f>IF(ISNUMBER($P756),COUNTIFS($A$14:$A$1213,$A756,$P$14:$P$1213,"&gt;"&amp;$P756)+(COUNTIFS($A$14:$A$1213,$A756,$P$14:$P$1213,"="&amp;$P756)+1)/2,"")</f>
        <v/>
      </c>
      <c r="AD756" s="27">
        <f>IF(ISNUMBER($Q756),COUNTIFS($A$14:$A$1213,$A756,$Q$14:$Q$1213,"&gt;"&amp;$Q756)+(COUNTIFS($A$14:$A$1213,$A756,$Q$14:$Q$1213,"="&amp;$Q756)+1)/2,"")</f>
        <v/>
      </c>
      <c r="AE756" s="27">
        <f>IF(ISNUMBER($R756),COUNTIFS($A$14:$A$1213,$A756,$R$14:$R$1213,"&gt;"&amp;$R756)+(COUNTIFS($A$14:$A$1213,$A756,$R$14:$R$1213,"="&amp;$R756)+1)/2,"")</f>
        <v/>
      </c>
      <c r="AF756" s="27">
        <f>IF(ISNUMBER($S756),COUNTIFS($A$14:$A$1213,$A756,$S$14:$S$1213,"&gt;"&amp;$S756)+(COUNTIFS($A$14:$A$1213,$A756,$S$14:$S$1213,"="&amp;$S756)+1)/2,"")</f>
        <v/>
      </c>
      <c r="AG756" s="27">
        <f>IF(ISNUMBER($T756),COUNTIFS($A$14:$A$1213,$A756,$T$14:$T$1213,"&gt;"&amp;$T756)+(COUNTIFS($A$14:$A$1213,$A756,$T$14:$T$1213,"="&amp;$T756)+1)/2,"")</f>
        <v/>
      </c>
      <c r="AH756" s="27">
        <f>IF(COUNT($AC756:$AG756)&lt;2,"",IF(MAX($AC756:$AG756)=MIN($AC756:$AG756),0,1))</f>
        <v/>
      </c>
      <c r="AI756" s="27">
        <f>IF($A756="","",IF(COUNTIF($A$14:$A756,$A756)=1,COUNTIF($AI$13:AI755,"&gt;0")+1,""))</f>
        <v/>
      </c>
      <c r="AO756" s="27">
        <f>IF($A756="","",IF(AND(COUNTIFS($A$14:$A$1213,$A756,$F$14:$F$1213,"&gt;=0")=2,IFERROR(INDEX($M$14:$M$313,MATCH($A756,$H$14:$H$313,0)),"Yes")&lt;&gt;"Yes"),1,0))</f>
        <v/>
      </c>
    </row>
    <row r="757">
      <c r="A757" s="19">
        <f>IF('Enter messages'!A757="","",'Enter messages'!A757)</f>
        <v/>
      </c>
      <c r="B757" s="20">
        <f>IF('Enter messages'!B757="","",'Enter messages'!B757)</f>
        <v/>
      </c>
      <c r="C757" s="21">
        <f>IFERROR(AVERAGE(P757:T757),"")</f>
        <v/>
      </c>
      <c r="D757" s="29" t="n"/>
      <c r="E757" s="29" t="n"/>
      <c r="F757" s="30">
        <f>IF(AND(ISNUMBER($D757),ISNUMBER($E757),$E757&gt;0,$D757&lt;=$E757),$D757/$E757,"")</f>
        <v/>
      </c>
      <c r="P757" s="26" t="n"/>
      <c r="Q757" s="26" t="n"/>
      <c r="R757" s="26" t="n"/>
      <c r="S757" s="26" t="n"/>
      <c r="T757" s="26" t="n"/>
      <c r="V757" s="27">
        <f>IF(ISNUMBER($C757),COUNTIFS($A$14:$A$1213,$A757,$C$14:$C$1213,"&gt;"&amp;$C757)+(COUNTIFS($A$14:$A$1213,$A757,$C$14:$C$1213,"="&amp;$C757)+1)/2,"")</f>
        <v/>
      </c>
      <c r="W757" s="27">
        <f>IF(ISNUMBER($F757),COUNTIFS($A$14:$A$1213,$A757,$F$14:$F$1213,"&gt;"&amp;$F757)+(COUNTIFS($A$14:$A$1213,$A757,$F$14:$F$1213,"="&amp;$F757)+1)/2,"")</f>
        <v/>
      </c>
      <c r="X757" s="27">
        <f>IF(OR(NOT(ISNUMBER($V757)),$AO757=1),"",$V757-(COUNTIFS($A$14:$A$1213,$A757,$C$14:$C$1213,"&gt;=0")+1)/2)</f>
        <v/>
      </c>
      <c r="Y757" s="27">
        <f>IF(OR(NOT(ISNUMBER($W757)),$AO757=1),"",$W757-(COUNTIFS($A$14:$A$1213,$A757,$F$14:$F$1213,"&gt;=0")+1)/2)</f>
        <v/>
      </c>
      <c r="Z757" s="27">
        <f>IF(ISNUMBER($V757),$A757&amp;"|"&amp;$V757,"")</f>
        <v/>
      </c>
      <c r="AA757" s="27">
        <f>IF(ISNUMBER($W757),$A757&amp;"|"&amp;$W757,"")</f>
        <v/>
      </c>
      <c r="AB757" s="27">
        <f>IF(ISNUMBER($F757),$A757&amp;"|"&amp;$F757,"")</f>
        <v/>
      </c>
      <c r="AC757" s="27">
        <f>IF(ISNUMBER($P757),COUNTIFS($A$14:$A$1213,$A757,$P$14:$P$1213,"&gt;"&amp;$P757)+(COUNTIFS($A$14:$A$1213,$A757,$P$14:$P$1213,"="&amp;$P757)+1)/2,"")</f>
        <v/>
      </c>
      <c r="AD757" s="27">
        <f>IF(ISNUMBER($Q757),COUNTIFS($A$14:$A$1213,$A757,$Q$14:$Q$1213,"&gt;"&amp;$Q757)+(COUNTIFS($A$14:$A$1213,$A757,$Q$14:$Q$1213,"="&amp;$Q757)+1)/2,"")</f>
        <v/>
      </c>
      <c r="AE757" s="27">
        <f>IF(ISNUMBER($R757),COUNTIFS($A$14:$A$1213,$A757,$R$14:$R$1213,"&gt;"&amp;$R757)+(COUNTIFS($A$14:$A$1213,$A757,$R$14:$R$1213,"="&amp;$R757)+1)/2,"")</f>
        <v/>
      </c>
      <c r="AF757" s="27">
        <f>IF(ISNUMBER($S757),COUNTIFS($A$14:$A$1213,$A757,$S$14:$S$1213,"&gt;"&amp;$S757)+(COUNTIFS($A$14:$A$1213,$A757,$S$14:$S$1213,"="&amp;$S757)+1)/2,"")</f>
        <v/>
      </c>
      <c r="AG757" s="27">
        <f>IF(ISNUMBER($T757),COUNTIFS($A$14:$A$1213,$A757,$T$14:$T$1213,"&gt;"&amp;$T757)+(COUNTIFS($A$14:$A$1213,$A757,$T$14:$T$1213,"="&amp;$T757)+1)/2,"")</f>
        <v/>
      </c>
      <c r="AH757" s="27">
        <f>IF(COUNT($AC757:$AG757)&lt;2,"",IF(MAX($AC757:$AG757)=MIN($AC757:$AG757),0,1))</f>
        <v/>
      </c>
      <c r="AI757" s="27">
        <f>IF($A757="","",IF(COUNTIF($A$14:$A757,$A757)=1,COUNTIF($AI$13:AI756,"&gt;0")+1,""))</f>
        <v/>
      </c>
      <c r="AO757" s="27">
        <f>IF($A757="","",IF(AND(COUNTIFS($A$14:$A$1213,$A757,$F$14:$F$1213,"&gt;=0")=2,IFERROR(INDEX($M$14:$M$313,MATCH($A757,$H$14:$H$313,0)),"Yes")&lt;&gt;"Yes"),1,0))</f>
        <v/>
      </c>
    </row>
    <row r="758">
      <c r="A758" s="19">
        <f>IF('Enter messages'!A758="","",'Enter messages'!A758)</f>
        <v/>
      </c>
      <c r="B758" s="20">
        <f>IF('Enter messages'!B758="","",'Enter messages'!B758)</f>
        <v/>
      </c>
      <c r="C758" s="21">
        <f>IFERROR(AVERAGE(P758:T758),"")</f>
        <v/>
      </c>
      <c r="D758" s="29" t="n"/>
      <c r="E758" s="29" t="n"/>
      <c r="F758" s="30">
        <f>IF(AND(ISNUMBER($D758),ISNUMBER($E758),$E758&gt;0,$D758&lt;=$E758),$D758/$E758,"")</f>
        <v/>
      </c>
      <c r="P758" s="26" t="n"/>
      <c r="Q758" s="26" t="n"/>
      <c r="R758" s="26" t="n"/>
      <c r="S758" s="26" t="n"/>
      <c r="T758" s="26" t="n"/>
      <c r="V758" s="27">
        <f>IF(ISNUMBER($C758),COUNTIFS($A$14:$A$1213,$A758,$C$14:$C$1213,"&gt;"&amp;$C758)+(COUNTIFS($A$14:$A$1213,$A758,$C$14:$C$1213,"="&amp;$C758)+1)/2,"")</f>
        <v/>
      </c>
      <c r="W758" s="27">
        <f>IF(ISNUMBER($F758),COUNTIFS($A$14:$A$1213,$A758,$F$14:$F$1213,"&gt;"&amp;$F758)+(COUNTIFS($A$14:$A$1213,$A758,$F$14:$F$1213,"="&amp;$F758)+1)/2,"")</f>
        <v/>
      </c>
      <c r="X758" s="27">
        <f>IF(OR(NOT(ISNUMBER($V758)),$AO758=1),"",$V758-(COUNTIFS($A$14:$A$1213,$A758,$C$14:$C$1213,"&gt;=0")+1)/2)</f>
        <v/>
      </c>
      <c r="Y758" s="27">
        <f>IF(OR(NOT(ISNUMBER($W758)),$AO758=1),"",$W758-(COUNTIFS($A$14:$A$1213,$A758,$F$14:$F$1213,"&gt;=0")+1)/2)</f>
        <v/>
      </c>
      <c r="Z758" s="27">
        <f>IF(ISNUMBER($V758),$A758&amp;"|"&amp;$V758,"")</f>
        <v/>
      </c>
      <c r="AA758" s="27">
        <f>IF(ISNUMBER($W758),$A758&amp;"|"&amp;$W758,"")</f>
        <v/>
      </c>
      <c r="AB758" s="27">
        <f>IF(ISNUMBER($F758),$A758&amp;"|"&amp;$F758,"")</f>
        <v/>
      </c>
      <c r="AC758" s="27">
        <f>IF(ISNUMBER($P758),COUNTIFS($A$14:$A$1213,$A758,$P$14:$P$1213,"&gt;"&amp;$P758)+(COUNTIFS($A$14:$A$1213,$A758,$P$14:$P$1213,"="&amp;$P758)+1)/2,"")</f>
        <v/>
      </c>
      <c r="AD758" s="27">
        <f>IF(ISNUMBER($Q758),COUNTIFS($A$14:$A$1213,$A758,$Q$14:$Q$1213,"&gt;"&amp;$Q758)+(COUNTIFS($A$14:$A$1213,$A758,$Q$14:$Q$1213,"="&amp;$Q758)+1)/2,"")</f>
        <v/>
      </c>
      <c r="AE758" s="27">
        <f>IF(ISNUMBER($R758),COUNTIFS($A$14:$A$1213,$A758,$R$14:$R$1213,"&gt;"&amp;$R758)+(COUNTIFS($A$14:$A$1213,$A758,$R$14:$R$1213,"="&amp;$R758)+1)/2,"")</f>
        <v/>
      </c>
      <c r="AF758" s="27">
        <f>IF(ISNUMBER($S758),COUNTIFS($A$14:$A$1213,$A758,$S$14:$S$1213,"&gt;"&amp;$S758)+(COUNTIFS($A$14:$A$1213,$A758,$S$14:$S$1213,"="&amp;$S758)+1)/2,"")</f>
        <v/>
      </c>
      <c r="AG758" s="27">
        <f>IF(ISNUMBER($T758),COUNTIFS($A$14:$A$1213,$A758,$T$14:$T$1213,"&gt;"&amp;$T758)+(COUNTIFS($A$14:$A$1213,$A758,$T$14:$T$1213,"="&amp;$T758)+1)/2,"")</f>
        <v/>
      </c>
      <c r="AH758" s="27">
        <f>IF(COUNT($AC758:$AG758)&lt;2,"",IF(MAX($AC758:$AG758)=MIN($AC758:$AG758),0,1))</f>
        <v/>
      </c>
      <c r="AI758" s="27">
        <f>IF($A758="","",IF(COUNTIF($A$14:$A758,$A758)=1,COUNTIF($AI$13:AI757,"&gt;0")+1,""))</f>
        <v/>
      </c>
      <c r="AO758" s="27">
        <f>IF($A758="","",IF(AND(COUNTIFS($A$14:$A$1213,$A758,$F$14:$F$1213,"&gt;=0")=2,IFERROR(INDEX($M$14:$M$313,MATCH($A758,$H$14:$H$313,0)),"Yes")&lt;&gt;"Yes"),1,0))</f>
        <v/>
      </c>
    </row>
    <row r="759">
      <c r="A759" s="19">
        <f>IF('Enter messages'!A759="","",'Enter messages'!A759)</f>
        <v/>
      </c>
      <c r="B759" s="20">
        <f>IF('Enter messages'!B759="","",'Enter messages'!B759)</f>
        <v/>
      </c>
      <c r="C759" s="21">
        <f>IFERROR(AVERAGE(P759:T759),"")</f>
        <v/>
      </c>
      <c r="D759" s="29" t="n"/>
      <c r="E759" s="29" t="n"/>
      <c r="F759" s="30">
        <f>IF(AND(ISNUMBER($D759),ISNUMBER($E759),$E759&gt;0,$D759&lt;=$E759),$D759/$E759,"")</f>
        <v/>
      </c>
      <c r="P759" s="26" t="n"/>
      <c r="Q759" s="26" t="n"/>
      <c r="R759" s="26" t="n"/>
      <c r="S759" s="26" t="n"/>
      <c r="T759" s="26" t="n"/>
      <c r="V759" s="27">
        <f>IF(ISNUMBER($C759),COUNTIFS($A$14:$A$1213,$A759,$C$14:$C$1213,"&gt;"&amp;$C759)+(COUNTIFS($A$14:$A$1213,$A759,$C$14:$C$1213,"="&amp;$C759)+1)/2,"")</f>
        <v/>
      </c>
      <c r="W759" s="27">
        <f>IF(ISNUMBER($F759),COUNTIFS($A$14:$A$1213,$A759,$F$14:$F$1213,"&gt;"&amp;$F759)+(COUNTIFS($A$14:$A$1213,$A759,$F$14:$F$1213,"="&amp;$F759)+1)/2,"")</f>
        <v/>
      </c>
      <c r="X759" s="27">
        <f>IF(OR(NOT(ISNUMBER($V759)),$AO759=1),"",$V759-(COUNTIFS($A$14:$A$1213,$A759,$C$14:$C$1213,"&gt;=0")+1)/2)</f>
        <v/>
      </c>
      <c r="Y759" s="27">
        <f>IF(OR(NOT(ISNUMBER($W759)),$AO759=1),"",$W759-(COUNTIFS($A$14:$A$1213,$A759,$F$14:$F$1213,"&gt;=0")+1)/2)</f>
        <v/>
      </c>
      <c r="Z759" s="27">
        <f>IF(ISNUMBER($V759),$A759&amp;"|"&amp;$V759,"")</f>
        <v/>
      </c>
      <c r="AA759" s="27">
        <f>IF(ISNUMBER($W759),$A759&amp;"|"&amp;$W759,"")</f>
        <v/>
      </c>
      <c r="AB759" s="27">
        <f>IF(ISNUMBER($F759),$A759&amp;"|"&amp;$F759,"")</f>
        <v/>
      </c>
      <c r="AC759" s="27">
        <f>IF(ISNUMBER($P759),COUNTIFS($A$14:$A$1213,$A759,$P$14:$P$1213,"&gt;"&amp;$P759)+(COUNTIFS($A$14:$A$1213,$A759,$P$14:$P$1213,"="&amp;$P759)+1)/2,"")</f>
        <v/>
      </c>
      <c r="AD759" s="27">
        <f>IF(ISNUMBER($Q759),COUNTIFS($A$14:$A$1213,$A759,$Q$14:$Q$1213,"&gt;"&amp;$Q759)+(COUNTIFS($A$14:$A$1213,$A759,$Q$14:$Q$1213,"="&amp;$Q759)+1)/2,"")</f>
        <v/>
      </c>
      <c r="AE759" s="27">
        <f>IF(ISNUMBER($R759),COUNTIFS($A$14:$A$1213,$A759,$R$14:$R$1213,"&gt;"&amp;$R759)+(COUNTIFS($A$14:$A$1213,$A759,$R$14:$R$1213,"="&amp;$R759)+1)/2,"")</f>
        <v/>
      </c>
      <c r="AF759" s="27">
        <f>IF(ISNUMBER($S759),COUNTIFS($A$14:$A$1213,$A759,$S$14:$S$1213,"&gt;"&amp;$S759)+(COUNTIFS($A$14:$A$1213,$A759,$S$14:$S$1213,"="&amp;$S759)+1)/2,"")</f>
        <v/>
      </c>
      <c r="AG759" s="27">
        <f>IF(ISNUMBER($T759),COUNTIFS($A$14:$A$1213,$A759,$T$14:$T$1213,"&gt;"&amp;$T759)+(COUNTIFS($A$14:$A$1213,$A759,$T$14:$T$1213,"="&amp;$T759)+1)/2,"")</f>
        <v/>
      </c>
      <c r="AH759" s="27">
        <f>IF(COUNT($AC759:$AG759)&lt;2,"",IF(MAX($AC759:$AG759)=MIN($AC759:$AG759),0,1))</f>
        <v/>
      </c>
      <c r="AI759" s="27">
        <f>IF($A759="","",IF(COUNTIF($A$14:$A759,$A759)=1,COUNTIF($AI$13:AI758,"&gt;0")+1,""))</f>
        <v/>
      </c>
      <c r="AO759" s="27">
        <f>IF($A759="","",IF(AND(COUNTIFS($A$14:$A$1213,$A759,$F$14:$F$1213,"&gt;=0")=2,IFERROR(INDEX($M$14:$M$313,MATCH($A759,$H$14:$H$313,0)),"Yes")&lt;&gt;"Yes"),1,0))</f>
        <v/>
      </c>
    </row>
    <row r="760">
      <c r="A760" s="19">
        <f>IF('Enter messages'!A760="","",'Enter messages'!A760)</f>
        <v/>
      </c>
      <c r="B760" s="20">
        <f>IF('Enter messages'!B760="","",'Enter messages'!B760)</f>
        <v/>
      </c>
      <c r="C760" s="21">
        <f>IFERROR(AVERAGE(P760:T760),"")</f>
        <v/>
      </c>
      <c r="D760" s="29" t="n"/>
      <c r="E760" s="29" t="n"/>
      <c r="F760" s="30">
        <f>IF(AND(ISNUMBER($D760),ISNUMBER($E760),$E760&gt;0,$D760&lt;=$E760),$D760/$E760,"")</f>
        <v/>
      </c>
      <c r="P760" s="26" t="n"/>
      <c r="Q760" s="26" t="n"/>
      <c r="R760" s="26" t="n"/>
      <c r="S760" s="26" t="n"/>
      <c r="T760" s="26" t="n"/>
      <c r="V760" s="27">
        <f>IF(ISNUMBER($C760),COUNTIFS($A$14:$A$1213,$A760,$C$14:$C$1213,"&gt;"&amp;$C760)+(COUNTIFS($A$14:$A$1213,$A760,$C$14:$C$1213,"="&amp;$C760)+1)/2,"")</f>
        <v/>
      </c>
      <c r="W760" s="27">
        <f>IF(ISNUMBER($F760),COUNTIFS($A$14:$A$1213,$A760,$F$14:$F$1213,"&gt;"&amp;$F760)+(COUNTIFS($A$14:$A$1213,$A760,$F$14:$F$1213,"="&amp;$F760)+1)/2,"")</f>
        <v/>
      </c>
      <c r="X760" s="27">
        <f>IF(OR(NOT(ISNUMBER($V760)),$AO760=1),"",$V760-(COUNTIFS($A$14:$A$1213,$A760,$C$14:$C$1213,"&gt;=0")+1)/2)</f>
        <v/>
      </c>
      <c r="Y760" s="27">
        <f>IF(OR(NOT(ISNUMBER($W760)),$AO760=1),"",$W760-(COUNTIFS($A$14:$A$1213,$A760,$F$14:$F$1213,"&gt;=0")+1)/2)</f>
        <v/>
      </c>
      <c r="Z760" s="27">
        <f>IF(ISNUMBER($V760),$A760&amp;"|"&amp;$V760,"")</f>
        <v/>
      </c>
      <c r="AA760" s="27">
        <f>IF(ISNUMBER($W760),$A760&amp;"|"&amp;$W760,"")</f>
        <v/>
      </c>
      <c r="AB760" s="27">
        <f>IF(ISNUMBER($F760),$A760&amp;"|"&amp;$F760,"")</f>
        <v/>
      </c>
      <c r="AC760" s="27">
        <f>IF(ISNUMBER($P760),COUNTIFS($A$14:$A$1213,$A760,$P$14:$P$1213,"&gt;"&amp;$P760)+(COUNTIFS($A$14:$A$1213,$A760,$P$14:$P$1213,"="&amp;$P760)+1)/2,"")</f>
        <v/>
      </c>
      <c r="AD760" s="27">
        <f>IF(ISNUMBER($Q760),COUNTIFS($A$14:$A$1213,$A760,$Q$14:$Q$1213,"&gt;"&amp;$Q760)+(COUNTIFS($A$14:$A$1213,$A760,$Q$14:$Q$1213,"="&amp;$Q760)+1)/2,"")</f>
        <v/>
      </c>
      <c r="AE760" s="27">
        <f>IF(ISNUMBER($R760),COUNTIFS($A$14:$A$1213,$A760,$R$14:$R$1213,"&gt;"&amp;$R760)+(COUNTIFS($A$14:$A$1213,$A760,$R$14:$R$1213,"="&amp;$R760)+1)/2,"")</f>
        <v/>
      </c>
      <c r="AF760" s="27">
        <f>IF(ISNUMBER($S760),COUNTIFS($A$14:$A$1213,$A760,$S$14:$S$1213,"&gt;"&amp;$S760)+(COUNTIFS($A$14:$A$1213,$A760,$S$14:$S$1213,"="&amp;$S760)+1)/2,"")</f>
        <v/>
      </c>
      <c r="AG760" s="27">
        <f>IF(ISNUMBER($T760),COUNTIFS($A$14:$A$1213,$A760,$T$14:$T$1213,"&gt;"&amp;$T760)+(COUNTIFS($A$14:$A$1213,$A760,$T$14:$T$1213,"="&amp;$T760)+1)/2,"")</f>
        <v/>
      </c>
      <c r="AH760" s="27">
        <f>IF(COUNT($AC760:$AG760)&lt;2,"",IF(MAX($AC760:$AG760)=MIN($AC760:$AG760),0,1))</f>
        <v/>
      </c>
      <c r="AI760" s="27">
        <f>IF($A760="","",IF(COUNTIF($A$14:$A760,$A760)=1,COUNTIF($AI$13:AI759,"&gt;0")+1,""))</f>
        <v/>
      </c>
      <c r="AO760" s="27">
        <f>IF($A760="","",IF(AND(COUNTIFS($A$14:$A$1213,$A760,$F$14:$F$1213,"&gt;=0")=2,IFERROR(INDEX($M$14:$M$313,MATCH($A760,$H$14:$H$313,0)),"Yes")&lt;&gt;"Yes"),1,0))</f>
        <v/>
      </c>
    </row>
    <row r="761">
      <c r="A761" s="19">
        <f>IF('Enter messages'!A761="","",'Enter messages'!A761)</f>
        <v/>
      </c>
      <c r="B761" s="20">
        <f>IF('Enter messages'!B761="","",'Enter messages'!B761)</f>
        <v/>
      </c>
      <c r="C761" s="21">
        <f>IFERROR(AVERAGE(P761:T761),"")</f>
        <v/>
      </c>
      <c r="D761" s="29" t="n"/>
      <c r="E761" s="29" t="n"/>
      <c r="F761" s="30">
        <f>IF(AND(ISNUMBER($D761),ISNUMBER($E761),$E761&gt;0,$D761&lt;=$E761),$D761/$E761,"")</f>
        <v/>
      </c>
      <c r="P761" s="26" t="n"/>
      <c r="Q761" s="26" t="n"/>
      <c r="R761" s="26" t="n"/>
      <c r="S761" s="26" t="n"/>
      <c r="T761" s="26" t="n"/>
      <c r="V761" s="27">
        <f>IF(ISNUMBER($C761),COUNTIFS($A$14:$A$1213,$A761,$C$14:$C$1213,"&gt;"&amp;$C761)+(COUNTIFS($A$14:$A$1213,$A761,$C$14:$C$1213,"="&amp;$C761)+1)/2,"")</f>
        <v/>
      </c>
      <c r="W761" s="27">
        <f>IF(ISNUMBER($F761),COUNTIFS($A$14:$A$1213,$A761,$F$14:$F$1213,"&gt;"&amp;$F761)+(COUNTIFS($A$14:$A$1213,$A761,$F$14:$F$1213,"="&amp;$F761)+1)/2,"")</f>
        <v/>
      </c>
      <c r="X761" s="27">
        <f>IF(OR(NOT(ISNUMBER($V761)),$AO761=1),"",$V761-(COUNTIFS($A$14:$A$1213,$A761,$C$14:$C$1213,"&gt;=0")+1)/2)</f>
        <v/>
      </c>
      <c r="Y761" s="27">
        <f>IF(OR(NOT(ISNUMBER($W761)),$AO761=1),"",$W761-(COUNTIFS($A$14:$A$1213,$A761,$F$14:$F$1213,"&gt;=0")+1)/2)</f>
        <v/>
      </c>
      <c r="Z761" s="27">
        <f>IF(ISNUMBER($V761),$A761&amp;"|"&amp;$V761,"")</f>
        <v/>
      </c>
      <c r="AA761" s="27">
        <f>IF(ISNUMBER($W761),$A761&amp;"|"&amp;$W761,"")</f>
        <v/>
      </c>
      <c r="AB761" s="27">
        <f>IF(ISNUMBER($F761),$A761&amp;"|"&amp;$F761,"")</f>
        <v/>
      </c>
      <c r="AC761" s="27">
        <f>IF(ISNUMBER($P761),COUNTIFS($A$14:$A$1213,$A761,$P$14:$P$1213,"&gt;"&amp;$P761)+(COUNTIFS($A$14:$A$1213,$A761,$P$14:$P$1213,"="&amp;$P761)+1)/2,"")</f>
        <v/>
      </c>
      <c r="AD761" s="27">
        <f>IF(ISNUMBER($Q761),COUNTIFS($A$14:$A$1213,$A761,$Q$14:$Q$1213,"&gt;"&amp;$Q761)+(COUNTIFS($A$14:$A$1213,$A761,$Q$14:$Q$1213,"="&amp;$Q761)+1)/2,"")</f>
        <v/>
      </c>
      <c r="AE761" s="27">
        <f>IF(ISNUMBER($R761),COUNTIFS($A$14:$A$1213,$A761,$R$14:$R$1213,"&gt;"&amp;$R761)+(COUNTIFS($A$14:$A$1213,$A761,$R$14:$R$1213,"="&amp;$R761)+1)/2,"")</f>
        <v/>
      </c>
      <c r="AF761" s="27">
        <f>IF(ISNUMBER($S761),COUNTIFS($A$14:$A$1213,$A761,$S$14:$S$1213,"&gt;"&amp;$S761)+(COUNTIFS($A$14:$A$1213,$A761,$S$14:$S$1213,"="&amp;$S761)+1)/2,"")</f>
        <v/>
      </c>
      <c r="AG761" s="27">
        <f>IF(ISNUMBER($T761),COUNTIFS($A$14:$A$1213,$A761,$T$14:$T$1213,"&gt;"&amp;$T761)+(COUNTIFS($A$14:$A$1213,$A761,$T$14:$T$1213,"="&amp;$T761)+1)/2,"")</f>
        <v/>
      </c>
      <c r="AH761" s="27">
        <f>IF(COUNT($AC761:$AG761)&lt;2,"",IF(MAX($AC761:$AG761)=MIN($AC761:$AG761),0,1))</f>
        <v/>
      </c>
      <c r="AI761" s="27">
        <f>IF($A761="","",IF(COUNTIF($A$14:$A761,$A761)=1,COUNTIF($AI$13:AI760,"&gt;0")+1,""))</f>
        <v/>
      </c>
      <c r="AO761" s="27">
        <f>IF($A761="","",IF(AND(COUNTIFS($A$14:$A$1213,$A761,$F$14:$F$1213,"&gt;=0")=2,IFERROR(INDEX($M$14:$M$313,MATCH($A761,$H$14:$H$313,0)),"Yes")&lt;&gt;"Yes"),1,0))</f>
        <v/>
      </c>
    </row>
    <row r="762">
      <c r="A762" s="19">
        <f>IF('Enter messages'!A762="","",'Enter messages'!A762)</f>
        <v/>
      </c>
      <c r="B762" s="20">
        <f>IF('Enter messages'!B762="","",'Enter messages'!B762)</f>
        <v/>
      </c>
      <c r="C762" s="21">
        <f>IFERROR(AVERAGE(P762:T762),"")</f>
        <v/>
      </c>
      <c r="D762" s="29" t="n"/>
      <c r="E762" s="29" t="n"/>
      <c r="F762" s="30">
        <f>IF(AND(ISNUMBER($D762),ISNUMBER($E762),$E762&gt;0,$D762&lt;=$E762),$D762/$E762,"")</f>
        <v/>
      </c>
      <c r="P762" s="26" t="n"/>
      <c r="Q762" s="26" t="n"/>
      <c r="R762" s="26" t="n"/>
      <c r="S762" s="26" t="n"/>
      <c r="T762" s="26" t="n"/>
      <c r="V762" s="27">
        <f>IF(ISNUMBER($C762),COUNTIFS($A$14:$A$1213,$A762,$C$14:$C$1213,"&gt;"&amp;$C762)+(COUNTIFS($A$14:$A$1213,$A762,$C$14:$C$1213,"="&amp;$C762)+1)/2,"")</f>
        <v/>
      </c>
      <c r="W762" s="27">
        <f>IF(ISNUMBER($F762),COUNTIFS($A$14:$A$1213,$A762,$F$14:$F$1213,"&gt;"&amp;$F762)+(COUNTIFS($A$14:$A$1213,$A762,$F$14:$F$1213,"="&amp;$F762)+1)/2,"")</f>
        <v/>
      </c>
      <c r="X762" s="27">
        <f>IF(OR(NOT(ISNUMBER($V762)),$AO762=1),"",$V762-(COUNTIFS($A$14:$A$1213,$A762,$C$14:$C$1213,"&gt;=0")+1)/2)</f>
        <v/>
      </c>
      <c r="Y762" s="27">
        <f>IF(OR(NOT(ISNUMBER($W762)),$AO762=1),"",$W762-(COUNTIFS($A$14:$A$1213,$A762,$F$14:$F$1213,"&gt;=0")+1)/2)</f>
        <v/>
      </c>
      <c r="Z762" s="27">
        <f>IF(ISNUMBER($V762),$A762&amp;"|"&amp;$V762,"")</f>
        <v/>
      </c>
      <c r="AA762" s="27">
        <f>IF(ISNUMBER($W762),$A762&amp;"|"&amp;$W762,"")</f>
        <v/>
      </c>
      <c r="AB762" s="27">
        <f>IF(ISNUMBER($F762),$A762&amp;"|"&amp;$F762,"")</f>
        <v/>
      </c>
      <c r="AC762" s="27">
        <f>IF(ISNUMBER($P762),COUNTIFS($A$14:$A$1213,$A762,$P$14:$P$1213,"&gt;"&amp;$P762)+(COUNTIFS($A$14:$A$1213,$A762,$P$14:$P$1213,"="&amp;$P762)+1)/2,"")</f>
        <v/>
      </c>
      <c r="AD762" s="27">
        <f>IF(ISNUMBER($Q762),COUNTIFS($A$14:$A$1213,$A762,$Q$14:$Q$1213,"&gt;"&amp;$Q762)+(COUNTIFS($A$14:$A$1213,$A762,$Q$14:$Q$1213,"="&amp;$Q762)+1)/2,"")</f>
        <v/>
      </c>
      <c r="AE762" s="27">
        <f>IF(ISNUMBER($R762),COUNTIFS($A$14:$A$1213,$A762,$R$14:$R$1213,"&gt;"&amp;$R762)+(COUNTIFS($A$14:$A$1213,$A762,$R$14:$R$1213,"="&amp;$R762)+1)/2,"")</f>
        <v/>
      </c>
      <c r="AF762" s="27">
        <f>IF(ISNUMBER($S762),COUNTIFS($A$14:$A$1213,$A762,$S$14:$S$1213,"&gt;"&amp;$S762)+(COUNTIFS($A$14:$A$1213,$A762,$S$14:$S$1213,"="&amp;$S762)+1)/2,"")</f>
        <v/>
      </c>
      <c r="AG762" s="27">
        <f>IF(ISNUMBER($T762),COUNTIFS($A$14:$A$1213,$A762,$T$14:$T$1213,"&gt;"&amp;$T762)+(COUNTIFS($A$14:$A$1213,$A762,$T$14:$T$1213,"="&amp;$T762)+1)/2,"")</f>
        <v/>
      </c>
      <c r="AH762" s="27">
        <f>IF(COUNT($AC762:$AG762)&lt;2,"",IF(MAX($AC762:$AG762)=MIN($AC762:$AG762),0,1))</f>
        <v/>
      </c>
      <c r="AI762" s="27">
        <f>IF($A762="","",IF(COUNTIF($A$14:$A762,$A762)=1,COUNTIF($AI$13:AI761,"&gt;0")+1,""))</f>
        <v/>
      </c>
      <c r="AO762" s="27">
        <f>IF($A762="","",IF(AND(COUNTIFS($A$14:$A$1213,$A762,$F$14:$F$1213,"&gt;=0")=2,IFERROR(INDEX($M$14:$M$313,MATCH($A762,$H$14:$H$313,0)),"Yes")&lt;&gt;"Yes"),1,0))</f>
        <v/>
      </c>
    </row>
    <row r="763">
      <c r="A763" s="19">
        <f>IF('Enter messages'!A763="","",'Enter messages'!A763)</f>
        <v/>
      </c>
      <c r="B763" s="20">
        <f>IF('Enter messages'!B763="","",'Enter messages'!B763)</f>
        <v/>
      </c>
      <c r="C763" s="21">
        <f>IFERROR(AVERAGE(P763:T763),"")</f>
        <v/>
      </c>
      <c r="D763" s="29" t="n"/>
      <c r="E763" s="29" t="n"/>
      <c r="F763" s="30">
        <f>IF(AND(ISNUMBER($D763),ISNUMBER($E763),$E763&gt;0,$D763&lt;=$E763),$D763/$E763,"")</f>
        <v/>
      </c>
      <c r="P763" s="26" t="n"/>
      <c r="Q763" s="26" t="n"/>
      <c r="R763" s="26" t="n"/>
      <c r="S763" s="26" t="n"/>
      <c r="T763" s="26" t="n"/>
      <c r="V763" s="27">
        <f>IF(ISNUMBER($C763),COUNTIFS($A$14:$A$1213,$A763,$C$14:$C$1213,"&gt;"&amp;$C763)+(COUNTIFS($A$14:$A$1213,$A763,$C$14:$C$1213,"="&amp;$C763)+1)/2,"")</f>
        <v/>
      </c>
      <c r="W763" s="27">
        <f>IF(ISNUMBER($F763),COUNTIFS($A$14:$A$1213,$A763,$F$14:$F$1213,"&gt;"&amp;$F763)+(COUNTIFS($A$14:$A$1213,$A763,$F$14:$F$1213,"="&amp;$F763)+1)/2,"")</f>
        <v/>
      </c>
      <c r="X763" s="27">
        <f>IF(OR(NOT(ISNUMBER($V763)),$AO763=1),"",$V763-(COUNTIFS($A$14:$A$1213,$A763,$C$14:$C$1213,"&gt;=0")+1)/2)</f>
        <v/>
      </c>
      <c r="Y763" s="27">
        <f>IF(OR(NOT(ISNUMBER($W763)),$AO763=1),"",$W763-(COUNTIFS($A$14:$A$1213,$A763,$F$14:$F$1213,"&gt;=0")+1)/2)</f>
        <v/>
      </c>
      <c r="Z763" s="27">
        <f>IF(ISNUMBER($V763),$A763&amp;"|"&amp;$V763,"")</f>
        <v/>
      </c>
      <c r="AA763" s="27">
        <f>IF(ISNUMBER($W763),$A763&amp;"|"&amp;$W763,"")</f>
        <v/>
      </c>
      <c r="AB763" s="27">
        <f>IF(ISNUMBER($F763),$A763&amp;"|"&amp;$F763,"")</f>
        <v/>
      </c>
      <c r="AC763" s="27">
        <f>IF(ISNUMBER($P763),COUNTIFS($A$14:$A$1213,$A763,$P$14:$P$1213,"&gt;"&amp;$P763)+(COUNTIFS($A$14:$A$1213,$A763,$P$14:$P$1213,"="&amp;$P763)+1)/2,"")</f>
        <v/>
      </c>
      <c r="AD763" s="27">
        <f>IF(ISNUMBER($Q763),COUNTIFS($A$14:$A$1213,$A763,$Q$14:$Q$1213,"&gt;"&amp;$Q763)+(COUNTIFS($A$14:$A$1213,$A763,$Q$14:$Q$1213,"="&amp;$Q763)+1)/2,"")</f>
        <v/>
      </c>
      <c r="AE763" s="27">
        <f>IF(ISNUMBER($R763),COUNTIFS($A$14:$A$1213,$A763,$R$14:$R$1213,"&gt;"&amp;$R763)+(COUNTIFS($A$14:$A$1213,$A763,$R$14:$R$1213,"="&amp;$R763)+1)/2,"")</f>
        <v/>
      </c>
      <c r="AF763" s="27">
        <f>IF(ISNUMBER($S763),COUNTIFS($A$14:$A$1213,$A763,$S$14:$S$1213,"&gt;"&amp;$S763)+(COUNTIFS($A$14:$A$1213,$A763,$S$14:$S$1213,"="&amp;$S763)+1)/2,"")</f>
        <v/>
      </c>
      <c r="AG763" s="27">
        <f>IF(ISNUMBER($T763),COUNTIFS($A$14:$A$1213,$A763,$T$14:$T$1213,"&gt;"&amp;$T763)+(COUNTIFS($A$14:$A$1213,$A763,$T$14:$T$1213,"="&amp;$T763)+1)/2,"")</f>
        <v/>
      </c>
      <c r="AH763" s="27">
        <f>IF(COUNT($AC763:$AG763)&lt;2,"",IF(MAX($AC763:$AG763)=MIN($AC763:$AG763),0,1))</f>
        <v/>
      </c>
      <c r="AI763" s="27">
        <f>IF($A763="","",IF(COUNTIF($A$14:$A763,$A763)=1,COUNTIF($AI$13:AI762,"&gt;0")+1,""))</f>
        <v/>
      </c>
      <c r="AO763" s="27">
        <f>IF($A763="","",IF(AND(COUNTIFS($A$14:$A$1213,$A763,$F$14:$F$1213,"&gt;=0")=2,IFERROR(INDEX($M$14:$M$313,MATCH($A763,$H$14:$H$313,0)),"Yes")&lt;&gt;"Yes"),1,0))</f>
        <v/>
      </c>
    </row>
    <row r="764">
      <c r="A764" s="19">
        <f>IF('Enter messages'!A764="","",'Enter messages'!A764)</f>
        <v/>
      </c>
      <c r="B764" s="20">
        <f>IF('Enter messages'!B764="","",'Enter messages'!B764)</f>
        <v/>
      </c>
      <c r="C764" s="21">
        <f>IFERROR(AVERAGE(P764:T764),"")</f>
        <v/>
      </c>
      <c r="D764" s="29" t="n"/>
      <c r="E764" s="29" t="n"/>
      <c r="F764" s="30">
        <f>IF(AND(ISNUMBER($D764),ISNUMBER($E764),$E764&gt;0,$D764&lt;=$E764),$D764/$E764,"")</f>
        <v/>
      </c>
      <c r="P764" s="26" t="n"/>
      <c r="Q764" s="26" t="n"/>
      <c r="R764" s="26" t="n"/>
      <c r="S764" s="26" t="n"/>
      <c r="T764" s="26" t="n"/>
      <c r="V764" s="27">
        <f>IF(ISNUMBER($C764),COUNTIFS($A$14:$A$1213,$A764,$C$14:$C$1213,"&gt;"&amp;$C764)+(COUNTIFS($A$14:$A$1213,$A764,$C$14:$C$1213,"="&amp;$C764)+1)/2,"")</f>
        <v/>
      </c>
      <c r="W764" s="27">
        <f>IF(ISNUMBER($F764),COUNTIFS($A$14:$A$1213,$A764,$F$14:$F$1213,"&gt;"&amp;$F764)+(COUNTIFS($A$14:$A$1213,$A764,$F$14:$F$1213,"="&amp;$F764)+1)/2,"")</f>
        <v/>
      </c>
      <c r="X764" s="27">
        <f>IF(OR(NOT(ISNUMBER($V764)),$AO764=1),"",$V764-(COUNTIFS($A$14:$A$1213,$A764,$C$14:$C$1213,"&gt;=0")+1)/2)</f>
        <v/>
      </c>
      <c r="Y764" s="27">
        <f>IF(OR(NOT(ISNUMBER($W764)),$AO764=1),"",$W764-(COUNTIFS($A$14:$A$1213,$A764,$F$14:$F$1213,"&gt;=0")+1)/2)</f>
        <v/>
      </c>
      <c r="Z764" s="27">
        <f>IF(ISNUMBER($V764),$A764&amp;"|"&amp;$V764,"")</f>
        <v/>
      </c>
      <c r="AA764" s="27">
        <f>IF(ISNUMBER($W764),$A764&amp;"|"&amp;$W764,"")</f>
        <v/>
      </c>
      <c r="AB764" s="27">
        <f>IF(ISNUMBER($F764),$A764&amp;"|"&amp;$F764,"")</f>
        <v/>
      </c>
      <c r="AC764" s="27">
        <f>IF(ISNUMBER($P764),COUNTIFS($A$14:$A$1213,$A764,$P$14:$P$1213,"&gt;"&amp;$P764)+(COUNTIFS($A$14:$A$1213,$A764,$P$14:$P$1213,"="&amp;$P764)+1)/2,"")</f>
        <v/>
      </c>
      <c r="AD764" s="27">
        <f>IF(ISNUMBER($Q764),COUNTIFS($A$14:$A$1213,$A764,$Q$14:$Q$1213,"&gt;"&amp;$Q764)+(COUNTIFS($A$14:$A$1213,$A764,$Q$14:$Q$1213,"="&amp;$Q764)+1)/2,"")</f>
        <v/>
      </c>
      <c r="AE764" s="27">
        <f>IF(ISNUMBER($R764),COUNTIFS($A$14:$A$1213,$A764,$R$14:$R$1213,"&gt;"&amp;$R764)+(COUNTIFS($A$14:$A$1213,$A764,$R$14:$R$1213,"="&amp;$R764)+1)/2,"")</f>
        <v/>
      </c>
      <c r="AF764" s="27">
        <f>IF(ISNUMBER($S764),COUNTIFS($A$14:$A$1213,$A764,$S$14:$S$1213,"&gt;"&amp;$S764)+(COUNTIFS($A$14:$A$1213,$A764,$S$14:$S$1213,"="&amp;$S764)+1)/2,"")</f>
        <v/>
      </c>
      <c r="AG764" s="27">
        <f>IF(ISNUMBER($T764),COUNTIFS($A$14:$A$1213,$A764,$T$14:$T$1213,"&gt;"&amp;$T764)+(COUNTIFS($A$14:$A$1213,$A764,$T$14:$T$1213,"="&amp;$T764)+1)/2,"")</f>
        <v/>
      </c>
      <c r="AH764" s="27">
        <f>IF(COUNT($AC764:$AG764)&lt;2,"",IF(MAX($AC764:$AG764)=MIN($AC764:$AG764),0,1))</f>
        <v/>
      </c>
      <c r="AI764" s="27">
        <f>IF($A764="","",IF(COUNTIF($A$14:$A764,$A764)=1,COUNTIF($AI$13:AI763,"&gt;0")+1,""))</f>
        <v/>
      </c>
      <c r="AO764" s="27">
        <f>IF($A764="","",IF(AND(COUNTIFS($A$14:$A$1213,$A764,$F$14:$F$1213,"&gt;=0")=2,IFERROR(INDEX($M$14:$M$313,MATCH($A764,$H$14:$H$313,0)),"Yes")&lt;&gt;"Yes"),1,0))</f>
        <v/>
      </c>
    </row>
    <row r="765">
      <c r="A765" s="19">
        <f>IF('Enter messages'!A765="","",'Enter messages'!A765)</f>
        <v/>
      </c>
      <c r="B765" s="20">
        <f>IF('Enter messages'!B765="","",'Enter messages'!B765)</f>
        <v/>
      </c>
      <c r="C765" s="21">
        <f>IFERROR(AVERAGE(P765:T765),"")</f>
        <v/>
      </c>
      <c r="D765" s="29" t="n"/>
      <c r="E765" s="29" t="n"/>
      <c r="F765" s="30">
        <f>IF(AND(ISNUMBER($D765),ISNUMBER($E765),$E765&gt;0,$D765&lt;=$E765),$D765/$E765,"")</f>
        <v/>
      </c>
      <c r="P765" s="26" t="n"/>
      <c r="Q765" s="26" t="n"/>
      <c r="R765" s="26" t="n"/>
      <c r="S765" s="26" t="n"/>
      <c r="T765" s="26" t="n"/>
      <c r="V765" s="27">
        <f>IF(ISNUMBER($C765),COUNTIFS($A$14:$A$1213,$A765,$C$14:$C$1213,"&gt;"&amp;$C765)+(COUNTIFS($A$14:$A$1213,$A765,$C$14:$C$1213,"="&amp;$C765)+1)/2,"")</f>
        <v/>
      </c>
      <c r="W765" s="27">
        <f>IF(ISNUMBER($F765),COUNTIFS($A$14:$A$1213,$A765,$F$14:$F$1213,"&gt;"&amp;$F765)+(COUNTIFS($A$14:$A$1213,$A765,$F$14:$F$1213,"="&amp;$F765)+1)/2,"")</f>
        <v/>
      </c>
      <c r="X765" s="27">
        <f>IF(OR(NOT(ISNUMBER($V765)),$AO765=1),"",$V765-(COUNTIFS($A$14:$A$1213,$A765,$C$14:$C$1213,"&gt;=0")+1)/2)</f>
        <v/>
      </c>
      <c r="Y765" s="27">
        <f>IF(OR(NOT(ISNUMBER($W765)),$AO765=1),"",$W765-(COUNTIFS($A$14:$A$1213,$A765,$F$14:$F$1213,"&gt;=0")+1)/2)</f>
        <v/>
      </c>
      <c r="Z765" s="27">
        <f>IF(ISNUMBER($V765),$A765&amp;"|"&amp;$V765,"")</f>
        <v/>
      </c>
      <c r="AA765" s="27">
        <f>IF(ISNUMBER($W765),$A765&amp;"|"&amp;$W765,"")</f>
        <v/>
      </c>
      <c r="AB765" s="27">
        <f>IF(ISNUMBER($F765),$A765&amp;"|"&amp;$F765,"")</f>
        <v/>
      </c>
      <c r="AC765" s="27">
        <f>IF(ISNUMBER($P765),COUNTIFS($A$14:$A$1213,$A765,$P$14:$P$1213,"&gt;"&amp;$P765)+(COUNTIFS($A$14:$A$1213,$A765,$P$14:$P$1213,"="&amp;$P765)+1)/2,"")</f>
        <v/>
      </c>
      <c r="AD765" s="27">
        <f>IF(ISNUMBER($Q765),COUNTIFS($A$14:$A$1213,$A765,$Q$14:$Q$1213,"&gt;"&amp;$Q765)+(COUNTIFS($A$14:$A$1213,$A765,$Q$14:$Q$1213,"="&amp;$Q765)+1)/2,"")</f>
        <v/>
      </c>
      <c r="AE765" s="27">
        <f>IF(ISNUMBER($R765),COUNTIFS($A$14:$A$1213,$A765,$R$14:$R$1213,"&gt;"&amp;$R765)+(COUNTIFS($A$14:$A$1213,$A765,$R$14:$R$1213,"="&amp;$R765)+1)/2,"")</f>
        <v/>
      </c>
      <c r="AF765" s="27">
        <f>IF(ISNUMBER($S765),COUNTIFS($A$14:$A$1213,$A765,$S$14:$S$1213,"&gt;"&amp;$S765)+(COUNTIFS($A$14:$A$1213,$A765,$S$14:$S$1213,"="&amp;$S765)+1)/2,"")</f>
        <v/>
      </c>
      <c r="AG765" s="27">
        <f>IF(ISNUMBER($T765),COUNTIFS($A$14:$A$1213,$A765,$T$14:$T$1213,"&gt;"&amp;$T765)+(COUNTIFS($A$14:$A$1213,$A765,$T$14:$T$1213,"="&amp;$T765)+1)/2,"")</f>
        <v/>
      </c>
      <c r="AH765" s="27">
        <f>IF(COUNT($AC765:$AG765)&lt;2,"",IF(MAX($AC765:$AG765)=MIN($AC765:$AG765),0,1))</f>
        <v/>
      </c>
      <c r="AI765" s="27">
        <f>IF($A765="","",IF(COUNTIF($A$14:$A765,$A765)=1,COUNTIF($AI$13:AI764,"&gt;0")+1,""))</f>
        <v/>
      </c>
      <c r="AO765" s="27">
        <f>IF($A765="","",IF(AND(COUNTIFS($A$14:$A$1213,$A765,$F$14:$F$1213,"&gt;=0")=2,IFERROR(INDEX($M$14:$M$313,MATCH($A765,$H$14:$H$313,0)),"Yes")&lt;&gt;"Yes"),1,0))</f>
        <v/>
      </c>
    </row>
    <row r="766">
      <c r="A766" s="19">
        <f>IF('Enter messages'!A766="","",'Enter messages'!A766)</f>
        <v/>
      </c>
      <c r="B766" s="20">
        <f>IF('Enter messages'!B766="","",'Enter messages'!B766)</f>
        <v/>
      </c>
      <c r="C766" s="21">
        <f>IFERROR(AVERAGE(P766:T766),"")</f>
        <v/>
      </c>
      <c r="D766" s="29" t="n"/>
      <c r="E766" s="29" t="n"/>
      <c r="F766" s="30">
        <f>IF(AND(ISNUMBER($D766),ISNUMBER($E766),$E766&gt;0,$D766&lt;=$E766),$D766/$E766,"")</f>
        <v/>
      </c>
      <c r="P766" s="26" t="n"/>
      <c r="Q766" s="26" t="n"/>
      <c r="R766" s="26" t="n"/>
      <c r="S766" s="26" t="n"/>
      <c r="T766" s="26" t="n"/>
      <c r="V766" s="27">
        <f>IF(ISNUMBER($C766),COUNTIFS($A$14:$A$1213,$A766,$C$14:$C$1213,"&gt;"&amp;$C766)+(COUNTIFS($A$14:$A$1213,$A766,$C$14:$C$1213,"="&amp;$C766)+1)/2,"")</f>
        <v/>
      </c>
      <c r="W766" s="27">
        <f>IF(ISNUMBER($F766),COUNTIFS($A$14:$A$1213,$A766,$F$14:$F$1213,"&gt;"&amp;$F766)+(COUNTIFS($A$14:$A$1213,$A766,$F$14:$F$1213,"="&amp;$F766)+1)/2,"")</f>
        <v/>
      </c>
      <c r="X766" s="27">
        <f>IF(OR(NOT(ISNUMBER($V766)),$AO766=1),"",$V766-(COUNTIFS($A$14:$A$1213,$A766,$C$14:$C$1213,"&gt;=0")+1)/2)</f>
        <v/>
      </c>
      <c r="Y766" s="27">
        <f>IF(OR(NOT(ISNUMBER($W766)),$AO766=1),"",$W766-(COUNTIFS($A$14:$A$1213,$A766,$F$14:$F$1213,"&gt;=0")+1)/2)</f>
        <v/>
      </c>
      <c r="Z766" s="27">
        <f>IF(ISNUMBER($V766),$A766&amp;"|"&amp;$V766,"")</f>
        <v/>
      </c>
      <c r="AA766" s="27">
        <f>IF(ISNUMBER($W766),$A766&amp;"|"&amp;$W766,"")</f>
        <v/>
      </c>
      <c r="AB766" s="27">
        <f>IF(ISNUMBER($F766),$A766&amp;"|"&amp;$F766,"")</f>
        <v/>
      </c>
      <c r="AC766" s="27">
        <f>IF(ISNUMBER($P766),COUNTIFS($A$14:$A$1213,$A766,$P$14:$P$1213,"&gt;"&amp;$P766)+(COUNTIFS($A$14:$A$1213,$A766,$P$14:$P$1213,"="&amp;$P766)+1)/2,"")</f>
        <v/>
      </c>
      <c r="AD766" s="27">
        <f>IF(ISNUMBER($Q766),COUNTIFS($A$14:$A$1213,$A766,$Q$14:$Q$1213,"&gt;"&amp;$Q766)+(COUNTIFS($A$14:$A$1213,$A766,$Q$14:$Q$1213,"="&amp;$Q766)+1)/2,"")</f>
        <v/>
      </c>
      <c r="AE766" s="27">
        <f>IF(ISNUMBER($R766),COUNTIFS($A$14:$A$1213,$A766,$R$14:$R$1213,"&gt;"&amp;$R766)+(COUNTIFS($A$14:$A$1213,$A766,$R$14:$R$1213,"="&amp;$R766)+1)/2,"")</f>
        <v/>
      </c>
      <c r="AF766" s="27">
        <f>IF(ISNUMBER($S766),COUNTIFS($A$14:$A$1213,$A766,$S$14:$S$1213,"&gt;"&amp;$S766)+(COUNTIFS($A$14:$A$1213,$A766,$S$14:$S$1213,"="&amp;$S766)+1)/2,"")</f>
        <v/>
      </c>
      <c r="AG766" s="27">
        <f>IF(ISNUMBER($T766),COUNTIFS($A$14:$A$1213,$A766,$T$14:$T$1213,"&gt;"&amp;$T766)+(COUNTIFS($A$14:$A$1213,$A766,$T$14:$T$1213,"="&amp;$T766)+1)/2,"")</f>
        <v/>
      </c>
      <c r="AH766" s="27">
        <f>IF(COUNT($AC766:$AG766)&lt;2,"",IF(MAX($AC766:$AG766)=MIN($AC766:$AG766),0,1))</f>
        <v/>
      </c>
      <c r="AI766" s="27">
        <f>IF($A766="","",IF(COUNTIF($A$14:$A766,$A766)=1,COUNTIF($AI$13:AI765,"&gt;0")+1,""))</f>
        <v/>
      </c>
      <c r="AO766" s="27">
        <f>IF($A766="","",IF(AND(COUNTIFS($A$14:$A$1213,$A766,$F$14:$F$1213,"&gt;=0")=2,IFERROR(INDEX($M$14:$M$313,MATCH($A766,$H$14:$H$313,0)),"Yes")&lt;&gt;"Yes"),1,0))</f>
        <v/>
      </c>
    </row>
    <row r="767">
      <c r="A767" s="19">
        <f>IF('Enter messages'!A767="","",'Enter messages'!A767)</f>
        <v/>
      </c>
      <c r="B767" s="20">
        <f>IF('Enter messages'!B767="","",'Enter messages'!B767)</f>
        <v/>
      </c>
      <c r="C767" s="21">
        <f>IFERROR(AVERAGE(P767:T767),"")</f>
        <v/>
      </c>
      <c r="D767" s="29" t="n"/>
      <c r="E767" s="29" t="n"/>
      <c r="F767" s="30">
        <f>IF(AND(ISNUMBER($D767),ISNUMBER($E767),$E767&gt;0,$D767&lt;=$E767),$D767/$E767,"")</f>
        <v/>
      </c>
      <c r="P767" s="26" t="n"/>
      <c r="Q767" s="26" t="n"/>
      <c r="R767" s="26" t="n"/>
      <c r="S767" s="26" t="n"/>
      <c r="T767" s="26" t="n"/>
      <c r="V767" s="27">
        <f>IF(ISNUMBER($C767),COUNTIFS($A$14:$A$1213,$A767,$C$14:$C$1213,"&gt;"&amp;$C767)+(COUNTIFS($A$14:$A$1213,$A767,$C$14:$C$1213,"="&amp;$C767)+1)/2,"")</f>
        <v/>
      </c>
      <c r="W767" s="27">
        <f>IF(ISNUMBER($F767),COUNTIFS($A$14:$A$1213,$A767,$F$14:$F$1213,"&gt;"&amp;$F767)+(COUNTIFS($A$14:$A$1213,$A767,$F$14:$F$1213,"="&amp;$F767)+1)/2,"")</f>
        <v/>
      </c>
      <c r="X767" s="27">
        <f>IF(OR(NOT(ISNUMBER($V767)),$AO767=1),"",$V767-(COUNTIFS($A$14:$A$1213,$A767,$C$14:$C$1213,"&gt;=0")+1)/2)</f>
        <v/>
      </c>
      <c r="Y767" s="27">
        <f>IF(OR(NOT(ISNUMBER($W767)),$AO767=1),"",$W767-(COUNTIFS($A$14:$A$1213,$A767,$F$14:$F$1213,"&gt;=0")+1)/2)</f>
        <v/>
      </c>
      <c r="Z767" s="27">
        <f>IF(ISNUMBER($V767),$A767&amp;"|"&amp;$V767,"")</f>
        <v/>
      </c>
      <c r="AA767" s="27">
        <f>IF(ISNUMBER($W767),$A767&amp;"|"&amp;$W767,"")</f>
        <v/>
      </c>
      <c r="AB767" s="27">
        <f>IF(ISNUMBER($F767),$A767&amp;"|"&amp;$F767,"")</f>
        <v/>
      </c>
      <c r="AC767" s="27">
        <f>IF(ISNUMBER($P767),COUNTIFS($A$14:$A$1213,$A767,$P$14:$P$1213,"&gt;"&amp;$P767)+(COUNTIFS($A$14:$A$1213,$A767,$P$14:$P$1213,"="&amp;$P767)+1)/2,"")</f>
        <v/>
      </c>
      <c r="AD767" s="27">
        <f>IF(ISNUMBER($Q767),COUNTIFS($A$14:$A$1213,$A767,$Q$14:$Q$1213,"&gt;"&amp;$Q767)+(COUNTIFS($A$14:$A$1213,$A767,$Q$14:$Q$1213,"="&amp;$Q767)+1)/2,"")</f>
        <v/>
      </c>
      <c r="AE767" s="27">
        <f>IF(ISNUMBER($R767),COUNTIFS($A$14:$A$1213,$A767,$R$14:$R$1213,"&gt;"&amp;$R767)+(COUNTIFS($A$14:$A$1213,$A767,$R$14:$R$1213,"="&amp;$R767)+1)/2,"")</f>
        <v/>
      </c>
      <c r="AF767" s="27">
        <f>IF(ISNUMBER($S767),COUNTIFS($A$14:$A$1213,$A767,$S$14:$S$1213,"&gt;"&amp;$S767)+(COUNTIFS($A$14:$A$1213,$A767,$S$14:$S$1213,"="&amp;$S767)+1)/2,"")</f>
        <v/>
      </c>
      <c r="AG767" s="27">
        <f>IF(ISNUMBER($T767),COUNTIFS($A$14:$A$1213,$A767,$T$14:$T$1213,"&gt;"&amp;$T767)+(COUNTIFS($A$14:$A$1213,$A767,$T$14:$T$1213,"="&amp;$T767)+1)/2,"")</f>
        <v/>
      </c>
      <c r="AH767" s="27">
        <f>IF(COUNT($AC767:$AG767)&lt;2,"",IF(MAX($AC767:$AG767)=MIN($AC767:$AG767),0,1))</f>
        <v/>
      </c>
      <c r="AI767" s="27">
        <f>IF($A767="","",IF(COUNTIF($A$14:$A767,$A767)=1,COUNTIF($AI$13:AI766,"&gt;0")+1,""))</f>
        <v/>
      </c>
      <c r="AO767" s="27">
        <f>IF($A767="","",IF(AND(COUNTIFS($A$14:$A$1213,$A767,$F$14:$F$1213,"&gt;=0")=2,IFERROR(INDEX($M$14:$M$313,MATCH($A767,$H$14:$H$313,0)),"Yes")&lt;&gt;"Yes"),1,0))</f>
        <v/>
      </c>
    </row>
    <row r="768">
      <c r="A768" s="19">
        <f>IF('Enter messages'!A768="","",'Enter messages'!A768)</f>
        <v/>
      </c>
      <c r="B768" s="20">
        <f>IF('Enter messages'!B768="","",'Enter messages'!B768)</f>
        <v/>
      </c>
      <c r="C768" s="21">
        <f>IFERROR(AVERAGE(P768:T768),"")</f>
        <v/>
      </c>
      <c r="D768" s="29" t="n"/>
      <c r="E768" s="29" t="n"/>
      <c r="F768" s="30">
        <f>IF(AND(ISNUMBER($D768),ISNUMBER($E768),$E768&gt;0,$D768&lt;=$E768),$D768/$E768,"")</f>
        <v/>
      </c>
      <c r="P768" s="26" t="n"/>
      <c r="Q768" s="26" t="n"/>
      <c r="R768" s="26" t="n"/>
      <c r="S768" s="26" t="n"/>
      <c r="T768" s="26" t="n"/>
      <c r="V768" s="27">
        <f>IF(ISNUMBER($C768),COUNTIFS($A$14:$A$1213,$A768,$C$14:$C$1213,"&gt;"&amp;$C768)+(COUNTIFS($A$14:$A$1213,$A768,$C$14:$C$1213,"="&amp;$C768)+1)/2,"")</f>
        <v/>
      </c>
      <c r="W768" s="27">
        <f>IF(ISNUMBER($F768),COUNTIFS($A$14:$A$1213,$A768,$F$14:$F$1213,"&gt;"&amp;$F768)+(COUNTIFS($A$14:$A$1213,$A768,$F$14:$F$1213,"="&amp;$F768)+1)/2,"")</f>
        <v/>
      </c>
      <c r="X768" s="27">
        <f>IF(OR(NOT(ISNUMBER($V768)),$AO768=1),"",$V768-(COUNTIFS($A$14:$A$1213,$A768,$C$14:$C$1213,"&gt;=0")+1)/2)</f>
        <v/>
      </c>
      <c r="Y768" s="27">
        <f>IF(OR(NOT(ISNUMBER($W768)),$AO768=1),"",$W768-(COUNTIFS($A$14:$A$1213,$A768,$F$14:$F$1213,"&gt;=0")+1)/2)</f>
        <v/>
      </c>
      <c r="Z768" s="27">
        <f>IF(ISNUMBER($V768),$A768&amp;"|"&amp;$V768,"")</f>
        <v/>
      </c>
      <c r="AA768" s="27">
        <f>IF(ISNUMBER($W768),$A768&amp;"|"&amp;$W768,"")</f>
        <v/>
      </c>
      <c r="AB768" s="27">
        <f>IF(ISNUMBER($F768),$A768&amp;"|"&amp;$F768,"")</f>
        <v/>
      </c>
      <c r="AC768" s="27">
        <f>IF(ISNUMBER($P768),COUNTIFS($A$14:$A$1213,$A768,$P$14:$P$1213,"&gt;"&amp;$P768)+(COUNTIFS($A$14:$A$1213,$A768,$P$14:$P$1213,"="&amp;$P768)+1)/2,"")</f>
        <v/>
      </c>
      <c r="AD768" s="27">
        <f>IF(ISNUMBER($Q768),COUNTIFS($A$14:$A$1213,$A768,$Q$14:$Q$1213,"&gt;"&amp;$Q768)+(COUNTIFS($A$14:$A$1213,$A768,$Q$14:$Q$1213,"="&amp;$Q768)+1)/2,"")</f>
        <v/>
      </c>
      <c r="AE768" s="27">
        <f>IF(ISNUMBER($R768),COUNTIFS($A$14:$A$1213,$A768,$R$14:$R$1213,"&gt;"&amp;$R768)+(COUNTIFS($A$14:$A$1213,$A768,$R$14:$R$1213,"="&amp;$R768)+1)/2,"")</f>
        <v/>
      </c>
      <c r="AF768" s="27">
        <f>IF(ISNUMBER($S768),COUNTIFS($A$14:$A$1213,$A768,$S$14:$S$1213,"&gt;"&amp;$S768)+(COUNTIFS($A$14:$A$1213,$A768,$S$14:$S$1213,"="&amp;$S768)+1)/2,"")</f>
        <v/>
      </c>
      <c r="AG768" s="27">
        <f>IF(ISNUMBER($T768),COUNTIFS($A$14:$A$1213,$A768,$T$14:$T$1213,"&gt;"&amp;$T768)+(COUNTIFS($A$14:$A$1213,$A768,$T$14:$T$1213,"="&amp;$T768)+1)/2,"")</f>
        <v/>
      </c>
      <c r="AH768" s="27">
        <f>IF(COUNT($AC768:$AG768)&lt;2,"",IF(MAX($AC768:$AG768)=MIN($AC768:$AG768),0,1))</f>
        <v/>
      </c>
      <c r="AI768" s="27">
        <f>IF($A768="","",IF(COUNTIF($A$14:$A768,$A768)=1,COUNTIF($AI$13:AI767,"&gt;0")+1,""))</f>
        <v/>
      </c>
      <c r="AO768" s="27">
        <f>IF($A768="","",IF(AND(COUNTIFS($A$14:$A$1213,$A768,$F$14:$F$1213,"&gt;=0")=2,IFERROR(INDEX($M$14:$M$313,MATCH($A768,$H$14:$H$313,0)),"Yes")&lt;&gt;"Yes"),1,0))</f>
        <v/>
      </c>
    </row>
    <row r="769">
      <c r="A769" s="19">
        <f>IF('Enter messages'!A769="","",'Enter messages'!A769)</f>
        <v/>
      </c>
      <c r="B769" s="20">
        <f>IF('Enter messages'!B769="","",'Enter messages'!B769)</f>
        <v/>
      </c>
      <c r="C769" s="21">
        <f>IFERROR(AVERAGE(P769:T769),"")</f>
        <v/>
      </c>
      <c r="D769" s="29" t="n"/>
      <c r="E769" s="29" t="n"/>
      <c r="F769" s="30">
        <f>IF(AND(ISNUMBER($D769),ISNUMBER($E769),$E769&gt;0,$D769&lt;=$E769),$D769/$E769,"")</f>
        <v/>
      </c>
      <c r="P769" s="26" t="n"/>
      <c r="Q769" s="26" t="n"/>
      <c r="R769" s="26" t="n"/>
      <c r="S769" s="26" t="n"/>
      <c r="T769" s="26" t="n"/>
      <c r="V769" s="27">
        <f>IF(ISNUMBER($C769),COUNTIFS($A$14:$A$1213,$A769,$C$14:$C$1213,"&gt;"&amp;$C769)+(COUNTIFS($A$14:$A$1213,$A769,$C$14:$C$1213,"="&amp;$C769)+1)/2,"")</f>
        <v/>
      </c>
      <c r="W769" s="27">
        <f>IF(ISNUMBER($F769),COUNTIFS($A$14:$A$1213,$A769,$F$14:$F$1213,"&gt;"&amp;$F769)+(COUNTIFS($A$14:$A$1213,$A769,$F$14:$F$1213,"="&amp;$F769)+1)/2,"")</f>
        <v/>
      </c>
      <c r="X769" s="27">
        <f>IF(OR(NOT(ISNUMBER($V769)),$AO769=1),"",$V769-(COUNTIFS($A$14:$A$1213,$A769,$C$14:$C$1213,"&gt;=0")+1)/2)</f>
        <v/>
      </c>
      <c r="Y769" s="27">
        <f>IF(OR(NOT(ISNUMBER($W769)),$AO769=1),"",$W769-(COUNTIFS($A$14:$A$1213,$A769,$F$14:$F$1213,"&gt;=0")+1)/2)</f>
        <v/>
      </c>
      <c r="Z769" s="27">
        <f>IF(ISNUMBER($V769),$A769&amp;"|"&amp;$V769,"")</f>
        <v/>
      </c>
      <c r="AA769" s="27">
        <f>IF(ISNUMBER($W769),$A769&amp;"|"&amp;$W769,"")</f>
        <v/>
      </c>
      <c r="AB769" s="27">
        <f>IF(ISNUMBER($F769),$A769&amp;"|"&amp;$F769,"")</f>
        <v/>
      </c>
      <c r="AC769" s="27">
        <f>IF(ISNUMBER($P769),COUNTIFS($A$14:$A$1213,$A769,$P$14:$P$1213,"&gt;"&amp;$P769)+(COUNTIFS($A$14:$A$1213,$A769,$P$14:$P$1213,"="&amp;$P769)+1)/2,"")</f>
        <v/>
      </c>
      <c r="AD769" s="27">
        <f>IF(ISNUMBER($Q769),COUNTIFS($A$14:$A$1213,$A769,$Q$14:$Q$1213,"&gt;"&amp;$Q769)+(COUNTIFS($A$14:$A$1213,$A769,$Q$14:$Q$1213,"="&amp;$Q769)+1)/2,"")</f>
        <v/>
      </c>
      <c r="AE769" s="27">
        <f>IF(ISNUMBER($R769),COUNTIFS($A$14:$A$1213,$A769,$R$14:$R$1213,"&gt;"&amp;$R769)+(COUNTIFS($A$14:$A$1213,$A769,$R$14:$R$1213,"="&amp;$R769)+1)/2,"")</f>
        <v/>
      </c>
      <c r="AF769" s="27">
        <f>IF(ISNUMBER($S769),COUNTIFS($A$14:$A$1213,$A769,$S$14:$S$1213,"&gt;"&amp;$S769)+(COUNTIFS($A$14:$A$1213,$A769,$S$14:$S$1213,"="&amp;$S769)+1)/2,"")</f>
        <v/>
      </c>
      <c r="AG769" s="27">
        <f>IF(ISNUMBER($T769),COUNTIFS($A$14:$A$1213,$A769,$T$14:$T$1213,"&gt;"&amp;$T769)+(COUNTIFS($A$14:$A$1213,$A769,$T$14:$T$1213,"="&amp;$T769)+1)/2,"")</f>
        <v/>
      </c>
      <c r="AH769" s="27">
        <f>IF(COUNT($AC769:$AG769)&lt;2,"",IF(MAX($AC769:$AG769)=MIN($AC769:$AG769),0,1))</f>
        <v/>
      </c>
      <c r="AI769" s="27">
        <f>IF($A769="","",IF(COUNTIF($A$14:$A769,$A769)=1,COUNTIF($AI$13:AI768,"&gt;0")+1,""))</f>
        <v/>
      </c>
      <c r="AO769" s="27">
        <f>IF($A769="","",IF(AND(COUNTIFS($A$14:$A$1213,$A769,$F$14:$F$1213,"&gt;=0")=2,IFERROR(INDEX($M$14:$M$313,MATCH($A769,$H$14:$H$313,0)),"Yes")&lt;&gt;"Yes"),1,0))</f>
        <v/>
      </c>
    </row>
    <row r="770">
      <c r="A770" s="19">
        <f>IF('Enter messages'!A770="","",'Enter messages'!A770)</f>
        <v/>
      </c>
      <c r="B770" s="20">
        <f>IF('Enter messages'!B770="","",'Enter messages'!B770)</f>
        <v/>
      </c>
      <c r="C770" s="21">
        <f>IFERROR(AVERAGE(P770:T770),"")</f>
        <v/>
      </c>
      <c r="D770" s="29" t="n"/>
      <c r="E770" s="29" t="n"/>
      <c r="F770" s="30">
        <f>IF(AND(ISNUMBER($D770),ISNUMBER($E770),$E770&gt;0,$D770&lt;=$E770),$D770/$E770,"")</f>
        <v/>
      </c>
      <c r="P770" s="26" t="n"/>
      <c r="Q770" s="26" t="n"/>
      <c r="R770" s="26" t="n"/>
      <c r="S770" s="26" t="n"/>
      <c r="T770" s="26" t="n"/>
      <c r="V770" s="27">
        <f>IF(ISNUMBER($C770),COUNTIFS($A$14:$A$1213,$A770,$C$14:$C$1213,"&gt;"&amp;$C770)+(COUNTIFS($A$14:$A$1213,$A770,$C$14:$C$1213,"="&amp;$C770)+1)/2,"")</f>
        <v/>
      </c>
      <c r="W770" s="27">
        <f>IF(ISNUMBER($F770),COUNTIFS($A$14:$A$1213,$A770,$F$14:$F$1213,"&gt;"&amp;$F770)+(COUNTIFS($A$14:$A$1213,$A770,$F$14:$F$1213,"="&amp;$F770)+1)/2,"")</f>
        <v/>
      </c>
      <c r="X770" s="27">
        <f>IF(OR(NOT(ISNUMBER($V770)),$AO770=1),"",$V770-(COUNTIFS($A$14:$A$1213,$A770,$C$14:$C$1213,"&gt;=0")+1)/2)</f>
        <v/>
      </c>
      <c r="Y770" s="27">
        <f>IF(OR(NOT(ISNUMBER($W770)),$AO770=1),"",$W770-(COUNTIFS($A$14:$A$1213,$A770,$F$14:$F$1213,"&gt;=0")+1)/2)</f>
        <v/>
      </c>
      <c r="Z770" s="27">
        <f>IF(ISNUMBER($V770),$A770&amp;"|"&amp;$V770,"")</f>
        <v/>
      </c>
      <c r="AA770" s="27">
        <f>IF(ISNUMBER($W770),$A770&amp;"|"&amp;$W770,"")</f>
        <v/>
      </c>
      <c r="AB770" s="27">
        <f>IF(ISNUMBER($F770),$A770&amp;"|"&amp;$F770,"")</f>
        <v/>
      </c>
      <c r="AC770" s="27">
        <f>IF(ISNUMBER($P770),COUNTIFS($A$14:$A$1213,$A770,$P$14:$P$1213,"&gt;"&amp;$P770)+(COUNTIFS($A$14:$A$1213,$A770,$P$14:$P$1213,"="&amp;$P770)+1)/2,"")</f>
        <v/>
      </c>
      <c r="AD770" s="27">
        <f>IF(ISNUMBER($Q770),COUNTIFS($A$14:$A$1213,$A770,$Q$14:$Q$1213,"&gt;"&amp;$Q770)+(COUNTIFS($A$14:$A$1213,$A770,$Q$14:$Q$1213,"="&amp;$Q770)+1)/2,"")</f>
        <v/>
      </c>
      <c r="AE770" s="27">
        <f>IF(ISNUMBER($R770),COUNTIFS($A$14:$A$1213,$A770,$R$14:$R$1213,"&gt;"&amp;$R770)+(COUNTIFS($A$14:$A$1213,$A770,$R$14:$R$1213,"="&amp;$R770)+1)/2,"")</f>
        <v/>
      </c>
      <c r="AF770" s="27">
        <f>IF(ISNUMBER($S770),COUNTIFS($A$14:$A$1213,$A770,$S$14:$S$1213,"&gt;"&amp;$S770)+(COUNTIFS($A$14:$A$1213,$A770,$S$14:$S$1213,"="&amp;$S770)+1)/2,"")</f>
        <v/>
      </c>
      <c r="AG770" s="27">
        <f>IF(ISNUMBER($T770),COUNTIFS($A$14:$A$1213,$A770,$T$14:$T$1213,"&gt;"&amp;$T770)+(COUNTIFS($A$14:$A$1213,$A770,$T$14:$T$1213,"="&amp;$T770)+1)/2,"")</f>
        <v/>
      </c>
      <c r="AH770" s="27">
        <f>IF(COUNT($AC770:$AG770)&lt;2,"",IF(MAX($AC770:$AG770)=MIN($AC770:$AG770),0,1))</f>
        <v/>
      </c>
      <c r="AI770" s="27">
        <f>IF($A770="","",IF(COUNTIF($A$14:$A770,$A770)=1,COUNTIF($AI$13:AI769,"&gt;0")+1,""))</f>
        <v/>
      </c>
      <c r="AO770" s="27">
        <f>IF($A770="","",IF(AND(COUNTIFS($A$14:$A$1213,$A770,$F$14:$F$1213,"&gt;=0")=2,IFERROR(INDEX($M$14:$M$313,MATCH($A770,$H$14:$H$313,0)),"Yes")&lt;&gt;"Yes"),1,0))</f>
        <v/>
      </c>
    </row>
    <row r="771">
      <c r="A771" s="19">
        <f>IF('Enter messages'!A771="","",'Enter messages'!A771)</f>
        <v/>
      </c>
      <c r="B771" s="20">
        <f>IF('Enter messages'!B771="","",'Enter messages'!B771)</f>
        <v/>
      </c>
      <c r="C771" s="21">
        <f>IFERROR(AVERAGE(P771:T771),"")</f>
        <v/>
      </c>
      <c r="D771" s="29" t="n"/>
      <c r="E771" s="29" t="n"/>
      <c r="F771" s="30">
        <f>IF(AND(ISNUMBER($D771),ISNUMBER($E771),$E771&gt;0,$D771&lt;=$E771),$D771/$E771,"")</f>
        <v/>
      </c>
      <c r="P771" s="26" t="n"/>
      <c r="Q771" s="26" t="n"/>
      <c r="R771" s="26" t="n"/>
      <c r="S771" s="26" t="n"/>
      <c r="T771" s="26" t="n"/>
      <c r="V771" s="27">
        <f>IF(ISNUMBER($C771),COUNTIFS($A$14:$A$1213,$A771,$C$14:$C$1213,"&gt;"&amp;$C771)+(COUNTIFS($A$14:$A$1213,$A771,$C$14:$C$1213,"="&amp;$C771)+1)/2,"")</f>
        <v/>
      </c>
      <c r="W771" s="27">
        <f>IF(ISNUMBER($F771),COUNTIFS($A$14:$A$1213,$A771,$F$14:$F$1213,"&gt;"&amp;$F771)+(COUNTIFS($A$14:$A$1213,$A771,$F$14:$F$1213,"="&amp;$F771)+1)/2,"")</f>
        <v/>
      </c>
      <c r="X771" s="27">
        <f>IF(OR(NOT(ISNUMBER($V771)),$AO771=1),"",$V771-(COUNTIFS($A$14:$A$1213,$A771,$C$14:$C$1213,"&gt;=0")+1)/2)</f>
        <v/>
      </c>
      <c r="Y771" s="27">
        <f>IF(OR(NOT(ISNUMBER($W771)),$AO771=1),"",$W771-(COUNTIFS($A$14:$A$1213,$A771,$F$14:$F$1213,"&gt;=0")+1)/2)</f>
        <v/>
      </c>
      <c r="Z771" s="27">
        <f>IF(ISNUMBER($V771),$A771&amp;"|"&amp;$V771,"")</f>
        <v/>
      </c>
      <c r="AA771" s="27">
        <f>IF(ISNUMBER($W771),$A771&amp;"|"&amp;$W771,"")</f>
        <v/>
      </c>
      <c r="AB771" s="27">
        <f>IF(ISNUMBER($F771),$A771&amp;"|"&amp;$F771,"")</f>
        <v/>
      </c>
      <c r="AC771" s="27">
        <f>IF(ISNUMBER($P771),COUNTIFS($A$14:$A$1213,$A771,$P$14:$P$1213,"&gt;"&amp;$P771)+(COUNTIFS($A$14:$A$1213,$A771,$P$14:$P$1213,"="&amp;$P771)+1)/2,"")</f>
        <v/>
      </c>
      <c r="AD771" s="27">
        <f>IF(ISNUMBER($Q771),COUNTIFS($A$14:$A$1213,$A771,$Q$14:$Q$1213,"&gt;"&amp;$Q771)+(COUNTIFS($A$14:$A$1213,$A771,$Q$14:$Q$1213,"="&amp;$Q771)+1)/2,"")</f>
        <v/>
      </c>
      <c r="AE771" s="27">
        <f>IF(ISNUMBER($R771),COUNTIFS($A$14:$A$1213,$A771,$R$14:$R$1213,"&gt;"&amp;$R771)+(COUNTIFS($A$14:$A$1213,$A771,$R$14:$R$1213,"="&amp;$R771)+1)/2,"")</f>
        <v/>
      </c>
      <c r="AF771" s="27">
        <f>IF(ISNUMBER($S771),COUNTIFS($A$14:$A$1213,$A771,$S$14:$S$1213,"&gt;"&amp;$S771)+(COUNTIFS($A$14:$A$1213,$A771,$S$14:$S$1213,"="&amp;$S771)+1)/2,"")</f>
        <v/>
      </c>
      <c r="AG771" s="27">
        <f>IF(ISNUMBER($T771),COUNTIFS($A$14:$A$1213,$A771,$T$14:$T$1213,"&gt;"&amp;$T771)+(COUNTIFS($A$14:$A$1213,$A771,$T$14:$T$1213,"="&amp;$T771)+1)/2,"")</f>
        <v/>
      </c>
      <c r="AH771" s="27">
        <f>IF(COUNT($AC771:$AG771)&lt;2,"",IF(MAX($AC771:$AG771)=MIN($AC771:$AG771),0,1))</f>
        <v/>
      </c>
      <c r="AI771" s="27">
        <f>IF($A771="","",IF(COUNTIF($A$14:$A771,$A771)=1,COUNTIF($AI$13:AI770,"&gt;0")+1,""))</f>
        <v/>
      </c>
      <c r="AO771" s="27">
        <f>IF($A771="","",IF(AND(COUNTIFS($A$14:$A$1213,$A771,$F$14:$F$1213,"&gt;=0")=2,IFERROR(INDEX($M$14:$M$313,MATCH($A771,$H$14:$H$313,0)),"Yes")&lt;&gt;"Yes"),1,0))</f>
        <v/>
      </c>
    </row>
    <row r="772">
      <c r="A772" s="19">
        <f>IF('Enter messages'!A772="","",'Enter messages'!A772)</f>
        <v/>
      </c>
      <c r="B772" s="20">
        <f>IF('Enter messages'!B772="","",'Enter messages'!B772)</f>
        <v/>
      </c>
      <c r="C772" s="21">
        <f>IFERROR(AVERAGE(P772:T772),"")</f>
        <v/>
      </c>
      <c r="D772" s="29" t="n"/>
      <c r="E772" s="29" t="n"/>
      <c r="F772" s="30">
        <f>IF(AND(ISNUMBER($D772),ISNUMBER($E772),$E772&gt;0,$D772&lt;=$E772),$D772/$E772,"")</f>
        <v/>
      </c>
      <c r="P772" s="26" t="n"/>
      <c r="Q772" s="26" t="n"/>
      <c r="R772" s="26" t="n"/>
      <c r="S772" s="26" t="n"/>
      <c r="T772" s="26" t="n"/>
      <c r="V772" s="27">
        <f>IF(ISNUMBER($C772),COUNTIFS($A$14:$A$1213,$A772,$C$14:$C$1213,"&gt;"&amp;$C772)+(COUNTIFS($A$14:$A$1213,$A772,$C$14:$C$1213,"="&amp;$C772)+1)/2,"")</f>
        <v/>
      </c>
      <c r="W772" s="27">
        <f>IF(ISNUMBER($F772),COUNTIFS($A$14:$A$1213,$A772,$F$14:$F$1213,"&gt;"&amp;$F772)+(COUNTIFS($A$14:$A$1213,$A772,$F$14:$F$1213,"="&amp;$F772)+1)/2,"")</f>
        <v/>
      </c>
      <c r="X772" s="27">
        <f>IF(OR(NOT(ISNUMBER($V772)),$AO772=1),"",$V772-(COUNTIFS($A$14:$A$1213,$A772,$C$14:$C$1213,"&gt;=0")+1)/2)</f>
        <v/>
      </c>
      <c r="Y772" s="27">
        <f>IF(OR(NOT(ISNUMBER($W772)),$AO772=1),"",$W772-(COUNTIFS($A$14:$A$1213,$A772,$F$14:$F$1213,"&gt;=0")+1)/2)</f>
        <v/>
      </c>
      <c r="Z772" s="27">
        <f>IF(ISNUMBER($V772),$A772&amp;"|"&amp;$V772,"")</f>
        <v/>
      </c>
      <c r="AA772" s="27">
        <f>IF(ISNUMBER($W772),$A772&amp;"|"&amp;$W772,"")</f>
        <v/>
      </c>
      <c r="AB772" s="27">
        <f>IF(ISNUMBER($F772),$A772&amp;"|"&amp;$F772,"")</f>
        <v/>
      </c>
      <c r="AC772" s="27">
        <f>IF(ISNUMBER($P772),COUNTIFS($A$14:$A$1213,$A772,$P$14:$P$1213,"&gt;"&amp;$P772)+(COUNTIFS($A$14:$A$1213,$A772,$P$14:$P$1213,"="&amp;$P772)+1)/2,"")</f>
        <v/>
      </c>
      <c r="AD772" s="27">
        <f>IF(ISNUMBER($Q772),COUNTIFS($A$14:$A$1213,$A772,$Q$14:$Q$1213,"&gt;"&amp;$Q772)+(COUNTIFS($A$14:$A$1213,$A772,$Q$14:$Q$1213,"="&amp;$Q772)+1)/2,"")</f>
        <v/>
      </c>
      <c r="AE772" s="27">
        <f>IF(ISNUMBER($R772),COUNTIFS($A$14:$A$1213,$A772,$R$14:$R$1213,"&gt;"&amp;$R772)+(COUNTIFS($A$14:$A$1213,$A772,$R$14:$R$1213,"="&amp;$R772)+1)/2,"")</f>
        <v/>
      </c>
      <c r="AF772" s="27">
        <f>IF(ISNUMBER($S772),COUNTIFS($A$14:$A$1213,$A772,$S$14:$S$1213,"&gt;"&amp;$S772)+(COUNTIFS($A$14:$A$1213,$A772,$S$14:$S$1213,"="&amp;$S772)+1)/2,"")</f>
        <v/>
      </c>
      <c r="AG772" s="27">
        <f>IF(ISNUMBER($T772),COUNTIFS($A$14:$A$1213,$A772,$T$14:$T$1213,"&gt;"&amp;$T772)+(COUNTIFS($A$14:$A$1213,$A772,$T$14:$T$1213,"="&amp;$T772)+1)/2,"")</f>
        <v/>
      </c>
      <c r="AH772" s="27">
        <f>IF(COUNT($AC772:$AG772)&lt;2,"",IF(MAX($AC772:$AG772)=MIN($AC772:$AG772),0,1))</f>
        <v/>
      </c>
      <c r="AI772" s="27">
        <f>IF($A772="","",IF(COUNTIF($A$14:$A772,$A772)=1,COUNTIF($AI$13:AI771,"&gt;0")+1,""))</f>
        <v/>
      </c>
      <c r="AO772" s="27">
        <f>IF($A772="","",IF(AND(COUNTIFS($A$14:$A$1213,$A772,$F$14:$F$1213,"&gt;=0")=2,IFERROR(INDEX($M$14:$M$313,MATCH($A772,$H$14:$H$313,0)),"Yes")&lt;&gt;"Yes"),1,0))</f>
        <v/>
      </c>
    </row>
    <row r="773">
      <c r="A773" s="19">
        <f>IF('Enter messages'!A773="","",'Enter messages'!A773)</f>
        <v/>
      </c>
      <c r="B773" s="20">
        <f>IF('Enter messages'!B773="","",'Enter messages'!B773)</f>
        <v/>
      </c>
      <c r="C773" s="21">
        <f>IFERROR(AVERAGE(P773:T773),"")</f>
        <v/>
      </c>
      <c r="D773" s="29" t="n"/>
      <c r="E773" s="29" t="n"/>
      <c r="F773" s="30">
        <f>IF(AND(ISNUMBER($D773),ISNUMBER($E773),$E773&gt;0,$D773&lt;=$E773),$D773/$E773,"")</f>
        <v/>
      </c>
      <c r="P773" s="26" t="n"/>
      <c r="Q773" s="26" t="n"/>
      <c r="R773" s="26" t="n"/>
      <c r="S773" s="26" t="n"/>
      <c r="T773" s="26" t="n"/>
      <c r="V773" s="27">
        <f>IF(ISNUMBER($C773),COUNTIFS($A$14:$A$1213,$A773,$C$14:$C$1213,"&gt;"&amp;$C773)+(COUNTIFS($A$14:$A$1213,$A773,$C$14:$C$1213,"="&amp;$C773)+1)/2,"")</f>
        <v/>
      </c>
      <c r="W773" s="27">
        <f>IF(ISNUMBER($F773),COUNTIFS($A$14:$A$1213,$A773,$F$14:$F$1213,"&gt;"&amp;$F773)+(COUNTIFS($A$14:$A$1213,$A773,$F$14:$F$1213,"="&amp;$F773)+1)/2,"")</f>
        <v/>
      </c>
      <c r="X773" s="27">
        <f>IF(OR(NOT(ISNUMBER($V773)),$AO773=1),"",$V773-(COUNTIFS($A$14:$A$1213,$A773,$C$14:$C$1213,"&gt;=0")+1)/2)</f>
        <v/>
      </c>
      <c r="Y773" s="27">
        <f>IF(OR(NOT(ISNUMBER($W773)),$AO773=1),"",$W773-(COUNTIFS($A$14:$A$1213,$A773,$F$14:$F$1213,"&gt;=0")+1)/2)</f>
        <v/>
      </c>
      <c r="Z773" s="27">
        <f>IF(ISNUMBER($V773),$A773&amp;"|"&amp;$V773,"")</f>
        <v/>
      </c>
      <c r="AA773" s="27">
        <f>IF(ISNUMBER($W773),$A773&amp;"|"&amp;$W773,"")</f>
        <v/>
      </c>
      <c r="AB773" s="27">
        <f>IF(ISNUMBER($F773),$A773&amp;"|"&amp;$F773,"")</f>
        <v/>
      </c>
      <c r="AC773" s="27">
        <f>IF(ISNUMBER($P773),COUNTIFS($A$14:$A$1213,$A773,$P$14:$P$1213,"&gt;"&amp;$P773)+(COUNTIFS($A$14:$A$1213,$A773,$P$14:$P$1213,"="&amp;$P773)+1)/2,"")</f>
        <v/>
      </c>
      <c r="AD773" s="27">
        <f>IF(ISNUMBER($Q773),COUNTIFS($A$14:$A$1213,$A773,$Q$14:$Q$1213,"&gt;"&amp;$Q773)+(COUNTIFS($A$14:$A$1213,$A773,$Q$14:$Q$1213,"="&amp;$Q773)+1)/2,"")</f>
        <v/>
      </c>
      <c r="AE773" s="27">
        <f>IF(ISNUMBER($R773),COUNTIFS($A$14:$A$1213,$A773,$R$14:$R$1213,"&gt;"&amp;$R773)+(COUNTIFS($A$14:$A$1213,$A773,$R$14:$R$1213,"="&amp;$R773)+1)/2,"")</f>
        <v/>
      </c>
      <c r="AF773" s="27">
        <f>IF(ISNUMBER($S773),COUNTIFS($A$14:$A$1213,$A773,$S$14:$S$1213,"&gt;"&amp;$S773)+(COUNTIFS($A$14:$A$1213,$A773,$S$14:$S$1213,"="&amp;$S773)+1)/2,"")</f>
        <v/>
      </c>
      <c r="AG773" s="27">
        <f>IF(ISNUMBER($T773),COUNTIFS($A$14:$A$1213,$A773,$T$14:$T$1213,"&gt;"&amp;$T773)+(COUNTIFS($A$14:$A$1213,$A773,$T$14:$T$1213,"="&amp;$T773)+1)/2,"")</f>
        <v/>
      </c>
      <c r="AH773" s="27">
        <f>IF(COUNT($AC773:$AG773)&lt;2,"",IF(MAX($AC773:$AG773)=MIN($AC773:$AG773),0,1))</f>
        <v/>
      </c>
      <c r="AI773" s="27">
        <f>IF($A773="","",IF(COUNTIF($A$14:$A773,$A773)=1,COUNTIF($AI$13:AI772,"&gt;0")+1,""))</f>
        <v/>
      </c>
      <c r="AO773" s="27">
        <f>IF($A773="","",IF(AND(COUNTIFS($A$14:$A$1213,$A773,$F$14:$F$1213,"&gt;=0")=2,IFERROR(INDEX($M$14:$M$313,MATCH($A773,$H$14:$H$313,0)),"Yes")&lt;&gt;"Yes"),1,0))</f>
        <v/>
      </c>
    </row>
    <row r="774">
      <c r="A774" s="19">
        <f>IF('Enter messages'!A774="","",'Enter messages'!A774)</f>
        <v/>
      </c>
      <c r="B774" s="20">
        <f>IF('Enter messages'!B774="","",'Enter messages'!B774)</f>
        <v/>
      </c>
      <c r="C774" s="21">
        <f>IFERROR(AVERAGE(P774:T774),"")</f>
        <v/>
      </c>
      <c r="D774" s="29" t="n"/>
      <c r="E774" s="29" t="n"/>
      <c r="F774" s="30">
        <f>IF(AND(ISNUMBER($D774),ISNUMBER($E774),$E774&gt;0,$D774&lt;=$E774),$D774/$E774,"")</f>
        <v/>
      </c>
      <c r="P774" s="26" t="n"/>
      <c r="Q774" s="26" t="n"/>
      <c r="R774" s="26" t="n"/>
      <c r="S774" s="26" t="n"/>
      <c r="T774" s="26" t="n"/>
      <c r="V774" s="27">
        <f>IF(ISNUMBER($C774),COUNTIFS($A$14:$A$1213,$A774,$C$14:$C$1213,"&gt;"&amp;$C774)+(COUNTIFS($A$14:$A$1213,$A774,$C$14:$C$1213,"="&amp;$C774)+1)/2,"")</f>
        <v/>
      </c>
      <c r="W774" s="27">
        <f>IF(ISNUMBER($F774),COUNTIFS($A$14:$A$1213,$A774,$F$14:$F$1213,"&gt;"&amp;$F774)+(COUNTIFS($A$14:$A$1213,$A774,$F$14:$F$1213,"="&amp;$F774)+1)/2,"")</f>
        <v/>
      </c>
      <c r="X774" s="27">
        <f>IF(OR(NOT(ISNUMBER($V774)),$AO774=1),"",$V774-(COUNTIFS($A$14:$A$1213,$A774,$C$14:$C$1213,"&gt;=0")+1)/2)</f>
        <v/>
      </c>
      <c r="Y774" s="27">
        <f>IF(OR(NOT(ISNUMBER($W774)),$AO774=1),"",$W774-(COUNTIFS($A$14:$A$1213,$A774,$F$14:$F$1213,"&gt;=0")+1)/2)</f>
        <v/>
      </c>
      <c r="Z774" s="27">
        <f>IF(ISNUMBER($V774),$A774&amp;"|"&amp;$V774,"")</f>
        <v/>
      </c>
      <c r="AA774" s="27">
        <f>IF(ISNUMBER($W774),$A774&amp;"|"&amp;$W774,"")</f>
        <v/>
      </c>
      <c r="AB774" s="27">
        <f>IF(ISNUMBER($F774),$A774&amp;"|"&amp;$F774,"")</f>
        <v/>
      </c>
      <c r="AC774" s="27">
        <f>IF(ISNUMBER($P774),COUNTIFS($A$14:$A$1213,$A774,$P$14:$P$1213,"&gt;"&amp;$P774)+(COUNTIFS($A$14:$A$1213,$A774,$P$14:$P$1213,"="&amp;$P774)+1)/2,"")</f>
        <v/>
      </c>
      <c r="AD774" s="27">
        <f>IF(ISNUMBER($Q774),COUNTIFS($A$14:$A$1213,$A774,$Q$14:$Q$1213,"&gt;"&amp;$Q774)+(COUNTIFS($A$14:$A$1213,$A774,$Q$14:$Q$1213,"="&amp;$Q774)+1)/2,"")</f>
        <v/>
      </c>
      <c r="AE774" s="27">
        <f>IF(ISNUMBER($R774),COUNTIFS($A$14:$A$1213,$A774,$R$14:$R$1213,"&gt;"&amp;$R774)+(COUNTIFS($A$14:$A$1213,$A774,$R$14:$R$1213,"="&amp;$R774)+1)/2,"")</f>
        <v/>
      </c>
      <c r="AF774" s="27">
        <f>IF(ISNUMBER($S774),COUNTIFS($A$14:$A$1213,$A774,$S$14:$S$1213,"&gt;"&amp;$S774)+(COUNTIFS($A$14:$A$1213,$A774,$S$14:$S$1213,"="&amp;$S774)+1)/2,"")</f>
        <v/>
      </c>
      <c r="AG774" s="27">
        <f>IF(ISNUMBER($T774),COUNTIFS($A$14:$A$1213,$A774,$T$14:$T$1213,"&gt;"&amp;$T774)+(COUNTIFS($A$14:$A$1213,$A774,$T$14:$T$1213,"="&amp;$T774)+1)/2,"")</f>
        <v/>
      </c>
      <c r="AH774" s="27">
        <f>IF(COUNT($AC774:$AG774)&lt;2,"",IF(MAX($AC774:$AG774)=MIN($AC774:$AG774),0,1))</f>
        <v/>
      </c>
      <c r="AI774" s="27">
        <f>IF($A774="","",IF(COUNTIF($A$14:$A774,$A774)=1,COUNTIF($AI$13:AI773,"&gt;0")+1,""))</f>
        <v/>
      </c>
      <c r="AO774" s="27">
        <f>IF($A774="","",IF(AND(COUNTIFS($A$14:$A$1213,$A774,$F$14:$F$1213,"&gt;=0")=2,IFERROR(INDEX($M$14:$M$313,MATCH($A774,$H$14:$H$313,0)),"Yes")&lt;&gt;"Yes"),1,0))</f>
        <v/>
      </c>
    </row>
    <row r="775">
      <c r="A775" s="19">
        <f>IF('Enter messages'!A775="","",'Enter messages'!A775)</f>
        <v/>
      </c>
      <c r="B775" s="20">
        <f>IF('Enter messages'!B775="","",'Enter messages'!B775)</f>
        <v/>
      </c>
      <c r="C775" s="21">
        <f>IFERROR(AVERAGE(P775:T775),"")</f>
        <v/>
      </c>
      <c r="D775" s="29" t="n"/>
      <c r="E775" s="29" t="n"/>
      <c r="F775" s="30">
        <f>IF(AND(ISNUMBER($D775),ISNUMBER($E775),$E775&gt;0,$D775&lt;=$E775),$D775/$E775,"")</f>
        <v/>
      </c>
      <c r="P775" s="26" t="n"/>
      <c r="Q775" s="26" t="n"/>
      <c r="R775" s="26" t="n"/>
      <c r="S775" s="26" t="n"/>
      <c r="T775" s="26" t="n"/>
      <c r="V775" s="27">
        <f>IF(ISNUMBER($C775),COUNTIFS($A$14:$A$1213,$A775,$C$14:$C$1213,"&gt;"&amp;$C775)+(COUNTIFS($A$14:$A$1213,$A775,$C$14:$C$1213,"="&amp;$C775)+1)/2,"")</f>
        <v/>
      </c>
      <c r="W775" s="27">
        <f>IF(ISNUMBER($F775),COUNTIFS($A$14:$A$1213,$A775,$F$14:$F$1213,"&gt;"&amp;$F775)+(COUNTIFS($A$14:$A$1213,$A775,$F$14:$F$1213,"="&amp;$F775)+1)/2,"")</f>
        <v/>
      </c>
      <c r="X775" s="27">
        <f>IF(OR(NOT(ISNUMBER($V775)),$AO775=1),"",$V775-(COUNTIFS($A$14:$A$1213,$A775,$C$14:$C$1213,"&gt;=0")+1)/2)</f>
        <v/>
      </c>
      <c r="Y775" s="27">
        <f>IF(OR(NOT(ISNUMBER($W775)),$AO775=1),"",$W775-(COUNTIFS($A$14:$A$1213,$A775,$F$14:$F$1213,"&gt;=0")+1)/2)</f>
        <v/>
      </c>
      <c r="Z775" s="27">
        <f>IF(ISNUMBER($V775),$A775&amp;"|"&amp;$V775,"")</f>
        <v/>
      </c>
      <c r="AA775" s="27">
        <f>IF(ISNUMBER($W775),$A775&amp;"|"&amp;$W775,"")</f>
        <v/>
      </c>
      <c r="AB775" s="27">
        <f>IF(ISNUMBER($F775),$A775&amp;"|"&amp;$F775,"")</f>
        <v/>
      </c>
      <c r="AC775" s="27">
        <f>IF(ISNUMBER($P775),COUNTIFS($A$14:$A$1213,$A775,$P$14:$P$1213,"&gt;"&amp;$P775)+(COUNTIFS($A$14:$A$1213,$A775,$P$14:$P$1213,"="&amp;$P775)+1)/2,"")</f>
        <v/>
      </c>
      <c r="AD775" s="27">
        <f>IF(ISNUMBER($Q775),COUNTIFS($A$14:$A$1213,$A775,$Q$14:$Q$1213,"&gt;"&amp;$Q775)+(COUNTIFS($A$14:$A$1213,$A775,$Q$14:$Q$1213,"="&amp;$Q775)+1)/2,"")</f>
        <v/>
      </c>
      <c r="AE775" s="27">
        <f>IF(ISNUMBER($R775),COUNTIFS($A$14:$A$1213,$A775,$R$14:$R$1213,"&gt;"&amp;$R775)+(COUNTIFS($A$14:$A$1213,$A775,$R$14:$R$1213,"="&amp;$R775)+1)/2,"")</f>
        <v/>
      </c>
      <c r="AF775" s="27">
        <f>IF(ISNUMBER($S775),COUNTIFS($A$14:$A$1213,$A775,$S$14:$S$1213,"&gt;"&amp;$S775)+(COUNTIFS($A$14:$A$1213,$A775,$S$14:$S$1213,"="&amp;$S775)+1)/2,"")</f>
        <v/>
      </c>
      <c r="AG775" s="27">
        <f>IF(ISNUMBER($T775),COUNTIFS($A$14:$A$1213,$A775,$T$14:$T$1213,"&gt;"&amp;$T775)+(COUNTIFS($A$14:$A$1213,$A775,$T$14:$T$1213,"="&amp;$T775)+1)/2,"")</f>
        <v/>
      </c>
      <c r="AH775" s="27">
        <f>IF(COUNT($AC775:$AG775)&lt;2,"",IF(MAX($AC775:$AG775)=MIN($AC775:$AG775),0,1))</f>
        <v/>
      </c>
      <c r="AI775" s="27">
        <f>IF($A775="","",IF(COUNTIF($A$14:$A775,$A775)=1,COUNTIF($AI$13:AI774,"&gt;0")+1,""))</f>
        <v/>
      </c>
      <c r="AO775" s="27">
        <f>IF($A775="","",IF(AND(COUNTIFS($A$14:$A$1213,$A775,$F$14:$F$1213,"&gt;=0")=2,IFERROR(INDEX($M$14:$M$313,MATCH($A775,$H$14:$H$313,0)),"Yes")&lt;&gt;"Yes"),1,0))</f>
        <v/>
      </c>
    </row>
    <row r="776">
      <c r="A776" s="19">
        <f>IF('Enter messages'!A776="","",'Enter messages'!A776)</f>
        <v/>
      </c>
      <c r="B776" s="20">
        <f>IF('Enter messages'!B776="","",'Enter messages'!B776)</f>
        <v/>
      </c>
      <c r="C776" s="21">
        <f>IFERROR(AVERAGE(P776:T776),"")</f>
        <v/>
      </c>
      <c r="D776" s="29" t="n"/>
      <c r="E776" s="29" t="n"/>
      <c r="F776" s="30">
        <f>IF(AND(ISNUMBER($D776),ISNUMBER($E776),$E776&gt;0,$D776&lt;=$E776),$D776/$E776,"")</f>
        <v/>
      </c>
      <c r="P776" s="26" t="n"/>
      <c r="Q776" s="26" t="n"/>
      <c r="R776" s="26" t="n"/>
      <c r="S776" s="26" t="n"/>
      <c r="T776" s="26" t="n"/>
      <c r="V776" s="27">
        <f>IF(ISNUMBER($C776),COUNTIFS($A$14:$A$1213,$A776,$C$14:$C$1213,"&gt;"&amp;$C776)+(COUNTIFS($A$14:$A$1213,$A776,$C$14:$C$1213,"="&amp;$C776)+1)/2,"")</f>
        <v/>
      </c>
      <c r="W776" s="27">
        <f>IF(ISNUMBER($F776),COUNTIFS($A$14:$A$1213,$A776,$F$14:$F$1213,"&gt;"&amp;$F776)+(COUNTIFS($A$14:$A$1213,$A776,$F$14:$F$1213,"="&amp;$F776)+1)/2,"")</f>
        <v/>
      </c>
      <c r="X776" s="27">
        <f>IF(OR(NOT(ISNUMBER($V776)),$AO776=1),"",$V776-(COUNTIFS($A$14:$A$1213,$A776,$C$14:$C$1213,"&gt;=0")+1)/2)</f>
        <v/>
      </c>
      <c r="Y776" s="27">
        <f>IF(OR(NOT(ISNUMBER($W776)),$AO776=1),"",$W776-(COUNTIFS($A$14:$A$1213,$A776,$F$14:$F$1213,"&gt;=0")+1)/2)</f>
        <v/>
      </c>
      <c r="Z776" s="27">
        <f>IF(ISNUMBER($V776),$A776&amp;"|"&amp;$V776,"")</f>
        <v/>
      </c>
      <c r="AA776" s="27">
        <f>IF(ISNUMBER($W776),$A776&amp;"|"&amp;$W776,"")</f>
        <v/>
      </c>
      <c r="AB776" s="27">
        <f>IF(ISNUMBER($F776),$A776&amp;"|"&amp;$F776,"")</f>
        <v/>
      </c>
      <c r="AC776" s="27">
        <f>IF(ISNUMBER($P776),COUNTIFS($A$14:$A$1213,$A776,$P$14:$P$1213,"&gt;"&amp;$P776)+(COUNTIFS($A$14:$A$1213,$A776,$P$14:$P$1213,"="&amp;$P776)+1)/2,"")</f>
        <v/>
      </c>
      <c r="AD776" s="27">
        <f>IF(ISNUMBER($Q776),COUNTIFS($A$14:$A$1213,$A776,$Q$14:$Q$1213,"&gt;"&amp;$Q776)+(COUNTIFS($A$14:$A$1213,$A776,$Q$14:$Q$1213,"="&amp;$Q776)+1)/2,"")</f>
        <v/>
      </c>
      <c r="AE776" s="27">
        <f>IF(ISNUMBER($R776),COUNTIFS($A$14:$A$1213,$A776,$R$14:$R$1213,"&gt;"&amp;$R776)+(COUNTIFS($A$14:$A$1213,$A776,$R$14:$R$1213,"="&amp;$R776)+1)/2,"")</f>
        <v/>
      </c>
      <c r="AF776" s="27">
        <f>IF(ISNUMBER($S776),COUNTIFS($A$14:$A$1213,$A776,$S$14:$S$1213,"&gt;"&amp;$S776)+(COUNTIFS($A$14:$A$1213,$A776,$S$14:$S$1213,"="&amp;$S776)+1)/2,"")</f>
        <v/>
      </c>
      <c r="AG776" s="27">
        <f>IF(ISNUMBER($T776),COUNTIFS($A$14:$A$1213,$A776,$T$14:$T$1213,"&gt;"&amp;$T776)+(COUNTIFS($A$14:$A$1213,$A776,$T$14:$T$1213,"="&amp;$T776)+1)/2,"")</f>
        <v/>
      </c>
      <c r="AH776" s="27">
        <f>IF(COUNT($AC776:$AG776)&lt;2,"",IF(MAX($AC776:$AG776)=MIN($AC776:$AG776),0,1))</f>
        <v/>
      </c>
      <c r="AI776" s="27">
        <f>IF($A776="","",IF(COUNTIF($A$14:$A776,$A776)=1,COUNTIF($AI$13:AI775,"&gt;0")+1,""))</f>
        <v/>
      </c>
      <c r="AO776" s="27">
        <f>IF($A776="","",IF(AND(COUNTIFS($A$14:$A$1213,$A776,$F$14:$F$1213,"&gt;=0")=2,IFERROR(INDEX($M$14:$M$313,MATCH($A776,$H$14:$H$313,0)),"Yes")&lt;&gt;"Yes"),1,0))</f>
        <v/>
      </c>
    </row>
    <row r="777">
      <c r="A777" s="19">
        <f>IF('Enter messages'!A777="","",'Enter messages'!A777)</f>
        <v/>
      </c>
      <c r="B777" s="20">
        <f>IF('Enter messages'!B777="","",'Enter messages'!B777)</f>
        <v/>
      </c>
      <c r="C777" s="21">
        <f>IFERROR(AVERAGE(P777:T777),"")</f>
        <v/>
      </c>
      <c r="D777" s="29" t="n"/>
      <c r="E777" s="29" t="n"/>
      <c r="F777" s="30">
        <f>IF(AND(ISNUMBER($D777),ISNUMBER($E777),$E777&gt;0,$D777&lt;=$E777),$D777/$E777,"")</f>
        <v/>
      </c>
      <c r="P777" s="26" t="n"/>
      <c r="Q777" s="26" t="n"/>
      <c r="R777" s="26" t="n"/>
      <c r="S777" s="26" t="n"/>
      <c r="T777" s="26" t="n"/>
      <c r="V777" s="27">
        <f>IF(ISNUMBER($C777),COUNTIFS($A$14:$A$1213,$A777,$C$14:$C$1213,"&gt;"&amp;$C777)+(COUNTIFS($A$14:$A$1213,$A777,$C$14:$C$1213,"="&amp;$C777)+1)/2,"")</f>
        <v/>
      </c>
      <c r="W777" s="27">
        <f>IF(ISNUMBER($F777),COUNTIFS($A$14:$A$1213,$A777,$F$14:$F$1213,"&gt;"&amp;$F777)+(COUNTIFS($A$14:$A$1213,$A777,$F$14:$F$1213,"="&amp;$F777)+1)/2,"")</f>
        <v/>
      </c>
      <c r="X777" s="27">
        <f>IF(OR(NOT(ISNUMBER($V777)),$AO777=1),"",$V777-(COUNTIFS($A$14:$A$1213,$A777,$C$14:$C$1213,"&gt;=0")+1)/2)</f>
        <v/>
      </c>
      <c r="Y777" s="27">
        <f>IF(OR(NOT(ISNUMBER($W777)),$AO777=1),"",$W777-(COUNTIFS($A$14:$A$1213,$A777,$F$14:$F$1213,"&gt;=0")+1)/2)</f>
        <v/>
      </c>
      <c r="Z777" s="27">
        <f>IF(ISNUMBER($V777),$A777&amp;"|"&amp;$V777,"")</f>
        <v/>
      </c>
      <c r="AA777" s="27">
        <f>IF(ISNUMBER($W777),$A777&amp;"|"&amp;$W777,"")</f>
        <v/>
      </c>
      <c r="AB777" s="27">
        <f>IF(ISNUMBER($F777),$A777&amp;"|"&amp;$F777,"")</f>
        <v/>
      </c>
      <c r="AC777" s="27">
        <f>IF(ISNUMBER($P777),COUNTIFS($A$14:$A$1213,$A777,$P$14:$P$1213,"&gt;"&amp;$P777)+(COUNTIFS($A$14:$A$1213,$A777,$P$14:$P$1213,"="&amp;$P777)+1)/2,"")</f>
        <v/>
      </c>
      <c r="AD777" s="27">
        <f>IF(ISNUMBER($Q777),COUNTIFS($A$14:$A$1213,$A777,$Q$14:$Q$1213,"&gt;"&amp;$Q777)+(COUNTIFS($A$14:$A$1213,$A777,$Q$14:$Q$1213,"="&amp;$Q777)+1)/2,"")</f>
        <v/>
      </c>
      <c r="AE777" s="27">
        <f>IF(ISNUMBER($R777),COUNTIFS($A$14:$A$1213,$A777,$R$14:$R$1213,"&gt;"&amp;$R777)+(COUNTIFS($A$14:$A$1213,$A777,$R$14:$R$1213,"="&amp;$R777)+1)/2,"")</f>
        <v/>
      </c>
      <c r="AF777" s="27">
        <f>IF(ISNUMBER($S777),COUNTIFS($A$14:$A$1213,$A777,$S$14:$S$1213,"&gt;"&amp;$S777)+(COUNTIFS($A$14:$A$1213,$A777,$S$14:$S$1213,"="&amp;$S777)+1)/2,"")</f>
        <v/>
      </c>
      <c r="AG777" s="27">
        <f>IF(ISNUMBER($T777),COUNTIFS($A$14:$A$1213,$A777,$T$14:$T$1213,"&gt;"&amp;$T777)+(COUNTIFS($A$14:$A$1213,$A777,$T$14:$T$1213,"="&amp;$T777)+1)/2,"")</f>
        <v/>
      </c>
      <c r="AH777" s="27">
        <f>IF(COUNT($AC777:$AG777)&lt;2,"",IF(MAX($AC777:$AG777)=MIN($AC777:$AG777),0,1))</f>
        <v/>
      </c>
      <c r="AI777" s="27">
        <f>IF($A777="","",IF(COUNTIF($A$14:$A777,$A777)=1,COUNTIF($AI$13:AI776,"&gt;0")+1,""))</f>
        <v/>
      </c>
      <c r="AO777" s="27">
        <f>IF($A777="","",IF(AND(COUNTIFS($A$14:$A$1213,$A777,$F$14:$F$1213,"&gt;=0")=2,IFERROR(INDEX($M$14:$M$313,MATCH($A777,$H$14:$H$313,0)),"Yes")&lt;&gt;"Yes"),1,0))</f>
        <v/>
      </c>
    </row>
    <row r="778">
      <c r="A778" s="19">
        <f>IF('Enter messages'!A778="","",'Enter messages'!A778)</f>
        <v/>
      </c>
      <c r="B778" s="20">
        <f>IF('Enter messages'!B778="","",'Enter messages'!B778)</f>
        <v/>
      </c>
      <c r="C778" s="21">
        <f>IFERROR(AVERAGE(P778:T778),"")</f>
        <v/>
      </c>
      <c r="D778" s="29" t="n"/>
      <c r="E778" s="29" t="n"/>
      <c r="F778" s="30">
        <f>IF(AND(ISNUMBER($D778),ISNUMBER($E778),$E778&gt;0,$D778&lt;=$E778),$D778/$E778,"")</f>
        <v/>
      </c>
      <c r="P778" s="26" t="n"/>
      <c r="Q778" s="26" t="n"/>
      <c r="R778" s="26" t="n"/>
      <c r="S778" s="26" t="n"/>
      <c r="T778" s="26" t="n"/>
      <c r="V778" s="27">
        <f>IF(ISNUMBER($C778),COUNTIFS($A$14:$A$1213,$A778,$C$14:$C$1213,"&gt;"&amp;$C778)+(COUNTIFS($A$14:$A$1213,$A778,$C$14:$C$1213,"="&amp;$C778)+1)/2,"")</f>
        <v/>
      </c>
      <c r="W778" s="27">
        <f>IF(ISNUMBER($F778),COUNTIFS($A$14:$A$1213,$A778,$F$14:$F$1213,"&gt;"&amp;$F778)+(COUNTIFS($A$14:$A$1213,$A778,$F$14:$F$1213,"="&amp;$F778)+1)/2,"")</f>
        <v/>
      </c>
      <c r="X778" s="27">
        <f>IF(OR(NOT(ISNUMBER($V778)),$AO778=1),"",$V778-(COUNTIFS($A$14:$A$1213,$A778,$C$14:$C$1213,"&gt;=0")+1)/2)</f>
        <v/>
      </c>
      <c r="Y778" s="27">
        <f>IF(OR(NOT(ISNUMBER($W778)),$AO778=1),"",$W778-(COUNTIFS($A$14:$A$1213,$A778,$F$14:$F$1213,"&gt;=0")+1)/2)</f>
        <v/>
      </c>
      <c r="Z778" s="27">
        <f>IF(ISNUMBER($V778),$A778&amp;"|"&amp;$V778,"")</f>
        <v/>
      </c>
      <c r="AA778" s="27">
        <f>IF(ISNUMBER($W778),$A778&amp;"|"&amp;$W778,"")</f>
        <v/>
      </c>
      <c r="AB778" s="27">
        <f>IF(ISNUMBER($F778),$A778&amp;"|"&amp;$F778,"")</f>
        <v/>
      </c>
      <c r="AC778" s="27">
        <f>IF(ISNUMBER($P778),COUNTIFS($A$14:$A$1213,$A778,$P$14:$P$1213,"&gt;"&amp;$P778)+(COUNTIFS($A$14:$A$1213,$A778,$P$14:$P$1213,"="&amp;$P778)+1)/2,"")</f>
        <v/>
      </c>
      <c r="AD778" s="27">
        <f>IF(ISNUMBER($Q778),COUNTIFS($A$14:$A$1213,$A778,$Q$14:$Q$1213,"&gt;"&amp;$Q778)+(COUNTIFS($A$14:$A$1213,$A778,$Q$14:$Q$1213,"="&amp;$Q778)+1)/2,"")</f>
        <v/>
      </c>
      <c r="AE778" s="27">
        <f>IF(ISNUMBER($R778),COUNTIFS($A$14:$A$1213,$A778,$R$14:$R$1213,"&gt;"&amp;$R778)+(COUNTIFS($A$14:$A$1213,$A778,$R$14:$R$1213,"="&amp;$R778)+1)/2,"")</f>
        <v/>
      </c>
      <c r="AF778" s="27">
        <f>IF(ISNUMBER($S778),COUNTIFS($A$14:$A$1213,$A778,$S$14:$S$1213,"&gt;"&amp;$S778)+(COUNTIFS($A$14:$A$1213,$A778,$S$14:$S$1213,"="&amp;$S778)+1)/2,"")</f>
        <v/>
      </c>
      <c r="AG778" s="27">
        <f>IF(ISNUMBER($T778),COUNTIFS($A$14:$A$1213,$A778,$T$14:$T$1213,"&gt;"&amp;$T778)+(COUNTIFS($A$14:$A$1213,$A778,$T$14:$T$1213,"="&amp;$T778)+1)/2,"")</f>
        <v/>
      </c>
      <c r="AH778" s="27">
        <f>IF(COUNT($AC778:$AG778)&lt;2,"",IF(MAX($AC778:$AG778)=MIN($AC778:$AG778),0,1))</f>
        <v/>
      </c>
      <c r="AI778" s="27">
        <f>IF($A778="","",IF(COUNTIF($A$14:$A778,$A778)=1,COUNTIF($AI$13:AI777,"&gt;0")+1,""))</f>
        <v/>
      </c>
      <c r="AO778" s="27">
        <f>IF($A778="","",IF(AND(COUNTIFS($A$14:$A$1213,$A778,$F$14:$F$1213,"&gt;=0")=2,IFERROR(INDEX($M$14:$M$313,MATCH($A778,$H$14:$H$313,0)),"Yes")&lt;&gt;"Yes"),1,0))</f>
        <v/>
      </c>
    </row>
    <row r="779">
      <c r="A779" s="19">
        <f>IF('Enter messages'!A779="","",'Enter messages'!A779)</f>
        <v/>
      </c>
      <c r="B779" s="20">
        <f>IF('Enter messages'!B779="","",'Enter messages'!B779)</f>
        <v/>
      </c>
      <c r="C779" s="21">
        <f>IFERROR(AVERAGE(P779:T779),"")</f>
        <v/>
      </c>
      <c r="D779" s="29" t="n"/>
      <c r="E779" s="29" t="n"/>
      <c r="F779" s="30">
        <f>IF(AND(ISNUMBER($D779),ISNUMBER($E779),$E779&gt;0,$D779&lt;=$E779),$D779/$E779,"")</f>
        <v/>
      </c>
      <c r="P779" s="26" t="n"/>
      <c r="Q779" s="26" t="n"/>
      <c r="R779" s="26" t="n"/>
      <c r="S779" s="26" t="n"/>
      <c r="T779" s="26" t="n"/>
      <c r="V779" s="27">
        <f>IF(ISNUMBER($C779),COUNTIFS($A$14:$A$1213,$A779,$C$14:$C$1213,"&gt;"&amp;$C779)+(COUNTIFS($A$14:$A$1213,$A779,$C$14:$C$1213,"="&amp;$C779)+1)/2,"")</f>
        <v/>
      </c>
      <c r="W779" s="27">
        <f>IF(ISNUMBER($F779),COUNTIFS($A$14:$A$1213,$A779,$F$14:$F$1213,"&gt;"&amp;$F779)+(COUNTIFS($A$14:$A$1213,$A779,$F$14:$F$1213,"="&amp;$F779)+1)/2,"")</f>
        <v/>
      </c>
      <c r="X779" s="27">
        <f>IF(OR(NOT(ISNUMBER($V779)),$AO779=1),"",$V779-(COUNTIFS($A$14:$A$1213,$A779,$C$14:$C$1213,"&gt;=0")+1)/2)</f>
        <v/>
      </c>
      <c r="Y779" s="27">
        <f>IF(OR(NOT(ISNUMBER($W779)),$AO779=1),"",$W779-(COUNTIFS($A$14:$A$1213,$A779,$F$14:$F$1213,"&gt;=0")+1)/2)</f>
        <v/>
      </c>
      <c r="Z779" s="27">
        <f>IF(ISNUMBER($V779),$A779&amp;"|"&amp;$V779,"")</f>
        <v/>
      </c>
      <c r="AA779" s="27">
        <f>IF(ISNUMBER($W779),$A779&amp;"|"&amp;$W779,"")</f>
        <v/>
      </c>
      <c r="AB779" s="27">
        <f>IF(ISNUMBER($F779),$A779&amp;"|"&amp;$F779,"")</f>
        <v/>
      </c>
      <c r="AC779" s="27">
        <f>IF(ISNUMBER($P779),COUNTIFS($A$14:$A$1213,$A779,$P$14:$P$1213,"&gt;"&amp;$P779)+(COUNTIFS($A$14:$A$1213,$A779,$P$14:$P$1213,"="&amp;$P779)+1)/2,"")</f>
        <v/>
      </c>
      <c r="AD779" s="27">
        <f>IF(ISNUMBER($Q779),COUNTIFS($A$14:$A$1213,$A779,$Q$14:$Q$1213,"&gt;"&amp;$Q779)+(COUNTIFS($A$14:$A$1213,$A779,$Q$14:$Q$1213,"="&amp;$Q779)+1)/2,"")</f>
        <v/>
      </c>
      <c r="AE779" s="27">
        <f>IF(ISNUMBER($R779),COUNTIFS($A$14:$A$1213,$A779,$R$14:$R$1213,"&gt;"&amp;$R779)+(COUNTIFS($A$14:$A$1213,$A779,$R$14:$R$1213,"="&amp;$R779)+1)/2,"")</f>
        <v/>
      </c>
      <c r="AF779" s="27">
        <f>IF(ISNUMBER($S779),COUNTIFS($A$14:$A$1213,$A779,$S$14:$S$1213,"&gt;"&amp;$S779)+(COUNTIFS($A$14:$A$1213,$A779,$S$14:$S$1213,"="&amp;$S779)+1)/2,"")</f>
        <v/>
      </c>
      <c r="AG779" s="27">
        <f>IF(ISNUMBER($T779),COUNTIFS($A$14:$A$1213,$A779,$T$14:$T$1213,"&gt;"&amp;$T779)+(COUNTIFS($A$14:$A$1213,$A779,$T$14:$T$1213,"="&amp;$T779)+1)/2,"")</f>
        <v/>
      </c>
      <c r="AH779" s="27">
        <f>IF(COUNT($AC779:$AG779)&lt;2,"",IF(MAX($AC779:$AG779)=MIN($AC779:$AG779),0,1))</f>
        <v/>
      </c>
      <c r="AI779" s="27">
        <f>IF($A779="","",IF(COUNTIF($A$14:$A779,$A779)=1,COUNTIF($AI$13:AI778,"&gt;0")+1,""))</f>
        <v/>
      </c>
      <c r="AO779" s="27">
        <f>IF($A779="","",IF(AND(COUNTIFS($A$14:$A$1213,$A779,$F$14:$F$1213,"&gt;=0")=2,IFERROR(INDEX($M$14:$M$313,MATCH($A779,$H$14:$H$313,0)),"Yes")&lt;&gt;"Yes"),1,0))</f>
        <v/>
      </c>
    </row>
    <row r="780">
      <c r="A780" s="19">
        <f>IF('Enter messages'!A780="","",'Enter messages'!A780)</f>
        <v/>
      </c>
      <c r="B780" s="20">
        <f>IF('Enter messages'!B780="","",'Enter messages'!B780)</f>
        <v/>
      </c>
      <c r="C780" s="21">
        <f>IFERROR(AVERAGE(P780:T780),"")</f>
        <v/>
      </c>
      <c r="D780" s="29" t="n"/>
      <c r="E780" s="29" t="n"/>
      <c r="F780" s="30">
        <f>IF(AND(ISNUMBER($D780),ISNUMBER($E780),$E780&gt;0,$D780&lt;=$E780),$D780/$E780,"")</f>
        <v/>
      </c>
      <c r="P780" s="26" t="n"/>
      <c r="Q780" s="26" t="n"/>
      <c r="R780" s="26" t="n"/>
      <c r="S780" s="26" t="n"/>
      <c r="T780" s="26" t="n"/>
      <c r="V780" s="27">
        <f>IF(ISNUMBER($C780),COUNTIFS($A$14:$A$1213,$A780,$C$14:$C$1213,"&gt;"&amp;$C780)+(COUNTIFS($A$14:$A$1213,$A780,$C$14:$C$1213,"="&amp;$C780)+1)/2,"")</f>
        <v/>
      </c>
      <c r="W780" s="27">
        <f>IF(ISNUMBER($F780),COUNTIFS($A$14:$A$1213,$A780,$F$14:$F$1213,"&gt;"&amp;$F780)+(COUNTIFS($A$14:$A$1213,$A780,$F$14:$F$1213,"="&amp;$F780)+1)/2,"")</f>
        <v/>
      </c>
      <c r="X780" s="27">
        <f>IF(OR(NOT(ISNUMBER($V780)),$AO780=1),"",$V780-(COUNTIFS($A$14:$A$1213,$A780,$C$14:$C$1213,"&gt;=0")+1)/2)</f>
        <v/>
      </c>
      <c r="Y780" s="27">
        <f>IF(OR(NOT(ISNUMBER($W780)),$AO780=1),"",$W780-(COUNTIFS($A$14:$A$1213,$A780,$F$14:$F$1213,"&gt;=0")+1)/2)</f>
        <v/>
      </c>
      <c r="Z780" s="27">
        <f>IF(ISNUMBER($V780),$A780&amp;"|"&amp;$V780,"")</f>
        <v/>
      </c>
      <c r="AA780" s="27">
        <f>IF(ISNUMBER($W780),$A780&amp;"|"&amp;$W780,"")</f>
        <v/>
      </c>
      <c r="AB780" s="27">
        <f>IF(ISNUMBER($F780),$A780&amp;"|"&amp;$F780,"")</f>
        <v/>
      </c>
      <c r="AC780" s="27">
        <f>IF(ISNUMBER($P780),COUNTIFS($A$14:$A$1213,$A780,$P$14:$P$1213,"&gt;"&amp;$P780)+(COUNTIFS($A$14:$A$1213,$A780,$P$14:$P$1213,"="&amp;$P780)+1)/2,"")</f>
        <v/>
      </c>
      <c r="AD780" s="27">
        <f>IF(ISNUMBER($Q780),COUNTIFS($A$14:$A$1213,$A780,$Q$14:$Q$1213,"&gt;"&amp;$Q780)+(COUNTIFS($A$14:$A$1213,$A780,$Q$14:$Q$1213,"="&amp;$Q780)+1)/2,"")</f>
        <v/>
      </c>
      <c r="AE780" s="27">
        <f>IF(ISNUMBER($R780),COUNTIFS($A$14:$A$1213,$A780,$R$14:$R$1213,"&gt;"&amp;$R780)+(COUNTIFS($A$14:$A$1213,$A780,$R$14:$R$1213,"="&amp;$R780)+1)/2,"")</f>
        <v/>
      </c>
      <c r="AF780" s="27">
        <f>IF(ISNUMBER($S780),COUNTIFS($A$14:$A$1213,$A780,$S$14:$S$1213,"&gt;"&amp;$S780)+(COUNTIFS($A$14:$A$1213,$A780,$S$14:$S$1213,"="&amp;$S780)+1)/2,"")</f>
        <v/>
      </c>
      <c r="AG780" s="27">
        <f>IF(ISNUMBER($T780),COUNTIFS($A$14:$A$1213,$A780,$T$14:$T$1213,"&gt;"&amp;$T780)+(COUNTIFS($A$14:$A$1213,$A780,$T$14:$T$1213,"="&amp;$T780)+1)/2,"")</f>
        <v/>
      </c>
      <c r="AH780" s="27">
        <f>IF(COUNT($AC780:$AG780)&lt;2,"",IF(MAX($AC780:$AG780)=MIN($AC780:$AG780),0,1))</f>
        <v/>
      </c>
      <c r="AI780" s="27">
        <f>IF($A780="","",IF(COUNTIF($A$14:$A780,$A780)=1,COUNTIF($AI$13:AI779,"&gt;0")+1,""))</f>
        <v/>
      </c>
      <c r="AO780" s="27">
        <f>IF($A780="","",IF(AND(COUNTIFS($A$14:$A$1213,$A780,$F$14:$F$1213,"&gt;=0")=2,IFERROR(INDEX($M$14:$M$313,MATCH($A780,$H$14:$H$313,0)),"Yes")&lt;&gt;"Yes"),1,0))</f>
        <v/>
      </c>
    </row>
    <row r="781">
      <c r="A781" s="19">
        <f>IF('Enter messages'!A781="","",'Enter messages'!A781)</f>
        <v/>
      </c>
      <c r="B781" s="20">
        <f>IF('Enter messages'!B781="","",'Enter messages'!B781)</f>
        <v/>
      </c>
      <c r="C781" s="21">
        <f>IFERROR(AVERAGE(P781:T781),"")</f>
        <v/>
      </c>
      <c r="D781" s="29" t="n"/>
      <c r="E781" s="29" t="n"/>
      <c r="F781" s="30">
        <f>IF(AND(ISNUMBER($D781),ISNUMBER($E781),$E781&gt;0,$D781&lt;=$E781),$D781/$E781,"")</f>
        <v/>
      </c>
      <c r="P781" s="26" t="n"/>
      <c r="Q781" s="26" t="n"/>
      <c r="R781" s="26" t="n"/>
      <c r="S781" s="26" t="n"/>
      <c r="T781" s="26" t="n"/>
      <c r="V781" s="27">
        <f>IF(ISNUMBER($C781),COUNTIFS($A$14:$A$1213,$A781,$C$14:$C$1213,"&gt;"&amp;$C781)+(COUNTIFS($A$14:$A$1213,$A781,$C$14:$C$1213,"="&amp;$C781)+1)/2,"")</f>
        <v/>
      </c>
      <c r="W781" s="27">
        <f>IF(ISNUMBER($F781),COUNTIFS($A$14:$A$1213,$A781,$F$14:$F$1213,"&gt;"&amp;$F781)+(COUNTIFS($A$14:$A$1213,$A781,$F$14:$F$1213,"="&amp;$F781)+1)/2,"")</f>
        <v/>
      </c>
      <c r="X781" s="27">
        <f>IF(OR(NOT(ISNUMBER($V781)),$AO781=1),"",$V781-(COUNTIFS($A$14:$A$1213,$A781,$C$14:$C$1213,"&gt;=0")+1)/2)</f>
        <v/>
      </c>
      <c r="Y781" s="27">
        <f>IF(OR(NOT(ISNUMBER($W781)),$AO781=1),"",$W781-(COUNTIFS($A$14:$A$1213,$A781,$F$14:$F$1213,"&gt;=0")+1)/2)</f>
        <v/>
      </c>
      <c r="Z781" s="27">
        <f>IF(ISNUMBER($V781),$A781&amp;"|"&amp;$V781,"")</f>
        <v/>
      </c>
      <c r="AA781" s="27">
        <f>IF(ISNUMBER($W781),$A781&amp;"|"&amp;$W781,"")</f>
        <v/>
      </c>
      <c r="AB781" s="27">
        <f>IF(ISNUMBER($F781),$A781&amp;"|"&amp;$F781,"")</f>
        <v/>
      </c>
      <c r="AC781" s="27">
        <f>IF(ISNUMBER($P781),COUNTIFS($A$14:$A$1213,$A781,$P$14:$P$1213,"&gt;"&amp;$P781)+(COUNTIFS($A$14:$A$1213,$A781,$P$14:$P$1213,"="&amp;$P781)+1)/2,"")</f>
        <v/>
      </c>
      <c r="AD781" s="27">
        <f>IF(ISNUMBER($Q781),COUNTIFS($A$14:$A$1213,$A781,$Q$14:$Q$1213,"&gt;"&amp;$Q781)+(COUNTIFS($A$14:$A$1213,$A781,$Q$14:$Q$1213,"="&amp;$Q781)+1)/2,"")</f>
        <v/>
      </c>
      <c r="AE781" s="27">
        <f>IF(ISNUMBER($R781),COUNTIFS($A$14:$A$1213,$A781,$R$14:$R$1213,"&gt;"&amp;$R781)+(COUNTIFS($A$14:$A$1213,$A781,$R$14:$R$1213,"="&amp;$R781)+1)/2,"")</f>
        <v/>
      </c>
      <c r="AF781" s="27">
        <f>IF(ISNUMBER($S781),COUNTIFS($A$14:$A$1213,$A781,$S$14:$S$1213,"&gt;"&amp;$S781)+(COUNTIFS($A$14:$A$1213,$A781,$S$14:$S$1213,"="&amp;$S781)+1)/2,"")</f>
        <v/>
      </c>
      <c r="AG781" s="27">
        <f>IF(ISNUMBER($T781),COUNTIFS($A$14:$A$1213,$A781,$T$14:$T$1213,"&gt;"&amp;$T781)+(COUNTIFS($A$14:$A$1213,$A781,$T$14:$T$1213,"="&amp;$T781)+1)/2,"")</f>
        <v/>
      </c>
      <c r="AH781" s="27">
        <f>IF(COUNT($AC781:$AG781)&lt;2,"",IF(MAX($AC781:$AG781)=MIN($AC781:$AG781),0,1))</f>
        <v/>
      </c>
      <c r="AI781" s="27">
        <f>IF($A781="","",IF(COUNTIF($A$14:$A781,$A781)=1,COUNTIF($AI$13:AI780,"&gt;0")+1,""))</f>
        <v/>
      </c>
      <c r="AO781" s="27">
        <f>IF($A781="","",IF(AND(COUNTIFS($A$14:$A$1213,$A781,$F$14:$F$1213,"&gt;=0")=2,IFERROR(INDEX($M$14:$M$313,MATCH($A781,$H$14:$H$313,0)),"Yes")&lt;&gt;"Yes"),1,0))</f>
        <v/>
      </c>
    </row>
    <row r="782">
      <c r="A782" s="19">
        <f>IF('Enter messages'!A782="","",'Enter messages'!A782)</f>
        <v/>
      </c>
      <c r="B782" s="20">
        <f>IF('Enter messages'!B782="","",'Enter messages'!B782)</f>
        <v/>
      </c>
      <c r="C782" s="21">
        <f>IFERROR(AVERAGE(P782:T782),"")</f>
        <v/>
      </c>
      <c r="D782" s="29" t="n"/>
      <c r="E782" s="29" t="n"/>
      <c r="F782" s="30">
        <f>IF(AND(ISNUMBER($D782),ISNUMBER($E782),$E782&gt;0,$D782&lt;=$E782),$D782/$E782,"")</f>
        <v/>
      </c>
      <c r="P782" s="26" t="n"/>
      <c r="Q782" s="26" t="n"/>
      <c r="R782" s="26" t="n"/>
      <c r="S782" s="26" t="n"/>
      <c r="T782" s="26" t="n"/>
      <c r="V782" s="27">
        <f>IF(ISNUMBER($C782),COUNTIFS($A$14:$A$1213,$A782,$C$14:$C$1213,"&gt;"&amp;$C782)+(COUNTIFS($A$14:$A$1213,$A782,$C$14:$C$1213,"="&amp;$C782)+1)/2,"")</f>
        <v/>
      </c>
      <c r="W782" s="27">
        <f>IF(ISNUMBER($F782),COUNTIFS($A$14:$A$1213,$A782,$F$14:$F$1213,"&gt;"&amp;$F782)+(COUNTIFS($A$14:$A$1213,$A782,$F$14:$F$1213,"="&amp;$F782)+1)/2,"")</f>
        <v/>
      </c>
      <c r="X782" s="27">
        <f>IF(OR(NOT(ISNUMBER($V782)),$AO782=1),"",$V782-(COUNTIFS($A$14:$A$1213,$A782,$C$14:$C$1213,"&gt;=0")+1)/2)</f>
        <v/>
      </c>
      <c r="Y782" s="27">
        <f>IF(OR(NOT(ISNUMBER($W782)),$AO782=1),"",$W782-(COUNTIFS($A$14:$A$1213,$A782,$F$14:$F$1213,"&gt;=0")+1)/2)</f>
        <v/>
      </c>
      <c r="Z782" s="27">
        <f>IF(ISNUMBER($V782),$A782&amp;"|"&amp;$V782,"")</f>
        <v/>
      </c>
      <c r="AA782" s="27">
        <f>IF(ISNUMBER($W782),$A782&amp;"|"&amp;$W782,"")</f>
        <v/>
      </c>
      <c r="AB782" s="27">
        <f>IF(ISNUMBER($F782),$A782&amp;"|"&amp;$F782,"")</f>
        <v/>
      </c>
      <c r="AC782" s="27">
        <f>IF(ISNUMBER($P782),COUNTIFS($A$14:$A$1213,$A782,$P$14:$P$1213,"&gt;"&amp;$P782)+(COUNTIFS($A$14:$A$1213,$A782,$P$14:$P$1213,"="&amp;$P782)+1)/2,"")</f>
        <v/>
      </c>
      <c r="AD782" s="27">
        <f>IF(ISNUMBER($Q782),COUNTIFS($A$14:$A$1213,$A782,$Q$14:$Q$1213,"&gt;"&amp;$Q782)+(COUNTIFS($A$14:$A$1213,$A782,$Q$14:$Q$1213,"="&amp;$Q782)+1)/2,"")</f>
        <v/>
      </c>
      <c r="AE782" s="27">
        <f>IF(ISNUMBER($R782),COUNTIFS($A$14:$A$1213,$A782,$R$14:$R$1213,"&gt;"&amp;$R782)+(COUNTIFS($A$14:$A$1213,$A782,$R$14:$R$1213,"="&amp;$R782)+1)/2,"")</f>
        <v/>
      </c>
      <c r="AF782" s="27">
        <f>IF(ISNUMBER($S782),COUNTIFS($A$14:$A$1213,$A782,$S$14:$S$1213,"&gt;"&amp;$S782)+(COUNTIFS($A$14:$A$1213,$A782,$S$14:$S$1213,"="&amp;$S782)+1)/2,"")</f>
        <v/>
      </c>
      <c r="AG782" s="27">
        <f>IF(ISNUMBER($T782),COUNTIFS($A$14:$A$1213,$A782,$T$14:$T$1213,"&gt;"&amp;$T782)+(COUNTIFS($A$14:$A$1213,$A782,$T$14:$T$1213,"="&amp;$T782)+1)/2,"")</f>
        <v/>
      </c>
      <c r="AH782" s="27">
        <f>IF(COUNT($AC782:$AG782)&lt;2,"",IF(MAX($AC782:$AG782)=MIN($AC782:$AG782),0,1))</f>
        <v/>
      </c>
      <c r="AI782" s="27">
        <f>IF($A782="","",IF(COUNTIF($A$14:$A782,$A782)=1,COUNTIF($AI$13:AI781,"&gt;0")+1,""))</f>
        <v/>
      </c>
      <c r="AO782" s="27">
        <f>IF($A782="","",IF(AND(COUNTIFS($A$14:$A$1213,$A782,$F$14:$F$1213,"&gt;=0")=2,IFERROR(INDEX($M$14:$M$313,MATCH($A782,$H$14:$H$313,0)),"Yes")&lt;&gt;"Yes"),1,0))</f>
        <v/>
      </c>
    </row>
    <row r="783">
      <c r="A783" s="19">
        <f>IF('Enter messages'!A783="","",'Enter messages'!A783)</f>
        <v/>
      </c>
      <c r="B783" s="20">
        <f>IF('Enter messages'!B783="","",'Enter messages'!B783)</f>
        <v/>
      </c>
      <c r="C783" s="21">
        <f>IFERROR(AVERAGE(P783:T783),"")</f>
        <v/>
      </c>
      <c r="D783" s="29" t="n"/>
      <c r="E783" s="29" t="n"/>
      <c r="F783" s="30">
        <f>IF(AND(ISNUMBER($D783),ISNUMBER($E783),$E783&gt;0,$D783&lt;=$E783),$D783/$E783,"")</f>
        <v/>
      </c>
      <c r="P783" s="26" t="n"/>
      <c r="Q783" s="26" t="n"/>
      <c r="R783" s="26" t="n"/>
      <c r="S783" s="26" t="n"/>
      <c r="T783" s="26" t="n"/>
      <c r="V783" s="27">
        <f>IF(ISNUMBER($C783),COUNTIFS($A$14:$A$1213,$A783,$C$14:$C$1213,"&gt;"&amp;$C783)+(COUNTIFS($A$14:$A$1213,$A783,$C$14:$C$1213,"="&amp;$C783)+1)/2,"")</f>
        <v/>
      </c>
      <c r="W783" s="27">
        <f>IF(ISNUMBER($F783),COUNTIFS($A$14:$A$1213,$A783,$F$14:$F$1213,"&gt;"&amp;$F783)+(COUNTIFS($A$14:$A$1213,$A783,$F$14:$F$1213,"="&amp;$F783)+1)/2,"")</f>
        <v/>
      </c>
      <c r="X783" s="27">
        <f>IF(OR(NOT(ISNUMBER($V783)),$AO783=1),"",$V783-(COUNTIFS($A$14:$A$1213,$A783,$C$14:$C$1213,"&gt;=0")+1)/2)</f>
        <v/>
      </c>
      <c r="Y783" s="27">
        <f>IF(OR(NOT(ISNUMBER($W783)),$AO783=1),"",$W783-(COUNTIFS($A$14:$A$1213,$A783,$F$14:$F$1213,"&gt;=0")+1)/2)</f>
        <v/>
      </c>
      <c r="Z783" s="27">
        <f>IF(ISNUMBER($V783),$A783&amp;"|"&amp;$V783,"")</f>
        <v/>
      </c>
      <c r="AA783" s="27">
        <f>IF(ISNUMBER($W783),$A783&amp;"|"&amp;$W783,"")</f>
        <v/>
      </c>
      <c r="AB783" s="27">
        <f>IF(ISNUMBER($F783),$A783&amp;"|"&amp;$F783,"")</f>
        <v/>
      </c>
      <c r="AC783" s="27">
        <f>IF(ISNUMBER($P783),COUNTIFS($A$14:$A$1213,$A783,$P$14:$P$1213,"&gt;"&amp;$P783)+(COUNTIFS($A$14:$A$1213,$A783,$P$14:$P$1213,"="&amp;$P783)+1)/2,"")</f>
        <v/>
      </c>
      <c r="AD783" s="27">
        <f>IF(ISNUMBER($Q783),COUNTIFS($A$14:$A$1213,$A783,$Q$14:$Q$1213,"&gt;"&amp;$Q783)+(COUNTIFS($A$14:$A$1213,$A783,$Q$14:$Q$1213,"="&amp;$Q783)+1)/2,"")</f>
        <v/>
      </c>
      <c r="AE783" s="27">
        <f>IF(ISNUMBER($R783),COUNTIFS($A$14:$A$1213,$A783,$R$14:$R$1213,"&gt;"&amp;$R783)+(COUNTIFS($A$14:$A$1213,$A783,$R$14:$R$1213,"="&amp;$R783)+1)/2,"")</f>
        <v/>
      </c>
      <c r="AF783" s="27">
        <f>IF(ISNUMBER($S783),COUNTIFS($A$14:$A$1213,$A783,$S$14:$S$1213,"&gt;"&amp;$S783)+(COUNTIFS($A$14:$A$1213,$A783,$S$14:$S$1213,"="&amp;$S783)+1)/2,"")</f>
        <v/>
      </c>
      <c r="AG783" s="27">
        <f>IF(ISNUMBER($T783),COUNTIFS($A$14:$A$1213,$A783,$T$14:$T$1213,"&gt;"&amp;$T783)+(COUNTIFS($A$14:$A$1213,$A783,$T$14:$T$1213,"="&amp;$T783)+1)/2,"")</f>
        <v/>
      </c>
      <c r="AH783" s="27">
        <f>IF(COUNT($AC783:$AG783)&lt;2,"",IF(MAX($AC783:$AG783)=MIN($AC783:$AG783),0,1))</f>
        <v/>
      </c>
      <c r="AI783" s="27">
        <f>IF($A783="","",IF(COUNTIF($A$14:$A783,$A783)=1,COUNTIF($AI$13:AI782,"&gt;0")+1,""))</f>
        <v/>
      </c>
      <c r="AO783" s="27">
        <f>IF($A783="","",IF(AND(COUNTIFS($A$14:$A$1213,$A783,$F$14:$F$1213,"&gt;=0")=2,IFERROR(INDEX($M$14:$M$313,MATCH($A783,$H$14:$H$313,0)),"Yes")&lt;&gt;"Yes"),1,0))</f>
        <v/>
      </c>
    </row>
    <row r="784">
      <c r="A784" s="19">
        <f>IF('Enter messages'!A784="","",'Enter messages'!A784)</f>
        <v/>
      </c>
      <c r="B784" s="20">
        <f>IF('Enter messages'!B784="","",'Enter messages'!B784)</f>
        <v/>
      </c>
      <c r="C784" s="21">
        <f>IFERROR(AVERAGE(P784:T784),"")</f>
        <v/>
      </c>
      <c r="D784" s="29" t="n"/>
      <c r="E784" s="29" t="n"/>
      <c r="F784" s="30">
        <f>IF(AND(ISNUMBER($D784),ISNUMBER($E784),$E784&gt;0,$D784&lt;=$E784),$D784/$E784,"")</f>
        <v/>
      </c>
      <c r="P784" s="26" t="n"/>
      <c r="Q784" s="26" t="n"/>
      <c r="R784" s="26" t="n"/>
      <c r="S784" s="26" t="n"/>
      <c r="T784" s="26" t="n"/>
      <c r="V784" s="27">
        <f>IF(ISNUMBER($C784),COUNTIFS($A$14:$A$1213,$A784,$C$14:$C$1213,"&gt;"&amp;$C784)+(COUNTIFS($A$14:$A$1213,$A784,$C$14:$C$1213,"="&amp;$C784)+1)/2,"")</f>
        <v/>
      </c>
      <c r="W784" s="27">
        <f>IF(ISNUMBER($F784),COUNTIFS($A$14:$A$1213,$A784,$F$14:$F$1213,"&gt;"&amp;$F784)+(COUNTIFS($A$14:$A$1213,$A784,$F$14:$F$1213,"="&amp;$F784)+1)/2,"")</f>
        <v/>
      </c>
      <c r="X784" s="27">
        <f>IF(OR(NOT(ISNUMBER($V784)),$AO784=1),"",$V784-(COUNTIFS($A$14:$A$1213,$A784,$C$14:$C$1213,"&gt;=0")+1)/2)</f>
        <v/>
      </c>
      <c r="Y784" s="27">
        <f>IF(OR(NOT(ISNUMBER($W784)),$AO784=1),"",$W784-(COUNTIFS($A$14:$A$1213,$A784,$F$14:$F$1213,"&gt;=0")+1)/2)</f>
        <v/>
      </c>
      <c r="Z784" s="27">
        <f>IF(ISNUMBER($V784),$A784&amp;"|"&amp;$V784,"")</f>
        <v/>
      </c>
      <c r="AA784" s="27">
        <f>IF(ISNUMBER($W784),$A784&amp;"|"&amp;$W784,"")</f>
        <v/>
      </c>
      <c r="AB784" s="27">
        <f>IF(ISNUMBER($F784),$A784&amp;"|"&amp;$F784,"")</f>
        <v/>
      </c>
      <c r="AC784" s="27">
        <f>IF(ISNUMBER($P784),COUNTIFS($A$14:$A$1213,$A784,$P$14:$P$1213,"&gt;"&amp;$P784)+(COUNTIFS($A$14:$A$1213,$A784,$P$14:$P$1213,"="&amp;$P784)+1)/2,"")</f>
        <v/>
      </c>
      <c r="AD784" s="27">
        <f>IF(ISNUMBER($Q784),COUNTIFS($A$14:$A$1213,$A784,$Q$14:$Q$1213,"&gt;"&amp;$Q784)+(COUNTIFS($A$14:$A$1213,$A784,$Q$14:$Q$1213,"="&amp;$Q784)+1)/2,"")</f>
        <v/>
      </c>
      <c r="AE784" s="27">
        <f>IF(ISNUMBER($R784),COUNTIFS($A$14:$A$1213,$A784,$R$14:$R$1213,"&gt;"&amp;$R784)+(COUNTIFS($A$14:$A$1213,$A784,$R$14:$R$1213,"="&amp;$R784)+1)/2,"")</f>
        <v/>
      </c>
      <c r="AF784" s="27">
        <f>IF(ISNUMBER($S784),COUNTIFS($A$14:$A$1213,$A784,$S$14:$S$1213,"&gt;"&amp;$S784)+(COUNTIFS($A$14:$A$1213,$A784,$S$14:$S$1213,"="&amp;$S784)+1)/2,"")</f>
        <v/>
      </c>
      <c r="AG784" s="27">
        <f>IF(ISNUMBER($T784),COUNTIFS($A$14:$A$1213,$A784,$T$14:$T$1213,"&gt;"&amp;$T784)+(COUNTIFS($A$14:$A$1213,$A784,$T$14:$T$1213,"="&amp;$T784)+1)/2,"")</f>
        <v/>
      </c>
      <c r="AH784" s="27">
        <f>IF(COUNT($AC784:$AG784)&lt;2,"",IF(MAX($AC784:$AG784)=MIN($AC784:$AG784),0,1))</f>
        <v/>
      </c>
      <c r="AI784" s="27">
        <f>IF($A784="","",IF(COUNTIF($A$14:$A784,$A784)=1,COUNTIF($AI$13:AI783,"&gt;0")+1,""))</f>
        <v/>
      </c>
      <c r="AO784" s="27">
        <f>IF($A784="","",IF(AND(COUNTIFS($A$14:$A$1213,$A784,$F$14:$F$1213,"&gt;=0")=2,IFERROR(INDEX($M$14:$M$313,MATCH($A784,$H$14:$H$313,0)),"Yes")&lt;&gt;"Yes"),1,0))</f>
        <v/>
      </c>
    </row>
    <row r="785">
      <c r="A785" s="19">
        <f>IF('Enter messages'!A785="","",'Enter messages'!A785)</f>
        <v/>
      </c>
      <c r="B785" s="20">
        <f>IF('Enter messages'!B785="","",'Enter messages'!B785)</f>
        <v/>
      </c>
      <c r="C785" s="21">
        <f>IFERROR(AVERAGE(P785:T785),"")</f>
        <v/>
      </c>
      <c r="D785" s="29" t="n"/>
      <c r="E785" s="29" t="n"/>
      <c r="F785" s="30">
        <f>IF(AND(ISNUMBER($D785),ISNUMBER($E785),$E785&gt;0,$D785&lt;=$E785),$D785/$E785,"")</f>
        <v/>
      </c>
      <c r="P785" s="26" t="n"/>
      <c r="Q785" s="26" t="n"/>
      <c r="R785" s="26" t="n"/>
      <c r="S785" s="26" t="n"/>
      <c r="T785" s="26" t="n"/>
      <c r="V785" s="27">
        <f>IF(ISNUMBER($C785),COUNTIFS($A$14:$A$1213,$A785,$C$14:$C$1213,"&gt;"&amp;$C785)+(COUNTIFS($A$14:$A$1213,$A785,$C$14:$C$1213,"="&amp;$C785)+1)/2,"")</f>
        <v/>
      </c>
      <c r="W785" s="27">
        <f>IF(ISNUMBER($F785),COUNTIFS($A$14:$A$1213,$A785,$F$14:$F$1213,"&gt;"&amp;$F785)+(COUNTIFS($A$14:$A$1213,$A785,$F$14:$F$1213,"="&amp;$F785)+1)/2,"")</f>
        <v/>
      </c>
      <c r="X785" s="27">
        <f>IF(OR(NOT(ISNUMBER($V785)),$AO785=1),"",$V785-(COUNTIFS($A$14:$A$1213,$A785,$C$14:$C$1213,"&gt;=0")+1)/2)</f>
        <v/>
      </c>
      <c r="Y785" s="27">
        <f>IF(OR(NOT(ISNUMBER($W785)),$AO785=1),"",$W785-(COUNTIFS($A$14:$A$1213,$A785,$F$14:$F$1213,"&gt;=0")+1)/2)</f>
        <v/>
      </c>
      <c r="Z785" s="27">
        <f>IF(ISNUMBER($V785),$A785&amp;"|"&amp;$V785,"")</f>
        <v/>
      </c>
      <c r="AA785" s="27">
        <f>IF(ISNUMBER($W785),$A785&amp;"|"&amp;$W785,"")</f>
        <v/>
      </c>
      <c r="AB785" s="27">
        <f>IF(ISNUMBER($F785),$A785&amp;"|"&amp;$F785,"")</f>
        <v/>
      </c>
      <c r="AC785" s="27">
        <f>IF(ISNUMBER($P785),COUNTIFS($A$14:$A$1213,$A785,$P$14:$P$1213,"&gt;"&amp;$P785)+(COUNTIFS($A$14:$A$1213,$A785,$P$14:$P$1213,"="&amp;$P785)+1)/2,"")</f>
        <v/>
      </c>
      <c r="AD785" s="27">
        <f>IF(ISNUMBER($Q785),COUNTIFS($A$14:$A$1213,$A785,$Q$14:$Q$1213,"&gt;"&amp;$Q785)+(COUNTIFS($A$14:$A$1213,$A785,$Q$14:$Q$1213,"="&amp;$Q785)+1)/2,"")</f>
        <v/>
      </c>
      <c r="AE785" s="27">
        <f>IF(ISNUMBER($R785),COUNTIFS($A$14:$A$1213,$A785,$R$14:$R$1213,"&gt;"&amp;$R785)+(COUNTIFS($A$14:$A$1213,$A785,$R$14:$R$1213,"="&amp;$R785)+1)/2,"")</f>
        <v/>
      </c>
      <c r="AF785" s="27">
        <f>IF(ISNUMBER($S785),COUNTIFS($A$14:$A$1213,$A785,$S$14:$S$1213,"&gt;"&amp;$S785)+(COUNTIFS($A$14:$A$1213,$A785,$S$14:$S$1213,"="&amp;$S785)+1)/2,"")</f>
        <v/>
      </c>
      <c r="AG785" s="27">
        <f>IF(ISNUMBER($T785),COUNTIFS($A$14:$A$1213,$A785,$T$14:$T$1213,"&gt;"&amp;$T785)+(COUNTIFS($A$14:$A$1213,$A785,$T$14:$T$1213,"="&amp;$T785)+1)/2,"")</f>
        <v/>
      </c>
      <c r="AH785" s="27">
        <f>IF(COUNT($AC785:$AG785)&lt;2,"",IF(MAX($AC785:$AG785)=MIN($AC785:$AG785),0,1))</f>
        <v/>
      </c>
      <c r="AI785" s="27">
        <f>IF($A785="","",IF(COUNTIF($A$14:$A785,$A785)=1,COUNTIF($AI$13:AI784,"&gt;0")+1,""))</f>
        <v/>
      </c>
      <c r="AO785" s="27">
        <f>IF($A785="","",IF(AND(COUNTIFS($A$14:$A$1213,$A785,$F$14:$F$1213,"&gt;=0")=2,IFERROR(INDEX($M$14:$M$313,MATCH($A785,$H$14:$H$313,0)),"Yes")&lt;&gt;"Yes"),1,0))</f>
        <v/>
      </c>
    </row>
    <row r="786">
      <c r="A786" s="19">
        <f>IF('Enter messages'!A786="","",'Enter messages'!A786)</f>
        <v/>
      </c>
      <c r="B786" s="20">
        <f>IF('Enter messages'!B786="","",'Enter messages'!B786)</f>
        <v/>
      </c>
      <c r="C786" s="21">
        <f>IFERROR(AVERAGE(P786:T786),"")</f>
        <v/>
      </c>
      <c r="D786" s="29" t="n"/>
      <c r="E786" s="29" t="n"/>
      <c r="F786" s="30">
        <f>IF(AND(ISNUMBER($D786),ISNUMBER($E786),$E786&gt;0,$D786&lt;=$E786),$D786/$E786,"")</f>
        <v/>
      </c>
      <c r="P786" s="26" t="n"/>
      <c r="Q786" s="26" t="n"/>
      <c r="R786" s="26" t="n"/>
      <c r="S786" s="26" t="n"/>
      <c r="T786" s="26" t="n"/>
      <c r="V786" s="27">
        <f>IF(ISNUMBER($C786),COUNTIFS($A$14:$A$1213,$A786,$C$14:$C$1213,"&gt;"&amp;$C786)+(COUNTIFS($A$14:$A$1213,$A786,$C$14:$C$1213,"="&amp;$C786)+1)/2,"")</f>
        <v/>
      </c>
      <c r="W786" s="27">
        <f>IF(ISNUMBER($F786),COUNTIFS($A$14:$A$1213,$A786,$F$14:$F$1213,"&gt;"&amp;$F786)+(COUNTIFS($A$14:$A$1213,$A786,$F$14:$F$1213,"="&amp;$F786)+1)/2,"")</f>
        <v/>
      </c>
      <c r="X786" s="27">
        <f>IF(OR(NOT(ISNUMBER($V786)),$AO786=1),"",$V786-(COUNTIFS($A$14:$A$1213,$A786,$C$14:$C$1213,"&gt;=0")+1)/2)</f>
        <v/>
      </c>
      <c r="Y786" s="27">
        <f>IF(OR(NOT(ISNUMBER($W786)),$AO786=1),"",$W786-(COUNTIFS($A$14:$A$1213,$A786,$F$14:$F$1213,"&gt;=0")+1)/2)</f>
        <v/>
      </c>
      <c r="Z786" s="27">
        <f>IF(ISNUMBER($V786),$A786&amp;"|"&amp;$V786,"")</f>
        <v/>
      </c>
      <c r="AA786" s="27">
        <f>IF(ISNUMBER($W786),$A786&amp;"|"&amp;$W786,"")</f>
        <v/>
      </c>
      <c r="AB786" s="27">
        <f>IF(ISNUMBER($F786),$A786&amp;"|"&amp;$F786,"")</f>
        <v/>
      </c>
      <c r="AC786" s="27">
        <f>IF(ISNUMBER($P786),COUNTIFS($A$14:$A$1213,$A786,$P$14:$P$1213,"&gt;"&amp;$P786)+(COUNTIFS($A$14:$A$1213,$A786,$P$14:$P$1213,"="&amp;$P786)+1)/2,"")</f>
        <v/>
      </c>
      <c r="AD786" s="27">
        <f>IF(ISNUMBER($Q786),COUNTIFS($A$14:$A$1213,$A786,$Q$14:$Q$1213,"&gt;"&amp;$Q786)+(COUNTIFS($A$14:$A$1213,$A786,$Q$14:$Q$1213,"="&amp;$Q786)+1)/2,"")</f>
        <v/>
      </c>
      <c r="AE786" s="27">
        <f>IF(ISNUMBER($R786),COUNTIFS($A$14:$A$1213,$A786,$R$14:$R$1213,"&gt;"&amp;$R786)+(COUNTIFS($A$14:$A$1213,$A786,$R$14:$R$1213,"="&amp;$R786)+1)/2,"")</f>
        <v/>
      </c>
      <c r="AF786" s="27">
        <f>IF(ISNUMBER($S786),COUNTIFS($A$14:$A$1213,$A786,$S$14:$S$1213,"&gt;"&amp;$S786)+(COUNTIFS($A$14:$A$1213,$A786,$S$14:$S$1213,"="&amp;$S786)+1)/2,"")</f>
        <v/>
      </c>
      <c r="AG786" s="27">
        <f>IF(ISNUMBER($T786),COUNTIFS($A$14:$A$1213,$A786,$T$14:$T$1213,"&gt;"&amp;$T786)+(COUNTIFS($A$14:$A$1213,$A786,$T$14:$T$1213,"="&amp;$T786)+1)/2,"")</f>
        <v/>
      </c>
      <c r="AH786" s="27">
        <f>IF(COUNT($AC786:$AG786)&lt;2,"",IF(MAX($AC786:$AG786)=MIN($AC786:$AG786),0,1))</f>
        <v/>
      </c>
      <c r="AI786" s="27">
        <f>IF($A786="","",IF(COUNTIF($A$14:$A786,$A786)=1,COUNTIF($AI$13:AI785,"&gt;0")+1,""))</f>
        <v/>
      </c>
      <c r="AO786" s="27">
        <f>IF($A786="","",IF(AND(COUNTIFS($A$14:$A$1213,$A786,$F$14:$F$1213,"&gt;=0")=2,IFERROR(INDEX($M$14:$M$313,MATCH($A786,$H$14:$H$313,0)),"Yes")&lt;&gt;"Yes"),1,0))</f>
        <v/>
      </c>
    </row>
    <row r="787">
      <c r="A787" s="19">
        <f>IF('Enter messages'!A787="","",'Enter messages'!A787)</f>
        <v/>
      </c>
      <c r="B787" s="20">
        <f>IF('Enter messages'!B787="","",'Enter messages'!B787)</f>
        <v/>
      </c>
      <c r="C787" s="21">
        <f>IFERROR(AVERAGE(P787:T787),"")</f>
        <v/>
      </c>
      <c r="D787" s="29" t="n"/>
      <c r="E787" s="29" t="n"/>
      <c r="F787" s="30">
        <f>IF(AND(ISNUMBER($D787),ISNUMBER($E787),$E787&gt;0,$D787&lt;=$E787),$D787/$E787,"")</f>
        <v/>
      </c>
      <c r="P787" s="26" t="n"/>
      <c r="Q787" s="26" t="n"/>
      <c r="R787" s="26" t="n"/>
      <c r="S787" s="26" t="n"/>
      <c r="T787" s="26" t="n"/>
      <c r="V787" s="27">
        <f>IF(ISNUMBER($C787),COUNTIFS($A$14:$A$1213,$A787,$C$14:$C$1213,"&gt;"&amp;$C787)+(COUNTIFS($A$14:$A$1213,$A787,$C$14:$C$1213,"="&amp;$C787)+1)/2,"")</f>
        <v/>
      </c>
      <c r="W787" s="27">
        <f>IF(ISNUMBER($F787),COUNTIFS($A$14:$A$1213,$A787,$F$14:$F$1213,"&gt;"&amp;$F787)+(COUNTIFS($A$14:$A$1213,$A787,$F$14:$F$1213,"="&amp;$F787)+1)/2,"")</f>
        <v/>
      </c>
      <c r="X787" s="27">
        <f>IF(OR(NOT(ISNUMBER($V787)),$AO787=1),"",$V787-(COUNTIFS($A$14:$A$1213,$A787,$C$14:$C$1213,"&gt;=0")+1)/2)</f>
        <v/>
      </c>
      <c r="Y787" s="27">
        <f>IF(OR(NOT(ISNUMBER($W787)),$AO787=1),"",$W787-(COUNTIFS($A$14:$A$1213,$A787,$F$14:$F$1213,"&gt;=0")+1)/2)</f>
        <v/>
      </c>
      <c r="Z787" s="27">
        <f>IF(ISNUMBER($V787),$A787&amp;"|"&amp;$V787,"")</f>
        <v/>
      </c>
      <c r="AA787" s="27">
        <f>IF(ISNUMBER($W787),$A787&amp;"|"&amp;$W787,"")</f>
        <v/>
      </c>
      <c r="AB787" s="27">
        <f>IF(ISNUMBER($F787),$A787&amp;"|"&amp;$F787,"")</f>
        <v/>
      </c>
      <c r="AC787" s="27">
        <f>IF(ISNUMBER($P787),COUNTIFS($A$14:$A$1213,$A787,$P$14:$P$1213,"&gt;"&amp;$P787)+(COUNTIFS($A$14:$A$1213,$A787,$P$14:$P$1213,"="&amp;$P787)+1)/2,"")</f>
        <v/>
      </c>
      <c r="AD787" s="27">
        <f>IF(ISNUMBER($Q787),COUNTIFS($A$14:$A$1213,$A787,$Q$14:$Q$1213,"&gt;"&amp;$Q787)+(COUNTIFS($A$14:$A$1213,$A787,$Q$14:$Q$1213,"="&amp;$Q787)+1)/2,"")</f>
        <v/>
      </c>
      <c r="AE787" s="27">
        <f>IF(ISNUMBER($R787),COUNTIFS($A$14:$A$1213,$A787,$R$14:$R$1213,"&gt;"&amp;$R787)+(COUNTIFS($A$14:$A$1213,$A787,$R$14:$R$1213,"="&amp;$R787)+1)/2,"")</f>
        <v/>
      </c>
      <c r="AF787" s="27">
        <f>IF(ISNUMBER($S787),COUNTIFS($A$14:$A$1213,$A787,$S$14:$S$1213,"&gt;"&amp;$S787)+(COUNTIFS($A$14:$A$1213,$A787,$S$14:$S$1213,"="&amp;$S787)+1)/2,"")</f>
        <v/>
      </c>
      <c r="AG787" s="27">
        <f>IF(ISNUMBER($T787),COUNTIFS($A$14:$A$1213,$A787,$T$14:$T$1213,"&gt;"&amp;$T787)+(COUNTIFS($A$14:$A$1213,$A787,$T$14:$T$1213,"="&amp;$T787)+1)/2,"")</f>
        <v/>
      </c>
      <c r="AH787" s="27">
        <f>IF(COUNT($AC787:$AG787)&lt;2,"",IF(MAX($AC787:$AG787)=MIN($AC787:$AG787),0,1))</f>
        <v/>
      </c>
      <c r="AI787" s="27">
        <f>IF($A787="","",IF(COUNTIF($A$14:$A787,$A787)=1,COUNTIF($AI$13:AI786,"&gt;0")+1,""))</f>
        <v/>
      </c>
      <c r="AO787" s="27">
        <f>IF($A787="","",IF(AND(COUNTIFS($A$14:$A$1213,$A787,$F$14:$F$1213,"&gt;=0")=2,IFERROR(INDEX($M$14:$M$313,MATCH($A787,$H$14:$H$313,0)),"Yes")&lt;&gt;"Yes"),1,0))</f>
        <v/>
      </c>
    </row>
    <row r="788">
      <c r="A788" s="19">
        <f>IF('Enter messages'!A788="","",'Enter messages'!A788)</f>
        <v/>
      </c>
      <c r="B788" s="20">
        <f>IF('Enter messages'!B788="","",'Enter messages'!B788)</f>
        <v/>
      </c>
      <c r="C788" s="21">
        <f>IFERROR(AVERAGE(P788:T788),"")</f>
        <v/>
      </c>
      <c r="D788" s="29" t="n"/>
      <c r="E788" s="29" t="n"/>
      <c r="F788" s="30">
        <f>IF(AND(ISNUMBER($D788),ISNUMBER($E788),$E788&gt;0,$D788&lt;=$E788),$D788/$E788,"")</f>
        <v/>
      </c>
      <c r="P788" s="26" t="n"/>
      <c r="Q788" s="26" t="n"/>
      <c r="R788" s="26" t="n"/>
      <c r="S788" s="26" t="n"/>
      <c r="T788" s="26" t="n"/>
      <c r="V788" s="27">
        <f>IF(ISNUMBER($C788),COUNTIFS($A$14:$A$1213,$A788,$C$14:$C$1213,"&gt;"&amp;$C788)+(COUNTIFS($A$14:$A$1213,$A788,$C$14:$C$1213,"="&amp;$C788)+1)/2,"")</f>
        <v/>
      </c>
      <c r="W788" s="27">
        <f>IF(ISNUMBER($F788),COUNTIFS($A$14:$A$1213,$A788,$F$14:$F$1213,"&gt;"&amp;$F788)+(COUNTIFS($A$14:$A$1213,$A788,$F$14:$F$1213,"="&amp;$F788)+1)/2,"")</f>
        <v/>
      </c>
      <c r="X788" s="27">
        <f>IF(OR(NOT(ISNUMBER($V788)),$AO788=1),"",$V788-(COUNTIFS($A$14:$A$1213,$A788,$C$14:$C$1213,"&gt;=0")+1)/2)</f>
        <v/>
      </c>
      <c r="Y788" s="27">
        <f>IF(OR(NOT(ISNUMBER($W788)),$AO788=1),"",$W788-(COUNTIFS($A$14:$A$1213,$A788,$F$14:$F$1213,"&gt;=0")+1)/2)</f>
        <v/>
      </c>
      <c r="Z788" s="27">
        <f>IF(ISNUMBER($V788),$A788&amp;"|"&amp;$V788,"")</f>
        <v/>
      </c>
      <c r="AA788" s="27">
        <f>IF(ISNUMBER($W788),$A788&amp;"|"&amp;$W788,"")</f>
        <v/>
      </c>
      <c r="AB788" s="27">
        <f>IF(ISNUMBER($F788),$A788&amp;"|"&amp;$F788,"")</f>
        <v/>
      </c>
      <c r="AC788" s="27">
        <f>IF(ISNUMBER($P788),COUNTIFS($A$14:$A$1213,$A788,$P$14:$P$1213,"&gt;"&amp;$P788)+(COUNTIFS($A$14:$A$1213,$A788,$P$14:$P$1213,"="&amp;$P788)+1)/2,"")</f>
        <v/>
      </c>
      <c r="AD788" s="27">
        <f>IF(ISNUMBER($Q788),COUNTIFS($A$14:$A$1213,$A788,$Q$14:$Q$1213,"&gt;"&amp;$Q788)+(COUNTIFS($A$14:$A$1213,$A788,$Q$14:$Q$1213,"="&amp;$Q788)+1)/2,"")</f>
        <v/>
      </c>
      <c r="AE788" s="27">
        <f>IF(ISNUMBER($R788),COUNTIFS($A$14:$A$1213,$A788,$R$14:$R$1213,"&gt;"&amp;$R788)+(COUNTIFS($A$14:$A$1213,$A788,$R$14:$R$1213,"="&amp;$R788)+1)/2,"")</f>
        <v/>
      </c>
      <c r="AF788" s="27">
        <f>IF(ISNUMBER($S788),COUNTIFS($A$14:$A$1213,$A788,$S$14:$S$1213,"&gt;"&amp;$S788)+(COUNTIFS($A$14:$A$1213,$A788,$S$14:$S$1213,"="&amp;$S788)+1)/2,"")</f>
        <v/>
      </c>
      <c r="AG788" s="27">
        <f>IF(ISNUMBER($T788),COUNTIFS($A$14:$A$1213,$A788,$T$14:$T$1213,"&gt;"&amp;$T788)+(COUNTIFS($A$14:$A$1213,$A788,$T$14:$T$1213,"="&amp;$T788)+1)/2,"")</f>
        <v/>
      </c>
      <c r="AH788" s="27">
        <f>IF(COUNT($AC788:$AG788)&lt;2,"",IF(MAX($AC788:$AG788)=MIN($AC788:$AG788),0,1))</f>
        <v/>
      </c>
      <c r="AI788" s="27">
        <f>IF($A788="","",IF(COUNTIF($A$14:$A788,$A788)=1,COUNTIF($AI$13:AI787,"&gt;0")+1,""))</f>
        <v/>
      </c>
      <c r="AO788" s="27">
        <f>IF($A788="","",IF(AND(COUNTIFS($A$14:$A$1213,$A788,$F$14:$F$1213,"&gt;=0")=2,IFERROR(INDEX($M$14:$M$313,MATCH($A788,$H$14:$H$313,0)),"Yes")&lt;&gt;"Yes"),1,0))</f>
        <v/>
      </c>
    </row>
    <row r="789">
      <c r="A789" s="19">
        <f>IF('Enter messages'!A789="","",'Enter messages'!A789)</f>
        <v/>
      </c>
      <c r="B789" s="20">
        <f>IF('Enter messages'!B789="","",'Enter messages'!B789)</f>
        <v/>
      </c>
      <c r="C789" s="21">
        <f>IFERROR(AVERAGE(P789:T789),"")</f>
        <v/>
      </c>
      <c r="D789" s="29" t="n"/>
      <c r="E789" s="29" t="n"/>
      <c r="F789" s="30">
        <f>IF(AND(ISNUMBER($D789),ISNUMBER($E789),$E789&gt;0,$D789&lt;=$E789),$D789/$E789,"")</f>
        <v/>
      </c>
      <c r="P789" s="26" t="n"/>
      <c r="Q789" s="26" t="n"/>
      <c r="R789" s="26" t="n"/>
      <c r="S789" s="26" t="n"/>
      <c r="T789" s="26" t="n"/>
      <c r="V789" s="27">
        <f>IF(ISNUMBER($C789),COUNTIFS($A$14:$A$1213,$A789,$C$14:$C$1213,"&gt;"&amp;$C789)+(COUNTIFS($A$14:$A$1213,$A789,$C$14:$C$1213,"="&amp;$C789)+1)/2,"")</f>
        <v/>
      </c>
      <c r="W789" s="27">
        <f>IF(ISNUMBER($F789),COUNTIFS($A$14:$A$1213,$A789,$F$14:$F$1213,"&gt;"&amp;$F789)+(COUNTIFS($A$14:$A$1213,$A789,$F$14:$F$1213,"="&amp;$F789)+1)/2,"")</f>
        <v/>
      </c>
      <c r="X789" s="27">
        <f>IF(OR(NOT(ISNUMBER($V789)),$AO789=1),"",$V789-(COUNTIFS($A$14:$A$1213,$A789,$C$14:$C$1213,"&gt;=0")+1)/2)</f>
        <v/>
      </c>
      <c r="Y789" s="27">
        <f>IF(OR(NOT(ISNUMBER($W789)),$AO789=1),"",$W789-(COUNTIFS($A$14:$A$1213,$A789,$F$14:$F$1213,"&gt;=0")+1)/2)</f>
        <v/>
      </c>
      <c r="Z789" s="27">
        <f>IF(ISNUMBER($V789),$A789&amp;"|"&amp;$V789,"")</f>
        <v/>
      </c>
      <c r="AA789" s="27">
        <f>IF(ISNUMBER($W789),$A789&amp;"|"&amp;$W789,"")</f>
        <v/>
      </c>
      <c r="AB789" s="27">
        <f>IF(ISNUMBER($F789),$A789&amp;"|"&amp;$F789,"")</f>
        <v/>
      </c>
      <c r="AC789" s="27">
        <f>IF(ISNUMBER($P789),COUNTIFS($A$14:$A$1213,$A789,$P$14:$P$1213,"&gt;"&amp;$P789)+(COUNTIFS($A$14:$A$1213,$A789,$P$14:$P$1213,"="&amp;$P789)+1)/2,"")</f>
        <v/>
      </c>
      <c r="AD789" s="27">
        <f>IF(ISNUMBER($Q789),COUNTIFS($A$14:$A$1213,$A789,$Q$14:$Q$1213,"&gt;"&amp;$Q789)+(COUNTIFS($A$14:$A$1213,$A789,$Q$14:$Q$1213,"="&amp;$Q789)+1)/2,"")</f>
        <v/>
      </c>
      <c r="AE789" s="27">
        <f>IF(ISNUMBER($R789),COUNTIFS($A$14:$A$1213,$A789,$R$14:$R$1213,"&gt;"&amp;$R789)+(COUNTIFS($A$14:$A$1213,$A789,$R$14:$R$1213,"="&amp;$R789)+1)/2,"")</f>
        <v/>
      </c>
      <c r="AF789" s="27">
        <f>IF(ISNUMBER($S789),COUNTIFS($A$14:$A$1213,$A789,$S$14:$S$1213,"&gt;"&amp;$S789)+(COUNTIFS($A$14:$A$1213,$A789,$S$14:$S$1213,"="&amp;$S789)+1)/2,"")</f>
        <v/>
      </c>
      <c r="AG789" s="27">
        <f>IF(ISNUMBER($T789),COUNTIFS($A$14:$A$1213,$A789,$T$14:$T$1213,"&gt;"&amp;$T789)+(COUNTIFS($A$14:$A$1213,$A789,$T$14:$T$1213,"="&amp;$T789)+1)/2,"")</f>
        <v/>
      </c>
      <c r="AH789" s="27">
        <f>IF(COUNT($AC789:$AG789)&lt;2,"",IF(MAX($AC789:$AG789)=MIN($AC789:$AG789),0,1))</f>
        <v/>
      </c>
      <c r="AI789" s="27">
        <f>IF($A789="","",IF(COUNTIF($A$14:$A789,$A789)=1,COUNTIF($AI$13:AI788,"&gt;0")+1,""))</f>
        <v/>
      </c>
      <c r="AO789" s="27">
        <f>IF($A789="","",IF(AND(COUNTIFS($A$14:$A$1213,$A789,$F$14:$F$1213,"&gt;=0")=2,IFERROR(INDEX($M$14:$M$313,MATCH($A789,$H$14:$H$313,0)),"Yes")&lt;&gt;"Yes"),1,0))</f>
        <v/>
      </c>
    </row>
    <row r="790">
      <c r="A790" s="19">
        <f>IF('Enter messages'!A790="","",'Enter messages'!A790)</f>
        <v/>
      </c>
      <c r="B790" s="20">
        <f>IF('Enter messages'!B790="","",'Enter messages'!B790)</f>
        <v/>
      </c>
      <c r="C790" s="21">
        <f>IFERROR(AVERAGE(P790:T790),"")</f>
        <v/>
      </c>
      <c r="D790" s="29" t="n"/>
      <c r="E790" s="29" t="n"/>
      <c r="F790" s="30">
        <f>IF(AND(ISNUMBER($D790),ISNUMBER($E790),$E790&gt;0,$D790&lt;=$E790),$D790/$E790,"")</f>
        <v/>
      </c>
      <c r="P790" s="26" t="n"/>
      <c r="Q790" s="26" t="n"/>
      <c r="R790" s="26" t="n"/>
      <c r="S790" s="26" t="n"/>
      <c r="T790" s="26" t="n"/>
      <c r="V790" s="27">
        <f>IF(ISNUMBER($C790),COUNTIFS($A$14:$A$1213,$A790,$C$14:$C$1213,"&gt;"&amp;$C790)+(COUNTIFS($A$14:$A$1213,$A790,$C$14:$C$1213,"="&amp;$C790)+1)/2,"")</f>
        <v/>
      </c>
      <c r="W790" s="27">
        <f>IF(ISNUMBER($F790),COUNTIFS($A$14:$A$1213,$A790,$F$14:$F$1213,"&gt;"&amp;$F790)+(COUNTIFS($A$14:$A$1213,$A790,$F$14:$F$1213,"="&amp;$F790)+1)/2,"")</f>
        <v/>
      </c>
      <c r="X790" s="27">
        <f>IF(OR(NOT(ISNUMBER($V790)),$AO790=1),"",$V790-(COUNTIFS($A$14:$A$1213,$A790,$C$14:$C$1213,"&gt;=0")+1)/2)</f>
        <v/>
      </c>
      <c r="Y790" s="27">
        <f>IF(OR(NOT(ISNUMBER($W790)),$AO790=1),"",$W790-(COUNTIFS($A$14:$A$1213,$A790,$F$14:$F$1213,"&gt;=0")+1)/2)</f>
        <v/>
      </c>
      <c r="Z790" s="27">
        <f>IF(ISNUMBER($V790),$A790&amp;"|"&amp;$V790,"")</f>
        <v/>
      </c>
      <c r="AA790" s="27">
        <f>IF(ISNUMBER($W790),$A790&amp;"|"&amp;$W790,"")</f>
        <v/>
      </c>
      <c r="AB790" s="27">
        <f>IF(ISNUMBER($F790),$A790&amp;"|"&amp;$F790,"")</f>
        <v/>
      </c>
      <c r="AC790" s="27">
        <f>IF(ISNUMBER($P790),COUNTIFS($A$14:$A$1213,$A790,$P$14:$P$1213,"&gt;"&amp;$P790)+(COUNTIFS($A$14:$A$1213,$A790,$P$14:$P$1213,"="&amp;$P790)+1)/2,"")</f>
        <v/>
      </c>
      <c r="AD790" s="27">
        <f>IF(ISNUMBER($Q790),COUNTIFS($A$14:$A$1213,$A790,$Q$14:$Q$1213,"&gt;"&amp;$Q790)+(COUNTIFS($A$14:$A$1213,$A790,$Q$14:$Q$1213,"="&amp;$Q790)+1)/2,"")</f>
        <v/>
      </c>
      <c r="AE790" s="27">
        <f>IF(ISNUMBER($R790),COUNTIFS($A$14:$A$1213,$A790,$R$14:$R$1213,"&gt;"&amp;$R790)+(COUNTIFS($A$14:$A$1213,$A790,$R$14:$R$1213,"="&amp;$R790)+1)/2,"")</f>
        <v/>
      </c>
      <c r="AF790" s="27">
        <f>IF(ISNUMBER($S790),COUNTIFS($A$14:$A$1213,$A790,$S$14:$S$1213,"&gt;"&amp;$S790)+(COUNTIFS($A$14:$A$1213,$A790,$S$14:$S$1213,"="&amp;$S790)+1)/2,"")</f>
        <v/>
      </c>
      <c r="AG790" s="27">
        <f>IF(ISNUMBER($T790),COUNTIFS($A$14:$A$1213,$A790,$T$14:$T$1213,"&gt;"&amp;$T790)+(COUNTIFS($A$14:$A$1213,$A790,$T$14:$T$1213,"="&amp;$T790)+1)/2,"")</f>
        <v/>
      </c>
      <c r="AH790" s="27">
        <f>IF(COUNT($AC790:$AG790)&lt;2,"",IF(MAX($AC790:$AG790)=MIN($AC790:$AG790),0,1))</f>
        <v/>
      </c>
      <c r="AI790" s="27">
        <f>IF($A790="","",IF(COUNTIF($A$14:$A790,$A790)=1,COUNTIF($AI$13:AI789,"&gt;0")+1,""))</f>
        <v/>
      </c>
      <c r="AO790" s="27">
        <f>IF($A790="","",IF(AND(COUNTIFS($A$14:$A$1213,$A790,$F$14:$F$1213,"&gt;=0")=2,IFERROR(INDEX($M$14:$M$313,MATCH($A790,$H$14:$H$313,0)),"Yes")&lt;&gt;"Yes"),1,0))</f>
        <v/>
      </c>
    </row>
    <row r="791">
      <c r="A791" s="19">
        <f>IF('Enter messages'!A791="","",'Enter messages'!A791)</f>
        <v/>
      </c>
      <c r="B791" s="20">
        <f>IF('Enter messages'!B791="","",'Enter messages'!B791)</f>
        <v/>
      </c>
      <c r="C791" s="21">
        <f>IFERROR(AVERAGE(P791:T791),"")</f>
        <v/>
      </c>
      <c r="D791" s="29" t="n"/>
      <c r="E791" s="29" t="n"/>
      <c r="F791" s="30">
        <f>IF(AND(ISNUMBER($D791),ISNUMBER($E791),$E791&gt;0,$D791&lt;=$E791),$D791/$E791,"")</f>
        <v/>
      </c>
      <c r="P791" s="26" t="n"/>
      <c r="Q791" s="26" t="n"/>
      <c r="R791" s="26" t="n"/>
      <c r="S791" s="26" t="n"/>
      <c r="T791" s="26" t="n"/>
      <c r="V791" s="27">
        <f>IF(ISNUMBER($C791),COUNTIFS($A$14:$A$1213,$A791,$C$14:$C$1213,"&gt;"&amp;$C791)+(COUNTIFS($A$14:$A$1213,$A791,$C$14:$C$1213,"="&amp;$C791)+1)/2,"")</f>
        <v/>
      </c>
      <c r="W791" s="27">
        <f>IF(ISNUMBER($F791),COUNTIFS($A$14:$A$1213,$A791,$F$14:$F$1213,"&gt;"&amp;$F791)+(COUNTIFS($A$14:$A$1213,$A791,$F$14:$F$1213,"="&amp;$F791)+1)/2,"")</f>
        <v/>
      </c>
      <c r="X791" s="27">
        <f>IF(OR(NOT(ISNUMBER($V791)),$AO791=1),"",$V791-(COUNTIFS($A$14:$A$1213,$A791,$C$14:$C$1213,"&gt;=0")+1)/2)</f>
        <v/>
      </c>
      <c r="Y791" s="27">
        <f>IF(OR(NOT(ISNUMBER($W791)),$AO791=1),"",$W791-(COUNTIFS($A$14:$A$1213,$A791,$F$14:$F$1213,"&gt;=0")+1)/2)</f>
        <v/>
      </c>
      <c r="Z791" s="27">
        <f>IF(ISNUMBER($V791),$A791&amp;"|"&amp;$V791,"")</f>
        <v/>
      </c>
      <c r="AA791" s="27">
        <f>IF(ISNUMBER($W791),$A791&amp;"|"&amp;$W791,"")</f>
        <v/>
      </c>
      <c r="AB791" s="27">
        <f>IF(ISNUMBER($F791),$A791&amp;"|"&amp;$F791,"")</f>
        <v/>
      </c>
      <c r="AC791" s="27">
        <f>IF(ISNUMBER($P791),COUNTIFS($A$14:$A$1213,$A791,$P$14:$P$1213,"&gt;"&amp;$P791)+(COUNTIFS($A$14:$A$1213,$A791,$P$14:$P$1213,"="&amp;$P791)+1)/2,"")</f>
        <v/>
      </c>
      <c r="AD791" s="27">
        <f>IF(ISNUMBER($Q791),COUNTIFS($A$14:$A$1213,$A791,$Q$14:$Q$1213,"&gt;"&amp;$Q791)+(COUNTIFS($A$14:$A$1213,$A791,$Q$14:$Q$1213,"="&amp;$Q791)+1)/2,"")</f>
        <v/>
      </c>
      <c r="AE791" s="27">
        <f>IF(ISNUMBER($R791),COUNTIFS($A$14:$A$1213,$A791,$R$14:$R$1213,"&gt;"&amp;$R791)+(COUNTIFS($A$14:$A$1213,$A791,$R$14:$R$1213,"="&amp;$R791)+1)/2,"")</f>
        <v/>
      </c>
      <c r="AF791" s="27">
        <f>IF(ISNUMBER($S791),COUNTIFS($A$14:$A$1213,$A791,$S$14:$S$1213,"&gt;"&amp;$S791)+(COUNTIFS($A$14:$A$1213,$A791,$S$14:$S$1213,"="&amp;$S791)+1)/2,"")</f>
        <v/>
      </c>
      <c r="AG791" s="27">
        <f>IF(ISNUMBER($T791),COUNTIFS($A$14:$A$1213,$A791,$T$14:$T$1213,"&gt;"&amp;$T791)+(COUNTIFS($A$14:$A$1213,$A791,$T$14:$T$1213,"="&amp;$T791)+1)/2,"")</f>
        <v/>
      </c>
      <c r="AH791" s="27">
        <f>IF(COUNT($AC791:$AG791)&lt;2,"",IF(MAX($AC791:$AG791)=MIN($AC791:$AG791),0,1))</f>
        <v/>
      </c>
      <c r="AI791" s="27">
        <f>IF($A791="","",IF(COUNTIF($A$14:$A791,$A791)=1,COUNTIF($AI$13:AI790,"&gt;0")+1,""))</f>
        <v/>
      </c>
      <c r="AO791" s="27">
        <f>IF($A791="","",IF(AND(COUNTIFS($A$14:$A$1213,$A791,$F$14:$F$1213,"&gt;=0")=2,IFERROR(INDEX($M$14:$M$313,MATCH($A791,$H$14:$H$313,0)),"Yes")&lt;&gt;"Yes"),1,0))</f>
        <v/>
      </c>
    </row>
    <row r="792">
      <c r="A792" s="19">
        <f>IF('Enter messages'!A792="","",'Enter messages'!A792)</f>
        <v/>
      </c>
      <c r="B792" s="20">
        <f>IF('Enter messages'!B792="","",'Enter messages'!B792)</f>
        <v/>
      </c>
      <c r="C792" s="21">
        <f>IFERROR(AVERAGE(P792:T792),"")</f>
        <v/>
      </c>
      <c r="D792" s="29" t="n"/>
      <c r="E792" s="29" t="n"/>
      <c r="F792" s="30">
        <f>IF(AND(ISNUMBER($D792),ISNUMBER($E792),$E792&gt;0,$D792&lt;=$E792),$D792/$E792,"")</f>
        <v/>
      </c>
      <c r="P792" s="26" t="n"/>
      <c r="Q792" s="26" t="n"/>
      <c r="R792" s="26" t="n"/>
      <c r="S792" s="26" t="n"/>
      <c r="T792" s="26" t="n"/>
      <c r="V792" s="27">
        <f>IF(ISNUMBER($C792),COUNTIFS($A$14:$A$1213,$A792,$C$14:$C$1213,"&gt;"&amp;$C792)+(COUNTIFS($A$14:$A$1213,$A792,$C$14:$C$1213,"="&amp;$C792)+1)/2,"")</f>
        <v/>
      </c>
      <c r="W792" s="27">
        <f>IF(ISNUMBER($F792),COUNTIFS($A$14:$A$1213,$A792,$F$14:$F$1213,"&gt;"&amp;$F792)+(COUNTIFS($A$14:$A$1213,$A792,$F$14:$F$1213,"="&amp;$F792)+1)/2,"")</f>
        <v/>
      </c>
      <c r="X792" s="27">
        <f>IF(OR(NOT(ISNUMBER($V792)),$AO792=1),"",$V792-(COUNTIFS($A$14:$A$1213,$A792,$C$14:$C$1213,"&gt;=0")+1)/2)</f>
        <v/>
      </c>
      <c r="Y792" s="27">
        <f>IF(OR(NOT(ISNUMBER($W792)),$AO792=1),"",$W792-(COUNTIFS($A$14:$A$1213,$A792,$F$14:$F$1213,"&gt;=0")+1)/2)</f>
        <v/>
      </c>
      <c r="Z792" s="27">
        <f>IF(ISNUMBER($V792),$A792&amp;"|"&amp;$V792,"")</f>
        <v/>
      </c>
      <c r="AA792" s="27">
        <f>IF(ISNUMBER($W792),$A792&amp;"|"&amp;$W792,"")</f>
        <v/>
      </c>
      <c r="AB792" s="27">
        <f>IF(ISNUMBER($F792),$A792&amp;"|"&amp;$F792,"")</f>
        <v/>
      </c>
      <c r="AC792" s="27">
        <f>IF(ISNUMBER($P792),COUNTIFS($A$14:$A$1213,$A792,$P$14:$P$1213,"&gt;"&amp;$P792)+(COUNTIFS($A$14:$A$1213,$A792,$P$14:$P$1213,"="&amp;$P792)+1)/2,"")</f>
        <v/>
      </c>
      <c r="AD792" s="27">
        <f>IF(ISNUMBER($Q792),COUNTIFS($A$14:$A$1213,$A792,$Q$14:$Q$1213,"&gt;"&amp;$Q792)+(COUNTIFS($A$14:$A$1213,$A792,$Q$14:$Q$1213,"="&amp;$Q792)+1)/2,"")</f>
        <v/>
      </c>
      <c r="AE792" s="27">
        <f>IF(ISNUMBER($R792),COUNTIFS($A$14:$A$1213,$A792,$R$14:$R$1213,"&gt;"&amp;$R792)+(COUNTIFS($A$14:$A$1213,$A792,$R$14:$R$1213,"="&amp;$R792)+1)/2,"")</f>
        <v/>
      </c>
      <c r="AF792" s="27">
        <f>IF(ISNUMBER($S792),COUNTIFS($A$14:$A$1213,$A792,$S$14:$S$1213,"&gt;"&amp;$S792)+(COUNTIFS($A$14:$A$1213,$A792,$S$14:$S$1213,"="&amp;$S792)+1)/2,"")</f>
        <v/>
      </c>
      <c r="AG792" s="27">
        <f>IF(ISNUMBER($T792),COUNTIFS($A$14:$A$1213,$A792,$T$14:$T$1213,"&gt;"&amp;$T792)+(COUNTIFS($A$14:$A$1213,$A792,$T$14:$T$1213,"="&amp;$T792)+1)/2,"")</f>
        <v/>
      </c>
      <c r="AH792" s="27">
        <f>IF(COUNT($AC792:$AG792)&lt;2,"",IF(MAX($AC792:$AG792)=MIN($AC792:$AG792),0,1))</f>
        <v/>
      </c>
      <c r="AI792" s="27">
        <f>IF($A792="","",IF(COUNTIF($A$14:$A792,$A792)=1,COUNTIF($AI$13:AI791,"&gt;0")+1,""))</f>
        <v/>
      </c>
      <c r="AO792" s="27">
        <f>IF($A792="","",IF(AND(COUNTIFS($A$14:$A$1213,$A792,$F$14:$F$1213,"&gt;=0")=2,IFERROR(INDEX($M$14:$M$313,MATCH($A792,$H$14:$H$313,0)),"Yes")&lt;&gt;"Yes"),1,0))</f>
        <v/>
      </c>
    </row>
    <row r="793">
      <c r="A793" s="19">
        <f>IF('Enter messages'!A793="","",'Enter messages'!A793)</f>
        <v/>
      </c>
      <c r="B793" s="20">
        <f>IF('Enter messages'!B793="","",'Enter messages'!B793)</f>
        <v/>
      </c>
      <c r="C793" s="21">
        <f>IFERROR(AVERAGE(P793:T793),"")</f>
        <v/>
      </c>
      <c r="D793" s="29" t="n"/>
      <c r="E793" s="29" t="n"/>
      <c r="F793" s="30">
        <f>IF(AND(ISNUMBER($D793),ISNUMBER($E793),$E793&gt;0,$D793&lt;=$E793),$D793/$E793,"")</f>
        <v/>
      </c>
      <c r="P793" s="26" t="n"/>
      <c r="Q793" s="26" t="n"/>
      <c r="R793" s="26" t="n"/>
      <c r="S793" s="26" t="n"/>
      <c r="T793" s="26" t="n"/>
      <c r="V793" s="27">
        <f>IF(ISNUMBER($C793),COUNTIFS($A$14:$A$1213,$A793,$C$14:$C$1213,"&gt;"&amp;$C793)+(COUNTIFS($A$14:$A$1213,$A793,$C$14:$C$1213,"="&amp;$C793)+1)/2,"")</f>
        <v/>
      </c>
      <c r="W793" s="27">
        <f>IF(ISNUMBER($F793),COUNTIFS($A$14:$A$1213,$A793,$F$14:$F$1213,"&gt;"&amp;$F793)+(COUNTIFS($A$14:$A$1213,$A793,$F$14:$F$1213,"="&amp;$F793)+1)/2,"")</f>
        <v/>
      </c>
      <c r="X793" s="27">
        <f>IF(OR(NOT(ISNUMBER($V793)),$AO793=1),"",$V793-(COUNTIFS($A$14:$A$1213,$A793,$C$14:$C$1213,"&gt;=0")+1)/2)</f>
        <v/>
      </c>
      <c r="Y793" s="27">
        <f>IF(OR(NOT(ISNUMBER($W793)),$AO793=1),"",$W793-(COUNTIFS($A$14:$A$1213,$A793,$F$14:$F$1213,"&gt;=0")+1)/2)</f>
        <v/>
      </c>
      <c r="Z793" s="27">
        <f>IF(ISNUMBER($V793),$A793&amp;"|"&amp;$V793,"")</f>
        <v/>
      </c>
      <c r="AA793" s="27">
        <f>IF(ISNUMBER($W793),$A793&amp;"|"&amp;$W793,"")</f>
        <v/>
      </c>
      <c r="AB793" s="27">
        <f>IF(ISNUMBER($F793),$A793&amp;"|"&amp;$F793,"")</f>
        <v/>
      </c>
      <c r="AC793" s="27">
        <f>IF(ISNUMBER($P793),COUNTIFS($A$14:$A$1213,$A793,$P$14:$P$1213,"&gt;"&amp;$P793)+(COUNTIFS($A$14:$A$1213,$A793,$P$14:$P$1213,"="&amp;$P793)+1)/2,"")</f>
        <v/>
      </c>
      <c r="AD793" s="27">
        <f>IF(ISNUMBER($Q793),COUNTIFS($A$14:$A$1213,$A793,$Q$14:$Q$1213,"&gt;"&amp;$Q793)+(COUNTIFS($A$14:$A$1213,$A793,$Q$14:$Q$1213,"="&amp;$Q793)+1)/2,"")</f>
        <v/>
      </c>
      <c r="AE793" s="27">
        <f>IF(ISNUMBER($R793),COUNTIFS($A$14:$A$1213,$A793,$R$14:$R$1213,"&gt;"&amp;$R793)+(COUNTIFS($A$14:$A$1213,$A793,$R$14:$R$1213,"="&amp;$R793)+1)/2,"")</f>
        <v/>
      </c>
      <c r="AF793" s="27">
        <f>IF(ISNUMBER($S793),COUNTIFS($A$14:$A$1213,$A793,$S$14:$S$1213,"&gt;"&amp;$S793)+(COUNTIFS($A$14:$A$1213,$A793,$S$14:$S$1213,"="&amp;$S793)+1)/2,"")</f>
        <v/>
      </c>
      <c r="AG793" s="27">
        <f>IF(ISNUMBER($T793),COUNTIFS($A$14:$A$1213,$A793,$T$14:$T$1213,"&gt;"&amp;$T793)+(COUNTIFS($A$14:$A$1213,$A793,$T$14:$T$1213,"="&amp;$T793)+1)/2,"")</f>
        <v/>
      </c>
      <c r="AH793" s="27">
        <f>IF(COUNT($AC793:$AG793)&lt;2,"",IF(MAX($AC793:$AG793)=MIN($AC793:$AG793),0,1))</f>
        <v/>
      </c>
      <c r="AI793" s="27">
        <f>IF($A793="","",IF(COUNTIF($A$14:$A793,$A793)=1,COUNTIF($AI$13:AI792,"&gt;0")+1,""))</f>
        <v/>
      </c>
      <c r="AO793" s="27">
        <f>IF($A793="","",IF(AND(COUNTIFS($A$14:$A$1213,$A793,$F$14:$F$1213,"&gt;=0")=2,IFERROR(INDEX($M$14:$M$313,MATCH($A793,$H$14:$H$313,0)),"Yes")&lt;&gt;"Yes"),1,0))</f>
        <v/>
      </c>
    </row>
    <row r="794">
      <c r="A794" s="19">
        <f>IF('Enter messages'!A794="","",'Enter messages'!A794)</f>
        <v/>
      </c>
      <c r="B794" s="20">
        <f>IF('Enter messages'!B794="","",'Enter messages'!B794)</f>
        <v/>
      </c>
      <c r="C794" s="21">
        <f>IFERROR(AVERAGE(P794:T794),"")</f>
        <v/>
      </c>
      <c r="D794" s="29" t="n"/>
      <c r="E794" s="29" t="n"/>
      <c r="F794" s="30">
        <f>IF(AND(ISNUMBER($D794),ISNUMBER($E794),$E794&gt;0,$D794&lt;=$E794),$D794/$E794,"")</f>
        <v/>
      </c>
      <c r="P794" s="26" t="n"/>
      <c r="Q794" s="26" t="n"/>
      <c r="R794" s="26" t="n"/>
      <c r="S794" s="26" t="n"/>
      <c r="T794" s="26" t="n"/>
      <c r="V794" s="27">
        <f>IF(ISNUMBER($C794),COUNTIFS($A$14:$A$1213,$A794,$C$14:$C$1213,"&gt;"&amp;$C794)+(COUNTIFS($A$14:$A$1213,$A794,$C$14:$C$1213,"="&amp;$C794)+1)/2,"")</f>
        <v/>
      </c>
      <c r="W794" s="27">
        <f>IF(ISNUMBER($F794),COUNTIFS($A$14:$A$1213,$A794,$F$14:$F$1213,"&gt;"&amp;$F794)+(COUNTIFS($A$14:$A$1213,$A794,$F$14:$F$1213,"="&amp;$F794)+1)/2,"")</f>
        <v/>
      </c>
      <c r="X794" s="27">
        <f>IF(OR(NOT(ISNUMBER($V794)),$AO794=1),"",$V794-(COUNTIFS($A$14:$A$1213,$A794,$C$14:$C$1213,"&gt;=0")+1)/2)</f>
        <v/>
      </c>
      <c r="Y794" s="27">
        <f>IF(OR(NOT(ISNUMBER($W794)),$AO794=1),"",$W794-(COUNTIFS($A$14:$A$1213,$A794,$F$14:$F$1213,"&gt;=0")+1)/2)</f>
        <v/>
      </c>
      <c r="Z794" s="27">
        <f>IF(ISNUMBER($V794),$A794&amp;"|"&amp;$V794,"")</f>
        <v/>
      </c>
      <c r="AA794" s="27">
        <f>IF(ISNUMBER($W794),$A794&amp;"|"&amp;$W794,"")</f>
        <v/>
      </c>
      <c r="AB794" s="27">
        <f>IF(ISNUMBER($F794),$A794&amp;"|"&amp;$F794,"")</f>
        <v/>
      </c>
      <c r="AC794" s="27">
        <f>IF(ISNUMBER($P794),COUNTIFS($A$14:$A$1213,$A794,$P$14:$P$1213,"&gt;"&amp;$P794)+(COUNTIFS($A$14:$A$1213,$A794,$P$14:$P$1213,"="&amp;$P794)+1)/2,"")</f>
        <v/>
      </c>
      <c r="AD794" s="27">
        <f>IF(ISNUMBER($Q794),COUNTIFS($A$14:$A$1213,$A794,$Q$14:$Q$1213,"&gt;"&amp;$Q794)+(COUNTIFS($A$14:$A$1213,$A794,$Q$14:$Q$1213,"="&amp;$Q794)+1)/2,"")</f>
        <v/>
      </c>
      <c r="AE794" s="27">
        <f>IF(ISNUMBER($R794),COUNTIFS($A$14:$A$1213,$A794,$R$14:$R$1213,"&gt;"&amp;$R794)+(COUNTIFS($A$14:$A$1213,$A794,$R$14:$R$1213,"="&amp;$R794)+1)/2,"")</f>
        <v/>
      </c>
      <c r="AF794" s="27">
        <f>IF(ISNUMBER($S794),COUNTIFS($A$14:$A$1213,$A794,$S$14:$S$1213,"&gt;"&amp;$S794)+(COUNTIFS($A$14:$A$1213,$A794,$S$14:$S$1213,"="&amp;$S794)+1)/2,"")</f>
        <v/>
      </c>
      <c r="AG794" s="27">
        <f>IF(ISNUMBER($T794),COUNTIFS($A$14:$A$1213,$A794,$T$14:$T$1213,"&gt;"&amp;$T794)+(COUNTIFS($A$14:$A$1213,$A794,$T$14:$T$1213,"="&amp;$T794)+1)/2,"")</f>
        <v/>
      </c>
      <c r="AH794" s="27">
        <f>IF(COUNT($AC794:$AG794)&lt;2,"",IF(MAX($AC794:$AG794)=MIN($AC794:$AG794),0,1))</f>
        <v/>
      </c>
      <c r="AI794" s="27">
        <f>IF($A794="","",IF(COUNTIF($A$14:$A794,$A794)=1,COUNTIF($AI$13:AI793,"&gt;0")+1,""))</f>
        <v/>
      </c>
      <c r="AO794" s="27">
        <f>IF($A794="","",IF(AND(COUNTIFS($A$14:$A$1213,$A794,$F$14:$F$1213,"&gt;=0")=2,IFERROR(INDEX($M$14:$M$313,MATCH($A794,$H$14:$H$313,0)),"Yes")&lt;&gt;"Yes"),1,0))</f>
        <v/>
      </c>
    </row>
    <row r="795">
      <c r="A795" s="19">
        <f>IF('Enter messages'!A795="","",'Enter messages'!A795)</f>
        <v/>
      </c>
      <c r="B795" s="20">
        <f>IF('Enter messages'!B795="","",'Enter messages'!B795)</f>
        <v/>
      </c>
      <c r="C795" s="21">
        <f>IFERROR(AVERAGE(P795:T795),"")</f>
        <v/>
      </c>
      <c r="D795" s="29" t="n"/>
      <c r="E795" s="29" t="n"/>
      <c r="F795" s="30">
        <f>IF(AND(ISNUMBER($D795),ISNUMBER($E795),$E795&gt;0,$D795&lt;=$E795),$D795/$E795,"")</f>
        <v/>
      </c>
      <c r="P795" s="26" t="n"/>
      <c r="Q795" s="26" t="n"/>
      <c r="R795" s="26" t="n"/>
      <c r="S795" s="26" t="n"/>
      <c r="T795" s="26" t="n"/>
      <c r="V795" s="27">
        <f>IF(ISNUMBER($C795),COUNTIFS($A$14:$A$1213,$A795,$C$14:$C$1213,"&gt;"&amp;$C795)+(COUNTIFS($A$14:$A$1213,$A795,$C$14:$C$1213,"="&amp;$C795)+1)/2,"")</f>
        <v/>
      </c>
      <c r="W795" s="27">
        <f>IF(ISNUMBER($F795),COUNTIFS($A$14:$A$1213,$A795,$F$14:$F$1213,"&gt;"&amp;$F795)+(COUNTIFS($A$14:$A$1213,$A795,$F$14:$F$1213,"="&amp;$F795)+1)/2,"")</f>
        <v/>
      </c>
      <c r="X795" s="27">
        <f>IF(OR(NOT(ISNUMBER($V795)),$AO795=1),"",$V795-(COUNTIFS($A$14:$A$1213,$A795,$C$14:$C$1213,"&gt;=0")+1)/2)</f>
        <v/>
      </c>
      <c r="Y795" s="27">
        <f>IF(OR(NOT(ISNUMBER($W795)),$AO795=1),"",$W795-(COUNTIFS($A$14:$A$1213,$A795,$F$14:$F$1213,"&gt;=0")+1)/2)</f>
        <v/>
      </c>
      <c r="Z795" s="27">
        <f>IF(ISNUMBER($V795),$A795&amp;"|"&amp;$V795,"")</f>
        <v/>
      </c>
      <c r="AA795" s="27">
        <f>IF(ISNUMBER($W795),$A795&amp;"|"&amp;$W795,"")</f>
        <v/>
      </c>
      <c r="AB795" s="27">
        <f>IF(ISNUMBER($F795),$A795&amp;"|"&amp;$F795,"")</f>
        <v/>
      </c>
      <c r="AC795" s="27">
        <f>IF(ISNUMBER($P795),COUNTIFS($A$14:$A$1213,$A795,$P$14:$P$1213,"&gt;"&amp;$P795)+(COUNTIFS($A$14:$A$1213,$A795,$P$14:$P$1213,"="&amp;$P795)+1)/2,"")</f>
        <v/>
      </c>
      <c r="AD795" s="27">
        <f>IF(ISNUMBER($Q795),COUNTIFS($A$14:$A$1213,$A795,$Q$14:$Q$1213,"&gt;"&amp;$Q795)+(COUNTIFS($A$14:$A$1213,$A795,$Q$14:$Q$1213,"="&amp;$Q795)+1)/2,"")</f>
        <v/>
      </c>
      <c r="AE795" s="27">
        <f>IF(ISNUMBER($R795),COUNTIFS($A$14:$A$1213,$A795,$R$14:$R$1213,"&gt;"&amp;$R795)+(COUNTIFS($A$14:$A$1213,$A795,$R$14:$R$1213,"="&amp;$R795)+1)/2,"")</f>
        <v/>
      </c>
      <c r="AF795" s="27">
        <f>IF(ISNUMBER($S795),COUNTIFS($A$14:$A$1213,$A795,$S$14:$S$1213,"&gt;"&amp;$S795)+(COUNTIFS($A$14:$A$1213,$A795,$S$14:$S$1213,"="&amp;$S795)+1)/2,"")</f>
        <v/>
      </c>
      <c r="AG795" s="27">
        <f>IF(ISNUMBER($T795),COUNTIFS($A$14:$A$1213,$A795,$T$14:$T$1213,"&gt;"&amp;$T795)+(COUNTIFS($A$14:$A$1213,$A795,$T$14:$T$1213,"="&amp;$T795)+1)/2,"")</f>
        <v/>
      </c>
      <c r="AH795" s="27">
        <f>IF(COUNT($AC795:$AG795)&lt;2,"",IF(MAX($AC795:$AG795)=MIN($AC795:$AG795),0,1))</f>
        <v/>
      </c>
      <c r="AI795" s="27">
        <f>IF($A795="","",IF(COUNTIF($A$14:$A795,$A795)=1,COUNTIF($AI$13:AI794,"&gt;0")+1,""))</f>
        <v/>
      </c>
      <c r="AO795" s="27">
        <f>IF($A795="","",IF(AND(COUNTIFS($A$14:$A$1213,$A795,$F$14:$F$1213,"&gt;=0")=2,IFERROR(INDEX($M$14:$M$313,MATCH($A795,$H$14:$H$313,0)),"Yes")&lt;&gt;"Yes"),1,0))</f>
        <v/>
      </c>
    </row>
    <row r="796">
      <c r="A796" s="19">
        <f>IF('Enter messages'!A796="","",'Enter messages'!A796)</f>
        <v/>
      </c>
      <c r="B796" s="20">
        <f>IF('Enter messages'!B796="","",'Enter messages'!B796)</f>
        <v/>
      </c>
      <c r="C796" s="21">
        <f>IFERROR(AVERAGE(P796:T796),"")</f>
        <v/>
      </c>
      <c r="D796" s="29" t="n"/>
      <c r="E796" s="29" t="n"/>
      <c r="F796" s="30">
        <f>IF(AND(ISNUMBER($D796),ISNUMBER($E796),$E796&gt;0,$D796&lt;=$E796),$D796/$E796,"")</f>
        <v/>
      </c>
      <c r="P796" s="26" t="n"/>
      <c r="Q796" s="26" t="n"/>
      <c r="R796" s="26" t="n"/>
      <c r="S796" s="26" t="n"/>
      <c r="T796" s="26" t="n"/>
      <c r="V796" s="27">
        <f>IF(ISNUMBER($C796),COUNTIFS($A$14:$A$1213,$A796,$C$14:$C$1213,"&gt;"&amp;$C796)+(COUNTIFS($A$14:$A$1213,$A796,$C$14:$C$1213,"="&amp;$C796)+1)/2,"")</f>
        <v/>
      </c>
      <c r="W796" s="27">
        <f>IF(ISNUMBER($F796),COUNTIFS($A$14:$A$1213,$A796,$F$14:$F$1213,"&gt;"&amp;$F796)+(COUNTIFS($A$14:$A$1213,$A796,$F$14:$F$1213,"="&amp;$F796)+1)/2,"")</f>
        <v/>
      </c>
      <c r="X796" s="27">
        <f>IF(OR(NOT(ISNUMBER($V796)),$AO796=1),"",$V796-(COUNTIFS($A$14:$A$1213,$A796,$C$14:$C$1213,"&gt;=0")+1)/2)</f>
        <v/>
      </c>
      <c r="Y796" s="27">
        <f>IF(OR(NOT(ISNUMBER($W796)),$AO796=1),"",$W796-(COUNTIFS($A$14:$A$1213,$A796,$F$14:$F$1213,"&gt;=0")+1)/2)</f>
        <v/>
      </c>
      <c r="Z796" s="27">
        <f>IF(ISNUMBER($V796),$A796&amp;"|"&amp;$V796,"")</f>
        <v/>
      </c>
      <c r="AA796" s="27">
        <f>IF(ISNUMBER($W796),$A796&amp;"|"&amp;$W796,"")</f>
        <v/>
      </c>
      <c r="AB796" s="27">
        <f>IF(ISNUMBER($F796),$A796&amp;"|"&amp;$F796,"")</f>
        <v/>
      </c>
      <c r="AC796" s="27">
        <f>IF(ISNUMBER($P796),COUNTIFS($A$14:$A$1213,$A796,$P$14:$P$1213,"&gt;"&amp;$P796)+(COUNTIFS($A$14:$A$1213,$A796,$P$14:$P$1213,"="&amp;$P796)+1)/2,"")</f>
        <v/>
      </c>
      <c r="AD796" s="27">
        <f>IF(ISNUMBER($Q796),COUNTIFS($A$14:$A$1213,$A796,$Q$14:$Q$1213,"&gt;"&amp;$Q796)+(COUNTIFS($A$14:$A$1213,$A796,$Q$14:$Q$1213,"="&amp;$Q796)+1)/2,"")</f>
        <v/>
      </c>
      <c r="AE796" s="27">
        <f>IF(ISNUMBER($R796),COUNTIFS($A$14:$A$1213,$A796,$R$14:$R$1213,"&gt;"&amp;$R796)+(COUNTIFS($A$14:$A$1213,$A796,$R$14:$R$1213,"="&amp;$R796)+1)/2,"")</f>
        <v/>
      </c>
      <c r="AF796" s="27">
        <f>IF(ISNUMBER($S796),COUNTIFS($A$14:$A$1213,$A796,$S$14:$S$1213,"&gt;"&amp;$S796)+(COUNTIFS($A$14:$A$1213,$A796,$S$14:$S$1213,"="&amp;$S796)+1)/2,"")</f>
        <v/>
      </c>
      <c r="AG796" s="27">
        <f>IF(ISNUMBER($T796),COUNTIFS($A$14:$A$1213,$A796,$T$14:$T$1213,"&gt;"&amp;$T796)+(COUNTIFS($A$14:$A$1213,$A796,$T$14:$T$1213,"="&amp;$T796)+1)/2,"")</f>
        <v/>
      </c>
      <c r="AH796" s="27">
        <f>IF(COUNT($AC796:$AG796)&lt;2,"",IF(MAX($AC796:$AG796)=MIN($AC796:$AG796),0,1))</f>
        <v/>
      </c>
      <c r="AI796" s="27">
        <f>IF($A796="","",IF(COUNTIF($A$14:$A796,$A796)=1,COUNTIF($AI$13:AI795,"&gt;0")+1,""))</f>
        <v/>
      </c>
      <c r="AO796" s="27">
        <f>IF($A796="","",IF(AND(COUNTIFS($A$14:$A$1213,$A796,$F$14:$F$1213,"&gt;=0")=2,IFERROR(INDEX($M$14:$M$313,MATCH($A796,$H$14:$H$313,0)),"Yes")&lt;&gt;"Yes"),1,0))</f>
        <v/>
      </c>
    </row>
    <row r="797">
      <c r="A797" s="19">
        <f>IF('Enter messages'!A797="","",'Enter messages'!A797)</f>
        <v/>
      </c>
      <c r="B797" s="20">
        <f>IF('Enter messages'!B797="","",'Enter messages'!B797)</f>
        <v/>
      </c>
      <c r="C797" s="21">
        <f>IFERROR(AVERAGE(P797:T797),"")</f>
        <v/>
      </c>
      <c r="D797" s="29" t="n"/>
      <c r="E797" s="29" t="n"/>
      <c r="F797" s="30">
        <f>IF(AND(ISNUMBER($D797),ISNUMBER($E797),$E797&gt;0,$D797&lt;=$E797),$D797/$E797,"")</f>
        <v/>
      </c>
      <c r="P797" s="26" t="n"/>
      <c r="Q797" s="26" t="n"/>
      <c r="R797" s="26" t="n"/>
      <c r="S797" s="26" t="n"/>
      <c r="T797" s="26" t="n"/>
      <c r="V797" s="27">
        <f>IF(ISNUMBER($C797),COUNTIFS($A$14:$A$1213,$A797,$C$14:$C$1213,"&gt;"&amp;$C797)+(COUNTIFS($A$14:$A$1213,$A797,$C$14:$C$1213,"="&amp;$C797)+1)/2,"")</f>
        <v/>
      </c>
      <c r="W797" s="27">
        <f>IF(ISNUMBER($F797),COUNTIFS($A$14:$A$1213,$A797,$F$14:$F$1213,"&gt;"&amp;$F797)+(COUNTIFS($A$14:$A$1213,$A797,$F$14:$F$1213,"="&amp;$F797)+1)/2,"")</f>
        <v/>
      </c>
      <c r="X797" s="27">
        <f>IF(OR(NOT(ISNUMBER($V797)),$AO797=1),"",$V797-(COUNTIFS($A$14:$A$1213,$A797,$C$14:$C$1213,"&gt;=0")+1)/2)</f>
        <v/>
      </c>
      <c r="Y797" s="27">
        <f>IF(OR(NOT(ISNUMBER($W797)),$AO797=1),"",$W797-(COUNTIFS($A$14:$A$1213,$A797,$F$14:$F$1213,"&gt;=0")+1)/2)</f>
        <v/>
      </c>
      <c r="Z797" s="27">
        <f>IF(ISNUMBER($V797),$A797&amp;"|"&amp;$V797,"")</f>
        <v/>
      </c>
      <c r="AA797" s="27">
        <f>IF(ISNUMBER($W797),$A797&amp;"|"&amp;$W797,"")</f>
        <v/>
      </c>
      <c r="AB797" s="27">
        <f>IF(ISNUMBER($F797),$A797&amp;"|"&amp;$F797,"")</f>
        <v/>
      </c>
      <c r="AC797" s="27">
        <f>IF(ISNUMBER($P797),COUNTIFS($A$14:$A$1213,$A797,$P$14:$P$1213,"&gt;"&amp;$P797)+(COUNTIFS($A$14:$A$1213,$A797,$P$14:$P$1213,"="&amp;$P797)+1)/2,"")</f>
        <v/>
      </c>
      <c r="AD797" s="27">
        <f>IF(ISNUMBER($Q797),COUNTIFS($A$14:$A$1213,$A797,$Q$14:$Q$1213,"&gt;"&amp;$Q797)+(COUNTIFS($A$14:$A$1213,$A797,$Q$14:$Q$1213,"="&amp;$Q797)+1)/2,"")</f>
        <v/>
      </c>
      <c r="AE797" s="27">
        <f>IF(ISNUMBER($R797),COUNTIFS($A$14:$A$1213,$A797,$R$14:$R$1213,"&gt;"&amp;$R797)+(COUNTIFS($A$14:$A$1213,$A797,$R$14:$R$1213,"="&amp;$R797)+1)/2,"")</f>
        <v/>
      </c>
      <c r="AF797" s="27">
        <f>IF(ISNUMBER($S797),COUNTIFS($A$14:$A$1213,$A797,$S$14:$S$1213,"&gt;"&amp;$S797)+(COUNTIFS($A$14:$A$1213,$A797,$S$14:$S$1213,"="&amp;$S797)+1)/2,"")</f>
        <v/>
      </c>
      <c r="AG797" s="27">
        <f>IF(ISNUMBER($T797),COUNTIFS($A$14:$A$1213,$A797,$T$14:$T$1213,"&gt;"&amp;$T797)+(COUNTIFS($A$14:$A$1213,$A797,$T$14:$T$1213,"="&amp;$T797)+1)/2,"")</f>
        <v/>
      </c>
      <c r="AH797" s="27">
        <f>IF(COUNT($AC797:$AG797)&lt;2,"",IF(MAX($AC797:$AG797)=MIN($AC797:$AG797),0,1))</f>
        <v/>
      </c>
      <c r="AI797" s="27">
        <f>IF($A797="","",IF(COUNTIF($A$14:$A797,$A797)=1,COUNTIF($AI$13:AI796,"&gt;0")+1,""))</f>
        <v/>
      </c>
      <c r="AO797" s="27">
        <f>IF($A797="","",IF(AND(COUNTIFS($A$14:$A$1213,$A797,$F$14:$F$1213,"&gt;=0")=2,IFERROR(INDEX($M$14:$M$313,MATCH($A797,$H$14:$H$313,0)),"Yes")&lt;&gt;"Yes"),1,0))</f>
        <v/>
      </c>
    </row>
    <row r="798">
      <c r="A798" s="19">
        <f>IF('Enter messages'!A798="","",'Enter messages'!A798)</f>
        <v/>
      </c>
      <c r="B798" s="20">
        <f>IF('Enter messages'!B798="","",'Enter messages'!B798)</f>
        <v/>
      </c>
      <c r="C798" s="21">
        <f>IFERROR(AVERAGE(P798:T798),"")</f>
        <v/>
      </c>
      <c r="D798" s="29" t="n"/>
      <c r="E798" s="29" t="n"/>
      <c r="F798" s="30">
        <f>IF(AND(ISNUMBER($D798),ISNUMBER($E798),$E798&gt;0,$D798&lt;=$E798),$D798/$E798,"")</f>
        <v/>
      </c>
      <c r="P798" s="26" t="n"/>
      <c r="Q798" s="26" t="n"/>
      <c r="R798" s="26" t="n"/>
      <c r="S798" s="26" t="n"/>
      <c r="T798" s="26" t="n"/>
      <c r="V798" s="27">
        <f>IF(ISNUMBER($C798),COUNTIFS($A$14:$A$1213,$A798,$C$14:$C$1213,"&gt;"&amp;$C798)+(COUNTIFS($A$14:$A$1213,$A798,$C$14:$C$1213,"="&amp;$C798)+1)/2,"")</f>
        <v/>
      </c>
      <c r="W798" s="27">
        <f>IF(ISNUMBER($F798),COUNTIFS($A$14:$A$1213,$A798,$F$14:$F$1213,"&gt;"&amp;$F798)+(COUNTIFS($A$14:$A$1213,$A798,$F$14:$F$1213,"="&amp;$F798)+1)/2,"")</f>
        <v/>
      </c>
      <c r="X798" s="27">
        <f>IF(OR(NOT(ISNUMBER($V798)),$AO798=1),"",$V798-(COUNTIFS($A$14:$A$1213,$A798,$C$14:$C$1213,"&gt;=0")+1)/2)</f>
        <v/>
      </c>
      <c r="Y798" s="27">
        <f>IF(OR(NOT(ISNUMBER($W798)),$AO798=1),"",$W798-(COUNTIFS($A$14:$A$1213,$A798,$F$14:$F$1213,"&gt;=0")+1)/2)</f>
        <v/>
      </c>
      <c r="Z798" s="27">
        <f>IF(ISNUMBER($V798),$A798&amp;"|"&amp;$V798,"")</f>
        <v/>
      </c>
      <c r="AA798" s="27">
        <f>IF(ISNUMBER($W798),$A798&amp;"|"&amp;$W798,"")</f>
        <v/>
      </c>
      <c r="AB798" s="27">
        <f>IF(ISNUMBER($F798),$A798&amp;"|"&amp;$F798,"")</f>
        <v/>
      </c>
      <c r="AC798" s="27">
        <f>IF(ISNUMBER($P798),COUNTIFS($A$14:$A$1213,$A798,$P$14:$P$1213,"&gt;"&amp;$P798)+(COUNTIFS($A$14:$A$1213,$A798,$P$14:$P$1213,"="&amp;$P798)+1)/2,"")</f>
        <v/>
      </c>
      <c r="AD798" s="27">
        <f>IF(ISNUMBER($Q798),COUNTIFS($A$14:$A$1213,$A798,$Q$14:$Q$1213,"&gt;"&amp;$Q798)+(COUNTIFS($A$14:$A$1213,$A798,$Q$14:$Q$1213,"="&amp;$Q798)+1)/2,"")</f>
        <v/>
      </c>
      <c r="AE798" s="27">
        <f>IF(ISNUMBER($R798),COUNTIFS($A$14:$A$1213,$A798,$R$14:$R$1213,"&gt;"&amp;$R798)+(COUNTIFS($A$14:$A$1213,$A798,$R$14:$R$1213,"="&amp;$R798)+1)/2,"")</f>
        <v/>
      </c>
      <c r="AF798" s="27">
        <f>IF(ISNUMBER($S798),COUNTIFS($A$14:$A$1213,$A798,$S$14:$S$1213,"&gt;"&amp;$S798)+(COUNTIFS($A$14:$A$1213,$A798,$S$14:$S$1213,"="&amp;$S798)+1)/2,"")</f>
        <v/>
      </c>
      <c r="AG798" s="27">
        <f>IF(ISNUMBER($T798),COUNTIFS($A$14:$A$1213,$A798,$T$14:$T$1213,"&gt;"&amp;$T798)+(COUNTIFS($A$14:$A$1213,$A798,$T$14:$T$1213,"="&amp;$T798)+1)/2,"")</f>
        <v/>
      </c>
      <c r="AH798" s="27">
        <f>IF(COUNT($AC798:$AG798)&lt;2,"",IF(MAX($AC798:$AG798)=MIN($AC798:$AG798),0,1))</f>
        <v/>
      </c>
      <c r="AI798" s="27">
        <f>IF($A798="","",IF(COUNTIF($A$14:$A798,$A798)=1,COUNTIF($AI$13:AI797,"&gt;0")+1,""))</f>
        <v/>
      </c>
      <c r="AO798" s="27">
        <f>IF($A798="","",IF(AND(COUNTIFS($A$14:$A$1213,$A798,$F$14:$F$1213,"&gt;=0")=2,IFERROR(INDEX($M$14:$M$313,MATCH($A798,$H$14:$H$313,0)),"Yes")&lt;&gt;"Yes"),1,0))</f>
        <v/>
      </c>
    </row>
    <row r="799">
      <c r="A799" s="19">
        <f>IF('Enter messages'!A799="","",'Enter messages'!A799)</f>
        <v/>
      </c>
      <c r="B799" s="20">
        <f>IF('Enter messages'!B799="","",'Enter messages'!B799)</f>
        <v/>
      </c>
      <c r="C799" s="21">
        <f>IFERROR(AVERAGE(P799:T799),"")</f>
        <v/>
      </c>
      <c r="D799" s="29" t="n"/>
      <c r="E799" s="29" t="n"/>
      <c r="F799" s="30">
        <f>IF(AND(ISNUMBER($D799),ISNUMBER($E799),$E799&gt;0,$D799&lt;=$E799),$D799/$E799,"")</f>
        <v/>
      </c>
      <c r="P799" s="26" t="n"/>
      <c r="Q799" s="26" t="n"/>
      <c r="R799" s="26" t="n"/>
      <c r="S799" s="26" t="n"/>
      <c r="T799" s="26" t="n"/>
      <c r="V799" s="27">
        <f>IF(ISNUMBER($C799),COUNTIFS($A$14:$A$1213,$A799,$C$14:$C$1213,"&gt;"&amp;$C799)+(COUNTIFS($A$14:$A$1213,$A799,$C$14:$C$1213,"="&amp;$C799)+1)/2,"")</f>
        <v/>
      </c>
      <c r="W799" s="27">
        <f>IF(ISNUMBER($F799),COUNTIFS($A$14:$A$1213,$A799,$F$14:$F$1213,"&gt;"&amp;$F799)+(COUNTIFS($A$14:$A$1213,$A799,$F$14:$F$1213,"="&amp;$F799)+1)/2,"")</f>
        <v/>
      </c>
      <c r="X799" s="27">
        <f>IF(OR(NOT(ISNUMBER($V799)),$AO799=1),"",$V799-(COUNTIFS($A$14:$A$1213,$A799,$C$14:$C$1213,"&gt;=0")+1)/2)</f>
        <v/>
      </c>
      <c r="Y799" s="27">
        <f>IF(OR(NOT(ISNUMBER($W799)),$AO799=1),"",$W799-(COUNTIFS($A$14:$A$1213,$A799,$F$14:$F$1213,"&gt;=0")+1)/2)</f>
        <v/>
      </c>
      <c r="Z799" s="27">
        <f>IF(ISNUMBER($V799),$A799&amp;"|"&amp;$V799,"")</f>
        <v/>
      </c>
      <c r="AA799" s="27">
        <f>IF(ISNUMBER($W799),$A799&amp;"|"&amp;$W799,"")</f>
        <v/>
      </c>
      <c r="AB799" s="27">
        <f>IF(ISNUMBER($F799),$A799&amp;"|"&amp;$F799,"")</f>
        <v/>
      </c>
      <c r="AC799" s="27">
        <f>IF(ISNUMBER($P799),COUNTIFS($A$14:$A$1213,$A799,$P$14:$P$1213,"&gt;"&amp;$P799)+(COUNTIFS($A$14:$A$1213,$A799,$P$14:$P$1213,"="&amp;$P799)+1)/2,"")</f>
        <v/>
      </c>
      <c r="AD799" s="27">
        <f>IF(ISNUMBER($Q799),COUNTIFS($A$14:$A$1213,$A799,$Q$14:$Q$1213,"&gt;"&amp;$Q799)+(COUNTIFS($A$14:$A$1213,$A799,$Q$14:$Q$1213,"="&amp;$Q799)+1)/2,"")</f>
        <v/>
      </c>
      <c r="AE799" s="27">
        <f>IF(ISNUMBER($R799),COUNTIFS($A$14:$A$1213,$A799,$R$14:$R$1213,"&gt;"&amp;$R799)+(COUNTIFS($A$14:$A$1213,$A799,$R$14:$R$1213,"="&amp;$R799)+1)/2,"")</f>
        <v/>
      </c>
      <c r="AF799" s="27">
        <f>IF(ISNUMBER($S799),COUNTIFS($A$14:$A$1213,$A799,$S$14:$S$1213,"&gt;"&amp;$S799)+(COUNTIFS($A$14:$A$1213,$A799,$S$14:$S$1213,"="&amp;$S799)+1)/2,"")</f>
        <v/>
      </c>
      <c r="AG799" s="27">
        <f>IF(ISNUMBER($T799),COUNTIFS($A$14:$A$1213,$A799,$T$14:$T$1213,"&gt;"&amp;$T799)+(COUNTIFS($A$14:$A$1213,$A799,$T$14:$T$1213,"="&amp;$T799)+1)/2,"")</f>
        <v/>
      </c>
      <c r="AH799" s="27">
        <f>IF(COUNT($AC799:$AG799)&lt;2,"",IF(MAX($AC799:$AG799)=MIN($AC799:$AG799),0,1))</f>
        <v/>
      </c>
      <c r="AI799" s="27">
        <f>IF($A799="","",IF(COUNTIF($A$14:$A799,$A799)=1,COUNTIF($AI$13:AI798,"&gt;0")+1,""))</f>
        <v/>
      </c>
      <c r="AO799" s="27">
        <f>IF($A799="","",IF(AND(COUNTIFS($A$14:$A$1213,$A799,$F$14:$F$1213,"&gt;=0")=2,IFERROR(INDEX($M$14:$M$313,MATCH($A799,$H$14:$H$313,0)),"Yes")&lt;&gt;"Yes"),1,0))</f>
        <v/>
      </c>
    </row>
    <row r="800">
      <c r="A800" s="19">
        <f>IF('Enter messages'!A800="","",'Enter messages'!A800)</f>
        <v/>
      </c>
      <c r="B800" s="20">
        <f>IF('Enter messages'!B800="","",'Enter messages'!B800)</f>
        <v/>
      </c>
      <c r="C800" s="21">
        <f>IFERROR(AVERAGE(P800:T800),"")</f>
        <v/>
      </c>
      <c r="D800" s="29" t="n"/>
      <c r="E800" s="29" t="n"/>
      <c r="F800" s="30">
        <f>IF(AND(ISNUMBER($D800),ISNUMBER($E800),$E800&gt;0,$D800&lt;=$E800),$D800/$E800,"")</f>
        <v/>
      </c>
      <c r="P800" s="26" t="n"/>
      <c r="Q800" s="26" t="n"/>
      <c r="R800" s="26" t="n"/>
      <c r="S800" s="26" t="n"/>
      <c r="T800" s="26" t="n"/>
      <c r="V800" s="27">
        <f>IF(ISNUMBER($C800),COUNTIFS($A$14:$A$1213,$A800,$C$14:$C$1213,"&gt;"&amp;$C800)+(COUNTIFS($A$14:$A$1213,$A800,$C$14:$C$1213,"="&amp;$C800)+1)/2,"")</f>
        <v/>
      </c>
      <c r="W800" s="27">
        <f>IF(ISNUMBER($F800),COUNTIFS($A$14:$A$1213,$A800,$F$14:$F$1213,"&gt;"&amp;$F800)+(COUNTIFS($A$14:$A$1213,$A800,$F$14:$F$1213,"="&amp;$F800)+1)/2,"")</f>
        <v/>
      </c>
      <c r="X800" s="27">
        <f>IF(OR(NOT(ISNUMBER($V800)),$AO800=1),"",$V800-(COUNTIFS($A$14:$A$1213,$A800,$C$14:$C$1213,"&gt;=0")+1)/2)</f>
        <v/>
      </c>
      <c r="Y800" s="27">
        <f>IF(OR(NOT(ISNUMBER($W800)),$AO800=1),"",$W800-(COUNTIFS($A$14:$A$1213,$A800,$F$14:$F$1213,"&gt;=0")+1)/2)</f>
        <v/>
      </c>
      <c r="Z800" s="27">
        <f>IF(ISNUMBER($V800),$A800&amp;"|"&amp;$V800,"")</f>
        <v/>
      </c>
      <c r="AA800" s="27">
        <f>IF(ISNUMBER($W800),$A800&amp;"|"&amp;$W800,"")</f>
        <v/>
      </c>
      <c r="AB800" s="27">
        <f>IF(ISNUMBER($F800),$A800&amp;"|"&amp;$F800,"")</f>
        <v/>
      </c>
      <c r="AC800" s="27">
        <f>IF(ISNUMBER($P800),COUNTIFS($A$14:$A$1213,$A800,$P$14:$P$1213,"&gt;"&amp;$P800)+(COUNTIFS($A$14:$A$1213,$A800,$P$14:$P$1213,"="&amp;$P800)+1)/2,"")</f>
        <v/>
      </c>
      <c r="AD800" s="27">
        <f>IF(ISNUMBER($Q800),COUNTIFS($A$14:$A$1213,$A800,$Q$14:$Q$1213,"&gt;"&amp;$Q800)+(COUNTIFS($A$14:$A$1213,$A800,$Q$14:$Q$1213,"="&amp;$Q800)+1)/2,"")</f>
        <v/>
      </c>
      <c r="AE800" s="27">
        <f>IF(ISNUMBER($R800),COUNTIFS($A$14:$A$1213,$A800,$R$14:$R$1213,"&gt;"&amp;$R800)+(COUNTIFS($A$14:$A$1213,$A800,$R$14:$R$1213,"="&amp;$R800)+1)/2,"")</f>
        <v/>
      </c>
      <c r="AF800" s="27">
        <f>IF(ISNUMBER($S800),COUNTIFS($A$14:$A$1213,$A800,$S$14:$S$1213,"&gt;"&amp;$S800)+(COUNTIFS($A$14:$A$1213,$A800,$S$14:$S$1213,"="&amp;$S800)+1)/2,"")</f>
        <v/>
      </c>
      <c r="AG800" s="27">
        <f>IF(ISNUMBER($T800),COUNTIFS($A$14:$A$1213,$A800,$T$14:$T$1213,"&gt;"&amp;$T800)+(COUNTIFS($A$14:$A$1213,$A800,$T$14:$T$1213,"="&amp;$T800)+1)/2,"")</f>
        <v/>
      </c>
      <c r="AH800" s="27">
        <f>IF(COUNT($AC800:$AG800)&lt;2,"",IF(MAX($AC800:$AG800)=MIN($AC800:$AG800),0,1))</f>
        <v/>
      </c>
      <c r="AI800" s="27">
        <f>IF($A800="","",IF(COUNTIF($A$14:$A800,$A800)=1,COUNTIF($AI$13:AI799,"&gt;0")+1,""))</f>
        <v/>
      </c>
      <c r="AO800" s="27">
        <f>IF($A800="","",IF(AND(COUNTIFS($A$14:$A$1213,$A800,$F$14:$F$1213,"&gt;=0")=2,IFERROR(INDEX($M$14:$M$313,MATCH($A800,$H$14:$H$313,0)),"Yes")&lt;&gt;"Yes"),1,0))</f>
        <v/>
      </c>
    </row>
    <row r="801">
      <c r="A801" s="19">
        <f>IF('Enter messages'!A801="","",'Enter messages'!A801)</f>
        <v/>
      </c>
      <c r="B801" s="20">
        <f>IF('Enter messages'!B801="","",'Enter messages'!B801)</f>
        <v/>
      </c>
      <c r="C801" s="21">
        <f>IFERROR(AVERAGE(P801:T801),"")</f>
        <v/>
      </c>
      <c r="D801" s="29" t="n"/>
      <c r="E801" s="29" t="n"/>
      <c r="F801" s="30">
        <f>IF(AND(ISNUMBER($D801),ISNUMBER($E801),$E801&gt;0,$D801&lt;=$E801),$D801/$E801,"")</f>
        <v/>
      </c>
      <c r="P801" s="26" t="n"/>
      <c r="Q801" s="26" t="n"/>
      <c r="R801" s="26" t="n"/>
      <c r="S801" s="26" t="n"/>
      <c r="T801" s="26" t="n"/>
      <c r="V801" s="27">
        <f>IF(ISNUMBER($C801),COUNTIFS($A$14:$A$1213,$A801,$C$14:$C$1213,"&gt;"&amp;$C801)+(COUNTIFS($A$14:$A$1213,$A801,$C$14:$C$1213,"="&amp;$C801)+1)/2,"")</f>
        <v/>
      </c>
      <c r="W801" s="27">
        <f>IF(ISNUMBER($F801),COUNTIFS($A$14:$A$1213,$A801,$F$14:$F$1213,"&gt;"&amp;$F801)+(COUNTIFS($A$14:$A$1213,$A801,$F$14:$F$1213,"="&amp;$F801)+1)/2,"")</f>
        <v/>
      </c>
      <c r="X801" s="27">
        <f>IF(OR(NOT(ISNUMBER($V801)),$AO801=1),"",$V801-(COUNTIFS($A$14:$A$1213,$A801,$C$14:$C$1213,"&gt;=0")+1)/2)</f>
        <v/>
      </c>
      <c r="Y801" s="27">
        <f>IF(OR(NOT(ISNUMBER($W801)),$AO801=1),"",$W801-(COUNTIFS($A$14:$A$1213,$A801,$F$14:$F$1213,"&gt;=0")+1)/2)</f>
        <v/>
      </c>
      <c r="Z801" s="27">
        <f>IF(ISNUMBER($V801),$A801&amp;"|"&amp;$V801,"")</f>
        <v/>
      </c>
      <c r="AA801" s="27">
        <f>IF(ISNUMBER($W801),$A801&amp;"|"&amp;$W801,"")</f>
        <v/>
      </c>
      <c r="AB801" s="27">
        <f>IF(ISNUMBER($F801),$A801&amp;"|"&amp;$F801,"")</f>
        <v/>
      </c>
      <c r="AC801" s="27">
        <f>IF(ISNUMBER($P801),COUNTIFS($A$14:$A$1213,$A801,$P$14:$P$1213,"&gt;"&amp;$P801)+(COUNTIFS($A$14:$A$1213,$A801,$P$14:$P$1213,"="&amp;$P801)+1)/2,"")</f>
        <v/>
      </c>
      <c r="AD801" s="27">
        <f>IF(ISNUMBER($Q801),COUNTIFS($A$14:$A$1213,$A801,$Q$14:$Q$1213,"&gt;"&amp;$Q801)+(COUNTIFS($A$14:$A$1213,$A801,$Q$14:$Q$1213,"="&amp;$Q801)+1)/2,"")</f>
        <v/>
      </c>
      <c r="AE801" s="27">
        <f>IF(ISNUMBER($R801),COUNTIFS($A$14:$A$1213,$A801,$R$14:$R$1213,"&gt;"&amp;$R801)+(COUNTIFS($A$14:$A$1213,$A801,$R$14:$R$1213,"="&amp;$R801)+1)/2,"")</f>
        <v/>
      </c>
      <c r="AF801" s="27">
        <f>IF(ISNUMBER($S801),COUNTIFS($A$14:$A$1213,$A801,$S$14:$S$1213,"&gt;"&amp;$S801)+(COUNTIFS($A$14:$A$1213,$A801,$S$14:$S$1213,"="&amp;$S801)+1)/2,"")</f>
        <v/>
      </c>
      <c r="AG801" s="27">
        <f>IF(ISNUMBER($T801),COUNTIFS($A$14:$A$1213,$A801,$T$14:$T$1213,"&gt;"&amp;$T801)+(COUNTIFS($A$14:$A$1213,$A801,$T$14:$T$1213,"="&amp;$T801)+1)/2,"")</f>
        <v/>
      </c>
      <c r="AH801" s="27">
        <f>IF(COUNT($AC801:$AG801)&lt;2,"",IF(MAX($AC801:$AG801)=MIN($AC801:$AG801),0,1))</f>
        <v/>
      </c>
      <c r="AI801" s="27">
        <f>IF($A801="","",IF(COUNTIF($A$14:$A801,$A801)=1,COUNTIF($AI$13:AI800,"&gt;0")+1,""))</f>
        <v/>
      </c>
      <c r="AO801" s="27">
        <f>IF($A801="","",IF(AND(COUNTIFS($A$14:$A$1213,$A801,$F$14:$F$1213,"&gt;=0")=2,IFERROR(INDEX($M$14:$M$313,MATCH($A801,$H$14:$H$313,0)),"Yes")&lt;&gt;"Yes"),1,0))</f>
        <v/>
      </c>
    </row>
    <row r="802">
      <c r="A802" s="19">
        <f>IF('Enter messages'!A802="","",'Enter messages'!A802)</f>
        <v/>
      </c>
      <c r="B802" s="20">
        <f>IF('Enter messages'!B802="","",'Enter messages'!B802)</f>
        <v/>
      </c>
      <c r="C802" s="21">
        <f>IFERROR(AVERAGE(P802:T802),"")</f>
        <v/>
      </c>
      <c r="D802" s="29" t="n"/>
      <c r="E802" s="29" t="n"/>
      <c r="F802" s="30">
        <f>IF(AND(ISNUMBER($D802),ISNUMBER($E802),$E802&gt;0,$D802&lt;=$E802),$D802/$E802,"")</f>
        <v/>
      </c>
      <c r="P802" s="26" t="n"/>
      <c r="Q802" s="26" t="n"/>
      <c r="R802" s="26" t="n"/>
      <c r="S802" s="26" t="n"/>
      <c r="T802" s="26" t="n"/>
      <c r="V802" s="27">
        <f>IF(ISNUMBER($C802),COUNTIFS($A$14:$A$1213,$A802,$C$14:$C$1213,"&gt;"&amp;$C802)+(COUNTIFS($A$14:$A$1213,$A802,$C$14:$C$1213,"="&amp;$C802)+1)/2,"")</f>
        <v/>
      </c>
      <c r="W802" s="27">
        <f>IF(ISNUMBER($F802),COUNTIFS($A$14:$A$1213,$A802,$F$14:$F$1213,"&gt;"&amp;$F802)+(COUNTIFS($A$14:$A$1213,$A802,$F$14:$F$1213,"="&amp;$F802)+1)/2,"")</f>
        <v/>
      </c>
      <c r="X802" s="27">
        <f>IF(OR(NOT(ISNUMBER($V802)),$AO802=1),"",$V802-(COUNTIFS($A$14:$A$1213,$A802,$C$14:$C$1213,"&gt;=0")+1)/2)</f>
        <v/>
      </c>
      <c r="Y802" s="27">
        <f>IF(OR(NOT(ISNUMBER($W802)),$AO802=1),"",$W802-(COUNTIFS($A$14:$A$1213,$A802,$F$14:$F$1213,"&gt;=0")+1)/2)</f>
        <v/>
      </c>
      <c r="Z802" s="27">
        <f>IF(ISNUMBER($V802),$A802&amp;"|"&amp;$V802,"")</f>
        <v/>
      </c>
      <c r="AA802" s="27">
        <f>IF(ISNUMBER($W802),$A802&amp;"|"&amp;$W802,"")</f>
        <v/>
      </c>
      <c r="AB802" s="27">
        <f>IF(ISNUMBER($F802),$A802&amp;"|"&amp;$F802,"")</f>
        <v/>
      </c>
      <c r="AC802" s="27">
        <f>IF(ISNUMBER($P802),COUNTIFS($A$14:$A$1213,$A802,$P$14:$P$1213,"&gt;"&amp;$P802)+(COUNTIFS($A$14:$A$1213,$A802,$P$14:$P$1213,"="&amp;$P802)+1)/2,"")</f>
        <v/>
      </c>
      <c r="AD802" s="27">
        <f>IF(ISNUMBER($Q802),COUNTIFS($A$14:$A$1213,$A802,$Q$14:$Q$1213,"&gt;"&amp;$Q802)+(COUNTIFS($A$14:$A$1213,$A802,$Q$14:$Q$1213,"="&amp;$Q802)+1)/2,"")</f>
        <v/>
      </c>
      <c r="AE802" s="27">
        <f>IF(ISNUMBER($R802),COUNTIFS($A$14:$A$1213,$A802,$R$14:$R$1213,"&gt;"&amp;$R802)+(COUNTIFS($A$14:$A$1213,$A802,$R$14:$R$1213,"="&amp;$R802)+1)/2,"")</f>
        <v/>
      </c>
      <c r="AF802" s="27">
        <f>IF(ISNUMBER($S802),COUNTIFS($A$14:$A$1213,$A802,$S$14:$S$1213,"&gt;"&amp;$S802)+(COUNTIFS($A$14:$A$1213,$A802,$S$14:$S$1213,"="&amp;$S802)+1)/2,"")</f>
        <v/>
      </c>
      <c r="AG802" s="27">
        <f>IF(ISNUMBER($T802),COUNTIFS($A$14:$A$1213,$A802,$T$14:$T$1213,"&gt;"&amp;$T802)+(COUNTIFS($A$14:$A$1213,$A802,$T$14:$T$1213,"="&amp;$T802)+1)/2,"")</f>
        <v/>
      </c>
      <c r="AH802" s="27">
        <f>IF(COUNT($AC802:$AG802)&lt;2,"",IF(MAX($AC802:$AG802)=MIN($AC802:$AG802),0,1))</f>
        <v/>
      </c>
      <c r="AI802" s="27">
        <f>IF($A802="","",IF(COUNTIF($A$14:$A802,$A802)=1,COUNTIF($AI$13:AI801,"&gt;0")+1,""))</f>
        <v/>
      </c>
      <c r="AO802" s="27">
        <f>IF($A802="","",IF(AND(COUNTIFS($A$14:$A$1213,$A802,$F$14:$F$1213,"&gt;=0")=2,IFERROR(INDEX($M$14:$M$313,MATCH($A802,$H$14:$H$313,0)),"Yes")&lt;&gt;"Yes"),1,0))</f>
        <v/>
      </c>
    </row>
    <row r="803">
      <c r="A803" s="19">
        <f>IF('Enter messages'!A803="","",'Enter messages'!A803)</f>
        <v/>
      </c>
      <c r="B803" s="20">
        <f>IF('Enter messages'!B803="","",'Enter messages'!B803)</f>
        <v/>
      </c>
      <c r="C803" s="21">
        <f>IFERROR(AVERAGE(P803:T803),"")</f>
        <v/>
      </c>
      <c r="D803" s="29" t="n"/>
      <c r="E803" s="29" t="n"/>
      <c r="F803" s="30">
        <f>IF(AND(ISNUMBER($D803),ISNUMBER($E803),$E803&gt;0,$D803&lt;=$E803),$D803/$E803,"")</f>
        <v/>
      </c>
      <c r="P803" s="26" t="n"/>
      <c r="Q803" s="26" t="n"/>
      <c r="R803" s="26" t="n"/>
      <c r="S803" s="26" t="n"/>
      <c r="T803" s="26" t="n"/>
      <c r="V803" s="27">
        <f>IF(ISNUMBER($C803),COUNTIFS($A$14:$A$1213,$A803,$C$14:$C$1213,"&gt;"&amp;$C803)+(COUNTIFS($A$14:$A$1213,$A803,$C$14:$C$1213,"="&amp;$C803)+1)/2,"")</f>
        <v/>
      </c>
      <c r="W803" s="27">
        <f>IF(ISNUMBER($F803),COUNTIFS($A$14:$A$1213,$A803,$F$14:$F$1213,"&gt;"&amp;$F803)+(COUNTIFS($A$14:$A$1213,$A803,$F$14:$F$1213,"="&amp;$F803)+1)/2,"")</f>
        <v/>
      </c>
      <c r="X803" s="27">
        <f>IF(OR(NOT(ISNUMBER($V803)),$AO803=1),"",$V803-(COUNTIFS($A$14:$A$1213,$A803,$C$14:$C$1213,"&gt;=0")+1)/2)</f>
        <v/>
      </c>
      <c r="Y803" s="27">
        <f>IF(OR(NOT(ISNUMBER($W803)),$AO803=1),"",$W803-(COUNTIFS($A$14:$A$1213,$A803,$F$14:$F$1213,"&gt;=0")+1)/2)</f>
        <v/>
      </c>
      <c r="Z803" s="27">
        <f>IF(ISNUMBER($V803),$A803&amp;"|"&amp;$V803,"")</f>
        <v/>
      </c>
      <c r="AA803" s="27">
        <f>IF(ISNUMBER($W803),$A803&amp;"|"&amp;$W803,"")</f>
        <v/>
      </c>
      <c r="AB803" s="27">
        <f>IF(ISNUMBER($F803),$A803&amp;"|"&amp;$F803,"")</f>
        <v/>
      </c>
      <c r="AC803" s="27">
        <f>IF(ISNUMBER($P803),COUNTIFS($A$14:$A$1213,$A803,$P$14:$P$1213,"&gt;"&amp;$P803)+(COUNTIFS($A$14:$A$1213,$A803,$P$14:$P$1213,"="&amp;$P803)+1)/2,"")</f>
        <v/>
      </c>
      <c r="AD803" s="27">
        <f>IF(ISNUMBER($Q803),COUNTIFS($A$14:$A$1213,$A803,$Q$14:$Q$1213,"&gt;"&amp;$Q803)+(COUNTIFS($A$14:$A$1213,$A803,$Q$14:$Q$1213,"="&amp;$Q803)+1)/2,"")</f>
        <v/>
      </c>
      <c r="AE803" s="27">
        <f>IF(ISNUMBER($R803),COUNTIFS($A$14:$A$1213,$A803,$R$14:$R$1213,"&gt;"&amp;$R803)+(COUNTIFS($A$14:$A$1213,$A803,$R$14:$R$1213,"="&amp;$R803)+1)/2,"")</f>
        <v/>
      </c>
      <c r="AF803" s="27">
        <f>IF(ISNUMBER($S803),COUNTIFS($A$14:$A$1213,$A803,$S$14:$S$1213,"&gt;"&amp;$S803)+(COUNTIFS($A$14:$A$1213,$A803,$S$14:$S$1213,"="&amp;$S803)+1)/2,"")</f>
        <v/>
      </c>
      <c r="AG803" s="27">
        <f>IF(ISNUMBER($T803),COUNTIFS($A$14:$A$1213,$A803,$T$14:$T$1213,"&gt;"&amp;$T803)+(COUNTIFS($A$14:$A$1213,$A803,$T$14:$T$1213,"="&amp;$T803)+1)/2,"")</f>
        <v/>
      </c>
      <c r="AH803" s="27">
        <f>IF(COUNT($AC803:$AG803)&lt;2,"",IF(MAX($AC803:$AG803)=MIN($AC803:$AG803),0,1))</f>
        <v/>
      </c>
      <c r="AI803" s="27">
        <f>IF($A803="","",IF(COUNTIF($A$14:$A803,$A803)=1,COUNTIF($AI$13:AI802,"&gt;0")+1,""))</f>
        <v/>
      </c>
      <c r="AO803" s="27">
        <f>IF($A803="","",IF(AND(COUNTIFS($A$14:$A$1213,$A803,$F$14:$F$1213,"&gt;=0")=2,IFERROR(INDEX($M$14:$M$313,MATCH($A803,$H$14:$H$313,0)),"Yes")&lt;&gt;"Yes"),1,0))</f>
        <v/>
      </c>
    </row>
    <row r="804">
      <c r="A804" s="19">
        <f>IF('Enter messages'!A804="","",'Enter messages'!A804)</f>
        <v/>
      </c>
      <c r="B804" s="20">
        <f>IF('Enter messages'!B804="","",'Enter messages'!B804)</f>
        <v/>
      </c>
      <c r="C804" s="21">
        <f>IFERROR(AVERAGE(P804:T804),"")</f>
        <v/>
      </c>
      <c r="D804" s="29" t="n"/>
      <c r="E804" s="29" t="n"/>
      <c r="F804" s="30">
        <f>IF(AND(ISNUMBER($D804),ISNUMBER($E804),$E804&gt;0,$D804&lt;=$E804),$D804/$E804,"")</f>
        <v/>
      </c>
      <c r="P804" s="26" t="n"/>
      <c r="Q804" s="26" t="n"/>
      <c r="R804" s="26" t="n"/>
      <c r="S804" s="26" t="n"/>
      <c r="T804" s="26" t="n"/>
      <c r="V804" s="27">
        <f>IF(ISNUMBER($C804),COUNTIFS($A$14:$A$1213,$A804,$C$14:$C$1213,"&gt;"&amp;$C804)+(COUNTIFS($A$14:$A$1213,$A804,$C$14:$C$1213,"="&amp;$C804)+1)/2,"")</f>
        <v/>
      </c>
      <c r="W804" s="27">
        <f>IF(ISNUMBER($F804),COUNTIFS($A$14:$A$1213,$A804,$F$14:$F$1213,"&gt;"&amp;$F804)+(COUNTIFS($A$14:$A$1213,$A804,$F$14:$F$1213,"="&amp;$F804)+1)/2,"")</f>
        <v/>
      </c>
      <c r="X804" s="27">
        <f>IF(OR(NOT(ISNUMBER($V804)),$AO804=1),"",$V804-(COUNTIFS($A$14:$A$1213,$A804,$C$14:$C$1213,"&gt;=0")+1)/2)</f>
        <v/>
      </c>
      <c r="Y804" s="27">
        <f>IF(OR(NOT(ISNUMBER($W804)),$AO804=1),"",$W804-(COUNTIFS($A$14:$A$1213,$A804,$F$14:$F$1213,"&gt;=0")+1)/2)</f>
        <v/>
      </c>
      <c r="Z804" s="27">
        <f>IF(ISNUMBER($V804),$A804&amp;"|"&amp;$V804,"")</f>
        <v/>
      </c>
      <c r="AA804" s="27">
        <f>IF(ISNUMBER($W804),$A804&amp;"|"&amp;$W804,"")</f>
        <v/>
      </c>
      <c r="AB804" s="27">
        <f>IF(ISNUMBER($F804),$A804&amp;"|"&amp;$F804,"")</f>
        <v/>
      </c>
      <c r="AC804" s="27">
        <f>IF(ISNUMBER($P804),COUNTIFS($A$14:$A$1213,$A804,$P$14:$P$1213,"&gt;"&amp;$P804)+(COUNTIFS($A$14:$A$1213,$A804,$P$14:$P$1213,"="&amp;$P804)+1)/2,"")</f>
        <v/>
      </c>
      <c r="AD804" s="27">
        <f>IF(ISNUMBER($Q804),COUNTIFS($A$14:$A$1213,$A804,$Q$14:$Q$1213,"&gt;"&amp;$Q804)+(COUNTIFS($A$14:$A$1213,$A804,$Q$14:$Q$1213,"="&amp;$Q804)+1)/2,"")</f>
        <v/>
      </c>
      <c r="AE804" s="27">
        <f>IF(ISNUMBER($R804),COUNTIFS($A$14:$A$1213,$A804,$R$14:$R$1213,"&gt;"&amp;$R804)+(COUNTIFS($A$14:$A$1213,$A804,$R$14:$R$1213,"="&amp;$R804)+1)/2,"")</f>
        <v/>
      </c>
      <c r="AF804" s="27">
        <f>IF(ISNUMBER($S804),COUNTIFS($A$14:$A$1213,$A804,$S$14:$S$1213,"&gt;"&amp;$S804)+(COUNTIFS($A$14:$A$1213,$A804,$S$14:$S$1213,"="&amp;$S804)+1)/2,"")</f>
        <v/>
      </c>
      <c r="AG804" s="27">
        <f>IF(ISNUMBER($T804),COUNTIFS($A$14:$A$1213,$A804,$T$14:$T$1213,"&gt;"&amp;$T804)+(COUNTIFS($A$14:$A$1213,$A804,$T$14:$T$1213,"="&amp;$T804)+1)/2,"")</f>
        <v/>
      </c>
      <c r="AH804" s="27">
        <f>IF(COUNT($AC804:$AG804)&lt;2,"",IF(MAX($AC804:$AG804)=MIN($AC804:$AG804),0,1))</f>
        <v/>
      </c>
      <c r="AI804" s="27">
        <f>IF($A804="","",IF(COUNTIF($A$14:$A804,$A804)=1,COUNTIF($AI$13:AI803,"&gt;0")+1,""))</f>
        <v/>
      </c>
      <c r="AO804" s="27">
        <f>IF($A804="","",IF(AND(COUNTIFS($A$14:$A$1213,$A804,$F$14:$F$1213,"&gt;=0")=2,IFERROR(INDEX($M$14:$M$313,MATCH($A804,$H$14:$H$313,0)),"Yes")&lt;&gt;"Yes"),1,0))</f>
        <v/>
      </c>
    </row>
    <row r="805">
      <c r="A805" s="19">
        <f>IF('Enter messages'!A805="","",'Enter messages'!A805)</f>
        <v/>
      </c>
      <c r="B805" s="20">
        <f>IF('Enter messages'!B805="","",'Enter messages'!B805)</f>
        <v/>
      </c>
      <c r="C805" s="21">
        <f>IFERROR(AVERAGE(P805:T805),"")</f>
        <v/>
      </c>
      <c r="D805" s="29" t="n"/>
      <c r="E805" s="29" t="n"/>
      <c r="F805" s="30">
        <f>IF(AND(ISNUMBER($D805),ISNUMBER($E805),$E805&gt;0,$D805&lt;=$E805),$D805/$E805,"")</f>
        <v/>
      </c>
      <c r="P805" s="26" t="n"/>
      <c r="Q805" s="26" t="n"/>
      <c r="R805" s="26" t="n"/>
      <c r="S805" s="26" t="n"/>
      <c r="T805" s="26" t="n"/>
      <c r="V805" s="27">
        <f>IF(ISNUMBER($C805),COUNTIFS($A$14:$A$1213,$A805,$C$14:$C$1213,"&gt;"&amp;$C805)+(COUNTIFS($A$14:$A$1213,$A805,$C$14:$C$1213,"="&amp;$C805)+1)/2,"")</f>
        <v/>
      </c>
      <c r="W805" s="27">
        <f>IF(ISNUMBER($F805),COUNTIFS($A$14:$A$1213,$A805,$F$14:$F$1213,"&gt;"&amp;$F805)+(COUNTIFS($A$14:$A$1213,$A805,$F$14:$F$1213,"="&amp;$F805)+1)/2,"")</f>
        <v/>
      </c>
      <c r="X805" s="27">
        <f>IF(OR(NOT(ISNUMBER($V805)),$AO805=1),"",$V805-(COUNTIFS($A$14:$A$1213,$A805,$C$14:$C$1213,"&gt;=0")+1)/2)</f>
        <v/>
      </c>
      <c r="Y805" s="27">
        <f>IF(OR(NOT(ISNUMBER($W805)),$AO805=1),"",$W805-(COUNTIFS($A$14:$A$1213,$A805,$F$14:$F$1213,"&gt;=0")+1)/2)</f>
        <v/>
      </c>
      <c r="Z805" s="27">
        <f>IF(ISNUMBER($V805),$A805&amp;"|"&amp;$V805,"")</f>
        <v/>
      </c>
      <c r="AA805" s="27">
        <f>IF(ISNUMBER($W805),$A805&amp;"|"&amp;$W805,"")</f>
        <v/>
      </c>
      <c r="AB805" s="27">
        <f>IF(ISNUMBER($F805),$A805&amp;"|"&amp;$F805,"")</f>
        <v/>
      </c>
      <c r="AC805" s="27">
        <f>IF(ISNUMBER($P805),COUNTIFS($A$14:$A$1213,$A805,$P$14:$P$1213,"&gt;"&amp;$P805)+(COUNTIFS($A$14:$A$1213,$A805,$P$14:$P$1213,"="&amp;$P805)+1)/2,"")</f>
        <v/>
      </c>
      <c r="AD805" s="27">
        <f>IF(ISNUMBER($Q805),COUNTIFS($A$14:$A$1213,$A805,$Q$14:$Q$1213,"&gt;"&amp;$Q805)+(COUNTIFS($A$14:$A$1213,$A805,$Q$14:$Q$1213,"="&amp;$Q805)+1)/2,"")</f>
        <v/>
      </c>
      <c r="AE805" s="27">
        <f>IF(ISNUMBER($R805),COUNTIFS($A$14:$A$1213,$A805,$R$14:$R$1213,"&gt;"&amp;$R805)+(COUNTIFS($A$14:$A$1213,$A805,$R$14:$R$1213,"="&amp;$R805)+1)/2,"")</f>
        <v/>
      </c>
      <c r="AF805" s="27">
        <f>IF(ISNUMBER($S805),COUNTIFS($A$14:$A$1213,$A805,$S$14:$S$1213,"&gt;"&amp;$S805)+(COUNTIFS($A$14:$A$1213,$A805,$S$14:$S$1213,"="&amp;$S805)+1)/2,"")</f>
        <v/>
      </c>
      <c r="AG805" s="27">
        <f>IF(ISNUMBER($T805),COUNTIFS($A$14:$A$1213,$A805,$T$14:$T$1213,"&gt;"&amp;$T805)+(COUNTIFS($A$14:$A$1213,$A805,$T$14:$T$1213,"="&amp;$T805)+1)/2,"")</f>
        <v/>
      </c>
      <c r="AH805" s="27">
        <f>IF(COUNT($AC805:$AG805)&lt;2,"",IF(MAX($AC805:$AG805)=MIN($AC805:$AG805),0,1))</f>
        <v/>
      </c>
      <c r="AI805" s="27">
        <f>IF($A805="","",IF(COUNTIF($A$14:$A805,$A805)=1,COUNTIF($AI$13:AI804,"&gt;0")+1,""))</f>
        <v/>
      </c>
      <c r="AO805" s="27">
        <f>IF($A805="","",IF(AND(COUNTIFS($A$14:$A$1213,$A805,$F$14:$F$1213,"&gt;=0")=2,IFERROR(INDEX($M$14:$M$313,MATCH($A805,$H$14:$H$313,0)),"Yes")&lt;&gt;"Yes"),1,0))</f>
        <v/>
      </c>
    </row>
    <row r="806">
      <c r="A806" s="19">
        <f>IF('Enter messages'!A806="","",'Enter messages'!A806)</f>
        <v/>
      </c>
      <c r="B806" s="20">
        <f>IF('Enter messages'!B806="","",'Enter messages'!B806)</f>
        <v/>
      </c>
      <c r="C806" s="21">
        <f>IFERROR(AVERAGE(P806:T806),"")</f>
        <v/>
      </c>
      <c r="D806" s="29" t="n"/>
      <c r="E806" s="29" t="n"/>
      <c r="F806" s="30">
        <f>IF(AND(ISNUMBER($D806),ISNUMBER($E806),$E806&gt;0,$D806&lt;=$E806),$D806/$E806,"")</f>
        <v/>
      </c>
      <c r="P806" s="26" t="n"/>
      <c r="Q806" s="26" t="n"/>
      <c r="R806" s="26" t="n"/>
      <c r="S806" s="26" t="n"/>
      <c r="T806" s="26" t="n"/>
      <c r="V806" s="27">
        <f>IF(ISNUMBER($C806),COUNTIFS($A$14:$A$1213,$A806,$C$14:$C$1213,"&gt;"&amp;$C806)+(COUNTIFS($A$14:$A$1213,$A806,$C$14:$C$1213,"="&amp;$C806)+1)/2,"")</f>
        <v/>
      </c>
      <c r="W806" s="27">
        <f>IF(ISNUMBER($F806),COUNTIFS($A$14:$A$1213,$A806,$F$14:$F$1213,"&gt;"&amp;$F806)+(COUNTIFS($A$14:$A$1213,$A806,$F$14:$F$1213,"="&amp;$F806)+1)/2,"")</f>
        <v/>
      </c>
      <c r="X806" s="27">
        <f>IF(OR(NOT(ISNUMBER($V806)),$AO806=1),"",$V806-(COUNTIFS($A$14:$A$1213,$A806,$C$14:$C$1213,"&gt;=0")+1)/2)</f>
        <v/>
      </c>
      <c r="Y806" s="27">
        <f>IF(OR(NOT(ISNUMBER($W806)),$AO806=1),"",$W806-(COUNTIFS($A$14:$A$1213,$A806,$F$14:$F$1213,"&gt;=0")+1)/2)</f>
        <v/>
      </c>
      <c r="Z806" s="27">
        <f>IF(ISNUMBER($V806),$A806&amp;"|"&amp;$V806,"")</f>
        <v/>
      </c>
      <c r="AA806" s="27">
        <f>IF(ISNUMBER($W806),$A806&amp;"|"&amp;$W806,"")</f>
        <v/>
      </c>
      <c r="AB806" s="27">
        <f>IF(ISNUMBER($F806),$A806&amp;"|"&amp;$F806,"")</f>
        <v/>
      </c>
      <c r="AC806" s="27">
        <f>IF(ISNUMBER($P806),COUNTIFS($A$14:$A$1213,$A806,$P$14:$P$1213,"&gt;"&amp;$P806)+(COUNTIFS($A$14:$A$1213,$A806,$P$14:$P$1213,"="&amp;$P806)+1)/2,"")</f>
        <v/>
      </c>
      <c r="AD806" s="27">
        <f>IF(ISNUMBER($Q806),COUNTIFS($A$14:$A$1213,$A806,$Q$14:$Q$1213,"&gt;"&amp;$Q806)+(COUNTIFS($A$14:$A$1213,$A806,$Q$14:$Q$1213,"="&amp;$Q806)+1)/2,"")</f>
        <v/>
      </c>
      <c r="AE806" s="27">
        <f>IF(ISNUMBER($R806),COUNTIFS($A$14:$A$1213,$A806,$R$14:$R$1213,"&gt;"&amp;$R806)+(COUNTIFS($A$14:$A$1213,$A806,$R$14:$R$1213,"="&amp;$R806)+1)/2,"")</f>
        <v/>
      </c>
      <c r="AF806" s="27">
        <f>IF(ISNUMBER($S806),COUNTIFS($A$14:$A$1213,$A806,$S$14:$S$1213,"&gt;"&amp;$S806)+(COUNTIFS($A$14:$A$1213,$A806,$S$14:$S$1213,"="&amp;$S806)+1)/2,"")</f>
        <v/>
      </c>
      <c r="AG806" s="27">
        <f>IF(ISNUMBER($T806),COUNTIFS($A$14:$A$1213,$A806,$T$14:$T$1213,"&gt;"&amp;$T806)+(COUNTIFS($A$14:$A$1213,$A806,$T$14:$T$1213,"="&amp;$T806)+1)/2,"")</f>
        <v/>
      </c>
      <c r="AH806" s="27">
        <f>IF(COUNT($AC806:$AG806)&lt;2,"",IF(MAX($AC806:$AG806)=MIN($AC806:$AG806),0,1))</f>
        <v/>
      </c>
      <c r="AI806" s="27">
        <f>IF($A806="","",IF(COUNTIF($A$14:$A806,$A806)=1,COUNTIF($AI$13:AI805,"&gt;0")+1,""))</f>
        <v/>
      </c>
      <c r="AO806" s="27">
        <f>IF($A806="","",IF(AND(COUNTIFS($A$14:$A$1213,$A806,$F$14:$F$1213,"&gt;=0")=2,IFERROR(INDEX($M$14:$M$313,MATCH($A806,$H$14:$H$313,0)),"Yes")&lt;&gt;"Yes"),1,0))</f>
        <v/>
      </c>
    </row>
    <row r="807">
      <c r="A807" s="19">
        <f>IF('Enter messages'!A807="","",'Enter messages'!A807)</f>
        <v/>
      </c>
      <c r="B807" s="20">
        <f>IF('Enter messages'!B807="","",'Enter messages'!B807)</f>
        <v/>
      </c>
      <c r="C807" s="21">
        <f>IFERROR(AVERAGE(P807:T807),"")</f>
        <v/>
      </c>
      <c r="D807" s="29" t="n"/>
      <c r="E807" s="29" t="n"/>
      <c r="F807" s="30">
        <f>IF(AND(ISNUMBER($D807),ISNUMBER($E807),$E807&gt;0,$D807&lt;=$E807),$D807/$E807,"")</f>
        <v/>
      </c>
      <c r="P807" s="26" t="n"/>
      <c r="Q807" s="26" t="n"/>
      <c r="R807" s="26" t="n"/>
      <c r="S807" s="26" t="n"/>
      <c r="T807" s="26" t="n"/>
      <c r="V807" s="27">
        <f>IF(ISNUMBER($C807),COUNTIFS($A$14:$A$1213,$A807,$C$14:$C$1213,"&gt;"&amp;$C807)+(COUNTIFS($A$14:$A$1213,$A807,$C$14:$C$1213,"="&amp;$C807)+1)/2,"")</f>
        <v/>
      </c>
      <c r="W807" s="27">
        <f>IF(ISNUMBER($F807),COUNTIFS($A$14:$A$1213,$A807,$F$14:$F$1213,"&gt;"&amp;$F807)+(COUNTIFS($A$14:$A$1213,$A807,$F$14:$F$1213,"="&amp;$F807)+1)/2,"")</f>
        <v/>
      </c>
      <c r="X807" s="27">
        <f>IF(OR(NOT(ISNUMBER($V807)),$AO807=1),"",$V807-(COUNTIFS($A$14:$A$1213,$A807,$C$14:$C$1213,"&gt;=0")+1)/2)</f>
        <v/>
      </c>
      <c r="Y807" s="27">
        <f>IF(OR(NOT(ISNUMBER($W807)),$AO807=1),"",$W807-(COUNTIFS($A$14:$A$1213,$A807,$F$14:$F$1213,"&gt;=0")+1)/2)</f>
        <v/>
      </c>
      <c r="Z807" s="27">
        <f>IF(ISNUMBER($V807),$A807&amp;"|"&amp;$V807,"")</f>
        <v/>
      </c>
      <c r="AA807" s="27">
        <f>IF(ISNUMBER($W807),$A807&amp;"|"&amp;$W807,"")</f>
        <v/>
      </c>
      <c r="AB807" s="27">
        <f>IF(ISNUMBER($F807),$A807&amp;"|"&amp;$F807,"")</f>
        <v/>
      </c>
      <c r="AC807" s="27">
        <f>IF(ISNUMBER($P807),COUNTIFS($A$14:$A$1213,$A807,$P$14:$P$1213,"&gt;"&amp;$P807)+(COUNTIFS($A$14:$A$1213,$A807,$P$14:$P$1213,"="&amp;$P807)+1)/2,"")</f>
        <v/>
      </c>
      <c r="AD807" s="27">
        <f>IF(ISNUMBER($Q807),COUNTIFS($A$14:$A$1213,$A807,$Q$14:$Q$1213,"&gt;"&amp;$Q807)+(COUNTIFS($A$14:$A$1213,$A807,$Q$14:$Q$1213,"="&amp;$Q807)+1)/2,"")</f>
        <v/>
      </c>
      <c r="AE807" s="27">
        <f>IF(ISNUMBER($R807),COUNTIFS($A$14:$A$1213,$A807,$R$14:$R$1213,"&gt;"&amp;$R807)+(COUNTIFS($A$14:$A$1213,$A807,$R$14:$R$1213,"="&amp;$R807)+1)/2,"")</f>
        <v/>
      </c>
      <c r="AF807" s="27">
        <f>IF(ISNUMBER($S807),COUNTIFS($A$14:$A$1213,$A807,$S$14:$S$1213,"&gt;"&amp;$S807)+(COUNTIFS($A$14:$A$1213,$A807,$S$14:$S$1213,"="&amp;$S807)+1)/2,"")</f>
        <v/>
      </c>
      <c r="AG807" s="27">
        <f>IF(ISNUMBER($T807),COUNTIFS($A$14:$A$1213,$A807,$T$14:$T$1213,"&gt;"&amp;$T807)+(COUNTIFS($A$14:$A$1213,$A807,$T$14:$T$1213,"="&amp;$T807)+1)/2,"")</f>
        <v/>
      </c>
      <c r="AH807" s="27">
        <f>IF(COUNT($AC807:$AG807)&lt;2,"",IF(MAX($AC807:$AG807)=MIN($AC807:$AG807),0,1))</f>
        <v/>
      </c>
      <c r="AI807" s="27">
        <f>IF($A807="","",IF(COUNTIF($A$14:$A807,$A807)=1,COUNTIF($AI$13:AI806,"&gt;0")+1,""))</f>
        <v/>
      </c>
      <c r="AO807" s="27">
        <f>IF($A807="","",IF(AND(COUNTIFS($A$14:$A$1213,$A807,$F$14:$F$1213,"&gt;=0")=2,IFERROR(INDEX($M$14:$M$313,MATCH($A807,$H$14:$H$313,0)),"Yes")&lt;&gt;"Yes"),1,0))</f>
        <v/>
      </c>
    </row>
    <row r="808">
      <c r="A808" s="19">
        <f>IF('Enter messages'!A808="","",'Enter messages'!A808)</f>
        <v/>
      </c>
      <c r="B808" s="20">
        <f>IF('Enter messages'!B808="","",'Enter messages'!B808)</f>
        <v/>
      </c>
      <c r="C808" s="21">
        <f>IFERROR(AVERAGE(P808:T808),"")</f>
        <v/>
      </c>
      <c r="D808" s="29" t="n"/>
      <c r="E808" s="29" t="n"/>
      <c r="F808" s="30">
        <f>IF(AND(ISNUMBER($D808),ISNUMBER($E808),$E808&gt;0,$D808&lt;=$E808),$D808/$E808,"")</f>
        <v/>
      </c>
      <c r="P808" s="26" t="n"/>
      <c r="Q808" s="26" t="n"/>
      <c r="R808" s="26" t="n"/>
      <c r="S808" s="26" t="n"/>
      <c r="T808" s="26" t="n"/>
      <c r="V808" s="27">
        <f>IF(ISNUMBER($C808),COUNTIFS($A$14:$A$1213,$A808,$C$14:$C$1213,"&gt;"&amp;$C808)+(COUNTIFS($A$14:$A$1213,$A808,$C$14:$C$1213,"="&amp;$C808)+1)/2,"")</f>
        <v/>
      </c>
      <c r="W808" s="27">
        <f>IF(ISNUMBER($F808),COUNTIFS($A$14:$A$1213,$A808,$F$14:$F$1213,"&gt;"&amp;$F808)+(COUNTIFS($A$14:$A$1213,$A808,$F$14:$F$1213,"="&amp;$F808)+1)/2,"")</f>
        <v/>
      </c>
      <c r="X808" s="27">
        <f>IF(OR(NOT(ISNUMBER($V808)),$AO808=1),"",$V808-(COUNTIFS($A$14:$A$1213,$A808,$C$14:$C$1213,"&gt;=0")+1)/2)</f>
        <v/>
      </c>
      <c r="Y808" s="27">
        <f>IF(OR(NOT(ISNUMBER($W808)),$AO808=1),"",$W808-(COUNTIFS($A$14:$A$1213,$A808,$F$14:$F$1213,"&gt;=0")+1)/2)</f>
        <v/>
      </c>
      <c r="Z808" s="27">
        <f>IF(ISNUMBER($V808),$A808&amp;"|"&amp;$V808,"")</f>
        <v/>
      </c>
      <c r="AA808" s="27">
        <f>IF(ISNUMBER($W808),$A808&amp;"|"&amp;$W808,"")</f>
        <v/>
      </c>
      <c r="AB808" s="27">
        <f>IF(ISNUMBER($F808),$A808&amp;"|"&amp;$F808,"")</f>
        <v/>
      </c>
      <c r="AC808" s="27">
        <f>IF(ISNUMBER($P808),COUNTIFS($A$14:$A$1213,$A808,$P$14:$P$1213,"&gt;"&amp;$P808)+(COUNTIFS($A$14:$A$1213,$A808,$P$14:$P$1213,"="&amp;$P808)+1)/2,"")</f>
        <v/>
      </c>
      <c r="AD808" s="27">
        <f>IF(ISNUMBER($Q808),COUNTIFS($A$14:$A$1213,$A808,$Q$14:$Q$1213,"&gt;"&amp;$Q808)+(COUNTIFS($A$14:$A$1213,$A808,$Q$14:$Q$1213,"="&amp;$Q808)+1)/2,"")</f>
        <v/>
      </c>
      <c r="AE808" s="27">
        <f>IF(ISNUMBER($R808),COUNTIFS($A$14:$A$1213,$A808,$R$14:$R$1213,"&gt;"&amp;$R808)+(COUNTIFS($A$14:$A$1213,$A808,$R$14:$R$1213,"="&amp;$R808)+1)/2,"")</f>
        <v/>
      </c>
      <c r="AF808" s="27">
        <f>IF(ISNUMBER($S808),COUNTIFS($A$14:$A$1213,$A808,$S$14:$S$1213,"&gt;"&amp;$S808)+(COUNTIFS($A$14:$A$1213,$A808,$S$14:$S$1213,"="&amp;$S808)+1)/2,"")</f>
        <v/>
      </c>
      <c r="AG808" s="27">
        <f>IF(ISNUMBER($T808),COUNTIFS($A$14:$A$1213,$A808,$T$14:$T$1213,"&gt;"&amp;$T808)+(COUNTIFS($A$14:$A$1213,$A808,$T$14:$T$1213,"="&amp;$T808)+1)/2,"")</f>
        <v/>
      </c>
      <c r="AH808" s="27">
        <f>IF(COUNT($AC808:$AG808)&lt;2,"",IF(MAX($AC808:$AG808)=MIN($AC808:$AG808),0,1))</f>
        <v/>
      </c>
      <c r="AI808" s="27">
        <f>IF($A808="","",IF(COUNTIF($A$14:$A808,$A808)=1,COUNTIF($AI$13:AI807,"&gt;0")+1,""))</f>
        <v/>
      </c>
      <c r="AO808" s="27">
        <f>IF($A808="","",IF(AND(COUNTIFS($A$14:$A$1213,$A808,$F$14:$F$1213,"&gt;=0")=2,IFERROR(INDEX($M$14:$M$313,MATCH($A808,$H$14:$H$313,0)),"Yes")&lt;&gt;"Yes"),1,0))</f>
        <v/>
      </c>
    </row>
    <row r="809">
      <c r="A809" s="19">
        <f>IF('Enter messages'!A809="","",'Enter messages'!A809)</f>
        <v/>
      </c>
      <c r="B809" s="20">
        <f>IF('Enter messages'!B809="","",'Enter messages'!B809)</f>
        <v/>
      </c>
      <c r="C809" s="21">
        <f>IFERROR(AVERAGE(P809:T809),"")</f>
        <v/>
      </c>
      <c r="D809" s="29" t="n"/>
      <c r="E809" s="29" t="n"/>
      <c r="F809" s="30">
        <f>IF(AND(ISNUMBER($D809),ISNUMBER($E809),$E809&gt;0,$D809&lt;=$E809),$D809/$E809,"")</f>
        <v/>
      </c>
      <c r="P809" s="26" t="n"/>
      <c r="Q809" s="26" t="n"/>
      <c r="R809" s="26" t="n"/>
      <c r="S809" s="26" t="n"/>
      <c r="T809" s="26" t="n"/>
      <c r="V809" s="27">
        <f>IF(ISNUMBER($C809),COUNTIFS($A$14:$A$1213,$A809,$C$14:$C$1213,"&gt;"&amp;$C809)+(COUNTIFS($A$14:$A$1213,$A809,$C$14:$C$1213,"="&amp;$C809)+1)/2,"")</f>
        <v/>
      </c>
      <c r="W809" s="27">
        <f>IF(ISNUMBER($F809),COUNTIFS($A$14:$A$1213,$A809,$F$14:$F$1213,"&gt;"&amp;$F809)+(COUNTIFS($A$14:$A$1213,$A809,$F$14:$F$1213,"="&amp;$F809)+1)/2,"")</f>
        <v/>
      </c>
      <c r="X809" s="27">
        <f>IF(OR(NOT(ISNUMBER($V809)),$AO809=1),"",$V809-(COUNTIFS($A$14:$A$1213,$A809,$C$14:$C$1213,"&gt;=0")+1)/2)</f>
        <v/>
      </c>
      <c r="Y809" s="27">
        <f>IF(OR(NOT(ISNUMBER($W809)),$AO809=1),"",$W809-(COUNTIFS($A$14:$A$1213,$A809,$F$14:$F$1213,"&gt;=0")+1)/2)</f>
        <v/>
      </c>
      <c r="Z809" s="27">
        <f>IF(ISNUMBER($V809),$A809&amp;"|"&amp;$V809,"")</f>
        <v/>
      </c>
      <c r="AA809" s="27">
        <f>IF(ISNUMBER($W809),$A809&amp;"|"&amp;$W809,"")</f>
        <v/>
      </c>
      <c r="AB809" s="27">
        <f>IF(ISNUMBER($F809),$A809&amp;"|"&amp;$F809,"")</f>
        <v/>
      </c>
      <c r="AC809" s="27">
        <f>IF(ISNUMBER($P809),COUNTIFS($A$14:$A$1213,$A809,$P$14:$P$1213,"&gt;"&amp;$P809)+(COUNTIFS($A$14:$A$1213,$A809,$P$14:$P$1213,"="&amp;$P809)+1)/2,"")</f>
        <v/>
      </c>
      <c r="AD809" s="27">
        <f>IF(ISNUMBER($Q809),COUNTIFS($A$14:$A$1213,$A809,$Q$14:$Q$1213,"&gt;"&amp;$Q809)+(COUNTIFS($A$14:$A$1213,$A809,$Q$14:$Q$1213,"="&amp;$Q809)+1)/2,"")</f>
        <v/>
      </c>
      <c r="AE809" s="27">
        <f>IF(ISNUMBER($R809),COUNTIFS($A$14:$A$1213,$A809,$R$14:$R$1213,"&gt;"&amp;$R809)+(COUNTIFS($A$14:$A$1213,$A809,$R$14:$R$1213,"="&amp;$R809)+1)/2,"")</f>
        <v/>
      </c>
      <c r="AF809" s="27">
        <f>IF(ISNUMBER($S809),COUNTIFS($A$14:$A$1213,$A809,$S$14:$S$1213,"&gt;"&amp;$S809)+(COUNTIFS($A$14:$A$1213,$A809,$S$14:$S$1213,"="&amp;$S809)+1)/2,"")</f>
        <v/>
      </c>
      <c r="AG809" s="27">
        <f>IF(ISNUMBER($T809),COUNTIFS($A$14:$A$1213,$A809,$T$14:$T$1213,"&gt;"&amp;$T809)+(COUNTIFS($A$14:$A$1213,$A809,$T$14:$T$1213,"="&amp;$T809)+1)/2,"")</f>
        <v/>
      </c>
      <c r="AH809" s="27">
        <f>IF(COUNT($AC809:$AG809)&lt;2,"",IF(MAX($AC809:$AG809)=MIN($AC809:$AG809),0,1))</f>
        <v/>
      </c>
      <c r="AI809" s="27">
        <f>IF($A809="","",IF(COUNTIF($A$14:$A809,$A809)=1,COUNTIF($AI$13:AI808,"&gt;0")+1,""))</f>
        <v/>
      </c>
      <c r="AO809" s="27">
        <f>IF($A809="","",IF(AND(COUNTIFS($A$14:$A$1213,$A809,$F$14:$F$1213,"&gt;=0")=2,IFERROR(INDEX($M$14:$M$313,MATCH($A809,$H$14:$H$313,0)),"Yes")&lt;&gt;"Yes"),1,0))</f>
        <v/>
      </c>
    </row>
    <row r="810">
      <c r="A810" s="19">
        <f>IF('Enter messages'!A810="","",'Enter messages'!A810)</f>
        <v/>
      </c>
      <c r="B810" s="20">
        <f>IF('Enter messages'!B810="","",'Enter messages'!B810)</f>
        <v/>
      </c>
      <c r="C810" s="21">
        <f>IFERROR(AVERAGE(P810:T810),"")</f>
        <v/>
      </c>
      <c r="D810" s="29" t="n"/>
      <c r="E810" s="29" t="n"/>
      <c r="F810" s="30">
        <f>IF(AND(ISNUMBER($D810),ISNUMBER($E810),$E810&gt;0,$D810&lt;=$E810),$D810/$E810,"")</f>
        <v/>
      </c>
      <c r="P810" s="26" t="n"/>
      <c r="Q810" s="26" t="n"/>
      <c r="R810" s="26" t="n"/>
      <c r="S810" s="26" t="n"/>
      <c r="T810" s="26" t="n"/>
      <c r="V810" s="27">
        <f>IF(ISNUMBER($C810),COUNTIFS($A$14:$A$1213,$A810,$C$14:$C$1213,"&gt;"&amp;$C810)+(COUNTIFS($A$14:$A$1213,$A810,$C$14:$C$1213,"="&amp;$C810)+1)/2,"")</f>
        <v/>
      </c>
      <c r="W810" s="27">
        <f>IF(ISNUMBER($F810),COUNTIFS($A$14:$A$1213,$A810,$F$14:$F$1213,"&gt;"&amp;$F810)+(COUNTIFS($A$14:$A$1213,$A810,$F$14:$F$1213,"="&amp;$F810)+1)/2,"")</f>
        <v/>
      </c>
      <c r="X810" s="27">
        <f>IF(OR(NOT(ISNUMBER($V810)),$AO810=1),"",$V810-(COUNTIFS($A$14:$A$1213,$A810,$C$14:$C$1213,"&gt;=0")+1)/2)</f>
        <v/>
      </c>
      <c r="Y810" s="27">
        <f>IF(OR(NOT(ISNUMBER($W810)),$AO810=1),"",$W810-(COUNTIFS($A$14:$A$1213,$A810,$F$14:$F$1213,"&gt;=0")+1)/2)</f>
        <v/>
      </c>
      <c r="Z810" s="27">
        <f>IF(ISNUMBER($V810),$A810&amp;"|"&amp;$V810,"")</f>
        <v/>
      </c>
      <c r="AA810" s="27">
        <f>IF(ISNUMBER($W810),$A810&amp;"|"&amp;$W810,"")</f>
        <v/>
      </c>
      <c r="AB810" s="27">
        <f>IF(ISNUMBER($F810),$A810&amp;"|"&amp;$F810,"")</f>
        <v/>
      </c>
      <c r="AC810" s="27">
        <f>IF(ISNUMBER($P810),COUNTIFS($A$14:$A$1213,$A810,$P$14:$P$1213,"&gt;"&amp;$P810)+(COUNTIFS($A$14:$A$1213,$A810,$P$14:$P$1213,"="&amp;$P810)+1)/2,"")</f>
        <v/>
      </c>
      <c r="AD810" s="27">
        <f>IF(ISNUMBER($Q810),COUNTIFS($A$14:$A$1213,$A810,$Q$14:$Q$1213,"&gt;"&amp;$Q810)+(COUNTIFS($A$14:$A$1213,$A810,$Q$14:$Q$1213,"="&amp;$Q810)+1)/2,"")</f>
        <v/>
      </c>
      <c r="AE810" s="27">
        <f>IF(ISNUMBER($R810),COUNTIFS($A$14:$A$1213,$A810,$R$14:$R$1213,"&gt;"&amp;$R810)+(COUNTIFS($A$14:$A$1213,$A810,$R$14:$R$1213,"="&amp;$R810)+1)/2,"")</f>
        <v/>
      </c>
      <c r="AF810" s="27">
        <f>IF(ISNUMBER($S810),COUNTIFS($A$14:$A$1213,$A810,$S$14:$S$1213,"&gt;"&amp;$S810)+(COUNTIFS($A$14:$A$1213,$A810,$S$14:$S$1213,"="&amp;$S810)+1)/2,"")</f>
        <v/>
      </c>
      <c r="AG810" s="27">
        <f>IF(ISNUMBER($T810),COUNTIFS($A$14:$A$1213,$A810,$T$14:$T$1213,"&gt;"&amp;$T810)+(COUNTIFS($A$14:$A$1213,$A810,$T$14:$T$1213,"="&amp;$T810)+1)/2,"")</f>
        <v/>
      </c>
      <c r="AH810" s="27">
        <f>IF(COUNT($AC810:$AG810)&lt;2,"",IF(MAX($AC810:$AG810)=MIN($AC810:$AG810),0,1))</f>
        <v/>
      </c>
      <c r="AI810" s="27">
        <f>IF($A810="","",IF(COUNTIF($A$14:$A810,$A810)=1,COUNTIF($AI$13:AI809,"&gt;0")+1,""))</f>
        <v/>
      </c>
      <c r="AO810" s="27">
        <f>IF($A810="","",IF(AND(COUNTIFS($A$14:$A$1213,$A810,$F$14:$F$1213,"&gt;=0")=2,IFERROR(INDEX($M$14:$M$313,MATCH($A810,$H$14:$H$313,0)),"Yes")&lt;&gt;"Yes"),1,0))</f>
        <v/>
      </c>
    </row>
    <row r="811">
      <c r="A811" s="19">
        <f>IF('Enter messages'!A811="","",'Enter messages'!A811)</f>
        <v/>
      </c>
      <c r="B811" s="20">
        <f>IF('Enter messages'!B811="","",'Enter messages'!B811)</f>
        <v/>
      </c>
      <c r="C811" s="21">
        <f>IFERROR(AVERAGE(P811:T811),"")</f>
        <v/>
      </c>
      <c r="D811" s="29" t="n"/>
      <c r="E811" s="29" t="n"/>
      <c r="F811" s="30">
        <f>IF(AND(ISNUMBER($D811),ISNUMBER($E811),$E811&gt;0,$D811&lt;=$E811),$D811/$E811,"")</f>
        <v/>
      </c>
      <c r="P811" s="26" t="n"/>
      <c r="Q811" s="26" t="n"/>
      <c r="R811" s="26" t="n"/>
      <c r="S811" s="26" t="n"/>
      <c r="T811" s="26" t="n"/>
      <c r="V811" s="27">
        <f>IF(ISNUMBER($C811),COUNTIFS($A$14:$A$1213,$A811,$C$14:$C$1213,"&gt;"&amp;$C811)+(COUNTIFS($A$14:$A$1213,$A811,$C$14:$C$1213,"="&amp;$C811)+1)/2,"")</f>
        <v/>
      </c>
      <c r="W811" s="27">
        <f>IF(ISNUMBER($F811),COUNTIFS($A$14:$A$1213,$A811,$F$14:$F$1213,"&gt;"&amp;$F811)+(COUNTIFS($A$14:$A$1213,$A811,$F$14:$F$1213,"="&amp;$F811)+1)/2,"")</f>
        <v/>
      </c>
      <c r="X811" s="27">
        <f>IF(OR(NOT(ISNUMBER($V811)),$AO811=1),"",$V811-(COUNTIFS($A$14:$A$1213,$A811,$C$14:$C$1213,"&gt;=0")+1)/2)</f>
        <v/>
      </c>
      <c r="Y811" s="27">
        <f>IF(OR(NOT(ISNUMBER($W811)),$AO811=1),"",$W811-(COUNTIFS($A$14:$A$1213,$A811,$F$14:$F$1213,"&gt;=0")+1)/2)</f>
        <v/>
      </c>
      <c r="Z811" s="27">
        <f>IF(ISNUMBER($V811),$A811&amp;"|"&amp;$V811,"")</f>
        <v/>
      </c>
      <c r="AA811" s="27">
        <f>IF(ISNUMBER($W811),$A811&amp;"|"&amp;$W811,"")</f>
        <v/>
      </c>
      <c r="AB811" s="27">
        <f>IF(ISNUMBER($F811),$A811&amp;"|"&amp;$F811,"")</f>
        <v/>
      </c>
      <c r="AC811" s="27">
        <f>IF(ISNUMBER($P811),COUNTIFS($A$14:$A$1213,$A811,$P$14:$P$1213,"&gt;"&amp;$P811)+(COUNTIFS($A$14:$A$1213,$A811,$P$14:$P$1213,"="&amp;$P811)+1)/2,"")</f>
        <v/>
      </c>
      <c r="AD811" s="27">
        <f>IF(ISNUMBER($Q811),COUNTIFS($A$14:$A$1213,$A811,$Q$14:$Q$1213,"&gt;"&amp;$Q811)+(COUNTIFS($A$14:$A$1213,$A811,$Q$14:$Q$1213,"="&amp;$Q811)+1)/2,"")</f>
        <v/>
      </c>
      <c r="AE811" s="27">
        <f>IF(ISNUMBER($R811),COUNTIFS($A$14:$A$1213,$A811,$R$14:$R$1213,"&gt;"&amp;$R811)+(COUNTIFS($A$14:$A$1213,$A811,$R$14:$R$1213,"="&amp;$R811)+1)/2,"")</f>
        <v/>
      </c>
      <c r="AF811" s="27">
        <f>IF(ISNUMBER($S811),COUNTIFS($A$14:$A$1213,$A811,$S$14:$S$1213,"&gt;"&amp;$S811)+(COUNTIFS($A$14:$A$1213,$A811,$S$14:$S$1213,"="&amp;$S811)+1)/2,"")</f>
        <v/>
      </c>
      <c r="AG811" s="27">
        <f>IF(ISNUMBER($T811),COUNTIFS($A$14:$A$1213,$A811,$T$14:$T$1213,"&gt;"&amp;$T811)+(COUNTIFS($A$14:$A$1213,$A811,$T$14:$T$1213,"="&amp;$T811)+1)/2,"")</f>
        <v/>
      </c>
      <c r="AH811" s="27">
        <f>IF(COUNT($AC811:$AG811)&lt;2,"",IF(MAX($AC811:$AG811)=MIN($AC811:$AG811),0,1))</f>
        <v/>
      </c>
      <c r="AI811" s="27">
        <f>IF($A811="","",IF(COUNTIF($A$14:$A811,$A811)=1,COUNTIF($AI$13:AI810,"&gt;0")+1,""))</f>
        <v/>
      </c>
      <c r="AO811" s="27">
        <f>IF($A811="","",IF(AND(COUNTIFS($A$14:$A$1213,$A811,$F$14:$F$1213,"&gt;=0")=2,IFERROR(INDEX($M$14:$M$313,MATCH($A811,$H$14:$H$313,0)),"Yes")&lt;&gt;"Yes"),1,0))</f>
        <v/>
      </c>
    </row>
    <row r="812">
      <c r="A812" s="19">
        <f>IF('Enter messages'!A812="","",'Enter messages'!A812)</f>
        <v/>
      </c>
      <c r="B812" s="20">
        <f>IF('Enter messages'!B812="","",'Enter messages'!B812)</f>
        <v/>
      </c>
      <c r="C812" s="21">
        <f>IFERROR(AVERAGE(P812:T812),"")</f>
        <v/>
      </c>
      <c r="D812" s="29" t="n"/>
      <c r="E812" s="29" t="n"/>
      <c r="F812" s="30">
        <f>IF(AND(ISNUMBER($D812),ISNUMBER($E812),$E812&gt;0,$D812&lt;=$E812),$D812/$E812,"")</f>
        <v/>
      </c>
      <c r="P812" s="26" t="n"/>
      <c r="Q812" s="26" t="n"/>
      <c r="R812" s="26" t="n"/>
      <c r="S812" s="26" t="n"/>
      <c r="T812" s="26" t="n"/>
      <c r="V812" s="27">
        <f>IF(ISNUMBER($C812),COUNTIFS($A$14:$A$1213,$A812,$C$14:$C$1213,"&gt;"&amp;$C812)+(COUNTIFS($A$14:$A$1213,$A812,$C$14:$C$1213,"="&amp;$C812)+1)/2,"")</f>
        <v/>
      </c>
      <c r="W812" s="27">
        <f>IF(ISNUMBER($F812),COUNTIFS($A$14:$A$1213,$A812,$F$14:$F$1213,"&gt;"&amp;$F812)+(COUNTIFS($A$14:$A$1213,$A812,$F$14:$F$1213,"="&amp;$F812)+1)/2,"")</f>
        <v/>
      </c>
      <c r="X812" s="27">
        <f>IF(OR(NOT(ISNUMBER($V812)),$AO812=1),"",$V812-(COUNTIFS($A$14:$A$1213,$A812,$C$14:$C$1213,"&gt;=0")+1)/2)</f>
        <v/>
      </c>
      <c r="Y812" s="27">
        <f>IF(OR(NOT(ISNUMBER($W812)),$AO812=1),"",$W812-(COUNTIFS($A$14:$A$1213,$A812,$F$14:$F$1213,"&gt;=0")+1)/2)</f>
        <v/>
      </c>
      <c r="Z812" s="27">
        <f>IF(ISNUMBER($V812),$A812&amp;"|"&amp;$V812,"")</f>
        <v/>
      </c>
      <c r="AA812" s="27">
        <f>IF(ISNUMBER($W812),$A812&amp;"|"&amp;$W812,"")</f>
        <v/>
      </c>
      <c r="AB812" s="27">
        <f>IF(ISNUMBER($F812),$A812&amp;"|"&amp;$F812,"")</f>
        <v/>
      </c>
      <c r="AC812" s="27">
        <f>IF(ISNUMBER($P812),COUNTIFS($A$14:$A$1213,$A812,$P$14:$P$1213,"&gt;"&amp;$P812)+(COUNTIFS($A$14:$A$1213,$A812,$P$14:$P$1213,"="&amp;$P812)+1)/2,"")</f>
        <v/>
      </c>
      <c r="AD812" s="27">
        <f>IF(ISNUMBER($Q812),COUNTIFS($A$14:$A$1213,$A812,$Q$14:$Q$1213,"&gt;"&amp;$Q812)+(COUNTIFS($A$14:$A$1213,$A812,$Q$14:$Q$1213,"="&amp;$Q812)+1)/2,"")</f>
        <v/>
      </c>
      <c r="AE812" s="27">
        <f>IF(ISNUMBER($R812),COUNTIFS($A$14:$A$1213,$A812,$R$14:$R$1213,"&gt;"&amp;$R812)+(COUNTIFS($A$14:$A$1213,$A812,$R$14:$R$1213,"="&amp;$R812)+1)/2,"")</f>
        <v/>
      </c>
      <c r="AF812" s="27">
        <f>IF(ISNUMBER($S812),COUNTIFS($A$14:$A$1213,$A812,$S$14:$S$1213,"&gt;"&amp;$S812)+(COUNTIFS($A$14:$A$1213,$A812,$S$14:$S$1213,"="&amp;$S812)+1)/2,"")</f>
        <v/>
      </c>
      <c r="AG812" s="27">
        <f>IF(ISNUMBER($T812),COUNTIFS($A$14:$A$1213,$A812,$T$14:$T$1213,"&gt;"&amp;$T812)+(COUNTIFS($A$14:$A$1213,$A812,$T$14:$T$1213,"="&amp;$T812)+1)/2,"")</f>
        <v/>
      </c>
      <c r="AH812" s="27">
        <f>IF(COUNT($AC812:$AG812)&lt;2,"",IF(MAX($AC812:$AG812)=MIN($AC812:$AG812),0,1))</f>
        <v/>
      </c>
      <c r="AI812" s="27">
        <f>IF($A812="","",IF(COUNTIF($A$14:$A812,$A812)=1,COUNTIF($AI$13:AI811,"&gt;0")+1,""))</f>
        <v/>
      </c>
      <c r="AO812" s="27">
        <f>IF($A812="","",IF(AND(COUNTIFS($A$14:$A$1213,$A812,$F$14:$F$1213,"&gt;=0")=2,IFERROR(INDEX($M$14:$M$313,MATCH($A812,$H$14:$H$313,0)),"Yes")&lt;&gt;"Yes"),1,0))</f>
        <v/>
      </c>
    </row>
    <row r="813">
      <c r="A813" s="19">
        <f>IF('Enter messages'!A813="","",'Enter messages'!A813)</f>
        <v/>
      </c>
      <c r="B813" s="20">
        <f>IF('Enter messages'!B813="","",'Enter messages'!B813)</f>
        <v/>
      </c>
      <c r="C813" s="21">
        <f>IFERROR(AVERAGE(P813:T813),"")</f>
        <v/>
      </c>
      <c r="D813" s="29" t="n"/>
      <c r="E813" s="29" t="n"/>
      <c r="F813" s="30">
        <f>IF(AND(ISNUMBER($D813),ISNUMBER($E813),$E813&gt;0,$D813&lt;=$E813),$D813/$E813,"")</f>
        <v/>
      </c>
      <c r="P813" s="26" t="n"/>
      <c r="Q813" s="26" t="n"/>
      <c r="R813" s="26" t="n"/>
      <c r="S813" s="26" t="n"/>
      <c r="T813" s="26" t="n"/>
      <c r="V813" s="27">
        <f>IF(ISNUMBER($C813),COUNTIFS($A$14:$A$1213,$A813,$C$14:$C$1213,"&gt;"&amp;$C813)+(COUNTIFS($A$14:$A$1213,$A813,$C$14:$C$1213,"="&amp;$C813)+1)/2,"")</f>
        <v/>
      </c>
      <c r="W813" s="27">
        <f>IF(ISNUMBER($F813),COUNTIFS($A$14:$A$1213,$A813,$F$14:$F$1213,"&gt;"&amp;$F813)+(COUNTIFS($A$14:$A$1213,$A813,$F$14:$F$1213,"="&amp;$F813)+1)/2,"")</f>
        <v/>
      </c>
      <c r="X813" s="27">
        <f>IF(OR(NOT(ISNUMBER($V813)),$AO813=1),"",$V813-(COUNTIFS($A$14:$A$1213,$A813,$C$14:$C$1213,"&gt;=0")+1)/2)</f>
        <v/>
      </c>
      <c r="Y813" s="27">
        <f>IF(OR(NOT(ISNUMBER($W813)),$AO813=1),"",$W813-(COUNTIFS($A$14:$A$1213,$A813,$F$14:$F$1213,"&gt;=0")+1)/2)</f>
        <v/>
      </c>
      <c r="Z813" s="27">
        <f>IF(ISNUMBER($V813),$A813&amp;"|"&amp;$V813,"")</f>
        <v/>
      </c>
      <c r="AA813" s="27">
        <f>IF(ISNUMBER($W813),$A813&amp;"|"&amp;$W813,"")</f>
        <v/>
      </c>
      <c r="AB813" s="27">
        <f>IF(ISNUMBER($F813),$A813&amp;"|"&amp;$F813,"")</f>
        <v/>
      </c>
      <c r="AC813" s="27">
        <f>IF(ISNUMBER($P813),COUNTIFS($A$14:$A$1213,$A813,$P$14:$P$1213,"&gt;"&amp;$P813)+(COUNTIFS($A$14:$A$1213,$A813,$P$14:$P$1213,"="&amp;$P813)+1)/2,"")</f>
        <v/>
      </c>
      <c r="AD813" s="27">
        <f>IF(ISNUMBER($Q813),COUNTIFS($A$14:$A$1213,$A813,$Q$14:$Q$1213,"&gt;"&amp;$Q813)+(COUNTIFS($A$14:$A$1213,$A813,$Q$14:$Q$1213,"="&amp;$Q813)+1)/2,"")</f>
        <v/>
      </c>
      <c r="AE813" s="27">
        <f>IF(ISNUMBER($R813),COUNTIFS($A$14:$A$1213,$A813,$R$14:$R$1213,"&gt;"&amp;$R813)+(COUNTIFS($A$14:$A$1213,$A813,$R$14:$R$1213,"="&amp;$R813)+1)/2,"")</f>
        <v/>
      </c>
      <c r="AF813" s="27">
        <f>IF(ISNUMBER($S813),COUNTIFS($A$14:$A$1213,$A813,$S$14:$S$1213,"&gt;"&amp;$S813)+(COUNTIFS($A$14:$A$1213,$A813,$S$14:$S$1213,"="&amp;$S813)+1)/2,"")</f>
        <v/>
      </c>
      <c r="AG813" s="27">
        <f>IF(ISNUMBER($T813),COUNTIFS($A$14:$A$1213,$A813,$T$14:$T$1213,"&gt;"&amp;$T813)+(COUNTIFS($A$14:$A$1213,$A813,$T$14:$T$1213,"="&amp;$T813)+1)/2,"")</f>
        <v/>
      </c>
      <c r="AH813" s="27">
        <f>IF(COUNT($AC813:$AG813)&lt;2,"",IF(MAX($AC813:$AG813)=MIN($AC813:$AG813),0,1))</f>
        <v/>
      </c>
      <c r="AI813" s="27">
        <f>IF($A813="","",IF(COUNTIF($A$14:$A813,$A813)=1,COUNTIF($AI$13:AI812,"&gt;0")+1,""))</f>
        <v/>
      </c>
      <c r="AO813" s="27">
        <f>IF($A813="","",IF(AND(COUNTIFS($A$14:$A$1213,$A813,$F$14:$F$1213,"&gt;=0")=2,IFERROR(INDEX($M$14:$M$313,MATCH($A813,$H$14:$H$313,0)),"Yes")&lt;&gt;"Yes"),1,0))</f>
        <v/>
      </c>
    </row>
    <row r="814">
      <c r="A814" s="19">
        <f>IF('Enter messages'!A814="","",'Enter messages'!A814)</f>
        <v/>
      </c>
      <c r="B814" s="20">
        <f>IF('Enter messages'!B814="","",'Enter messages'!B814)</f>
        <v/>
      </c>
      <c r="C814" s="21">
        <f>IFERROR(AVERAGE(P814:T814),"")</f>
        <v/>
      </c>
      <c r="D814" s="29" t="n"/>
      <c r="E814" s="29" t="n"/>
      <c r="F814" s="30">
        <f>IF(AND(ISNUMBER($D814),ISNUMBER($E814),$E814&gt;0,$D814&lt;=$E814),$D814/$E814,"")</f>
        <v/>
      </c>
      <c r="P814" s="26" t="n"/>
      <c r="Q814" s="26" t="n"/>
      <c r="R814" s="26" t="n"/>
      <c r="S814" s="26" t="n"/>
      <c r="T814" s="26" t="n"/>
      <c r="V814" s="27">
        <f>IF(ISNUMBER($C814),COUNTIFS($A$14:$A$1213,$A814,$C$14:$C$1213,"&gt;"&amp;$C814)+(COUNTIFS($A$14:$A$1213,$A814,$C$14:$C$1213,"="&amp;$C814)+1)/2,"")</f>
        <v/>
      </c>
      <c r="W814" s="27">
        <f>IF(ISNUMBER($F814),COUNTIFS($A$14:$A$1213,$A814,$F$14:$F$1213,"&gt;"&amp;$F814)+(COUNTIFS($A$14:$A$1213,$A814,$F$14:$F$1213,"="&amp;$F814)+1)/2,"")</f>
        <v/>
      </c>
      <c r="X814" s="27">
        <f>IF(OR(NOT(ISNUMBER($V814)),$AO814=1),"",$V814-(COUNTIFS($A$14:$A$1213,$A814,$C$14:$C$1213,"&gt;=0")+1)/2)</f>
        <v/>
      </c>
      <c r="Y814" s="27">
        <f>IF(OR(NOT(ISNUMBER($W814)),$AO814=1),"",$W814-(COUNTIFS($A$14:$A$1213,$A814,$F$14:$F$1213,"&gt;=0")+1)/2)</f>
        <v/>
      </c>
      <c r="Z814" s="27">
        <f>IF(ISNUMBER($V814),$A814&amp;"|"&amp;$V814,"")</f>
        <v/>
      </c>
      <c r="AA814" s="27">
        <f>IF(ISNUMBER($W814),$A814&amp;"|"&amp;$W814,"")</f>
        <v/>
      </c>
      <c r="AB814" s="27">
        <f>IF(ISNUMBER($F814),$A814&amp;"|"&amp;$F814,"")</f>
        <v/>
      </c>
      <c r="AC814" s="27">
        <f>IF(ISNUMBER($P814),COUNTIFS($A$14:$A$1213,$A814,$P$14:$P$1213,"&gt;"&amp;$P814)+(COUNTIFS($A$14:$A$1213,$A814,$P$14:$P$1213,"="&amp;$P814)+1)/2,"")</f>
        <v/>
      </c>
      <c r="AD814" s="27">
        <f>IF(ISNUMBER($Q814),COUNTIFS($A$14:$A$1213,$A814,$Q$14:$Q$1213,"&gt;"&amp;$Q814)+(COUNTIFS($A$14:$A$1213,$A814,$Q$14:$Q$1213,"="&amp;$Q814)+1)/2,"")</f>
        <v/>
      </c>
      <c r="AE814" s="27">
        <f>IF(ISNUMBER($R814),COUNTIFS($A$14:$A$1213,$A814,$R$14:$R$1213,"&gt;"&amp;$R814)+(COUNTIFS($A$14:$A$1213,$A814,$R$14:$R$1213,"="&amp;$R814)+1)/2,"")</f>
        <v/>
      </c>
      <c r="AF814" s="27">
        <f>IF(ISNUMBER($S814),COUNTIFS($A$14:$A$1213,$A814,$S$14:$S$1213,"&gt;"&amp;$S814)+(COUNTIFS($A$14:$A$1213,$A814,$S$14:$S$1213,"="&amp;$S814)+1)/2,"")</f>
        <v/>
      </c>
      <c r="AG814" s="27">
        <f>IF(ISNUMBER($T814),COUNTIFS($A$14:$A$1213,$A814,$T$14:$T$1213,"&gt;"&amp;$T814)+(COUNTIFS($A$14:$A$1213,$A814,$T$14:$T$1213,"="&amp;$T814)+1)/2,"")</f>
        <v/>
      </c>
      <c r="AH814" s="27">
        <f>IF(COUNT($AC814:$AG814)&lt;2,"",IF(MAX($AC814:$AG814)=MIN($AC814:$AG814),0,1))</f>
        <v/>
      </c>
      <c r="AI814" s="27">
        <f>IF($A814="","",IF(COUNTIF($A$14:$A814,$A814)=1,COUNTIF($AI$13:AI813,"&gt;0")+1,""))</f>
        <v/>
      </c>
      <c r="AO814" s="27">
        <f>IF($A814="","",IF(AND(COUNTIFS($A$14:$A$1213,$A814,$F$14:$F$1213,"&gt;=0")=2,IFERROR(INDEX($M$14:$M$313,MATCH($A814,$H$14:$H$313,0)),"Yes")&lt;&gt;"Yes"),1,0))</f>
        <v/>
      </c>
    </row>
    <row r="815">
      <c r="A815" s="19">
        <f>IF('Enter messages'!A815="","",'Enter messages'!A815)</f>
        <v/>
      </c>
      <c r="B815" s="20">
        <f>IF('Enter messages'!B815="","",'Enter messages'!B815)</f>
        <v/>
      </c>
      <c r="C815" s="21">
        <f>IFERROR(AVERAGE(P815:T815),"")</f>
        <v/>
      </c>
      <c r="D815" s="29" t="n"/>
      <c r="E815" s="29" t="n"/>
      <c r="F815" s="30">
        <f>IF(AND(ISNUMBER($D815),ISNUMBER($E815),$E815&gt;0,$D815&lt;=$E815),$D815/$E815,"")</f>
        <v/>
      </c>
      <c r="P815" s="26" t="n"/>
      <c r="Q815" s="26" t="n"/>
      <c r="R815" s="26" t="n"/>
      <c r="S815" s="26" t="n"/>
      <c r="T815" s="26" t="n"/>
      <c r="V815" s="27">
        <f>IF(ISNUMBER($C815),COUNTIFS($A$14:$A$1213,$A815,$C$14:$C$1213,"&gt;"&amp;$C815)+(COUNTIFS($A$14:$A$1213,$A815,$C$14:$C$1213,"="&amp;$C815)+1)/2,"")</f>
        <v/>
      </c>
      <c r="W815" s="27">
        <f>IF(ISNUMBER($F815),COUNTIFS($A$14:$A$1213,$A815,$F$14:$F$1213,"&gt;"&amp;$F815)+(COUNTIFS($A$14:$A$1213,$A815,$F$14:$F$1213,"="&amp;$F815)+1)/2,"")</f>
        <v/>
      </c>
      <c r="X815" s="27">
        <f>IF(OR(NOT(ISNUMBER($V815)),$AO815=1),"",$V815-(COUNTIFS($A$14:$A$1213,$A815,$C$14:$C$1213,"&gt;=0")+1)/2)</f>
        <v/>
      </c>
      <c r="Y815" s="27">
        <f>IF(OR(NOT(ISNUMBER($W815)),$AO815=1),"",$W815-(COUNTIFS($A$14:$A$1213,$A815,$F$14:$F$1213,"&gt;=0")+1)/2)</f>
        <v/>
      </c>
      <c r="Z815" s="27">
        <f>IF(ISNUMBER($V815),$A815&amp;"|"&amp;$V815,"")</f>
        <v/>
      </c>
      <c r="AA815" s="27">
        <f>IF(ISNUMBER($W815),$A815&amp;"|"&amp;$W815,"")</f>
        <v/>
      </c>
      <c r="AB815" s="27">
        <f>IF(ISNUMBER($F815),$A815&amp;"|"&amp;$F815,"")</f>
        <v/>
      </c>
      <c r="AC815" s="27">
        <f>IF(ISNUMBER($P815),COUNTIFS($A$14:$A$1213,$A815,$P$14:$P$1213,"&gt;"&amp;$P815)+(COUNTIFS($A$14:$A$1213,$A815,$P$14:$P$1213,"="&amp;$P815)+1)/2,"")</f>
        <v/>
      </c>
      <c r="AD815" s="27">
        <f>IF(ISNUMBER($Q815),COUNTIFS($A$14:$A$1213,$A815,$Q$14:$Q$1213,"&gt;"&amp;$Q815)+(COUNTIFS($A$14:$A$1213,$A815,$Q$14:$Q$1213,"="&amp;$Q815)+1)/2,"")</f>
        <v/>
      </c>
      <c r="AE815" s="27">
        <f>IF(ISNUMBER($R815),COUNTIFS($A$14:$A$1213,$A815,$R$14:$R$1213,"&gt;"&amp;$R815)+(COUNTIFS($A$14:$A$1213,$A815,$R$14:$R$1213,"="&amp;$R815)+1)/2,"")</f>
        <v/>
      </c>
      <c r="AF815" s="27">
        <f>IF(ISNUMBER($S815),COUNTIFS($A$14:$A$1213,$A815,$S$14:$S$1213,"&gt;"&amp;$S815)+(COUNTIFS($A$14:$A$1213,$A815,$S$14:$S$1213,"="&amp;$S815)+1)/2,"")</f>
        <v/>
      </c>
      <c r="AG815" s="27">
        <f>IF(ISNUMBER($T815),COUNTIFS($A$14:$A$1213,$A815,$T$14:$T$1213,"&gt;"&amp;$T815)+(COUNTIFS($A$14:$A$1213,$A815,$T$14:$T$1213,"="&amp;$T815)+1)/2,"")</f>
        <v/>
      </c>
      <c r="AH815" s="27">
        <f>IF(COUNT($AC815:$AG815)&lt;2,"",IF(MAX($AC815:$AG815)=MIN($AC815:$AG815),0,1))</f>
        <v/>
      </c>
      <c r="AI815" s="27">
        <f>IF($A815="","",IF(COUNTIF($A$14:$A815,$A815)=1,COUNTIF($AI$13:AI814,"&gt;0")+1,""))</f>
        <v/>
      </c>
      <c r="AO815" s="27">
        <f>IF($A815="","",IF(AND(COUNTIFS($A$14:$A$1213,$A815,$F$14:$F$1213,"&gt;=0")=2,IFERROR(INDEX($M$14:$M$313,MATCH($A815,$H$14:$H$313,0)),"Yes")&lt;&gt;"Yes"),1,0))</f>
        <v/>
      </c>
    </row>
    <row r="816">
      <c r="A816" s="19">
        <f>IF('Enter messages'!A816="","",'Enter messages'!A816)</f>
        <v/>
      </c>
      <c r="B816" s="20">
        <f>IF('Enter messages'!B816="","",'Enter messages'!B816)</f>
        <v/>
      </c>
      <c r="C816" s="21">
        <f>IFERROR(AVERAGE(P816:T816),"")</f>
        <v/>
      </c>
      <c r="D816" s="29" t="n"/>
      <c r="E816" s="29" t="n"/>
      <c r="F816" s="30">
        <f>IF(AND(ISNUMBER($D816),ISNUMBER($E816),$E816&gt;0,$D816&lt;=$E816),$D816/$E816,"")</f>
        <v/>
      </c>
      <c r="P816" s="26" t="n"/>
      <c r="Q816" s="26" t="n"/>
      <c r="R816" s="26" t="n"/>
      <c r="S816" s="26" t="n"/>
      <c r="T816" s="26" t="n"/>
      <c r="V816" s="27">
        <f>IF(ISNUMBER($C816),COUNTIFS($A$14:$A$1213,$A816,$C$14:$C$1213,"&gt;"&amp;$C816)+(COUNTIFS($A$14:$A$1213,$A816,$C$14:$C$1213,"="&amp;$C816)+1)/2,"")</f>
        <v/>
      </c>
      <c r="W816" s="27">
        <f>IF(ISNUMBER($F816),COUNTIFS($A$14:$A$1213,$A816,$F$14:$F$1213,"&gt;"&amp;$F816)+(COUNTIFS($A$14:$A$1213,$A816,$F$14:$F$1213,"="&amp;$F816)+1)/2,"")</f>
        <v/>
      </c>
      <c r="X816" s="27">
        <f>IF(OR(NOT(ISNUMBER($V816)),$AO816=1),"",$V816-(COUNTIFS($A$14:$A$1213,$A816,$C$14:$C$1213,"&gt;=0")+1)/2)</f>
        <v/>
      </c>
      <c r="Y816" s="27">
        <f>IF(OR(NOT(ISNUMBER($W816)),$AO816=1),"",$W816-(COUNTIFS($A$14:$A$1213,$A816,$F$14:$F$1213,"&gt;=0")+1)/2)</f>
        <v/>
      </c>
      <c r="Z816" s="27">
        <f>IF(ISNUMBER($V816),$A816&amp;"|"&amp;$V816,"")</f>
        <v/>
      </c>
      <c r="AA816" s="27">
        <f>IF(ISNUMBER($W816),$A816&amp;"|"&amp;$W816,"")</f>
        <v/>
      </c>
      <c r="AB816" s="27">
        <f>IF(ISNUMBER($F816),$A816&amp;"|"&amp;$F816,"")</f>
        <v/>
      </c>
      <c r="AC816" s="27">
        <f>IF(ISNUMBER($P816),COUNTIFS($A$14:$A$1213,$A816,$P$14:$P$1213,"&gt;"&amp;$P816)+(COUNTIFS($A$14:$A$1213,$A816,$P$14:$P$1213,"="&amp;$P816)+1)/2,"")</f>
        <v/>
      </c>
      <c r="AD816" s="27">
        <f>IF(ISNUMBER($Q816),COUNTIFS($A$14:$A$1213,$A816,$Q$14:$Q$1213,"&gt;"&amp;$Q816)+(COUNTIFS($A$14:$A$1213,$A816,$Q$14:$Q$1213,"="&amp;$Q816)+1)/2,"")</f>
        <v/>
      </c>
      <c r="AE816" s="27">
        <f>IF(ISNUMBER($R816),COUNTIFS($A$14:$A$1213,$A816,$R$14:$R$1213,"&gt;"&amp;$R816)+(COUNTIFS($A$14:$A$1213,$A816,$R$14:$R$1213,"="&amp;$R816)+1)/2,"")</f>
        <v/>
      </c>
      <c r="AF816" s="27">
        <f>IF(ISNUMBER($S816),COUNTIFS($A$14:$A$1213,$A816,$S$14:$S$1213,"&gt;"&amp;$S816)+(COUNTIFS($A$14:$A$1213,$A816,$S$14:$S$1213,"="&amp;$S816)+1)/2,"")</f>
        <v/>
      </c>
      <c r="AG816" s="27">
        <f>IF(ISNUMBER($T816),COUNTIFS($A$14:$A$1213,$A816,$T$14:$T$1213,"&gt;"&amp;$T816)+(COUNTIFS($A$14:$A$1213,$A816,$T$14:$T$1213,"="&amp;$T816)+1)/2,"")</f>
        <v/>
      </c>
      <c r="AH816" s="27">
        <f>IF(COUNT($AC816:$AG816)&lt;2,"",IF(MAX($AC816:$AG816)=MIN($AC816:$AG816),0,1))</f>
        <v/>
      </c>
      <c r="AI816" s="27">
        <f>IF($A816="","",IF(COUNTIF($A$14:$A816,$A816)=1,COUNTIF($AI$13:AI815,"&gt;0")+1,""))</f>
        <v/>
      </c>
      <c r="AO816" s="27">
        <f>IF($A816="","",IF(AND(COUNTIFS($A$14:$A$1213,$A816,$F$14:$F$1213,"&gt;=0")=2,IFERROR(INDEX($M$14:$M$313,MATCH($A816,$H$14:$H$313,0)),"Yes")&lt;&gt;"Yes"),1,0))</f>
        <v/>
      </c>
    </row>
    <row r="817">
      <c r="A817" s="19">
        <f>IF('Enter messages'!A817="","",'Enter messages'!A817)</f>
        <v/>
      </c>
      <c r="B817" s="20">
        <f>IF('Enter messages'!B817="","",'Enter messages'!B817)</f>
        <v/>
      </c>
      <c r="C817" s="21">
        <f>IFERROR(AVERAGE(P817:T817),"")</f>
        <v/>
      </c>
      <c r="D817" s="29" t="n"/>
      <c r="E817" s="29" t="n"/>
      <c r="F817" s="30">
        <f>IF(AND(ISNUMBER($D817),ISNUMBER($E817),$E817&gt;0,$D817&lt;=$E817),$D817/$E817,"")</f>
        <v/>
      </c>
      <c r="P817" s="26" t="n"/>
      <c r="Q817" s="26" t="n"/>
      <c r="R817" s="26" t="n"/>
      <c r="S817" s="26" t="n"/>
      <c r="T817" s="26" t="n"/>
      <c r="V817" s="27">
        <f>IF(ISNUMBER($C817),COUNTIFS($A$14:$A$1213,$A817,$C$14:$C$1213,"&gt;"&amp;$C817)+(COUNTIFS($A$14:$A$1213,$A817,$C$14:$C$1213,"="&amp;$C817)+1)/2,"")</f>
        <v/>
      </c>
      <c r="W817" s="27">
        <f>IF(ISNUMBER($F817),COUNTIFS($A$14:$A$1213,$A817,$F$14:$F$1213,"&gt;"&amp;$F817)+(COUNTIFS($A$14:$A$1213,$A817,$F$14:$F$1213,"="&amp;$F817)+1)/2,"")</f>
        <v/>
      </c>
      <c r="X817" s="27">
        <f>IF(OR(NOT(ISNUMBER($V817)),$AO817=1),"",$V817-(COUNTIFS($A$14:$A$1213,$A817,$C$14:$C$1213,"&gt;=0")+1)/2)</f>
        <v/>
      </c>
      <c r="Y817" s="27">
        <f>IF(OR(NOT(ISNUMBER($W817)),$AO817=1),"",$W817-(COUNTIFS($A$14:$A$1213,$A817,$F$14:$F$1213,"&gt;=0")+1)/2)</f>
        <v/>
      </c>
      <c r="Z817" s="27">
        <f>IF(ISNUMBER($V817),$A817&amp;"|"&amp;$V817,"")</f>
        <v/>
      </c>
      <c r="AA817" s="27">
        <f>IF(ISNUMBER($W817),$A817&amp;"|"&amp;$W817,"")</f>
        <v/>
      </c>
      <c r="AB817" s="27">
        <f>IF(ISNUMBER($F817),$A817&amp;"|"&amp;$F817,"")</f>
        <v/>
      </c>
      <c r="AC817" s="27">
        <f>IF(ISNUMBER($P817),COUNTIFS($A$14:$A$1213,$A817,$P$14:$P$1213,"&gt;"&amp;$P817)+(COUNTIFS($A$14:$A$1213,$A817,$P$14:$P$1213,"="&amp;$P817)+1)/2,"")</f>
        <v/>
      </c>
      <c r="AD817" s="27">
        <f>IF(ISNUMBER($Q817),COUNTIFS($A$14:$A$1213,$A817,$Q$14:$Q$1213,"&gt;"&amp;$Q817)+(COUNTIFS($A$14:$A$1213,$A817,$Q$14:$Q$1213,"="&amp;$Q817)+1)/2,"")</f>
        <v/>
      </c>
      <c r="AE817" s="27">
        <f>IF(ISNUMBER($R817),COUNTIFS($A$14:$A$1213,$A817,$R$14:$R$1213,"&gt;"&amp;$R817)+(COUNTIFS($A$14:$A$1213,$A817,$R$14:$R$1213,"="&amp;$R817)+1)/2,"")</f>
        <v/>
      </c>
      <c r="AF817" s="27">
        <f>IF(ISNUMBER($S817),COUNTIFS($A$14:$A$1213,$A817,$S$14:$S$1213,"&gt;"&amp;$S817)+(COUNTIFS($A$14:$A$1213,$A817,$S$14:$S$1213,"="&amp;$S817)+1)/2,"")</f>
        <v/>
      </c>
      <c r="AG817" s="27">
        <f>IF(ISNUMBER($T817),COUNTIFS($A$14:$A$1213,$A817,$T$14:$T$1213,"&gt;"&amp;$T817)+(COUNTIFS($A$14:$A$1213,$A817,$T$14:$T$1213,"="&amp;$T817)+1)/2,"")</f>
        <v/>
      </c>
      <c r="AH817" s="27">
        <f>IF(COUNT($AC817:$AG817)&lt;2,"",IF(MAX($AC817:$AG817)=MIN($AC817:$AG817),0,1))</f>
        <v/>
      </c>
      <c r="AI817" s="27">
        <f>IF($A817="","",IF(COUNTIF($A$14:$A817,$A817)=1,COUNTIF($AI$13:AI816,"&gt;0")+1,""))</f>
        <v/>
      </c>
      <c r="AO817" s="27">
        <f>IF($A817="","",IF(AND(COUNTIFS($A$14:$A$1213,$A817,$F$14:$F$1213,"&gt;=0")=2,IFERROR(INDEX($M$14:$M$313,MATCH($A817,$H$14:$H$313,0)),"Yes")&lt;&gt;"Yes"),1,0))</f>
        <v/>
      </c>
    </row>
    <row r="818">
      <c r="A818" s="19">
        <f>IF('Enter messages'!A818="","",'Enter messages'!A818)</f>
        <v/>
      </c>
      <c r="B818" s="20">
        <f>IF('Enter messages'!B818="","",'Enter messages'!B818)</f>
        <v/>
      </c>
      <c r="C818" s="21">
        <f>IFERROR(AVERAGE(P818:T818),"")</f>
        <v/>
      </c>
      <c r="D818" s="29" t="n"/>
      <c r="E818" s="29" t="n"/>
      <c r="F818" s="30">
        <f>IF(AND(ISNUMBER($D818),ISNUMBER($E818),$E818&gt;0,$D818&lt;=$E818),$D818/$E818,"")</f>
        <v/>
      </c>
      <c r="P818" s="26" t="n"/>
      <c r="Q818" s="26" t="n"/>
      <c r="R818" s="26" t="n"/>
      <c r="S818" s="26" t="n"/>
      <c r="T818" s="26" t="n"/>
      <c r="V818" s="27">
        <f>IF(ISNUMBER($C818),COUNTIFS($A$14:$A$1213,$A818,$C$14:$C$1213,"&gt;"&amp;$C818)+(COUNTIFS($A$14:$A$1213,$A818,$C$14:$C$1213,"="&amp;$C818)+1)/2,"")</f>
        <v/>
      </c>
      <c r="W818" s="27">
        <f>IF(ISNUMBER($F818),COUNTIFS($A$14:$A$1213,$A818,$F$14:$F$1213,"&gt;"&amp;$F818)+(COUNTIFS($A$14:$A$1213,$A818,$F$14:$F$1213,"="&amp;$F818)+1)/2,"")</f>
        <v/>
      </c>
      <c r="X818" s="27">
        <f>IF(OR(NOT(ISNUMBER($V818)),$AO818=1),"",$V818-(COUNTIFS($A$14:$A$1213,$A818,$C$14:$C$1213,"&gt;=0")+1)/2)</f>
        <v/>
      </c>
      <c r="Y818" s="27">
        <f>IF(OR(NOT(ISNUMBER($W818)),$AO818=1),"",$W818-(COUNTIFS($A$14:$A$1213,$A818,$F$14:$F$1213,"&gt;=0")+1)/2)</f>
        <v/>
      </c>
      <c r="Z818" s="27">
        <f>IF(ISNUMBER($V818),$A818&amp;"|"&amp;$V818,"")</f>
        <v/>
      </c>
      <c r="AA818" s="27">
        <f>IF(ISNUMBER($W818),$A818&amp;"|"&amp;$W818,"")</f>
        <v/>
      </c>
      <c r="AB818" s="27">
        <f>IF(ISNUMBER($F818),$A818&amp;"|"&amp;$F818,"")</f>
        <v/>
      </c>
      <c r="AC818" s="27">
        <f>IF(ISNUMBER($P818),COUNTIFS($A$14:$A$1213,$A818,$P$14:$P$1213,"&gt;"&amp;$P818)+(COUNTIFS($A$14:$A$1213,$A818,$P$14:$P$1213,"="&amp;$P818)+1)/2,"")</f>
        <v/>
      </c>
      <c r="AD818" s="27">
        <f>IF(ISNUMBER($Q818),COUNTIFS($A$14:$A$1213,$A818,$Q$14:$Q$1213,"&gt;"&amp;$Q818)+(COUNTIFS($A$14:$A$1213,$A818,$Q$14:$Q$1213,"="&amp;$Q818)+1)/2,"")</f>
        <v/>
      </c>
      <c r="AE818" s="27">
        <f>IF(ISNUMBER($R818),COUNTIFS($A$14:$A$1213,$A818,$R$14:$R$1213,"&gt;"&amp;$R818)+(COUNTIFS($A$14:$A$1213,$A818,$R$14:$R$1213,"="&amp;$R818)+1)/2,"")</f>
        <v/>
      </c>
      <c r="AF818" s="27">
        <f>IF(ISNUMBER($S818),COUNTIFS($A$14:$A$1213,$A818,$S$14:$S$1213,"&gt;"&amp;$S818)+(COUNTIFS($A$14:$A$1213,$A818,$S$14:$S$1213,"="&amp;$S818)+1)/2,"")</f>
        <v/>
      </c>
      <c r="AG818" s="27">
        <f>IF(ISNUMBER($T818),COUNTIFS($A$14:$A$1213,$A818,$T$14:$T$1213,"&gt;"&amp;$T818)+(COUNTIFS($A$14:$A$1213,$A818,$T$14:$T$1213,"="&amp;$T818)+1)/2,"")</f>
        <v/>
      </c>
      <c r="AH818" s="27">
        <f>IF(COUNT($AC818:$AG818)&lt;2,"",IF(MAX($AC818:$AG818)=MIN($AC818:$AG818),0,1))</f>
        <v/>
      </c>
      <c r="AI818" s="27">
        <f>IF($A818="","",IF(COUNTIF($A$14:$A818,$A818)=1,COUNTIF($AI$13:AI817,"&gt;0")+1,""))</f>
        <v/>
      </c>
      <c r="AO818" s="27">
        <f>IF($A818="","",IF(AND(COUNTIFS($A$14:$A$1213,$A818,$F$14:$F$1213,"&gt;=0")=2,IFERROR(INDEX($M$14:$M$313,MATCH($A818,$H$14:$H$313,0)),"Yes")&lt;&gt;"Yes"),1,0))</f>
        <v/>
      </c>
    </row>
    <row r="819">
      <c r="A819" s="19">
        <f>IF('Enter messages'!A819="","",'Enter messages'!A819)</f>
        <v/>
      </c>
      <c r="B819" s="20">
        <f>IF('Enter messages'!B819="","",'Enter messages'!B819)</f>
        <v/>
      </c>
      <c r="C819" s="21">
        <f>IFERROR(AVERAGE(P819:T819),"")</f>
        <v/>
      </c>
      <c r="D819" s="29" t="n"/>
      <c r="E819" s="29" t="n"/>
      <c r="F819" s="30">
        <f>IF(AND(ISNUMBER($D819),ISNUMBER($E819),$E819&gt;0,$D819&lt;=$E819),$D819/$E819,"")</f>
        <v/>
      </c>
      <c r="P819" s="26" t="n"/>
      <c r="Q819" s="26" t="n"/>
      <c r="R819" s="26" t="n"/>
      <c r="S819" s="26" t="n"/>
      <c r="T819" s="26" t="n"/>
      <c r="V819" s="27">
        <f>IF(ISNUMBER($C819),COUNTIFS($A$14:$A$1213,$A819,$C$14:$C$1213,"&gt;"&amp;$C819)+(COUNTIFS($A$14:$A$1213,$A819,$C$14:$C$1213,"="&amp;$C819)+1)/2,"")</f>
        <v/>
      </c>
      <c r="W819" s="27">
        <f>IF(ISNUMBER($F819),COUNTIFS($A$14:$A$1213,$A819,$F$14:$F$1213,"&gt;"&amp;$F819)+(COUNTIFS($A$14:$A$1213,$A819,$F$14:$F$1213,"="&amp;$F819)+1)/2,"")</f>
        <v/>
      </c>
      <c r="X819" s="27">
        <f>IF(OR(NOT(ISNUMBER($V819)),$AO819=1),"",$V819-(COUNTIFS($A$14:$A$1213,$A819,$C$14:$C$1213,"&gt;=0")+1)/2)</f>
        <v/>
      </c>
      <c r="Y819" s="27">
        <f>IF(OR(NOT(ISNUMBER($W819)),$AO819=1),"",$W819-(COUNTIFS($A$14:$A$1213,$A819,$F$14:$F$1213,"&gt;=0")+1)/2)</f>
        <v/>
      </c>
      <c r="Z819" s="27">
        <f>IF(ISNUMBER($V819),$A819&amp;"|"&amp;$V819,"")</f>
        <v/>
      </c>
      <c r="AA819" s="27">
        <f>IF(ISNUMBER($W819),$A819&amp;"|"&amp;$W819,"")</f>
        <v/>
      </c>
      <c r="AB819" s="27">
        <f>IF(ISNUMBER($F819),$A819&amp;"|"&amp;$F819,"")</f>
        <v/>
      </c>
      <c r="AC819" s="27">
        <f>IF(ISNUMBER($P819),COUNTIFS($A$14:$A$1213,$A819,$P$14:$P$1213,"&gt;"&amp;$P819)+(COUNTIFS($A$14:$A$1213,$A819,$P$14:$P$1213,"="&amp;$P819)+1)/2,"")</f>
        <v/>
      </c>
      <c r="AD819" s="27">
        <f>IF(ISNUMBER($Q819),COUNTIFS($A$14:$A$1213,$A819,$Q$14:$Q$1213,"&gt;"&amp;$Q819)+(COUNTIFS($A$14:$A$1213,$A819,$Q$14:$Q$1213,"="&amp;$Q819)+1)/2,"")</f>
        <v/>
      </c>
      <c r="AE819" s="27">
        <f>IF(ISNUMBER($R819),COUNTIFS($A$14:$A$1213,$A819,$R$14:$R$1213,"&gt;"&amp;$R819)+(COUNTIFS($A$14:$A$1213,$A819,$R$14:$R$1213,"="&amp;$R819)+1)/2,"")</f>
        <v/>
      </c>
      <c r="AF819" s="27">
        <f>IF(ISNUMBER($S819),COUNTIFS($A$14:$A$1213,$A819,$S$14:$S$1213,"&gt;"&amp;$S819)+(COUNTIFS($A$14:$A$1213,$A819,$S$14:$S$1213,"="&amp;$S819)+1)/2,"")</f>
        <v/>
      </c>
      <c r="AG819" s="27">
        <f>IF(ISNUMBER($T819),COUNTIFS($A$14:$A$1213,$A819,$T$14:$T$1213,"&gt;"&amp;$T819)+(COUNTIFS($A$14:$A$1213,$A819,$T$14:$T$1213,"="&amp;$T819)+1)/2,"")</f>
        <v/>
      </c>
      <c r="AH819" s="27">
        <f>IF(COUNT($AC819:$AG819)&lt;2,"",IF(MAX($AC819:$AG819)=MIN($AC819:$AG819),0,1))</f>
        <v/>
      </c>
      <c r="AI819" s="27">
        <f>IF($A819="","",IF(COUNTIF($A$14:$A819,$A819)=1,COUNTIF($AI$13:AI818,"&gt;0")+1,""))</f>
        <v/>
      </c>
      <c r="AO819" s="27">
        <f>IF($A819="","",IF(AND(COUNTIFS($A$14:$A$1213,$A819,$F$14:$F$1213,"&gt;=0")=2,IFERROR(INDEX($M$14:$M$313,MATCH($A819,$H$14:$H$313,0)),"Yes")&lt;&gt;"Yes"),1,0))</f>
        <v/>
      </c>
    </row>
    <row r="820">
      <c r="A820" s="19">
        <f>IF('Enter messages'!A820="","",'Enter messages'!A820)</f>
        <v/>
      </c>
      <c r="B820" s="20">
        <f>IF('Enter messages'!B820="","",'Enter messages'!B820)</f>
        <v/>
      </c>
      <c r="C820" s="21">
        <f>IFERROR(AVERAGE(P820:T820),"")</f>
        <v/>
      </c>
      <c r="D820" s="29" t="n"/>
      <c r="E820" s="29" t="n"/>
      <c r="F820" s="30">
        <f>IF(AND(ISNUMBER($D820),ISNUMBER($E820),$E820&gt;0,$D820&lt;=$E820),$D820/$E820,"")</f>
        <v/>
      </c>
      <c r="P820" s="26" t="n"/>
      <c r="Q820" s="26" t="n"/>
      <c r="R820" s="26" t="n"/>
      <c r="S820" s="26" t="n"/>
      <c r="T820" s="26" t="n"/>
      <c r="V820" s="27">
        <f>IF(ISNUMBER($C820),COUNTIFS($A$14:$A$1213,$A820,$C$14:$C$1213,"&gt;"&amp;$C820)+(COUNTIFS($A$14:$A$1213,$A820,$C$14:$C$1213,"="&amp;$C820)+1)/2,"")</f>
        <v/>
      </c>
      <c r="W820" s="27">
        <f>IF(ISNUMBER($F820),COUNTIFS($A$14:$A$1213,$A820,$F$14:$F$1213,"&gt;"&amp;$F820)+(COUNTIFS($A$14:$A$1213,$A820,$F$14:$F$1213,"="&amp;$F820)+1)/2,"")</f>
        <v/>
      </c>
      <c r="X820" s="27">
        <f>IF(OR(NOT(ISNUMBER($V820)),$AO820=1),"",$V820-(COUNTIFS($A$14:$A$1213,$A820,$C$14:$C$1213,"&gt;=0")+1)/2)</f>
        <v/>
      </c>
      <c r="Y820" s="27">
        <f>IF(OR(NOT(ISNUMBER($W820)),$AO820=1),"",$W820-(COUNTIFS($A$14:$A$1213,$A820,$F$14:$F$1213,"&gt;=0")+1)/2)</f>
        <v/>
      </c>
      <c r="Z820" s="27">
        <f>IF(ISNUMBER($V820),$A820&amp;"|"&amp;$V820,"")</f>
        <v/>
      </c>
      <c r="AA820" s="27">
        <f>IF(ISNUMBER($W820),$A820&amp;"|"&amp;$W820,"")</f>
        <v/>
      </c>
      <c r="AB820" s="27">
        <f>IF(ISNUMBER($F820),$A820&amp;"|"&amp;$F820,"")</f>
        <v/>
      </c>
      <c r="AC820" s="27">
        <f>IF(ISNUMBER($P820),COUNTIFS($A$14:$A$1213,$A820,$P$14:$P$1213,"&gt;"&amp;$P820)+(COUNTIFS($A$14:$A$1213,$A820,$P$14:$P$1213,"="&amp;$P820)+1)/2,"")</f>
        <v/>
      </c>
      <c r="AD820" s="27">
        <f>IF(ISNUMBER($Q820),COUNTIFS($A$14:$A$1213,$A820,$Q$14:$Q$1213,"&gt;"&amp;$Q820)+(COUNTIFS($A$14:$A$1213,$A820,$Q$14:$Q$1213,"="&amp;$Q820)+1)/2,"")</f>
        <v/>
      </c>
      <c r="AE820" s="27">
        <f>IF(ISNUMBER($R820),COUNTIFS($A$14:$A$1213,$A820,$R$14:$R$1213,"&gt;"&amp;$R820)+(COUNTIFS($A$14:$A$1213,$A820,$R$14:$R$1213,"="&amp;$R820)+1)/2,"")</f>
        <v/>
      </c>
      <c r="AF820" s="27">
        <f>IF(ISNUMBER($S820),COUNTIFS($A$14:$A$1213,$A820,$S$14:$S$1213,"&gt;"&amp;$S820)+(COUNTIFS($A$14:$A$1213,$A820,$S$14:$S$1213,"="&amp;$S820)+1)/2,"")</f>
        <v/>
      </c>
      <c r="AG820" s="27">
        <f>IF(ISNUMBER($T820),COUNTIFS($A$14:$A$1213,$A820,$T$14:$T$1213,"&gt;"&amp;$T820)+(COUNTIFS($A$14:$A$1213,$A820,$T$14:$T$1213,"="&amp;$T820)+1)/2,"")</f>
        <v/>
      </c>
      <c r="AH820" s="27">
        <f>IF(COUNT($AC820:$AG820)&lt;2,"",IF(MAX($AC820:$AG820)=MIN($AC820:$AG820),0,1))</f>
        <v/>
      </c>
      <c r="AI820" s="27">
        <f>IF($A820="","",IF(COUNTIF($A$14:$A820,$A820)=1,COUNTIF($AI$13:AI819,"&gt;0")+1,""))</f>
        <v/>
      </c>
      <c r="AO820" s="27">
        <f>IF($A820="","",IF(AND(COUNTIFS($A$14:$A$1213,$A820,$F$14:$F$1213,"&gt;=0")=2,IFERROR(INDEX($M$14:$M$313,MATCH($A820,$H$14:$H$313,0)),"Yes")&lt;&gt;"Yes"),1,0))</f>
        <v/>
      </c>
    </row>
    <row r="821">
      <c r="A821" s="19">
        <f>IF('Enter messages'!A821="","",'Enter messages'!A821)</f>
        <v/>
      </c>
      <c r="B821" s="20">
        <f>IF('Enter messages'!B821="","",'Enter messages'!B821)</f>
        <v/>
      </c>
      <c r="C821" s="21">
        <f>IFERROR(AVERAGE(P821:T821),"")</f>
        <v/>
      </c>
      <c r="D821" s="29" t="n"/>
      <c r="E821" s="29" t="n"/>
      <c r="F821" s="30">
        <f>IF(AND(ISNUMBER($D821),ISNUMBER($E821),$E821&gt;0,$D821&lt;=$E821),$D821/$E821,"")</f>
        <v/>
      </c>
      <c r="P821" s="26" t="n"/>
      <c r="Q821" s="26" t="n"/>
      <c r="R821" s="26" t="n"/>
      <c r="S821" s="26" t="n"/>
      <c r="T821" s="26" t="n"/>
      <c r="V821" s="27">
        <f>IF(ISNUMBER($C821),COUNTIFS($A$14:$A$1213,$A821,$C$14:$C$1213,"&gt;"&amp;$C821)+(COUNTIFS($A$14:$A$1213,$A821,$C$14:$C$1213,"="&amp;$C821)+1)/2,"")</f>
        <v/>
      </c>
      <c r="W821" s="27">
        <f>IF(ISNUMBER($F821),COUNTIFS($A$14:$A$1213,$A821,$F$14:$F$1213,"&gt;"&amp;$F821)+(COUNTIFS($A$14:$A$1213,$A821,$F$14:$F$1213,"="&amp;$F821)+1)/2,"")</f>
        <v/>
      </c>
      <c r="X821" s="27">
        <f>IF(OR(NOT(ISNUMBER($V821)),$AO821=1),"",$V821-(COUNTIFS($A$14:$A$1213,$A821,$C$14:$C$1213,"&gt;=0")+1)/2)</f>
        <v/>
      </c>
      <c r="Y821" s="27">
        <f>IF(OR(NOT(ISNUMBER($W821)),$AO821=1),"",$W821-(COUNTIFS($A$14:$A$1213,$A821,$F$14:$F$1213,"&gt;=0")+1)/2)</f>
        <v/>
      </c>
      <c r="Z821" s="27">
        <f>IF(ISNUMBER($V821),$A821&amp;"|"&amp;$V821,"")</f>
        <v/>
      </c>
      <c r="AA821" s="27">
        <f>IF(ISNUMBER($W821),$A821&amp;"|"&amp;$W821,"")</f>
        <v/>
      </c>
      <c r="AB821" s="27">
        <f>IF(ISNUMBER($F821),$A821&amp;"|"&amp;$F821,"")</f>
        <v/>
      </c>
      <c r="AC821" s="27">
        <f>IF(ISNUMBER($P821),COUNTIFS($A$14:$A$1213,$A821,$P$14:$P$1213,"&gt;"&amp;$P821)+(COUNTIFS($A$14:$A$1213,$A821,$P$14:$P$1213,"="&amp;$P821)+1)/2,"")</f>
        <v/>
      </c>
      <c r="AD821" s="27">
        <f>IF(ISNUMBER($Q821),COUNTIFS($A$14:$A$1213,$A821,$Q$14:$Q$1213,"&gt;"&amp;$Q821)+(COUNTIFS($A$14:$A$1213,$A821,$Q$14:$Q$1213,"="&amp;$Q821)+1)/2,"")</f>
        <v/>
      </c>
      <c r="AE821" s="27">
        <f>IF(ISNUMBER($R821),COUNTIFS($A$14:$A$1213,$A821,$R$14:$R$1213,"&gt;"&amp;$R821)+(COUNTIFS($A$14:$A$1213,$A821,$R$14:$R$1213,"="&amp;$R821)+1)/2,"")</f>
        <v/>
      </c>
      <c r="AF821" s="27">
        <f>IF(ISNUMBER($S821),COUNTIFS($A$14:$A$1213,$A821,$S$14:$S$1213,"&gt;"&amp;$S821)+(COUNTIFS($A$14:$A$1213,$A821,$S$14:$S$1213,"="&amp;$S821)+1)/2,"")</f>
        <v/>
      </c>
      <c r="AG821" s="27">
        <f>IF(ISNUMBER($T821),COUNTIFS($A$14:$A$1213,$A821,$T$14:$T$1213,"&gt;"&amp;$T821)+(COUNTIFS($A$14:$A$1213,$A821,$T$14:$T$1213,"="&amp;$T821)+1)/2,"")</f>
        <v/>
      </c>
      <c r="AH821" s="27">
        <f>IF(COUNT($AC821:$AG821)&lt;2,"",IF(MAX($AC821:$AG821)=MIN($AC821:$AG821),0,1))</f>
        <v/>
      </c>
      <c r="AI821" s="27">
        <f>IF($A821="","",IF(COUNTIF($A$14:$A821,$A821)=1,COUNTIF($AI$13:AI820,"&gt;0")+1,""))</f>
        <v/>
      </c>
      <c r="AO821" s="27">
        <f>IF($A821="","",IF(AND(COUNTIFS($A$14:$A$1213,$A821,$F$14:$F$1213,"&gt;=0")=2,IFERROR(INDEX($M$14:$M$313,MATCH($A821,$H$14:$H$313,0)),"Yes")&lt;&gt;"Yes"),1,0))</f>
        <v/>
      </c>
    </row>
    <row r="822">
      <c r="A822" s="19">
        <f>IF('Enter messages'!A822="","",'Enter messages'!A822)</f>
        <v/>
      </c>
      <c r="B822" s="20">
        <f>IF('Enter messages'!B822="","",'Enter messages'!B822)</f>
        <v/>
      </c>
      <c r="C822" s="21">
        <f>IFERROR(AVERAGE(P822:T822),"")</f>
        <v/>
      </c>
      <c r="D822" s="29" t="n"/>
      <c r="E822" s="29" t="n"/>
      <c r="F822" s="30">
        <f>IF(AND(ISNUMBER($D822),ISNUMBER($E822),$E822&gt;0,$D822&lt;=$E822),$D822/$E822,"")</f>
        <v/>
      </c>
      <c r="P822" s="26" t="n"/>
      <c r="Q822" s="26" t="n"/>
      <c r="R822" s="26" t="n"/>
      <c r="S822" s="26" t="n"/>
      <c r="T822" s="26" t="n"/>
      <c r="V822" s="27">
        <f>IF(ISNUMBER($C822),COUNTIFS($A$14:$A$1213,$A822,$C$14:$C$1213,"&gt;"&amp;$C822)+(COUNTIFS($A$14:$A$1213,$A822,$C$14:$C$1213,"="&amp;$C822)+1)/2,"")</f>
        <v/>
      </c>
      <c r="W822" s="27">
        <f>IF(ISNUMBER($F822),COUNTIFS($A$14:$A$1213,$A822,$F$14:$F$1213,"&gt;"&amp;$F822)+(COUNTIFS($A$14:$A$1213,$A822,$F$14:$F$1213,"="&amp;$F822)+1)/2,"")</f>
        <v/>
      </c>
      <c r="X822" s="27">
        <f>IF(OR(NOT(ISNUMBER($V822)),$AO822=1),"",$V822-(COUNTIFS($A$14:$A$1213,$A822,$C$14:$C$1213,"&gt;=0")+1)/2)</f>
        <v/>
      </c>
      <c r="Y822" s="27">
        <f>IF(OR(NOT(ISNUMBER($W822)),$AO822=1),"",$W822-(COUNTIFS($A$14:$A$1213,$A822,$F$14:$F$1213,"&gt;=0")+1)/2)</f>
        <v/>
      </c>
      <c r="Z822" s="27">
        <f>IF(ISNUMBER($V822),$A822&amp;"|"&amp;$V822,"")</f>
        <v/>
      </c>
      <c r="AA822" s="27">
        <f>IF(ISNUMBER($W822),$A822&amp;"|"&amp;$W822,"")</f>
        <v/>
      </c>
      <c r="AB822" s="27">
        <f>IF(ISNUMBER($F822),$A822&amp;"|"&amp;$F822,"")</f>
        <v/>
      </c>
      <c r="AC822" s="27">
        <f>IF(ISNUMBER($P822),COUNTIFS($A$14:$A$1213,$A822,$P$14:$P$1213,"&gt;"&amp;$P822)+(COUNTIFS($A$14:$A$1213,$A822,$P$14:$P$1213,"="&amp;$P822)+1)/2,"")</f>
        <v/>
      </c>
      <c r="AD822" s="27">
        <f>IF(ISNUMBER($Q822),COUNTIFS($A$14:$A$1213,$A822,$Q$14:$Q$1213,"&gt;"&amp;$Q822)+(COUNTIFS($A$14:$A$1213,$A822,$Q$14:$Q$1213,"="&amp;$Q822)+1)/2,"")</f>
        <v/>
      </c>
      <c r="AE822" s="27">
        <f>IF(ISNUMBER($R822),COUNTIFS($A$14:$A$1213,$A822,$R$14:$R$1213,"&gt;"&amp;$R822)+(COUNTIFS($A$14:$A$1213,$A822,$R$14:$R$1213,"="&amp;$R822)+1)/2,"")</f>
        <v/>
      </c>
      <c r="AF822" s="27">
        <f>IF(ISNUMBER($S822),COUNTIFS($A$14:$A$1213,$A822,$S$14:$S$1213,"&gt;"&amp;$S822)+(COUNTIFS($A$14:$A$1213,$A822,$S$14:$S$1213,"="&amp;$S822)+1)/2,"")</f>
        <v/>
      </c>
      <c r="AG822" s="27">
        <f>IF(ISNUMBER($T822),COUNTIFS($A$14:$A$1213,$A822,$T$14:$T$1213,"&gt;"&amp;$T822)+(COUNTIFS($A$14:$A$1213,$A822,$T$14:$T$1213,"="&amp;$T822)+1)/2,"")</f>
        <v/>
      </c>
      <c r="AH822" s="27">
        <f>IF(COUNT($AC822:$AG822)&lt;2,"",IF(MAX($AC822:$AG822)=MIN($AC822:$AG822),0,1))</f>
        <v/>
      </c>
      <c r="AI822" s="27">
        <f>IF($A822="","",IF(COUNTIF($A$14:$A822,$A822)=1,COUNTIF($AI$13:AI821,"&gt;0")+1,""))</f>
        <v/>
      </c>
      <c r="AO822" s="27">
        <f>IF($A822="","",IF(AND(COUNTIFS($A$14:$A$1213,$A822,$F$14:$F$1213,"&gt;=0")=2,IFERROR(INDEX($M$14:$M$313,MATCH($A822,$H$14:$H$313,0)),"Yes")&lt;&gt;"Yes"),1,0))</f>
        <v/>
      </c>
    </row>
    <row r="823">
      <c r="A823" s="19">
        <f>IF('Enter messages'!A823="","",'Enter messages'!A823)</f>
        <v/>
      </c>
      <c r="B823" s="20">
        <f>IF('Enter messages'!B823="","",'Enter messages'!B823)</f>
        <v/>
      </c>
      <c r="C823" s="21">
        <f>IFERROR(AVERAGE(P823:T823),"")</f>
        <v/>
      </c>
      <c r="D823" s="29" t="n"/>
      <c r="E823" s="29" t="n"/>
      <c r="F823" s="30">
        <f>IF(AND(ISNUMBER($D823),ISNUMBER($E823),$E823&gt;0,$D823&lt;=$E823),$D823/$E823,"")</f>
        <v/>
      </c>
      <c r="P823" s="26" t="n"/>
      <c r="Q823" s="26" t="n"/>
      <c r="R823" s="26" t="n"/>
      <c r="S823" s="26" t="n"/>
      <c r="T823" s="26" t="n"/>
      <c r="V823" s="27">
        <f>IF(ISNUMBER($C823),COUNTIFS($A$14:$A$1213,$A823,$C$14:$C$1213,"&gt;"&amp;$C823)+(COUNTIFS($A$14:$A$1213,$A823,$C$14:$C$1213,"="&amp;$C823)+1)/2,"")</f>
        <v/>
      </c>
      <c r="W823" s="27">
        <f>IF(ISNUMBER($F823),COUNTIFS($A$14:$A$1213,$A823,$F$14:$F$1213,"&gt;"&amp;$F823)+(COUNTIFS($A$14:$A$1213,$A823,$F$14:$F$1213,"="&amp;$F823)+1)/2,"")</f>
        <v/>
      </c>
      <c r="X823" s="27">
        <f>IF(OR(NOT(ISNUMBER($V823)),$AO823=1),"",$V823-(COUNTIFS($A$14:$A$1213,$A823,$C$14:$C$1213,"&gt;=0")+1)/2)</f>
        <v/>
      </c>
      <c r="Y823" s="27">
        <f>IF(OR(NOT(ISNUMBER($W823)),$AO823=1),"",$W823-(COUNTIFS($A$14:$A$1213,$A823,$F$14:$F$1213,"&gt;=0")+1)/2)</f>
        <v/>
      </c>
      <c r="Z823" s="27">
        <f>IF(ISNUMBER($V823),$A823&amp;"|"&amp;$V823,"")</f>
        <v/>
      </c>
      <c r="AA823" s="27">
        <f>IF(ISNUMBER($W823),$A823&amp;"|"&amp;$W823,"")</f>
        <v/>
      </c>
      <c r="AB823" s="27">
        <f>IF(ISNUMBER($F823),$A823&amp;"|"&amp;$F823,"")</f>
        <v/>
      </c>
      <c r="AC823" s="27">
        <f>IF(ISNUMBER($P823),COUNTIFS($A$14:$A$1213,$A823,$P$14:$P$1213,"&gt;"&amp;$P823)+(COUNTIFS($A$14:$A$1213,$A823,$P$14:$P$1213,"="&amp;$P823)+1)/2,"")</f>
        <v/>
      </c>
      <c r="AD823" s="27">
        <f>IF(ISNUMBER($Q823),COUNTIFS($A$14:$A$1213,$A823,$Q$14:$Q$1213,"&gt;"&amp;$Q823)+(COUNTIFS($A$14:$A$1213,$A823,$Q$14:$Q$1213,"="&amp;$Q823)+1)/2,"")</f>
        <v/>
      </c>
      <c r="AE823" s="27">
        <f>IF(ISNUMBER($R823),COUNTIFS($A$14:$A$1213,$A823,$R$14:$R$1213,"&gt;"&amp;$R823)+(COUNTIFS($A$14:$A$1213,$A823,$R$14:$R$1213,"="&amp;$R823)+1)/2,"")</f>
        <v/>
      </c>
      <c r="AF823" s="27">
        <f>IF(ISNUMBER($S823),COUNTIFS($A$14:$A$1213,$A823,$S$14:$S$1213,"&gt;"&amp;$S823)+(COUNTIFS($A$14:$A$1213,$A823,$S$14:$S$1213,"="&amp;$S823)+1)/2,"")</f>
        <v/>
      </c>
      <c r="AG823" s="27">
        <f>IF(ISNUMBER($T823),COUNTIFS($A$14:$A$1213,$A823,$T$14:$T$1213,"&gt;"&amp;$T823)+(COUNTIFS($A$14:$A$1213,$A823,$T$14:$T$1213,"="&amp;$T823)+1)/2,"")</f>
        <v/>
      </c>
      <c r="AH823" s="27">
        <f>IF(COUNT($AC823:$AG823)&lt;2,"",IF(MAX($AC823:$AG823)=MIN($AC823:$AG823),0,1))</f>
        <v/>
      </c>
      <c r="AI823" s="27">
        <f>IF($A823="","",IF(COUNTIF($A$14:$A823,$A823)=1,COUNTIF($AI$13:AI822,"&gt;0")+1,""))</f>
        <v/>
      </c>
      <c r="AO823" s="27">
        <f>IF($A823="","",IF(AND(COUNTIFS($A$14:$A$1213,$A823,$F$14:$F$1213,"&gt;=0")=2,IFERROR(INDEX($M$14:$M$313,MATCH($A823,$H$14:$H$313,0)),"Yes")&lt;&gt;"Yes"),1,0))</f>
        <v/>
      </c>
    </row>
    <row r="824">
      <c r="A824" s="19">
        <f>IF('Enter messages'!A824="","",'Enter messages'!A824)</f>
        <v/>
      </c>
      <c r="B824" s="20">
        <f>IF('Enter messages'!B824="","",'Enter messages'!B824)</f>
        <v/>
      </c>
      <c r="C824" s="21">
        <f>IFERROR(AVERAGE(P824:T824),"")</f>
        <v/>
      </c>
      <c r="D824" s="29" t="n"/>
      <c r="E824" s="29" t="n"/>
      <c r="F824" s="30">
        <f>IF(AND(ISNUMBER($D824),ISNUMBER($E824),$E824&gt;0,$D824&lt;=$E824),$D824/$E824,"")</f>
        <v/>
      </c>
      <c r="P824" s="26" t="n"/>
      <c r="Q824" s="26" t="n"/>
      <c r="R824" s="26" t="n"/>
      <c r="S824" s="26" t="n"/>
      <c r="T824" s="26" t="n"/>
      <c r="V824" s="27">
        <f>IF(ISNUMBER($C824),COUNTIFS($A$14:$A$1213,$A824,$C$14:$C$1213,"&gt;"&amp;$C824)+(COUNTIFS($A$14:$A$1213,$A824,$C$14:$C$1213,"="&amp;$C824)+1)/2,"")</f>
        <v/>
      </c>
      <c r="W824" s="27">
        <f>IF(ISNUMBER($F824),COUNTIFS($A$14:$A$1213,$A824,$F$14:$F$1213,"&gt;"&amp;$F824)+(COUNTIFS($A$14:$A$1213,$A824,$F$14:$F$1213,"="&amp;$F824)+1)/2,"")</f>
        <v/>
      </c>
      <c r="X824" s="27">
        <f>IF(OR(NOT(ISNUMBER($V824)),$AO824=1),"",$V824-(COUNTIFS($A$14:$A$1213,$A824,$C$14:$C$1213,"&gt;=0")+1)/2)</f>
        <v/>
      </c>
      <c r="Y824" s="27">
        <f>IF(OR(NOT(ISNUMBER($W824)),$AO824=1),"",$W824-(COUNTIFS($A$14:$A$1213,$A824,$F$14:$F$1213,"&gt;=0")+1)/2)</f>
        <v/>
      </c>
      <c r="Z824" s="27">
        <f>IF(ISNUMBER($V824),$A824&amp;"|"&amp;$V824,"")</f>
        <v/>
      </c>
      <c r="AA824" s="27">
        <f>IF(ISNUMBER($W824),$A824&amp;"|"&amp;$W824,"")</f>
        <v/>
      </c>
      <c r="AB824" s="27">
        <f>IF(ISNUMBER($F824),$A824&amp;"|"&amp;$F824,"")</f>
        <v/>
      </c>
      <c r="AC824" s="27">
        <f>IF(ISNUMBER($P824),COUNTIFS($A$14:$A$1213,$A824,$P$14:$P$1213,"&gt;"&amp;$P824)+(COUNTIFS($A$14:$A$1213,$A824,$P$14:$P$1213,"="&amp;$P824)+1)/2,"")</f>
        <v/>
      </c>
      <c r="AD824" s="27">
        <f>IF(ISNUMBER($Q824),COUNTIFS($A$14:$A$1213,$A824,$Q$14:$Q$1213,"&gt;"&amp;$Q824)+(COUNTIFS($A$14:$A$1213,$A824,$Q$14:$Q$1213,"="&amp;$Q824)+1)/2,"")</f>
        <v/>
      </c>
      <c r="AE824" s="27">
        <f>IF(ISNUMBER($R824),COUNTIFS($A$14:$A$1213,$A824,$R$14:$R$1213,"&gt;"&amp;$R824)+(COUNTIFS($A$14:$A$1213,$A824,$R$14:$R$1213,"="&amp;$R824)+1)/2,"")</f>
        <v/>
      </c>
      <c r="AF824" s="27">
        <f>IF(ISNUMBER($S824),COUNTIFS($A$14:$A$1213,$A824,$S$14:$S$1213,"&gt;"&amp;$S824)+(COUNTIFS($A$14:$A$1213,$A824,$S$14:$S$1213,"="&amp;$S824)+1)/2,"")</f>
        <v/>
      </c>
      <c r="AG824" s="27">
        <f>IF(ISNUMBER($T824),COUNTIFS($A$14:$A$1213,$A824,$T$14:$T$1213,"&gt;"&amp;$T824)+(COUNTIFS($A$14:$A$1213,$A824,$T$14:$T$1213,"="&amp;$T824)+1)/2,"")</f>
        <v/>
      </c>
      <c r="AH824" s="27">
        <f>IF(COUNT($AC824:$AG824)&lt;2,"",IF(MAX($AC824:$AG824)=MIN($AC824:$AG824),0,1))</f>
        <v/>
      </c>
      <c r="AI824" s="27">
        <f>IF($A824="","",IF(COUNTIF($A$14:$A824,$A824)=1,COUNTIF($AI$13:AI823,"&gt;0")+1,""))</f>
        <v/>
      </c>
      <c r="AO824" s="27">
        <f>IF($A824="","",IF(AND(COUNTIFS($A$14:$A$1213,$A824,$F$14:$F$1213,"&gt;=0")=2,IFERROR(INDEX($M$14:$M$313,MATCH($A824,$H$14:$H$313,0)),"Yes")&lt;&gt;"Yes"),1,0))</f>
        <v/>
      </c>
    </row>
    <row r="825">
      <c r="A825" s="19">
        <f>IF('Enter messages'!A825="","",'Enter messages'!A825)</f>
        <v/>
      </c>
      <c r="B825" s="20">
        <f>IF('Enter messages'!B825="","",'Enter messages'!B825)</f>
        <v/>
      </c>
      <c r="C825" s="21">
        <f>IFERROR(AVERAGE(P825:T825),"")</f>
        <v/>
      </c>
      <c r="D825" s="29" t="n"/>
      <c r="E825" s="29" t="n"/>
      <c r="F825" s="30">
        <f>IF(AND(ISNUMBER($D825),ISNUMBER($E825),$E825&gt;0,$D825&lt;=$E825),$D825/$E825,"")</f>
        <v/>
      </c>
      <c r="P825" s="26" t="n"/>
      <c r="Q825" s="26" t="n"/>
      <c r="R825" s="26" t="n"/>
      <c r="S825" s="26" t="n"/>
      <c r="T825" s="26" t="n"/>
      <c r="V825" s="27">
        <f>IF(ISNUMBER($C825),COUNTIFS($A$14:$A$1213,$A825,$C$14:$C$1213,"&gt;"&amp;$C825)+(COUNTIFS($A$14:$A$1213,$A825,$C$14:$C$1213,"="&amp;$C825)+1)/2,"")</f>
        <v/>
      </c>
      <c r="W825" s="27">
        <f>IF(ISNUMBER($F825),COUNTIFS($A$14:$A$1213,$A825,$F$14:$F$1213,"&gt;"&amp;$F825)+(COUNTIFS($A$14:$A$1213,$A825,$F$14:$F$1213,"="&amp;$F825)+1)/2,"")</f>
        <v/>
      </c>
      <c r="X825" s="27">
        <f>IF(OR(NOT(ISNUMBER($V825)),$AO825=1),"",$V825-(COUNTIFS($A$14:$A$1213,$A825,$C$14:$C$1213,"&gt;=0")+1)/2)</f>
        <v/>
      </c>
      <c r="Y825" s="27">
        <f>IF(OR(NOT(ISNUMBER($W825)),$AO825=1),"",$W825-(COUNTIFS($A$14:$A$1213,$A825,$F$14:$F$1213,"&gt;=0")+1)/2)</f>
        <v/>
      </c>
      <c r="Z825" s="27">
        <f>IF(ISNUMBER($V825),$A825&amp;"|"&amp;$V825,"")</f>
        <v/>
      </c>
      <c r="AA825" s="27">
        <f>IF(ISNUMBER($W825),$A825&amp;"|"&amp;$W825,"")</f>
        <v/>
      </c>
      <c r="AB825" s="27">
        <f>IF(ISNUMBER($F825),$A825&amp;"|"&amp;$F825,"")</f>
        <v/>
      </c>
      <c r="AC825" s="27">
        <f>IF(ISNUMBER($P825),COUNTIFS($A$14:$A$1213,$A825,$P$14:$P$1213,"&gt;"&amp;$P825)+(COUNTIFS($A$14:$A$1213,$A825,$P$14:$P$1213,"="&amp;$P825)+1)/2,"")</f>
        <v/>
      </c>
      <c r="AD825" s="27">
        <f>IF(ISNUMBER($Q825),COUNTIFS($A$14:$A$1213,$A825,$Q$14:$Q$1213,"&gt;"&amp;$Q825)+(COUNTIFS($A$14:$A$1213,$A825,$Q$14:$Q$1213,"="&amp;$Q825)+1)/2,"")</f>
        <v/>
      </c>
      <c r="AE825" s="27">
        <f>IF(ISNUMBER($R825),COUNTIFS($A$14:$A$1213,$A825,$R$14:$R$1213,"&gt;"&amp;$R825)+(COUNTIFS($A$14:$A$1213,$A825,$R$14:$R$1213,"="&amp;$R825)+1)/2,"")</f>
        <v/>
      </c>
      <c r="AF825" s="27">
        <f>IF(ISNUMBER($S825),COUNTIFS($A$14:$A$1213,$A825,$S$14:$S$1213,"&gt;"&amp;$S825)+(COUNTIFS($A$14:$A$1213,$A825,$S$14:$S$1213,"="&amp;$S825)+1)/2,"")</f>
        <v/>
      </c>
      <c r="AG825" s="27">
        <f>IF(ISNUMBER($T825),COUNTIFS($A$14:$A$1213,$A825,$T$14:$T$1213,"&gt;"&amp;$T825)+(COUNTIFS($A$14:$A$1213,$A825,$T$14:$T$1213,"="&amp;$T825)+1)/2,"")</f>
        <v/>
      </c>
      <c r="AH825" s="27">
        <f>IF(COUNT($AC825:$AG825)&lt;2,"",IF(MAX($AC825:$AG825)=MIN($AC825:$AG825),0,1))</f>
        <v/>
      </c>
      <c r="AI825" s="27">
        <f>IF($A825="","",IF(COUNTIF($A$14:$A825,$A825)=1,COUNTIF($AI$13:AI824,"&gt;0")+1,""))</f>
        <v/>
      </c>
      <c r="AO825" s="27">
        <f>IF($A825="","",IF(AND(COUNTIFS($A$14:$A$1213,$A825,$F$14:$F$1213,"&gt;=0")=2,IFERROR(INDEX($M$14:$M$313,MATCH($A825,$H$14:$H$313,0)),"Yes")&lt;&gt;"Yes"),1,0))</f>
        <v/>
      </c>
    </row>
    <row r="826">
      <c r="A826" s="19">
        <f>IF('Enter messages'!A826="","",'Enter messages'!A826)</f>
        <v/>
      </c>
      <c r="B826" s="20">
        <f>IF('Enter messages'!B826="","",'Enter messages'!B826)</f>
        <v/>
      </c>
      <c r="C826" s="21">
        <f>IFERROR(AVERAGE(P826:T826),"")</f>
        <v/>
      </c>
      <c r="D826" s="29" t="n"/>
      <c r="E826" s="29" t="n"/>
      <c r="F826" s="30">
        <f>IF(AND(ISNUMBER($D826),ISNUMBER($E826),$E826&gt;0,$D826&lt;=$E826),$D826/$E826,"")</f>
        <v/>
      </c>
      <c r="P826" s="26" t="n"/>
      <c r="Q826" s="26" t="n"/>
      <c r="R826" s="26" t="n"/>
      <c r="S826" s="26" t="n"/>
      <c r="T826" s="26" t="n"/>
      <c r="V826" s="27">
        <f>IF(ISNUMBER($C826),COUNTIFS($A$14:$A$1213,$A826,$C$14:$C$1213,"&gt;"&amp;$C826)+(COUNTIFS($A$14:$A$1213,$A826,$C$14:$C$1213,"="&amp;$C826)+1)/2,"")</f>
        <v/>
      </c>
      <c r="W826" s="27">
        <f>IF(ISNUMBER($F826),COUNTIFS($A$14:$A$1213,$A826,$F$14:$F$1213,"&gt;"&amp;$F826)+(COUNTIFS($A$14:$A$1213,$A826,$F$14:$F$1213,"="&amp;$F826)+1)/2,"")</f>
        <v/>
      </c>
      <c r="X826" s="27">
        <f>IF(OR(NOT(ISNUMBER($V826)),$AO826=1),"",$V826-(COUNTIFS($A$14:$A$1213,$A826,$C$14:$C$1213,"&gt;=0")+1)/2)</f>
        <v/>
      </c>
      <c r="Y826" s="27">
        <f>IF(OR(NOT(ISNUMBER($W826)),$AO826=1),"",$W826-(COUNTIFS($A$14:$A$1213,$A826,$F$14:$F$1213,"&gt;=0")+1)/2)</f>
        <v/>
      </c>
      <c r="Z826" s="27">
        <f>IF(ISNUMBER($V826),$A826&amp;"|"&amp;$V826,"")</f>
        <v/>
      </c>
      <c r="AA826" s="27">
        <f>IF(ISNUMBER($W826),$A826&amp;"|"&amp;$W826,"")</f>
        <v/>
      </c>
      <c r="AB826" s="27">
        <f>IF(ISNUMBER($F826),$A826&amp;"|"&amp;$F826,"")</f>
        <v/>
      </c>
      <c r="AC826" s="27">
        <f>IF(ISNUMBER($P826),COUNTIFS($A$14:$A$1213,$A826,$P$14:$P$1213,"&gt;"&amp;$P826)+(COUNTIFS($A$14:$A$1213,$A826,$P$14:$P$1213,"="&amp;$P826)+1)/2,"")</f>
        <v/>
      </c>
      <c r="AD826" s="27">
        <f>IF(ISNUMBER($Q826),COUNTIFS($A$14:$A$1213,$A826,$Q$14:$Q$1213,"&gt;"&amp;$Q826)+(COUNTIFS($A$14:$A$1213,$A826,$Q$14:$Q$1213,"="&amp;$Q826)+1)/2,"")</f>
        <v/>
      </c>
      <c r="AE826" s="27">
        <f>IF(ISNUMBER($R826),COUNTIFS($A$14:$A$1213,$A826,$R$14:$R$1213,"&gt;"&amp;$R826)+(COUNTIFS($A$14:$A$1213,$A826,$R$14:$R$1213,"="&amp;$R826)+1)/2,"")</f>
        <v/>
      </c>
      <c r="AF826" s="27">
        <f>IF(ISNUMBER($S826),COUNTIFS($A$14:$A$1213,$A826,$S$14:$S$1213,"&gt;"&amp;$S826)+(COUNTIFS($A$14:$A$1213,$A826,$S$14:$S$1213,"="&amp;$S826)+1)/2,"")</f>
        <v/>
      </c>
      <c r="AG826" s="27">
        <f>IF(ISNUMBER($T826),COUNTIFS($A$14:$A$1213,$A826,$T$14:$T$1213,"&gt;"&amp;$T826)+(COUNTIFS($A$14:$A$1213,$A826,$T$14:$T$1213,"="&amp;$T826)+1)/2,"")</f>
        <v/>
      </c>
      <c r="AH826" s="27">
        <f>IF(COUNT($AC826:$AG826)&lt;2,"",IF(MAX($AC826:$AG826)=MIN($AC826:$AG826),0,1))</f>
        <v/>
      </c>
      <c r="AI826" s="27">
        <f>IF($A826="","",IF(COUNTIF($A$14:$A826,$A826)=1,COUNTIF($AI$13:AI825,"&gt;0")+1,""))</f>
        <v/>
      </c>
      <c r="AO826" s="27">
        <f>IF($A826="","",IF(AND(COUNTIFS($A$14:$A$1213,$A826,$F$14:$F$1213,"&gt;=0")=2,IFERROR(INDEX($M$14:$M$313,MATCH($A826,$H$14:$H$313,0)),"Yes")&lt;&gt;"Yes"),1,0))</f>
        <v/>
      </c>
    </row>
    <row r="827">
      <c r="A827" s="19">
        <f>IF('Enter messages'!A827="","",'Enter messages'!A827)</f>
        <v/>
      </c>
      <c r="B827" s="20">
        <f>IF('Enter messages'!B827="","",'Enter messages'!B827)</f>
        <v/>
      </c>
      <c r="C827" s="21">
        <f>IFERROR(AVERAGE(P827:T827),"")</f>
        <v/>
      </c>
      <c r="D827" s="29" t="n"/>
      <c r="E827" s="29" t="n"/>
      <c r="F827" s="30">
        <f>IF(AND(ISNUMBER($D827),ISNUMBER($E827),$E827&gt;0,$D827&lt;=$E827),$D827/$E827,"")</f>
        <v/>
      </c>
      <c r="P827" s="26" t="n"/>
      <c r="Q827" s="26" t="n"/>
      <c r="R827" s="26" t="n"/>
      <c r="S827" s="26" t="n"/>
      <c r="T827" s="26" t="n"/>
      <c r="V827" s="27">
        <f>IF(ISNUMBER($C827),COUNTIFS($A$14:$A$1213,$A827,$C$14:$C$1213,"&gt;"&amp;$C827)+(COUNTIFS($A$14:$A$1213,$A827,$C$14:$C$1213,"="&amp;$C827)+1)/2,"")</f>
        <v/>
      </c>
      <c r="W827" s="27">
        <f>IF(ISNUMBER($F827),COUNTIFS($A$14:$A$1213,$A827,$F$14:$F$1213,"&gt;"&amp;$F827)+(COUNTIFS($A$14:$A$1213,$A827,$F$14:$F$1213,"="&amp;$F827)+1)/2,"")</f>
        <v/>
      </c>
      <c r="X827" s="27">
        <f>IF(OR(NOT(ISNUMBER($V827)),$AO827=1),"",$V827-(COUNTIFS($A$14:$A$1213,$A827,$C$14:$C$1213,"&gt;=0")+1)/2)</f>
        <v/>
      </c>
      <c r="Y827" s="27">
        <f>IF(OR(NOT(ISNUMBER($W827)),$AO827=1),"",$W827-(COUNTIFS($A$14:$A$1213,$A827,$F$14:$F$1213,"&gt;=0")+1)/2)</f>
        <v/>
      </c>
      <c r="Z827" s="27">
        <f>IF(ISNUMBER($V827),$A827&amp;"|"&amp;$V827,"")</f>
        <v/>
      </c>
      <c r="AA827" s="27">
        <f>IF(ISNUMBER($W827),$A827&amp;"|"&amp;$W827,"")</f>
        <v/>
      </c>
      <c r="AB827" s="27">
        <f>IF(ISNUMBER($F827),$A827&amp;"|"&amp;$F827,"")</f>
        <v/>
      </c>
      <c r="AC827" s="27">
        <f>IF(ISNUMBER($P827),COUNTIFS($A$14:$A$1213,$A827,$P$14:$P$1213,"&gt;"&amp;$P827)+(COUNTIFS($A$14:$A$1213,$A827,$P$14:$P$1213,"="&amp;$P827)+1)/2,"")</f>
        <v/>
      </c>
      <c r="AD827" s="27">
        <f>IF(ISNUMBER($Q827),COUNTIFS($A$14:$A$1213,$A827,$Q$14:$Q$1213,"&gt;"&amp;$Q827)+(COUNTIFS($A$14:$A$1213,$A827,$Q$14:$Q$1213,"="&amp;$Q827)+1)/2,"")</f>
        <v/>
      </c>
      <c r="AE827" s="27">
        <f>IF(ISNUMBER($R827),COUNTIFS($A$14:$A$1213,$A827,$R$14:$R$1213,"&gt;"&amp;$R827)+(COUNTIFS($A$14:$A$1213,$A827,$R$14:$R$1213,"="&amp;$R827)+1)/2,"")</f>
        <v/>
      </c>
      <c r="AF827" s="27">
        <f>IF(ISNUMBER($S827),COUNTIFS($A$14:$A$1213,$A827,$S$14:$S$1213,"&gt;"&amp;$S827)+(COUNTIFS($A$14:$A$1213,$A827,$S$14:$S$1213,"="&amp;$S827)+1)/2,"")</f>
        <v/>
      </c>
      <c r="AG827" s="27">
        <f>IF(ISNUMBER($T827),COUNTIFS($A$14:$A$1213,$A827,$T$14:$T$1213,"&gt;"&amp;$T827)+(COUNTIFS($A$14:$A$1213,$A827,$T$14:$T$1213,"="&amp;$T827)+1)/2,"")</f>
        <v/>
      </c>
      <c r="AH827" s="27">
        <f>IF(COUNT($AC827:$AG827)&lt;2,"",IF(MAX($AC827:$AG827)=MIN($AC827:$AG827),0,1))</f>
        <v/>
      </c>
      <c r="AI827" s="27">
        <f>IF($A827="","",IF(COUNTIF($A$14:$A827,$A827)=1,COUNTIF($AI$13:AI826,"&gt;0")+1,""))</f>
        <v/>
      </c>
      <c r="AO827" s="27">
        <f>IF($A827="","",IF(AND(COUNTIFS($A$14:$A$1213,$A827,$F$14:$F$1213,"&gt;=0")=2,IFERROR(INDEX($M$14:$M$313,MATCH($A827,$H$14:$H$313,0)),"Yes")&lt;&gt;"Yes"),1,0))</f>
        <v/>
      </c>
    </row>
    <row r="828">
      <c r="A828" s="19">
        <f>IF('Enter messages'!A828="","",'Enter messages'!A828)</f>
        <v/>
      </c>
      <c r="B828" s="20">
        <f>IF('Enter messages'!B828="","",'Enter messages'!B828)</f>
        <v/>
      </c>
      <c r="C828" s="21">
        <f>IFERROR(AVERAGE(P828:T828),"")</f>
        <v/>
      </c>
      <c r="D828" s="29" t="n"/>
      <c r="E828" s="29" t="n"/>
      <c r="F828" s="30">
        <f>IF(AND(ISNUMBER($D828),ISNUMBER($E828),$E828&gt;0,$D828&lt;=$E828),$D828/$E828,"")</f>
        <v/>
      </c>
      <c r="P828" s="26" t="n"/>
      <c r="Q828" s="26" t="n"/>
      <c r="R828" s="26" t="n"/>
      <c r="S828" s="26" t="n"/>
      <c r="T828" s="26" t="n"/>
      <c r="V828" s="27">
        <f>IF(ISNUMBER($C828),COUNTIFS($A$14:$A$1213,$A828,$C$14:$C$1213,"&gt;"&amp;$C828)+(COUNTIFS($A$14:$A$1213,$A828,$C$14:$C$1213,"="&amp;$C828)+1)/2,"")</f>
        <v/>
      </c>
      <c r="W828" s="27">
        <f>IF(ISNUMBER($F828),COUNTIFS($A$14:$A$1213,$A828,$F$14:$F$1213,"&gt;"&amp;$F828)+(COUNTIFS($A$14:$A$1213,$A828,$F$14:$F$1213,"="&amp;$F828)+1)/2,"")</f>
        <v/>
      </c>
      <c r="X828" s="27">
        <f>IF(OR(NOT(ISNUMBER($V828)),$AO828=1),"",$V828-(COUNTIFS($A$14:$A$1213,$A828,$C$14:$C$1213,"&gt;=0")+1)/2)</f>
        <v/>
      </c>
      <c r="Y828" s="27">
        <f>IF(OR(NOT(ISNUMBER($W828)),$AO828=1),"",$W828-(COUNTIFS($A$14:$A$1213,$A828,$F$14:$F$1213,"&gt;=0")+1)/2)</f>
        <v/>
      </c>
      <c r="Z828" s="27">
        <f>IF(ISNUMBER($V828),$A828&amp;"|"&amp;$V828,"")</f>
        <v/>
      </c>
      <c r="AA828" s="27">
        <f>IF(ISNUMBER($W828),$A828&amp;"|"&amp;$W828,"")</f>
        <v/>
      </c>
      <c r="AB828" s="27">
        <f>IF(ISNUMBER($F828),$A828&amp;"|"&amp;$F828,"")</f>
        <v/>
      </c>
      <c r="AC828" s="27">
        <f>IF(ISNUMBER($P828),COUNTIFS($A$14:$A$1213,$A828,$P$14:$P$1213,"&gt;"&amp;$P828)+(COUNTIFS($A$14:$A$1213,$A828,$P$14:$P$1213,"="&amp;$P828)+1)/2,"")</f>
        <v/>
      </c>
      <c r="AD828" s="27">
        <f>IF(ISNUMBER($Q828),COUNTIFS($A$14:$A$1213,$A828,$Q$14:$Q$1213,"&gt;"&amp;$Q828)+(COUNTIFS($A$14:$A$1213,$A828,$Q$14:$Q$1213,"="&amp;$Q828)+1)/2,"")</f>
        <v/>
      </c>
      <c r="AE828" s="27">
        <f>IF(ISNUMBER($R828),COUNTIFS($A$14:$A$1213,$A828,$R$14:$R$1213,"&gt;"&amp;$R828)+(COUNTIFS($A$14:$A$1213,$A828,$R$14:$R$1213,"="&amp;$R828)+1)/2,"")</f>
        <v/>
      </c>
      <c r="AF828" s="27">
        <f>IF(ISNUMBER($S828),COUNTIFS($A$14:$A$1213,$A828,$S$14:$S$1213,"&gt;"&amp;$S828)+(COUNTIFS($A$14:$A$1213,$A828,$S$14:$S$1213,"="&amp;$S828)+1)/2,"")</f>
        <v/>
      </c>
      <c r="AG828" s="27">
        <f>IF(ISNUMBER($T828),COUNTIFS($A$14:$A$1213,$A828,$T$14:$T$1213,"&gt;"&amp;$T828)+(COUNTIFS($A$14:$A$1213,$A828,$T$14:$T$1213,"="&amp;$T828)+1)/2,"")</f>
        <v/>
      </c>
      <c r="AH828" s="27">
        <f>IF(COUNT($AC828:$AG828)&lt;2,"",IF(MAX($AC828:$AG828)=MIN($AC828:$AG828),0,1))</f>
        <v/>
      </c>
      <c r="AI828" s="27">
        <f>IF($A828="","",IF(COUNTIF($A$14:$A828,$A828)=1,COUNTIF($AI$13:AI827,"&gt;0")+1,""))</f>
        <v/>
      </c>
      <c r="AO828" s="27">
        <f>IF($A828="","",IF(AND(COUNTIFS($A$14:$A$1213,$A828,$F$14:$F$1213,"&gt;=0")=2,IFERROR(INDEX($M$14:$M$313,MATCH($A828,$H$14:$H$313,0)),"Yes")&lt;&gt;"Yes"),1,0))</f>
        <v/>
      </c>
    </row>
    <row r="829">
      <c r="A829" s="19">
        <f>IF('Enter messages'!A829="","",'Enter messages'!A829)</f>
        <v/>
      </c>
      <c r="B829" s="20">
        <f>IF('Enter messages'!B829="","",'Enter messages'!B829)</f>
        <v/>
      </c>
      <c r="C829" s="21">
        <f>IFERROR(AVERAGE(P829:T829),"")</f>
        <v/>
      </c>
      <c r="D829" s="29" t="n"/>
      <c r="E829" s="29" t="n"/>
      <c r="F829" s="30">
        <f>IF(AND(ISNUMBER($D829),ISNUMBER($E829),$E829&gt;0,$D829&lt;=$E829),$D829/$E829,"")</f>
        <v/>
      </c>
      <c r="P829" s="26" t="n"/>
      <c r="Q829" s="26" t="n"/>
      <c r="R829" s="26" t="n"/>
      <c r="S829" s="26" t="n"/>
      <c r="T829" s="26" t="n"/>
      <c r="V829" s="27">
        <f>IF(ISNUMBER($C829),COUNTIFS($A$14:$A$1213,$A829,$C$14:$C$1213,"&gt;"&amp;$C829)+(COUNTIFS($A$14:$A$1213,$A829,$C$14:$C$1213,"="&amp;$C829)+1)/2,"")</f>
        <v/>
      </c>
      <c r="W829" s="27">
        <f>IF(ISNUMBER($F829),COUNTIFS($A$14:$A$1213,$A829,$F$14:$F$1213,"&gt;"&amp;$F829)+(COUNTIFS($A$14:$A$1213,$A829,$F$14:$F$1213,"="&amp;$F829)+1)/2,"")</f>
        <v/>
      </c>
      <c r="X829" s="27">
        <f>IF(OR(NOT(ISNUMBER($V829)),$AO829=1),"",$V829-(COUNTIFS($A$14:$A$1213,$A829,$C$14:$C$1213,"&gt;=0")+1)/2)</f>
        <v/>
      </c>
      <c r="Y829" s="27">
        <f>IF(OR(NOT(ISNUMBER($W829)),$AO829=1),"",$W829-(COUNTIFS($A$14:$A$1213,$A829,$F$14:$F$1213,"&gt;=0")+1)/2)</f>
        <v/>
      </c>
      <c r="Z829" s="27">
        <f>IF(ISNUMBER($V829),$A829&amp;"|"&amp;$V829,"")</f>
        <v/>
      </c>
      <c r="AA829" s="27">
        <f>IF(ISNUMBER($W829),$A829&amp;"|"&amp;$W829,"")</f>
        <v/>
      </c>
      <c r="AB829" s="27">
        <f>IF(ISNUMBER($F829),$A829&amp;"|"&amp;$F829,"")</f>
        <v/>
      </c>
      <c r="AC829" s="27">
        <f>IF(ISNUMBER($P829),COUNTIFS($A$14:$A$1213,$A829,$P$14:$P$1213,"&gt;"&amp;$P829)+(COUNTIFS($A$14:$A$1213,$A829,$P$14:$P$1213,"="&amp;$P829)+1)/2,"")</f>
        <v/>
      </c>
      <c r="AD829" s="27">
        <f>IF(ISNUMBER($Q829),COUNTIFS($A$14:$A$1213,$A829,$Q$14:$Q$1213,"&gt;"&amp;$Q829)+(COUNTIFS($A$14:$A$1213,$A829,$Q$14:$Q$1213,"="&amp;$Q829)+1)/2,"")</f>
        <v/>
      </c>
      <c r="AE829" s="27">
        <f>IF(ISNUMBER($R829),COUNTIFS($A$14:$A$1213,$A829,$R$14:$R$1213,"&gt;"&amp;$R829)+(COUNTIFS($A$14:$A$1213,$A829,$R$14:$R$1213,"="&amp;$R829)+1)/2,"")</f>
        <v/>
      </c>
      <c r="AF829" s="27">
        <f>IF(ISNUMBER($S829),COUNTIFS($A$14:$A$1213,$A829,$S$14:$S$1213,"&gt;"&amp;$S829)+(COUNTIFS($A$14:$A$1213,$A829,$S$14:$S$1213,"="&amp;$S829)+1)/2,"")</f>
        <v/>
      </c>
      <c r="AG829" s="27">
        <f>IF(ISNUMBER($T829),COUNTIFS($A$14:$A$1213,$A829,$T$14:$T$1213,"&gt;"&amp;$T829)+(COUNTIFS($A$14:$A$1213,$A829,$T$14:$T$1213,"="&amp;$T829)+1)/2,"")</f>
        <v/>
      </c>
      <c r="AH829" s="27">
        <f>IF(COUNT($AC829:$AG829)&lt;2,"",IF(MAX($AC829:$AG829)=MIN($AC829:$AG829),0,1))</f>
        <v/>
      </c>
      <c r="AI829" s="27">
        <f>IF($A829="","",IF(COUNTIF($A$14:$A829,$A829)=1,COUNTIF($AI$13:AI828,"&gt;0")+1,""))</f>
        <v/>
      </c>
      <c r="AO829" s="27">
        <f>IF($A829="","",IF(AND(COUNTIFS($A$14:$A$1213,$A829,$F$14:$F$1213,"&gt;=0")=2,IFERROR(INDEX($M$14:$M$313,MATCH($A829,$H$14:$H$313,0)),"Yes")&lt;&gt;"Yes"),1,0))</f>
        <v/>
      </c>
    </row>
    <row r="830">
      <c r="A830" s="19">
        <f>IF('Enter messages'!A830="","",'Enter messages'!A830)</f>
        <v/>
      </c>
      <c r="B830" s="20">
        <f>IF('Enter messages'!B830="","",'Enter messages'!B830)</f>
        <v/>
      </c>
      <c r="C830" s="21">
        <f>IFERROR(AVERAGE(P830:T830),"")</f>
        <v/>
      </c>
      <c r="D830" s="29" t="n"/>
      <c r="E830" s="29" t="n"/>
      <c r="F830" s="30">
        <f>IF(AND(ISNUMBER($D830),ISNUMBER($E830),$E830&gt;0,$D830&lt;=$E830),$D830/$E830,"")</f>
        <v/>
      </c>
      <c r="P830" s="26" t="n"/>
      <c r="Q830" s="26" t="n"/>
      <c r="R830" s="26" t="n"/>
      <c r="S830" s="26" t="n"/>
      <c r="T830" s="26" t="n"/>
      <c r="V830" s="27">
        <f>IF(ISNUMBER($C830),COUNTIFS($A$14:$A$1213,$A830,$C$14:$C$1213,"&gt;"&amp;$C830)+(COUNTIFS($A$14:$A$1213,$A830,$C$14:$C$1213,"="&amp;$C830)+1)/2,"")</f>
        <v/>
      </c>
      <c r="W830" s="27">
        <f>IF(ISNUMBER($F830),COUNTIFS($A$14:$A$1213,$A830,$F$14:$F$1213,"&gt;"&amp;$F830)+(COUNTIFS($A$14:$A$1213,$A830,$F$14:$F$1213,"="&amp;$F830)+1)/2,"")</f>
        <v/>
      </c>
      <c r="X830" s="27">
        <f>IF(OR(NOT(ISNUMBER($V830)),$AO830=1),"",$V830-(COUNTIFS($A$14:$A$1213,$A830,$C$14:$C$1213,"&gt;=0")+1)/2)</f>
        <v/>
      </c>
      <c r="Y830" s="27">
        <f>IF(OR(NOT(ISNUMBER($W830)),$AO830=1),"",$W830-(COUNTIFS($A$14:$A$1213,$A830,$F$14:$F$1213,"&gt;=0")+1)/2)</f>
        <v/>
      </c>
      <c r="Z830" s="27">
        <f>IF(ISNUMBER($V830),$A830&amp;"|"&amp;$V830,"")</f>
        <v/>
      </c>
      <c r="AA830" s="27">
        <f>IF(ISNUMBER($W830),$A830&amp;"|"&amp;$W830,"")</f>
        <v/>
      </c>
      <c r="AB830" s="27">
        <f>IF(ISNUMBER($F830),$A830&amp;"|"&amp;$F830,"")</f>
        <v/>
      </c>
      <c r="AC830" s="27">
        <f>IF(ISNUMBER($P830),COUNTIFS($A$14:$A$1213,$A830,$P$14:$P$1213,"&gt;"&amp;$P830)+(COUNTIFS($A$14:$A$1213,$A830,$P$14:$P$1213,"="&amp;$P830)+1)/2,"")</f>
        <v/>
      </c>
      <c r="AD830" s="27">
        <f>IF(ISNUMBER($Q830),COUNTIFS($A$14:$A$1213,$A830,$Q$14:$Q$1213,"&gt;"&amp;$Q830)+(COUNTIFS($A$14:$A$1213,$A830,$Q$14:$Q$1213,"="&amp;$Q830)+1)/2,"")</f>
        <v/>
      </c>
      <c r="AE830" s="27">
        <f>IF(ISNUMBER($R830),COUNTIFS($A$14:$A$1213,$A830,$R$14:$R$1213,"&gt;"&amp;$R830)+(COUNTIFS($A$14:$A$1213,$A830,$R$14:$R$1213,"="&amp;$R830)+1)/2,"")</f>
        <v/>
      </c>
      <c r="AF830" s="27">
        <f>IF(ISNUMBER($S830),COUNTIFS($A$14:$A$1213,$A830,$S$14:$S$1213,"&gt;"&amp;$S830)+(COUNTIFS($A$14:$A$1213,$A830,$S$14:$S$1213,"="&amp;$S830)+1)/2,"")</f>
        <v/>
      </c>
      <c r="AG830" s="27">
        <f>IF(ISNUMBER($T830),COUNTIFS($A$14:$A$1213,$A830,$T$14:$T$1213,"&gt;"&amp;$T830)+(COUNTIFS($A$14:$A$1213,$A830,$T$14:$T$1213,"="&amp;$T830)+1)/2,"")</f>
        <v/>
      </c>
      <c r="AH830" s="27">
        <f>IF(COUNT($AC830:$AG830)&lt;2,"",IF(MAX($AC830:$AG830)=MIN($AC830:$AG830),0,1))</f>
        <v/>
      </c>
      <c r="AI830" s="27">
        <f>IF($A830="","",IF(COUNTIF($A$14:$A830,$A830)=1,COUNTIF($AI$13:AI829,"&gt;0")+1,""))</f>
        <v/>
      </c>
      <c r="AO830" s="27">
        <f>IF($A830="","",IF(AND(COUNTIFS($A$14:$A$1213,$A830,$F$14:$F$1213,"&gt;=0")=2,IFERROR(INDEX($M$14:$M$313,MATCH($A830,$H$14:$H$313,0)),"Yes")&lt;&gt;"Yes"),1,0))</f>
        <v/>
      </c>
    </row>
    <row r="831">
      <c r="A831" s="19">
        <f>IF('Enter messages'!A831="","",'Enter messages'!A831)</f>
        <v/>
      </c>
      <c r="B831" s="20">
        <f>IF('Enter messages'!B831="","",'Enter messages'!B831)</f>
        <v/>
      </c>
      <c r="C831" s="21">
        <f>IFERROR(AVERAGE(P831:T831),"")</f>
        <v/>
      </c>
      <c r="D831" s="29" t="n"/>
      <c r="E831" s="29" t="n"/>
      <c r="F831" s="30">
        <f>IF(AND(ISNUMBER($D831),ISNUMBER($E831),$E831&gt;0,$D831&lt;=$E831),$D831/$E831,"")</f>
        <v/>
      </c>
      <c r="P831" s="26" t="n"/>
      <c r="Q831" s="26" t="n"/>
      <c r="R831" s="26" t="n"/>
      <c r="S831" s="26" t="n"/>
      <c r="T831" s="26" t="n"/>
      <c r="V831" s="27">
        <f>IF(ISNUMBER($C831),COUNTIFS($A$14:$A$1213,$A831,$C$14:$C$1213,"&gt;"&amp;$C831)+(COUNTIFS($A$14:$A$1213,$A831,$C$14:$C$1213,"="&amp;$C831)+1)/2,"")</f>
        <v/>
      </c>
      <c r="W831" s="27">
        <f>IF(ISNUMBER($F831),COUNTIFS($A$14:$A$1213,$A831,$F$14:$F$1213,"&gt;"&amp;$F831)+(COUNTIFS($A$14:$A$1213,$A831,$F$14:$F$1213,"="&amp;$F831)+1)/2,"")</f>
        <v/>
      </c>
      <c r="X831" s="27">
        <f>IF(OR(NOT(ISNUMBER($V831)),$AO831=1),"",$V831-(COUNTIFS($A$14:$A$1213,$A831,$C$14:$C$1213,"&gt;=0")+1)/2)</f>
        <v/>
      </c>
      <c r="Y831" s="27">
        <f>IF(OR(NOT(ISNUMBER($W831)),$AO831=1),"",$W831-(COUNTIFS($A$14:$A$1213,$A831,$F$14:$F$1213,"&gt;=0")+1)/2)</f>
        <v/>
      </c>
      <c r="Z831" s="27">
        <f>IF(ISNUMBER($V831),$A831&amp;"|"&amp;$V831,"")</f>
        <v/>
      </c>
      <c r="AA831" s="27">
        <f>IF(ISNUMBER($W831),$A831&amp;"|"&amp;$W831,"")</f>
        <v/>
      </c>
      <c r="AB831" s="27">
        <f>IF(ISNUMBER($F831),$A831&amp;"|"&amp;$F831,"")</f>
        <v/>
      </c>
      <c r="AC831" s="27">
        <f>IF(ISNUMBER($P831),COUNTIFS($A$14:$A$1213,$A831,$P$14:$P$1213,"&gt;"&amp;$P831)+(COUNTIFS($A$14:$A$1213,$A831,$P$14:$P$1213,"="&amp;$P831)+1)/2,"")</f>
        <v/>
      </c>
      <c r="AD831" s="27">
        <f>IF(ISNUMBER($Q831),COUNTIFS($A$14:$A$1213,$A831,$Q$14:$Q$1213,"&gt;"&amp;$Q831)+(COUNTIFS($A$14:$A$1213,$A831,$Q$14:$Q$1213,"="&amp;$Q831)+1)/2,"")</f>
        <v/>
      </c>
      <c r="AE831" s="27">
        <f>IF(ISNUMBER($R831),COUNTIFS($A$14:$A$1213,$A831,$R$14:$R$1213,"&gt;"&amp;$R831)+(COUNTIFS($A$14:$A$1213,$A831,$R$14:$R$1213,"="&amp;$R831)+1)/2,"")</f>
        <v/>
      </c>
      <c r="AF831" s="27">
        <f>IF(ISNUMBER($S831),COUNTIFS($A$14:$A$1213,$A831,$S$14:$S$1213,"&gt;"&amp;$S831)+(COUNTIFS($A$14:$A$1213,$A831,$S$14:$S$1213,"="&amp;$S831)+1)/2,"")</f>
        <v/>
      </c>
      <c r="AG831" s="27">
        <f>IF(ISNUMBER($T831),COUNTIFS($A$14:$A$1213,$A831,$T$14:$T$1213,"&gt;"&amp;$T831)+(COUNTIFS($A$14:$A$1213,$A831,$T$14:$T$1213,"="&amp;$T831)+1)/2,"")</f>
        <v/>
      </c>
      <c r="AH831" s="27">
        <f>IF(COUNT($AC831:$AG831)&lt;2,"",IF(MAX($AC831:$AG831)=MIN($AC831:$AG831),0,1))</f>
        <v/>
      </c>
      <c r="AI831" s="27">
        <f>IF($A831="","",IF(COUNTIF($A$14:$A831,$A831)=1,COUNTIF($AI$13:AI830,"&gt;0")+1,""))</f>
        <v/>
      </c>
      <c r="AO831" s="27">
        <f>IF($A831="","",IF(AND(COUNTIFS($A$14:$A$1213,$A831,$F$14:$F$1213,"&gt;=0")=2,IFERROR(INDEX($M$14:$M$313,MATCH($A831,$H$14:$H$313,0)),"Yes")&lt;&gt;"Yes"),1,0))</f>
        <v/>
      </c>
    </row>
    <row r="832">
      <c r="A832" s="19">
        <f>IF('Enter messages'!A832="","",'Enter messages'!A832)</f>
        <v/>
      </c>
      <c r="B832" s="20">
        <f>IF('Enter messages'!B832="","",'Enter messages'!B832)</f>
        <v/>
      </c>
      <c r="C832" s="21">
        <f>IFERROR(AVERAGE(P832:T832),"")</f>
        <v/>
      </c>
      <c r="D832" s="29" t="n"/>
      <c r="E832" s="29" t="n"/>
      <c r="F832" s="30">
        <f>IF(AND(ISNUMBER($D832),ISNUMBER($E832),$E832&gt;0,$D832&lt;=$E832),$D832/$E832,"")</f>
        <v/>
      </c>
      <c r="P832" s="26" t="n"/>
      <c r="Q832" s="26" t="n"/>
      <c r="R832" s="26" t="n"/>
      <c r="S832" s="26" t="n"/>
      <c r="T832" s="26" t="n"/>
      <c r="V832" s="27">
        <f>IF(ISNUMBER($C832),COUNTIFS($A$14:$A$1213,$A832,$C$14:$C$1213,"&gt;"&amp;$C832)+(COUNTIFS($A$14:$A$1213,$A832,$C$14:$C$1213,"="&amp;$C832)+1)/2,"")</f>
        <v/>
      </c>
      <c r="W832" s="27">
        <f>IF(ISNUMBER($F832),COUNTIFS($A$14:$A$1213,$A832,$F$14:$F$1213,"&gt;"&amp;$F832)+(COUNTIFS($A$14:$A$1213,$A832,$F$14:$F$1213,"="&amp;$F832)+1)/2,"")</f>
        <v/>
      </c>
      <c r="X832" s="27">
        <f>IF(OR(NOT(ISNUMBER($V832)),$AO832=1),"",$V832-(COUNTIFS($A$14:$A$1213,$A832,$C$14:$C$1213,"&gt;=0")+1)/2)</f>
        <v/>
      </c>
      <c r="Y832" s="27">
        <f>IF(OR(NOT(ISNUMBER($W832)),$AO832=1),"",$W832-(COUNTIFS($A$14:$A$1213,$A832,$F$14:$F$1213,"&gt;=0")+1)/2)</f>
        <v/>
      </c>
      <c r="Z832" s="27">
        <f>IF(ISNUMBER($V832),$A832&amp;"|"&amp;$V832,"")</f>
        <v/>
      </c>
      <c r="AA832" s="27">
        <f>IF(ISNUMBER($W832),$A832&amp;"|"&amp;$W832,"")</f>
        <v/>
      </c>
      <c r="AB832" s="27">
        <f>IF(ISNUMBER($F832),$A832&amp;"|"&amp;$F832,"")</f>
        <v/>
      </c>
      <c r="AC832" s="27">
        <f>IF(ISNUMBER($P832),COUNTIFS($A$14:$A$1213,$A832,$P$14:$P$1213,"&gt;"&amp;$P832)+(COUNTIFS($A$14:$A$1213,$A832,$P$14:$P$1213,"="&amp;$P832)+1)/2,"")</f>
        <v/>
      </c>
      <c r="AD832" s="27">
        <f>IF(ISNUMBER($Q832),COUNTIFS($A$14:$A$1213,$A832,$Q$14:$Q$1213,"&gt;"&amp;$Q832)+(COUNTIFS($A$14:$A$1213,$A832,$Q$14:$Q$1213,"="&amp;$Q832)+1)/2,"")</f>
        <v/>
      </c>
      <c r="AE832" s="27">
        <f>IF(ISNUMBER($R832),COUNTIFS($A$14:$A$1213,$A832,$R$14:$R$1213,"&gt;"&amp;$R832)+(COUNTIFS($A$14:$A$1213,$A832,$R$14:$R$1213,"="&amp;$R832)+1)/2,"")</f>
        <v/>
      </c>
      <c r="AF832" s="27">
        <f>IF(ISNUMBER($S832),COUNTIFS($A$14:$A$1213,$A832,$S$14:$S$1213,"&gt;"&amp;$S832)+(COUNTIFS($A$14:$A$1213,$A832,$S$14:$S$1213,"="&amp;$S832)+1)/2,"")</f>
        <v/>
      </c>
      <c r="AG832" s="27">
        <f>IF(ISNUMBER($T832),COUNTIFS($A$14:$A$1213,$A832,$T$14:$T$1213,"&gt;"&amp;$T832)+(COUNTIFS($A$14:$A$1213,$A832,$T$14:$T$1213,"="&amp;$T832)+1)/2,"")</f>
        <v/>
      </c>
      <c r="AH832" s="27">
        <f>IF(COUNT($AC832:$AG832)&lt;2,"",IF(MAX($AC832:$AG832)=MIN($AC832:$AG832),0,1))</f>
        <v/>
      </c>
      <c r="AI832" s="27">
        <f>IF($A832="","",IF(COUNTIF($A$14:$A832,$A832)=1,COUNTIF($AI$13:AI831,"&gt;0")+1,""))</f>
        <v/>
      </c>
      <c r="AO832" s="27">
        <f>IF($A832="","",IF(AND(COUNTIFS($A$14:$A$1213,$A832,$F$14:$F$1213,"&gt;=0")=2,IFERROR(INDEX($M$14:$M$313,MATCH($A832,$H$14:$H$313,0)),"Yes")&lt;&gt;"Yes"),1,0))</f>
        <v/>
      </c>
    </row>
    <row r="833">
      <c r="A833" s="19">
        <f>IF('Enter messages'!A833="","",'Enter messages'!A833)</f>
        <v/>
      </c>
      <c r="B833" s="20">
        <f>IF('Enter messages'!B833="","",'Enter messages'!B833)</f>
        <v/>
      </c>
      <c r="C833" s="21">
        <f>IFERROR(AVERAGE(P833:T833),"")</f>
        <v/>
      </c>
      <c r="D833" s="29" t="n"/>
      <c r="E833" s="29" t="n"/>
      <c r="F833" s="30">
        <f>IF(AND(ISNUMBER($D833),ISNUMBER($E833),$E833&gt;0,$D833&lt;=$E833),$D833/$E833,"")</f>
        <v/>
      </c>
      <c r="P833" s="26" t="n"/>
      <c r="Q833" s="26" t="n"/>
      <c r="R833" s="26" t="n"/>
      <c r="S833" s="26" t="n"/>
      <c r="T833" s="26" t="n"/>
      <c r="V833" s="27">
        <f>IF(ISNUMBER($C833),COUNTIFS($A$14:$A$1213,$A833,$C$14:$C$1213,"&gt;"&amp;$C833)+(COUNTIFS($A$14:$A$1213,$A833,$C$14:$C$1213,"="&amp;$C833)+1)/2,"")</f>
        <v/>
      </c>
      <c r="W833" s="27">
        <f>IF(ISNUMBER($F833),COUNTIFS($A$14:$A$1213,$A833,$F$14:$F$1213,"&gt;"&amp;$F833)+(COUNTIFS($A$14:$A$1213,$A833,$F$14:$F$1213,"="&amp;$F833)+1)/2,"")</f>
        <v/>
      </c>
      <c r="X833" s="27">
        <f>IF(OR(NOT(ISNUMBER($V833)),$AO833=1),"",$V833-(COUNTIFS($A$14:$A$1213,$A833,$C$14:$C$1213,"&gt;=0")+1)/2)</f>
        <v/>
      </c>
      <c r="Y833" s="27">
        <f>IF(OR(NOT(ISNUMBER($W833)),$AO833=1),"",$W833-(COUNTIFS($A$14:$A$1213,$A833,$F$14:$F$1213,"&gt;=0")+1)/2)</f>
        <v/>
      </c>
      <c r="Z833" s="27">
        <f>IF(ISNUMBER($V833),$A833&amp;"|"&amp;$V833,"")</f>
        <v/>
      </c>
      <c r="AA833" s="27">
        <f>IF(ISNUMBER($W833),$A833&amp;"|"&amp;$W833,"")</f>
        <v/>
      </c>
      <c r="AB833" s="27">
        <f>IF(ISNUMBER($F833),$A833&amp;"|"&amp;$F833,"")</f>
        <v/>
      </c>
      <c r="AC833" s="27">
        <f>IF(ISNUMBER($P833),COUNTIFS($A$14:$A$1213,$A833,$P$14:$P$1213,"&gt;"&amp;$P833)+(COUNTIFS($A$14:$A$1213,$A833,$P$14:$P$1213,"="&amp;$P833)+1)/2,"")</f>
        <v/>
      </c>
      <c r="AD833" s="27">
        <f>IF(ISNUMBER($Q833),COUNTIFS($A$14:$A$1213,$A833,$Q$14:$Q$1213,"&gt;"&amp;$Q833)+(COUNTIFS($A$14:$A$1213,$A833,$Q$14:$Q$1213,"="&amp;$Q833)+1)/2,"")</f>
        <v/>
      </c>
      <c r="AE833" s="27">
        <f>IF(ISNUMBER($R833),COUNTIFS($A$14:$A$1213,$A833,$R$14:$R$1213,"&gt;"&amp;$R833)+(COUNTIFS($A$14:$A$1213,$A833,$R$14:$R$1213,"="&amp;$R833)+1)/2,"")</f>
        <v/>
      </c>
      <c r="AF833" s="27">
        <f>IF(ISNUMBER($S833),COUNTIFS($A$14:$A$1213,$A833,$S$14:$S$1213,"&gt;"&amp;$S833)+(COUNTIFS($A$14:$A$1213,$A833,$S$14:$S$1213,"="&amp;$S833)+1)/2,"")</f>
        <v/>
      </c>
      <c r="AG833" s="27">
        <f>IF(ISNUMBER($T833),COUNTIFS($A$14:$A$1213,$A833,$T$14:$T$1213,"&gt;"&amp;$T833)+(COUNTIFS($A$14:$A$1213,$A833,$T$14:$T$1213,"="&amp;$T833)+1)/2,"")</f>
        <v/>
      </c>
      <c r="AH833" s="27">
        <f>IF(COUNT($AC833:$AG833)&lt;2,"",IF(MAX($AC833:$AG833)=MIN($AC833:$AG833),0,1))</f>
        <v/>
      </c>
      <c r="AI833" s="27">
        <f>IF($A833="","",IF(COUNTIF($A$14:$A833,$A833)=1,COUNTIF($AI$13:AI832,"&gt;0")+1,""))</f>
        <v/>
      </c>
      <c r="AO833" s="27">
        <f>IF($A833="","",IF(AND(COUNTIFS($A$14:$A$1213,$A833,$F$14:$F$1213,"&gt;=0")=2,IFERROR(INDEX($M$14:$M$313,MATCH($A833,$H$14:$H$313,0)),"Yes")&lt;&gt;"Yes"),1,0))</f>
        <v/>
      </c>
    </row>
    <row r="834">
      <c r="A834" s="19">
        <f>IF('Enter messages'!A834="","",'Enter messages'!A834)</f>
        <v/>
      </c>
      <c r="B834" s="20">
        <f>IF('Enter messages'!B834="","",'Enter messages'!B834)</f>
        <v/>
      </c>
      <c r="C834" s="21">
        <f>IFERROR(AVERAGE(P834:T834),"")</f>
        <v/>
      </c>
      <c r="D834" s="29" t="n"/>
      <c r="E834" s="29" t="n"/>
      <c r="F834" s="30">
        <f>IF(AND(ISNUMBER($D834),ISNUMBER($E834),$E834&gt;0,$D834&lt;=$E834),$D834/$E834,"")</f>
        <v/>
      </c>
      <c r="P834" s="26" t="n"/>
      <c r="Q834" s="26" t="n"/>
      <c r="R834" s="26" t="n"/>
      <c r="S834" s="26" t="n"/>
      <c r="T834" s="26" t="n"/>
      <c r="V834" s="27">
        <f>IF(ISNUMBER($C834),COUNTIFS($A$14:$A$1213,$A834,$C$14:$C$1213,"&gt;"&amp;$C834)+(COUNTIFS($A$14:$A$1213,$A834,$C$14:$C$1213,"="&amp;$C834)+1)/2,"")</f>
        <v/>
      </c>
      <c r="W834" s="27">
        <f>IF(ISNUMBER($F834),COUNTIFS($A$14:$A$1213,$A834,$F$14:$F$1213,"&gt;"&amp;$F834)+(COUNTIFS($A$14:$A$1213,$A834,$F$14:$F$1213,"="&amp;$F834)+1)/2,"")</f>
        <v/>
      </c>
      <c r="X834" s="27">
        <f>IF(OR(NOT(ISNUMBER($V834)),$AO834=1),"",$V834-(COUNTIFS($A$14:$A$1213,$A834,$C$14:$C$1213,"&gt;=0")+1)/2)</f>
        <v/>
      </c>
      <c r="Y834" s="27">
        <f>IF(OR(NOT(ISNUMBER($W834)),$AO834=1),"",$W834-(COUNTIFS($A$14:$A$1213,$A834,$F$14:$F$1213,"&gt;=0")+1)/2)</f>
        <v/>
      </c>
      <c r="Z834" s="27">
        <f>IF(ISNUMBER($V834),$A834&amp;"|"&amp;$V834,"")</f>
        <v/>
      </c>
      <c r="AA834" s="27">
        <f>IF(ISNUMBER($W834),$A834&amp;"|"&amp;$W834,"")</f>
        <v/>
      </c>
      <c r="AB834" s="27">
        <f>IF(ISNUMBER($F834),$A834&amp;"|"&amp;$F834,"")</f>
        <v/>
      </c>
      <c r="AC834" s="27">
        <f>IF(ISNUMBER($P834),COUNTIFS($A$14:$A$1213,$A834,$P$14:$P$1213,"&gt;"&amp;$P834)+(COUNTIFS($A$14:$A$1213,$A834,$P$14:$P$1213,"="&amp;$P834)+1)/2,"")</f>
        <v/>
      </c>
      <c r="AD834" s="27">
        <f>IF(ISNUMBER($Q834),COUNTIFS($A$14:$A$1213,$A834,$Q$14:$Q$1213,"&gt;"&amp;$Q834)+(COUNTIFS($A$14:$A$1213,$A834,$Q$14:$Q$1213,"="&amp;$Q834)+1)/2,"")</f>
        <v/>
      </c>
      <c r="AE834" s="27">
        <f>IF(ISNUMBER($R834),COUNTIFS($A$14:$A$1213,$A834,$R$14:$R$1213,"&gt;"&amp;$R834)+(COUNTIFS($A$14:$A$1213,$A834,$R$14:$R$1213,"="&amp;$R834)+1)/2,"")</f>
        <v/>
      </c>
      <c r="AF834" s="27">
        <f>IF(ISNUMBER($S834),COUNTIFS($A$14:$A$1213,$A834,$S$14:$S$1213,"&gt;"&amp;$S834)+(COUNTIFS($A$14:$A$1213,$A834,$S$14:$S$1213,"="&amp;$S834)+1)/2,"")</f>
        <v/>
      </c>
      <c r="AG834" s="27">
        <f>IF(ISNUMBER($T834),COUNTIFS($A$14:$A$1213,$A834,$T$14:$T$1213,"&gt;"&amp;$T834)+(COUNTIFS($A$14:$A$1213,$A834,$T$14:$T$1213,"="&amp;$T834)+1)/2,"")</f>
        <v/>
      </c>
      <c r="AH834" s="27">
        <f>IF(COUNT($AC834:$AG834)&lt;2,"",IF(MAX($AC834:$AG834)=MIN($AC834:$AG834),0,1))</f>
        <v/>
      </c>
      <c r="AI834" s="27">
        <f>IF($A834="","",IF(COUNTIF($A$14:$A834,$A834)=1,COUNTIF($AI$13:AI833,"&gt;0")+1,""))</f>
        <v/>
      </c>
      <c r="AO834" s="27">
        <f>IF($A834="","",IF(AND(COUNTIFS($A$14:$A$1213,$A834,$F$14:$F$1213,"&gt;=0")=2,IFERROR(INDEX($M$14:$M$313,MATCH($A834,$H$14:$H$313,0)),"Yes")&lt;&gt;"Yes"),1,0))</f>
        <v/>
      </c>
    </row>
    <row r="835">
      <c r="A835" s="19">
        <f>IF('Enter messages'!A835="","",'Enter messages'!A835)</f>
        <v/>
      </c>
      <c r="B835" s="20">
        <f>IF('Enter messages'!B835="","",'Enter messages'!B835)</f>
        <v/>
      </c>
      <c r="C835" s="21">
        <f>IFERROR(AVERAGE(P835:T835),"")</f>
        <v/>
      </c>
      <c r="D835" s="29" t="n"/>
      <c r="E835" s="29" t="n"/>
      <c r="F835" s="30">
        <f>IF(AND(ISNUMBER($D835),ISNUMBER($E835),$E835&gt;0,$D835&lt;=$E835),$D835/$E835,"")</f>
        <v/>
      </c>
      <c r="P835" s="26" t="n"/>
      <c r="Q835" s="26" t="n"/>
      <c r="R835" s="26" t="n"/>
      <c r="S835" s="26" t="n"/>
      <c r="T835" s="26" t="n"/>
      <c r="V835" s="27">
        <f>IF(ISNUMBER($C835),COUNTIFS($A$14:$A$1213,$A835,$C$14:$C$1213,"&gt;"&amp;$C835)+(COUNTIFS($A$14:$A$1213,$A835,$C$14:$C$1213,"="&amp;$C835)+1)/2,"")</f>
        <v/>
      </c>
      <c r="W835" s="27">
        <f>IF(ISNUMBER($F835),COUNTIFS($A$14:$A$1213,$A835,$F$14:$F$1213,"&gt;"&amp;$F835)+(COUNTIFS($A$14:$A$1213,$A835,$F$14:$F$1213,"="&amp;$F835)+1)/2,"")</f>
        <v/>
      </c>
      <c r="X835" s="27">
        <f>IF(OR(NOT(ISNUMBER($V835)),$AO835=1),"",$V835-(COUNTIFS($A$14:$A$1213,$A835,$C$14:$C$1213,"&gt;=0")+1)/2)</f>
        <v/>
      </c>
      <c r="Y835" s="27">
        <f>IF(OR(NOT(ISNUMBER($W835)),$AO835=1),"",$W835-(COUNTIFS($A$14:$A$1213,$A835,$F$14:$F$1213,"&gt;=0")+1)/2)</f>
        <v/>
      </c>
      <c r="Z835" s="27">
        <f>IF(ISNUMBER($V835),$A835&amp;"|"&amp;$V835,"")</f>
        <v/>
      </c>
      <c r="AA835" s="27">
        <f>IF(ISNUMBER($W835),$A835&amp;"|"&amp;$W835,"")</f>
        <v/>
      </c>
      <c r="AB835" s="27">
        <f>IF(ISNUMBER($F835),$A835&amp;"|"&amp;$F835,"")</f>
        <v/>
      </c>
      <c r="AC835" s="27">
        <f>IF(ISNUMBER($P835),COUNTIFS($A$14:$A$1213,$A835,$P$14:$P$1213,"&gt;"&amp;$P835)+(COUNTIFS($A$14:$A$1213,$A835,$P$14:$P$1213,"="&amp;$P835)+1)/2,"")</f>
        <v/>
      </c>
      <c r="AD835" s="27">
        <f>IF(ISNUMBER($Q835),COUNTIFS($A$14:$A$1213,$A835,$Q$14:$Q$1213,"&gt;"&amp;$Q835)+(COUNTIFS($A$14:$A$1213,$A835,$Q$14:$Q$1213,"="&amp;$Q835)+1)/2,"")</f>
        <v/>
      </c>
      <c r="AE835" s="27">
        <f>IF(ISNUMBER($R835),COUNTIFS($A$14:$A$1213,$A835,$R$14:$R$1213,"&gt;"&amp;$R835)+(COUNTIFS($A$14:$A$1213,$A835,$R$14:$R$1213,"="&amp;$R835)+1)/2,"")</f>
        <v/>
      </c>
      <c r="AF835" s="27">
        <f>IF(ISNUMBER($S835),COUNTIFS($A$14:$A$1213,$A835,$S$14:$S$1213,"&gt;"&amp;$S835)+(COUNTIFS($A$14:$A$1213,$A835,$S$14:$S$1213,"="&amp;$S835)+1)/2,"")</f>
        <v/>
      </c>
      <c r="AG835" s="27">
        <f>IF(ISNUMBER($T835),COUNTIFS($A$14:$A$1213,$A835,$T$14:$T$1213,"&gt;"&amp;$T835)+(COUNTIFS($A$14:$A$1213,$A835,$T$14:$T$1213,"="&amp;$T835)+1)/2,"")</f>
        <v/>
      </c>
      <c r="AH835" s="27">
        <f>IF(COUNT($AC835:$AG835)&lt;2,"",IF(MAX($AC835:$AG835)=MIN($AC835:$AG835),0,1))</f>
        <v/>
      </c>
      <c r="AI835" s="27">
        <f>IF($A835="","",IF(COUNTIF($A$14:$A835,$A835)=1,COUNTIF($AI$13:AI834,"&gt;0")+1,""))</f>
        <v/>
      </c>
      <c r="AO835" s="27">
        <f>IF($A835="","",IF(AND(COUNTIFS($A$14:$A$1213,$A835,$F$14:$F$1213,"&gt;=0")=2,IFERROR(INDEX($M$14:$M$313,MATCH($A835,$H$14:$H$313,0)),"Yes")&lt;&gt;"Yes"),1,0))</f>
        <v/>
      </c>
    </row>
    <row r="836">
      <c r="A836" s="19">
        <f>IF('Enter messages'!A836="","",'Enter messages'!A836)</f>
        <v/>
      </c>
      <c r="B836" s="20">
        <f>IF('Enter messages'!B836="","",'Enter messages'!B836)</f>
        <v/>
      </c>
      <c r="C836" s="21">
        <f>IFERROR(AVERAGE(P836:T836),"")</f>
        <v/>
      </c>
      <c r="D836" s="29" t="n"/>
      <c r="E836" s="29" t="n"/>
      <c r="F836" s="30">
        <f>IF(AND(ISNUMBER($D836),ISNUMBER($E836),$E836&gt;0,$D836&lt;=$E836),$D836/$E836,"")</f>
        <v/>
      </c>
      <c r="P836" s="26" t="n"/>
      <c r="Q836" s="26" t="n"/>
      <c r="R836" s="26" t="n"/>
      <c r="S836" s="26" t="n"/>
      <c r="T836" s="26" t="n"/>
      <c r="V836" s="27">
        <f>IF(ISNUMBER($C836),COUNTIFS($A$14:$A$1213,$A836,$C$14:$C$1213,"&gt;"&amp;$C836)+(COUNTIFS($A$14:$A$1213,$A836,$C$14:$C$1213,"="&amp;$C836)+1)/2,"")</f>
        <v/>
      </c>
      <c r="W836" s="27">
        <f>IF(ISNUMBER($F836),COUNTIFS($A$14:$A$1213,$A836,$F$14:$F$1213,"&gt;"&amp;$F836)+(COUNTIFS($A$14:$A$1213,$A836,$F$14:$F$1213,"="&amp;$F836)+1)/2,"")</f>
        <v/>
      </c>
      <c r="X836" s="27">
        <f>IF(OR(NOT(ISNUMBER($V836)),$AO836=1),"",$V836-(COUNTIFS($A$14:$A$1213,$A836,$C$14:$C$1213,"&gt;=0")+1)/2)</f>
        <v/>
      </c>
      <c r="Y836" s="27">
        <f>IF(OR(NOT(ISNUMBER($W836)),$AO836=1),"",$W836-(COUNTIFS($A$14:$A$1213,$A836,$F$14:$F$1213,"&gt;=0")+1)/2)</f>
        <v/>
      </c>
      <c r="Z836" s="27">
        <f>IF(ISNUMBER($V836),$A836&amp;"|"&amp;$V836,"")</f>
        <v/>
      </c>
      <c r="AA836" s="27">
        <f>IF(ISNUMBER($W836),$A836&amp;"|"&amp;$W836,"")</f>
        <v/>
      </c>
      <c r="AB836" s="27">
        <f>IF(ISNUMBER($F836),$A836&amp;"|"&amp;$F836,"")</f>
        <v/>
      </c>
      <c r="AC836" s="27">
        <f>IF(ISNUMBER($P836),COUNTIFS($A$14:$A$1213,$A836,$P$14:$P$1213,"&gt;"&amp;$P836)+(COUNTIFS($A$14:$A$1213,$A836,$P$14:$P$1213,"="&amp;$P836)+1)/2,"")</f>
        <v/>
      </c>
      <c r="AD836" s="27">
        <f>IF(ISNUMBER($Q836),COUNTIFS($A$14:$A$1213,$A836,$Q$14:$Q$1213,"&gt;"&amp;$Q836)+(COUNTIFS($A$14:$A$1213,$A836,$Q$14:$Q$1213,"="&amp;$Q836)+1)/2,"")</f>
        <v/>
      </c>
      <c r="AE836" s="27">
        <f>IF(ISNUMBER($R836),COUNTIFS($A$14:$A$1213,$A836,$R$14:$R$1213,"&gt;"&amp;$R836)+(COUNTIFS($A$14:$A$1213,$A836,$R$14:$R$1213,"="&amp;$R836)+1)/2,"")</f>
        <v/>
      </c>
      <c r="AF836" s="27">
        <f>IF(ISNUMBER($S836),COUNTIFS($A$14:$A$1213,$A836,$S$14:$S$1213,"&gt;"&amp;$S836)+(COUNTIFS($A$14:$A$1213,$A836,$S$14:$S$1213,"="&amp;$S836)+1)/2,"")</f>
        <v/>
      </c>
      <c r="AG836" s="27">
        <f>IF(ISNUMBER($T836),COUNTIFS($A$14:$A$1213,$A836,$T$14:$T$1213,"&gt;"&amp;$T836)+(COUNTIFS($A$14:$A$1213,$A836,$T$14:$T$1213,"="&amp;$T836)+1)/2,"")</f>
        <v/>
      </c>
      <c r="AH836" s="27">
        <f>IF(COUNT($AC836:$AG836)&lt;2,"",IF(MAX($AC836:$AG836)=MIN($AC836:$AG836),0,1))</f>
        <v/>
      </c>
      <c r="AI836" s="27">
        <f>IF($A836="","",IF(COUNTIF($A$14:$A836,$A836)=1,COUNTIF($AI$13:AI835,"&gt;0")+1,""))</f>
        <v/>
      </c>
      <c r="AO836" s="27">
        <f>IF($A836="","",IF(AND(COUNTIFS($A$14:$A$1213,$A836,$F$14:$F$1213,"&gt;=0")=2,IFERROR(INDEX($M$14:$M$313,MATCH($A836,$H$14:$H$313,0)),"Yes")&lt;&gt;"Yes"),1,0))</f>
        <v/>
      </c>
    </row>
    <row r="837">
      <c r="A837" s="19">
        <f>IF('Enter messages'!A837="","",'Enter messages'!A837)</f>
        <v/>
      </c>
      <c r="B837" s="20">
        <f>IF('Enter messages'!B837="","",'Enter messages'!B837)</f>
        <v/>
      </c>
      <c r="C837" s="21">
        <f>IFERROR(AVERAGE(P837:T837),"")</f>
        <v/>
      </c>
      <c r="D837" s="29" t="n"/>
      <c r="E837" s="29" t="n"/>
      <c r="F837" s="30">
        <f>IF(AND(ISNUMBER($D837),ISNUMBER($E837),$E837&gt;0,$D837&lt;=$E837),$D837/$E837,"")</f>
        <v/>
      </c>
      <c r="P837" s="26" t="n"/>
      <c r="Q837" s="26" t="n"/>
      <c r="R837" s="26" t="n"/>
      <c r="S837" s="26" t="n"/>
      <c r="T837" s="26" t="n"/>
      <c r="V837" s="27">
        <f>IF(ISNUMBER($C837),COUNTIFS($A$14:$A$1213,$A837,$C$14:$C$1213,"&gt;"&amp;$C837)+(COUNTIFS($A$14:$A$1213,$A837,$C$14:$C$1213,"="&amp;$C837)+1)/2,"")</f>
        <v/>
      </c>
      <c r="W837" s="27">
        <f>IF(ISNUMBER($F837),COUNTIFS($A$14:$A$1213,$A837,$F$14:$F$1213,"&gt;"&amp;$F837)+(COUNTIFS($A$14:$A$1213,$A837,$F$14:$F$1213,"="&amp;$F837)+1)/2,"")</f>
        <v/>
      </c>
      <c r="X837" s="27">
        <f>IF(OR(NOT(ISNUMBER($V837)),$AO837=1),"",$V837-(COUNTIFS($A$14:$A$1213,$A837,$C$14:$C$1213,"&gt;=0")+1)/2)</f>
        <v/>
      </c>
      <c r="Y837" s="27">
        <f>IF(OR(NOT(ISNUMBER($W837)),$AO837=1),"",$W837-(COUNTIFS($A$14:$A$1213,$A837,$F$14:$F$1213,"&gt;=0")+1)/2)</f>
        <v/>
      </c>
      <c r="Z837" s="27">
        <f>IF(ISNUMBER($V837),$A837&amp;"|"&amp;$V837,"")</f>
        <v/>
      </c>
      <c r="AA837" s="27">
        <f>IF(ISNUMBER($W837),$A837&amp;"|"&amp;$W837,"")</f>
        <v/>
      </c>
      <c r="AB837" s="27">
        <f>IF(ISNUMBER($F837),$A837&amp;"|"&amp;$F837,"")</f>
        <v/>
      </c>
      <c r="AC837" s="27">
        <f>IF(ISNUMBER($P837),COUNTIFS($A$14:$A$1213,$A837,$P$14:$P$1213,"&gt;"&amp;$P837)+(COUNTIFS($A$14:$A$1213,$A837,$P$14:$P$1213,"="&amp;$P837)+1)/2,"")</f>
        <v/>
      </c>
      <c r="AD837" s="27">
        <f>IF(ISNUMBER($Q837),COUNTIFS($A$14:$A$1213,$A837,$Q$14:$Q$1213,"&gt;"&amp;$Q837)+(COUNTIFS($A$14:$A$1213,$A837,$Q$14:$Q$1213,"="&amp;$Q837)+1)/2,"")</f>
        <v/>
      </c>
      <c r="AE837" s="27">
        <f>IF(ISNUMBER($R837),COUNTIFS($A$14:$A$1213,$A837,$R$14:$R$1213,"&gt;"&amp;$R837)+(COUNTIFS($A$14:$A$1213,$A837,$R$14:$R$1213,"="&amp;$R837)+1)/2,"")</f>
        <v/>
      </c>
      <c r="AF837" s="27">
        <f>IF(ISNUMBER($S837),COUNTIFS($A$14:$A$1213,$A837,$S$14:$S$1213,"&gt;"&amp;$S837)+(COUNTIFS($A$14:$A$1213,$A837,$S$14:$S$1213,"="&amp;$S837)+1)/2,"")</f>
        <v/>
      </c>
      <c r="AG837" s="27">
        <f>IF(ISNUMBER($T837),COUNTIFS($A$14:$A$1213,$A837,$T$14:$T$1213,"&gt;"&amp;$T837)+(COUNTIFS($A$14:$A$1213,$A837,$T$14:$T$1213,"="&amp;$T837)+1)/2,"")</f>
        <v/>
      </c>
      <c r="AH837" s="27">
        <f>IF(COUNT($AC837:$AG837)&lt;2,"",IF(MAX($AC837:$AG837)=MIN($AC837:$AG837),0,1))</f>
        <v/>
      </c>
      <c r="AI837" s="27">
        <f>IF($A837="","",IF(COUNTIF($A$14:$A837,$A837)=1,COUNTIF($AI$13:AI836,"&gt;0")+1,""))</f>
        <v/>
      </c>
      <c r="AO837" s="27">
        <f>IF($A837="","",IF(AND(COUNTIFS($A$14:$A$1213,$A837,$F$14:$F$1213,"&gt;=0")=2,IFERROR(INDEX($M$14:$M$313,MATCH($A837,$H$14:$H$313,0)),"Yes")&lt;&gt;"Yes"),1,0))</f>
        <v/>
      </c>
    </row>
    <row r="838">
      <c r="A838" s="19">
        <f>IF('Enter messages'!A838="","",'Enter messages'!A838)</f>
        <v/>
      </c>
      <c r="B838" s="20">
        <f>IF('Enter messages'!B838="","",'Enter messages'!B838)</f>
        <v/>
      </c>
      <c r="C838" s="21">
        <f>IFERROR(AVERAGE(P838:T838),"")</f>
        <v/>
      </c>
      <c r="D838" s="29" t="n"/>
      <c r="E838" s="29" t="n"/>
      <c r="F838" s="30">
        <f>IF(AND(ISNUMBER($D838),ISNUMBER($E838),$E838&gt;0,$D838&lt;=$E838),$D838/$E838,"")</f>
        <v/>
      </c>
      <c r="P838" s="26" t="n"/>
      <c r="Q838" s="26" t="n"/>
      <c r="R838" s="26" t="n"/>
      <c r="S838" s="26" t="n"/>
      <c r="T838" s="26" t="n"/>
      <c r="V838" s="27">
        <f>IF(ISNUMBER($C838),COUNTIFS($A$14:$A$1213,$A838,$C$14:$C$1213,"&gt;"&amp;$C838)+(COUNTIFS($A$14:$A$1213,$A838,$C$14:$C$1213,"="&amp;$C838)+1)/2,"")</f>
        <v/>
      </c>
      <c r="W838" s="27">
        <f>IF(ISNUMBER($F838),COUNTIFS($A$14:$A$1213,$A838,$F$14:$F$1213,"&gt;"&amp;$F838)+(COUNTIFS($A$14:$A$1213,$A838,$F$14:$F$1213,"="&amp;$F838)+1)/2,"")</f>
        <v/>
      </c>
      <c r="X838" s="27">
        <f>IF(OR(NOT(ISNUMBER($V838)),$AO838=1),"",$V838-(COUNTIFS($A$14:$A$1213,$A838,$C$14:$C$1213,"&gt;=0")+1)/2)</f>
        <v/>
      </c>
      <c r="Y838" s="27">
        <f>IF(OR(NOT(ISNUMBER($W838)),$AO838=1),"",$W838-(COUNTIFS($A$14:$A$1213,$A838,$F$14:$F$1213,"&gt;=0")+1)/2)</f>
        <v/>
      </c>
      <c r="Z838" s="27">
        <f>IF(ISNUMBER($V838),$A838&amp;"|"&amp;$V838,"")</f>
        <v/>
      </c>
      <c r="AA838" s="27">
        <f>IF(ISNUMBER($W838),$A838&amp;"|"&amp;$W838,"")</f>
        <v/>
      </c>
      <c r="AB838" s="27">
        <f>IF(ISNUMBER($F838),$A838&amp;"|"&amp;$F838,"")</f>
        <v/>
      </c>
      <c r="AC838" s="27">
        <f>IF(ISNUMBER($P838),COUNTIFS($A$14:$A$1213,$A838,$P$14:$P$1213,"&gt;"&amp;$P838)+(COUNTIFS($A$14:$A$1213,$A838,$P$14:$P$1213,"="&amp;$P838)+1)/2,"")</f>
        <v/>
      </c>
      <c r="AD838" s="27">
        <f>IF(ISNUMBER($Q838),COUNTIFS($A$14:$A$1213,$A838,$Q$14:$Q$1213,"&gt;"&amp;$Q838)+(COUNTIFS($A$14:$A$1213,$A838,$Q$14:$Q$1213,"="&amp;$Q838)+1)/2,"")</f>
        <v/>
      </c>
      <c r="AE838" s="27">
        <f>IF(ISNUMBER($R838),COUNTIFS($A$14:$A$1213,$A838,$R$14:$R$1213,"&gt;"&amp;$R838)+(COUNTIFS($A$14:$A$1213,$A838,$R$14:$R$1213,"="&amp;$R838)+1)/2,"")</f>
        <v/>
      </c>
      <c r="AF838" s="27">
        <f>IF(ISNUMBER($S838),COUNTIFS($A$14:$A$1213,$A838,$S$14:$S$1213,"&gt;"&amp;$S838)+(COUNTIFS($A$14:$A$1213,$A838,$S$14:$S$1213,"="&amp;$S838)+1)/2,"")</f>
        <v/>
      </c>
      <c r="AG838" s="27">
        <f>IF(ISNUMBER($T838),COUNTIFS($A$14:$A$1213,$A838,$T$14:$T$1213,"&gt;"&amp;$T838)+(COUNTIFS($A$14:$A$1213,$A838,$T$14:$T$1213,"="&amp;$T838)+1)/2,"")</f>
        <v/>
      </c>
      <c r="AH838" s="27">
        <f>IF(COUNT($AC838:$AG838)&lt;2,"",IF(MAX($AC838:$AG838)=MIN($AC838:$AG838),0,1))</f>
        <v/>
      </c>
      <c r="AI838" s="27">
        <f>IF($A838="","",IF(COUNTIF($A$14:$A838,$A838)=1,COUNTIF($AI$13:AI837,"&gt;0")+1,""))</f>
        <v/>
      </c>
      <c r="AO838" s="27">
        <f>IF($A838="","",IF(AND(COUNTIFS($A$14:$A$1213,$A838,$F$14:$F$1213,"&gt;=0")=2,IFERROR(INDEX($M$14:$M$313,MATCH($A838,$H$14:$H$313,0)),"Yes")&lt;&gt;"Yes"),1,0))</f>
        <v/>
      </c>
    </row>
    <row r="839">
      <c r="A839" s="19">
        <f>IF('Enter messages'!A839="","",'Enter messages'!A839)</f>
        <v/>
      </c>
      <c r="B839" s="20">
        <f>IF('Enter messages'!B839="","",'Enter messages'!B839)</f>
        <v/>
      </c>
      <c r="C839" s="21">
        <f>IFERROR(AVERAGE(P839:T839),"")</f>
        <v/>
      </c>
      <c r="D839" s="29" t="n"/>
      <c r="E839" s="29" t="n"/>
      <c r="F839" s="30">
        <f>IF(AND(ISNUMBER($D839),ISNUMBER($E839),$E839&gt;0,$D839&lt;=$E839),$D839/$E839,"")</f>
        <v/>
      </c>
      <c r="P839" s="26" t="n"/>
      <c r="Q839" s="26" t="n"/>
      <c r="R839" s="26" t="n"/>
      <c r="S839" s="26" t="n"/>
      <c r="T839" s="26" t="n"/>
      <c r="V839" s="27">
        <f>IF(ISNUMBER($C839),COUNTIFS($A$14:$A$1213,$A839,$C$14:$C$1213,"&gt;"&amp;$C839)+(COUNTIFS($A$14:$A$1213,$A839,$C$14:$C$1213,"="&amp;$C839)+1)/2,"")</f>
        <v/>
      </c>
      <c r="W839" s="27">
        <f>IF(ISNUMBER($F839),COUNTIFS($A$14:$A$1213,$A839,$F$14:$F$1213,"&gt;"&amp;$F839)+(COUNTIFS($A$14:$A$1213,$A839,$F$14:$F$1213,"="&amp;$F839)+1)/2,"")</f>
        <v/>
      </c>
      <c r="X839" s="27">
        <f>IF(OR(NOT(ISNUMBER($V839)),$AO839=1),"",$V839-(COUNTIFS($A$14:$A$1213,$A839,$C$14:$C$1213,"&gt;=0")+1)/2)</f>
        <v/>
      </c>
      <c r="Y839" s="27">
        <f>IF(OR(NOT(ISNUMBER($W839)),$AO839=1),"",$W839-(COUNTIFS($A$14:$A$1213,$A839,$F$14:$F$1213,"&gt;=0")+1)/2)</f>
        <v/>
      </c>
      <c r="Z839" s="27">
        <f>IF(ISNUMBER($V839),$A839&amp;"|"&amp;$V839,"")</f>
        <v/>
      </c>
      <c r="AA839" s="27">
        <f>IF(ISNUMBER($W839),$A839&amp;"|"&amp;$W839,"")</f>
        <v/>
      </c>
      <c r="AB839" s="27">
        <f>IF(ISNUMBER($F839),$A839&amp;"|"&amp;$F839,"")</f>
        <v/>
      </c>
      <c r="AC839" s="27">
        <f>IF(ISNUMBER($P839),COUNTIFS($A$14:$A$1213,$A839,$P$14:$P$1213,"&gt;"&amp;$P839)+(COUNTIFS($A$14:$A$1213,$A839,$P$14:$P$1213,"="&amp;$P839)+1)/2,"")</f>
        <v/>
      </c>
      <c r="AD839" s="27">
        <f>IF(ISNUMBER($Q839),COUNTIFS($A$14:$A$1213,$A839,$Q$14:$Q$1213,"&gt;"&amp;$Q839)+(COUNTIFS($A$14:$A$1213,$A839,$Q$14:$Q$1213,"="&amp;$Q839)+1)/2,"")</f>
        <v/>
      </c>
      <c r="AE839" s="27">
        <f>IF(ISNUMBER($R839),COUNTIFS($A$14:$A$1213,$A839,$R$14:$R$1213,"&gt;"&amp;$R839)+(COUNTIFS($A$14:$A$1213,$A839,$R$14:$R$1213,"="&amp;$R839)+1)/2,"")</f>
        <v/>
      </c>
      <c r="AF839" s="27">
        <f>IF(ISNUMBER($S839),COUNTIFS($A$14:$A$1213,$A839,$S$14:$S$1213,"&gt;"&amp;$S839)+(COUNTIFS($A$14:$A$1213,$A839,$S$14:$S$1213,"="&amp;$S839)+1)/2,"")</f>
        <v/>
      </c>
      <c r="AG839" s="27">
        <f>IF(ISNUMBER($T839),COUNTIFS($A$14:$A$1213,$A839,$T$14:$T$1213,"&gt;"&amp;$T839)+(COUNTIFS($A$14:$A$1213,$A839,$T$14:$T$1213,"="&amp;$T839)+1)/2,"")</f>
        <v/>
      </c>
      <c r="AH839" s="27">
        <f>IF(COUNT($AC839:$AG839)&lt;2,"",IF(MAX($AC839:$AG839)=MIN($AC839:$AG839),0,1))</f>
        <v/>
      </c>
      <c r="AI839" s="27">
        <f>IF($A839="","",IF(COUNTIF($A$14:$A839,$A839)=1,COUNTIF($AI$13:AI838,"&gt;0")+1,""))</f>
        <v/>
      </c>
      <c r="AO839" s="27">
        <f>IF($A839="","",IF(AND(COUNTIFS($A$14:$A$1213,$A839,$F$14:$F$1213,"&gt;=0")=2,IFERROR(INDEX($M$14:$M$313,MATCH($A839,$H$14:$H$313,0)),"Yes")&lt;&gt;"Yes"),1,0))</f>
        <v/>
      </c>
    </row>
    <row r="840">
      <c r="A840" s="19">
        <f>IF('Enter messages'!A840="","",'Enter messages'!A840)</f>
        <v/>
      </c>
      <c r="B840" s="20">
        <f>IF('Enter messages'!B840="","",'Enter messages'!B840)</f>
        <v/>
      </c>
      <c r="C840" s="21">
        <f>IFERROR(AVERAGE(P840:T840),"")</f>
        <v/>
      </c>
      <c r="D840" s="29" t="n"/>
      <c r="E840" s="29" t="n"/>
      <c r="F840" s="30">
        <f>IF(AND(ISNUMBER($D840),ISNUMBER($E840),$E840&gt;0,$D840&lt;=$E840),$D840/$E840,"")</f>
        <v/>
      </c>
      <c r="P840" s="26" t="n"/>
      <c r="Q840" s="26" t="n"/>
      <c r="R840" s="26" t="n"/>
      <c r="S840" s="26" t="n"/>
      <c r="T840" s="26" t="n"/>
      <c r="V840" s="27">
        <f>IF(ISNUMBER($C840),COUNTIFS($A$14:$A$1213,$A840,$C$14:$C$1213,"&gt;"&amp;$C840)+(COUNTIFS($A$14:$A$1213,$A840,$C$14:$C$1213,"="&amp;$C840)+1)/2,"")</f>
        <v/>
      </c>
      <c r="W840" s="27">
        <f>IF(ISNUMBER($F840),COUNTIFS($A$14:$A$1213,$A840,$F$14:$F$1213,"&gt;"&amp;$F840)+(COUNTIFS($A$14:$A$1213,$A840,$F$14:$F$1213,"="&amp;$F840)+1)/2,"")</f>
        <v/>
      </c>
      <c r="X840" s="27">
        <f>IF(OR(NOT(ISNUMBER($V840)),$AO840=1),"",$V840-(COUNTIFS($A$14:$A$1213,$A840,$C$14:$C$1213,"&gt;=0")+1)/2)</f>
        <v/>
      </c>
      <c r="Y840" s="27">
        <f>IF(OR(NOT(ISNUMBER($W840)),$AO840=1),"",$W840-(COUNTIFS($A$14:$A$1213,$A840,$F$14:$F$1213,"&gt;=0")+1)/2)</f>
        <v/>
      </c>
      <c r="Z840" s="27">
        <f>IF(ISNUMBER($V840),$A840&amp;"|"&amp;$V840,"")</f>
        <v/>
      </c>
      <c r="AA840" s="27">
        <f>IF(ISNUMBER($W840),$A840&amp;"|"&amp;$W840,"")</f>
        <v/>
      </c>
      <c r="AB840" s="27">
        <f>IF(ISNUMBER($F840),$A840&amp;"|"&amp;$F840,"")</f>
        <v/>
      </c>
      <c r="AC840" s="27">
        <f>IF(ISNUMBER($P840),COUNTIFS($A$14:$A$1213,$A840,$P$14:$P$1213,"&gt;"&amp;$P840)+(COUNTIFS($A$14:$A$1213,$A840,$P$14:$P$1213,"="&amp;$P840)+1)/2,"")</f>
        <v/>
      </c>
      <c r="AD840" s="27">
        <f>IF(ISNUMBER($Q840),COUNTIFS($A$14:$A$1213,$A840,$Q$14:$Q$1213,"&gt;"&amp;$Q840)+(COUNTIFS($A$14:$A$1213,$A840,$Q$14:$Q$1213,"="&amp;$Q840)+1)/2,"")</f>
        <v/>
      </c>
      <c r="AE840" s="27">
        <f>IF(ISNUMBER($R840),COUNTIFS($A$14:$A$1213,$A840,$R$14:$R$1213,"&gt;"&amp;$R840)+(COUNTIFS($A$14:$A$1213,$A840,$R$14:$R$1213,"="&amp;$R840)+1)/2,"")</f>
        <v/>
      </c>
      <c r="AF840" s="27">
        <f>IF(ISNUMBER($S840),COUNTIFS($A$14:$A$1213,$A840,$S$14:$S$1213,"&gt;"&amp;$S840)+(COUNTIFS($A$14:$A$1213,$A840,$S$14:$S$1213,"="&amp;$S840)+1)/2,"")</f>
        <v/>
      </c>
      <c r="AG840" s="27">
        <f>IF(ISNUMBER($T840),COUNTIFS($A$14:$A$1213,$A840,$T$14:$T$1213,"&gt;"&amp;$T840)+(COUNTIFS($A$14:$A$1213,$A840,$T$14:$T$1213,"="&amp;$T840)+1)/2,"")</f>
        <v/>
      </c>
      <c r="AH840" s="27">
        <f>IF(COUNT($AC840:$AG840)&lt;2,"",IF(MAX($AC840:$AG840)=MIN($AC840:$AG840),0,1))</f>
        <v/>
      </c>
      <c r="AI840" s="27">
        <f>IF($A840="","",IF(COUNTIF($A$14:$A840,$A840)=1,COUNTIF($AI$13:AI839,"&gt;0")+1,""))</f>
        <v/>
      </c>
      <c r="AO840" s="27">
        <f>IF($A840="","",IF(AND(COUNTIFS($A$14:$A$1213,$A840,$F$14:$F$1213,"&gt;=0")=2,IFERROR(INDEX($M$14:$M$313,MATCH($A840,$H$14:$H$313,0)),"Yes")&lt;&gt;"Yes"),1,0))</f>
        <v/>
      </c>
    </row>
    <row r="841">
      <c r="A841" s="19">
        <f>IF('Enter messages'!A841="","",'Enter messages'!A841)</f>
        <v/>
      </c>
      <c r="B841" s="20">
        <f>IF('Enter messages'!B841="","",'Enter messages'!B841)</f>
        <v/>
      </c>
      <c r="C841" s="21">
        <f>IFERROR(AVERAGE(P841:T841),"")</f>
        <v/>
      </c>
      <c r="D841" s="29" t="n"/>
      <c r="E841" s="29" t="n"/>
      <c r="F841" s="30">
        <f>IF(AND(ISNUMBER($D841),ISNUMBER($E841),$E841&gt;0,$D841&lt;=$E841),$D841/$E841,"")</f>
        <v/>
      </c>
      <c r="P841" s="26" t="n"/>
      <c r="Q841" s="26" t="n"/>
      <c r="R841" s="26" t="n"/>
      <c r="S841" s="26" t="n"/>
      <c r="T841" s="26" t="n"/>
      <c r="V841" s="27">
        <f>IF(ISNUMBER($C841),COUNTIFS($A$14:$A$1213,$A841,$C$14:$C$1213,"&gt;"&amp;$C841)+(COUNTIFS($A$14:$A$1213,$A841,$C$14:$C$1213,"="&amp;$C841)+1)/2,"")</f>
        <v/>
      </c>
      <c r="W841" s="27">
        <f>IF(ISNUMBER($F841),COUNTIFS($A$14:$A$1213,$A841,$F$14:$F$1213,"&gt;"&amp;$F841)+(COUNTIFS($A$14:$A$1213,$A841,$F$14:$F$1213,"="&amp;$F841)+1)/2,"")</f>
        <v/>
      </c>
      <c r="X841" s="27">
        <f>IF(OR(NOT(ISNUMBER($V841)),$AO841=1),"",$V841-(COUNTIFS($A$14:$A$1213,$A841,$C$14:$C$1213,"&gt;=0")+1)/2)</f>
        <v/>
      </c>
      <c r="Y841" s="27">
        <f>IF(OR(NOT(ISNUMBER($W841)),$AO841=1),"",$W841-(COUNTIFS($A$14:$A$1213,$A841,$F$14:$F$1213,"&gt;=0")+1)/2)</f>
        <v/>
      </c>
      <c r="Z841" s="27">
        <f>IF(ISNUMBER($V841),$A841&amp;"|"&amp;$V841,"")</f>
        <v/>
      </c>
      <c r="AA841" s="27">
        <f>IF(ISNUMBER($W841),$A841&amp;"|"&amp;$W841,"")</f>
        <v/>
      </c>
      <c r="AB841" s="27">
        <f>IF(ISNUMBER($F841),$A841&amp;"|"&amp;$F841,"")</f>
        <v/>
      </c>
      <c r="AC841" s="27">
        <f>IF(ISNUMBER($P841),COUNTIFS($A$14:$A$1213,$A841,$P$14:$P$1213,"&gt;"&amp;$P841)+(COUNTIFS($A$14:$A$1213,$A841,$P$14:$P$1213,"="&amp;$P841)+1)/2,"")</f>
        <v/>
      </c>
      <c r="AD841" s="27">
        <f>IF(ISNUMBER($Q841),COUNTIFS($A$14:$A$1213,$A841,$Q$14:$Q$1213,"&gt;"&amp;$Q841)+(COUNTIFS($A$14:$A$1213,$A841,$Q$14:$Q$1213,"="&amp;$Q841)+1)/2,"")</f>
        <v/>
      </c>
      <c r="AE841" s="27">
        <f>IF(ISNUMBER($R841),COUNTIFS($A$14:$A$1213,$A841,$R$14:$R$1213,"&gt;"&amp;$R841)+(COUNTIFS($A$14:$A$1213,$A841,$R$14:$R$1213,"="&amp;$R841)+1)/2,"")</f>
        <v/>
      </c>
      <c r="AF841" s="27">
        <f>IF(ISNUMBER($S841),COUNTIFS($A$14:$A$1213,$A841,$S$14:$S$1213,"&gt;"&amp;$S841)+(COUNTIFS($A$14:$A$1213,$A841,$S$14:$S$1213,"="&amp;$S841)+1)/2,"")</f>
        <v/>
      </c>
      <c r="AG841" s="27">
        <f>IF(ISNUMBER($T841),COUNTIFS($A$14:$A$1213,$A841,$T$14:$T$1213,"&gt;"&amp;$T841)+(COUNTIFS($A$14:$A$1213,$A841,$T$14:$T$1213,"="&amp;$T841)+1)/2,"")</f>
        <v/>
      </c>
      <c r="AH841" s="27">
        <f>IF(COUNT($AC841:$AG841)&lt;2,"",IF(MAX($AC841:$AG841)=MIN($AC841:$AG841),0,1))</f>
        <v/>
      </c>
      <c r="AI841" s="27">
        <f>IF($A841="","",IF(COUNTIF($A$14:$A841,$A841)=1,COUNTIF($AI$13:AI840,"&gt;0")+1,""))</f>
        <v/>
      </c>
      <c r="AO841" s="27">
        <f>IF($A841="","",IF(AND(COUNTIFS($A$14:$A$1213,$A841,$F$14:$F$1213,"&gt;=0")=2,IFERROR(INDEX($M$14:$M$313,MATCH($A841,$H$14:$H$313,0)),"Yes")&lt;&gt;"Yes"),1,0))</f>
        <v/>
      </c>
    </row>
    <row r="842">
      <c r="A842" s="19">
        <f>IF('Enter messages'!A842="","",'Enter messages'!A842)</f>
        <v/>
      </c>
      <c r="B842" s="20">
        <f>IF('Enter messages'!B842="","",'Enter messages'!B842)</f>
        <v/>
      </c>
      <c r="C842" s="21">
        <f>IFERROR(AVERAGE(P842:T842),"")</f>
        <v/>
      </c>
      <c r="D842" s="29" t="n"/>
      <c r="E842" s="29" t="n"/>
      <c r="F842" s="30">
        <f>IF(AND(ISNUMBER($D842),ISNUMBER($E842),$E842&gt;0,$D842&lt;=$E842),$D842/$E842,"")</f>
        <v/>
      </c>
      <c r="P842" s="26" t="n"/>
      <c r="Q842" s="26" t="n"/>
      <c r="R842" s="26" t="n"/>
      <c r="S842" s="26" t="n"/>
      <c r="T842" s="26" t="n"/>
      <c r="V842" s="27">
        <f>IF(ISNUMBER($C842),COUNTIFS($A$14:$A$1213,$A842,$C$14:$C$1213,"&gt;"&amp;$C842)+(COUNTIFS($A$14:$A$1213,$A842,$C$14:$C$1213,"="&amp;$C842)+1)/2,"")</f>
        <v/>
      </c>
      <c r="W842" s="27">
        <f>IF(ISNUMBER($F842),COUNTIFS($A$14:$A$1213,$A842,$F$14:$F$1213,"&gt;"&amp;$F842)+(COUNTIFS($A$14:$A$1213,$A842,$F$14:$F$1213,"="&amp;$F842)+1)/2,"")</f>
        <v/>
      </c>
      <c r="X842" s="27">
        <f>IF(OR(NOT(ISNUMBER($V842)),$AO842=1),"",$V842-(COUNTIFS($A$14:$A$1213,$A842,$C$14:$C$1213,"&gt;=0")+1)/2)</f>
        <v/>
      </c>
      <c r="Y842" s="27">
        <f>IF(OR(NOT(ISNUMBER($W842)),$AO842=1),"",$W842-(COUNTIFS($A$14:$A$1213,$A842,$F$14:$F$1213,"&gt;=0")+1)/2)</f>
        <v/>
      </c>
      <c r="Z842" s="27">
        <f>IF(ISNUMBER($V842),$A842&amp;"|"&amp;$V842,"")</f>
        <v/>
      </c>
      <c r="AA842" s="27">
        <f>IF(ISNUMBER($W842),$A842&amp;"|"&amp;$W842,"")</f>
        <v/>
      </c>
      <c r="AB842" s="27">
        <f>IF(ISNUMBER($F842),$A842&amp;"|"&amp;$F842,"")</f>
        <v/>
      </c>
      <c r="AC842" s="27">
        <f>IF(ISNUMBER($P842),COUNTIFS($A$14:$A$1213,$A842,$P$14:$P$1213,"&gt;"&amp;$P842)+(COUNTIFS($A$14:$A$1213,$A842,$P$14:$P$1213,"="&amp;$P842)+1)/2,"")</f>
        <v/>
      </c>
      <c r="AD842" s="27">
        <f>IF(ISNUMBER($Q842),COUNTIFS($A$14:$A$1213,$A842,$Q$14:$Q$1213,"&gt;"&amp;$Q842)+(COUNTIFS($A$14:$A$1213,$A842,$Q$14:$Q$1213,"="&amp;$Q842)+1)/2,"")</f>
        <v/>
      </c>
      <c r="AE842" s="27">
        <f>IF(ISNUMBER($R842),COUNTIFS($A$14:$A$1213,$A842,$R$14:$R$1213,"&gt;"&amp;$R842)+(COUNTIFS($A$14:$A$1213,$A842,$R$14:$R$1213,"="&amp;$R842)+1)/2,"")</f>
        <v/>
      </c>
      <c r="AF842" s="27">
        <f>IF(ISNUMBER($S842),COUNTIFS($A$14:$A$1213,$A842,$S$14:$S$1213,"&gt;"&amp;$S842)+(COUNTIFS($A$14:$A$1213,$A842,$S$14:$S$1213,"="&amp;$S842)+1)/2,"")</f>
        <v/>
      </c>
      <c r="AG842" s="27">
        <f>IF(ISNUMBER($T842),COUNTIFS($A$14:$A$1213,$A842,$T$14:$T$1213,"&gt;"&amp;$T842)+(COUNTIFS($A$14:$A$1213,$A842,$T$14:$T$1213,"="&amp;$T842)+1)/2,"")</f>
        <v/>
      </c>
      <c r="AH842" s="27">
        <f>IF(COUNT($AC842:$AG842)&lt;2,"",IF(MAX($AC842:$AG842)=MIN($AC842:$AG842),0,1))</f>
        <v/>
      </c>
      <c r="AI842" s="27">
        <f>IF($A842="","",IF(COUNTIF($A$14:$A842,$A842)=1,COUNTIF($AI$13:AI841,"&gt;0")+1,""))</f>
        <v/>
      </c>
      <c r="AO842" s="27">
        <f>IF($A842="","",IF(AND(COUNTIFS($A$14:$A$1213,$A842,$F$14:$F$1213,"&gt;=0")=2,IFERROR(INDEX($M$14:$M$313,MATCH($A842,$H$14:$H$313,0)),"Yes")&lt;&gt;"Yes"),1,0))</f>
        <v/>
      </c>
    </row>
    <row r="843">
      <c r="A843" s="19">
        <f>IF('Enter messages'!A843="","",'Enter messages'!A843)</f>
        <v/>
      </c>
      <c r="B843" s="20">
        <f>IF('Enter messages'!B843="","",'Enter messages'!B843)</f>
        <v/>
      </c>
      <c r="C843" s="21">
        <f>IFERROR(AVERAGE(P843:T843),"")</f>
        <v/>
      </c>
      <c r="D843" s="29" t="n"/>
      <c r="E843" s="29" t="n"/>
      <c r="F843" s="30">
        <f>IF(AND(ISNUMBER($D843),ISNUMBER($E843),$E843&gt;0,$D843&lt;=$E843),$D843/$E843,"")</f>
        <v/>
      </c>
      <c r="P843" s="26" t="n"/>
      <c r="Q843" s="26" t="n"/>
      <c r="R843" s="26" t="n"/>
      <c r="S843" s="26" t="n"/>
      <c r="T843" s="26" t="n"/>
      <c r="V843" s="27">
        <f>IF(ISNUMBER($C843),COUNTIFS($A$14:$A$1213,$A843,$C$14:$C$1213,"&gt;"&amp;$C843)+(COUNTIFS($A$14:$A$1213,$A843,$C$14:$C$1213,"="&amp;$C843)+1)/2,"")</f>
        <v/>
      </c>
      <c r="W843" s="27">
        <f>IF(ISNUMBER($F843),COUNTIFS($A$14:$A$1213,$A843,$F$14:$F$1213,"&gt;"&amp;$F843)+(COUNTIFS($A$14:$A$1213,$A843,$F$14:$F$1213,"="&amp;$F843)+1)/2,"")</f>
        <v/>
      </c>
      <c r="X843" s="27">
        <f>IF(OR(NOT(ISNUMBER($V843)),$AO843=1),"",$V843-(COUNTIFS($A$14:$A$1213,$A843,$C$14:$C$1213,"&gt;=0")+1)/2)</f>
        <v/>
      </c>
      <c r="Y843" s="27">
        <f>IF(OR(NOT(ISNUMBER($W843)),$AO843=1),"",$W843-(COUNTIFS($A$14:$A$1213,$A843,$F$14:$F$1213,"&gt;=0")+1)/2)</f>
        <v/>
      </c>
      <c r="Z843" s="27">
        <f>IF(ISNUMBER($V843),$A843&amp;"|"&amp;$V843,"")</f>
        <v/>
      </c>
      <c r="AA843" s="27">
        <f>IF(ISNUMBER($W843),$A843&amp;"|"&amp;$W843,"")</f>
        <v/>
      </c>
      <c r="AB843" s="27">
        <f>IF(ISNUMBER($F843),$A843&amp;"|"&amp;$F843,"")</f>
        <v/>
      </c>
      <c r="AC843" s="27">
        <f>IF(ISNUMBER($P843),COUNTIFS($A$14:$A$1213,$A843,$P$14:$P$1213,"&gt;"&amp;$P843)+(COUNTIFS($A$14:$A$1213,$A843,$P$14:$P$1213,"="&amp;$P843)+1)/2,"")</f>
        <v/>
      </c>
      <c r="AD843" s="27">
        <f>IF(ISNUMBER($Q843),COUNTIFS($A$14:$A$1213,$A843,$Q$14:$Q$1213,"&gt;"&amp;$Q843)+(COUNTIFS($A$14:$A$1213,$A843,$Q$14:$Q$1213,"="&amp;$Q843)+1)/2,"")</f>
        <v/>
      </c>
      <c r="AE843" s="27">
        <f>IF(ISNUMBER($R843),COUNTIFS($A$14:$A$1213,$A843,$R$14:$R$1213,"&gt;"&amp;$R843)+(COUNTIFS($A$14:$A$1213,$A843,$R$14:$R$1213,"="&amp;$R843)+1)/2,"")</f>
        <v/>
      </c>
      <c r="AF843" s="27">
        <f>IF(ISNUMBER($S843),COUNTIFS($A$14:$A$1213,$A843,$S$14:$S$1213,"&gt;"&amp;$S843)+(COUNTIFS($A$14:$A$1213,$A843,$S$14:$S$1213,"="&amp;$S843)+1)/2,"")</f>
        <v/>
      </c>
      <c r="AG843" s="27">
        <f>IF(ISNUMBER($T843),COUNTIFS($A$14:$A$1213,$A843,$T$14:$T$1213,"&gt;"&amp;$T843)+(COUNTIFS($A$14:$A$1213,$A843,$T$14:$T$1213,"="&amp;$T843)+1)/2,"")</f>
        <v/>
      </c>
      <c r="AH843" s="27">
        <f>IF(COUNT($AC843:$AG843)&lt;2,"",IF(MAX($AC843:$AG843)=MIN($AC843:$AG843),0,1))</f>
        <v/>
      </c>
      <c r="AI843" s="27">
        <f>IF($A843="","",IF(COUNTIF($A$14:$A843,$A843)=1,COUNTIF($AI$13:AI842,"&gt;0")+1,""))</f>
        <v/>
      </c>
      <c r="AO843" s="27">
        <f>IF($A843="","",IF(AND(COUNTIFS($A$14:$A$1213,$A843,$F$14:$F$1213,"&gt;=0")=2,IFERROR(INDEX($M$14:$M$313,MATCH($A843,$H$14:$H$313,0)),"Yes")&lt;&gt;"Yes"),1,0))</f>
        <v/>
      </c>
    </row>
    <row r="844">
      <c r="A844" s="19">
        <f>IF('Enter messages'!A844="","",'Enter messages'!A844)</f>
        <v/>
      </c>
      <c r="B844" s="20">
        <f>IF('Enter messages'!B844="","",'Enter messages'!B844)</f>
        <v/>
      </c>
      <c r="C844" s="21">
        <f>IFERROR(AVERAGE(P844:T844),"")</f>
        <v/>
      </c>
      <c r="D844" s="29" t="n"/>
      <c r="E844" s="29" t="n"/>
      <c r="F844" s="30">
        <f>IF(AND(ISNUMBER($D844),ISNUMBER($E844),$E844&gt;0,$D844&lt;=$E844),$D844/$E844,"")</f>
        <v/>
      </c>
      <c r="P844" s="26" t="n"/>
      <c r="Q844" s="26" t="n"/>
      <c r="R844" s="26" t="n"/>
      <c r="S844" s="26" t="n"/>
      <c r="T844" s="26" t="n"/>
      <c r="V844" s="27">
        <f>IF(ISNUMBER($C844),COUNTIFS($A$14:$A$1213,$A844,$C$14:$C$1213,"&gt;"&amp;$C844)+(COUNTIFS($A$14:$A$1213,$A844,$C$14:$C$1213,"="&amp;$C844)+1)/2,"")</f>
        <v/>
      </c>
      <c r="W844" s="27">
        <f>IF(ISNUMBER($F844),COUNTIFS($A$14:$A$1213,$A844,$F$14:$F$1213,"&gt;"&amp;$F844)+(COUNTIFS($A$14:$A$1213,$A844,$F$14:$F$1213,"="&amp;$F844)+1)/2,"")</f>
        <v/>
      </c>
      <c r="X844" s="27">
        <f>IF(OR(NOT(ISNUMBER($V844)),$AO844=1),"",$V844-(COUNTIFS($A$14:$A$1213,$A844,$C$14:$C$1213,"&gt;=0")+1)/2)</f>
        <v/>
      </c>
      <c r="Y844" s="27">
        <f>IF(OR(NOT(ISNUMBER($W844)),$AO844=1),"",$W844-(COUNTIFS($A$14:$A$1213,$A844,$F$14:$F$1213,"&gt;=0")+1)/2)</f>
        <v/>
      </c>
      <c r="Z844" s="27">
        <f>IF(ISNUMBER($V844),$A844&amp;"|"&amp;$V844,"")</f>
        <v/>
      </c>
      <c r="AA844" s="27">
        <f>IF(ISNUMBER($W844),$A844&amp;"|"&amp;$W844,"")</f>
        <v/>
      </c>
      <c r="AB844" s="27">
        <f>IF(ISNUMBER($F844),$A844&amp;"|"&amp;$F844,"")</f>
        <v/>
      </c>
      <c r="AC844" s="27">
        <f>IF(ISNUMBER($P844),COUNTIFS($A$14:$A$1213,$A844,$P$14:$P$1213,"&gt;"&amp;$P844)+(COUNTIFS($A$14:$A$1213,$A844,$P$14:$P$1213,"="&amp;$P844)+1)/2,"")</f>
        <v/>
      </c>
      <c r="AD844" s="27">
        <f>IF(ISNUMBER($Q844),COUNTIFS($A$14:$A$1213,$A844,$Q$14:$Q$1213,"&gt;"&amp;$Q844)+(COUNTIFS($A$14:$A$1213,$A844,$Q$14:$Q$1213,"="&amp;$Q844)+1)/2,"")</f>
        <v/>
      </c>
      <c r="AE844" s="27">
        <f>IF(ISNUMBER($R844),COUNTIFS($A$14:$A$1213,$A844,$R$14:$R$1213,"&gt;"&amp;$R844)+(COUNTIFS($A$14:$A$1213,$A844,$R$14:$R$1213,"="&amp;$R844)+1)/2,"")</f>
        <v/>
      </c>
      <c r="AF844" s="27">
        <f>IF(ISNUMBER($S844),COUNTIFS($A$14:$A$1213,$A844,$S$14:$S$1213,"&gt;"&amp;$S844)+(COUNTIFS($A$14:$A$1213,$A844,$S$14:$S$1213,"="&amp;$S844)+1)/2,"")</f>
        <v/>
      </c>
      <c r="AG844" s="27">
        <f>IF(ISNUMBER($T844),COUNTIFS($A$14:$A$1213,$A844,$T$14:$T$1213,"&gt;"&amp;$T844)+(COUNTIFS($A$14:$A$1213,$A844,$T$14:$T$1213,"="&amp;$T844)+1)/2,"")</f>
        <v/>
      </c>
      <c r="AH844" s="27">
        <f>IF(COUNT($AC844:$AG844)&lt;2,"",IF(MAX($AC844:$AG844)=MIN($AC844:$AG844),0,1))</f>
        <v/>
      </c>
      <c r="AI844" s="27">
        <f>IF($A844="","",IF(COUNTIF($A$14:$A844,$A844)=1,COUNTIF($AI$13:AI843,"&gt;0")+1,""))</f>
        <v/>
      </c>
      <c r="AO844" s="27">
        <f>IF($A844="","",IF(AND(COUNTIFS($A$14:$A$1213,$A844,$F$14:$F$1213,"&gt;=0")=2,IFERROR(INDEX($M$14:$M$313,MATCH($A844,$H$14:$H$313,0)),"Yes")&lt;&gt;"Yes"),1,0))</f>
        <v/>
      </c>
    </row>
    <row r="845">
      <c r="A845" s="19">
        <f>IF('Enter messages'!A845="","",'Enter messages'!A845)</f>
        <v/>
      </c>
      <c r="B845" s="20">
        <f>IF('Enter messages'!B845="","",'Enter messages'!B845)</f>
        <v/>
      </c>
      <c r="C845" s="21">
        <f>IFERROR(AVERAGE(P845:T845),"")</f>
        <v/>
      </c>
      <c r="D845" s="29" t="n"/>
      <c r="E845" s="29" t="n"/>
      <c r="F845" s="30">
        <f>IF(AND(ISNUMBER($D845),ISNUMBER($E845),$E845&gt;0,$D845&lt;=$E845),$D845/$E845,"")</f>
        <v/>
      </c>
      <c r="P845" s="26" t="n"/>
      <c r="Q845" s="26" t="n"/>
      <c r="R845" s="26" t="n"/>
      <c r="S845" s="26" t="n"/>
      <c r="T845" s="26" t="n"/>
      <c r="V845" s="27">
        <f>IF(ISNUMBER($C845),COUNTIFS($A$14:$A$1213,$A845,$C$14:$C$1213,"&gt;"&amp;$C845)+(COUNTIFS($A$14:$A$1213,$A845,$C$14:$C$1213,"="&amp;$C845)+1)/2,"")</f>
        <v/>
      </c>
      <c r="W845" s="27">
        <f>IF(ISNUMBER($F845),COUNTIFS($A$14:$A$1213,$A845,$F$14:$F$1213,"&gt;"&amp;$F845)+(COUNTIFS($A$14:$A$1213,$A845,$F$14:$F$1213,"="&amp;$F845)+1)/2,"")</f>
        <v/>
      </c>
      <c r="X845" s="27">
        <f>IF(OR(NOT(ISNUMBER($V845)),$AO845=1),"",$V845-(COUNTIFS($A$14:$A$1213,$A845,$C$14:$C$1213,"&gt;=0")+1)/2)</f>
        <v/>
      </c>
      <c r="Y845" s="27">
        <f>IF(OR(NOT(ISNUMBER($W845)),$AO845=1),"",$W845-(COUNTIFS($A$14:$A$1213,$A845,$F$14:$F$1213,"&gt;=0")+1)/2)</f>
        <v/>
      </c>
      <c r="Z845" s="27">
        <f>IF(ISNUMBER($V845),$A845&amp;"|"&amp;$V845,"")</f>
        <v/>
      </c>
      <c r="AA845" s="27">
        <f>IF(ISNUMBER($W845),$A845&amp;"|"&amp;$W845,"")</f>
        <v/>
      </c>
      <c r="AB845" s="27">
        <f>IF(ISNUMBER($F845),$A845&amp;"|"&amp;$F845,"")</f>
        <v/>
      </c>
      <c r="AC845" s="27">
        <f>IF(ISNUMBER($P845),COUNTIFS($A$14:$A$1213,$A845,$P$14:$P$1213,"&gt;"&amp;$P845)+(COUNTIFS($A$14:$A$1213,$A845,$P$14:$P$1213,"="&amp;$P845)+1)/2,"")</f>
        <v/>
      </c>
      <c r="AD845" s="27">
        <f>IF(ISNUMBER($Q845),COUNTIFS($A$14:$A$1213,$A845,$Q$14:$Q$1213,"&gt;"&amp;$Q845)+(COUNTIFS($A$14:$A$1213,$A845,$Q$14:$Q$1213,"="&amp;$Q845)+1)/2,"")</f>
        <v/>
      </c>
      <c r="AE845" s="27">
        <f>IF(ISNUMBER($R845),COUNTIFS($A$14:$A$1213,$A845,$R$14:$R$1213,"&gt;"&amp;$R845)+(COUNTIFS($A$14:$A$1213,$A845,$R$14:$R$1213,"="&amp;$R845)+1)/2,"")</f>
        <v/>
      </c>
      <c r="AF845" s="27">
        <f>IF(ISNUMBER($S845),COUNTIFS($A$14:$A$1213,$A845,$S$14:$S$1213,"&gt;"&amp;$S845)+(COUNTIFS($A$14:$A$1213,$A845,$S$14:$S$1213,"="&amp;$S845)+1)/2,"")</f>
        <v/>
      </c>
      <c r="AG845" s="27">
        <f>IF(ISNUMBER($T845),COUNTIFS($A$14:$A$1213,$A845,$T$14:$T$1213,"&gt;"&amp;$T845)+(COUNTIFS($A$14:$A$1213,$A845,$T$14:$T$1213,"="&amp;$T845)+1)/2,"")</f>
        <v/>
      </c>
      <c r="AH845" s="27">
        <f>IF(COUNT($AC845:$AG845)&lt;2,"",IF(MAX($AC845:$AG845)=MIN($AC845:$AG845),0,1))</f>
        <v/>
      </c>
      <c r="AI845" s="27">
        <f>IF($A845="","",IF(COUNTIF($A$14:$A845,$A845)=1,COUNTIF($AI$13:AI844,"&gt;0")+1,""))</f>
        <v/>
      </c>
      <c r="AO845" s="27">
        <f>IF($A845="","",IF(AND(COUNTIFS($A$14:$A$1213,$A845,$F$14:$F$1213,"&gt;=0")=2,IFERROR(INDEX($M$14:$M$313,MATCH($A845,$H$14:$H$313,0)),"Yes")&lt;&gt;"Yes"),1,0))</f>
        <v/>
      </c>
    </row>
    <row r="846">
      <c r="A846" s="19">
        <f>IF('Enter messages'!A846="","",'Enter messages'!A846)</f>
        <v/>
      </c>
      <c r="B846" s="20">
        <f>IF('Enter messages'!B846="","",'Enter messages'!B846)</f>
        <v/>
      </c>
      <c r="C846" s="21">
        <f>IFERROR(AVERAGE(P846:T846),"")</f>
        <v/>
      </c>
      <c r="D846" s="29" t="n"/>
      <c r="E846" s="29" t="n"/>
      <c r="F846" s="30">
        <f>IF(AND(ISNUMBER($D846),ISNUMBER($E846),$E846&gt;0,$D846&lt;=$E846),$D846/$E846,"")</f>
        <v/>
      </c>
      <c r="P846" s="26" t="n"/>
      <c r="Q846" s="26" t="n"/>
      <c r="R846" s="26" t="n"/>
      <c r="S846" s="26" t="n"/>
      <c r="T846" s="26" t="n"/>
      <c r="V846" s="27">
        <f>IF(ISNUMBER($C846),COUNTIFS($A$14:$A$1213,$A846,$C$14:$C$1213,"&gt;"&amp;$C846)+(COUNTIFS($A$14:$A$1213,$A846,$C$14:$C$1213,"="&amp;$C846)+1)/2,"")</f>
        <v/>
      </c>
      <c r="W846" s="27">
        <f>IF(ISNUMBER($F846),COUNTIFS($A$14:$A$1213,$A846,$F$14:$F$1213,"&gt;"&amp;$F846)+(COUNTIFS($A$14:$A$1213,$A846,$F$14:$F$1213,"="&amp;$F846)+1)/2,"")</f>
        <v/>
      </c>
      <c r="X846" s="27">
        <f>IF(OR(NOT(ISNUMBER($V846)),$AO846=1),"",$V846-(COUNTIFS($A$14:$A$1213,$A846,$C$14:$C$1213,"&gt;=0")+1)/2)</f>
        <v/>
      </c>
      <c r="Y846" s="27">
        <f>IF(OR(NOT(ISNUMBER($W846)),$AO846=1),"",$W846-(COUNTIFS($A$14:$A$1213,$A846,$F$14:$F$1213,"&gt;=0")+1)/2)</f>
        <v/>
      </c>
      <c r="Z846" s="27">
        <f>IF(ISNUMBER($V846),$A846&amp;"|"&amp;$V846,"")</f>
        <v/>
      </c>
      <c r="AA846" s="27">
        <f>IF(ISNUMBER($W846),$A846&amp;"|"&amp;$W846,"")</f>
        <v/>
      </c>
      <c r="AB846" s="27">
        <f>IF(ISNUMBER($F846),$A846&amp;"|"&amp;$F846,"")</f>
        <v/>
      </c>
      <c r="AC846" s="27">
        <f>IF(ISNUMBER($P846),COUNTIFS($A$14:$A$1213,$A846,$P$14:$P$1213,"&gt;"&amp;$P846)+(COUNTIFS($A$14:$A$1213,$A846,$P$14:$P$1213,"="&amp;$P846)+1)/2,"")</f>
        <v/>
      </c>
      <c r="AD846" s="27">
        <f>IF(ISNUMBER($Q846),COUNTIFS($A$14:$A$1213,$A846,$Q$14:$Q$1213,"&gt;"&amp;$Q846)+(COUNTIFS($A$14:$A$1213,$A846,$Q$14:$Q$1213,"="&amp;$Q846)+1)/2,"")</f>
        <v/>
      </c>
      <c r="AE846" s="27">
        <f>IF(ISNUMBER($R846),COUNTIFS($A$14:$A$1213,$A846,$R$14:$R$1213,"&gt;"&amp;$R846)+(COUNTIFS($A$14:$A$1213,$A846,$R$14:$R$1213,"="&amp;$R846)+1)/2,"")</f>
        <v/>
      </c>
      <c r="AF846" s="27">
        <f>IF(ISNUMBER($S846),COUNTIFS($A$14:$A$1213,$A846,$S$14:$S$1213,"&gt;"&amp;$S846)+(COUNTIFS($A$14:$A$1213,$A846,$S$14:$S$1213,"="&amp;$S846)+1)/2,"")</f>
        <v/>
      </c>
      <c r="AG846" s="27">
        <f>IF(ISNUMBER($T846),COUNTIFS($A$14:$A$1213,$A846,$T$14:$T$1213,"&gt;"&amp;$T846)+(COUNTIFS($A$14:$A$1213,$A846,$T$14:$T$1213,"="&amp;$T846)+1)/2,"")</f>
        <v/>
      </c>
      <c r="AH846" s="27">
        <f>IF(COUNT($AC846:$AG846)&lt;2,"",IF(MAX($AC846:$AG846)=MIN($AC846:$AG846),0,1))</f>
        <v/>
      </c>
      <c r="AI846" s="27">
        <f>IF($A846="","",IF(COUNTIF($A$14:$A846,$A846)=1,COUNTIF($AI$13:AI845,"&gt;0")+1,""))</f>
        <v/>
      </c>
      <c r="AO846" s="27">
        <f>IF($A846="","",IF(AND(COUNTIFS($A$14:$A$1213,$A846,$F$14:$F$1213,"&gt;=0")=2,IFERROR(INDEX($M$14:$M$313,MATCH($A846,$H$14:$H$313,0)),"Yes")&lt;&gt;"Yes"),1,0))</f>
        <v/>
      </c>
    </row>
    <row r="847">
      <c r="A847" s="19">
        <f>IF('Enter messages'!A847="","",'Enter messages'!A847)</f>
        <v/>
      </c>
      <c r="B847" s="20">
        <f>IF('Enter messages'!B847="","",'Enter messages'!B847)</f>
        <v/>
      </c>
      <c r="C847" s="21">
        <f>IFERROR(AVERAGE(P847:T847),"")</f>
        <v/>
      </c>
      <c r="D847" s="29" t="n"/>
      <c r="E847" s="29" t="n"/>
      <c r="F847" s="30">
        <f>IF(AND(ISNUMBER($D847),ISNUMBER($E847),$E847&gt;0,$D847&lt;=$E847),$D847/$E847,"")</f>
        <v/>
      </c>
      <c r="P847" s="26" t="n"/>
      <c r="Q847" s="26" t="n"/>
      <c r="R847" s="26" t="n"/>
      <c r="S847" s="26" t="n"/>
      <c r="T847" s="26" t="n"/>
      <c r="V847" s="27">
        <f>IF(ISNUMBER($C847),COUNTIFS($A$14:$A$1213,$A847,$C$14:$C$1213,"&gt;"&amp;$C847)+(COUNTIFS($A$14:$A$1213,$A847,$C$14:$C$1213,"="&amp;$C847)+1)/2,"")</f>
        <v/>
      </c>
      <c r="W847" s="27">
        <f>IF(ISNUMBER($F847),COUNTIFS($A$14:$A$1213,$A847,$F$14:$F$1213,"&gt;"&amp;$F847)+(COUNTIFS($A$14:$A$1213,$A847,$F$14:$F$1213,"="&amp;$F847)+1)/2,"")</f>
        <v/>
      </c>
      <c r="X847" s="27">
        <f>IF(OR(NOT(ISNUMBER($V847)),$AO847=1),"",$V847-(COUNTIFS($A$14:$A$1213,$A847,$C$14:$C$1213,"&gt;=0")+1)/2)</f>
        <v/>
      </c>
      <c r="Y847" s="27">
        <f>IF(OR(NOT(ISNUMBER($W847)),$AO847=1),"",$W847-(COUNTIFS($A$14:$A$1213,$A847,$F$14:$F$1213,"&gt;=0")+1)/2)</f>
        <v/>
      </c>
      <c r="Z847" s="27">
        <f>IF(ISNUMBER($V847),$A847&amp;"|"&amp;$V847,"")</f>
        <v/>
      </c>
      <c r="AA847" s="27">
        <f>IF(ISNUMBER($W847),$A847&amp;"|"&amp;$W847,"")</f>
        <v/>
      </c>
      <c r="AB847" s="27">
        <f>IF(ISNUMBER($F847),$A847&amp;"|"&amp;$F847,"")</f>
        <v/>
      </c>
      <c r="AC847" s="27">
        <f>IF(ISNUMBER($P847),COUNTIFS($A$14:$A$1213,$A847,$P$14:$P$1213,"&gt;"&amp;$P847)+(COUNTIFS($A$14:$A$1213,$A847,$P$14:$P$1213,"="&amp;$P847)+1)/2,"")</f>
        <v/>
      </c>
      <c r="AD847" s="27">
        <f>IF(ISNUMBER($Q847),COUNTIFS($A$14:$A$1213,$A847,$Q$14:$Q$1213,"&gt;"&amp;$Q847)+(COUNTIFS($A$14:$A$1213,$A847,$Q$14:$Q$1213,"="&amp;$Q847)+1)/2,"")</f>
        <v/>
      </c>
      <c r="AE847" s="27">
        <f>IF(ISNUMBER($R847),COUNTIFS($A$14:$A$1213,$A847,$R$14:$R$1213,"&gt;"&amp;$R847)+(COUNTIFS($A$14:$A$1213,$A847,$R$14:$R$1213,"="&amp;$R847)+1)/2,"")</f>
        <v/>
      </c>
      <c r="AF847" s="27">
        <f>IF(ISNUMBER($S847),COUNTIFS($A$14:$A$1213,$A847,$S$14:$S$1213,"&gt;"&amp;$S847)+(COUNTIFS($A$14:$A$1213,$A847,$S$14:$S$1213,"="&amp;$S847)+1)/2,"")</f>
        <v/>
      </c>
      <c r="AG847" s="27">
        <f>IF(ISNUMBER($T847),COUNTIFS($A$14:$A$1213,$A847,$T$14:$T$1213,"&gt;"&amp;$T847)+(COUNTIFS($A$14:$A$1213,$A847,$T$14:$T$1213,"="&amp;$T847)+1)/2,"")</f>
        <v/>
      </c>
      <c r="AH847" s="27">
        <f>IF(COUNT($AC847:$AG847)&lt;2,"",IF(MAX($AC847:$AG847)=MIN($AC847:$AG847),0,1))</f>
        <v/>
      </c>
      <c r="AI847" s="27">
        <f>IF($A847="","",IF(COUNTIF($A$14:$A847,$A847)=1,COUNTIF($AI$13:AI846,"&gt;0")+1,""))</f>
        <v/>
      </c>
      <c r="AO847" s="27">
        <f>IF($A847="","",IF(AND(COUNTIFS($A$14:$A$1213,$A847,$F$14:$F$1213,"&gt;=0")=2,IFERROR(INDEX($M$14:$M$313,MATCH($A847,$H$14:$H$313,0)),"Yes")&lt;&gt;"Yes"),1,0))</f>
        <v/>
      </c>
    </row>
    <row r="848">
      <c r="A848" s="19">
        <f>IF('Enter messages'!A848="","",'Enter messages'!A848)</f>
        <v/>
      </c>
      <c r="B848" s="20">
        <f>IF('Enter messages'!B848="","",'Enter messages'!B848)</f>
        <v/>
      </c>
      <c r="C848" s="21">
        <f>IFERROR(AVERAGE(P848:T848),"")</f>
        <v/>
      </c>
      <c r="D848" s="29" t="n"/>
      <c r="E848" s="29" t="n"/>
      <c r="F848" s="30">
        <f>IF(AND(ISNUMBER($D848),ISNUMBER($E848),$E848&gt;0,$D848&lt;=$E848),$D848/$E848,"")</f>
        <v/>
      </c>
      <c r="P848" s="26" t="n"/>
      <c r="Q848" s="26" t="n"/>
      <c r="R848" s="26" t="n"/>
      <c r="S848" s="26" t="n"/>
      <c r="T848" s="26" t="n"/>
      <c r="V848" s="27">
        <f>IF(ISNUMBER($C848),COUNTIFS($A$14:$A$1213,$A848,$C$14:$C$1213,"&gt;"&amp;$C848)+(COUNTIFS($A$14:$A$1213,$A848,$C$14:$C$1213,"="&amp;$C848)+1)/2,"")</f>
        <v/>
      </c>
      <c r="W848" s="27">
        <f>IF(ISNUMBER($F848),COUNTIFS($A$14:$A$1213,$A848,$F$14:$F$1213,"&gt;"&amp;$F848)+(COUNTIFS($A$14:$A$1213,$A848,$F$14:$F$1213,"="&amp;$F848)+1)/2,"")</f>
        <v/>
      </c>
      <c r="X848" s="27">
        <f>IF(OR(NOT(ISNUMBER($V848)),$AO848=1),"",$V848-(COUNTIFS($A$14:$A$1213,$A848,$C$14:$C$1213,"&gt;=0")+1)/2)</f>
        <v/>
      </c>
      <c r="Y848" s="27">
        <f>IF(OR(NOT(ISNUMBER($W848)),$AO848=1),"",$W848-(COUNTIFS($A$14:$A$1213,$A848,$F$14:$F$1213,"&gt;=0")+1)/2)</f>
        <v/>
      </c>
      <c r="Z848" s="27">
        <f>IF(ISNUMBER($V848),$A848&amp;"|"&amp;$V848,"")</f>
        <v/>
      </c>
      <c r="AA848" s="27">
        <f>IF(ISNUMBER($W848),$A848&amp;"|"&amp;$W848,"")</f>
        <v/>
      </c>
      <c r="AB848" s="27">
        <f>IF(ISNUMBER($F848),$A848&amp;"|"&amp;$F848,"")</f>
        <v/>
      </c>
      <c r="AC848" s="27">
        <f>IF(ISNUMBER($P848),COUNTIFS($A$14:$A$1213,$A848,$P$14:$P$1213,"&gt;"&amp;$P848)+(COUNTIFS($A$14:$A$1213,$A848,$P$14:$P$1213,"="&amp;$P848)+1)/2,"")</f>
        <v/>
      </c>
      <c r="AD848" s="27">
        <f>IF(ISNUMBER($Q848),COUNTIFS($A$14:$A$1213,$A848,$Q$14:$Q$1213,"&gt;"&amp;$Q848)+(COUNTIFS($A$14:$A$1213,$A848,$Q$14:$Q$1213,"="&amp;$Q848)+1)/2,"")</f>
        <v/>
      </c>
      <c r="AE848" s="27">
        <f>IF(ISNUMBER($R848),COUNTIFS($A$14:$A$1213,$A848,$R$14:$R$1213,"&gt;"&amp;$R848)+(COUNTIFS($A$14:$A$1213,$A848,$R$14:$R$1213,"="&amp;$R848)+1)/2,"")</f>
        <v/>
      </c>
      <c r="AF848" s="27">
        <f>IF(ISNUMBER($S848),COUNTIFS($A$14:$A$1213,$A848,$S$14:$S$1213,"&gt;"&amp;$S848)+(COUNTIFS($A$14:$A$1213,$A848,$S$14:$S$1213,"="&amp;$S848)+1)/2,"")</f>
        <v/>
      </c>
      <c r="AG848" s="27">
        <f>IF(ISNUMBER($T848),COUNTIFS($A$14:$A$1213,$A848,$T$14:$T$1213,"&gt;"&amp;$T848)+(COUNTIFS($A$14:$A$1213,$A848,$T$14:$T$1213,"="&amp;$T848)+1)/2,"")</f>
        <v/>
      </c>
      <c r="AH848" s="27">
        <f>IF(COUNT($AC848:$AG848)&lt;2,"",IF(MAX($AC848:$AG848)=MIN($AC848:$AG848),0,1))</f>
        <v/>
      </c>
      <c r="AI848" s="27">
        <f>IF($A848="","",IF(COUNTIF($A$14:$A848,$A848)=1,COUNTIF($AI$13:AI847,"&gt;0")+1,""))</f>
        <v/>
      </c>
      <c r="AO848" s="27">
        <f>IF($A848="","",IF(AND(COUNTIFS($A$14:$A$1213,$A848,$F$14:$F$1213,"&gt;=0")=2,IFERROR(INDEX($M$14:$M$313,MATCH($A848,$H$14:$H$313,0)),"Yes")&lt;&gt;"Yes"),1,0))</f>
        <v/>
      </c>
    </row>
    <row r="849">
      <c r="A849" s="19">
        <f>IF('Enter messages'!A849="","",'Enter messages'!A849)</f>
        <v/>
      </c>
      <c r="B849" s="20">
        <f>IF('Enter messages'!B849="","",'Enter messages'!B849)</f>
        <v/>
      </c>
      <c r="C849" s="21">
        <f>IFERROR(AVERAGE(P849:T849),"")</f>
        <v/>
      </c>
      <c r="D849" s="29" t="n"/>
      <c r="E849" s="29" t="n"/>
      <c r="F849" s="30">
        <f>IF(AND(ISNUMBER($D849),ISNUMBER($E849),$E849&gt;0,$D849&lt;=$E849),$D849/$E849,"")</f>
        <v/>
      </c>
      <c r="P849" s="26" t="n"/>
      <c r="Q849" s="26" t="n"/>
      <c r="R849" s="26" t="n"/>
      <c r="S849" s="26" t="n"/>
      <c r="T849" s="26" t="n"/>
      <c r="V849" s="27">
        <f>IF(ISNUMBER($C849),COUNTIFS($A$14:$A$1213,$A849,$C$14:$C$1213,"&gt;"&amp;$C849)+(COUNTIFS($A$14:$A$1213,$A849,$C$14:$C$1213,"="&amp;$C849)+1)/2,"")</f>
        <v/>
      </c>
      <c r="W849" s="27">
        <f>IF(ISNUMBER($F849),COUNTIFS($A$14:$A$1213,$A849,$F$14:$F$1213,"&gt;"&amp;$F849)+(COUNTIFS($A$14:$A$1213,$A849,$F$14:$F$1213,"="&amp;$F849)+1)/2,"")</f>
        <v/>
      </c>
      <c r="X849" s="27">
        <f>IF(OR(NOT(ISNUMBER($V849)),$AO849=1),"",$V849-(COUNTIFS($A$14:$A$1213,$A849,$C$14:$C$1213,"&gt;=0")+1)/2)</f>
        <v/>
      </c>
      <c r="Y849" s="27">
        <f>IF(OR(NOT(ISNUMBER($W849)),$AO849=1),"",$W849-(COUNTIFS($A$14:$A$1213,$A849,$F$14:$F$1213,"&gt;=0")+1)/2)</f>
        <v/>
      </c>
      <c r="Z849" s="27">
        <f>IF(ISNUMBER($V849),$A849&amp;"|"&amp;$V849,"")</f>
        <v/>
      </c>
      <c r="AA849" s="27">
        <f>IF(ISNUMBER($W849),$A849&amp;"|"&amp;$W849,"")</f>
        <v/>
      </c>
      <c r="AB849" s="27">
        <f>IF(ISNUMBER($F849),$A849&amp;"|"&amp;$F849,"")</f>
        <v/>
      </c>
      <c r="AC849" s="27">
        <f>IF(ISNUMBER($P849),COUNTIFS($A$14:$A$1213,$A849,$P$14:$P$1213,"&gt;"&amp;$P849)+(COUNTIFS($A$14:$A$1213,$A849,$P$14:$P$1213,"="&amp;$P849)+1)/2,"")</f>
        <v/>
      </c>
      <c r="AD849" s="27">
        <f>IF(ISNUMBER($Q849),COUNTIFS($A$14:$A$1213,$A849,$Q$14:$Q$1213,"&gt;"&amp;$Q849)+(COUNTIFS($A$14:$A$1213,$A849,$Q$14:$Q$1213,"="&amp;$Q849)+1)/2,"")</f>
        <v/>
      </c>
      <c r="AE849" s="27">
        <f>IF(ISNUMBER($R849),COUNTIFS($A$14:$A$1213,$A849,$R$14:$R$1213,"&gt;"&amp;$R849)+(COUNTIFS($A$14:$A$1213,$A849,$R$14:$R$1213,"="&amp;$R849)+1)/2,"")</f>
        <v/>
      </c>
      <c r="AF849" s="27">
        <f>IF(ISNUMBER($S849),COUNTIFS($A$14:$A$1213,$A849,$S$14:$S$1213,"&gt;"&amp;$S849)+(COUNTIFS($A$14:$A$1213,$A849,$S$14:$S$1213,"="&amp;$S849)+1)/2,"")</f>
        <v/>
      </c>
      <c r="AG849" s="27">
        <f>IF(ISNUMBER($T849),COUNTIFS($A$14:$A$1213,$A849,$T$14:$T$1213,"&gt;"&amp;$T849)+(COUNTIFS($A$14:$A$1213,$A849,$T$14:$T$1213,"="&amp;$T849)+1)/2,"")</f>
        <v/>
      </c>
      <c r="AH849" s="27">
        <f>IF(COUNT($AC849:$AG849)&lt;2,"",IF(MAX($AC849:$AG849)=MIN($AC849:$AG849),0,1))</f>
        <v/>
      </c>
      <c r="AI849" s="27">
        <f>IF($A849="","",IF(COUNTIF($A$14:$A849,$A849)=1,COUNTIF($AI$13:AI848,"&gt;0")+1,""))</f>
        <v/>
      </c>
      <c r="AO849" s="27">
        <f>IF($A849="","",IF(AND(COUNTIFS($A$14:$A$1213,$A849,$F$14:$F$1213,"&gt;=0")=2,IFERROR(INDEX($M$14:$M$313,MATCH($A849,$H$14:$H$313,0)),"Yes")&lt;&gt;"Yes"),1,0))</f>
        <v/>
      </c>
    </row>
    <row r="850">
      <c r="A850" s="19">
        <f>IF('Enter messages'!A850="","",'Enter messages'!A850)</f>
        <v/>
      </c>
      <c r="B850" s="20">
        <f>IF('Enter messages'!B850="","",'Enter messages'!B850)</f>
        <v/>
      </c>
      <c r="C850" s="21">
        <f>IFERROR(AVERAGE(P850:T850),"")</f>
        <v/>
      </c>
      <c r="D850" s="29" t="n"/>
      <c r="E850" s="29" t="n"/>
      <c r="F850" s="30">
        <f>IF(AND(ISNUMBER($D850),ISNUMBER($E850),$E850&gt;0,$D850&lt;=$E850),$D850/$E850,"")</f>
        <v/>
      </c>
      <c r="P850" s="26" t="n"/>
      <c r="Q850" s="26" t="n"/>
      <c r="R850" s="26" t="n"/>
      <c r="S850" s="26" t="n"/>
      <c r="T850" s="26" t="n"/>
      <c r="V850" s="27">
        <f>IF(ISNUMBER($C850),COUNTIFS($A$14:$A$1213,$A850,$C$14:$C$1213,"&gt;"&amp;$C850)+(COUNTIFS($A$14:$A$1213,$A850,$C$14:$C$1213,"="&amp;$C850)+1)/2,"")</f>
        <v/>
      </c>
      <c r="W850" s="27">
        <f>IF(ISNUMBER($F850),COUNTIFS($A$14:$A$1213,$A850,$F$14:$F$1213,"&gt;"&amp;$F850)+(COUNTIFS($A$14:$A$1213,$A850,$F$14:$F$1213,"="&amp;$F850)+1)/2,"")</f>
        <v/>
      </c>
      <c r="X850" s="27">
        <f>IF(OR(NOT(ISNUMBER($V850)),$AO850=1),"",$V850-(COUNTIFS($A$14:$A$1213,$A850,$C$14:$C$1213,"&gt;=0")+1)/2)</f>
        <v/>
      </c>
      <c r="Y850" s="27">
        <f>IF(OR(NOT(ISNUMBER($W850)),$AO850=1),"",$W850-(COUNTIFS($A$14:$A$1213,$A850,$F$14:$F$1213,"&gt;=0")+1)/2)</f>
        <v/>
      </c>
      <c r="Z850" s="27">
        <f>IF(ISNUMBER($V850),$A850&amp;"|"&amp;$V850,"")</f>
        <v/>
      </c>
      <c r="AA850" s="27">
        <f>IF(ISNUMBER($W850),$A850&amp;"|"&amp;$W850,"")</f>
        <v/>
      </c>
      <c r="AB850" s="27">
        <f>IF(ISNUMBER($F850),$A850&amp;"|"&amp;$F850,"")</f>
        <v/>
      </c>
      <c r="AC850" s="27">
        <f>IF(ISNUMBER($P850),COUNTIFS($A$14:$A$1213,$A850,$P$14:$P$1213,"&gt;"&amp;$P850)+(COUNTIFS($A$14:$A$1213,$A850,$P$14:$P$1213,"="&amp;$P850)+1)/2,"")</f>
        <v/>
      </c>
      <c r="AD850" s="27">
        <f>IF(ISNUMBER($Q850),COUNTIFS($A$14:$A$1213,$A850,$Q$14:$Q$1213,"&gt;"&amp;$Q850)+(COUNTIFS($A$14:$A$1213,$A850,$Q$14:$Q$1213,"="&amp;$Q850)+1)/2,"")</f>
        <v/>
      </c>
      <c r="AE850" s="27">
        <f>IF(ISNUMBER($R850),COUNTIFS($A$14:$A$1213,$A850,$R$14:$R$1213,"&gt;"&amp;$R850)+(COUNTIFS($A$14:$A$1213,$A850,$R$14:$R$1213,"="&amp;$R850)+1)/2,"")</f>
        <v/>
      </c>
      <c r="AF850" s="27">
        <f>IF(ISNUMBER($S850),COUNTIFS($A$14:$A$1213,$A850,$S$14:$S$1213,"&gt;"&amp;$S850)+(COUNTIFS($A$14:$A$1213,$A850,$S$14:$S$1213,"="&amp;$S850)+1)/2,"")</f>
        <v/>
      </c>
      <c r="AG850" s="27">
        <f>IF(ISNUMBER($T850),COUNTIFS($A$14:$A$1213,$A850,$T$14:$T$1213,"&gt;"&amp;$T850)+(COUNTIFS($A$14:$A$1213,$A850,$T$14:$T$1213,"="&amp;$T850)+1)/2,"")</f>
        <v/>
      </c>
      <c r="AH850" s="27">
        <f>IF(COUNT($AC850:$AG850)&lt;2,"",IF(MAX($AC850:$AG850)=MIN($AC850:$AG850),0,1))</f>
        <v/>
      </c>
      <c r="AI850" s="27">
        <f>IF($A850="","",IF(COUNTIF($A$14:$A850,$A850)=1,COUNTIF($AI$13:AI849,"&gt;0")+1,""))</f>
        <v/>
      </c>
      <c r="AO850" s="27">
        <f>IF($A850="","",IF(AND(COUNTIFS($A$14:$A$1213,$A850,$F$14:$F$1213,"&gt;=0")=2,IFERROR(INDEX($M$14:$M$313,MATCH($A850,$H$14:$H$313,0)),"Yes")&lt;&gt;"Yes"),1,0))</f>
        <v/>
      </c>
    </row>
    <row r="851">
      <c r="A851" s="19">
        <f>IF('Enter messages'!A851="","",'Enter messages'!A851)</f>
        <v/>
      </c>
      <c r="B851" s="20">
        <f>IF('Enter messages'!B851="","",'Enter messages'!B851)</f>
        <v/>
      </c>
      <c r="C851" s="21">
        <f>IFERROR(AVERAGE(P851:T851),"")</f>
        <v/>
      </c>
      <c r="D851" s="29" t="n"/>
      <c r="E851" s="29" t="n"/>
      <c r="F851" s="30">
        <f>IF(AND(ISNUMBER($D851),ISNUMBER($E851),$E851&gt;0,$D851&lt;=$E851),$D851/$E851,"")</f>
        <v/>
      </c>
      <c r="P851" s="26" t="n"/>
      <c r="Q851" s="26" t="n"/>
      <c r="R851" s="26" t="n"/>
      <c r="S851" s="26" t="n"/>
      <c r="T851" s="26" t="n"/>
      <c r="V851" s="27">
        <f>IF(ISNUMBER($C851),COUNTIFS($A$14:$A$1213,$A851,$C$14:$C$1213,"&gt;"&amp;$C851)+(COUNTIFS($A$14:$A$1213,$A851,$C$14:$C$1213,"="&amp;$C851)+1)/2,"")</f>
        <v/>
      </c>
      <c r="W851" s="27">
        <f>IF(ISNUMBER($F851),COUNTIFS($A$14:$A$1213,$A851,$F$14:$F$1213,"&gt;"&amp;$F851)+(COUNTIFS($A$14:$A$1213,$A851,$F$14:$F$1213,"="&amp;$F851)+1)/2,"")</f>
        <v/>
      </c>
      <c r="X851" s="27">
        <f>IF(OR(NOT(ISNUMBER($V851)),$AO851=1),"",$V851-(COUNTIFS($A$14:$A$1213,$A851,$C$14:$C$1213,"&gt;=0")+1)/2)</f>
        <v/>
      </c>
      <c r="Y851" s="27">
        <f>IF(OR(NOT(ISNUMBER($W851)),$AO851=1),"",$W851-(COUNTIFS($A$14:$A$1213,$A851,$F$14:$F$1213,"&gt;=0")+1)/2)</f>
        <v/>
      </c>
      <c r="Z851" s="27">
        <f>IF(ISNUMBER($V851),$A851&amp;"|"&amp;$V851,"")</f>
        <v/>
      </c>
      <c r="AA851" s="27">
        <f>IF(ISNUMBER($W851),$A851&amp;"|"&amp;$W851,"")</f>
        <v/>
      </c>
      <c r="AB851" s="27">
        <f>IF(ISNUMBER($F851),$A851&amp;"|"&amp;$F851,"")</f>
        <v/>
      </c>
      <c r="AC851" s="27">
        <f>IF(ISNUMBER($P851),COUNTIFS($A$14:$A$1213,$A851,$P$14:$P$1213,"&gt;"&amp;$P851)+(COUNTIFS($A$14:$A$1213,$A851,$P$14:$P$1213,"="&amp;$P851)+1)/2,"")</f>
        <v/>
      </c>
      <c r="AD851" s="27">
        <f>IF(ISNUMBER($Q851),COUNTIFS($A$14:$A$1213,$A851,$Q$14:$Q$1213,"&gt;"&amp;$Q851)+(COUNTIFS($A$14:$A$1213,$A851,$Q$14:$Q$1213,"="&amp;$Q851)+1)/2,"")</f>
        <v/>
      </c>
      <c r="AE851" s="27">
        <f>IF(ISNUMBER($R851),COUNTIFS($A$14:$A$1213,$A851,$R$14:$R$1213,"&gt;"&amp;$R851)+(COUNTIFS($A$14:$A$1213,$A851,$R$14:$R$1213,"="&amp;$R851)+1)/2,"")</f>
        <v/>
      </c>
      <c r="AF851" s="27">
        <f>IF(ISNUMBER($S851),COUNTIFS($A$14:$A$1213,$A851,$S$14:$S$1213,"&gt;"&amp;$S851)+(COUNTIFS($A$14:$A$1213,$A851,$S$14:$S$1213,"="&amp;$S851)+1)/2,"")</f>
        <v/>
      </c>
      <c r="AG851" s="27">
        <f>IF(ISNUMBER($T851),COUNTIFS($A$14:$A$1213,$A851,$T$14:$T$1213,"&gt;"&amp;$T851)+(COUNTIFS($A$14:$A$1213,$A851,$T$14:$T$1213,"="&amp;$T851)+1)/2,"")</f>
        <v/>
      </c>
      <c r="AH851" s="27">
        <f>IF(COUNT($AC851:$AG851)&lt;2,"",IF(MAX($AC851:$AG851)=MIN($AC851:$AG851),0,1))</f>
        <v/>
      </c>
      <c r="AI851" s="27">
        <f>IF($A851="","",IF(COUNTIF($A$14:$A851,$A851)=1,COUNTIF($AI$13:AI850,"&gt;0")+1,""))</f>
        <v/>
      </c>
      <c r="AO851" s="27">
        <f>IF($A851="","",IF(AND(COUNTIFS($A$14:$A$1213,$A851,$F$14:$F$1213,"&gt;=0")=2,IFERROR(INDEX($M$14:$M$313,MATCH($A851,$H$14:$H$313,0)),"Yes")&lt;&gt;"Yes"),1,0))</f>
        <v/>
      </c>
    </row>
    <row r="852">
      <c r="A852" s="19">
        <f>IF('Enter messages'!A852="","",'Enter messages'!A852)</f>
        <v/>
      </c>
      <c r="B852" s="20">
        <f>IF('Enter messages'!B852="","",'Enter messages'!B852)</f>
        <v/>
      </c>
      <c r="C852" s="21">
        <f>IFERROR(AVERAGE(P852:T852),"")</f>
        <v/>
      </c>
      <c r="D852" s="29" t="n"/>
      <c r="E852" s="29" t="n"/>
      <c r="F852" s="30">
        <f>IF(AND(ISNUMBER($D852),ISNUMBER($E852),$E852&gt;0,$D852&lt;=$E852),$D852/$E852,"")</f>
        <v/>
      </c>
      <c r="P852" s="26" t="n"/>
      <c r="Q852" s="26" t="n"/>
      <c r="R852" s="26" t="n"/>
      <c r="S852" s="26" t="n"/>
      <c r="T852" s="26" t="n"/>
      <c r="V852" s="27">
        <f>IF(ISNUMBER($C852),COUNTIFS($A$14:$A$1213,$A852,$C$14:$C$1213,"&gt;"&amp;$C852)+(COUNTIFS($A$14:$A$1213,$A852,$C$14:$C$1213,"="&amp;$C852)+1)/2,"")</f>
        <v/>
      </c>
      <c r="W852" s="27">
        <f>IF(ISNUMBER($F852),COUNTIFS($A$14:$A$1213,$A852,$F$14:$F$1213,"&gt;"&amp;$F852)+(COUNTIFS($A$14:$A$1213,$A852,$F$14:$F$1213,"="&amp;$F852)+1)/2,"")</f>
        <v/>
      </c>
      <c r="X852" s="27">
        <f>IF(OR(NOT(ISNUMBER($V852)),$AO852=1),"",$V852-(COUNTIFS($A$14:$A$1213,$A852,$C$14:$C$1213,"&gt;=0")+1)/2)</f>
        <v/>
      </c>
      <c r="Y852" s="27">
        <f>IF(OR(NOT(ISNUMBER($W852)),$AO852=1),"",$W852-(COUNTIFS($A$14:$A$1213,$A852,$F$14:$F$1213,"&gt;=0")+1)/2)</f>
        <v/>
      </c>
      <c r="Z852" s="27">
        <f>IF(ISNUMBER($V852),$A852&amp;"|"&amp;$V852,"")</f>
        <v/>
      </c>
      <c r="AA852" s="27">
        <f>IF(ISNUMBER($W852),$A852&amp;"|"&amp;$W852,"")</f>
        <v/>
      </c>
      <c r="AB852" s="27">
        <f>IF(ISNUMBER($F852),$A852&amp;"|"&amp;$F852,"")</f>
        <v/>
      </c>
      <c r="AC852" s="27">
        <f>IF(ISNUMBER($P852),COUNTIFS($A$14:$A$1213,$A852,$P$14:$P$1213,"&gt;"&amp;$P852)+(COUNTIFS($A$14:$A$1213,$A852,$P$14:$P$1213,"="&amp;$P852)+1)/2,"")</f>
        <v/>
      </c>
      <c r="AD852" s="27">
        <f>IF(ISNUMBER($Q852),COUNTIFS($A$14:$A$1213,$A852,$Q$14:$Q$1213,"&gt;"&amp;$Q852)+(COUNTIFS($A$14:$A$1213,$A852,$Q$14:$Q$1213,"="&amp;$Q852)+1)/2,"")</f>
        <v/>
      </c>
      <c r="AE852" s="27">
        <f>IF(ISNUMBER($R852),COUNTIFS($A$14:$A$1213,$A852,$R$14:$R$1213,"&gt;"&amp;$R852)+(COUNTIFS($A$14:$A$1213,$A852,$R$14:$R$1213,"="&amp;$R852)+1)/2,"")</f>
        <v/>
      </c>
      <c r="AF852" s="27">
        <f>IF(ISNUMBER($S852),COUNTIFS($A$14:$A$1213,$A852,$S$14:$S$1213,"&gt;"&amp;$S852)+(COUNTIFS($A$14:$A$1213,$A852,$S$14:$S$1213,"="&amp;$S852)+1)/2,"")</f>
        <v/>
      </c>
      <c r="AG852" s="27">
        <f>IF(ISNUMBER($T852),COUNTIFS($A$14:$A$1213,$A852,$T$14:$T$1213,"&gt;"&amp;$T852)+(COUNTIFS($A$14:$A$1213,$A852,$T$14:$T$1213,"="&amp;$T852)+1)/2,"")</f>
        <v/>
      </c>
      <c r="AH852" s="27">
        <f>IF(COUNT($AC852:$AG852)&lt;2,"",IF(MAX($AC852:$AG852)=MIN($AC852:$AG852),0,1))</f>
        <v/>
      </c>
      <c r="AI852" s="27">
        <f>IF($A852="","",IF(COUNTIF($A$14:$A852,$A852)=1,COUNTIF($AI$13:AI851,"&gt;0")+1,""))</f>
        <v/>
      </c>
      <c r="AO852" s="27">
        <f>IF($A852="","",IF(AND(COUNTIFS($A$14:$A$1213,$A852,$F$14:$F$1213,"&gt;=0")=2,IFERROR(INDEX($M$14:$M$313,MATCH($A852,$H$14:$H$313,0)),"Yes")&lt;&gt;"Yes"),1,0))</f>
        <v/>
      </c>
    </row>
    <row r="853">
      <c r="A853" s="19">
        <f>IF('Enter messages'!A853="","",'Enter messages'!A853)</f>
        <v/>
      </c>
      <c r="B853" s="20">
        <f>IF('Enter messages'!B853="","",'Enter messages'!B853)</f>
        <v/>
      </c>
      <c r="C853" s="21">
        <f>IFERROR(AVERAGE(P853:T853),"")</f>
        <v/>
      </c>
      <c r="D853" s="29" t="n"/>
      <c r="E853" s="29" t="n"/>
      <c r="F853" s="30">
        <f>IF(AND(ISNUMBER($D853),ISNUMBER($E853),$E853&gt;0,$D853&lt;=$E853),$D853/$E853,"")</f>
        <v/>
      </c>
      <c r="P853" s="26" t="n"/>
      <c r="Q853" s="26" t="n"/>
      <c r="R853" s="26" t="n"/>
      <c r="S853" s="26" t="n"/>
      <c r="T853" s="26" t="n"/>
      <c r="V853" s="27">
        <f>IF(ISNUMBER($C853),COUNTIFS($A$14:$A$1213,$A853,$C$14:$C$1213,"&gt;"&amp;$C853)+(COUNTIFS($A$14:$A$1213,$A853,$C$14:$C$1213,"="&amp;$C853)+1)/2,"")</f>
        <v/>
      </c>
      <c r="W853" s="27">
        <f>IF(ISNUMBER($F853),COUNTIFS($A$14:$A$1213,$A853,$F$14:$F$1213,"&gt;"&amp;$F853)+(COUNTIFS($A$14:$A$1213,$A853,$F$14:$F$1213,"="&amp;$F853)+1)/2,"")</f>
        <v/>
      </c>
      <c r="X853" s="27">
        <f>IF(OR(NOT(ISNUMBER($V853)),$AO853=1),"",$V853-(COUNTIFS($A$14:$A$1213,$A853,$C$14:$C$1213,"&gt;=0")+1)/2)</f>
        <v/>
      </c>
      <c r="Y853" s="27">
        <f>IF(OR(NOT(ISNUMBER($W853)),$AO853=1),"",$W853-(COUNTIFS($A$14:$A$1213,$A853,$F$14:$F$1213,"&gt;=0")+1)/2)</f>
        <v/>
      </c>
      <c r="Z853" s="27">
        <f>IF(ISNUMBER($V853),$A853&amp;"|"&amp;$V853,"")</f>
        <v/>
      </c>
      <c r="AA853" s="27">
        <f>IF(ISNUMBER($W853),$A853&amp;"|"&amp;$W853,"")</f>
        <v/>
      </c>
      <c r="AB853" s="27">
        <f>IF(ISNUMBER($F853),$A853&amp;"|"&amp;$F853,"")</f>
        <v/>
      </c>
      <c r="AC853" s="27">
        <f>IF(ISNUMBER($P853),COUNTIFS($A$14:$A$1213,$A853,$P$14:$P$1213,"&gt;"&amp;$P853)+(COUNTIFS($A$14:$A$1213,$A853,$P$14:$P$1213,"="&amp;$P853)+1)/2,"")</f>
        <v/>
      </c>
      <c r="AD853" s="27">
        <f>IF(ISNUMBER($Q853),COUNTIFS($A$14:$A$1213,$A853,$Q$14:$Q$1213,"&gt;"&amp;$Q853)+(COUNTIFS($A$14:$A$1213,$A853,$Q$14:$Q$1213,"="&amp;$Q853)+1)/2,"")</f>
        <v/>
      </c>
      <c r="AE853" s="27">
        <f>IF(ISNUMBER($R853),COUNTIFS($A$14:$A$1213,$A853,$R$14:$R$1213,"&gt;"&amp;$R853)+(COUNTIFS($A$14:$A$1213,$A853,$R$14:$R$1213,"="&amp;$R853)+1)/2,"")</f>
        <v/>
      </c>
      <c r="AF853" s="27">
        <f>IF(ISNUMBER($S853),COUNTIFS($A$14:$A$1213,$A853,$S$14:$S$1213,"&gt;"&amp;$S853)+(COUNTIFS($A$14:$A$1213,$A853,$S$14:$S$1213,"="&amp;$S853)+1)/2,"")</f>
        <v/>
      </c>
      <c r="AG853" s="27">
        <f>IF(ISNUMBER($T853),COUNTIFS($A$14:$A$1213,$A853,$T$14:$T$1213,"&gt;"&amp;$T853)+(COUNTIFS($A$14:$A$1213,$A853,$T$14:$T$1213,"="&amp;$T853)+1)/2,"")</f>
        <v/>
      </c>
      <c r="AH853" s="27">
        <f>IF(COUNT($AC853:$AG853)&lt;2,"",IF(MAX($AC853:$AG853)=MIN($AC853:$AG853),0,1))</f>
        <v/>
      </c>
      <c r="AI853" s="27">
        <f>IF($A853="","",IF(COUNTIF($A$14:$A853,$A853)=1,COUNTIF($AI$13:AI852,"&gt;0")+1,""))</f>
        <v/>
      </c>
      <c r="AO853" s="27">
        <f>IF($A853="","",IF(AND(COUNTIFS($A$14:$A$1213,$A853,$F$14:$F$1213,"&gt;=0")=2,IFERROR(INDEX($M$14:$M$313,MATCH($A853,$H$14:$H$313,0)),"Yes")&lt;&gt;"Yes"),1,0))</f>
        <v/>
      </c>
    </row>
    <row r="854">
      <c r="A854" s="19">
        <f>IF('Enter messages'!A854="","",'Enter messages'!A854)</f>
        <v/>
      </c>
      <c r="B854" s="20">
        <f>IF('Enter messages'!B854="","",'Enter messages'!B854)</f>
        <v/>
      </c>
      <c r="C854" s="21">
        <f>IFERROR(AVERAGE(P854:T854),"")</f>
        <v/>
      </c>
      <c r="D854" s="29" t="n"/>
      <c r="E854" s="29" t="n"/>
      <c r="F854" s="30">
        <f>IF(AND(ISNUMBER($D854),ISNUMBER($E854),$E854&gt;0,$D854&lt;=$E854),$D854/$E854,"")</f>
        <v/>
      </c>
      <c r="P854" s="26" t="n"/>
      <c r="Q854" s="26" t="n"/>
      <c r="R854" s="26" t="n"/>
      <c r="S854" s="26" t="n"/>
      <c r="T854" s="26" t="n"/>
      <c r="V854" s="27">
        <f>IF(ISNUMBER($C854),COUNTIFS($A$14:$A$1213,$A854,$C$14:$C$1213,"&gt;"&amp;$C854)+(COUNTIFS($A$14:$A$1213,$A854,$C$14:$C$1213,"="&amp;$C854)+1)/2,"")</f>
        <v/>
      </c>
      <c r="W854" s="27">
        <f>IF(ISNUMBER($F854),COUNTIFS($A$14:$A$1213,$A854,$F$14:$F$1213,"&gt;"&amp;$F854)+(COUNTIFS($A$14:$A$1213,$A854,$F$14:$F$1213,"="&amp;$F854)+1)/2,"")</f>
        <v/>
      </c>
      <c r="X854" s="27">
        <f>IF(OR(NOT(ISNUMBER($V854)),$AO854=1),"",$V854-(COUNTIFS($A$14:$A$1213,$A854,$C$14:$C$1213,"&gt;=0")+1)/2)</f>
        <v/>
      </c>
      <c r="Y854" s="27">
        <f>IF(OR(NOT(ISNUMBER($W854)),$AO854=1),"",$W854-(COUNTIFS($A$14:$A$1213,$A854,$F$14:$F$1213,"&gt;=0")+1)/2)</f>
        <v/>
      </c>
      <c r="Z854" s="27">
        <f>IF(ISNUMBER($V854),$A854&amp;"|"&amp;$V854,"")</f>
        <v/>
      </c>
      <c r="AA854" s="27">
        <f>IF(ISNUMBER($W854),$A854&amp;"|"&amp;$W854,"")</f>
        <v/>
      </c>
      <c r="AB854" s="27">
        <f>IF(ISNUMBER($F854),$A854&amp;"|"&amp;$F854,"")</f>
        <v/>
      </c>
      <c r="AC854" s="27">
        <f>IF(ISNUMBER($P854),COUNTIFS($A$14:$A$1213,$A854,$P$14:$P$1213,"&gt;"&amp;$P854)+(COUNTIFS($A$14:$A$1213,$A854,$P$14:$P$1213,"="&amp;$P854)+1)/2,"")</f>
        <v/>
      </c>
      <c r="AD854" s="27">
        <f>IF(ISNUMBER($Q854),COUNTIFS($A$14:$A$1213,$A854,$Q$14:$Q$1213,"&gt;"&amp;$Q854)+(COUNTIFS($A$14:$A$1213,$A854,$Q$14:$Q$1213,"="&amp;$Q854)+1)/2,"")</f>
        <v/>
      </c>
      <c r="AE854" s="27">
        <f>IF(ISNUMBER($R854),COUNTIFS($A$14:$A$1213,$A854,$R$14:$R$1213,"&gt;"&amp;$R854)+(COUNTIFS($A$14:$A$1213,$A854,$R$14:$R$1213,"="&amp;$R854)+1)/2,"")</f>
        <v/>
      </c>
      <c r="AF854" s="27">
        <f>IF(ISNUMBER($S854),COUNTIFS($A$14:$A$1213,$A854,$S$14:$S$1213,"&gt;"&amp;$S854)+(COUNTIFS($A$14:$A$1213,$A854,$S$14:$S$1213,"="&amp;$S854)+1)/2,"")</f>
        <v/>
      </c>
      <c r="AG854" s="27">
        <f>IF(ISNUMBER($T854),COUNTIFS($A$14:$A$1213,$A854,$T$14:$T$1213,"&gt;"&amp;$T854)+(COUNTIFS($A$14:$A$1213,$A854,$T$14:$T$1213,"="&amp;$T854)+1)/2,"")</f>
        <v/>
      </c>
      <c r="AH854" s="27">
        <f>IF(COUNT($AC854:$AG854)&lt;2,"",IF(MAX($AC854:$AG854)=MIN($AC854:$AG854),0,1))</f>
        <v/>
      </c>
      <c r="AI854" s="27">
        <f>IF($A854="","",IF(COUNTIF($A$14:$A854,$A854)=1,COUNTIF($AI$13:AI853,"&gt;0")+1,""))</f>
        <v/>
      </c>
      <c r="AO854" s="27">
        <f>IF($A854="","",IF(AND(COUNTIFS($A$14:$A$1213,$A854,$F$14:$F$1213,"&gt;=0")=2,IFERROR(INDEX($M$14:$M$313,MATCH($A854,$H$14:$H$313,0)),"Yes")&lt;&gt;"Yes"),1,0))</f>
        <v/>
      </c>
    </row>
    <row r="855">
      <c r="A855" s="19">
        <f>IF('Enter messages'!A855="","",'Enter messages'!A855)</f>
        <v/>
      </c>
      <c r="B855" s="20">
        <f>IF('Enter messages'!B855="","",'Enter messages'!B855)</f>
        <v/>
      </c>
      <c r="C855" s="21">
        <f>IFERROR(AVERAGE(P855:T855),"")</f>
        <v/>
      </c>
      <c r="D855" s="29" t="n"/>
      <c r="E855" s="29" t="n"/>
      <c r="F855" s="30">
        <f>IF(AND(ISNUMBER($D855),ISNUMBER($E855),$E855&gt;0,$D855&lt;=$E855),$D855/$E855,"")</f>
        <v/>
      </c>
      <c r="P855" s="26" t="n"/>
      <c r="Q855" s="26" t="n"/>
      <c r="R855" s="26" t="n"/>
      <c r="S855" s="26" t="n"/>
      <c r="T855" s="26" t="n"/>
      <c r="V855" s="27">
        <f>IF(ISNUMBER($C855),COUNTIFS($A$14:$A$1213,$A855,$C$14:$C$1213,"&gt;"&amp;$C855)+(COUNTIFS($A$14:$A$1213,$A855,$C$14:$C$1213,"="&amp;$C855)+1)/2,"")</f>
        <v/>
      </c>
      <c r="W855" s="27">
        <f>IF(ISNUMBER($F855),COUNTIFS($A$14:$A$1213,$A855,$F$14:$F$1213,"&gt;"&amp;$F855)+(COUNTIFS($A$14:$A$1213,$A855,$F$14:$F$1213,"="&amp;$F855)+1)/2,"")</f>
        <v/>
      </c>
      <c r="X855" s="27">
        <f>IF(OR(NOT(ISNUMBER($V855)),$AO855=1),"",$V855-(COUNTIFS($A$14:$A$1213,$A855,$C$14:$C$1213,"&gt;=0")+1)/2)</f>
        <v/>
      </c>
      <c r="Y855" s="27">
        <f>IF(OR(NOT(ISNUMBER($W855)),$AO855=1),"",$W855-(COUNTIFS($A$14:$A$1213,$A855,$F$14:$F$1213,"&gt;=0")+1)/2)</f>
        <v/>
      </c>
      <c r="Z855" s="27">
        <f>IF(ISNUMBER($V855),$A855&amp;"|"&amp;$V855,"")</f>
        <v/>
      </c>
      <c r="AA855" s="27">
        <f>IF(ISNUMBER($W855),$A855&amp;"|"&amp;$W855,"")</f>
        <v/>
      </c>
      <c r="AB855" s="27">
        <f>IF(ISNUMBER($F855),$A855&amp;"|"&amp;$F855,"")</f>
        <v/>
      </c>
      <c r="AC855" s="27">
        <f>IF(ISNUMBER($P855),COUNTIFS($A$14:$A$1213,$A855,$P$14:$P$1213,"&gt;"&amp;$P855)+(COUNTIFS($A$14:$A$1213,$A855,$P$14:$P$1213,"="&amp;$P855)+1)/2,"")</f>
        <v/>
      </c>
      <c r="AD855" s="27">
        <f>IF(ISNUMBER($Q855),COUNTIFS($A$14:$A$1213,$A855,$Q$14:$Q$1213,"&gt;"&amp;$Q855)+(COUNTIFS($A$14:$A$1213,$A855,$Q$14:$Q$1213,"="&amp;$Q855)+1)/2,"")</f>
        <v/>
      </c>
      <c r="AE855" s="27">
        <f>IF(ISNUMBER($R855),COUNTIFS($A$14:$A$1213,$A855,$R$14:$R$1213,"&gt;"&amp;$R855)+(COUNTIFS($A$14:$A$1213,$A855,$R$14:$R$1213,"="&amp;$R855)+1)/2,"")</f>
        <v/>
      </c>
      <c r="AF855" s="27">
        <f>IF(ISNUMBER($S855),COUNTIFS($A$14:$A$1213,$A855,$S$14:$S$1213,"&gt;"&amp;$S855)+(COUNTIFS($A$14:$A$1213,$A855,$S$14:$S$1213,"="&amp;$S855)+1)/2,"")</f>
        <v/>
      </c>
      <c r="AG855" s="27">
        <f>IF(ISNUMBER($T855),COUNTIFS($A$14:$A$1213,$A855,$T$14:$T$1213,"&gt;"&amp;$T855)+(COUNTIFS($A$14:$A$1213,$A855,$T$14:$T$1213,"="&amp;$T855)+1)/2,"")</f>
        <v/>
      </c>
      <c r="AH855" s="27">
        <f>IF(COUNT($AC855:$AG855)&lt;2,"",IF(MAX($AC855:$AG855)=MIN($AC855:$AG855),0,1))</f>
        <v/>
      </c>
      <c r="AI855" s="27">
        <f>IF($A855="","",IF(COUNTIF($A$14:$A855,$A855)=1,COUNTIF($AI$13:AI854,"&gt;0")+1,""))</f>
        <v/>
      </c>
      <c r="AO855" s="27">
        <f>IF($A855="","",IF(AND(COUNTIFS($A$14:$A$1213,$A855,$F$14:$F$1213,"&gt;=0")=2,IFERROR(INDEX($M$14:$M$313,MATCH($A855,$H$14:$H$313,0)),"Yes")&lt;&gt;"Yes"),1,0))</f>
        <v/>
      </c>
    </row>
    <row r="856">
      <c r="A856" s="19">
        <f>IF('Enter messages'!A856="","",'Enter messages'!A856)</f>
        <v/>
      </c>
      <c r="B856" s="20">
        <f>IF('Enter messages'!B856="","",'Enter messages'!B856)</f>
        <v/>
      </c>
      <c r="C856" s="21">
        <f>IFERROR(AVERAGE(P856:T856),"")</f>
        <v/>
      </c>
      <c r="D856" s="29" t="n"/>
      <c r="E856" s="29" t="n"/>
      <c r="F856" s="30">
        <f>IF(AND(ISNUMBER($D856),ISNUMBER($E856),$E856&gt;0,$D856&lt;=$E856),$D856/$E856,"")</f>
        <v/>
      </c>
      <c r="P856" s="26" t="n"/>
      <c r="Q856" s="26" t="n"/>
      <c r="R856" s="26" t="n"/>
      <c r="S856" s="26" t="n"/>
      <c r="T856" s="26" t="n"/>
      <c r="V856" s="27">
        <f>IF(ISNUMBER($C856),COUNTIFS($A$14:$A$1213,$A856,$C$14:$C$1213,"&gt;"&amp;$C856)+(COUNTIFS($A$14:$A$1213,$A856,$C$14:$C$1213,"="&amp;$C856)+1)/2,"")</f>
        <v/>
      </c>
      <c r="W856" s="27">
        <f>IF(ISNUMBER($F856),COUNTIFS($A$14:$A$1213,$A856,$F$14:$F$1213,"&gt;"&amp;$F856)+(COUNTIFS($A$14:$A$1213,$A856,$F$14:$F$1213,"="&amp;$F856)+1)/2,"")</f>
        <v/>
      </c>
      <c r="X856" s="27">
        <f>IF(OR(NOT(ISNUMBER($V856)),$AO856=1),"",$V856-(COUNTIFS($A$14:$A$1213,$A856,$C$14:$C$1213,"&gt;=0")+1)/2)</f>
        <v/>
      </c>
      <c r="Y856" s="27">
        <f>IF(OR(NOT(ISNUMBER($W856)),$AO856=1),"",$W856-(COUNTIFS($A$14:$A$1213,$A856,$F$14:$F$1213,"&gt;=0")+1)/2)</f>
        <v/>
      </c>
      <c r="Z856" s="27">
        <f>IF(ISNUMBER($V856),$A856&amp;"|"&amp;$V856,"")</f>
        <v/>
      </c>
      <c r="AA856" s="27">
        <f>IF(ISNUMBER($W856),$A856&amp;"|"&amp;$W856,"")</f>
        <v/>
      </c>
      <c r="AB856" s="27">
        <f>IF(ISNUMBER($F856),$A856&amp;"|"&amp;$F856,"")</f>
        <v/>
      </c>
      <c r="AC856" s="27">
        <f>IF(ISNUMBER($P856),COUNTIFS($A$14:$A$1213,$A856,$P$14:$P$1213,"&gt;"&amp;$P856)+(COUNTIFS($A$14:$A$1213,$A856,$P$14:$P$1213,"="&amp;$P856)+1)/2,"")</f>
        <v/>
      </c>
      <c r="AD856" s="27">
        <f>IF(ISNUMBER($Q856),COUNTIFS($A$14:$A$1213,$A856,$Q$14:$Q$1213,"&gt;"&amp;$Q856)+(COUNTIFS($A$14:$A$1213,$A856,$Q$14:$Q$1213,"="&amp;$Q856)+1)/2,"")</f>
        <v/>
      </c>
      <c r="AE856" s="27">
        <f>IF(ISNUMBER($R856),COUNTIFS($A$14:$A$1213,$A856,$R$14:$R$1213,"&gt;"&amp;$R856)+(COUNTIFS($A$14:$A$1213,$A856,$R$14:$R$1213,"="&amp;$R856)+1)/2,"")</f>
        <v/>
      </c>
      <c r="AF856" s="27">
        <f>IF(ISNUMBER($S856),COUNTIFS($A$14:$A$1213,$A856,$S$14:$S$1213,"&gt;"&amp;$S856)+(COUNTIFS($A$14:$A$1213,$A856,$S$14:$S$1213,"="&amp;$S856)+1)/2,"")</f>
        <v/>
      </c>
      <c r="AG856" s="27">
        <f>IF(ISNUMBER($T856),COUNTIFS($A$14:$A$1213,$A856,$T$14:$T$1213,"&gt;"&amp;$T856)+(COUNTIFS($A$14:$A$1213,$A856,$T$14:$T$1213,"="&amp;$T856)+1)/2,"")</f>
        <v/>
      </c>
      <c r="AH856" s="27">
        <f>IF(COUNT($AC856:$AG856)&lt;2,"",IF(MAX($AC856:$AG856)=MIN($AC856:$AG856),0,1))</f>
        <v/>
      </c>
      <c r="AI856" s="27">
        <f>IF($A856="","",IF(COUNTIF($A$14:$A856,$A856)=1,COUNTIF($AI$13:AI855,"&gt;0")+1,""))</f>
        <v/>
      </c>
      <c r="AO856" s="27">
        <f>IF($A856="","",IF(AND(COUNTIFS($A$14:$A$1213,$A856,$F$14:$F$1213,"&gt;=0")=2,IFERROR(INDEX($M$14:$M$313,MATCH($A856,$H$14:$H$313,0)),"Yes")&lt;&gt;"Yes"),1,0))</f>
        <v/>
      </c>
    </row>
    <row r="857">
      <c r="A857" s="19">
        <f>IF('Enter messages'!A857="","",'Enter messages'!A857)</f>
        <v/>
      </c>
      <c r="B857" s="20">
        <f>IF('Enter messages'!B857="","",'Enter messages'!B857)</f>
        <v/>
      </c>
      <c r="C857" s="21">
        <f>IFERROR(AVERAGE(P857:T857),"")</f>
        <v/>
      </c>
      <c r="D857" s="29" t="n"/>
      <c r="E857" s="29" t="n"/>
      <c r="F857" s="30">
        <f>IF(AND(ISNUMBER($D857),ISNUMBER($E857),$E857&gt;0,$D857&lt;=$E857),$D857/$E857,"")</f>
        <v/>
      </c>
      <c r="P857" s="26" t="n"/>
      <c r="Q857" s="26" t="n"/>
      <c r="R857" s="26" t="n"/>
      <c r="S857" s="26" t="n"/>
      <c r="T857" s="26" t="n"/>
      <c r="V857" s="27">
        <f>IF(ISNUMBER($C857),COUNTIFS($A$14:$A$1213,$A857,$C$14:$C$1213,"&gt;"&amp;$C857)+(COUNTIFS($A$14:$A$1213,$A857,$C$14:$C$1213,"="&amp;$C857)+1)/2,"")</f>
        <v/>
      </c>
      <c r="W857" s="27">
        <f>IF(ISNUMBER($F857),COUNTIFS($A$14:$A$1213,$A857,$F$14:$F$1213,"&gt;"&amp;$F857)+(COUNTIFS($A$14:$A$1213,$A857,$F$14:$F$1213,"="&amp;$F857)+1)/2,"")</f>
        <v/>
      </c>
      <c r="X857" s="27">
        <f>IF(OR(NOT(ISNUMBER($V857)),$AO857=1),"",$V857-(COUNTIFS($A$14:$A$1213,$A857,$C$14:$C$1213,"&gt;=0")+1)/2)</f>
        <v/>
      </c>
      <c r="Y857" s="27">
        <f>IF(OR(NOT(ISNUMBER($W857)),$AO857=1),"",$W857-(COUNTIFS($A$14:$A$1213,$A857,$F$14:$F$1213,"&gt;=0")+1)/2)</f>
        <v/>
      </c>
      <c r="Z857" s="27">
        <f>IF(ISNUMBER($V857),$A857&amp;"|"&amp;$V857,"")</f>
        <v/>
      </c>
      <c r="AA857" s="27">
        <f>IF(ISNUMBER($W857),$A857&amp;"|"&amp;$W857,"")</f>
        <v/>
      </c>
      <c r="AB857" s="27">
        <f>IF(ISNUMBER($F857),$A857&amp;"|"&amp;$F857,"")</f>
        <v/>
      </c>
      <c r="AC857" s="27">
        <f>IF(ISNUMBER($P857),COUNTIFS($A$14:$A$1213,$A857,$P$14:$P$1213,"&gt;"&amp;$P857)+(COUNTIFS($A$14:$A$1213,$A857,$P$14:$P$1213,"="&amp;$P857)+1)/2,"")</f>
        <v/>
      </c>
      <c r="AD857" s="27">
        <f>IF(ISNUMBER($Q857),COUNTIFS($A$14:$A$1213,$A857,$Q$14:$Q$1213,"&gt;"&amp;$Q857)+(COUNTIFS($A$14:$A$1213,$A857,$Q$14:$Q$1213,"="&amp;$Q857)+1)/2,"")</f>
        <v/>
      </c>
      <c r="AE857" s="27">
        <f>IF(ISNUMBER($R857),COUNTIFS($A$14:$A$1213,$A857,$R$14:$R$1213,"&gt;"&amp;$R857)+(COUNTIFS($A$14:$A$1213,$A857,$R$14:$R$1213,"="&amp;$R857)+1)/2,"")</f>
        <v/>
      </c>
      <c r="AF857" s="27">
        <f>IF(ISNUMBER($S857),COUNTIFS($A$14:$A$1213,$A857,$S$14:$S$1213,"&gt;"&amp;$S857)+(COUNTIFS($A$14:$A$1213,$A857,$S$14:$S$1213,"="&amp;$S857)+1)/2,"")</f>
        <v/>
      </c>
      <c r="AG857" s="27">
        <f>IF(ISNUMBER($T857),COUNTIFS($A$14:$A$1213,$A857,$T$14:$T$1213,"&gt;"&amp;$T857)+(COUNTIFS($A$14:$A$1213,$A857,$T$14:$T$1213,"="&amp;$T857)+1)/2,"")</f>
        <v/>
      </c>
      <c r="AH857" s="27">
        <f>IF(COUNT($AC857:$AG857)&lt;2,"",IF(MAX($AC857:$AG857)=MIN($AC857:$AG857),0,1))</f>
        <v/>
      </c>
      <c r="AI857" s="27">
        <f>IF($A857="","",IF(COUNTIF($A$14:$A857,$A857)=1,COUNTIF($AI$13:AI856,"&gt;0")+1,""))</f>
        <v/>
      </c>
      <c r="AO857" s="27">
        <f>IF($A857="","",IF(AND(COUNTIFS($A$14:$A$1213,$A857,$F$14:$F$1213,"&gt;=0")=2,IFERROR(INDEX($M$14:$M$313,MATCH($A857,$H$14:$H$313,0)),"Yes")&lt;&gt;"Yes"),1,0))</f>
        <v/>
      </c>
    </row>
    <row r="858">
      <c r="A858" s="19">
        <f>IF('Enter messages'!A858="","",'Enter messages'!A858)</f>
        <v/>
      </c>
      <c r="B858" s="20">
        <f>IF('Enter messages'!B858="","",'Enter messages'!B858)</f>
        <v/>
      </c>
      <c r="C858" s="21">
        <f>IFERROR(AVERAGE(P858:T858),"")</f>
        <v/>
      </c>
      <c r="D858" s="29" t="n"/>
      <c r="E858" s="29" t="n"/>
      <c r="F858" s="30">
        <f>IF(AND(ISNUMBER($D858),ISNUMBER($E858),$E858&gt;0,$D858&lt;=$E858),$D858/$E858,"")</f>
        <v/>
      </c>
      <c r="P858" s="26" t="n"/>
      <c r="Q858" s="26" t="n"/>
      <c r="R858" s="26" t="n"/>
      <c r="S858" s="26" t="n"/>
      <c r="T858" s="26" t="n"/>
      <c r="V858" s="27">
        <f>IF(ISNUMBER($C858),COUNTIFS($A$14:$A$1213,$A858,$C$14:$C$1213,"&gt;"&amp;$C858)+(COUNTIFS($A$14:$A$1213,$A858,$C$14:$C$1213,"="&amp;$C858)+1)/2,"")</f>
        <v/>
      </c>
      <c r="W858" s="27">
        <f>IF(ISNUMBER($F858),COUNTIFS($A$14:$A$1213,$A858,$F$14:$F$1213,"&gt;"&amp;$F858)+(COUNTIFS($A$14:$A$1213,$A858,$F$14:$F$1213,"="&amp;$F858)+1)/2,"")</f>
        <v/>
      </c>
      <c r="X858" s="27">
        <f>IF(OR(NOT(ISNUMBER($V858)),$AO858=1),"",$V858-(COUNTIFS($A$14:$A$1213,$A858,$C$14:$C$1213,"&gt;=0")+1)/2)</f>
        <v/>
      </c>
      <c r="Y858" s="27">
        <f>IF(OR(NOT(ISNUMBER($W858)),$AO858=1),"",$W858-(COUNTIFS($A$14:$A$1213,$A858,$F$14:$F$1213,"&gt;=0")+1)/2)</f>
        <v/>
      </c>
      <c r="Z858" s="27">
        <f>IF(ISNUMBER($V858),$A858&amp;"|"&amp;$V858,"")</f>
        <v/>
      </c>
      <c r="AA858" s="27">
        <f>IF(ISNUMBER($W858),$A858&amp;"|"&amp;$W858,"")</f>
        <v/>
      </c>
      <c r="AB858" s="27">
        <f>IF(ISNUMBER($F858),$A858&amp;"|"&amp;$F858,"")</f>
        <v/>
      </c>
      <c r="AC858" s="27">
        <f>IF(ISNUMBER($P858),COUNTIFS($A$14:$A$1213,$A858,$P$14:$P$1213,"&gt;"&amp;$P858)+(COUNTIFS($A$14:$A$1213,$A858,$P$14:$P$1213,"="&amp;$P858)+1)/2,"")</f>
        <v/>
      </c>
      <c r="AD858" s="27">
        <f>IF(ISNUMBER($Q858),COUNTIFS($A$14:$A$1213,$A858,$Q$14:$Q$1213,"&gt;"&amp;$Q858)+(COUNTIFS($A$14:$A$1213,$A858,$Q$14:$Q$1213,"="&amp;$Q858)+1)/2,"")</f>
        <v/>
      </c>
      <c r="AE858" s="27">
        <f>IF(ISNUMBER($R858),COUNTIFS($A$14:$A$1213,$A858,$R$14:$R$1213,"&gt;"&amp;$R858)+(COUNTIFS($A$14:$A$1213,$A858,$R$14:$R$1213,"="&amp;$R858)+1)/2,"")</f>
        <v/>
      </c>
      <c r="AF858" s="27">
        <f>IF(ISNUMBER($S858),COUNTIFS($A$14:$A$1213,$A858,$S$14:$S$1213,"&gt;"&amp;$S858)+(COUNTIFS($A$14:$A$1213,$A858,$S$14:$S$1213,"="&amp;$S858)+1)/2,"")</f>
        <v/>
      </c>
      <c r="AG858" s="27">
        <f>IF(ISNUMBER($T858),COUNTIFS($A$14:$A$1213,$A858,$T$14:$T$1213,"&gt;"&amp;$T858)+(COUNTIFS($A$14:$A$1213,$A858,$T$14:$T$1213,"="&amp;$T858)+1)/2,"")</f>
        <v/>
      </c>
      <c r="AH858" s="27">
        <f>IF(COUNT($AC858:$AG858)&lt;2,"",IF(MAX($AC858:$AG858)=MIN($AC858:$AG858),0,1))</f>
        <v/>
      </c>
      <c r="AI858" s="27">
        <f>IF($A858="","",IF(COUNTIF($A$14:$A858,$A858)=1,COUNTIF($AI$13:AI857,"&gt;0")+1,""))</f>
        <v/>
      </c>
      <c r="AO858" s="27">
        <f>IF($A858="","",IF(AND(COUNTIFS($A$14:$A$1213,$A858,$F$14:$F$1213,"&gt;=0")=2,IFERROR(INDEX($M$14:$M$313,MATCH($A858,$H$14:$H$313,0)),"Yes")&lt;&gt;"Yes"),1,0))</f>
        <v/>
      </c>
    </row>
    <row r="859">
      <c r="A859" s="19">
        <f>IF('Enter messages'!A859="","",'Enter messages'!A859)</f>
        <v/>
      </c>
      <c r="B859" s="20">
        <f>IF('Enter messages'!B859="","",'Enter messages'!B859)</f>
        <v/>
      </c>
      <c r="C859" s="21">
        <f>IFERROR(AVERAGE(P859:T859),"")</f>
        <v/>
      </c>
      <c r="D859" s="29" t="n"/>
      <c r="E859" s="29" t="n"/>
      <c r="F859" s="30">
        <f>IF(AND(ISNUMBER($D859),ISNUMBER($E859),$E859&gt;0,$D859&lt;=$E859),$D859/$E859,"")</f>
        <v/>
      </c>
      <c r="P859" s="26" t="n"/>
      <c r="Q859" s="26" t="n"/>
      <c r="R859" s="26" t="n"/>
      <c r="S859" s="26" t="n"/>
      <c r="T859" s="26" t="n"/>
      <c r="V859" s="27">
        <f>IF(ISNUMBER($C859),COUNTIFS($A$14:$A$1213,$A859,$C$14:$C$1213,"&gt;"&amp;$C859)+(COUNTIFS($A$14:$A$1213,$A859,$C$14:$C$1213,"="&amp;$C859)+1)/2,"")</f>
        <v/>
      </c>
      <c r="W859" s="27">
        <f>IF(ISNUMBER($F859),COUNTIFS($A$14:$A$1213,$A859,$F$14:$F$1213,"&gt;"&amp;$F859)+(COUNTIFS($A$14:$A$1213,$A859,$F$14:$F$1213,"="&amp;$F859)+1)/2,"")</f>
        <v/>
      </c>
      <c r="X859" s="27">
        <f>IF(OR(NOT(ISNUMBER($V859)),$AO859=1),"",$V859-(COUNTIFS($A$14:$A$1213,$A859,$C$14:$C$1213,"&gt;=0")+1)/2)</f>
        <v/>
      </c>
      <c r="Y859" s="27">
        <f>IF(OR(NOT(ISNUMBER($W859)),$AO859=1),"",$W859-(COUNTIFS($A$14:$A$1213,$A859,$F$14:$F$1213,"&gt;=0")+1)/2)</f>
        <v/>
      </c>
      <c r="Z859" s="27">
        <f>IF(ISNUMBER($V859),$A859&amp;"|"&amp;$V859,"")</f>
        <v/>
      </c>
      <c r="AA859" s="27">
        <f>IF(ISNUMBER($W859),$A859&amp;"|"&amp;$W859,"")</f>
        <v/>
      </c>
      <c r="AB859" s="27">
        <f>IF(ISNUMBER($F859),$A859&amp;"|"&amp;$F859,"")</f>
        <v/>
      </c>
      <c r="AC859" s="27">
        <f>IF(ISNUMBER($P859),COUNTIFS($A$14:$A$1213,$A859,$P$14:$P$1213,"&gt;"&amp;$P859)+(COUNTIFS($A$14:$A$1213,$A859,$P$14:$P$1213,"="&amp;$P859)+1)/2,"")</f>
        <v/>
      </c>
      <c r="AD859" s="27">
        <f>IF(ISNUMBER($Q859),COUNTIFS($A$14:$A$1213,$A859,$Q$14:$Q$1213,"&gt;"&amp;$Q859)+(COUNTIFS($A$14:$A$1213,$A859,$Q$14:$Q$1213,"="&amp;$Q859)+1)/2,"")</f>
        <v/>
      </c>
      <c r="AE859" s="27">
        <f>IF(ISNUMBER($R859),COUNTIFS($A$14:$A$1213,$A859,$R$14:$R$1213,"&gt;"&amp;$R859)+(COUNTIFS($A$14:$A$1213,$A859,$R$14:$R$1213,"="&amp;$R859)+1)/2,"")</f>
        <v/>
      </c>
      <c r="AF859" s="27">
        <f>IF(ISNUMBER($S859),COUNTIFS($A$14:$A$1213,$A859,$S$14:$S$1213,"&gt;"&amp;$S859)+(COUNTIFS($A$14:$A$1213,$A859,$S$14:$S$1213,"="&amp;$S859)+1)/2,"")</f>
        <v/>
      </c>
      <c r="AG859" s="27">
        <f>IF(ISNUMBER($T859),COUNTIFS($A$14:$A$1213,$A859,$T$14:$T$1213,"&gt;"&amp;$T859)+(COUNTIFS($A$14:$A$1213,$A859,$T$14:$T$1213,"="&amp;$T859)+1)/2,"")</f>
        <v/>
      </c>
      <c r="AH859" s="27">
        <f>IF(COUNT($AC859:$AG859)&lt;2,"",IF(MAX($AC859:$AG859)=MIN($AC859:$AG859),0,1))</f>
        <v/>
      </c>
      <c r="AI859" s="27">
        <f>IF($A859="","",IF(COUNTIF($A$14:$A859,$A859)=1,COUNTIF($AI$13:AI858,"&gt;0")+1,""))</f>
        <v/>
      </c>
      <c r="AO859" s="27">
        <f>IF($A859="","",IF(AND(COUNTIFS($A$14:$A$1213,$A859,$F$14:$F$1213,"&gt;=0")=2,IFERROR(INDEX($M$14:$M$313,MATCH($A859,$H$14:$H$313,0)),"Yes")&lt;&gt;"Yes"),1,0))</f>
        <v/>
      </c>
    </row>
    <row r="860">
      <c r="A860" s="19">
        <f>IF('Enter messages'!A860="","",'Enter messages'!A860)</f>
        <v/>
      </c>
      <c r="B860" s="20">
        <f>IF('Enter messages'!B860="","",'Enter messages'!B860)</f>
        <v/>
      </c>
      <c r="C860" s="21">
        <f>IFERROR(AVERAGE(P860:T860),"")</f>
        <v/>
      </c>
      <c r="D860" s="29" t="n"/>
      <c r="E860" s="29" t="n"/>
      <c r="F860" s="30">
        <f>IF(AND(ISNUMBER($D860),ISNUMBER($E860),$E860&gt;0,$D860&lt;=$E860),$D860/$E860,"")</f>
        <v/>
      </c>
      <c r="P860" s="26" t="n"/>
      <c r="Q860" s="26" t="n"/>
      <c r="R860" s="26" t="n"/>
      <c r="S860" s="26" t="n"/>
      <c r="T860" s="26" t="n"/>
      <c r="V860" s="27">
        <f>IF(ISNUMBER($C860),COUNTIFS($A$14:$A$1213,$A860,$C$14:$C$1213,"&gt;"&amp;$C860)+(COUNTIFS($A$14:$A$1213,$A860,$C$14:$C$1213,"="&amp;$C860)+1)/2,"")</f>
        <v/>
      </c>
      <c r="W860" s="27">
        <f>IF(ISNUMBER($F860),COUNTIFS($A$14:$A$1213,$A860,$F$14:$F$1213,"&gt;"&amp;$F860)+(COUNTIFS($A$14:$A$1213,$A860,$F$14:$F$1213,"="&amp;$F860)+1)/2,"")</f>
        <v/>
      </c>
      <c r="X860" s="27">
        <f>IF(OR(NOT(ISNUMBER($V860)),$AO860=1),"",$V860-(COUNTIFS($A$14:$A$1213,$A860,$C$14:$C$1213,"&gt;=0")+1)/2)</f>
        <v/>
      </c>
      <c r="Y860" s="27">
        <f>IF(OR(NOT(ISNUMBER($W860)),$AO860=1),"",$W860-(COUNTIFS($A$14:$A$1213,$A860,$F$14:$F$1213,"&gt;=0")+1)/2)</f>
        <v/>
      </c>
      <c r="Z860" s="27">
        <f>IF(ISNUMBER($V860),$A860&amp;"|"&amp;$V860,"")</f>
        <v/>
      </c>
      <c r="AA860" s="27">
        <f>IF(ISNUMBER($W860),$A860&amp;"|"&amp;$W860,"")</f>
        <v/>
      </c>
      <c r="AB860" s="27">
        <f>IF(ISNUMBER($F860),$A860&amp;"|"&amp;$F860,"")</f>
        <v/>
      </c>
      <c r="AC860" s="27">
        <f>IF(ISNUMBER($P860),COUNTIFS($A$14:$A$1213,$A860,$P$14:$P$1213,"&gt;"&amp;$P860)+(COUNTIFS($A$14:$A$1213,$A860,$P$14:$P$1213,"="&amp;$P860)+1)/2,"")</f>
        <v/>
      </c>
      <c r="AD860" s="27">
        <f>IF(ISNUMBER($Q860),COUNTIFS($A$14:$A$1213,$A860,$Q$14:$Q$1213,"&gt;"&amp;$Q860)+(COUNTIFS($A$14:$A$1213,$A860,$Q$14:$Q$1213,"="&amp;$Q860)+1)/2,"")</f>
        <v/>
      </c>
      <c r="AE860" s="27">
        <f>IF(ISNUMBER($R860),COUNTIFS($A$14:$A$1213,$A860,$R$14:$R$1213,"&gt;"&amp;$R860)+(COUNTIFS($A$14:$A$1213,$A860,$R$14:$R$1213,"="&amp;$R860)+1)/2,"")</f>
        <v/>
      </c>
      <c r="AF860" s="27">
        <f>IF(ISNUMBER($S860),COUNTIFS($A$14:$A$1213,$A860,$S$14:$S$1213,"&gt;"&amp;$S860)+(COUNTIFS($A$14:$A$1213,$A860,$S$14:$S$1213,"="&amp;$S860)+1)/2,"")</f>
        <v/>
      </c>
      <c r="AG860" s="27">
        <f>IF(ISNUMBER($T860),COUNTIFS($A$14:$A$1213,$A860,$T$14:$T$1213,"&gt;"&amp;$T860)+(COUNTIFS($A$14:$A$1213,$A860,$T$14:$T$1213,"="&amp;$T860)+1)/2,"")</f>
        <v/>
      </c>
      <c r="AH860" s="27">
        <f>IF(COUNT($AC860:$AG860)&lt;2,"",IF(MAX($AC860:$AG860)=MIN($AC860:$AG860),0,1))</f>
        <v/>
      </c>
      <c r="AI860" s="27">
        <f>IF($A860="","",IF(COUNTIF($A$14:$A860,$A860)=1,COUNTIF($AI$13:AI859,"&gt;0")+1,""))</f>
        <v/>
      </c>
      <c r="AO860" s="27">
        <f>IF($A860="","",IF(AND(COUNTIFS($A$14:$A$1213,$A860,$F$14:$F$1213,"&gt;=0")=2,IFERROR(INDEX($M$14:$M$313,MATCH($A860,$H$14:$H$313,0)),"Yes")&lt;&gt;"Yes"),1,0))</f>
        <v/>
      </c>
    </row>
    <row r="861">
      <c r="A861" s="19">
        <f>IF('Enter messages'!A861="","",'Enter messages'!A861)</f>
        <v/>
      </c>
      <c r="B861" s="20">
        <f>IF('Enter messages'!B861="","",'Enter messages'!B861)</f>
        <v/>
      </c>
      <c r="C861" s="21">
        <f>IFERROR(AVERAGE(P861:T861),"")</f>
        <v/>
      </c>
      <c r="D861" s="29" t="n"/>
      <c r="E861" s="29" t="n"/>
      <c r="F861" s="30">
        <f>IF(AND(ISNUMBER($D861),ISNUMBER($E861),$E861&gt;0,$D861&lt;=$E861),$D861/$E861,"")</f>
        <v/>
      </c>
      <c r="P861" s="26" t="n"/>
      <c r="Q861" s="26" t="n"/>
      <c r="R861" s="26" t="n"/>
      <c r="S861" s="26" t="n"/>
      <c r="T861" s="26" t="n"/>
      <c r="V861" s="27">
        <f>IF(ISNUMBER($C861),COUNTIFS($A$14:$A$1213,$A861,$C$14:$C$1213,"&gt;"&amp;$C861)+(COUNTIFS($A$14:$A$1213,$A861,$C$14:$C$1213,"="&amp;$C861)+1)/2,"")</f>
        <v/>
      </c>
      <c r="W861" s="27">
        <f>IF(ISNUMBER($F861),COUNTIFS($A$14:$A$1213,$A861,$F$14:$F$1213,"&gt;"&amp;$F861)+(COUNTIFS($A$14:$A$1213,$A861,$F$14:$F$1213,"="&amp;$F861)+1)/2,"")</f>
        <v/>
      </c>
      <c r="X861" s="27">
        <f>IF(OR(NOT(ISNUMBER($V861)),$AO861=1),"",$V861-(COUNTIFS($A$14:$A$1213,$A861,$C$14:$C$1213,"&gt;=0")+1)/2)</f>
        <v/>
      </c>
      <c r="Y861" s="27">
        <f>IF(OR(NOT(ISNUMBER($W861)),$AO861=1),"",$W861-(COUNTIFS($A$14:$A$1213,$A861,$F$14:$F$1213,"&gt;=0")+1)/2)</f>
        <v/>
      </c>
      <c r="Z861" s="27">
        <f>IF(ISNUMBER($V861),$A861&amp;"|"&amp;$V861,"")</f>
        <v/>
      </c>
      <c r="AA861" s="27">
        <f>IF(ISNUMBER($W861),$A861&amp;"|"&amp;$W861,"")</f>
        <v/>
      </c>
      <c r="AB861" s="27">
        <f>IF(ISNUMBER($F861),$A861&amp;"|"&amp;$F861,"")</f>
        <v/>
      </c>
      <c r="AC861" s="27">
        <f>IF(ISNUMBER($P861),COUNTIFS($A$14:$A$1213,$A861,$P$14:$P$1213,"&gt;"&amp;$P861)+(COUNTIFS($A$14:$A$1213,$A861,$P$14:$P$1213,"="&amp;$P861)+1)/2,"")</f>
        <v/>
      </c>
      <c r="AD861" s="27">
        <f>IF(ISNUMBER($Q861),COUNTIFS($A$14:$A$1213,$A861,$Q$14:$Q$1213,"&gt;"&amp;$Q861)+(COUNTIFS($A$14:$A$1213,$A861,$Q$14:$Q$1213,"="&amp;$Q861)+1)/2,"")</f>
        <v/>
      </c>
      <c r="AE861" s="27">
        <f>IF(ISNUMBER($R861),COUNTIFS($A$14:$A$1213,$A861,$R$14:$R$1213,"&gt;"&amp;$R861)+(COUNTIFS($A$14:$A$1213,$A861,$R$14:$R$1213,"="&amp;$R861)+1)/2,"")</f>
        <v/>
      </c>
      <c r="AF861" s="27">
        <f>IF(ISNUMBER($S861),COUNTIFS($A$14:$A$1213,$A861,$S$14:$S$1213,"&gt;"&amp;$S861)+(COUNTIFS($A$14:$A$1213,$A861,$S$14:$S$1213,"="&amp;$S861)+1)/2,"")</f>
        <v/>
      </c>
      <c r="AG861" s="27">
        <f>IF(ISNUMBER($T861),COUNTIFS($A$14:$A$1213,$A861,$T$14:$T$1213,"&gt;"&amp;$T861)+(COUNTIFS($A$14:$A$1213,$A861,$T$14:$T$1213,"="&amp;$T861)+1)/2,"")</f>
        <v/>
      </c>
      <c r="AH861" s="27">
        <f>IF(COUNT($AC861:$AG861)&lt;2,"",IF(MAX($AC861:$AG861)=MIN($AC861:$AG861),0,1))</f>
        <v/>
      </c>
      <c r="AI861" s="27">
        <f>IF($A861="","",IF(COUNTIF($A$14:$A861,$A861)=1,COUNTIF($AI$13:AI860,"&gt;0")+1,""))</f>
        <v/>
      </c>
      <c r="AO861" s="27">
        <f>IF($A861="","",IF(AND(COUNTIFS($A$14:$A$1213,$A861,$F$14:$F$1213,"&gt;=0")=2,IFERROR(INDEX($M$14:$M$313,MATCH($A861,$H$14:$H$313,0)),"Yes")&lt;&gt;"Yes"),1,0))</f>
        <v/>
      </c>
    </row>
    <row r="862">
      <c r="A862" s="19">
        <f>IF('Enter messages'!A862="","",'Enter messages'!A862)</f>
        <v/>
      </c>
      <c r="B862" s="20">
        <f>IF('Enter messages'!B862="","",'Enter messages'!B862)</f>
        <v/>
      </c>
      <c r="C862" s="21">
        <f>IFERROR(AVERAGE(P862:T862),"")</f>
        <v/>
      </c>
      <c r="D862" s="29" t="n"/>
      <c r="E862" s="29" t="n"/>
      <c r="F862" s="30">
        <f>IF(AND(ISNUMBER($D862),ISNUMBER($E862),$E862&gt;0,$D862&lt;=$E862),$D862/$E862,"")</f>
        <v/>
      </c>
      <c r="P862" s="26" t="n"/>
      <c r="Q862" s="26" t="n"/>
      <c r="R862" s="26" t="n"/>
      <c r="S862" s="26" t="n"/>
      <c r="T862" s="26" t="n"/>
      <c r="V862" s="27">
        <f>IF(ISNUMBER($C862),COUNTIFS($A$14:$A$1213,$A862,$C$14:$C$1213,"&gt;"&amp;$C862)+(COUNTIFS($A$14:$A$1213,$A862,$C$14:$C$1213,"="&amp;$C862)+1)/2,"")</f>
        <v/>
      </c>
      <c r="W862" s="27">
        <f>IF(ISNUMBER($F862),COUNTIFS($A$14:$A$1213,$A862,$F$14:$F$1213,"&gt;"&amp;$F862)+(COUNTIFS($A$14:$A$1213,$A862,$F$14:$F$1213,"="&amp;$F862)+1)/2,"")</f>
        <v/>
      </c>
      <c r="X862" s="27">
        <f>IF(OR(NOT(ISNUMBER($V862)),$AO862=1),"",$V862-(COUNTIFS($A$14:$A$1213,$A862,$C$14:$C$1213,"&gt;=0")+1)/2)</f>
        <v/>
      </c>
      <c r="Y862" s="27">
        <f>IF(OR(NOT(ISNUMBER($W862)),$AO862=1),"",$W862-(COUNTIFS($A$14:$A$1213,$A862,$F$14:$F$1213,"&gt;=0")+1)/2)</f>
        <v/>
      </c>
      <c r="Z862" s="27">
        <f>IF(ISNUMBER($V862),$A862&amp;"|"&amp;$V862,"")</f>
        <v/>
      </c>
      <c r="AA862" s="27">
        <f>IF(ISNUMBER($W862),$A862&amp;"|"&amp;$W862,"")</f>
        <v/>
      </c>
      <c r="AB862" s="27">
        <f>IF(ISNUMBER($F862),$A862&amp;"|"&amp;$F862,"")</f>
        <v/>
      </c>
      <c r="AC862" s="27">
        <f>IF(ISNUMBER($P862),COUNTIFS($A$14:$A$1213,$A862,$P$14:$P$1213,"&gt;"&amp;$P862)+(COUNTIFS($A$14:$A$1213,$A862,$P$14:$P$1213,"="&amp;$P862)+1)/2,"")</f>
        <v/>
      </c>
      <c r="AD862" s="27">
        <f>IF(ISNUMBER($Q862),COUNTIFS($A$14:$A$1213,$A862,$Q$14:$Q$1213,"&gt;"&amp;$Q862)+(COUNTIFS($A$14:$A$1213,$A862,$Q$14:$Q$1213,"="&amp;$Q862)+1)/2,"")</f>
        <v/>
      </c>
      <c r="AE862" s="27">
        <f>IF(ISNUMBER($R862),COUNTIFS($A$14:$A$1213,$A862,$R$14:$R$1213,"&gt;"&amp;$R862)+(COUNTIFS($A$14:$A$1213,$A862,$R$14:$R$1213,"="&amp;$R862)+1)/2,"")</f>
        <v/>
      </c>
      <c r="AF862" s="27">
        <f>IF(ISNUMBER($S862),COUNTIFS($A$14:$A$1213,$A862,$S$14:$S$1213,"&gt;"&amp;$S862)+(COUNTIFS($A$14:$A$1213,$A862,$S$14:$S$1213,"="&amp;$S862)+1)/2,"")</f>
        <v/>
      </c>
      <c r="AG862" s="27">
        <f>IF(ISNUMBER($T862),COUNTIFS($A$14:$A$1213,$A862,$T$14:$T$1213,"&gt;"&amp;$T862)+(COUNTIFS($A$14:$A$1213,$A862,$T$14:$T$1213,"="&amp;$T862)+1)/2,"")</f>
        <v/>
      </c>
      <c r="AH862" s="27">
        <f>IF(COUNT($AC862:$AG862)&lt;2,"",IF(MAX($AC862:$AG862)=MIN($AC862:$AG862),0,1))</f>
        <v/>
      </c>
      <c r="AI862" s="27">
        <f>IF($A862="","",IF(COUNTIF($A$14:$A862,$A862)=1,COUNTIF($AI$13:AI861,"&gt;0")+1,""))</f>
        <v/>
      </c>
      <c r="AO862" s="27">
        <f>IF($A862="","",IF(AND(COUNTIFS($A$14:$A$1213,$A862,$F$14:$F$1213,"&gt;=0")=2,IFERROR(INDEX($M$14:$M$313,MATCH($A862,$H$14:$H$313,0)),"Yes")&lt;&gt;"Yes"),1,0))</f>
        <v/>
      </c>
    </row>
    <row r="863">
      <c r="A863" s="19">
        <f>IF('Enter messages'!A863="","",'Enter messages'!A863)</f>
        <v/>
      </c>
      <c r="B863" s="20">
        <f>IF('Enter messages'!B863="","",'Enter messages'!B863)</f>
        <v/>
      </c>
      <c r="C863" s="21">
        <f>IFERROR(AVERAGE(P863:T863),"")</f>
        <v/>
      </c>
      <c r="D863" s="29" t="n"/>
      <c r="E863" s="29" t="n"/>
      <c r="F863" s="30">
        <f>IF(AND(ISNUMBER($D863),ISNUMBER($E863),$E863&gt;0,$D863&lt;=$E863),$D863/$E863,"")</f>
        <v/>
      </c>
      <c r="P863" s="26" t="n"/>
      <c r="Q863" s="26" t="n"/>
      <c r="R863" s="26" t="n"/>
      <c r="S863" s="26" t="n"/>
      <c r="T863" s="26" t="n"/>
      <c r="V863" s="27">
        <f>IF(ISNUMBER($C863),COUNTIFS($A$14:$A$1213,$A863,$C$14:$C$1213,"&gt;"&amp;$C863)+(COUNTIFS($A$14:$A$1213,$A863,$C$14:$C$1213,"="&amp;$C863)+1)/2,"")</f>
        <v/>
      </c>
      <c r="W863" s="27">
        <f>IF(ISNUMBER($F863),COUNTIFS($A$14:$A$1213,$A863,$F$14:$F$1213,"&gt;"&amp;$F863)+(COUNTIFS($A$14:$A$1213,$A863,$F$14:$F$1213,"="&amp;$F863)+1)/2,"")</f>
        <v/>
      </c>
      <c r="X863" s="27">
        <f>IF(OR(NOT(ISNUMBER($V863)),$AO863=1),"",$V863-(COUNTIFS($A$14:$A$1213,$A863,$C$14:$C$1213,"&gt;=0")+1)/2)</f>
        <v/>
      </c>
      <c r="Y863" s="27">
        <f>IF(OR(NOT(ISNUMBER($W863)),$AO863=1),"",$W863-(COUNTIFS($A$14:$A$1213,$A863,$F$14:$F$1213,"&gt;=0")+1)/2)</f>
        <v/>
      </c>
      <c r="Z863" s="27">
        <f>IF(ISNUMBER($V863),$A863&amp;"|"&amp;$V863,"")</f>
        <v/>
      </c>
      <c r="AA863" s="27">
        <f>IF(ISNUMBER($W863),$A863&amp;"|"&amp;$W863,"")</f>
        <v/>
      </c>
      <c r="AB863" s="27">
        <f>IF(ISNUMBER($F863),$A863&amp;"|"&amp;$F863,"")</f>
        <v/>
      </c>
      <c r="AC863" s="27">
        <f>IF(ISNUMBER($P863),COUNTIFS($A$14:$A$1213,$A863,$P$14:$P$1213,"&gt;"&amp;$P863)+(COUNTIFS($A$14:$A$1213,$A863,$P$14:$P$1213,"="&amp;$P863)+1)/2,"")</f>
        <v/>
      </c>
      <c r="AD863" s="27">
        <f>IF(ISNUMBER($Q863),COUNTIFS($A$14:$A$1213,$A863,$Q$14:$Q$1213,"&gt;"&amp;$Q863)+(COUNTIFS($A$14:$A$1213,$A863,$Q$14:$Q$1213,"="&amp;$Q863)+1)/2,"")</f>
        <v/>
      </c>
      <c r="AE863" s="27">
        <f>IF(ISNUMBER($R863),COUNTIFS($A$14:$A$1213,$A863,$R$14:$R$1213,"&gt;"&amp;$R863)+(COUNTIFS($A$14:$A$1213,$A863,$R$14:$R$1213,"="&amp;$R863)+1)/2,"")</f>
        <v/>
      </c>
      <c r="AF863" s="27">
        <f>IF(ISNUMBER($S863),COUNTIFS($A$14:$A$1213,$A863,$S$14:$S$1213,"&gt;"&amp;$S863)+(COUNTIFS($A$14:$A$1213,$A863,$S$14:$S$1213,"="&amp;$S863)+1)/2,"")</f>
        <v/>
      </c>
      <c r="AG863" s="27">
        <f>IF(ISNUMBER($T863),COUNTIFS($A$14:$A$1213,$A863,$T$14:$T$1213,"&gt;"&amp;$T863)+(COUNTIFS($A$14:$A$1213,$A863,$T$14:$T$1213,"="&amp;$T863)+1)/2,"")</f>
        <v/>
      </c>
      <c r="AH863" s="27">
        <f>IF(COUNT($AC863:$AG863)&lt;2,"",IF(MAX($AC863:$AG863)=MIN($AC863:$AG863),0,1))</f>
        <v/>
      </c>
      <c r="AI863" s="27">
        <f>IF($A863="","",IF(COUNTIF($A$14:$A863,$A863)=1,COUNTIF($AI$13:AI862,"&gt;0")+1,""))</f>
        <v/>
      </c>
      <c r="AO863" s="27">
        <f>IF($A863="","",IF(AND(COUNTIFS($A$14:$A$1213,$A863,$F$14:$F$1213,"&gt;=0")=2,IFERROR(INDEX($M$14:$M$313,MATCH($A863,$H$14:$H$313,0)),"Yes")&lt;&gt;"Yes"),1,0))</f>
        <v/>
      </c>
    </row>
    <row r="864">
      <c r="A864" s="19">
        <f>IF('Enter messages'!A864="","",'Enter messages'!A864)</f>
        <v/>
      </c>
      <c r="B864" s="20">
        <f>IF('Enter messages'!B864="","",'Enter messages'!B864)</f>
        <v/>
      </c>
      <c r="C864" s="21">
        <f>IFERROR(AVERAGE(P864:T864),"")</f>
        <v/>
      </c>
      <c r="D864" s="29" t="n"/>
      <c r="E864" s="29" t="n"/>
      <c r="F864" s="30">
        <f>IF(AND(ISNUMBER($D864),ISNUMBER($E864),$E864&gt;0,$D864&lt;=$E864),$D864/$E864,"")</f>
        <v/>
      </c>
      <c r="P864" s="26" t="n"/>
      <c r="Q864" s="26" t="n"/>
      <c r="R864" s="26" t="n"/>
      <c r="S864" s="26" t="n"/>
      <c r="T864" s="26" t="n"/>
      <c r="V864" s="27">
        <f>IF(ISNUMBER($C864),COUNTIFS($A$14:$A$1213,$A864,$C$14:$C$1213,"&gt;"&amp;$C864)+(COUNTIFS($A$14:$A$1213,$A864,$C$14:$C$1213,"="&amp;$C864)+1)/2,"")</f>
        <v/>
      </c>
      <c r="W864" s="27">
        <f>IF(ISNUMBER($F864),COUNTIFS($A$14:$A$1213,$A864,$F$14:$F$1213,"&gt;"&amp;$F864)+(COUNTIFS($A$14:$A$1213,$A864,$F$14:$F$1213,"="&amp;$F864)+1)/2,"")</f>
        <v/>
      </c>
      <c r="X864" s="27">
        <f>IF(OR(NOT(ISNUMBER($V864)),$AO864=1),"",$V864-(COUNTIFS($A$14:$A$1213,$A864,$C$14:$C$1213,"&gt;=0")+1)/2)</f>
        <v/>
      </c>
      <c r="Y864" s="27">
        <f>IF(OR(NOT(ISNUMBER($W864)),$AO864=1),"",$W864-(COUNTIFS($A$14:$A$1213,$A864,$F$14:$F$1213,"&gt;=0")+1)/2)</f>
        <v/>
      </c>
      <c r="Z864" s="27">
        <f>IF(ISNUMBER($V864),$A864&amp;"|"&amp;$V864,"")</f>
        <v/>
      </c>
      <c r="AA864" s="27">
        <f>IF(ISNUMBER($W864),$A864&amp;"|"&amp;$W864,"")</f>
        <v/>
      </c>
      <c r="AB864" s="27">
        <f>IF(ISNUMBER($F864),$A864&amp;"|"&amp;$F864,"")</f>
        <v/>
      </c>
      <c r="AC864" s="27">
        <f>IF(ISNUMBER($P864),COUNTIFS($A$14:$A$1213,$A864,$P$14:$P$1213,"&gt;"&amp;$P864)+(COUNTIFS($A$14:$A$1213,$A864,$P$14:$P$1213,"="&amp;$P864)+1)/2,"")</f>
        <v/>
      </c>
      <c r="AD864" s="27">
        <f>IF(ISNUMBER($Q864),COUNTIFS($A$14:$A$1213,$A864,$Q$14:$Q$1213,"&gt;"&amp;$Q864)+(COUNTIFS($A$14:$A$1213,$A864,$Q$14:$Q$1213,"="&amp;$Q864)+1)/2,"")</f>
        <v/>
      </c>
      <c r="AE864" s="27">
        <f>IF(ISNUMBER($R864),COUNTIFS($A$14:$A$1213,$A864,$R$14:$R$1213,"&gt;"&amp;$R864)+(COUNTIFS($A$14:$A$1213,$A864,$R$14:$R$1213,"="&amp;$R864)+1)/2,"")</f>
        <v/>
      </c>
      <c r="AF864" s="27">
        <f>IF(ISNUMBER($S864),COUNTIFS($A$14:$A$1213,$A864,$S$14:$S$1213,"&gt;"&amp;$S864)+(COUNTIFS($A$14:$A$1213,$A864,$S$14:$S$1213,"="&amp;$S864)+1)/2,"")</f>
        <v/>
      </c>
      <c r="AG864" s="27">
        <f>IF(ISNUMBER($T864),COUNTIFS($A$14:$A$1213,$A864,$T$14:$T$1213,"&gt;"&amp;$T864)+(COUNTIFS($A$14:$A$1213,$A864,$T$14:$T$1213,"="&amp;$T864)+1)/2,"")</f>
        <v/>
      </c>
      <c r="AH864" s="27">
        <f>IF(COUNT($AC864:$AG864)&lt;2,"",IF(MAX($AC864:$AG864)=MIN($AC864:$AG864),0,1))</f>
        <v/>
      </c>
      <c r="AI864" s="27">
        <f>IF($A864="","",IF(COUNTIF($A$14:$A864,$A864)=1,COUNTIF($AI$13:AI863,"&gt;0")+1,""))</f>
        <v/>
      </c>
      <c r="AO864" s="27">
        <f>IF($A864="","",IF(AND(COUNTIFS($A$14:$A$1213,$A864,$F$14:$F$1213,"&gt;=0")=2,IFERROR(INDEX($M$14:$M$313,MATCH($A864,$H$14:$H$313,0)),"Yes")&lt;&gt;"Yes"),1,0))</f>
        <v/>
      </c>
    </row>
    <row r="865">
      <c r="A865" s="19">
        <f>IF('Enter messages'!A865="","",'Enter messages'!A865)</f>
        <v/>
      </c>
      <c r="B865" s="20">
        <f>IF('Enter messages'!B865="","",'Enter messages'!B865)</f>
        <v/>
      </c>
      <c r="C865" s="21">
        <f>IFERROR(AVERAGE(P865:T865),"")</f>
        <v/>
      </c>
      <c r="D865" s="29" t="n"/>
      <c r="E865" s="29" t="n"/>
      <c r="F865" s="30">
        <f>IF(AND(ISNUMBER($D865),ISNUMBER($E865),$E865&gt;0,$D865&lt;=$E865),$D865/$E865,"")</f>
        <v/>
      </c>
      <c r="P865" s="26" t="n"/>
      <c r="Q865" s="26" t="n"/>
      <c r="R865" s="26" t="n"/>
      <c r="S865" s="26" t="n"/>
      <c r="T865" s="26" t="n"/>
      <c r="V865" s="27">
        <f>IF(ISNUMBER($C865),COUNTIFS($A$14:$A$1213,$A865,$C$14:$C$1213,"&gt;"&amp;$C865)+(COUNTIFS($A$14:$A$1213,$A865,$C$14:$C$1213,"="&amp;$C865)+1)/2,"")</f>
        <v/>
      </c>
      <c r="W865" s="27">
        <f>IF(ISNUMBER($F865),COUNTIFS($A$14:$A$1213,$A865,$F$14:$F$1213,"&gt;"&amp;$F865)+(COUNTIFS($A$14:$A$1213,$A865,$F$14:$F$1213,"="&amp;$F865)+1)/2,"")</f>
        <v/>
      </c>
      <c r="X865" s="27">
        <f>IF(OR(NOT(ISNUMBER($V865)),$AO865=1),"",$V865-(COUNTIFS($A$14:$A$1213,$A865,$C$14:$C$1213,"&gt;=0")+1)/2)</f>
        <v/>
      </c>
      <c r="Y865" s="27">
        <f>IF(OR(NOT(ISNUMBER($W865)),$AO865=1),"",$W865-(COUNTIFS($A$14:$A$1213,$A865,$F$14:$F$1213,"&gt;=0")+1)/2)</f>
        <v/>
      </c>
      <c r="Z865" s="27">
        <f>IF(ISNUMBER($V865),$A865&amp;"|"&amp;$V865,"")</f>
        <v/>
      </c>
      <c r="AA865" s="27">
        <f>IF(ISNUMBER($W865),$A865&amp;"|"&amp;$W865,"")</f>
        <v/>
      </c>
      <c r="AB865" s="27">
        <f>IF(ISNUMBER($F865),$A865&amp;"|"&amp;$F865,"")</f>
        <v/>
      </c>
      <c r="AC865" s="27">
        <f>IF(ISNUMBER($P865),COUNTIFS($A$14:$A$1213,$A865,$P$14:$P$1213,"&gt;"&amp;$P865)+(COUNTIFS($A$14:$A$1213,$A865,$P$14:$P$1213,"="&amp;$P865)+1)/2,"")</f>
        <v/>
      </c>
      <c r="AD865" s="27">
        <f>IF(ISNUMBER($Q865),COUNTIFS($A$14:$A$1213,$A865,$Q$14:$Q$1213,"&gt;"&amp;$Q865)+(COUNTIFS($A$14:$A$1213,$A865,$Q$14:$Q$1213,"="&amp;$Q865)+1)/2,"")</f>
        <v/>
      </c>
      <c r="AE865" s="27">
        <f>IF(ISNUMBER($R865),COUNTIFS($A$14:$A$1213,$A865,$R$14:$R$1213,"&gt;"&amp;$R865)+(COUNTIFS($A$14:$A$1213,$A865,$R$14:$R$1213,"="&amp;$R865)+1)/2,"")</f>
        <v/>
      </c>
      <c r="AF865" s="27">
        <f>IF(ISNUMBER($S865),COUNTIFS($A$14:$A$1213,$A865,$S$14:$S$1213,"&gt;"&amp;$S865)+(COUNTIFS($A$14:$A$1213,$A865,$S$14:$S$1213,"="&amp;$S865)+1)/2,"")</f>
        <v/>
      </c>
      <c r="AG865" s="27">
        <f>IF(ISNUMBER($T865),COUNTIFS($A$14:$A$1213,$A865,$T$14:$T$1213,"&gt;"&amp;$T865)+(COUNTIFS($A$14:$A$1213,$A865,$T$14:$T$1213,"="&amp;$T865)+1)/2,"")</f>
        <v/>
      </c>
      <c r="AH865" s="27">
        <f>IF(COUNT($AC865:$AG865)&lt;2,"",IF(MAX($AC865:$AG865)=MIN($AC865:$AG865),0,1))</f>
        <v/>
      </c>
      <c r="AI865" s="27">
        <f>IF($A865="","",IF(COUNTIF($A$14:$A865,$A865)=1,COUNTIF($AI$13:AI864,"&gt;0")+1,""))</f>
        <v/>
      </c>
      <c r="AO865" s="27">
        <f>IF($A865="","",IF(AND(COUNTIFS($A$14:$A$1213,$A865,$F$14:$F$1213,"&gt;=0")=2,IFERROR(INDEX($M$14:$M$313,MATCH($A865,$H$14:$H$313,0)),"Yes")&lt;&gt;"Yes"),1,0))</f>
        <v/>
      </c>
    </row>
    <row r="866">
      <c r="A866" s="19">
        <f>IF('Enter messages'!A866="","",'Enter messages'!A866)</f>
        <v/>
      </c>
      <c r="B866" s="20">
        <f>IF('Enter messages'!B866="","",'Enter messages'!B866)</f>
        <v/>
      </c>
      <c r="C866" s="21">
        <f>IFERROR(AVERAGE(P866:T866),"")</f>
        <v/>
      </c>
      <c r="D866" s="29" t="n"/>
      <c r="E866" s="29" t="n"/>
      <c r="F866" s="30">
        <f>IF(AND(ISNUMBER($D866),ISNUMBER($E866),$E866&gt;0,$D866&lt;=$E866),$D866/$E866,"")</f>
        <v/>
      </c>
      <c r="P866" s="26" t="n"/>
      <c r="Q866" s="26" t="n"/>
      <c r="R866" s="26" t="n"/>
      <c r="S866" s="26" t="n"/>
      <c r="T866" s="26" t="n"/>
      <c r="V866" s="27">
        <f>IF(ISNUMBER($C866),COUNTIFS($A$14:$A$1213,$A866,$C$14:$C$1213,"&gt;"&amp;$C866)+(COUNTIFS($A$14:$A$1213,$A866,$C$14:$C$1213,"="&amp;$C866)+1)/2,"")</f>
        <v/>
      </c>
      <c r="W866" s="27">
        <f>IF(ISNUMBER($F866),COUNTIFS($A$14:$A$1213,$A866,$F$14:$F$1213,"&gt;"&amp;$F866)+(COUNTIFS($A$14:$A$1213,$A866,$F$14:$F$1213,"="&amp;$F866)+1)/2,"")</f>
        <v/>
      </c>
      <c r="X866" s="27">
        <f>IF(OR(NOT(ISNUMBER($V866)),$AO866=1),"",$V866-(COUNTIFS($A$14:$A$1213,$A866,$C$14:$C$1213,"&gt;=0")+1)/2)</f>
        <v/>
      </c>
      <c r="Y866" s="27">
        <f>IF(OR(NOT(ISNUMBER($W866)),$AO866=1),"",$W866-(COUNTIFS($A$14:$A$1213,$A866,$F$14:$F$1213,"&gt;=0")+1)/2)</f>
        <v/>
      </c>
      <c r="Z866" s="27">
        <f>IF(ISNUMBER($V866),$A866&amp;"|"&amp;$V866,"")</f>
        <v/>
      </c>
      <c r="AA866" s="27">
        <f>IF(ISNUMBER($W866),$A866&amp;"|"&amp;$W866,"")</f>
        <v/>
      </c>
      <c r="AB866" s="27">
        <f>IF(ISNUMBER($F866),$A866&amp;"|"&amp;$F866,"")</f>
        <v/>
      </c>
      <c r="AC866" s="27">
        <f>IF(ISNUMBER($P866),COUNTIFS($A$14:$A$1213,$A866,$P$14:$P$1213,"&gt;"&amp;$P866)+(COUNTIFS($A$14:$A$1213,$A866,$P$14:$P$1213,"="&amp;$P866)+1)/2,"")</f>
        <v/>
      </c>
      <c r="AD866" s="27">
        <f>IF(ISNUMBER($Q866),COUNTIFS($A$14:$A$1213,$A866,$Q$14:$Q$1213,"&gt;"&amp;$Q866)+(COUNTIFS($A$14:$A$1213,$A866,$Q$14:$Q$1213,"="&amp;$Q866)+1)/2,"")</f>
        <v/>
      </c>
      <c r="AE866" s="27">
        <f>IF(ISNUMBER($R866),COUNTIFS($A$14:$A$1213,$A866,$R$14:$R$1213,"&gt;"&amp;$R866)+(COUNTIFS($A$14:$A$1213,$A866,$R$14:$R$1213,"="&amp;$R866)+1)/2,"")</f>
        <v/>
      </c>
      <c r="AF866" s="27">
        <f>IF(ISNUMBER($S866),COUNTIFS($A$14:$A$1213,$A866,$S$14:$S$1213,"&gt;"&amp;$S866)+(COUNTIFS($A$14:$A$1213,$A866,$S$14:$S$1213,"="&amp;$S866)+1)/2,"")</f>
        <v/>
      </c>
      <c r="AG866" s="27">
        <f>IF(ISNUMBER($T866),COUNTIFS($A$14:$A$1213,$A866,$T$14:$T$1213,"&gt;"&amp;$T866)+(COUNTIFS($A$14:$A$1213,$A866,$T$14:$T$1213,"="&amp;$T866)+1)/2,"")</f>
        <v/>
      </c>
      <c r="AH866" s="27">
        <f>IF(COUNT($AC866:$AG866)&lt;2,"",IF(MAX($AC866:$AG866)=MIN($AC866:$AG866),0,1))</f>
        <v/>
      </c>
      <c r="AI866" s="27">
        <f>IF($A866="","",IF(COUNTIF($A$14:$A866,$A866)=1,COUNTIF($AI$13:AI865,"&gt;0")+1,""))</f>
        <v/>
      </c>
      <c r="AO866" s="27">
        <f>IF($A866="","",IF(AND(COUNTIFS($A$14:$A$1213,$A866,$F$14:$F$1213,"&gt;=0")=2,IFERROR(INDEX($M$14:$M$313,MATCH($A866,$H$14:$H$313,0)),"Yes")&lt;&gt;"Yes"),1,0))</f>
        <v/>
      </c>
    </row>
    <row r="867">
      <c r="A867" s="19">
        <f>IF('Enter messages'!A867="","",'Enter messages'!A867)</f>
        <v/>
      </c>
      <c r="B867" s="20">
        <f>IF('Enter messages'!B867="","",'Enter messages'!B867)</f>
        <v/>
      </c>
      <c r="C867" s="21">
        <f>IFERROR(AVERAGE(P867:T867),"")</f>
        <v/>
      </c>
      <c r="D867" s="29" t="n"/>
      <c r="E867" s="29" t="n"/>
      <c r="F867" s="30">
        <f>IF(AND(ISNUMBER($D867),ISNUMBER($E867),$E867&gt;0,$D867&lt;=$E867),$D867/$E867,"")</f>
        <v/>
      </c>
      <c r="P867" s="26" t="n"/>
      <c r="Q867" s="26" t="n"/>
      <c r="R867" s="26" t="n"/>
      <c r="S867" s="26" t="n"/>
      <c r="T867" s="26" t="n"/>
      <c r="V867" s="27">
        <f>IF(ISNUMBER($C867),COUNTIFS($A$14:$A$1213,$A867,$C$14:$C$1213,"&gt;"&amp;$C867)+(COUNTIFS($A$14:$A$1213,$A867,$C$14:$C$1213,"="&amp;$C867)+1)/2,"")</f>
        <v/>
      </c>
      <c r="W867" s="27">
        <f>IF(ISNUMBER($F867),COUNTIFS($A$14:$A$1213,$A867,$F$14:$F$1213,"&gt;"&amp;$F867)+(COUNTIFS($A$14:$A$1213,$A867,$F$14:$F$1213,"="&amp;$F867)+1)/2,"")</f>
        <v/>
      </c>
      <c r="X867" s="27">
        <f>IF(OR(NOT(ISNUMBER($V867)),$AO867=1),"",$V867-(COUNTIFS($A$14:$A$1213,$A867,$C$14:$C$1213,"&gt;=0")+1)/2)</f>
        <v/>
      </c>
      <c r="Y867" s="27">
        <f>IF(OR(NOT(ISNUMBER($W867)),$AO867=1),"",$W867-(COUNTIFS($A$14:$A$1213,$A867,$F$14:$F$1213,"&gt;=0")+1)/2)</f>
        <v/>
      </c>
      <c r="Z867" s="27">
        <f>IF(ISNUMBER($V867),$A867&amp;"|"&amp;$V867,"")</f>
        <v/>
      </c>
      <c r="AA867" s="27">
        <f>IF(ISNUMBER($W867),$A867&amp;"|"&amp;$W867,"")</f>
        <v/>
      </c>
      <c r="AB867" s="27">
        <f>IF(ISNUMBER($F867),$A867&amp;"|"&amp;$F867,"")</f>
        <v/>
      </c>
      <c r="AC867" s="27">
        <f>IF(ISNUMBER($P867),COUNTIFS($A$14:$A$1213,$A867,$P$14:$P$1213,"&gt;"&amp;$P867)+(COUNTIFS($A$14:$A$1213,$A867,$P$14:$P$1213,"="&amp;$P867)+1)/2,"")</f>
        <v/>
      </c>
      <c r="AD867" s="27">
        <f>IF(ISNUMBER($Q867),COUNTIFS($A$14:$A$1213,$A867,$Q$14:$Q$1213,"&gt;"&amp;$Q867)+(COUNTIFS($A$14:$A$1213,$A867,$Q$14:$Q$1213,"="&amp;$Q867)+1)/2,"")</f>
        <v/>
      </c>
      <c r="AE867" s="27">
        <f>IF(ISNUMBER($R867),COUNTIFS($A$14:$A$1213,$A867,$R$14:$R$1213,"&gt;"&amp;$R867)+(COUNTIFS($A$14:$A$1213,$A867,$R$14:$R$1213,"="&amp;$R867)+1)/2,"")</f>
        <v/>
      </c>
      <c r="AF867" s="27">
        <f>IF(ISNUMBER($S867),COUNTIFS($A$14:$A$1213,$A867,$S$14:$S$1213,"&gt;"&amp;$S867)+(COUNTIFS($A$14:$A$1213,$A867,$S$14:$S$1213,"="&amp;$S867)+1)/2,"")</f>
        <v/>
      </c>
      <c r="AG867" s="27">
        <f>IF(ISNUMBER($T867),COUNTIFS($A$14:$A$1213,$A867,$T$14:$T$1213,"&gt;"&amp;$T867)+(COUNTIFS($A$14:$A$1213,$A867,$T$14:$T$1213,"="&amp;$T867)+1)/2,"")</f>
        <v/>
      </c>
      <c r="AH867" s="27">
        <f>IF(COUNT($AC867:$AG867)&lt;2,"",IF(MAX($AC867:$AG867)=MIN($AC867:$AG867),0,1))</f>
        <v/>
      </c>
      <c r="AI867" s="27">
        <f>IF($A867="","",IF(COUNTIF($A$14:$A867,$A867)=1,COUNTIF($AI$13:AI866,"&gt;0")+1,""))</f>
        <v/>
      </c>
      <c r="AO867" s="27">
        <f>IF($A867="","",IF(AND(COUNTIFS($A$14:$A$1213,$A867,$F$14:$F$1213,"&gt;=0")=2,IFERROR(INDEX($M$14:$M$313,MATCH($A867,$H$14:$H$313,0)),"Yes")&lt;&gt;"Yes"),1,0))</f>
        <v/>
      </c>
    </row>
    <row r="868">
      <c r="A868" s="19">
        <f>IF('Enter messages'!A868="","",'Enter messages'!A868)</f>
        <v/>
      </c>
      <c r="B868" s="20">
        <f>IF('Enter messages'!B868="","",'Enter messages'!B868)</f>
        <v/>
      </c>
      <c r="C868" s="21">
        <f>IFERROR(AVERAGE(P868:T868),"")</f>
        <v/>
      </c>
      <c r="D868" s="29" t="n"/>
      <c r="E868" s="29" t="n"/>
      <c r="F868" s="30">
        <f>IF(AND(ISNUMBER($D868),ISNUMBER($E868),$E868&gt;0,$D868&lt;=$E868),$D868/$E868,"")</f>
        <v/>
      </c>
      <c r="P868" s="26" t="n"/>
      <c r="Q868" s="26" t="n"/>
      <c r="R868" s="26" t="n"/>
      <c r="S868" s="26" t="n"/>
      <c r="T868" s="26" t="n"/>
      <c r="V868" s="27">
        <f>IF(ISNUMBER($C868),COUNTIFS($A$14:$A$1213,$A868,$C$14:$C$1213,"&gt;"&amp;$C868)+(COUNTIFS($A$14:$A$1213,$A868,$C$14:$C$1213,"="&amp;$C868)+1)/2,"")</f>
        <v/>
      </c>
      <c r="W868" s="27">
        <f>IF(ISNUMBER($F868),COUNTIFS($A$14:$A$1213,$A868,$F$14:$F$1213,"&gt;"&amp;$F868)+(COUNTIFS($A$14:$A$1213,$A868,$F$14:$F$1213,"="&amp;$F868)+1)/2,"")</f>
        <v/>
      </c>
      <c r="X868" s="27">
        <f>IF(OR(NOT(ISNUMBER($V868)),$AO868=1),"",$V868-(COUNTIFS($A$14:$A$1213,$A868,$C$14:$C$1213,"&gt;=0")+1)/2)</f>
        <v/>
      </c>
      <c r="Y868" s="27">
        <f>IF(OR(NOT(ISNUMBER($W868)),$AO868=1),"",$W868-(COUNTIFS($A$14:$A$1213,$A868,$F$14:$F$1213,"&gt;=0")+1)/2)</f>
        <v/>
      </c>
      <c r="Z868" s="27">
        <f>IF(ISNUMBER($V868),$A868&amp;"|"&amp;$V868,"")</f>
        <v/>
      </c>
      <c r="AA868" s="27">
        <f>IF(ISNUMBER($W868),$A868&amp;"|"&amp;$W868,"")</f>
        <v/>
      </c>
      <c r="AB868" s="27">
        <f>IF(ISNUMBER($F868),$A868&amp;"|"&amp;$F868,"")</f>
        <v/>
      </c>
      <c r="AC868" s="27">
        <f>IF(ISNUMBER($P868),COUNTIFS($A$14:$A$1213,$A868,$P$14:$P$1213,"&gt;"&amp;$P868)+(COUNTIFS($A$14:$A$1213,$A868,$P$14:$P$1213,"="&amp;$P868)+1)/2,"")</f>
        <v/>
      </c>
      <c r="AD868" s="27">
        <f>IF(ISNUMBER($Q868),COUNTIFS($A$14:$A$1213,$A868,$Q$14:$Q$1213,"&gt;"&amp;$Q868)+(COUNTIFS($A$14:$A$1213,$A868,$Q$14:$Q$1213,"="&amp;$Q868)+1)/2,"")</f>
        <v/>
      </c>
      <c r="AE868" s="27">
        <f>IF(ISNUMBER($R868),COUNTIFS($A$14:$A$1213,$A868,$R$14:$R$1213,"&gt;"&amp;$R868)+(COUNTIFS($A$14:$A$1213,$A868,$R$14:$R$1213,"="&amp;$R868)+1)/2,"")</f>
        <v/>
      </c>
      <c r="AF868" s="27">
        <f>IF(ISNUMBER($S868),COUNTIFS($A$14:$A$1213,$A868,$S$14:$S$1213,"&gt;"&amp;$S868)+(COUNTIFS($A$14:$A$1213,$A868,$S$14:$S$1213,"="&amp;$S868)+1)/2,"")</f>
        <v/>
      </c>
      <c r="AG868" s="27">
        <f>IF(ISNUMBER($T868),COUNTIFS($A$14:$A$1213,$A868,$T$14:$T$1213,"&gt;"&amp;$T868)+(COUNTIFS($A$14:$A$1213,$A868,$T$14:$T$1213,"="&amp;$T868)+1)/2,"")</f>
        <v/>
      </c>
      <c r="AH868" s="27">
        <f>IF(COUNT($AC868:$AG868)&lt;2,"",IF(MAX($AC868:$AG868)=MIN($AC868:$AG868),0,1))</f>
        <v/>
      </c>
      <c r="AI868" s="27">
        <f>IF($A868="","",IF(COUNTIF($A$14:$A868,$A868)=1,COUNTIF($AI$13:AI867,"&gt;0")+1,""))</f>
        <v/>
      </c>
      <c r="AO868" s="27">
        <f>IF($A868="","",IF(AND(COUNTIFS($A$14:$A$1213,$A868,$F$14:$F$1213,"&gt;=0")=2,IFERROR(INDEX($M$14:$M$313,MATCH($A868,$H$14:$H$313,0)),"Yes")&lt;&gt;"Yes"),1,0))</f>
        <v/>
      </c>
    </row>
    <row r="869">
      <c r="A869" s="19">
        <f>IF('Enter messages'!A869="","",'Enter messages'!A869)</f>
        <v/>
      </c>
      <c r="B869" s="20">
        <f>IF('Enter messages'!B869="","",'Enter messages'!B869)</f>
        <v/>
      </c>
      <c r="C869" s="21">
        <f>IFERROR(AVERAGE(P869:T869),"")</f>
        <v/>
      </c>
      <c r="D869" s="29" t="n"/>
      <c r="E869" s="29" t="n"/>
      <c r="F869" s="30">
        <f>IF(AND(ISNUMBER($D869),ISNUMBER($E869),$E869&gt;0,$D869&lt;=$E869),$D869/$E869,"")</f>
        <v/>
      </c>
      <c r="P869" s="26" t="n"/>
      <c r="Q869" s="26" t="n"/>
      <c r="R869" s="26" t="n"/>
      <c r="S869" s="26" t="n"/>
      <c r="T869" s="26" t="n"/>
      <c r="V869" s="27">
        <f>IF(ISNUMBER($C869),COUNTIFS($A$14:$A$1213,$A869,$C$14:$C$1213,"&gt;"&amp;$C869)+(COUNTIFS($A$14:$A$1213,$A869,$C$14:$C$1213,"="&amp;$C869)+1)/2,"")</f>
        <v/>
      </c>
      <c r="W869" s="27">
        <f>IF(ISNUMBER($F869),COUNTIFS($A$14:$A$1213,$A869,$F$14:$F$1213,"&gt;"&amp;$F869)+(COUNTIFS($A$14:$A$1213,$A869,$F$14:$F$1213,"="&amp;$F869)+1)/2,"")</f>
        <v/>
      </c>
      <c r="X869" s="27">
        <f>IF(OR(NOT(ISNUMBER($V869)),$AO869=1),"",$V869-(COUNTIFS($A$14:$A$1213,$A869,$C$14:$C$1213,"&gt;=0")+1)/2)</f>
        <v/>
      </c>
      <c r="Y869" s="27">
        <f>IF(OR(NOT(ISNUMBER($W869)),$AO869=1),"",$W869-(COUNTIFS($A$14:$A$1213,$A869,$F$14:$F$1213,"&gt;=0")+1)/2)</f>
        <v/>
      </c>
      <c r="Z869" s="27">
        <f>IF(ISNUMBER($V869),$A869&amp;"|"&amp;$V869,"")</f>
        <v/>
      </c>
      <c r="AA869" s="27">
        <f>IF(ISNUMBER($W869),$A869&amp;"|"&amp;$W869,"")</f>
        <v/>
      </c>
      <c r="AB869" s="27">
        <f>IF(ISNUMBER($F869),$A869&amp;"|"&amp;$F869,"")</f>
        <v/>
      </c>
      <c r="AC869" s="27">
        <f>IF(ISNUMBER($P869),COUNTIFS($A$14:$A$1213,$A869,$P$14:$P$1213,"&gt;"&amp;$P869)+(COUNTIFS($A$14:$A$1213,$A869,$P$14:$P$1213,"="&amp;$P869)+1)/2,"")</f>
        <v/>
      </c>
      <c r="AD869" s="27">
        <f>IF(ISNUMBER($Q869),COUNTIFS($A$14:$A$1213,$A869,$Q$14:$Q$1213,"&gt;"&amp;$Q869)+(COUNTIFS($A$14:$A$1213,$A869,$Q$14:$Q$1213,"="&amp;$Q869)+1)/2,"")</f>
        <v/>
      </c>
      <c r="AE869" s="27">
        <f>IF(ISNUMBER($R869),COUNTIFS($A$14:$A$1213,$A869,$R$14:$R$1213,"&gt;"&amp;$R869)+(COUNTIFS($A$14:$A$1213,$A869,$R$14:$R$1213,"="&amp;$R869)+1)/2,"")</f>
        <v/>
      </c>
      <c r="AF869" s="27">
        <f>IF(ISNUMBER($S869),COUNTIFS($A$14:$A$1213,$A869,$S$14:$S$1213,"&gt;"&amp;$S869)+(COUNTIFS($A$14:$A$1213,$A869,$S$14:$S$1213,"="&amp;$S869)+1)/2,"")</f>
        <v/>
      </c>
      <c r="AG869" s="27">
        <f>IF(ISNUMBER($T869),COUNTIFS($A$14:$A$1213,$A869,$T$14:$T$1213,"&gt;"&amp;$T869)+(COUNTIFS($A$14:$A$1213,$A869,$T$14:$T$1213,"="&amp;$T869)+1)/2,"")</f>
        <v/>
      </c>
      <c r="AH869" s="27">
        <f>IF(COUNT($AC869:$AG869)&lt;2,"",IF(MAX($AC869:$AG869)=MIN($AC869:$AG869),0,1))</f>
        <v/>
      </c>
      <c r="AI869" s="27">
        <f>IF($A869="","",IF(COUNTIF($A$14:$A869,$A869)=1,COUNTIF($AI$13:AI868,"&gt;0")+1,""))</f>
        <v/>
      </c>
      <c r="AO869" s="27">
        <f>IF($A869="","",IF(AND(COUNTIFS($A$14:$A$1213,$A869,$F$14:$F$1213,"&gt;=0")=2,IFERROR(INDEX($M$14:$M$313,MATCH($A869,$H$14:$H$313,0)),"Yes")&lt;&gt;"Yes"),1,0))</f>
        <v/>
      </c>
    </row>
    <row r="870">
      <c r="A870" s="19">
        <f>IF('Enter messages'!A870="","",'Enter messages'!A870)</f>
        <v/>
      </c>
      <c r="B870" s="20">
        <f>IF('Enter messages'!B870="","",'Enter messages'!B870)</f>
        <v/>
      </c>
      <c r="C870" s="21">
        <f>IFERROR(AVERAGE(P870:T870),"")</f>
        <v/>
      </c>
      <c r="D870" s="29" t="n"/>
      <c r="E870" s="29" t="n"/>
      <c r="F870" s="30">
        <f>IF(AND(ISNUMBER($D870),ISNUMBER($E870),$E870&gt;0,$D870&lt;=$E870),$D870/$E870,"")</f>
        <v/>
      </c>
      <c r="P870" s="26" t="n"/>
      <c r="Q870" s="26" t="n"/>
      <c r="R870" s="26" t="n"/>
      <c r="S870" s="26" t="n"/>
      <c r="T870" s="26" t="n"/>
      <c r="V870" s="27">
        <f>IF(ISNUMBER($C870),COUNTIFS($A$14:$A$1213,$A870,$C$14:$C$1213,"&gt;"&amp;$C870)+(COUNTIFS($A$14:$A$1213,$A870,$C$14:$C$1213,"="&amp;$C870)+1)/2,"")</f>
        <v/>
      </c>
      <c r="W870" s="27">
        <f>IF(ISNUMBER($F870),COUNTIFS($A$14:$A$1213,$A870,$F$14:$F$1213,"&gt;"&amp;$F870)+(COUNTIFS($A$14:$A$1213,$A870,$F$14:$F$1213,"="&amp;$F870)+1)/2,"")</f>
        <v/>
      </c>
      <c r="X870" s="27">
        <f>IF(OR(NOT(ISNUMBER($V870)),$AO870=1),"",$V870-(COUNTIFS($A$14:$A$1213,$A870,$C$14:$C$1213,"&gt;=0")+1)/2)</f>
        <v/>
      </c>
      <c r="Y870" s="27">
        <f>IF(OR(NOT(ISNUMBER($W870)),$AO870=1),"",$W870-(COUNTIFS($A$14:$A$1213,$A870,$F$14:$F$1213,"&gt;=0")+1)/2)</f>
        <v/>
      </c>
      <c r="Z870" s="27">
        <f>IF(ISNUMBER($V870),$A870&amp;"|"&amp;$V870,"")</f>
        <v/>
      </c>
      <c r="AA870" s="27">
        <f>IF(ISNUMBER($W870),$A870&amp;"|"&amp;$W870,"")</f>
        <v/>
      </c>
      <c r="AB870" s="27">
        <f>IF(ISNUMBER($F870),$A870&amp;"|"&amp;$F870,"")</f>
        <v/>
      </c>
      <c r="AC870" s="27">
        <f>IF(ISNUMBER($P870),COUNTIFS($A$14:$A$1213,$A870,$P$14:$P$1213,"&gt;"&amp;$P870)+(COUNTIFS($A$14:$A$1213,$A870,$P$14:$P$1213,"="&amp;$P870)+1)/2,"")</f>
        <v/>
      </c>
      <c r="AD870" s="27">
        <f>IF(ISNUMBER($Q870),COUNTIFS($A$14:$A$1213,$A870,$Q$14:$Q$1213,"&gt;"&amp;$Q870)+(COUNTIFS($A$14:$A$1213,$A870,$Q$14:$Q$1213,"="&amp;$Q870)+1)/2,"")</f>
        <v/>
      </c>
      <c r="AE870" s="27">
        <f>IF(ISNUMBER($R870),COUNTIFS($A$14:$A$1213,$A870,$R$14:$R$1213,"&gt;"&amp;$R870)+(COUNTIFS($A$14:$A$1213,$A870,$R$14:$R$1213,"="&amp;$R870)+1)/2,"")</f>
        <v/>
      </c>
      <c r="AF870" s="27">
        <f>IF(ISNUMBER($S870),COUNTIFS($A$14:$A$1213,$A870,$S$14:$S$1213,"&gt;"&amp;$S870)+(COUNTIFS($A$14:$A$1213,$A870,$S$14:$S$1213,"="&amp;$S870)+1)/2,"")</f>
        <v/>
      </c>
      <c r="AG870" s="27">
        <f>IF(ISNUMBER($T870),COUNTIFS($A$14:$A$1213,$A870,$T$14:$T$1213,"&gt;"&amp;$T870)+(COUNTIFS($A$14:$A$1213,$A870,$T$14:$T$1213,"="&amp;$T870)+1)/2,"")</f>
        <v/>
      </c>
      <c r="AH870" s="27">
        <f>IF(COUNT($AC870:$AG870)&lt;2,"",IF(MAX($AC870:$AG870)=MIN($AC870:$AG870),0,1))</f>
        <v/>
      </c>
      <c r="AI870" s="27">
        <f>IF($A870="","",IF(COUNTIF($A$14:$A870,$A870)=1,COUNTIF($AI$13:AI869,"&gt;0")+1,""))</f>
        <v/>
      </c>
      <c r="AO870" s="27">
        <f>IF($A870="","",IF(AND(COUNTIFS($A$14:$A$1213,$A870,$F$14:$F$1213,"&gt;=0")=2,IFERROR(INDEX($M$14:$M$313,MATCH($A870,$H$14:$H$313,0)),"Yes")&lt;&gt;"Yes"),1,0))</f>
        <v/>
      </c>
    </row>
    <row r="871">
      <c r="A871" s="19">
        <f>IF('Enter messages'!A871="","",'Enter messages'!A871)</f>
        <v/>
      </c>
      <c r="B871" s="20">
        <f>IF('Enter messages'!B871="","",'Enter messages'!B871)</f>
        <v/>
      </c>
      <c r="C871" s="21">
        <f>IFERROR(AVERAGE(P871:T871),"")</f>
        <v/>
      </c>
      <c r="D871" s="29" t="n"/>
      <c r="E871" s="29" t="n"/>
      <c r="F871" s="30">
        <f>IF(AND(ISNUMBER($D871),ISNUMBER($E871),$E871&gt;0,$D871&lt;=$E871),$D871/$E871,"")</f>
        <v/>
      </c>
      <c r="P871" s="26" t="n"/>
      <c r="Q871" s="26" t="n"/>
      <c r="R871" s="26" t="n"/>
      <c r="S871" s="26" t="n"/>
      <c r="T871" s="26" t="n"/>
      <c r="V871" s="27">
        <f>IF(ISNUMBER($C871),COUNTIFS($A$14:$A$1213,$A871,$C$14:$C$1213,"&gt;"&amp;$C871)+(COUNTIFS($A$14:$A$1213,$A871,$C$14:$C$1213,"="&amp;$C871)+1)/2,"")</f>
        <v/>
      </c>
      <c r="W871" s="27">
        <f>IF(ISNUMBER($F871),COUNTIFS($A$14:$A$1213,$A871,$F$14:$F$1213,"&gt;"&amp;$F871)+(COUNTIFS($A$14:$A$1213,$A871,$F$14:$F$1213,"="&amp;$F871)+1)/2,"")</f>
        <v/>
      </c>
      <c r="X871" s="27">
        <f>IF(OR(NOT(ISNUMBER($V871)),$AO871=1),"",$V871-(COUNTIFS($A$14:$A$1213,$A871,$C$14:$C$1213,"&gt;=0")+1)/2)</f>
        <v/>
      </c>
      <c r="Y871" s="27">
        <f>IF(OR(NOT(ISNUMBER($W871)),$AO871=1),"",$W871-(COUNTIFS($A$14:$A$1213,$A871,$F$14:$F$1213,"&gt;=0")+1)/2)</f>
        <v/>
      </c>
      <c r="Z871" s="27">
        <f>IF(ISNUMBER($V871),$A871&amp;"|"&amp;$V871,"")</f>
        <v/>
      </c>
      <c r="AA871" s="27">
        <f>IF(ISNUMBER($W871),$A871&amp;"|"&amp;$W871,"")</f>
        <v/>
      </c>
      <c r="AB871" s="27">
        <f>IF(ISNUMBER($F871),$A871&amp;"|"&amp;$F871,"")</f>
        <v/>
      </c>
      <c r="AC871" s="27">
        <f>IF(ISNUMBER($P871),COUNTIFS($A$14:$A$1213,$A871,$P$14:$P$1213,"&gt;"&amp;$P871)+(COUNTIFS($A$14:$A$1213,$A871,$P$14:$P$1213,"="&amp;$P871)+1)/2,"")</f>
        <v/>
      </c>
      <c r="AD871" s="27">
        <f>IF(ISNUMBER($Q871),COUNTIFS($A$14:$A$1213,$A871,$Q$14:$Q$1213,"&gt;"&amp;$Q871)+(COUNTIFS($A$14:$A$1213,$A871,$Q$14:$Q$1213,"="&amp;$Q871)+1)/2,"")</f>
        <v/>
      </c>
      <c r="AE871" s="27">
        <f>IF(ISNUMBER($R871),COUNTIFS($A$14:$A$1213,$A871,$R$14:$R$1213,"&gt;"&amp;$R871)+(COUNTIFS($A$14:$A$1213,$A871,$R$14:$R$1213,"="&amp;$R871)+1)/2,"")</f>
        <v/>
      </c>
      <c r="AF871" s="27">
        <f>IF(ISNUMBER($S871),COUNTIFS($A$14:$A$1213,$A871,$S$14:$S$1213,"&gt;"&amp;$S871)+(COUNTIFS($A$14:$A$1213,$A871,$S$14:$S$1213,"="&amp;$S871)+1)/2,"")</f>
        <v/>
      </c>
      <c r="AG871" s="27">
        <f>IF(ISNUMBER($T871),COUNTIFS($A$14:$A$1213,$A871,$T$14:$T$1213,"&gt;"&amp;$T871)+(COUNTIFS($A$14:$A$1213,$A871,$T$14:$T$1213,"="&amp;$T871)+1)/2,"")</f>
        <v/>
      </c>
      <c r="AH871" s="27">
        <f>IF(COUNT($AC871:$AG871)&lt;2,"",IF(MAX($AC871:$AG871)=MIN($AC871:$AG871),0,1))</f>
        <v/>
      </c>
      <c r="AI871" s="27">
        <f>IF($A871="","",IF(COUNTIF($A$14:$A871,$A871)=1,COUNTIF($AI$13:AI870,"&gt;0")+1,""))</f>
        <v/>
      </c>
      <c r="AO871" s="27">
        <f>IF($A871="","",IF(AND(COUNTIFS($A$14:$A$1213,$A871,$F$14:$F$1213,"&gt;=0")=2,IFERROR(INDEX($M$14:$M$313,MATCH($A871,$H$14:$H$313,0)),"Yes")&lt;&gt;"Yes"),1,0))</f>
        <v/>
      </c>
    </row>
    <row r="872">
      <c r="A872" s="19">
        <f>IF('Enter messages'!A872="","",'Enter messages'!A872)</f>
        <v/>
      </c>
      <c r="B872" s="20">
        <f>IF('Enter messages'!B872="","",'Enter messages'!B872)</f>
        <v/>
      </c>
      <c r="C872" s="21">
        <f>IFERROR(AVERAGE(P872:T872),"")</f>
        <v/>
      </c>
      <c r="D872" s="29" t="n"/>
      <c r="E872" s="29" t="n"/>
      <c r="F872" s="30">
        <f>IF(AND(ISNUMBER($D872),ISNUMBER($E872),$E872&gt;0,$D872&lt;=$E872),$D872/$E872,"")</f>
        <v/>
      </c>
      <c r="P872" s="26" t="n"/>
      <c r="Q872" s="26" t="n"/>
      <c r="R872" s="26" t="n"/>
      <c r="S872" s="26" t="n"/>
      <c r="T872" s="26" t="n"/>
      <c r="V872" s="27">
        <f>IF(ISNUMBER($C872),COUNTIFS($A$14:$A$1213,$A872,$C$14:$C$1213,"&gt;"&amp;$C872)+(COUNTIFS($A$14:$A$1213,$A872,$C$14:$C$1213,"="&amp;$C872)+1)/2,"")</f>
        <v/>
      </c>
      <c r="W872" s="27">
        <f>IF(ISNUMBER($F872),COUNTIFS($A$14:$A$1213,$A872,$F$14:$F$1213,"&gt;"&amp;$F872)+(COUNTIFS($A$14:$A$1213,$A872,$F$14:$F$1213,"="&amp;$F872)+1)/2,"")</f>
        <v/>
      </c>
      <c r="X872" s="27">
        <f>IF(OR(NOT(ISNUMBER($V872)),$AO872=1),"",$V872-(COUNTIFS($A$14:$A$1213,$A872,$C$14:$C$1213,"&gt;=0")+1)/2)</f>
        <v/>
      </c>
      <c r="Y872" s="27">
        <f>IF(OR(NOT(ISNUMBER($W872)),$AO872=1),"",$W872-(COUNTIFS($A$14:$A$1213,$A872,$F$14:$F$1213,"&gt;=0")+1)/2)</f>
        <v/>
      </c>
      <c r="Z872" s="27">
        <f>IF(ISNUMBER($V872),$A872&amp;"|"&amp;$V872,"")</f>
        <v/>
      </c>
      <c r="AA872" s="27">
        <f>IF(ISNUMBER($W872),$A872&amp;"|"&amp;$W872,"")</f>
        <v/>
      </c>
      <c r="AB872" s="27">
        <f>IF(ISNUMBER($F872),$A872&amp;"|"&amp;$F872,"")</f>
        <v/>
      </c>
      <c r="AC872" s="27">
        <f>IF(ISNUMBER($P872),COUNTIFS($A$14:$A$1213,$A872,$P$14:$P$1213,"&gt;"&amp;$P872)+(COUNTIFS($A$14:$A$1213,$A872,$P$14:$P$1213,"="&amp;$P872)+1)/2,"")</f>
        <v/>
      </c>
      <c r="AD872" s="27">
        <f>IF(ISNUMBER($Q872),COUNTIFS($A$14:$A$1213,$A872,$Q$14:$Q$1213,"&gt;"&amp;$Q872)+(COUNTIFS($A$14:$A$1213,$A872,$Q$14:$Q$1213,"="&amp;$Q872)+1)/2,"")</f>
        <v/>
      </c>
      <c r="AE872" s="27">
        <f>IF(ISNUMBER($R872),COUNTIFS($A$14:$A$1213,$A872,$R$14:$R$1213,"&gt;"&amp;$R872)+(COUNTIFS($A$14:$A$1213,$A872,$R$14:$R$1213,"="&amp;$R872)+1)/2,"")</f>
        <v/>
      </c>
      <c r="AF872" s="27">
        <f>IF(ISNUMBER($S872),COUNTIFS($A$14:$A$1213,$A872,$S$14:$S$1213,"&gt;"&amp;$S872)+(COUNTIFS($A$14:$A$1213,$A872,$S$14:$S$1213,"="&amp;$S872)+1)/2,"")</f>
        <v/>
      </c>
      <c r="AG872" s="27">
        <f>IF(ISNUMBER($T872),COUNTIFS($A$14:$A$1213,$A872,$T$14:$T$1213,"&gt;"&amp;$T872)+(COUNTIFS($A$14:$A$1213,$A872,$T$14:$T$1213,"="&amp;$T872)+1)/2,"")</f>
        <v/>
      </c>
      <c r="AH872" s="27">
        <f>IF(COUNT($AC872:$AG872)&lt;2,"",IF(MAX($AC872:$AG872)=MIN($AC872:$AG872),0,1))</f>
        <v/>
      </c>
      <c r="AI872" s="27">
        <f>IF($A872="","",IF(COUNTIF($A$14:$A872,$A872)=1,COUNTIF($AI$13:AI871,"&gt;0")+1,""))</f>
        <v/>
      </c>
      <c r="AO872" s="27">
        <f>IF($A872="","",IF(AND(COUNTIFS($A$14:$A$1213,$A872,$F$14:$F$1213,"&gt;=0")=2,IFERROR(INDEX($M$14:$M$313,MATCH($A872,$H$14:$H$313,0)),"Yes")&lt;&gt;"Yes"),1,0))</f>
        <v/>
      </c>
    </row>
    <row r="873">
      <c r="A873" s="19">
        <f>IF('Enter messages'!A873="","",'Enter messages'!A873)</f>
        <v/>
      </c>
      <c r="B873" s="20">
        <f>IF('Enter messages'!B873="","",'Enter messages'!B873)</f>
        <v/>
      </c>
      <c r="C873" s="21">
        <f>IFERROR(AVERAGE(P873:T873),"")</f>
        <v/>
      </c>
      <c r="D873" s="29" t="n"/>
      <c r="E873" s="29" t="n"/>
      <c r="F873" s="30">
        <f>IF(AND(ISNUMBER($D873),ISNUMBER($E873),$E873&gt;0,$D873&lt;=$E873),$D873/$E873,"")</f>
        <v/>
      </c>
      <c r="P873" s="26" t="n"/>
      <c r="Q873" s="26" t="n"/>
      <c r="R873" s="26" t="n"/>
      <c r="S873" s="26" t="n"/>
      <c r="T873" s="26" t="n"/>
      <c r="V873" s="27">
        <f>IF(ISNUMBER($C873),COUNTIFS($A$14:$A$1213,$A873,$C$14:$C$1213,"&gt;"&amp;$C873)+(COUNTIFS($A$14:$A$1213,$A873,$C$14:$C$1213,"="&amp;$C873)+1)/2,"")</f>
        <v/>
      </c>
      <c r="W873" s="27">
        <f>IF(ISNUMBER($F873),COUNTIFS($A$14:$A$1213,$A873,$F$14:$F$1213,"&gt;"&amp;$F873)+(COUNTIFS($A$14:$A$1213,$A873,$F$14:$F$1213,"="&amp;$F873)+1)/2,"")</f>
        <v/>
      </c>
      <c r="X873" s="27">
        <f>IF(OR(NOT(ISNUMBER($V873)),$AO873=1),"",$V873-(COUNTIFS($A$14:$A$1213,$A873,$C$14:$C$1213,"&gt;=0")+1)/2)</f>
        <v/>
      </c>
      <c r="Y873" s="27">
        <f>IF(OR(NOT(ISNUMBER($W873)),$AO873=1),"",$W873-(COUNTIFS($A$14:$A$1213,$A873,$F$14:$F$1213,"&gt;=0")+1)/2)</f>
        <v/>
      </c>
      <c r="Z873" s="27">
        <f>IF(ISNUMBER($V873),$A873&amp;"|"&amp;$V873,"")</f>
        <v/>
      </c>
      <c r="AA873" s="27">
        <f>IF(ISNUMBER($W873),$A873&amp;"|"&amp;$W873,"")</f>
        <v/>
      </c>
      <c r="AB873" s="27">
        <f>IF(ISNUMBER($F873),$A873&amp;"|"&amp;$F873,"")</f>
        <v/>
      </c>
      <c r="AC873" s="27">
        <f>IF(ISNUMBER($P873),COUNTIFS($A$14:$A$1213,$A873,$P$14:$P$1213,"&gt;"&amp;$P873)+(COUNTIFS($A$14:$A$1213,$A873,$P$14:$P$1213,"="&amp;$P873)+1)/2,"")</f>
        <v/>
      </c>
      <c r="AD873" s="27">
        <f>IF(ISNUMBER($Q873),COUNTIFS($A$14:$A$1213,$A873,$Q$14:$Q$1213,"&gt;"&amp;$Q873)+(COUNTIFS($A$14:$A$1213,$A873,$Q$14:$Q$1213,"="&amp;$Q873)+1)/2,"")</f>
        <v/>
      </c>
      <c r="AE873" s="27">
        <f>IF(ISNUMBER($R873),COUNTIFS($A$14:$A$1213,$A873,$R$14:$R$1213,"&gt;"&amp;$R873)+(COUNTIFS($A$14:$A$1213,$A873,$R$14:$R$1213,"="&amp;$R873)+1)/2,"")</f>
        <v/>
      </c>
      <c r="AF873" s="27">
        <f>IF(ISNUMBER($S873),COUNTIFS($A$14:$A$1213,$A873,$S$14:$S$1213,"&gt;"&amp;$S873)+(COUNTIFS($A$14:$A$1213,$A873,$S$14:$S$1213,"="&amp;$S873)+1)/2,"")</f>
        <v/>
      </c>
      <c r="AG873" s="27">
        <f>IF(ISNUMBER($T873),COUNTIFS($A$14:$A$1213,$A873,$T$14:$T$1213,"&gt;"&amp;$T873)+(COUNTIFS($A$14:$A$1213,$A873,$T$14:$T$1213,"="&amp;$T873)+1)/2,"")</f>
        <v/>
      </c>
      <c r="AH873" s="27">
        <f>IF(COUNT($AC873:$AG873)&lt;2,"",IF(MAX($AC873:$AG873)=MIN($AC873:$AG873),0,1))</f>
        <v/>
      </c>
      <c r="AI873" s="27">
        <f>IF($A873="","",IF(COUNTIF($A$14:$A873,$A873)=1,COUNTIF($AI$13:AI872,"&gt;0")+1,""))</f>
        <v/>
      </c>
      <c r="AO873" s="27">
        <f>IF($A873="","",IF(AND(COUNTIFS($A$14:$A$1213,$A873,$F$14:$F$1213,"&gt;=0")=2,IFERROR(INDEX($M$14:$M$313,MATCH($A873,$H$14:$H$313,0)),"Yes")&lt;&gt;"Yes"),1,0))</f>
        <v/>
      </c>
    </row>
    <row r="874">
      <c r="A874" s="19">
        <f>IF('Enter messages'!A874="","",'Enter messages'!A874)</f>
        <v/>
      </c>
      <c r="B874" s="20">
        <f>IF('Enter messages'!B874="","",'Enter messages'!B874)</f>
        <v/>
      </c>
      <c r="C874" s="21">
        <f>IFERROR(AVERAGE(P874:T874),"")</f>
        <v/>
      </c>
      <c r="D874" s="29" t="n"/>
      <c r="E874" s="29" t="n"/>
      <c r="F874" s="30">
        <f>IF(AND(ISNUMBER($D874),ISNUMBER($E874),$E874&gt;0,$D874&lt;=$E874),$D874/$E874,"")</f>
        <v/>
      </c>
      <c r="P874" s="26" t="n"/>
      <c r="Q874" s="26" t="n"/>
      <c r="R874" s="26" t="n"/>
      <c r="S874" s="26" t="n"/>
      <c r="T874" s="26" t="n"/>
      <c r="V874" s="27">
        <f>IF(ISNUMBER($C874),COUNTIFS($A$14:$A$1213,$A874,$C$14:$C$1213,"&gt;"&amp;$C874)+(COUNTIFS($A$14:$A$1213,$A874,$C$14:$C$1213,"="&amp;$C874)+1)/2,"")</f>
        <v/>
      </c>
      <c r="W874" s="27">
        <f>IF(ISNUMBER($F874),COUNTIFS($A$14:$A$1213,$A874,$F$14:$F$1213,"&gt;"&amp;$F874)+(COUNTIFS($A$14:$A$1213,$A874,$F$14:$F$1213,"="&amp;$F874)+1)/2,"")</f>
        <v/>
      </c>
      <c r="X874" s="27">
        <f>IF(OR(NOT(ISNUMBER($V874)),$AO874=1),"",$V874-(COUNTIFS($A$14:$A$1213,$A874,$C$14:$C$1213,"&gt;=0")+1)/2)</f>
        <v/>
      </c>
      <c r="Y874" s="27">
        <f>IF(OR(NOT(ISNUMBER($W874)),$AO874=1),"",$W874-(COUNTIFS($A$14:$A$1213,$A874,$F$14:$F$1213,"&gt;=0")+1)/2)</f>
        <v/>
      </c>
      <c r="Z874" s="27">
        <f>IF(ISNUMBER($V874),$A874&amp;"|"&amp;$V874,"")</f>
        <v/>
      </c>
      <c r="AA874" s="27">
        <f>IF(ISNUMBER($W874),$A874&amp;"|"&amp;$W874,"")</f>
        <v/>
      </c>
      <c r="AB874" s="27">
        <f>IF(ISNUMBER($F874),$A874&amp;"|"&amp;$F874,"")</f>
        <v/>
      </c>
      <c r="AC874" s="27">
        <f>IF(ISNUMBER($P874),COUNTIFS($A$14:$A$1213,$A874,$P$14:$P$1213,"&gt;"&amp;$P874)+(COUNTIFS($A$14:$A$1213,$A874,$P$14:$P$1213,"="&amp;$P874)+1)/2,"")</f>
        <v/>
      </c>
      <c r="AD874" s="27">
        <f>IF(ISNUMBER($Q874),COUNTIFS($A$14:$A$1213,$A874,$Q$14:$Q$1213,"&gt;"&amp;$Q874)+(COUNTIFS($A$14:$A$1213,$A874,$Q$14:$Q$1213,"="&amp;$Q874)+1)/2,"")</f>
        <v/>
      </c>
      <c r="AE874" s="27">
        <f>IF(ISNUMBER($R874),COUNTIFS($A$14:$A$1213,$A874,$R$14:$R$1213,"&gt;"&amp;$R874)+(COUNTIFS($A$14:$A$1213,$A874,$R$14:$R$1213,"="&amp;$R874)+1)/2,"")</f>
        <v/>
      </c>
      <c r="AF874" s="27">
        <f>IF(ISNUMBER($S874),COUNTIFS($A$14:$A$1213,$A874,$S$14:$S$1213,"&gt;"&amp;$S874)+(COUNTIFS($A$14:$A$1213,$A874,$S$14:$S$1213,"="&amp;$S874)+1)/2,"")</f>
        <v/>
      </c>
      <c r="AG874" s="27">
        <f>IF(ISNUMBER($T874),COUNTIFS($A$14:$A$1213,$A874,$T$14:$T$1213,"&gt;"&amp;$T874)+(COUNTIFS($A$14:$A$1213,$A874,$T$14:$T$1213,"="&amp;$T874)+1)/2,"")</f>
        <v/>
      </c>
      <c r="AH874" s="27">
        <f>IF(COUNT($AC874:$AG874)&lt;2,"",IF(MAX($AC874:$AG874)=MIN($AC874:$AG874),0,1))</f>
        <v/>
      </c>
      <c r="AI874" s="27">
        <f>IF($A874="","",IF(COUNTIF($A$14:$A874,$A874)=1,COUNTIF($AI$13:AI873,"&gt;0")+1,""))</f>
        <v/>
      </c>
      <c r="AO874" s="27">
        <f>IF($A874="","",IF(AND(COUNTIFS($A$14:$A$1213,$A874,$F$14:$F$1213,"&gt;=0")=2,IFERROR(INDEX($M$14:$M$313,MATCH($A874,$H$14:$H$313,0)),"Yes")&lt;&gt;"Yes"),1,0))</f>
        <v/>
      </c>
    </row>
    <row r="875">
      <c r="A875" s="19">
        <f>IF('Enter messages'!A875="","",'Enter messages'!A875)</f>
        <v/>
      </c>
      <c r="B875" s="20">
        <f>IF('Enter messages'!B875="","",'Enter messages'!B875)</f>
        <v/>
      </c>
      <c r="C875" s="21">
        <f>IFERROR(AVERAGE(P875:T875),"")</f>
        <v/>
      </c>
      <c r="D875" s="29" t="n"/>
      <c r="E875" s="29" t="n"/>
      <c r="F875" s="30">
        <f>IF(AND(ISNUMBER($D875),ISNUMBER($E875),$E875&gt;0,$D875&lt;=$E875),$D875/$E875,"")</f>
        <v/>
      </c>
      <c r="P875" s="26" t="n"/>
      <c r="Q875" s="26" t="n"/>
      <c r="R875" s="26" t="n"/>
      <c r="S875" s="26" t="n"/>
      <c r="T875" s="26" t="n"/>
      <c r="V875" s="27">
        <f>IF(ISNUMBER($C875),COUNTIFS($A$14:$A$1213,$A875,$C$14:$C$1213,"&gt;"&amp;$C875)+(COUNTIFS($A$14:$A$1213,$A875,$C$14:$C$1213,"="&amp;$C875)+1)/2,"")</f>
        <v/>
      </c>
      <c r="W875" s="27">
        <f>IF(ISNUMBER($F875),COUNTIFS($A$14:$A$1213,$A875,$F$14:$F$1213,"&gt;"&amp;$F875)+(COUNTIFS($A$14:$A$1213,$A875,$F$14:$F$1213,"="&amp;$F875)+1)/2,"")</f>
        <v/>
      </c>
      <c r="X875" s="27">
        <f>IF(OR(NOT(ISNUMBER($V875)),$AO875=1),"",$V875-(COUNTIFS($A$14:$A$1213,$A875,$C$14:$C$1213,"&gt;=0")+1)/2)</f>
        <v/>
      </c>
      <c r="Y875" s="27">
        <f>IF(OR(NOT(ISNUMBER($W875)),$AO875=1),"",$W875-(COUNTIFS($A$14:$A$1213,$A875,$F$14:$F$1213,"&gt;=0")+1)/2)</f>
        <v/>
      </c>
      <c r="Z875" s="27">
        <f>IF(ISNUMBER($V875),$A875&amp;"|"&amp;$V875,"")</f>
        <v/>
      </c>
      <c r="AA875" s="27">
        <f>IF(ISNUMBER($W875),$A875&amp;"|"&amp;$W875,"")</f>
        <v/>
      </c>
      <c r="AB875" s="27">
        <f>IF(ISNUMBER($F875),$A875&amp;"|"&amp;$F875,"")</f>
        <v/>
      </c>
      <c r="AC875" s="27">
        <f>IF(ISNUMBER($P875),COUNTIFS($A$14:$A$1213,$A875,$P$14:$P$1213,"&gt;"&amp;$P875)+(COUNTIFS($A$14:$A$1213,$A875,$P$14:$P$1213,"="&amp;$P875)+1)/2,"")</f>
        <v/>
      </c>
      <c r="AD875" s="27">
        <f>IF(ISNUMBER($Q875),COUNTIFS($A$14:$A$1213,$A875,$Q$14:$Q$1213,"&gt;"&amp;$Q875)+(COUNTIFS($A$14:$A$1213,$A875,$Q$14:$Q$1213,"="&amp;$Q875)+1)/2,"")</f>
        <v/>
      </c>
      <c r="AE875" s="27">
        <f>IF(ISNUMBER($R875),COUNTIFS($A$14:$A$1213,$A875,$R$14:$R$1213,"&gt;"&amp;$R875)+(COUNTIFS($A$14:$A$1213,$A875,$R$14:$R$1213,"="&amp;$R875)+1)/2,"")</f>
        <v/>
      </c>
      <c r="AF875" s="27">
        <f>IF(ISNUMBER($S875),COUNTIFS($A$14:$A$1213,$A875,$S$14:$S$1213,"&gt;"&amp;$S875)+(COUNTIFS($A$14:$A$1213,$A875,$S$14:$S$1213,"="&amp;$S875)+1)/2,"")</f>
        <v/>
      </c>
      <c r="AG875" s="27">
        <f>IF(ISNUMBER($T875),COUNTIFS($A$14:$A$1213,$A875,$T$14:$T$1213,"&gt;"&amp;$T875)+(COUNTIFS($A$14:$A$1213,$A875,$T$14:$T$1213,"="&amp;$T875)+1)/2,"")</f>
        <v/>
      </c>
      <c r="AH875" s="27">
        <f>IF(COUNT($AC875:$AG875)&lt;2,"",IF(MAX($AC875:$AG875)=MIN($AC875:$AG875),0,1))</f>
        <v/>
      </c>
      <c r="AI875" s="27">
        <f>IF($A875="","",IF(COUNTIF($A$14:$A875,$A875)=1,COUNTIF($AI$13:AI874,"&gt;0")+1,""))</f>
        <v/>
      </c>
      <c r="AO875" s="27">
        <f>IF($A875="","",IF(AND(COUNTIFS($A$14:$A$1213,$A875,$F$14:$F$1213,"&gt;=0")=2,IFERROR(INDEX($M$14:$M$313,MATCH($A875,$H$14:$H$313,0)),"Yes")&lt;&gt;"Yes"),1,0))</f>
        <v/>
      </c>
    </row>
    <row r="876">
      <c r="A876" s="19">
        <f>IF('Enter messages'!A876="","",'Enter messages'!A876)</f>
        <v/>
      </c>
      <c r="B876" s="20">
        <f>IF('Enter messages'!B876="","",'Enter messages'!B876)</f>
        <v/>
      </c>
      <c r="C876" s="21">
        <f>IFERROR(AVERAGE(P876:T876),"")</f>
        <v/>
      </c>
      <c r="D876" s="29" t="n"/>
      <c r="E876" s="29" t="n"/>
      <c r="F876" s="30">
        <f>IF(AND(ISNUMBER($D876),ISNUMBER($E876),$E876&gt;0,$D876&lt;=$E876),$D876/$E876,"")</f>
        <v/>
      </c>
      <c r="P876" s="26" t="n"/>
      <c r="Q876" s="26" t="n"/>
      <c r="R876" s="26" t="n"/>
      <c r="S876" s="26" t="n"/>
      <c r="T876" s="26" t="n"/>
      <c r="V876" s="27">
        <f>IF(ISNUMBER($C876),COUNTIFS($A$14:$A$1213,$A876,$C$14:$C$1213,"&gt;"&amp;$C876)+(COUNTIFS($A$14:$A$1213,$A876,$C$14:$C$1213,"="&amp;$C876)+1)/2,"")</f>
        <v/>
      </c>
      <c r="W876" s="27">
        <f>IF(ISNUMBER($F876),COUNTIFS($A$14:$A$1213,$A876,$F$14:$F$1213,"&gt;"&amp;$F876)+(COUNTIFS($A$14:$A$1213,$A876,$F$14:$F$1213,"="&amp;$F876)+1)/2,"")</f>
        <v/>
      </c>
      <c r="X876" s="27">
        <f>IF(OR(NOT(ISNUMBER($V876)),$AO876=1),"",$V876-(COUNTIFS($A$14:$A$1213,$A876,$C$14:$C$1213,"&gt;=0")+1)/2)</f>
        <v/>
      </c>
      <c r="Y876" s="27">
        <f>IF(OR(NOT(ISNUMBER($W876)),$AO876=1),"",$W876-(COUNTIFS($A$14:$A$1213,$A876,$F$14:$F$1213,"&gt;=0")+1)/2)</f>
        <v/>
      </c>
      <c r="Z876" s="27">
        <f>IF(ISNUMBER($V876),$A876&amp;"|"&amp;$V876,"")</f>
        <v/>
      </c>
      <c r="AA876" s="27">
        <f>IF(ISNUMBER($W876),$A876&amp;"|"&amp;$W876,"")</f>
        <v/>
      </c>
      <c r="AB876" s="27">
        <f>IF(ISNUMBER($F876),$A876&amp;"|"&amp;$F876,"")</f>
        <v/>
      </c>
      <c r="AC876" s="27">
        <f>IF(ISNUMBER($P876),COUNTIFS($A$14:$A$1213,$A876,$P$14:$P$1213,"&gt;"&amp;$P876)+(COUNTIFS($A$14:$A$1213,$A876,$P$14:$P$1213,"="&amp;$P876)+1)/2,"")</f>
        <v/>
      </c>
      <c r="AD876" s="27">
        <f>IF(ISNUMBER($Q876),COUNTIFS($A$14:$A$1213,$A876,$Q$14:$Q$1213,"&gt;"&amp;$Q876)+(COUNTIFS($A$14:$A$1213,$A876,$Q$14:$Q$1213,"="&amp;$Q876)+1)/2,"")</f>
        <v/>
      </c>
      <c r="AE876" s="27">
        <f>IF(ISNUMBER($R876),COUNTIFS($A$14:$A$1213,$A876,$R$14:$R$1213,"&gt;"&amp;$R876)+(COUNTIFS($A$14:$A$1213,$A876,$R$14:$R$1213,"="&amp;$R876)+1)/2,"")</f>
        <v/>
      </c>
      <c r="AF876" s="27">
        <f>IF(ISNUMBER($S876),COUNTIFS($A$14:$A$1213,$A876,$S$14:$S$1213,"&gt;"&amp;$S876)+(COUNTIFS($A$14:$A$1213,$A876,$S$14:$S$1213,"="&amp;$S876)+1)/2,"")</f>
        <v/>
      </c>
      <c r="AG876" s="27">
        <f>IF(ISNUMBER($T876),COUNTIFS($A$14:$A$1213,$A876,$T$14:$T$1213,"&gt;"&amp;$T876)+(COUNTIFS($A$14:$A$1213,$A876,$T$14:$T$1213,"="&amp;$T876)+1)/2,"")</f>
        <v/>
      </c>
      <c r="AH876" s="27">
        <f>IF(COUNT($AC876:$AG876)&lt;2,"",IF(MAX($AC876:$AG876)=MIN($AC876:$AG876),0,1))</f>
        <v/>
      </c>
      <c r="AI876" s="27">
        <f>IF($A876="","",IF(COUNTIF($A$14:$A876,$A876)=1,COUNTIF($AI$13:AI875,"&gt;0")+1,""))</f>
        <v/>
      </c>
      <c r="AO876" s="27">
        <f>IF($A876="","",IF(AND(COUNTIFS($A$14:$A$1213,$A876,$F$14:$F$1213,"&gt;=0")=2,IFERROR(INDEX($M$14:$M$313,MATCH($A876,$H$14:$H$313,0)),"Yes")&lt;&gt;"Yes"),1,0))</f>
        <v/>
      </c>
    </row>
    <row r="877">
      <c r="A877" s="19">
        <f>IF('Enter messages'!A877="","",'Enter messages'!A877)</f>
        <v/>
      </c>
      <c r="B877" s="20">
        <f>IF('Enter messages'!B877="","",'Enter messages'!B877)</f>
        <v/>
      </c>
      <c r="C877" s="21">
        <f>IFERROR(AVERAGE(P877:T877),"")</f>
        <v/>
      </c>
      <c r="D877" s="29" t="n"/>
      <c r="E877" s="29" t="n"/>
      <c r="F877" s="30">
        <f>IF(AND(ISNUMBER($D877),ISNUMBER($E877),$E877&gt;0,$D877&lt;=$E877),$D877/$E877,"")</f>
        <v/>
      </c>
      <c r="P877" s="26" t="n"/>
      <c r="Q877" s="26" t="n"/>
      <c r="R877" s="26" t="n"/>
      <c r="S877" s="26" t="n"/>
      <c r="T877" s="26" t="n"/>
      <c r="V877" s="27">
        <f>IF(ISNUMBER($C877),COUNTIFS($A$14:$A$1213,$A877,$C$14:$C$1213,"&gt;"&amp;$C877)+(COUNTIFS($A$14:$A$1213,$A877,$C$14:$C$1213,"="&amp;$C877)+1)/2,"")</f>
        <v/>
      </c>
      <c r="W877" s="27">
        <f>IF(ISNUMBER($F877),COUNTIFS($A$14:$A$1213,$A877,$F$14:$F$1213,"&gt;"&amp;$F877)+(COUNTIFS($A$14:$A$1213,$A877,$F$14:$F$1213,"="&amp;$F877)+1)/2,"")</f>
        <v/>
      </c>
      <c r="X877" s="27">
        <f>IF(OR(NOT(ISNUMBER($V877)),$AO877=1),"",$V877-(COUNTIFS($A$14:$A$1213,$A877,$C$14:$C$1213,"&gt;=0")+1)/2)</f>
        <v/>
      </c>
      <c r="Y877" s="27">
        <f>IF(OR(NOT(ISNUMBER($W877)),$AO877=1),"",$W877-(COUNTIFS($A$14:$A$1213,$A877,$F$14:$F$1213,"&gt;=0")+1)/2)</f>
        <v/>
      </c>
      <c r="Z877" s="27">
        <f>IF(ISNUMBER($V877),$A877&amp;"|"&amp;$V877,"")</f>
        <v/>
      </c>
      <c r="AA877" s="27">
        <f>IF(ISNUMBER($W877),$A877&amp;"|"&amp;$W877,"")</f>
        <v/>
      </c>
      <c r="AB877" s="27">
        <f>IF(ISNUMBER($F877),$A877&amp;"|"&amp;$F877,"")</f>
        <v/>
      </c>
      <c r="AC877" s="27">
        <f>IF(ISNUMBER($P877),COUNTIFS($A$14:$A$1213,$A877,$P$14:$P$1213,"&gt;"&amp;$P877)+(COUNTIFS($A$14:$A$1213,$A877,$P$14:$P$1213,"="&amp;$P877)+1)/2,"")</f>
        <v/>
      </c>
      <c r="AD877" s="27">
        <f>IF(ISNUMBER($Q877),COUNTIFS($A$14:$A$1213,$A877,$Q$14:$Q$1213,"&gt;"&amp;$Q877)+(COUNTIFS($A$14:$A$1213,$A877,$Q$14:$Q$1213,"="&amp;$Q877)+1)/2,"")</f>
        <v/>
      </c>
      <c r="AE877" s="27">
        <f>IF(ISNUMBER($R877),COUNTIFS($A$14:$A$1213,$A877,$R$14:$R$1213,"&gt;"&amp;$R877)+(COUNTIFS($A$14:$A$1213,$A877,$R$14:$R$1213,"="&amp;$R877)+1)/2,"")</f>
        <v/>
      </c>
      <c r="AF877" s="27">
        <f>IF(ISNUMBER($S877),COUNTIFS($A$14:$A$1213,$A877,$S$14:$S$1213,"&gt;"&amp;$S877)+(COUNTIFS($A$14:$A$1213,$A877,$S$14:$S$1213,"="&amp;$S877)+1)/2,"")</f>
        <v/>
      </c>
      <c r="AG877" s="27">
        <f>IF(ISNUMBER($T877),COUNTIFS($A$14:$A$1213,$A877,$T$14:$T$1213,"&gt;"&amp;$T877)+(COUNTIFS($A$14:$A$1213,$A877,$T$14:$T$1213,"="&amp;$T877)+1)/2,"")</f>
        <v/>
      </c>
      <c r="AH877" s="27">
        <f>IF(COUNT($AC877:$AG877)&lt;2,"",IF(MAX($AC877:$AG877)=MIN($AC877:$AG877),0,1))</f>
        <v/>
      </c>
      <c r="AI877" s="27">
        <f>IF($A877="","",IF(COUNTIF($A$14:$A877,$A877)=1,COUNTIF($AI$13:AI876,"&gt;0")+1,""))</f>
        <v/>
      </c>
      <c r="AO877" s="27">
        <f>IF($A877="","",IF(AND(COUNTIFS($A$14:$A$1213,$A877,$F$14:$F$1213,"&gt;=0")=2,IFERROR(INDEX($M$14:$M$313,MATCH($A877,$H$14:$H$313,0)),"Yes")&lt;&gt;"Yes"),1,0))</f>
        <v/>
      </c>
    </row>
    <row r="878">
      <c r="A878" s="19">
        <f>IF('Enter messages'!A878="","",'Enter messages'!A878)</f>
        <v/>
      </c>
      <c r="B878" s="20">
        <f>IF('Enter messages'!B878="","",'Enter messages'!B878)</f>
        <v/>
      </c>
      <c r="C878" s="21">
        <f>IFERROR(AVERAGE(P878:T878),"")</f>
        <v/>
      </c>
      <c r="D878" s="29" t="n"/>
      <c r="E878" s="29" t="n"/>
      <c r="F878" s="30">
        <f>IF(AND(ISNUMBER($D878),ISNUMBER($E878),$E878&gt;0,$D878&lt;=$E878),$D878/$E878,"")</f>
        <v/>
      </c>
      <c r="P878" s="26" t="n"/>
      <c r="Q878" s="26" t="n"/>
      <c r="R878" s="26" t="n"/>
      <c r="S878" s="26" t="n"/>
      <c r="T878" s="26" t="n"/>
      <c r="V878" s="27">
        <f>IF(ISNUMBER($C878),COUNTIFS($A$14:$A$1213,$A878,$C$14:$C$1213,"&gt;"&amp;$C878)+(COUNTIFS($A$14:$A$1213,$A878,$C$14:$C$1213,"="&amp;$C878)+1)/2,"")</f>
        <v/>
      </c>
      <c r="W878" s="27">
        <f>IF(ISNUMBER($F878),COUNTIFS($A$14:$A$1213,$A878,$F$14:$F$1213,"&gt;"&amp;$F878)+(COUNTIFS($A$14:$A$1213,$A878,$F$14:$F$1213,"="&amp;$F878)+1)/2,"")</f>
        <v/>
      </c>
      <c r="X878" s="27">
        <f>IF(OR(NOT(ISNUMBER($V878)),$AO878=1),"",$V878-(COUNTIFS($A$14:$A$1213,$A878,$C$14:$C$1213,"&gt;=0")+1)/2)</f>
        <v/>
      </c>
      <c r="Y878" s="27">
        <f>IF(OR(NOT(ISNUMBER($W878)),$AO878=1),"",$W878-(COUNTIFS($A$14:$A$1213,$A878,$F$14:$F$1213,"&gt;=0")+1)/2)</f>
        <v/>
      </c>
      <c r="Z878" s="27">
        <f>IF(ISNUMBER($V878),$A878&amp;"|"&amp;$V878,"")</f>
        <v/>
      </c>
      <c r="AA878" s="27">
        <f>IF(ISNUMBER($W878),$A878&amp;"|"&amp;$W878,"")</f>
        <v/>
      </c>
      <c r="AB878" s="27">
        <f>IF(ISNUMBER($F878),$A878&amp;"|"&amp;$F878,"")</f>
        <v/>
      </c>
      <c r="AC878" s="27">
        <f>IF(ISNUMBER($P878),COUNTIFS($A$14:$A$1213,$A878,$P$14:$P$1213,"&gt;"&amp;$P878)+(COUNTIFS($A$14:$A$1213,$A878,$P$14:$P$1213,"="&amp;$P878)+1)/2,"")</f>
        <v/>
      </c>
      <c r="AD878" s="27">
        <f>IF(ISNUMBER($Q878),COUNTIFS($A$14:$A$1213,$A878,$Q$14:$Q$1213,"&gt;"&amp;$Q878)+(COUNTIFS($A$14:$A$1213,$A878,$Q$14:$Q$1213,"="&amp;$Q878)+1)/2,"")</f>
        <v/>
      </c>
      <c r="AE878" s="27">
        <f>IF(ISNUMBER($R878),COUNTIFS($A$14:$A$1213,$A878,$R$14:$R$1213,"&gt;"&amp;$R878)+(COUNTIFS($A$14:$A$1213,$A878,$R$14:$R$1213,"="&amp;$R878)+1)/2,"")</f>
        <v/>
      </c>
      <c r="AF878" s="27">
        <f>IF(ISNUMBER($S878),COUNTIFS($A$14:$A$1213,$A878,$S$14:$S$1213,"&gt;"&amp;$S878)+(COUNTIFS($A$14:$A$1213,$A878,$S$14:$S$1213,"="&amp;$S878)+1)/2,"")</f>
        <v/>
      </c>
      <c r="AG878" s="27">
        <f>IF(ISNUMBER($T878),COUNTIFS($A$14:$A$1213,$A878,$T$14:$T$1213,"&gt;"&amp;$T878)+(COUNTIFS($A$14:$A$1213,$A878,$T$14:$T$1213,"="&amp;$T878)+1)/2,"")</f>
        <v/>
      </c>
      <c r="AH878" s="27">
        <f>IF(COUNT($AC878:$AG878)&lt;2,"",IF(MAX($AC878:$AG878)=MIN($AC878:$AG878),0,1))</f>
        <v/>
      </c>
      <c r="AI878" s="27">
        <f>IF($A878="","",IF(COUNTIF($A$14:$A878,$A878)=1,COUNTIF($AI$13:AI877,"&gt;0")+1,""))</f>
        <v/>
      </c>
      <c r="AO878" s="27">
        <f>IF($A878="","",IF(AND(COUNTIFS($A$14:$A$1213,$A878,$F$14:$F$1213,"&gt;=0")=2,IFERROR(INDEX($M$14:$M$313,MATCH($A878,$H$14:$H$313,0)),"Yes")&lt;&gt;"Yes"),1,0))</f>
        <v/>
      </c>
    </row>
    <row r="879">
      <c r="A879" s="19">
        <f>IF('Enter messages'!A879="","",'Enter messages'!A879)</f>
        <v/>
      </c>
      <c r="B879" s="20">
        <f>IF('Enter messages'!B879="","",'Enter messages'!B879)</f>
        <v/>
      </c>
      <c r="C879" s="21">
        <f>IFERROR(AVERAGE(P879:T879),"")</f>
        <v/>
      </c>
      <c r="D879" s="29" t="n"/>
      <c r="E879" s="29" t="n"/>
      <c r="F879" s="30">
        <f>IF(AND(ISNUMBER($D879),ISNUMBER($E879),$E879&gt;0,$D879&lt;=$E879),$D879/$E879,"")</f>
        <v/>
      </c>
      <c r="P879" s="26" t="n"/>
      <c r="Q879" s="26" t="n"/>
      <c r="R879" s="26" t="n"/>
      <c r="S879" s="26" t="n"/>
      <c r="T879" s="26" t="n"/>
      <c r="V879" s="27">
        <f>IF(ISNUMBER($C879),COUNTIFS($A$14:$A$1213,$A879,$C$14:$C$1213,"&gt;"&amp;$C879)+(COUNTIFS($A$14:$A$1213,$A879,$C$14:$C$1213,"="&amp;$C879)+1)/2,"")</f>
        <v/>
      </c>
      <c r="W879" s="27">
        <f>IF(ISNUMBER($F879),COUNTIFS($A$14:$A$1213,$A879,$F$14:$F$1213,"&gt;"&amp;$F879)+(COUNTIFS($A$14:$A$1213,$A879,$F$14:$F$1213,"="&amp;$F879)+1)/2,"")</f>
        <v/>
      </c>
      <c r="X879" s="27">
        <f>IF(OR(NOT(ISNUMBER($V879)),$AO879=1),"",$V879-(COUNTIFS($A$14:$A$1213,$A879,$C$14:$C$1213,"&gt;=0")+1)/2)</f>
        <v/>
      </c>
      <c r="Y879" s="27">
        <f>IF(OR(NOT(ISNUMBER($W879)),$AO879=1),"",$W879-(COUNTIFS($A$14:$A$1213,$A879,$F$14:$F$1213,"&gt;=0")+1)/2)</f>
        <v/>
      </c>
      <c r="Z879" s="27">
        <f>IF(ISNUMBER($V879),$A879&amp;"|"&amp;$V879,"")</f>
        <v/>
      </c>
      <c r="AA879" s="27">
        <f>IF(ISNUMBER($W879),$A879&amp;"|"&amp;$W879,"")</f>
        <v/>
      </c>
      <c r="AB879" s="27">
        <f>IF(ISNUMBER($F879),$A879&amp;"|"&amp;$F879,"")</f>
        <v/>
      </c>
      <c r="AC879" s="27">
        <f>IF(ISNUMBER($P879),COUNTIFS($A$14:$A$1213,$A879,$P$14:$P$1213,"&gt;"&amp;$P879)+(COUNTIFS($A$14:$A$1213,$A879,$P$14:$P$1213,"="&amp;$P879)+1)/2,"")</f>
        <v/>
      </c>
      <c r="AD879" s="27">
        <f>IF(ISNUMBER($Q879),COUNTIFS($A$14:$A$1213,$A879,$Q$14:$Q$1213,"&gt;"&amp;$Q879)+(COUNTIFS($A$14:$A$1213,$A879,$Q$14:$Q$1213,"="&amp;$Q879)+1)/2,"")</f>
        <v/>
      </c>
      <c r="AE879" s="27">
        <f>IF(ISNUMBER($R879),COUNTIFS($A$14:$A$1213,$A879,$R$14:$R$1213,"&gt;"&amp;$R879)+(COUNTIFS($A$14:$A$1213,$A879,$R$14:$R$1213,"="&amp;$R879)+1)/2,"")</f>
        <v/>
      </c>
      <c r="AF879" s="27">
        <f>IF(ISNUMBER($S879),COUNTIFS($A$14:$A$1213,$A879,$S$14:$S$1213,"&gt;"&amp;$S879)+(COUNTIFS($A$14:$A$1213,$A879,$S$14:$S$1213,"="&amp;$S879)+1)/2,"")</f>
        <v/>
      </c>
      <c r="AG879" s="27">
        <f>IF(ISNUMBER($T879),COUNTIFS($A$14:$A$1213,$A879,$T$14:$T$1213,"&gt;"&amp;$T879)+(COUNTIFS($A$14:$A$1213,$A879,$T$14:$T$1213,"="&amp;$T879)+1)/2,"")</f>
        <v/>
      </c>
      <c r="AH879" s="27">
        <f>IF(COUNT($AC879:$AG879)&lt;2,"",IF(MAX($AC879:$AG879)=MIN($AC879:$AG879),0,1))</f>
        <v/>
      </c>
      <c r="AI879" s="27">
        <f>IF($A879="","",IF(COUNTIF($A$14:$A879,$A879)=1,COUNTIF($AI$13:AI878,"&gt;0")+1,""))</f>
        <v/>
      </c>
      <c r="AO879" s="27">
        <f>IF($A879="","",IF(AND(COUNTIFS($A$14:$A$1213,$A879,$F$14:$F$1213,"&gt;=0")=2,IFERROR(INDEX($M$14:$M$313,MATCH($A879,$H$14:$H$313,0)),"Yes")&lt;&gt;"Yes"),1,0))</f>
        <v/>
      </c>
    </row>
    <row r="880">
      <c r="A880" s="19">
        <f>IF('Enter messages'!A880="","",'Enter messages'!A880)</f>
        <v/>
      </c>
      <c r="B880" s="20">
        <f>IF('Enter messages'!B880="","",'Enter messages'!B880)</f>
        <v/>
      </c>
      <c r="C880" s="21">
        <f>IFERROR(AVERAGE(P880:T880),"")</f>
        <v/>
      </c>
      <c r="D880" s="29" t="n"/>
      <c r="E880" s="29" t="n"/>
      <c r="F880" s="30">
        <f>IF(AND(ISNUMBER($D880),ISNUMBER($E880),$E880&gt;0,$D880&lt;=$E880),$D880/$E880,"")</f>
        <v/>
      </c>
      <c r="P880" s="26" t="n"/>
      <c r="Q880" s="26" t="n"/>
      <c r="R880" s="26" t="n"/>
      <c r="S880" s="26" t="n"/>
      <c r="T880" s="26" t="n"/>
      <c r="V880" s="27">
        <f>IF(ISNUMBER($C880),COUNTIFS($A$14:$A$1213,$A880,$C$14:$C$1213,"&gt;"&amp;$C880)+(COUNTIFS($A$14:$A$1213,$A880,$C$14:$C$1213,"="&amp;$C880)+1)/2,"")</f>
        <v/>
      </c>
      <c r="W880" s="27">
        <f>IF(ISNUMBER($F880),COUNTIFS($A$14:$A$1213,$A880,$F$14:$F$1213,"&gt;"&amp;$F880)+(COUNTIFS($A$14:$A$1213,$A880,$F$14:$F$1213,"="&amp;$F880)+1)/2,"")</f>
        <v/>
      </c>
      <c r="X880" s="27">
        <f>IF(OR(NOT(ISNUMBER($V880)),$AO880=1),"",$V880-(COUNTIFS($A$14:$A$1213,$A880,$C$14:$C$1213,"&gt;=0")+1)/2)</f>
        <v/>
      </c>
      <c r="Y880" s="27">
        <f>IF(OR(NOT(ISNUMBER($W880)),$AO880=1),"",$W880-(COUNTIFS($A$14:$A$1213,$A880,$F$14:$F$1213,"&gt;=0")+1)/2)</f>
        <v/>
      </c>
      <c r="Z880" s="27">
        <f>IF(ISNUMBER($V880),$A880&amp;"|"&amp;$V880,"")</f>
        <v/>
      </c>
      <c r="AA880" s="27">
        <f>IF(ISNUMBER($W880),$A880&amp;"|"&amp;$W880,"")</f>
        <v/>
      </c>
      <c r="AB880" s="27">
        <f>IF(ISNUMBER($F880),$A880&amp;"|"&amp;$F880,"")</f>
        <v/>
      </c>
      <c r="AC880" s="27">
        <f>IF(ISNUMBER($P880),COUNTIFS($A$14:$A$1213,$A880,$P$14:$P$1213,"&gt;"&amp;$P880)+(COUNTIFS($A$14:$A$1213,$A880,$P$14:$P$1213,"="&amp;$P880)+1)/2,"")</f>
        <v/>
      </c>
      <c r="AD880" s="27">
        <f>IF(ISNUMBER($Q880),COUNTIFS($A$14:$A$1213,$A880,$Q$14:$Q$1213,"&gt;"&amp;$Q880)+(COUNTIFS($A$14:$A$1213,$A880,$Q$14:$Q$1213,"="&amp;$Q880)+1)/2,"")</f>
        <v/>
      </c>
      <c r="AE880" s="27">
        <f>IF(ISNUMBER($R880),COUNTIFS($A$14:$A$1213,$A880,$R$14:$R$1213,"&gt;"&amp;$R880)+(COUNTIFS($A$14:$A$1213,$A880,$R$14:$R$1213,"="&amp;$R880)+1)/2,"")</f>
        <v/>
      </c>
      <c r="AF880" s="27">
        <f>IF(ISNUMBER($S880),COUNTIFS($A$14:$A$1213,$A880,$S$14:$S$1213,"&gt;"&amp;$S880)+(COUNTIFS($A$14:$A$1213,$A880,$S$14:$S$1213,"="&amp;$S880)+1)/2,"")</f>
        <v/>
      </c>
      <c r="AG880" s="27">
        <f>IF(ISNUMBER($T880),COUNTIFS($A$14:$A$1213,$A880,$T$14:$T$1213,"&gt;"&amp;$T880)+(COUNTIFS($A$14:$A$1213,$A880,$T$14:$T$1213,"="&amp;$T880)+1)/2,"")</f>
        <v/>
      </c>
      <c r="AH880" s="27">
        <f>IF(COUNT($AC880:$AG880)&lt;2,"",IF(MAX($AC880:$AG880)=MIN($AC880:$AG880),0,1))</f>
        <v/>
      </c>
      <c r="AI880" s="27">
        <f>IF($A880="","",IF(COUNTIF($A$14:$A880,$A880)=1,COUNTIF($AI$13:AI879,"&gt;0")+1,""))</f>
        <v/>
      </c>
      <c r="AO880" s="27">
        <f>IF($A880="","",IF(AND(COUNTIFS($A$14:$A$1213,$A880,$F$14:$F$1213,"&gt;=0")=2,IFERROR(INDEX($M$14:$M$313,MATCH($A880,$H$14:$H$313,0)),"Yes")&lt;&gt;"Yes"),1,0))</f>
        <v/>
      </c>
    </row>
    <row r="881">
      <c r="A881" s="19">
        <f>IF('Enter messages'!A881="","",'Enter messages'!A881)</f>
        <v/>
      </c>
      <c r="B881" s="20">
        <f>IF('Enter messages'!B881="","",'Enter messages'!B881)</f>
        <v/>
      </c>
      <c r="C881" s="21">
        <f>IFERROR(AVERAGE(P881:T881),"")</f>
        <v/>
      </c>
      <c r="D881" s="29" t="n"/>
      <c r="E881" s="29" t="n"/>
      <c r="F881" s="30">
        <f>IF(AND(ISNUMBER($D881),ISNUMBER($E881),$E881&gt;0,$D881&lt;=$E881),$D881/$E881,"")</f>
        <v/>
      </c>
      <c r="P881" s="26" t="n"/>
      <c r="Q881" s="26" t="n"/>
      <c r="R881" s="26" t="n"/>
      <c r="S881" s="26" t="n"/>
      <c r="T881" s="26" t="n"/>
      <c r="V881" s="27">
        <f>IF(ISNUMBER($C881),COUNTIFS($A$14:$A$1213,$A881,$C$14:$C$1213,"&gt;"&amp;$C881)+(COUNTIFS($A$14:$A$1213,$A881,$C$14:$C$1213,"="&amp;$C881)+1)/2,"")</f>
        <v/>
      </c>
      <c r="W881" s="27">
        <f>IF(ISNUMBER($F881),COUNTIFS($A$14:$A$1213,$A881,$F$14:$F$1213,"&gt;"&amp;$F881)+(COUNTIFS($A$14:$A$1213,$A881,$F$14:$F$1213,"="&amp;$F881)+1)/2,"")</f>
        <v/>
      </c>
      <c r="X881" s="27">
        <f>IF(OR(NOT(ISNUMBER($V881)),$AO881=1),"",$V881-(COUNTIFS($A$14:$A$1213,$A881,$C$14:$C$1213,"&gt;=0")+1)/2)</f>
        <v/>
      </c>
      <c r="Y881" s="27">
        <f>IF(OR(NOT(ISNUMBER($W881)),$AO881=1),"",$W881-(COUNTIFS($A$14:$A$1213,$A881,$F$14:$F$1213,"&gt;=0")+1)/2)</f>
        <v/>
      </c>
      <c r="Z881" s="27">
        <f>IF(ISNUMBER($V881),$A881&amp;"|"&amp;$V881,"")</f>
        <v/>
      </c>
      <c r="AA881" s="27">
        <f>IF(ISNUMBER($W881),$A881&amp;"|"&amp;$W881,"")</f>
        <v/>
      </c>
      <c r="AB881" s="27">
        <f>IF(ISNUMBER($F881),$A881&amp;"|"&amp;$F881,"")</f>
        <v/>
      </c>
      <c r="AC881" s="27">
        <f>IF(ISNUMBER($P881),COUNTIFS($A$14:$A$1213,$A881,$P$14:$P$1213,"&gt;"&amp;$P881)+(COUNTIFS($A$14:$A$1213,$A881,$P$14:$P$1213,"="&amp;$P881)+1)/2,"")</f>
        <v/>
      </c>
      <c r="AD881" s="27">
        <f>IF(ISNUMBER($Q881),COUNTIFS($A$14:$A$1213,$A881,$Q$14:$Q$1213,"&gt;"&amp;$Q881)+(COUNTIFS($A$14:$A$1213,$A881,$Q$14:$Q$1213,"="&amp;$Q881)+1)/2,"")</f>
        <v/>
      </c>
      <c r="AE881" s="27">
        <f>IF(ISNUMBER($R881),COUNTIFS($A$14:$A$1213,$A881,$R$14:$R$1213,"&gt;"&amp;$R881)+(COUNTIFS($A$14:$A$1213,$A881,$R$14:$R$1213,"="&amp;$R881)+1)/2,"")</f>
        <v/>
      </c>
      <c r="AF881" s="27">
        <f>IF(ISNUMBER($S881),COUNTIFS($A$14:$A$1213,$A881,$S$14:$S$1213,"&gt;"&amp;$S881)+(COUNTIFS($A$14:$A$1213,$A881,$S$14:$S$1213,"="&amp;$S881)+1)/2,"")</f>
        <v/>
      </c>
      <c r="AG881" s="27">
        <f>IF(ISNUMBER($T881),COUNTIFS($A$14:$A$1213,$A881,$T$14:$T$1213,"&gt;"&amp;$T881)+(COUNTIFS($A$14:$A$1213,$A881,$T$14:$T$1213,"="&amp;$T881)+1)/2,"")</f>
        <v/>
      </c>
      <c r="AH881" s="27">
        <f>IF(COUNT($AC881:$AG881)&lt;2,"",IF(MAX($AC881:$AG881)=MIN($AC881:$AG881),0,1))</f>
        <v/>
      </c>
      <c r="AI881" s="27">
        <f>IF($A881="","",IF(COUNTIF($A$14:$A881,$A881)=1,COUNTIF($AI$13:AI880,"&gt;0")+1,""))</f>
        <v/>
      </c>
      <c r="AO881" s="27">
        <f>IF($A881="","",IF(AND(COUNTIFS($A$14:$A$1213,$A881,$F$14:$F$1213,"&gt;=0")=2,IFERROR(INDEX($M$14:$M$313,MATCH($A881,$H$14:$H$313,0)),"Yes")&lt;&gt;"Yes"),1,0))</f>
        <v/>
      </c>
    </row>
    <row r="882">
      <c r="A882" s="19">
        <f>IF('Enter messages'!A882="","",'Enter messages'!A882)</f>
        <v/>
      </c>
      <c r="B882" s="20">
        <f>IF('Enter messages'!B882="","",'Enter messages'!B882)</f>
        <v/>
      </c>
      <c r="C882" s="21">
        <f>IFERROR(AVERAGE(P882:T882),"")</f>
        <v/>
      </c>
      <c r="D882" s="29" t="n"/>
      <c r="E882" s="29" t="n"/>
      <c r="F882" s="30">
        <f>IF(AND(ISNUMBER($D882),ISNUMBER($E882),$E882&gt;0,$D882&lt;=$E882),$D882/$E882,"")</f>
        <v/>
      </c>
      <c r="P882" s="26" t="n"/>
      <c r="Q882" s="26" t="n"/>
      <c r="R882" s="26" t="n"/>
      <c r="S882" s="26" t="n"/>
      <c r="T882" s="26" t="n"/>
      <c r="V882" s="27">
        <f>IF(ISNUMBER($C882),COUNTIFS($A$14:$A$1213,$A882,$C$14:$C$1213,"&gt;"&amp;$C882)+(COUNTIFS($A$14:$A$1213,$A882,$C$14:$C$1213,"="&amp;$C882)+1)/2,"")</f>
        <v/>
      </c>
      <c r="W882" s="27">
        <f>IF(ISNUMBER($F882),COUNTIFS($A$14:$A$1213,$A882,$F$14:$F$1213,"&gt;"&amp;$F882)+(COUNTIFS($A$14:$A$1213,$A882,$F$14:$F$1213,"="&amp;$F882)+1)/2,"")</f>
        <v/>
      </c>
      <c r="X882" s="27">
        <f>IF(OR(NOT(ISNUMBER($V882)),$AO882=1),"",$V882-(COUNTIFS($A$14:$A$1213,$A882,$C$14:$C$1213,"&gt;=0")+1)/2)</f>
        <v/>
      </c>
      <c r="Y882" s="27">
        <f>IF(OR(NOT(ISNUMBER($W882)),$AO882=1),"",$W882-(COUNTIFS($A$14:$A$1213,$A882,$F$14:$F$1213,"&gt;=0")+1)/2)</f>
        <v/>
      </c>
      <c r="Z882" s="27">
        <f>IF(ISNUMBER($V882),$A882&amp;"|"&amp;$V882,"")</f>
        <v/>
      </c>
      <c r="AA882" s="27">
        <f>IF(ISNUMBER($W882),$A882&amp;"|"&amp;$W882,"")</f>
        <v/>
      </c>
      <c r="AB882" s="27">
        <f>IF(ISNUMBER($F882),$A882&amp;"|"&amp;$F882,"")</f>
        <v/>
      </c>
      <c r="AC882" s="27">
        <f>IF(ISNUMBER($P882),COUNTIFS($A$14:$A$1213,$A882,$P$14:$P$1213,"&gt;"&amp;$P882)+(COUNTIFS($A$14:$A$1213,$A882,$P$14:$P$1213,"="&amp;$P882)+1)/2,"")</f>
        <v/>
      </c>
      <c r="AD882" s="27">
        <f>IF(ISNUMBER($Q882),COUNTIFS($A$14:$A$1213,$A882,$Q$14:$Q$1213,"&gt;"&amp;$Q882)+(COUNTIFS($A$14:$A$1213,$A882,$Q$14:$Q$1213,"="&amp;$Q882)+1)/2,"")</f>
        <v/>
      </c>
      <c r="AE882" s="27">
        <f>IF(ISNUMBER($R882),COUNTIFS($A$14:$A$1213,$A882,$R$14:$R$1213,"&gt;"&amp;$R882)+(COUNTIFS($A$14:$A$1213,$A882,$R$14:$R$1213,"="&amp;$R882)+1)/2,"")</f>
        <v/>
      </c>
      <c r="AF882" s="27">
        <f>IF(ISNUMBER($S882),COUNTIFS($A$14:$A$1213,$A882,$S$14:$S$1213,"&gt;"&amp;$S882)+(COUNTIFS($A$14:$A$1213,$A882,$S$14:$S$1213,"="&amp;$S882)+1)/2,"")</f>
        <v/>
      </c>
      <c r="AG882" s="27">
        <f>IF(ISNUMBER($T882),COUNTIFS($A$14:$A$1213,$A882,$T$14:$T$1213,"&gt;"&amp;$T882)+(COUNTIFS($A$14:$A$1213,$A882,$T$14:$T$1213,"="&amp;$T882)+1)/2,"")</f>
        <v/>
      </c>
      <c r="AH882" s="27">
        <f>IF(COUNT($AC882:$AG882)&lt;2,"",IF(MAX($AC882:$AG882)=MIN($AC882:$AG882),0,1))</f>
        <v/>
      </c>
      <c r="AI882" s="27">
        <f>IF($A882="","",IF(COUNTIF($A$14:$A882,$A882)=1,COUNTIF($AI$13:AI881,"&gt;0")+1,""))</f>
        <v/>
      </c>
      <c r="AO882" s="27">
        <f>IF($A882="","",IF(AND(COUNTIFS($A$14:$A$1213,$A882,$F$14:$F$1213,"&gt;=0")=2,IFERROR(INDEX($M$14:$M$313,MATCH($A882,$H$14:$H$313,0)),"Yes")&lt;&gt;"Yes"),1,0))</f>
        <v/>
      </c>
    </row>
    <row r="883">
      <c r="A883" s="19">
        <f>IF('Enter messages'!A883="","",'Enter messages'!A883)</f>
        <v/>
      </c>
      <c r="B883" s="20">
        <f>IF('Enter messages'!B883="","",'Enter messages'!B883)</f>
        <v/>
      </c>
      <c r="C883" s="21">
        <f>IFERROR(AVERAGE(P883:T883),"")</f>
        <v/>
      </c>
      <c r="D883" s="29" t="n"/>
      <c r="E883" s="29" t="n"/>
      <c r="F883" s="30">
        <f>IF(AND(ISNUMBER($D883),ISNUMBER($E883),$E883&gt;0,$D883&lt;=$E883),$D883/$E883,"")</f>
        <v/>
      </c>
      <c r="P883" s="26" t="n"/>
      <c r="Q883" s="26" t="n"/>
      <c r="R883" s="26" t="n"/>
      <c r="S883" s="26" t="n"/>
      <c r="T883" s="26" t="n"/>
      <c r="V883" s="27">
        <f>IF(ISNUMBER($C883),COUNTIFS($A$14:$A$1213,$A883,$C$14:$C$1213,"&gt;"&amp;$C883)+(COUNTIFS($A$14:$A$1213,$A883,$C$14:$C$1213,"="&amp;$C883)+1)/2,"")</f>
        <v/>
      </c>
      <c r="W883" s="27">
        <f>IF(ISNUMBER($F883),COUNTIFS($A$14:$A$1213,$A883,$F$14:$F$1213,"&gt;"&amp;$F883)+(COUNTIFS($A$14:$A$1213,$A883,$F$14:$F$1213,"="&amp;$F883)+1)/2,"")</f>
        <v/>
      </c>
      <c r="X883" s="27">
        <f>IF(OR(NOT(ISNUMBER($V883)),$AO883=1),"",$V883-(COUNTIFS($A$14:$A$1213,$A883,$C$14:$C$1213,"&gt;=0")+1)/2)</f>
        <v/>
      </c>
      <c r="Y883" s="27">
        <f>IF(OR(NOT(ISNUMBER($W883)),$AO883=1),"",$W883-(COUNTIFS($A$14:$A$1213,$A883,$F$14:$F$1213,"&gt;=0")+1)/2)</f>
        <v/>
      </c>
      <c r="Z883" s="27">
        <f>IF(ISNUMBER($V883),$A883&amp;"|"&amp;$V883,"")</f>
        <v/>
      </c>
      <c r="AA883" s="27">
        <f>IF(ISNUMBER($W883),$A883&amp;"|"&amp;$W883,"")</f>
        <v/>
      </c>
      <c r="AB883" s="27">
        <f>IF(ISNUMBER($F883),$A883&amp;"|"&amp;$F883,"")</f>
        <v/>
      </c>
      <c r="AC883" s="27">
        <f>IF(ISNUMBER($P883),COUNTIFS($A$14:$A$1213,$A883,$P$14:$P$1213,"&gt;"&amp;$P883)+(COUNTIFS($A$14:$A$1213,$A883,$P$14:$P$1213,"="&amp;$P883)+1)/2,"")</f>
        <v/>
      </c>
      <c r="AD883" s="27">
        <f>IF(ISNUMBER($Q883),COUNTIFS($A$14:$A$1213,$A883,$Q$14:$Q$1213,"&gt;"&amp;$Q883)+(COUNTIFS($A$14:$A$1213,$A883,$Q$14:$Q$1213,"="&amp;$Q883)+1)/2,"")</f>
        <v/>
      </c>
      <c r="AE883" s="27">
        <f>IF(ISNUMBER($R883),COUNTIFS($A$14:$A$1213,$A883,$R$14:$R$1213,"&gt;"&amp;$R883)+(COUNTIFS($A$14:$A$1213,$A883,$R$14:$R$1213,"="&amp;$R883)+1)/2,"")</f>
        <v/>
      </c>
      <c r="AF883" s="27">
        <f>IF(ISNUMBER($S883),COUNTIFS($A$14:$A$1213,$A883,$S$14:$S$1213,"&gt;"&amp;$S883)+(COUNTIFS($A$14:$A$1213,$A883,$S$14:$S$1213,"="&amp;$S883)+1)/2,"")</f>
        <v/>
      </c>
      <c r="AG883" s="27">
        <f>IF(ISNUMBER($T883),COUNTIFS($A$14:$A$1213,$A883,$T$14:$T$1213,"&gt;"&amp;$T883)+(COUNTIFS($A$14:$A$1213,$A883,$T$14:$T$1213,"="&amp;$T883)+1)/2,"")</f>
        <v/>
      </c>
      <c r="AH883" s="27">
        <f>IF(COUNT($AC883:$AG883)&lt;2,"",IF(MAX($AC883:$AG883)=MIN($AC883:$AG883),0,1))</f>
        <v/>
      </c>
      <c r="AI883" s="27">
        <f>IF($A883="","",IF(COUNTIF($A$14:$A883,$A883)=1,COUNTIF($AI$13:AI882,"&gt;0")+1,""))</f>
        <v/>
      </c>
      <c r="AO883" s="27">
        <f>IF($A883="","",IF(AND(COUNTIFS($A$14:$A$1213,$A883,$F$14:$F$1213,"&gt;=0")=2,IFERROR(INDEX($M$14:$M$313,MATCH($A883,$H$14:$H$313,0)),"Yes")&lt;&gt;"Yes"),1,0))</f>
        <v/>
      </c>
    </row>
    <row r="884">
      <c r="A884" s="19">
        <f>IF('Enter messages'!A884="","",'Enter messages'!A884)</f>
        <v/>
      </c>
      <c r="B884" s="20">
        <f>IF('Enter messages'!B884="","",'Enter messages'!B884)</f>
        <v/>
      </c>
      <c r="C884" s="21">
        <f>IFERROR(AVERAGE(P884:T884),"")</f>
        <v/>
      </c>
      <c r="D884" s="29" t="n"/>
      <c r="E884" s="29" t="n"/>
      <c r="F884" s="30">
        <f>IF(AND(ISNUMBER($D884),ISNUMBER($E884),$E884&gt;0,$D884&lt;=$E884),$D884/$E884,"")</f>
        <v/>
      </c>
      <c r="P884" s="26" t="n"/>
      <c r="Q884" s="26" t="n"/>
      <c r="R884" s="26" t="n"/>
      <c r="S884" s="26" t="n"/>
      <c r="T884" s="26" t="n"/>
      <c r="V884" s="27">
        <f>IF(ISNUMBER($C884),COUNTIFS($A$14:$A$1213,$A884,$C$14:$C$1213,"&gt;"&amp;$C884)+(COUNTIFS($A$14:$A$1213,$A884,$C$14:$C$1213,"="&amp;$C884)+1)/2,"")</f>
        <v/>
      </c>
      <c r="W884" s="27">
        <f>IF(ISNUMBER($F884),COUNTIFS($A$14:$A$1213,$A884,$F$14:$F$1213,"&gt;"&amp;$F884)+(COUNTIFS($A$14:$A$1213,$A884,$F$14:$F$1213,"="&amp;$F884)+1)/2,"")</f>
        <v/>
      </c>
      <c r="X884" s="27">
        <f>IF(OR(NOT(ISNUMBER($V884)),$AO884=1),"",$V884-(COUNTIFS($A$14:$A$1213,$A884,$C$14:$C$1213,"&gt;=0")+1)/2)</f>
        <v/>
      </c>
      <c r="Y884" s="27">
        <f>IF(OR(NOT(ISNUMBER($W884)),$AO884=1),"",$W884-(COUNTIFS($A$14:$A$1213,$A884,$F$14:$F$1213,"&gt;=0")+1)/2)</f>
        <v/>
      </c>
      <c r="Z884" s="27">
        <f>IF(ISNUMBER($V884),$A884&amp;"|"&amp;$V884,"")</f>
        <v/>
      </c>
      <c r="AA884" s="27">
        <f>IF(ISNUMBER($W884),$A884&amp;"|"&amp;$W884,"")</f>
        <v/>
      </c>
      <c r="AB884" s="27">
        <f>IF(ISNUMBER($F884),$A884&amp;"|"&amp;$F884,"")</f>
        <v/>
      </c>
      <c r="AC884" s="27">
        <f>IF(ISNUMBER($P884),COUNTIFS($A$14:$A$1213,$A884,$P$14:$P$1213,"&gt;"&amp;$P884)+(COUNTIFS($A$14:$A$1213,$A884,$P$14:$P$1213,"="&amp;$P884)+1)/2,"")</f>
        <v/>
      </c>
      <c r="AD884" s="27">
        <f>IF(ISNUMBER($Q884),COUNTIFS($A$14:$A$1213,$A884,$Q$14:$Q$1213,"&gt;"&amp;$Q884)+(COUNTIFS($A$14:$A$1213,$A884,$Q$14:$Q$1213,"="&amp;$Q884)+1)/2,"")</f>
        <v/>
      </c>
      <c r="AE884" s="27">
        <f>IF(ISNUMBER($R884),COUNTIFS($A$14:$A$1213,$A884,$R$14:$R$1213,"&gt;"&amp;$R884)+(COUNTIFS($A$14:$A$1213,$A884,$R$14:$R$1213,"="&amp;$R884)+1)/2,"")</f>
        <v/>
      </c>
      <c r="AF884" s="27">
        <f>IF(ISNUMBER($S884),COUNTIFS($A$14:$A$1213,$A884,$S$14:$S$1213,"&gt;"&amp;$S884)+(COUNTIFS($A$14:$A$1213,$A884,$S$14:$S$1213,"="&amp;$S884)+1)/2,"")</f>
        <v/>
      </c>
      <c r="AG884" s="27">
        <f>IF(ISNUMBER($T884),COUNTIFS($A$14:$A$1213,$A884,$T$14:$T$1213,"&gt;"&amp;$T884)+(COUNTIFS($A$14:$A$1213,$A884,$T$14:$T$1213,"="&amp;$T884)+1)/2,"")</f>
        <v/>
      </c>
      <c r="AH884" s="27">
        <f>IF(COUNT($AC884:$AG884)&lt;2,"",IF(MAX($AC884:$AG884)=MIN($AC884:$AG884),0,1))</f>
        <v/>
      </c>
      <c r="AI884" s="27">
        <f>IF($A884="","",IF(COUNTIF($A$14:$A884,$A884)=1,COUNTIF($AI$13:AI883,"&gt;0")+1,""))</f>
        <v/>
      </c>
      <c r="AO884" s="27">
        <f>IF($A884="","",IF(AND(COUNTIFS($A$14:$A$1213,$A884,$F$14:$F$1213,"&gt;=0")=2,IFERROR(INDEX($M$14:$M$313,MATCH($A884,$H$14:$H$313,0)),"Yes")&lt;&gt;"Yes"),1,0))</f>
        <v/>
      </c>
    </row>
    <row r="885">
      <c r="A885" s="19">
        <f>IF('Enter messages'!A885="","",'Enter messages'!A885)</f>
        <v/>
      </c>
      <c r="B885" s="20">
        <f>IF('Enter messages'!B885="","",'Enter messages'!B885)</f>
        <v/>
      </c>
      <c r="C885" s="21">
        <f>IFERROR(AVERAGE(P885:T885),"")</f>
        <v/>
      </c>
      <c r="D885" s="29" t="n"/>
      <c r="E885" s="29" t="n"/>
      <c r="F885" s="30">
        <f>IF(AND(ISNUMBER($D885),ISNUMBER($E885),$E885&gt;0,$D885&lt;=$E885),$D885/$E885,"")</f>
        <v/>
      </c>
      <c r="P885" s="26" t="n"/>
      <c r="Q885" s="26" t="n"/>
      <c r="R885" s="26" t="n"/>
      <c r="S885" s="26" t="n"/>
      <c r="T885" s="26" t="n"/>
      <c r="V885" s="27">
        <f>IF(ISNUMBER($C885),COUNTIFS($A$14:$A$1213,$A885,$C$14:$C$1213,"&gt;"&amp;$C885)+(COUNTIFS($A$14:$A$1213,$A885,$C$14:$C$1213,"="&amp;$C885)+1)/2,"")</f>
        <v/>
      </c>
      <c r="W885" s="27">
        <f>IF(ISNUMBER($F885),COUNTIFS($A$14:$A$1213,$A885,$F$14:$F$1213,"&gt;"&amp;$F885)+(COUNTIFS($A$14:$A$1213,$A885,$F$14:$F$1213,"="&amp;$F885)+1)/2,"")</f>
        <v/>
      </c>
      <c r="X885" s="27">
        <f>IF(OR(NOT(ISNUMBER($V885)),$AO885=1),"",$V885-(COUNTIFS($A$14:$A$1213,$A885,$C$14:$C$1213,"&gt;=0")+1)/2)</f>
        <v/>
      </c>
      <c r="Y885" s="27">
        <f>IF(OR(NOT(ISNUMBER($W885)),$AO885=1),"",$W885-(COUNTIFS($A$14:$A$1213,$A885,$F$14:$F$1213,"&gt;=0")+1)/2)</f>
        <v/>
      </c>
      <c r="Z885" s="27">
        <f>IF(ISNUMBER($V885),$A885&amp;"|"&amp;$V885,"")</f>
        <v/>
      </c>
      <c r="AA885" s="27">
        <f>IF(ISNUMBER($W885),$A885&amp;"|"&amp;$W885,"")</f>
        <v/>
      </c>
      <c r="AB885" s="27">
        <f>IF(ISNUMBER($F885),$A885&amp;"|"&amp;$F885,"")</f>
        <v/>
      </c>
      <c r="AC885" s="27">
        <f>IF(ISNUMBER($P885),COUNTIFS($A$14:$A$1213,$A885,$P$14:$P$1213,"&gt;"&amp;$P885)+(COUNTIFS($A$14:$A$1213,$A885,$P$14:$P$1213,"="&amp;$P885)+1)/2,"")</f>
        <v/>
      </c>
      <c r="AD885" s="27">
        <f>IF(ISNUMBER($Q885),COUNTIFS($A$14:$A$1213,$A885,$Q$14:$Q$1213,"&gt;"&amp;$Q885)+(COUNTIFS($A$14:$A$1213,$A885,$Q$14:$Q$1213,"="&amp;$Q885)+1)/2,"")</f>
        <v/>
      </c>
      <c r="AE885" s="27">
        <f>IF(ISNUMBER($R885),COUNTIFS($A$14:$A$1213,$A885,$R$14:$R$1213,"&gt;"&amp;$R885)+(COUNTIFS($A$14:$A$1213,$A885,$R$14:$R$1213,"="&amp;$R885)+1)/2,"")</f>
        <v/>
      </c>
      <c r="AF885" s="27">
        <f>IF(ISNUMBER($S885),COUNTIFS($A$14:$A$1213,$A885,$S$14:$S$1213,"&gt;"&amp;$S885)+(COUNTIFS($A$14:$A$1213,$A885,$S$14:$S$1213,"="&amp;$S885)+1)/2,"")</f>
        <v/>
      </c>
      <c r="AG885" s="27">
        <f>IF(ISNUMBER($T885),COUNTIFS($A$14:$A$1213,$A885,$T$14:$T$1213,"&gt;"&amp;$T885)+(COUNTIFS($A$14:$A$1213,$A885,$T$14:$T$1213,"="&amp;$T885)+1)/2,"")</f>
        <v/>
      </c>
      <c r="AH885" s="27">
        <f>IF(COUNT($AC885:$AG885)&lt;2,"",IF(MAX($AC885:$AG885)=MIN($AC885:$AG885),0,1))</f>
        <v/>
      </c>
      <c r="AI885" s="27">
        <f>IF($A885="","",IF(COUNTIF($A$14:$A885,$A885)=1,COUNTIF($AI$13:AI884,"&gt;0")+1,""))</f>
        <v/>
      </c>
      <c r="AO885" s="27">
        <f>IF($A885="","",IF(AND(COUNTIFS($A$14:$A$1213,$A885,$F$14:$F$1213,"&gt;=0")=2,IFERROR(INDEX($M$14:$M$313,MATCH($A885,$H$14:$H$313,0)),"Yes")&lt;&gt;"Yes"),1,0))</f>
        <v/>
      </c>
    </row>
    <row r="886">
      <c r="A886" s="19">
        <f>IF('Enter messages'!A886="","",'Enter messages'!A886)</f>
        <v/>
      </c>
      <c r="B886" s="20">
        <f>IF('Enter messages'!B886="","",'Enter messages'!B886)</f>
        <v/>
      </c>
      <c r="C886" s="21">
        <f>IFERROR(AVERAGE(P886:T886),"")</f>
        <v/>
      </c>
      <c r="D886" s="29" t="n"/>
      <c r="E886" s="29" t="n"/>
      <c r="F886" s="30">
        <f>IF(AND(ISNUMBER($D886),ISNUMBER($E886),$E886&gt;0,$D886&lt;=$E886),$D886/$E886,"")</f>
        <v/>
      </c>
      <c r="P886" s="26" t="n"/>
      <c r="Q886" s="26" t="n"/>
      <c r="R886" s="26" t="n"/>
      <c r="S886" s="26" t="n"/>
      <c r="T886" s="26" t="n"/>
      <c r="V886" s="27">
        <f>IF(ISNUMBER($C886),COUNTIFS($A$14:$A$1213,$A886,$C$14:$C$1213,"&gt;"&amp;$C886)+(COUNTIFS($A$14:$A$1213,$A886,$C$14:$C$1213,"="&amp;$C886)+1)/2,"")</f>
        <v/>
      </c>
      <c r="W886" s="27">
        <f>IF(ISNUMBER($F886),COUNTIFS($A$14:$A$1213,$A886,$F$14:$F$1213,"&gt;"&amp;$F886)+(COUNTIFS($A$14:$A$1213,$A886,$F$14:$F$1213,"="&amp;$F886)+1)/2,"")</f>
        <v/>
      </c>
      <c r="X886" s="27">
        <f>IF(OR(NOT(ISNUMBER($V886)),$AO886=1),"",$V886-(COUNTIFS($A$14:$A$1213,$A886,$C$14:$C$1213,"&gt;=0")+1)/2)</f>
        <v/>
      </c>
      <c r="Y886" s="27">
        <f>IF(OR(NOT(ISNUMBER($W886)),$AO886=1),"",$W886-(COUNTIFS($A$14:$A$1213,$A886,$F$14:$F$1213,"&gt;=0")+1)/2)</f>
        <v/>
      </c>
      <c r="Z886" s="27">
        <f>IF(ISNUMBER($V886),$A886&amp;"|"&amp;$V886,"")</f>
        <v/>
      </c>
      <c r="AA886" s="27">
        <f>IF(ISNUMBER($W886),$A886&amp;"|"&amp;$W886,"")</f>
        <v/>
      </c>
      <c r="AB886" s="27">
        <f>IF(ISNUMBER($F886),$A886&amp;"|"&amp;$F886,"")</f>
        <v/>
      </c>
      <c r="AC886" s="27">
        <f>IF(ISNUMBER($P886),COUNTIFS($A$14:$A$1213,$A886,$P$14:$P$1213,"&gt;"&amp;$P886)+(COUNTIFS($A$14:$A$1213,$A886,$P$14:$P$1213,"="&amp;$P886)+1)/2,"")</f>
        <v/>
      </c>
      <c r="AD886" s="27">
        <f>IF(ISNUMBER($Q886),COUNTIFS($A$14:$A$1213,$A886,$Q$14:$Q$1213,"&gt;"&amp;$Q886)+(COUNTIFS($A$14:$A$1213,$A886,$Q$14:$Q$1213,"="&amp;$Q886)+1)/2,"")</f>
        <v/>
      </c>
      <c r="AE886" s="27">
        <f>IF(ISNUMBER($R886),COUNTIFS($A$14:$A$1213,$A886,$R$14:$R$1213,"&gt;"&amp;$R886)+(COUNTIFS($A$14:$A$1213,$A886,$R$14:$R$1213,"="&amp;$R886)+1)/2,"")</f>
        <v/>
      </c>
      <c r="AF886" s="27">
        <f>IF(ISNUMBER($S886),COUNTIFS($A$14:$A$1213,$A886,$S$14:$S$1213,"&gt;"&amp;$S886)+(COUNTIFS($A$14:$A$1213,$A886,$S$14:$S$1213,"="&amp;$S886)+1)/2,"")</f>
        <v/>
      </c>
      <c r="AG886" s="27">
        <f>IF(ISNUMBER($T886),COUNTIFS($A$14:$A$1213,$A886,$T$14:$T$1213,"&gt;"&amp;$T886)+(COUNTIFS($A$14:$A$1213,$A886,$T$14:$T$1213,"="&amp;$T886)+1)/2,"")</f>
        <v/>
      </c>
      <c r="AH886" s="27">
        <f>IF(COUNT($AC886:$AG886)&lt;2,"",IF(MAX($AC886:$AG886)=MIN($AC886:$AG886),0,1))</f>
        <v/>
      </c>
      <c r="AI886" s="27">
        <f>IF($A886="","",IF(COUNTIF($A$14:$A886,$A886)=1,COUNTIF($AI$13:AI885,"&gt;0")+1,""))</f>
        <v/>
      </c>
      <c r="AO886" s="27">
        <f>IF($A886="","",IF(AND(COUNTIFS($A$14:$A$1213,$A886,$F$14:$F$1213,"&gt;=0")=2,IFERROR(INDEX($M$14:$M$313,MATCH($A886,$H$14:$H$313,0)),"Yes")&lt;&gt;"Yes"),1,0))</f>
        <v/>
      </c>
    </row>
    <row r="887">
      <c r="A887" s="19">
        <f>IF('Enter messages'!A887="","",'Enter messages'!A887)</f>
        <v/>
      </c>
      <c r="B887" s="20">
        <f>IF('Enter messages'!B887="","",'Enter messages'!B887)</f>
        <v/>
      </c>
      <c r="C887" s="21">
        <f>IFERROR(AVERAGE(P887:T887),"")</f>
        <v/>
      </c>
      <c r="D887" s="29" t="n"/>
      <c r="E887" s="29" t="n"/>
      <c r="F887" s="30">
        <f>IF(AND(ISNUMBER($D887),ISNUMBER($E887),$E887&gt;0,$D887&lt;=$E887),$D887/$E887,"")</f>
        <v/>
      </c>
      <c r="P887" s="26" t="n"/>
      <c r="Q887" s="26" t="n"/>
      <c r="R887" s="26" t="n"/>
      <c r="S887" s="26" t="n"/>
      <c r="T887" s="26" t="n"/>
      <c r="V887" s="27">
        <f>IF(ISNUMBER($C887),COUNTIFS($A$14:$A$1213,$A887,$C$14:$C$1213,"&gt;"&amp;$C887)+(COUNTIFS($A$14:$A$1213,$A887,$C$14:$C$1213,"="&amp;$C887)+1)/2,"")</f>
        <v/>
      </c>
      <c r="W887" s="27">
        <f>IF(ISNUMBER($F887),COUNTIFS($A$14:$A$1213,$A887,$F$14:$F$1213,"&gt;"&amp;$F887)+(COUNTIFS($A$14:$A$1213,$A887,$F$14:$F$1213,"="&amp;$F887)+1)/2,"")</f>
        <v/>
      </c>
      <c r="X887" s="27">
        <f>IF(OR(NOT(ISNUMBER($V887)),$AO887=1),"",$V887-(COUNTIFS($A$14:$A$1213,$A887,$C$14:$C$1213,"&gt;=0")+1)/2)</f>
        <v/>
      </c>
      <c r="Y887" s="27">
        <f>IF(OR(NOT(ISNUMBER($W887)),$AO887=1),"",$W887-(COUNTIFS($A$14:$A$1213,$A887,$F$14:$F$1213,"&gt;=0")+1)/2)</f>
        <v/>
      </c>
      <c r="Z887" s="27">
        <f>IF(ISNUMBER($V887),$A887&amp;"|"&amp;$V887,"")</f>
        <v/>
      </c>
      <c r="AA887" s="27">
        <f>IF(ISNUMBER($W887),$A887&amp;"|"&amp;$W887,"")</f>
        <v/>
      </c>
      <c r="AB887" s="27">
        <f>IF(ISNUMBER($F887),$A887&amp;"|"&amp;$F887,"")</f>
        <v/>
      </c>
      <c r="AC887" s="27">
        <f>IF(ISNUMBER($P887),COUNTIFS($A$14:$A$1213,$A887,$P$14:$P$1213,"&gt;"&amp;$P887)+(COUNTIFS($A$14:$A$1213,$A887,$P$14:$P$1213,"="&amp;$P887)+1)/2,"")</f>
        <v/>
      </c>
      <c r="AD887" s="27">
        <f>IF(ISNUMBER($Q887),COUNTIFS($A$14:$A$1213,$A887,$Q$14:$Q$1213,"&gt;"&amp;$Q887)+(COUNTIFS($A$14:$A$1213,$A887,$Q$14:$Q$1213,"="&amp;$Q887)+1)/2,"")</f>
        <v/>
      </c>
      <c r="AE887" s="27">
        <f>IF(ISNUMBER($R887),COUNTIFS($A$14:$A$1213,$A887,$R$14:$R$1213,"&gt;"&amp;$R887)+(COUNTIFS($A$14:$A$1213,$A887,$R$14:$R$1213,"="&amp;$R887)+1)/2,"")</f>
        <v/>
      </c>
      <c r="AF887" s="27">
        <f>IF(ISNUMBER($S887),COUNTIFS($A$14:$A$1213,$A887,$S$14:$S$1213,"&gt;"&amp;$S887)+(COUNTIFS($A$14:$A$1213,$A887,$S$14:$S$1213,"="&amp;$S887)+1)/2,"")</f>
        <v/>
      </c>
      <c r="AG887" s="27">
        <f>IF(ISNUMBER($T887),COUNTIFS($A$14:$A$1213,$A887,$T$14:$T$1213,"&gt;"&amp;$T887)+(COUNTIFS($A$14:$A$1213,$A887,$T$14:$T$1213,"="&amp;$T887)+1)/2,"")</f>
        <v/>
      </c>
      <c r="AH887" s="27">
        <f>IF(COUNT($AC887:$AG887)&lt;2,"",IF(MAX($AC887:$AG887)=MIN($AC887:$AG887),0,1))</f>
        <v/>
      </c>
      <c r="AI887" s="27">
        <f>IF($A887="","",IF(COUNTIF($A$14:$A887,$A887)=1,COUNTIF($AI$13:AI886,"&gt;0")+1,""))</f>
        <v/>
      </c>
      <c r="AO887" s="27">
        <f>IF($A887="","",IF(AND(COUNTIFS($A$14:$A$1213,$A887,$F$14:$F$1213,"&gt;=0")=2,IFERROR(INDEX($M$14:$M$313,MATCH($A887,$H$14:$H$313,0)),"Yes")&lt;&gt;"Yes"),1,0))</f>
        <v/>
      </c>
    </row>
    <row r="888">
      <c r="A888" s="19">
        <f>IF('Enter messages'!A888="","",'Enter messages'!A888)</f>
        <v/>
      </c>
      <c r="B888" s="20">
        <f>IF('Enter messages'!B888="","",'Enter messages'!B888)</f>
        <v/>
      </c>
      <c r="C888" s="21">
        <f>IFERROR(AVERAGE(P888:T888),"")</f>
        <v/>
      </c>
      <c r="D888" s="29" t="n"/>
      <c r="E888" s="29" t="n"/>
      <c r="F888" s="30">
        <f>IF(AND(ISNUMBER($D888),ISNUMBER($E888),$E888&gt;0,$D888&lt;=$E888),$D888/$E888,"")</f>
        <v/>
      </c>
      <c r="P888" s="26" t="n"/>
      <c r="Q888" s="26" t="n"/>
      <c r="R888" s="26" t="n"/>
      <c r="S888" s="26" t="n"/>
      <c r="T888" s="26" t="n"/>
      <c r="V888" s="27">
        <f>IF(ISNUMBER($C888),COUNTIFS($A$14:$A$1213,$A888,$C$14:$C$1213,"&gt;"&amp;$C888)+(COUNTIFS($A$14:$A$1213,$A888,$C$14:$C$1213,"="&amp;$C888)+1)/2,"")</f>
        <v/>
      </c>
      <c r="W888" s="27">
        <f>IF(ISNUMBER($F888),COUNTIFS($A$14:$A$1213,$A888,$F$14:$F$1213,"&gt;"&amp;$F888)+(COUNTIFS($A$14:$A$1213,$A888,$F$14:$F$1213,"="&amp;$F888)+1)/2,"")</f>
        <v/>
      </c>
      <c r="X888" s="27">
        <f>IF(OR(NOT(ISNUMBER($V888)),$AO888=1),"",$V888-(COUNTIFS($A$14:$A$1213,$A888,$C$14:$C$1213,"&gt;=0")+1)/2)</f>
        <v/>
      </c>
      <c r="Y888" s="27">
        <f>IF(OR(NOT(ISNUMBER($W888)),$AO888=1),"",$W888-(COUNTIFS($A$14:$A$1213,$A888,$F$14:$F$1213,"&gt;=0")+1)/2)</f>
        <v/>
      </c>
      <c r="Z888" s="27">
        <f>IF(ISNUMBER($V888),$A888&amp;"|"&amp;$V888,"")</f>
        <v/>
      </c>
      <c r="AA888" s="27">
        <f>IF(ISNUMBER($W888),$A888&amp;"|"&amp;$W888,"")</f>
        <v/>
      </c>
      <c r="AB888" s="27">
        <f>IF(ISNUMBER($F888),$A888&amp;"|"&amp;$F888,"")</f>
        <v/>
      </c>
      <c r="AC888" s="27">
        <f>IF(ISNUMBER($P888),COUNTIFS($A$14:$A$1213,$A888,$P$14:$P$1213,"&gt;"&amp;$P888)+(COUNTIFS($A$14:$A$1213,$A888,$P$14:$P$1213,"="&amp;$P888)+1)/2,"")</f>
        <v/>
      </c>
      <c r="AD888" s="27">
        <f>IF(ISNUMBER($Q888),COUNTIFS($A$14:$A$1213,$A888,$Q$14:$Q$1213,"&gt;"&amp;$Q888)+(COUNTIFS($A$14:$A$1213,$A888,$Q$14:$Q$1213,"="&amp;$Q888)+1)/2,"")</f>
        <v/>
      </c>
      <c r="AE888" s="27">
        <f>IF(ISNUMBER($R888),COUNTIFS($A$14:$A$1213,$A888,$R$14:$R$1213,"&gt;"&amp;$R888)+(COUNTIFS($A$14:$A$1213,$A888,$R$14:$R$1213,"="&amp;$R888)+1)/2,"")</f>
        <v/>
      </c>
      <c r="AF888" s="27">
        <f>IF(ISNUMBER($S888),COUNTIFS($A$14:$A$1213,$A888,$S$14:$S$1213,"&gt;"&amp;$S888)+(COUNTIFS($A$14:$A$1213,$A888,$S$14:$S$1213,"="&amp;$S888)+1)/2,"")</f>
        <v/>
      </c>
      <c r="AG888" s="27">
        <f>IF(ISNUMBER($T888),COUNTIFS($A$14:$A$1213,$A888,$T$14:$T$1213,"&gt;"&amp;$T888)+(COUNTIFS($A$14:$A$1213,$A888,$T$14:$T$1213,"="&amp;$T888)+1)/2,"")</f>
        <v/>
      </c>
      <c r="AH888" s="27">
        <f>IF(COUNT($AC888:$AG888)&lt;2,"",IF(MAX($AC888:$AG888)=MIN($AC888:$AG888),0,1))</f>
        <v/>
      </c>
      <c r="AI888" s="27">
        <f>IF($A888="","",IF(COUNTIF($A$14:$A888,$A888)=1,COUNTIF($AI$13:AI887,"&gt;0")+1,""))</f>
        <v/>
      </c>
      <c r="AO888" s="27">
        <f>IF($A888="","",IF(AND(COUNTIFS($A$14:$A$1213,$A888,$F$14:$F$1213,"&gt;=0")=2,IFERROR(INDEX($M$14:$M$313,MATCH($A888,$H$14:$H$313,0)),"Yes")&lt;&gt;"Yes"),1,0))</f>
        <v/>
      </c>
    </row>
    <row r="889">
      <c r="A889" s="19">
        <f>IF('Enter messages'!A889="","",'Enter messages'!A889)</f>
        <v/>
      </c>
      <c r="B889" s="20">
        <f>IF('Enter messages'!B889="","",'Enter messages'!B889)</f>
        <v/>
      </c>
      <c r="C889" s="21">
        <f>IFERROR(AVERAGE(P889:T889),"")</f>
        <v/>
      </c>
      <c r="D889" s="29" t="n"/>
      <c r="E889" s="29" t="n"/>
      <c r="F889" s="30">
        <f>IF(AND(ISNUMBER($D889),ISNUMBER($E889),$E889&gt;0,$D889&lt;=$E889),$D889/$E889,"")</f>
        <v/>
      </c>
      <c r="P889" s="26" t="n"/>
      <c r="Q889" s="26" t="n"/>
      <c r="R889" s="26" t="n"/>
      <c r="S889" s="26" t="n"/>
      <c r="T889" s="26" t="n"/>
      <c r="V889" s="27">
        <f>IF(ISNUMBER($C889),COUNTIFS($A$14:$A$1213,$A889,$C$14:$C$1213,"&gt;"&amp;$C889)+(COUNTIFS($A$14:$A$1213,$A889,$C$14:$C$1213,"="&amp;$C889)+1)/2,"")</f>
        <v/>
      </c>
      <c r="W889" s="27">
        <f>IF(ISNUMBER($F889),COUNTIFS($A$14:$A$1213,$A889,$F$14:$F$1213,"&gt;"&amp;$F889)+(COUNTIFS($A$14:$A$1213,$A889,$F$14:$F$1213,"="&amp;$F889)+1)/2,"")</f>
        <v/>
      </c>
      <c r="X889" s="27">
        <f>IF(OR(NOT(ISNUMBER($V889)),$AO889=1),"",$V889-(COUNTIFS($A$14:$A$1213,$A889,$C$14:$C$1213,"&gt;=0")+1)/2)</f>
        <v/>
      </c>
      <c r="Y889" s="27">
        <f>IF(OR(NOT(ISNUMBER($W889)),$AO889=1),"",$W889-(COUNTIFS($A$14:$A$1213,$A889,$F$14:$F$1213,"&gt;=0")+1)/2)</f>
        <v/>
      </c>
      <c r="Z889" s="27">
        <f>IF(ISNUMBER($V889),$A889&amp;"|"&amp;$V889,"")</f>
        <v/>
      </c>
      <c r="AA889" s="27">
        <f>IF(ISNUMBER($W889),$A889&amp;"|"&amp;$W889,"")</f>
        <v/>
      </c>
      <c r="AB889" s="27">
        <f>IF(ISNUMBER($F889),$A889&amp;"|"&amp;$F889,"")</f>
        <v/>
      </c>
      <c r="AC889" s="27">
        <f>IF(ISNUMBER($P889),COUNTIFS($A$14:$A$1213,$A889,$P$14:$P$1213,"&gt;"&amp;$P889)+(COUNTIFS($A$14:$A$1213,$A889,$P$14:$P$1213,"="&amp;$P889)+1)/2,"")</f>
        <v/>
      </c>
      <c r="AD889" s="27">
        <f>IF(ISNUMBER($Q889),COUNTIFS($A$14:$A$1213,$A889,$Q$14:$Q$1213,"&gt;"&amp;$Q889)+(COUNTIFS($A$14:$A$1213,$A889,$Q$14:$Q$1213,"="&amp;$Q889)+1)/2,"")</f>
        <v/>
      </c>
      <c r="AE889" s="27">
        <f>IF(ISNUMBER($R889),COUNTIFS($A$14:$A$1213,$A889,$R$14:$R$1213,"&gt;"&amp;$R889)+(COUNTIFS($A$14:$A$1213,$A889,$R$14:$R$1213,"="&amp;$R889)+1)/2,"")</f>
        <v/>
      </c>
      <c r="AF889" s="27">
        <f>IF(ISNUMBER($S889),COUNTIFS($A$14:$A$1213,$A889,$S$14:$S$1213,"&gt;"&amp;$S889)+(COUNTIFS($A$14:$A$1213,$A889,$S$14:$S$1213,"="&amp;$S889)+1)/2,"")</f>
        <v/>
      </c>
      <c r="AG889" s="27">
        <f>IF(ISNUMBER($T889),COUNTIFS($A$14:$A$1213,$A889,$T$14:$T$1213,"&gt;"&amp;$T889)+(COUNTIFS($A$14:$A$1213,$A889,$T$14:$T$1213,"="&amp;$T889)+1)/2,"")</f>
        <v/>
      </c>
      <c r="AH889" s="27">
        <f>IF(COUNT($AC889:$AG889)&lt;2,"",IF(MAX($AC889:$AG889)=MIN($AC889:$AG889),0,1))</f>
        <v/>
      </c>
      <c r="AI889" s="27">
        <f>IF($A889="","",IF(COUNTIF($A$14:$A889,$A889)=1,COUNTIF($AI$13:AI888,"&gt;0")+1,""))</f>
        <v/>
      </c>
      <c r="AO889" s="27">
        <f>IF($A889="","",IF(AND(COUNTIFS($A$14:$A$1213,$A889,$F$14:$F$1213,"&gt;=0")=2,IFERROR(INDEX($M$14:$M$313,MATCH($A889,$H$14:$H$313,0)),"Yes")&lt;&gt;"Yes"),1,0))</f>
        <v/>
      </c>
    </row>
    <row r="890">
      <c r="A890" s="19">
        <f>IF('Enter messages'!A890="","",'Enter messages'!A890)</f>
        <v/>
      </c>
      <c r="B890" s="20">
        <f>IF('Enter messages'!B890="","",'Enter messages'!B890)</f>
        <v/>
      </c>
      <c r="C890" s="21">
        <f>IFERROR(AVERAGE(P890:T890),"")</f>
        <v/>
      </c>
      <c r="D890" s="29" t="n"/>
      <c r="E890" s="29" t="n"/>
      <c r="F890" s="30">
        <f>IF(AND(ISNUMBER($D890),ISNUMBER($E890),$E890&gt;0,$D890&lt;=$E890),$D890/$E890,"")</f>
        <v/>
      </c>
      <c r="P890" s="26" t="n"/>
      <c r="Q890" s="26" t="n"/>
      <c r="R890" s="26" t="n"/>
      <c r="S890" s="26" t="n"/>
      <c r="T890" s="26" t="n"/>
      <c r="V890" s="27">
        <f>IF(ISNUMBER($C890),COUNTIFS($A$14:$A$1213,$A890,$C$14:$C$1213,"&gt;"&amp;$C890)+(COUNTIFS($A$14:$A$1213,$A890,$C$14:$C$1213,"="&amp;$C890)+1)/2,"")</f>
        <v/>
      </c>
      <c r="W890" s="27">
        <f>IF(ISNUMBER($F890),COUNTIFS($A$14:$A$1213,$A890,$F$14:$F$1213,"&gt;"&amp;$F890)+(COUNTIFS($A$14:$A$1213,$A890,$F$14:$F$1213,"="&amp;$F890)+1)/2,"")</f>
        <v/>
      </c>
      <c r="X890" s="27">
        <f>IF(OR(NOT(ISNUMBER($V890)),$AO890=1),"",$V890-(COUNTIFS($A$14:$A$1213,$A890,$C$14:$C$1213,"&gt;=0")+1)/2)</f>
        <v/>
      </c>
      <c r="Y890" s="27">
        <f>IF(OR(NOT(ISNUMBER($W890)),$AO890=1),"",$W890-(COUNTIFS($A$14:$A$1213,$A890,$F$14:$F$1213,"&gt;=0")+1)/2)</f>
        <v/>
      </c>
      <c r="Z890" s="27">
        <f>IF(ISNUMBER($V890),$A890&amp;"|"&amp;$V890,"")</f>
        <v/>
      </c>
      <c r="AA890" s="27">
        <f>IF(ISNUMBER($W890),$A890&amp;"|"&amp;$W890,"")</f>
        <v/>
      </c>
      <c r="AB890" s="27">
        <f>IF(ISNUMBER($F890),$A890&amp;"|"&amp;$F890,"")</f>
        <v/>
      </c>
      <c r="AC890" s="27">
        <f>IF(ISNUMBER($P890),COUNTIFS($A$14:$A$1213,$A890,$P$14:$P$1213,"&gt;"&amp;$P890)+(COUNTIFS($A$14:$A$1213,$A890,$P$14:$P$1213,"="&amp;$P890)+1)/2,"")</f>
        <v/>
      </c>
      <c r="AD890" s="27">
        <f>IF(ISNUMBER($Q890),COUNTIFS($A$14:$A$1213,$A890,$Q$14:$Q$1213,"&gt;"&amp;$Q890)+(COUNTIFS($A$14:$A$1213,$A890,$Q$14:$Q$1213,"="&amp;$Q890)+1)/2,"")</f>
        <v/>
      </c>
      <c r="AE890" s="27">
        <f>IF(ISNUMBER($R890),COUNTIFS($A$14:$A$1213,$A890,$R$14:$R$1213,"&gt;"&amp;$R890)+(COUNTIFS($A$14:$A$1213,$A890,$R$14:$R$1213,"="&amp;$R890)+1)/2,"")</f>
        <v/>
      </c>
      <c r="AF890" s="27">
        <f>IF(ISNUMBER($S890),COUNTIFS($A$14:$A$1213,$A890,$S$14:$S$1213,"&gt;"&amp;$S890)+(COUNTIFS($A$14:$A$1213,$A890,$S$14:$S$1213,"="&amp;$S890)+1)/2,"")</f>
        <v/>
      </c>
      <c r="AG890" s="27">
        <f>IF(ISNUMBER($T890),COUNTIFS($A$14:$A$1213,$A890,$T$14:$T$1213,"&gt;"&amp;$T890)+(COUNTIFS($A$14:$A$1213,$A890,$T$14:$T$1213,"="&amp;$T890)+1)/2,"")</f>
        <v/>
      </c>
      <c r="AH890" s="27">
        <f>IF(COUNT($AC890:$AG890)&lt;2,"",IF(MAX($AC890:$AG890)=MIN($AC890:$AG890),0,1))</f>
        <v/>
      </c>
      <c r="AI890" s="27">
        <f>IF($A890="","",IF(COUNTIF($A$14:$A890,$A890)=1,COUNTIF($AI$13:AI889,"&gt;0")+1,""))</f>
        <v/>
      </c>
      <c r="AO890" s="27">
        <f>IF($A890="","",IF(AND(COUNTIFS($A$14:$A$1213,$A890,$F$14:$F$1213,"&gt;=0")=2,IFERROR(INDEX($M$14:$M$313,MATCH($A890,$H$14:$H$313,0)),"Yes")&lt;&gt;"Yes"),1,0))</f>
        <v/>
      </c>
    </row>
    <row r="891">
      <c r="A891" s="19">
        <f>IF('Enter messages'!A891="","",'Enter messages'!A891)</f>
        <v/>
      </c>
      <c r="B891" s="20">
        <f>IF('Enter messages'!B891="","",'Enter messages'!B891)</f>
        <v/>
      </c>
      <c r="C891" s="21">
        <f>IFERROR(AVERAGE(P891:T891),"")</f>
        <v/>
      </c>
      <c r="D891" s="29" t="n"/>
      <c r="E891" s="29" t="n"/>
      <c r="F891" s="30">
        <f>IF(AND(ISNUMBER($D891),ISNUMBER($E891),$E891&gt;0,$D891&lt;=$E891),$D891/$E891,"")</f>
        <v/>
      </c>
      <c r="P891" s="26" t="n"/>
      <c r="Q891" s="26" t="n"/>
      <c r="R891" s="26" t="n"/>
      <c r="S891" s="26" t="n"/>
      <c r="T891" s="26" t="n"/>
      <c r="V891" s="27">
        <f>IF(ISNUMBER($C891),COUNTIFS($A$14:$A$1213,$A891,$C$14:$C$1213,"&gt;"&amp;$C891)+(COUNTIFS($A$14:$A$1213,$A891,$C$14:$C$1213,"="&amp;$C891)+1)/2,"")</f>
        <v/>
      </c>
      <c r="W891" s="27">
        <f>IF(ISNUMBER($F891),COUNTIFS($A$14:$A$1213,$A891,$F$14:$F$1213,"&gt;"&amp;$F891)+(COUNTIFS($A$14:$A$1213,$A891,$F$14:$F$1213,"="&amp;$F891)+1)/2,"")</f>
        <v/>
      </c>
      <c r="X891" s="27">
        <f>IF(OR(NOT(ISNUMBER($V891)),$AO891=1),"",$V891-(COUNTIFS($A$14:$A$1213,$A891,$C$14:$C$1213,"&gt;=0")+1)/2)</f>
        <v/>
      </c>
      <c r="Y891" s="27">
        <f>IF(OR(NOT(ISNUMBER($W891)),$AO891=1),"",$W891-(COUNTIFS($A$14:$A$1213,$A891,$F$14:$F$1213,"&gt;=0")+1)/2)</f>
        <v/>
      </c>
      <c r="Z891" s="27">
        <f>IF(ISNUMBER($V891),$A891&amp;"|"&amp;$V891,"")</f>
        <v/>
      </c>
      <c r="AA891" s="27">
        <f>IF(ISNUMBER($W891),$A891&amp;"|"&amp;$W891,"")</f>
        <v/>
      </c>
      <c r="AB891" s="27">
        <f>IF(ISNUMBER($F891),$A891&amp;"|"&amp;$F891,"")</f>
        <v/>
      </c>
      <c r="AC891" s="27">
        <f>IF(ISNUMBER($P891),COUNTIFS($A$14:$A$1213,$A891,$P$14:$P$1213,"&gt;"&amp;$P891)+(COUNTIFS($A$14:$A$1213,$A891,$P$14:$P$1213,"="&amp;$P891)+1)/2,"")</f>
        <v/>
      </c>
      <c r="AD891" s="27">
        <f>IF(ISNUMBER($Q891),COUNTIFS($A$14:$A$1213,$A891,$Q$14:$Q$1213,"&gt;"&amp;$Q891)+(COUNTIFS($A$14:$A$1213,$A891,$Q$14:$Q$1213,"="&amp;$Q891)+1)/2,"")</f>
        <v/>
      </c>
      <c r="AE891" s="27">
        <f>IF(ISNUMBER($R891),COUNTIFS($A$14:$A$1213,$A891,$R$14:$R$1213,"&gt;"&amp;$R891)+(COUNTIFS($A$14:$A$1213,$A891,$R$14:$R$1213,"="&amp;$R891)+1)/2,"")</f>
        <v/>
      </c>
      <c r="AF891" s="27">
        <f>IF(ISNUMBER($S891),COUNTIFS($A$14:$A$1213,$A891,$S$14:$S$1213,"&gt;"&amp;$S891)+(COUNTIFS($A$14:$A$1213,$A891,$S$14:$S$1213,"="&amp;$S891)+1)/2,"")</f>
        <v/>
      </c>
      <c r="AG891" s="27">
        <f>IF(ISNUMBER($T891),COUNTIFS($A$14:$A$1213,$A891,$T$14:$T$1213,"&gt;"&amp;$T891)+(COUNTIFS($A$14:$A$1213,$A891,$T$14:$T$1213,"="&amp;$T891)+1)/2,"")</f>
        <v/>
      </c>
      <c r="AH891" s="27">
        <f>IF(COUNT($AC891:$AG891)&lt;2,"",IF(MAX($AC891:$AG891)=MIN($AC891:$AG891),0,1))</f>
        <v/>
      </c>
      <c r="AI891" s="27">
        <f>IF($A891="","",IF(COUNTIF($A$14:$A891,$A891)=1,COUNTIF($AI$13:AI890,"&gt;0")+1,""))</f>
        <v/>
      </c>
      <c r="AO891" s="27">
        <f>IF($A891="","",IF(AND(COUNTIFS($A$14:$A$1213,$A891,$F$14:$F$1213,"&gt;=0")=2,IFERROR(INDEX($M$14:$M$313,MATCH($A891,$H$14:$H$313,0)),"Yes")&lt;&gt;"Yes"),1,0))</f>
        <v/>
      </c>
    </row>
    <row r="892">
      <c r="A892" s="19">
        <f>IF('Enter messages'!A892="","",'Enter messages'!A892)</f>
        <v/>
      </c>
      <c r="B892" s="20">
        <f>IF('Enter messages'!B892="","",'Enter messages'!B892)</f>
        <v/>
      </c>
      <c r="C892" s="21">
        <f>IFERROR(AVERAGE(P892:T892),"")</f>
        <v/>
      </c>
      <c r="D892" s="29" t="n"/>
      <c r="E892" s="29" t="n"/>
      <c r="F892" s="30">
        <f>IF(AND(ISNUMBER($D892),ISNUMBER($E892),$E892&gt;0,$D892&lt;=$E892),$D892/$E892,"")</f>
        <v/>
      </c>
      <c r="P892" s="26" t="n"/>
      <c r="Q892" s="26" t="n"/>
      <c r="R892" s="26" t="n"/>
      <c r="S892" s="26" t="n"/>
      <c r="T892" s="26" t="n"/>
      <c r="V892" s="27">
        <f>IF(ISNUMBER($C892),COUNTIFS($A$14:$A$1213,$A892,$C$14:$C$1213,"&gt;"&amp;$C892)+(COUNTIFS($A$14:$A$1213,$A892,$C$14:$C$1213,"="&amp;$C892)+1)/2,"")</f>
        <v/>
      </c>
      <c r="W892" s="27">
        <f>IF(ISNUMBER($F892),COUNTIFS($A$14:$A$1213,$A892,$F$14:$F$1213,"&gt;"&amp;$F892)+(COUNTIFS($A$14:$A$1213,$A892,$F$14:$F$1213,"="&amp;$F892)+1)/2,"")</f>
        <v/>
      </c>
      <c r="X892" s="27">
        <f>IF(OR(NOT(ISNUMBER($V892)),$AO892=1),"",$V892-(COUNTIFS($A$14:$A$1213,$A892,$C$14:$C$1213,"&gt;=0")+1)/2)</f>
        <v/>
      </c>
      <c r="Y892" s="27">
        <f>IF(OR(NOT(ISNUMBER($W892)),$AO892=1),"",$W892-(COUNTIFS($A$14:$A$1213,$A892,$F$14:$F$1213,"&gt;=0")+1)/2)</f>
        <v/>
      </c>
      <c r="Z892" s="27">
        <f>IF(ISNUMBER($V892),$A892&amp;"|"&amp;$V892,"")</f>
        <v/>
      </c>
      <c r="AA892" s="27">
        <f>IF(ISNUMBER($W892),$A892&amp;"|"&amp;$W892,"")</f>
        <v/>
      </c>
      <c r="AB892" s="27">
        <f>IF(ISNUMBER($F892),$A892&amp;"|"&amp;$F892,"")</f>
        <v/>
      </c>
      <c r="AC892" s="27">
        <f>IF(ISNUMBER($P892),COUNTIFS($A$14:$A$1213,$A892,$P$14:$P$1213,"&gt;"&amp;$P892)+(COUNTIFS($A$14:$A$1213,$A892,$P$14:$P$1213,"="&amp;$P892)+1)/2,"")</f>
        <v/>
      </c>
      <c r="AD892" s="27">
        <f>IF(ISNUMBER($Q892),COUNTIFS($A$14:$A$1213,$A892,$Q$14:$Q$1213,"&gt;"&amp;$Q892)+(COUNTIFS($A$14:$A$1213,$A892,$Q$14:$Q$1213,"="&amp;$Q892)+1)/2,"")</f>
        <v/>
      </c>
      <c r="AE892" s="27">
        <f>IF(ISNUMBER($R892),COUNTIFS($A$14:$A$1213,$A892,$R$14:$R$1213,"&gt;"&amp;$R892)+(COUNTIFS($A$14:$A$1213,$A892,$R$14:$R$1213,"="&amp;$R892)+1)/2,"")</f>
        <v/>
      </c>
      <c r="AF892" s="27">
        <f>IF(ISNUMBER($S892),COUNTIFS($A$14:$A$1213,$A892,$S$14:$S$1213,"&gt;"&amp;$S892)+(COUNTIFS($A$14:$A$1213,$A892,$S$14:$S$1213,"="&amp;$S892)+1)/2,"")</f>
        <v/>
      </c>
      <c r="AG892" s="27">
        <f>IF(ISNUMBER($T892),COUNTIFS($A$14:$A$1213,$A892,$T$14:$T$1213,"&gt;"&amp;$T892)+(COUNTIFS($A$14:$A$1213,$A892,$T$14:$T$1213,"="&amp;$T892)+1)/2,"")</f>
        <v/>
      </c>
      <c r="AH892" s="27">
        <f>IF(COUNT($AC892:$AG892)&lt;2,"",IF(MAX($AC892:$AG892)=MIN($AC892:$AG892),0,1))</f>
        <v/>
      </c>
      <c r="AI892" s="27">
        <f>IF($A892="","",IF(COUNTIF($A$14:$A892,$A892)=1,COUNTIF($AI$13:AI891,"&gt;0")+1,""))</f>
        <v/>
      </c>
      <c r="AO892" s="27">
        <f>IF($A892="","",IF(AND(COUNTIFS($A$14:$A$1213,$A892,$F$14:$F$1213,"&gt;=0")=2,IFERROR(INDEX($M$14:$M$313,MATCH($A892,$H$14:$H$313,0)),"Yes")&lt;&gt;"Yes"),1,0))</f>
        <v/>
      </c>
    </row>
    <row r="893">
      <c r="A893" s="19">
        <f>IF('Enter messages'!A893="","",'Enter messages'!A893)</f>
        <v/>
      </c>
      <c r="B893" s="20">
        <f>IF('Enter messages'!B893="","",'Enter messages'!B893)</f>
        <v/>
      </c>
      <c r="C893" s="21">
        <f>IFERROR(AVERAGE(P893:T893),"")</f>
        <v/>
      </c>
      <c r="D893" s="29" t="n"/>
      <c r="E893" s="29" t="n"/>
      <c r="F893" s="30">
        <f>IF(AND(ISNUMBER($D893),ISNUMBER($E893),$E893&gt;0,$D893&lt;=$E893),$D893/$E893,"")</f>
        <v/>
      </c>
      <c r="P893" s="26" t="n"/>
      <c r="Q893" s="26" t="n"/>
      <c r="R893" s="26" t="n"/>
      <c r="S893" s="26" t="n"/>
      <c r="T893" s="26" t="n"/>
      <c r="V893" s="27">
        <f>IF(ISNUMBER($C893),COUNTIFS($A$14:$A$1213,$A893,$C$14:$C$1213,"&gt;"&amp;$C893)+(COUNTIFS($A$14:$A$1213,$A893,$C$14:$C$1213,"="&amp;$C893)+1)/2,"")</f>
        <v/>
      </c>
      <c r="W893" s="27">
        <f>IF(ISNUMBER($F893),COUNTIFS($A$14:$A$1213,$A893,$F$14:$F$1213,"&gt;"&amp;$F893)+(COUNTIFS($A$14:$A$1213,$A893,$F$14:$F$1213,"="&amp;$F893)+1)/2,"")</f>
        <v/>
      </c>
      <c r="X893" s="27">
        <f>IF(OR(NOT(ISNUMBER($V893)),$AO893=1),"",$V893-(COUNTIFS($A$14:$A$1213,$A893,$C$14:$C$1213,"&gt;=0")+1)/2)</f>
        <v/>
      </c>
      <c r="Y893" s="27">
        <f>IF(OR(NOT(ISNUMBER($W893)),$AO893=1),"",$W893-(COUNTIFS($A$14:$A$1213,$A893,$F$14:$F$1213,"&gt;=0")+1)/2)</f>
        <v/>
      </c>
      <c r="Z893" s="27">
        <f>IF(ISNUMBER($V893),$A893&amp;"|"&amp;$V893,"")</f>
        <v/>
      </c>
      <c r="AA893" s="27">
        <f>IF(ISNUMBER($W893),$A893&amp;"|"&amp;$W893,"")</f>
        <v/>
      </c>
      <c r="AB893" s="27">
        <f>IF(ISNUMBER($F893),$A893&amp;"|"&amp;$F893,"")</f>
        <v/>
      </c>
      <c r="AC893" s="27">
        <f>IF(ISNUMBER($P893),COUNTIFS($A$14:$A$1213,$A893,$P$14:$P$1213,"&gt;"&amp;$P893)+(COUNTIFS($A$14:$A$1213,$A893,$P$14:$P$1213,"="&amp;$P893)+1)/2,"")</f>
        <v/>
      </c>
      <c r="AD893" s="27">
        <f>IF(ISNUMBER($Q893),COUNTIFS($A$14:$A$1213,$A893,$Q$14:$Q$1213,"&gt;"&amp;$Q893)+(COUNTIFS($A$14:$A$1213,$A893,$Q$14:$Q$1213,"="&amp;$Q893)+1)/2,"")</f>
        <v/>
      </c>
      <c r="AE893" s="27">
        <f>IF(ISNUMBER($R893),COUNTIFS($A$14:$A$1213,$A893,$R$14:$R$1213,"&gt;"&amp;$R893)+(COUNTIFS($A$14:$A$1213,$A893,$R$14:$R$1213,"="&amp;$R893)+1)/2,"")</f>
        <v/>
      </c>
      <c r="AF893" s="27">
        <f>IF(ISNUMBER($S893),COUNTIFS($A$14:$A$1213,$A893,$S$14:$S$1213,"&gt;"&amp;$S893)+(COUNTIFS($A$14:$A$1213,$A893,$S$14:$S$1213,"="&amp;$S893)+1)/2,"")</f>
        <v/>
      </c>
      <c r="AG893" s="27">
        <f>IF(ISNUMBER($T893),COUNTIFS($A$14:$A$1213,$A893,$T$14:$T$1213,"&gt;"&amp;$T893)+(COUNTIFS($A$14:$A$1213,$A893,$T$14:$T$1213,"="&amp;$T893)+1)/2,"")</f>
        <v/>
      </c>
      <c r="AH893" s="27">
        <f>IF(COUNT($AC893:$AG893)&lt;2,"",IF(MAX($AC893:$AG893)=MIN($AC893:$AG893),0,1))</f>
        <v/>
      </c>
      <c r="AI893" s="27">
        <f>IF($A893="","",IF(COUNTIF($A$14:$A893,$A893)=1,COUNTIF($AI$13:AI892,"&gt;0")+1,""))</f>
        <v/>
      </c>
      <c r="AO893" s="27">
        <f>IF($A893="","",IF(AND(COUNTIFS($A$14:$A$1213,$A893,$F$14:$F$1213,"&gt;=0")=2,IFERROR(INDEX($M$14:$M$313,MATCH($A893,$H$14:$H$313,0)),"Yes")&lt;&gt;"Yes"),1,0))</f>
        <v/>
      </c>
    </row>
    <row r="894">
      <c r="A894" s="19">
        <f>IF('Enter messages'!A894="","",'Enter messages'!A894)</f>
        <v/>
      </c>
      <c r="B894" s="20">
        <f>IF('Enter messages'!B894="","",'Enter messages'!B894)</f>
        <v/>
      </c>
      <c r="C894" s="21">
        <f>IFERROR(AVERAGE(P894:T894),"")</f>
        <v/>
      </c>
      <c r="D894" s="29" t="n"/>
      <c r="E894" s="29" t="n"/>
      <c r="F894" s="30">
        <f>IF(AND(ISNUMBER($D894),ISNUMBER($E894),$E894&gt;0,$D894&lt;=$E894),$D894/$E894,"")</f>
        <v/>
      </c>
      <c r="P894" s="26" t="n"/>
      <c r="Q894" s="26" t="n"/>
      <c r="R894" s="26" t="n"/>
      <c r="S894" s="26" t="n"/>
      <c r="T894" s="26" t="n"/>
      <c r="V894" s="27">
        <f>IF(ISNUMBER($C894),COUNTIFS($A$14:$A$1213,$A894,$C$14:$C$1213,"&gt;"&amp;$C894)+(COUNTIFS($A$14:$A$1213,$A894,$C$14:$C$1213,"="&amp;$C894)+1)/2,"")</f>
        <v/>
      </c>
      <c r="W894" s="27">
        <f>IF(ISNUMBER($F894),COUNTIFS($A$14:$A$1213,$A894,$F$14:$F$1213,"&gt;"&amp;$F894)+(COUNTIFS($A$14:$A$1213,$A894,$F$14:$F$1213,"="&amp;$F894)+1)/2,"")</f>
        <v/>
      </c>
      <c r="X894" s="27">
        <f>IF(OR(NOT(ISNUMBER($V894)),$AO894=1),"",$V894-(COUNTIFS($A$14:$A$1213,$A894,$C$14:$C$1213,"&gt;=0")+1)/2)</f>
        <v/>
      </c>
      <c r="Y894" s="27">
        <f>IF(OR(NOT(ISNUMBER($W894)),$AO894=1),"",$W894-(COUNTIFS($A$14:$A$1213,$A894,$F$14:$F$1213,"&gt;=0")+1)/2)</f>
        <v/>
      </c>
      <c r="Z894" s="27">
        <f>IF(ISNUMBER($V894),$A894&amp;"|"&amp;$V894,"")</f>
        <v/>
      </c>
      <c r="AA894" s="27">
        <f>IF(ISNUMBER($W894),$A894&amp;"|"&amp;$W894,"")</f>
        <v/>
      </c>
      <c r="AB894" s="27">
        <f>IF(ISNUMBER($F894),$A894&amp;"|"&amp;$F894,"")</f>
        <v/>
      </c>
      <c r="AC894" s="27">
        <f>IF(ISNUMBER($P894),COUNTIFS($A$14:$A$1213,$A894,$P$14:$P$1213,"&gt;"&amp;$P894)+(COUNTIFS($A$14:$A$1213,$A894,$P$14:$P$1213,"="&amp;$P894)+1)/2,"")</f>
        <v/>
      </c>
      <c r="AD894" s="27">
        <f>IF(ISNUMBER($Q894),COUNTIFS($A$14:$A$1213,$A894,$Q$14:$Q$1213,"&gt;"&amp;$Q894)+(COUNTIFS($A$14:$A$1213,$A894,$Q$14:$Q$1213,"="&amp;$Q894)+1)/2,"")</f>
        <v/>
      </c>
      <c r="AE894" s="27">
        <f>IF(ISNUMBER($R894),COUNTIFS($A$14:$A$1213,$A894,$R$14:$R$1213,"&gt;"&amp;$R894)+(COUNTIFS($A$14:$A$1213,$A894,$R$14:$R$1213,"="&amp;$R894)+1)/2,"")</f>
        <v/>
      </c>
      <c r="AF894" s="27">
        <f>IF(ISNUMBER($S894),COUNTIFS($A$14:$A$1213,$A894,$S$14:$S$1213,"&gt;"&amp;$S894)+(COUNTIFS($A$14:$A$1213,$A894,$S$14:$S$1213,"="&amp;$S894)+1)/2,"")</f>
        <v/>
      </c>
      <c r="AG894" s="27">
        <f>IF(ISNUMBER($T894),COUNTIFS($A$14:$A$1213,$A894,$T$14:$T$1213,"&gt;"&amp;$T894)+(COUNTIFS($A$14:$A$1213,$A894,$T$14:$T$1213,"="&amp;$T894)+1)/2,"")</f>
        <v/>
      </c>
      <c r="AH894" s="27">
        <f>IF(COUNT($AC894:$AG894)&lt;2,"",IF(MAX($AC894:$AG894)=MIN($AC894:$AG894),0,1))</f>
        <v/>
      </c>
      <c r="AI894" s="27">
        <f>IF($A894="","",IF(COUNTIF($A$14:$A894,$A894)=1,COUNTIF($AI$13:AI893,"&gt;0")+1,""))</f>
        <v/>
      </c>
      <c r="AO894" s="27">
        <f>IF($A894="","",IF(AND(COUNTIFS($A$14:$A$1213,$A894,$F$14:$F$1213,"&gt;=0")=2,IFERROR(INDEX($M$14:$M$313,MATCH($A894,$H$14:$H$313,0)),"Yes")&lt;&gt;"Yes"),1,0))</f>
        <v/>
      </c>
    </row>
    <row r="895">
      <c r="A895" s="19">
        <f>IF('Enter messages'!A895="","",'Enter messages'!A895)</f>
        <v/>
      </c>
      <c r="B895" s="20">
        <f>IF('Enter messages'!B895="","",'Enter messages'!B895)</f>
        <v/>
      </c>
      <c r="C895" s="21">
        <f>IFERROR(AVERAGE(P895:T895),"")</f>
        <v/>
      </c>
      <c r="D895" s="29" t="n"/>
      <c r="E895" s="29" t="n"/>
      <c r="F895" s="30">
        <f>IF(AND(ISNUMBER($D895),ISNUMBER($E895),$E895&gt;0,$D895&lt;=$E895),$D895/$E895,"")</f>
        <v/>
      </c>
      <c r="P895" s="26" t="n"/>
      <c r="Q895" s="26" t="n"/>
      <c r="R895" s="26" t="n"/>
      <c r="S895" s="26" t="n"/>
      <c r="T895" s="26" t="n"/>
      <c r="V895" s="27">
        <f>IF(ISNUMBER($C895),COUNTIFS($A$14:$A$1213,$A895,$C$14:$C$1213,"&gt;"&amp;$C895)+(COUNTIFS($A$14:$A$1213,$A895,$C$14:$C$1213,"="&amp;$C895)+1)/2,"")</f>
        <v/>
      </c>
      <c r="W895" s="27">
        <f>IF(ISNUMBER($F895),COUNTIFS($A$14:$A$1213,$A895,$F$14:$F$1213,"&gt;"&amp;$F895)+(COUNTIFS($A$14:$A$1213,$A895,$F$14:$F$1213,"="&amp;$F895)+1)/2,"")</f>
        <v/>
      </c>
      <c r="X895" s="27">
        <f>IF(OR(NOT(ISNUMBER($V895)),$AO895=1),"",$V895-(COUNTIFS($A$14:$A$1213,$A895,$C$14:$C$1213,"&gt;=0")+1)/2)</f>
        <v/>
      </c>
      <c r="Y895" s="27">
        <f>IF(OR(NOT(ISNUMBER($W895)),$AO895=1),"",$W895-(COUNTIFS($A$14:$A$1213,$A895,$F$14:$F$1213,"&gt;=0")+1)/2)</f>
        <v/>
      </c>
      <c r="Z895" s="27">
        <f>IF(ISNUMBER($V895),$A895&amp;"|"&amp;$V895,"")</f>
        <v/>
      </c>
      <c r="AA895" s="27">
        <f>IF(ISNUMBER($W895),$A895&amp;"|"&amp;$W895,"")</f>
        <v/>
      </c>
      <c r="AB895" s="27">
        <f>IF(ISNUMBER($F895),$A895&amp;"|"&amp;$F895,"")</f>
        <v/>
      </c>
      <c r="AC895" s="27">
        <f>IF(ISNUMBER($P895),COUNTIFS($A$14:$A$1213,$A895,$P$14:$P$1213,"&gt;"&amp;$P895)+(COUNTIFS($A$14:$A$1213,$A895,$P$14:$P$1213,"="&amp;$P895)+1)/2,"")</f>
        <v/>
      </c>
      <c r="AD895" s="27">
        <f>IF(ISNUMBER($Q895),COUNTIFS($A$14:$A$1213,$A895,$Q$14:$Q$1213,"&gt;"&amp;$Q895)+(COUNTIFS($A$14:$A$1213,$A895,$Q$14:$Q$1213,"="&amp;$Q895)+1)/2,"")</f>
        <v/>
      </c>
      <c r="AE895" s="27">
        <f>IF(ISNUMBER($R895),COUNTIFS($A$14:$A$1213,$A895,$R$14:$R$1213,"&gt;"&amp;$R895)+(COUNTIFS($A$14:$A$1213,$A895,$R$14:$R$1213,"="&amp;$R895)+1)/2,"")</f>
        <v/>
      </c>
      <c r="AF895" s="27">
        <f>IF(ISNUMBER($S895),COUNTIFS($A$14:$A$1213,$A895,$S$14:$S$1213,"&gt;"&amp;$S895)+(COUNTIFS($A$14:$A$1213,$A895,$S$14:$S$1213,"="&amp;$S895)+1)/2,"")</f>
        <v/>
      </c>
      <c r="AG895" s="27">
        <f>IF(ISNUMBER($T895),COUNTIFS($A$14:$A$1213,$A895,$T$14:$T$1213,"&gt;"&amp;$T895)+(COUNTIFS($A$14:$A$1213,$A895,$T$14:$T$1213,"="&amp;$T895)+1)/2,"")</f>
        <v/>
      </c>
      <c r="AH895" s="27">
        <f>IF(COUNT($AC895:$AG895)&lt;2,"",IF(MAX($AC895:$AG895)=MIN($AC895:$AG895),0,1))</f>
        <v/>
      </c>
      <c r="AI895" s="27">
        <f>IF($A895="","",IF(COUNTIF($A$14:$A895,$A895)=1,COUNTIF($AI$13:AI894,"&gt;0")+1,""))</f>
        <v/>
      </c>
      <c r="AO895" s="27">
        <f>IF($A895="","",IF(AND(COUNTIFS($A$14:$A$1213,$A895,$F$14:$F$1213,"&gt;=0")=2,IFERROR(INDEX($M$14:$M$313,MATCH($A895,$H$14:$H$313,0)),"Yes")&lt;&gt;"Yes"),1,0))</f>
        <v/>
      </c>
    </row>
    <row r="896">
      <c r="A896" s="19">
        <f>IF('Enter messages'!A896="","",'Enter messages'!A896)</f>
        <v/>
      </c>
      <c r="B896" s="20">
        <f>IF('Enter messages'!B896="","",'Enter messages'!B896)</f>
        <v/>
      </c>
      <c r="C896" s="21">
        <f>IFERROR(AVERAGE(P896:T896),"")</f>
        <v/>
      </c>
      <c r="D896" s="29" t="n"/>
      <c r="E896" s="29" t="n"/>
      <c r="F896" s="30">
        <f>IF(AND(ISNUMBER($D896),ISNUMBER($E896),$E896&gt;0,$D896&lt;=$E896),$D896/$E896,"")</f>
        <v/>
      </c>
      <c r="P896" s="26" t="n"/>
      <c r="Q896" s="26" t="n"/>
      <c r="R896" s="26" t="n"/>
      <c r="S896" s="26" t="n"/>
      <c r="T896" s="26" t="n"/>
      <c r="V896" s="27">
        <f>IF(ISNUMBER($C896),COUNTIFS($A$14:$A$1213,$A896,$C$14:$C$1213,"&gt;"&amp;$C896)+(COUNTIFS($A$14:$A$1213,$A896,$C$14:$C$1213,"="&amp;$C896)+1)/2,"")</f>
        <v/>
      </c>
      <c r="W896" s="27">
        <f>IF(ISNUMBER($F896),COUNTIFS($A$14:$A$1213,$A896,$F$14:$F$1213,"&gt;"&amp;$F896)+(COUNTIFS($A$14:$A$1213,$A896,$F$14:$F$1213,"="&amp;$F896)+1)/2,"")</f>
        <v/>
      </c>
      <c r="X896" s="27">
        <f>IF(OR(NOT(ISNUMBER($V896)),$AO896=1),"",$V896-(COUNTIFS($A$14:$A$1213,$A896,$C$14:$C$1213,"&gt;=0")+1)/2)</f>
        <v/>
      </c>
      <c r="Y896" s="27">
        <f>IF(OR(NOT(ISNUMBER($W896)),$AO896=1),"",$W896-(COUNTIFS($A$14:$A$1213,$A896,$F$14:$F$1213,"&gt;=0")+1)/2)</f>
        <v/>
      </c>
      <c r="Z896" s="27">
        <f>IF(ISNUMBER($V896),$A896&amp;"|"&amp;$V896,"")</f>
        <v/>
      </c>
      <c r="AA896" s="27">
        <f>IF(ISNUMBER($W896),$A896&amp;"|"&amp;$W896,"")</f>
        <v/>
      </c>
      <c r="AB896" s="27">
        <f>IF(ISNUMBER($F896),$A896&amp;"|"&amp;$F896,"")</f>
        <v/>
      </c>
      <c r="AC896" s="27">
        <f>IF(ISNUMBER($P896),COUNTIFS($A$14:$A$1213,$A896,$P$14:$P$1213,"&gt;"&amp;$P896)+(COUNTIFS($A$14:$A$1213,$A896,$P$14:$P$1213,"="&amp;$P896)+1)/2,"")</f>
        <v/>
      </c>
      <c r="AD896" s="27">
        <f>IF(ISNUMBER($Q896),COUNTIFS($A$14:$A$1213,$A896,$Q$14:$Q$1213,"&gt;"&amp;$Q896)+(COUNTIFS($A$14:$A$1213,$A896,$Q$14:$Q$1213,"="&amp;$Q896)+1)/2,"")</f>
        <v/>
      </c>
      <c r="AE896" s="27">
        <f>IF(ISNUMBER($R896),COUNTIFS($A$14:$A$1213,$A896,$R$14:$R$1213,"&gt;"&amp;$R896)+(COUNTIFS($A$14:$A$1213,$A896,$R$14:$R$1213,"="&amp;$R896)+1)/2,"")</f>
        <v/>
      </c>
      <c r="AF896" s="27">
        <f>IF(ISNUMBER($S896),COUNTIFS($A$14:$A$1213,$A896,$S$14:$S$1213,"&gt;"&amp;$S896)+(COUNTIFS($A$14:$A$1213,$A896,$S$14:$S$1213,"="&amp;$S896)+1)/2,"")</f>
        <v/>
      </c>
      <c r="AG896" s="27">
        <f>IF(ISNUMBER($T896),COUNTIFS($A$14:$A$1213,$A896,$T$14:$T$1213,"&gt;"&amp;$T896)+(COUNTIFS($A$14:$A$1213,$A896,$T$14:$T$1213,"="&amp;$T896)+1)/2,"")</f>
        <v/>
      </c>
      <c r="AH896" s="27">
        <f>IF(COUNT($AC896:$AG896)&lt;2,"",IF(MAX($AC896:$AG896)=MIN($AC896:$AG896),0,1))</f>
        <v/>
      </c>
      <c r="AI896" s="27">
        <f>IF($A896="","",IF(COUNTIF($A$14:$A896,$A896)=1,COUNTIF($AI$13:AI895,"&gt;0")+1,""))</f>
        <v/>
      </c>
      <c r="AO896" s="27">
        <f>IF($A896="","",IF(AND(COUNTIFS($A$14:$A$1213,$A896,$F$14:$F$1213,"&gt;=0")=2,IFERROR(INDEX($M$14:$M$313,MATCH($A896,$H$14:$H$313,0)),"Yes")&lt;&gt;"Yes"),1,0))</f>
        <v/>
      </c>
    </row>
    <row r="897">
      <c r="A897" s="19">
        <f>IF('Enter messages'!A897="","",'Enter messages'!A897)</f>
        <v/>
      </c>
      <c r="B897" s="20">
        <f>IF('Enter messages'!B897="","",'Enter messages'!B897)</f>
        <v/>
      </c>
      <c r="C897" s="21">
        <f>IFERROR(AVERAGE(P897:T897),"")</f>
        <v/>
      </c>
      <c r="D897" s="29" t="n"/>
      <c r="E897" s="29" t="n"/>
      <c r="F897" s="30">
        <f>IF(AND(ISNUMBER($D897),ISNUMBER($E897),$E897&gt;0,$D897&lt;=$E897),$D897/$E897,"")</f>
        <v/>
      </c>
      <c r="P897" s="26" t="n"/>
      <c r="Q897" s="26" t="n"/>
      <c r="R897" s="26" t="n"/>
      <c r="S897" s="26" t="n"/>
      <c r="T897" s="26" t="n"/>
      <c r="V897" s="27">
        <f>IF(ISNUMBER($C897),COUNTIFS($A$14:$A$1213,$A897,$C$14:$C$1213,"&gt;"&amp;$C897)+(COUNTIFS($A$14:$A$1213,$A897,$C$14:$C$1213,"="&amp;$C897)+1)/2,"")</f>
        <v/>
      </c>
      <c r="W897" s="27">
        <f>IF(ISNUMBER($F897),COUNTIFS($A$14:$A$1213,$A897,$F$14:$F$1213,"&gt;"&amp;$F897)+(COUNTIFS($A$14:$A$1213,$A897,$F$14:$F$1213,"="&amp;$F897)+1)/2,"")</f>
        <v/>
      </c>
      <c r="X897" s="27">
        <f>IF(OR(NOT(ISNUMBER($V897)),$AO897=1),"",$V897-(COUNTIFS($A$14:$A$1213,$A897,$C$14:$C$1213,"&gt;=0")+1)/2)</f>
        <v/>
      </c>
      <c r="Y897" s="27">
        <f>IF(OR(NOT(ISNUMBER($W897)),$AO897=1),"",$W897-(COUNTIFS($A$14:$A$1213,$A897,$F$14:$F$1213,"&gt;=0")+1)/2)</f>
        <v/>
      </c>
      <c r="Z897" s="27">
        <f>IF(ISNUMBER($V897),$A897&amp;"|"&amp;$V897,"")</f>
        <v/>
      </c>
      <c r="AA897" s="27">
        <f>IF(ISNUMBER($W897),$A897&amp;"|"&amp;$W897,"")</f>
        <v/>
      </c>
      <c r="AB897" s="27">
        <f>IF(ISNUMBER($F897),$A897&amp;"|"&amp;$F897,"")</f>
        <v/>
      </c>
      <c r="AC897" s="27">
        <f>IF(ISNUMBER($P897),COUNTIFS($A$14:$A$1213,$A897,$P$14:$P$1213,"&gt;"&amp;$P897)+(COUNTIFS($A$14:$A$1213,$A897,$P$14:$P$1213,"="&amp;$P897)+1)/2,"")</f>
        <v/>
      </c>
      <c r="AD897" s="27">
        <f>IF(ISNUMBER($Q897),COUNTIFS($A$14:$A$1213,$A897,$Q$14:$Q$1213,"&gt;"&amp;$Q897)+(COUNTIFS($A$14:$A$1213,$A897,$Q$14:$Q$1213,"="&amp;$Q897)+1)/2,"")</f>
        <v/>
      </c>
      <c r="AE897" s="27">
        <f>IF(ISNUMBER($R897),COUNTIFS($A$14:$A$1213,$A897,$R$14:$R$1213,"&gt;"&amp;$R897)+(COUNTIFS($A$14:$A$1213,$A897,$R$14:$R$1213,"="&amp;$R897)+1)/2,"")</f>
        <v/>
      </c>
      <c r="AF897" s="27">
        <f>IF(ISNUMBER($S897),COUNTIFS($A$14:$A$1213,$A897,$S$14:$S$1213,"&gt;"&amp;$S897)+(COUNTIFS($A$14:$A$1213,$A897,$S$14:$S$1213,"="&amp;$S897)+1)/2,"")</f>
        <v/>
      </c>
      <c r="AG897" s="27">
        <f>IF(ISNUMBER($T897),COUNTIFS($A$14:$A$1213,$A897,$T$14:$T$1213,"&gt;"&amp;$T897)+(COUNTIFS($A$14:$A$1213,$A897,$T$14:$T$1213,"="&amp;$T897)+1)/2,"")</f>
        <v/>
      </c>
      <c r="AH897" s="27">
        <f>IF(COUNT($AC897:$AG897)&lt;2,"",IF(MAX($AC897:$AG897)=MIN($AC897:$AG897),0,1))</f>
        <v/>
      </c>
      <c r="AI897" s="27">
        <f>IF($A897="","",IF(COUNTIF($A$14:$A897,$A897)=1,COUNTIF($AI$13:AI896,"&gt;0")+1,""))</f>
        <v/>
      </c>
      <c r="AO897" s="27">
        <f>IF($A897="","",IF(AND(COUNTIFS($A$14:$A$1213,$A897,$F$14:$F$1213,"&gt;=0")=2,IFERROR(INDEX($M$14:$M$313,MATCH($A897,$H$14:$H$313,0)),"Yes")&lt;&gt;"Yes"),1,0))</f>
        <v/>
      </c>
    </row>
    <row r="898">
      <c r="A898" s="19">
        <f>IF('Enter messages'!A898="","",'Enter messages'!A898)</f>
        <v/>
      </c>
      <c r="B898" s="20">
        <f>IF('Enter messages'!B898="","",'Enter messages'!B898)</f>
        <v/>
      </c>
      <c r="C898" s="21">
        <f>IFERROR(AVERAGE(P898:T898),"")</f>
        <v/>
      </c>
      <c r="D898" s="29" t="n"/>
      <c r="E898" s="29" t="n"/>
      <c r="F898" s="30">
        <f>IF(AND(ISNUMBER($D898),ISNUMBER($E898),$E898&gt;0,$D898&lt;=$E898),$D898/$E898,"")</f>
        <v/>
      </c>
      <c r="P898" s="26" t="n"/>
      <c r="Q898" s="26" t="n"/>
      <c r="R898" s="26" t="n"/>
      <c r="S898" s="26" t="n"/>
      <c r="T898" s="26" t="n"/>
      <c r="V898" s="27">
        <f>IF(ISNUMBER($C898),COUNTIFS($A$14:$A$1213,$A898,$C$14:$C$1213,"&gt;"&amp;$C898)+(COUNTIFS($A$14:$A$1213,$A898,$C$14:$C$1213,"="&amp;$C898)+1)/2,"")</f>
        <v/>
      </c>
      <c r="W898" s="27">
        <f>IF(ISNUMBER($F898),COUNTIFS($A$14:$A$1213,$A898,$F$14:$F$1213,"&gt;"&amp;$F898)+(COUNTIFS($A$14:$A$1213,$A898,$F$14:$F$1213,"="&amp;$F898)+1)/2,"")</f>
        <v/>
      </c>
      <c r="X898" s="27">
        <f>IF(OR(NOT(ISNUMBER($V898)),$AO898=1),"",$V898-(COUNTIFS($A$14:$A$1213,$A898,$C$14:$C$1213,"&gt;=0")+1)/2)</f>
        <v/>
      </c>
      <c r="Y898" s="27">
        <f>IF(OR(NOT(ISNUMBER($W898)),$AO898=1),"",$W898-(COUNTIFS($A$14:$A$1213,$A898,$F$14:$F$1213,"&gt;=0")+1)/2)</f>
        <v/>
      </c>
      <c r="Z898" s="27">
        <f>IF(ISNUMBER($V898),$A898&amp;"|"&amp;$V898,"")</f>
        <v/>
      </c>
      <c r="AA898" s="27">
        <f>IF(ISNUMBER($W898),$A898&amp;"|"&amp;$W898,"")</f>
        <v/>
      </c>
      <c r="AB898" s="27">
        <f>IF(ISNUMBER($F898),$A898&amp;"|"&amp;$F898,"")</f>
        <v/>
      </c>
      <c r="AC898" s="27">
        <f>IF(ISNUMBER($P898),COUNTIFS($A$14:$A$1213,$A898,$P$14:$P$1213,"&gt;"&amp;$P898)+(COUNTIFS($A$14:$A$1213,$A898,$P$14:$P$1213,"="&amp;$P898)+1)/2,"")</f>
        <v/>
      </c>
      <c r="AD898" s="27">
        <f>IF(ISNUMBER($Q898),COUNTIFS($A$14:$A$1213,$A898,$Q$14:$Q$1213,"&gt;"&amp;$Q898)+(COUNTIFS($A$14:$A$1213,$A898,$Q$14:$Q$1213,"="&amp;$Q898)+1)/2,"")</f>
        <v/>
      </c>
      <c r="AE898" s="27">
        <f>IF(ISNUMBER($R898),COUNTIFS($A$14:$A$1213,$A898,$R$14:$R$1213,"&gt;"&amp;$R898)+(COUNTIFS($A$14:$A$1213,$A898,$R$14:$R$1213,"="&amp;$R898)+1)/2,"")</f>
        <v/>
      </c>
      <c r="AF898" s="27">
        <f>IF(ISNUMBER($S898),COUNTIFS($A$14:$A$1213,$A898,$S$14:$S$1213,"&gt;"&amp;$S898)+(COUNTIFS($A$14:$A$1213,$A898,$S$14:$S$1213,"="&amp;$S898)+1)/2,"")</f>
        <v/>
      </c>
      <c r="AG898" s="27">
        <f>IF(ISNUMBER($T898),COUNTIFS($A$14:$A$1213,$A898,$T$14:$T$1213,"&gt;"&amp;$T898)+(COUNTIFS($A$14:$A$1213,$A898,$T$14:$T$1213,"="&amp;$T898)+1)/2,"")</f>
        <v/>
      </c>
      <c r="AH898" s="27">
        <f>IF(COUNT($AC898:$AG898)&lt;2,"",IF(MAX($AC898:$AG898)=MIN($AC898:$AG898),0,1))</f>
        <v/>
      </c>
      <c r="AI898" s="27">
        <f>IF($A898="","",IF(COUNTIF($A$14:$A898,$A898)=1,COUNTIF($AI$13:AI897,"&gt;0")+1,""))</f>
        <v/>
      </c>
      <c r="AO898" s="27">
        <f>IF($A898="","",IF(AND(COUNTIFS($A$14:$A$1213,$A898,$F$14:$F$1213,"&gt;=0")=2,IFERROR(INDEX($M$14:$M$313,MATCH($A898,$H$14:$H$313,0)),"Yes")&lt;&gt;"Yes"),1,0))</f>
        <v/>
      </c>
    </row>
    <row r="899">
      <c r="A899" s="19">
        <f>IF('Enter messages'!A899="","",'Enter messages'!A899)</f>
        <v/>
      </c>
      <c r="B899" s="20">
        <f>IF('Enter messages'!B899="","",'Enter messages'!B899)</f>
        <v/>
      </c>
      <c r="C899" s="21">
        <f>IFERROR(AVERAGE(P899:T899),"")</f>
        <v/>
      </c>
      <c r="D899" s="29" t="n"/>
      <c r="E899" s="29" t="n"/>
      <c r="F899" s="30">
        <f>IF(AND(ISNUMBER($D899),ISNUMBER($E899),$E899&gt;0,$D899&lt;=$E899),$D899/$E899,"")</f>
        <v/>
      </c>
      <c r="P899" s="26" t="n"/>
      <c r="Q899" s="26" t="n"/>
      <c r="R899" s="26" t="n"/>
      <c r="S899" s="26" t="n"/>
      <c r="T899" s="26" t="n"/>
      <c r="V899" s="27">
        <f>IF(ISNUMBER($C899),COUNTIFS($A$14:$A$1213,$A899,$C$14:$C$1213,"&gt;"&amp;$C899)+(COUNTIFS($A$14:$A$1213,$A899,$C$14:$C$1213,"="&amp;$C899)+1)/2,"")</f>
        <v/>
      </c>
      <c r="W899" s="27">
        <f>IF(ISNUMBER($F899),COUNTIFS($A$14:$A$1213,$A899,$F$14:$F$1213,"&gt;"&amp;$F899)+(COUNTIFS($A$14:$A$1213,$A899,$F$14:$F$1213,"="&amp;$F899)+1)/2,"")</f>
        <v/>
      </c>
      <c r="X899" s="27">
        <f>IF(OR(NOT(ISNUMBER($V899)),$AO899=1),"",$V899-(COUNTIFS($A$14:$A$1213,$A899,$C$14:$C$1213,"&gt;=0")+1)/2)</f>
        <v/>
      </c>
      <c r="Y899" s="27">
        <f>IF(OR(NOT(ISNUMBER($W899)),$AO899=1),"",$W899-(COUNTIFS($A$14:$A$1213,$A899,$F$14:$F$1213,"&gt;=0")+1)/2)</f>
        <v/>
      </c>
      <c r="Z899" s="27">
        <f>IF(ISNUMBER($V899),$A899&amp;"|"&amp;$V899,"")</f>
        <v/>
      </c>
      <c r="AA899" s="27">
        <f>IF(ISNUMBER($W899),$A899&amp;"|"&amp;$W899,"")</f>
        <v/>
      </c>
      <c r="AB899" s="27">
        <f>IF(ISNUMBER($F899),$A899&amp;"|"&amp;$F899,"")</f>
        <v/>
      </c>
      <c r="AC899" s="27">
        <f>IF(ISNUMBER($P899),COUNTIFS($A$14:$A$1213,$A899,$P$14:$P$1213,"&gt;"&amp;$P899)+(COUNTIFS($A$14:$A$1213,$A899,$P$14:$P$1213,"="&amp;$P899)+1)/2,"")</f>
        <v/>
      </c>
      <c r="AD899" s="27">
        <f>IF(ISNUMBER($Q899),COUNTIFS($A$14:$A$1213,$A899,$Q$14:$Q$1213,"&gt;"&amp;$Q899)+(COUNTIFS($A$14:$A$1213,$A899,$Q$14:$Q$1213,"="&amp;$Q899)+1)/2,"")</f>
        <v/>
      </c>
      <c r="AE899" s="27">
        <f>IF(ISNUMBER($R899),COUNTIFS($A$14:$A$1213,$A899,$R$14:$R$1213,"&gt;"&amp;$R899)+(COUNTIFS($A$14:$A$1213,$A899,$R$14:$R$1213,"="&amp;$R899)+1)/2,"")</f>
        <v/>
      </c>
      <c r="AF899" s="27">
        <f>IF(ISNUMBER($S899),COUNTIFS($A$14:$A$1213,$A899,$S$14:$S$1213,"&gt;"&amp;$S899)+(COUNTIFS($A$14:$A$1213,$A899,$S$14:$S$1213,"="&amp;$S899)+1)/2,"")</f>
        <v/>
      </c>
      <c r="AG899" s="27">
        <f>IF(ISNUMBER($T899),COUNTIFS($A$14:$A$1213,$A899,$T$14:$T$1213,"&gt;"&amp;$T899)+(COUNTIFS($A$14:$A$1213,$A899,$T$14:$T$1213,"="&amp;$T899)+1)/2,"")</f>
        <v/>
      </c>
      <c r="AH899" s="27">
        <f>IF(COUNT($AC899:$AG899)&lt;2,"",IF(MAX($AC899:$AG899)=MIN($AC899:$AG899),0,1))</f>
        <v/>
      </c>
      <c r="AI899" s="27">
        <f>IF($A899="","",IF(COUNTIF($A$14:$A899,$A899)=1,COUNTIF($AI$13:AI898,"&gt;0")+1,""))</f>
        <v/>
      </c>
      <c r="AO899" s="27">
        <f>IF($A899="","",IF(AND(COUNTIFS($A$14:$A$1213,$A899,$F$14:$F$1213,"&gt;=0")=2,IFERROR(INDEX($M$14:$M$313,MATCH($A899,$H$14:$H$313,0)),"Yes")&lt;&gt;"Yes"),1,0))</f>
        <v/>
      </c>
    </row>
    <row r="900">
      <c r="A900" s="19">
        <f>IF('Enter messages'!A900="","",'Enter messages'!A900)</f>
        <v/>
      </c>
      <c r="B900" s="20">
        <f>IF('Enter messages'!B900="","",'Enter messages'!B900)</f>
        <v/>
      </c>
      <c r="C900" s="21">
        <f>IFERROR(AVERAGE(P900:T900),"")</f>
        <v/>
      </c>
      <c r="D900" s="29" t="n"/>
      <c r="E900" s="29" t="n"/>
      <c r="F900" s="30">
        <f>IF(AND(ISNUMBER($D900),ISNUMBER($E900),$E900&gt;0,$D900&lt;=$E900),$D900/$E900,"")</f>
        <v/>
      </c>
      <c r="P900" s="26" t="n"/>
      <c r="Q900" s="26" t="n"/>
      <c r="R900" s="26" t="n"/>
      <c r="S900" s="26" t="n"/>
      <c r="T900" s="26" t="n"/>
      <c r="V900" s="27">
        <f>IF(ISNUMBER($C900),COUNTIFS($A$14:$A$1213,$A900,$C$14:$C$1213,"&gt;"&amp;$C900)+(COUNTIFS($A$14:$A$1213,$A900,$C$14:$C$1213,"="&amp;$C900)+1)/2,"")</f>
        <v/>
      </c>
      <c r="W900" s="27">
        <f>IF(ISNUMBER($F900),COUNTIFS($A$14:$A$1213,$A900,$F$14:$F$1213,"&gt;"&amp;$F900)+(COUNTIFS($A$14:$A$1213,$A900,$F$14:$F$1213,"="&amp;$F900)+1)/2,"")</f>
        <v/>
      </c>
      <c r="X900" s="27">
        <f>IF(OR(NOT(ISNUMBER($V900)),$AO900=1),"",$V900-(COUNTIFS($A$14:$A$1213,$A900,$C$14:$C$1213,"&gt;=0")+1)/2)</f>
        <v/>
      </c>
      <c r="Y900" s="27">
        <f>IF(OR(NOT(ISNUMBER($W900)),$AO900=1),"",$W900-(COUNTIFS($A$14:$A$1213,$A900,$F$14:$F$1213,"&gt;=0")+1)/2)</f>
        <v/>
      </c>
      <c r="Z900" s="27">
        <f>IF(ISNUMBER($V900),$A900&amp;"|"&amp;$V900,"")</f>
        <v/>
      </c>
      <c r="AA900" s="27">
        <f>IF(ISNUMBER($W900),$A900&amp;"|"&amp;$W900,"")</f>
        <v/>
      </c>
      <c r="AB900" s="27">
        <f>IF(ISNUMBER($F900),$A900&amp;"|"&amp;$F900,"")</f>
        <v/>
      </c>
      <c r="AC900" s="27">
        <f>IF(ISNUMBER($P900),COUNTIFS($A$14:$A$1213,$A900,$P$14:$P$1213,"&gt;"&amp;$P900)+(COUNTIFS($A$14:$A$1213,$A900,$P$14:$P$1213,"="&amp;$P900)+1)/2,"")</f>
        <v/>
      </c>
      <c r="AD900" s="27">
        <f>IF(ISNUMBER($Q900),COUNTIFS($A$14:$A$1213,$A900,$Q$14:$Q$1213,"&gt;"&amp;$Q900)+(COUNTIFS($A$14:$A$1213,$A900,$Q$14:$Q$1213,"="&amp;$Q900)+1)/2,"")</f>
        <v/>
      </c>
      <c r="AE900" s="27">
        <f>IF(ISNUMBER($R900),COUNTIFS($A$14:$A$1213,$A900,$R$14:$R$1213,"&gt;"&amp;$R900)+(COUNTIFS($A$14:$A$1213,$A900,$R$14:$R$1213,"="&amp;$R900)+1)/2,"")</f>
        <v/>
      </c>
      <c r="AF900" s="27">
        <f>IF(ISNUMBER($S900),COUNTIFS($A$14:$A$1213,$A900,$S$14:$S$1213,"&gt;"&amp;$S900)+(COUNTIFS($A$14:$A$1213,$A900,$S$14:$S$1213,"="&amp;$S900)+1)/2,"")</f>
        <v/>
      </c>
      <c r="AG900" s="27">
        <f>IF(ISNUMBER($T900),COUNTIFS($A$14:$A$1213,$A900,$T$14:$T$1213,"&gt;"&amp;$T900)+(COUNTIFS($A$14:$A$1213,$A900,$T$14:$T$1213,"="&amp;$T900)+1)/2,"")</f>
        <v/>
      </c>
      <c r="AH900" s="27">
        <f>IF(COUNT($AC900:$AG900)&lt;2,"",IF(MAX($AC900:$AG900)=MIN($AC900:$AG900),0,1))</f>
        <v/>
      </c>
      <c r="AI900" s="27">
        <f>IF($A900="","",IF(COUNTIF($A$14:$A900,$A900)=1,COUNTIF($AI$13:AI899,"&gt;0")+1,""))</f>
        <v/>
      </c>
      <c r="AO900" s="27">
        <f>IF($A900="","",IF(AND(COUNTIFS($A$14:$A$1213,$A900,$F$14:$F$1213,"&gt;=0")=2,IFERROR(INDEX($M$14:$M$313,MATCH($A900,$H$14:$H$313,0)),"Yes")&lt;&gt;"Yes"),1,0))</f>
        <v/>
      </c>
    </row>
    <row r="901">
      <c r="A901" s="19">
        <f>IF('Enter messages'!A901="","",'Enter messages'!A901)</f>
        <v/>
      </c>
      <c r="B901" s="20">
        <f>IF('Enter messages'!B901="","",'Enter messages'!B901)</f>
        <v/>
      </c>
      <c r="C901" s="21">
        <f>IFERROR(AVERAGE(P901:T901),"")</f>
        <v/>
      </c>
      <c r="D901" s="29" t="n"/>
      <c r="E901" s="29" t="n"/>
      <c r="F901" s="30">
        <f>IF(AND(ISNUMBER($D901),ISNUMBER($E901),$E901&gt;0,$D901&lt;=$E901),$D901/$E901,"")</f>
        <v/>
      </c>
      <c r="P901" s="26" t="n"/>
      <c r="Q901" s="26" t="n"/>
      <c r="R901" s="26" t="n"/>
      <c r="S901" s="26" t="n"/>
      <c r="T901" s="26" t="n"/>
      <c r="V901" s="27">
        <f>IF(ISNUMBER($C901),COUNTIFS($A$14:$A$1213,$A901,$C$14:$C$1213,"&gt;"&amp;$C901)+(COUNTIFS($A$14:$A$1213,$A901,$C$14:$C$1213,"="&amp;$C901)+1)/2,"")</f>
        <v/>
      </c>
      <c r="W901" s="27">
        <f>IF(ISNUMBER($F901),COUNTIFS($A$14:$A$1213,$A901,$F$14:$F$1213,"&gt;"&amp;$F901)+(COUNTIFS($A$14:$A$1213,$A901,$F$14:$F$1213,"="&amp;$F901)+1)/2,"")</f>
        <v/>
      </c>
      <c r="X901" s="27">
        <f>IF(OR(NOT(ISNUMBER($V901)),$AO901=1),"",$V901-(COUNTIFS($A$14:$A$1213,$A901,$C$14:$C$1213,"&gt;=0")+1)/2)</f>
        <v/>
      </c>
      <c r="Y901" s="27">
        <f>IF(OR(NOT(ISNUMBER($W901)),$AO901=1),"",$W901-(COUNTIFS($A$14:$A$1213,$A901,$F$14:$F$1213,"&gt;=0")+1)/2)</f>
        <v/>
      </c>
      <c r="Z901" s="27">
        <f>IF(ISNUMBER($V901),$A901&amp;"|"&amp;$V901,"")</f>
        <v/>
      </c>
      <c r="AA901" s="27">
        <f>IF(ISNUMBER($W901),$A901&amp;"|"&amp;$W901,"")</f>
        <v/>
      </c>
      <c r="AB901" s="27">
        <f>IF(ISNUMBER($F901),$A901&amp;"|"&amp;$F901,"")</f>
        <v/>
      </c>
      <c r="AC901" s="27">
        <f>IF(ISNUMBER($P901),COUNTIFS($A$14:$A$1213,$A901,$P$14:$P$1213,"&gt;"&amp;$P901)+(COUNTIFS($A$14:$A$1213,$A901,$P$14:$P$1213,"="&amp;$P901)+1)/2,"")</f>
        <v/>
      </c>
      <c r="AD901" s="27">
        <f>IF(ISNUMBER($Q901),COUNTIFS($A$14:$A$1213,$A901,$Q$14:$Q$1213,"&gt;"&amp;$Q901)+(COUNTIFS($A$14:$A$1213,$A901,$Q$14:$Q$1213,"="&amp;$Q901)+1)/2,"")</f>
        <v/>
      </c>
      <c r="AE901" s="27">
        <f>IF(ISNUMBER($R901),COUNTIFS($A$14:$A$1213,$A901,$R$14:$R$1213,"&gt;"&amp;$R901)+(COUNTIFS($A$14:$A$1213,$A901,$R$14:$R$1213,"="&amp;$R901)+1)/2,"")</f>
        <v/>
      </c>
      <c r="AF901" s="27">
        <f>IF(ISNUMBER($S901),COUNTIFS($A$14:$A$1213,$A901,$S$14:$S$1213,"&gt;"&amp;$S901)+(COUNTIFS($A$14:$A$1213,$A901,$S$14:$S$1213,"="&amp;$S901)+1)/2,"")</f>
        <v/>
      </c>
      <c r="AG901" s="27">
        <f>IF(ISNUMBER($T901),COUNTIFS($A$14:$A$1213,$A901,$T$14:$T$1213,"&gt;"&amp;$T901)+(COUNTIFS($A$14:$A$1213,$A901,$T$14:$T$1213,"="&amp;$T901)+1)/2,"")</f>
        <v/>
      </c>
      <c r="AH901" s="27">
        <f>IF(COUNT($AC901:$AG901)&lt;2,"",IF(MAX($AC901:$AG901)=MIN($AC901:$AG901),0,1))</f>
        <v/>
      </c>
      <c r="AI901" s="27">
        <f>IF($A901="","",IF(COUNTIF($A$14:$A901,$A901)=1,COUNTIF($AI$13:AI900,"&gt;0")+1,""))</f>
        <v/>
      </c>
      <c r="AO901" s="27">
        <f>IF($A901="","",IF(AND(COUNTIFS($A$14:$A$1213,$A901,$F$14:$F$1213,"&gt;=0")=2,IFERROR(INDEX($M$14:$M$313,MATCH($A901,$H$14:$H$313,0)),"Yes")&lt;&gt;"Yes"),1,0))</f>
        <v/>
      </c>
    </row>
    <row r="902">
      <c r="A902" s="19">
        <f>IF('Enter messages'!A902="","",'Enter messages'!A902)</f>
        <v/>
      </c>
      <c r="B902" s="20">
        <f>IF('Enter messages'!B902="","",'Enter messages'!B902)</f>
        <v/>
      </c>
      <c r="C902" s="21">
        <f>IFERROR(AVERAGE(P902:T902),"")</f>
        <v/>
      </c>
      <c r="D902" s="29" t="n"/>
      <c r="E902" s="29" t="n"/>
      <c r="F902" s="30">
        <f>IF(AND(ISNUMBER($D902),ISNUMBER($E902),$E902&gt;0,$D902&lt;=$E902),$D902/$E902,"")</f>
        <v/>
      </c>
      <c r="P902" s="26" t="n"/>
      <c r="Q902" s="26" t="n"/>
      <c r="R902" s="26" t="n"/>
      <c r="S902" s="26" t="n"/>
      <c r="T902" s="26" t="n"/>
      <c r="V902" s="27">
        <f>IF(ISNUMBER($C902),COUNTIFS($A$14:$A$1213,$A902,$C$14:$C$1213,"&gt;"&amp;$C902)+(COUNTIFS($A$14:$A$1213,$A902,$C$14:$C$1213,"="&amp;$C902)+1)/2,"")</f>
        <v/>
      </c>
      <c r="W902" s="27">
        <f>IF(ISNUMBER($F902),COUNTIFS($A$14:$A$1213,$A902,$F$14:$F$1213,"&gt;"&amp;$F902)+(COUNTIFS($A$14:$A$1213,$A902,$F$14:$F$1213,"="&amp;$F902)+1)/2,"")</f>
        <v/>
      </c>
      <c r="X902" s="27">
        <f>IF(OR(NOT(ISNUMBER($V902)),$AO902=1),"",$V902-(COUNTIFS($A$14:$A$1213,$A902,$C$14:$C$1213,"&gt;=0")+1)/2)</f>
        <v/>
      </c>
      <c r="Y902" s="27">
        <f>IF(OR(NOT(ISNUMBER($W902)),$AO902=1),"",$W902-(COUNTIFS($A$14:$A$1213,$A902,$F$14:$F$1213,"&gt;=0")+1)/2)</f>
        <v/>
      </c>
      <c r="Z902" s="27">
        <f>IF(ISNUMBER($V902),$A902&amp;"|"&amp;$V902,"")</f>
        <v/>
      </c>
      <c r="AA902" s="27">
        <f>IF(ISNUMBER($W902),$A902&amp;"|"&amp;$W902,"")</f>
        <v/>
      </c>
      <c r="AB902" s="27">
        <f>IF(ISNUMBER($F902),$A902&amp;"|"&amp;$F902,"")</f>
        <v/>
      </c>
      <c r="AC902" s="27">
        <f>IF(ISNUMBER($P902),COUNTIFS($A$14:$A$1213,$A902,$P$14:$P$1213,"&gt;"&amp;$P902)+(COUNTIFS($A$14:$A$1213,$A902,$P$14:$P$1213,"="&amp;$P902)+1)/2,"")</f>
        <v/>
      </c>
      <c r="AD902" s="27">
        <f>IF(ISNUMBER($Q902),COUNTIFS($A$14:$A$1213,$A902,$Q$14:$Q$1213,"&gt;"&amp;$Q902)+(COUNTIFS($A$14:$A$1213,$A902,$Q$14:$Q$1213,"="&amp;$Q902)+1)/2,"")</f>
        <v/>
      </c>
      <c r="AE902" s="27">
        <f>IF(ISNUMBER($R902),COUNTIFS($A$14:$A$1213,$A902,$R$14:$R$1213,"&gt;"&amp;$R902)+(COUNTIFS($A$14:$A$1213,$A902,$R$14:$R$1213,"="&amp;$R902)+1)/2,"")</f>
        <v/>
      </c>
      <c r="AF902" s="27">
        <f>IF(ISNUMBER($S902),COUNTIFS($A$14:$A$1213,$A902,$S$14:$S$1213,"&gt;"&amp;$S902)+(COUNTIFS($A$14:$A$1213,$A902,$S$14:$S$1213,"="&amp;$S902)+1)/2,"")</f>
        <v/>
      </c>
      <c r="AG902" s="27">
        <f>IF(ISNUMBER($T902),COUNTIFS($A$14:$A$1213,$A902,$T$14:$T$1213,"&gt;"&amp;$T902)+(COUNTIFS($A$14:$A$1213,$A902,$T$14:$T$1213,"="&amp;$T902)+1)/2,"")</f>
        <v/>
      </c>
      <c r="AH902" s="27">
        <f>IF(COUNT($AC902:$AG902)&lt;2,"",IF(MAX($AC902:$AG902)=MIN($AC902:$AG902),0,1))</f>
        <v/>
      </c>
      <c r="AI902" s="27">
        <f>IF($A902="","",IF(COUNTIF($A$14:$A902,$A902)=1,COUNTIF($AI$13:AI901,"&gt;0")+1,""))</f>
        <v/>
      </c>
      <c r="AO902" s="27">
        <f>IF($A902="","",IF(AND(COUNTIFS($A$14:$A$1213,$A902,$F$14:$F$1213,"&gt;=0")=2,IFERROR(INDEX($M$14:$M$313,MATCH($A902,$H$14:$H$313,0)),"Yes")&lt;&gt;"Yes"),1,0))</f>
        <v/>
      </c>
    </row>
    <row r="903">
      <c r="A903" s="19">
        <f>IF('Enter messages'!A903="","",'Enter messages'!A903)</f>
        <v/>
      </c>
      <c r="B903" s="20">
        <f>IF('Enter messages'!B903="","",'Enter messages'!B903)</f>
        <v/>
      </c>
      <c r="C903" s="21">
        <f>IFERROR(AVERAGE(P903:T903),"")</f>
        <v/>
      </c>
      <c r="D903" s="29" t="n"/>
      <c r="E903" s="29" t="n"/>
      <c r="F903" s="30">
        <f>IF(AND(ISNUMBER($D903),ISNUMBER($E903),$E903&gt;0,$D903&lt;=$E903),$D903/$E903,"")</f>
        <v/>
      </c>
      <c r="P903" s="26" t="n"/>
      <c r="Q903" s="26" t="n"/>
      <c r="R903" s="26" t="n"/>
      <c r="S903" s="26" t="n"/>
      <c r="T903" s="26" t="n"/>
      <c r="V903" s="27">
        <f>IF(ISNUMBER($C903),COUNTIFS($A$14:$A$1213,$A903,$C$14:$C$1213,"&gt;"&amp;$C903)+(COUNTIFS($A$14:$A$1213,$A903,$C$14:$C$1213,"="&amp;$C903)+1)/2,"")</f>
        <v/>
      </c>
      <c r="W903" s="27">
        <f>IF(ISNUMBER($F903),COUNTIFS($A$14:$A$1213,$A903,$F$14:$F$1213,"&gt;"&amp;$F903)+(COUNTIFS($A$14:$A$1213,$A903,$F$14:$F$1213,"="&amp;$F903)+1)/2,"")</f>
        <v/>
      </c>
      <c r="X903" s="27">
        <f>IF(OR(NOT(ISNUMBER($V903)),$AO903=1),"",$V903-(COUNTIFS($A$14:$A$1213,$A903,$C$14:$C$1213,"&gt;=0")+1)/2)</f>
        <v/>
      </c>
      <c r="Y903" s="27">
        <f>IF(OR(NOT(ISNUMBER($W903)),$AO903=1),"",$W903-(COUNTIFS($A$14:$A$1213,$A903,$F$14:$F$1213,"&gt;=0")+1)/2)</f>
        <v/>
      </c>
      <c r="Z903" s="27">
        <f>IF(ISNUMBER($V903),$A903&amp;"|"&amp;$V903,"")</f>
        <v/>
      </c>
      <c r="AA903" s="27">
        <f>IF(ISNUMBER($W903),$A903&amp;"|"&amp;$W903,"")</f>
        <v/>
      </c>
      <c r="AB903" s="27">
        <f>IF(ISNUMBER($F903),$A903&amp;"|"&amp;$F903,"")</f>
        <v/>
      </c>
      <c r="AC903" s="27">
        <f>IF(ISNUMBER($P903),COUNTIFS($A$14:$A$1213,$A903,$P$14:$P$1213,"&gt;"&amp;$P903)+(COUNTIFS($A$14:$A$1213,$A903,$P$14:$P$1213,"="&amp;$P903)+1)/2,"")</f>
        <v/>
      </c>
      <c r="AD903" s="27">
        <f>IF(ISNUMBER($Q903),COUNTIFS($A$14:$A$1213,$A903,$Q$14:$Q$1213,"&gt;"&amp;$Q903)+(COUNTIFS($A$14:$A$1213,$A903,$Q$14:$Q$1213,"="&amp;$Q903)+1)/2,"")</f>
        <v/>
      </c>
      <c r="AE903" s="27">
        <f>IF(ISNUMBER($R903),COUNTIFS($A$14:$A$1213,$A903,$R$14:$R$1213,"&gt;"&amp;$R903)+(COUNTIFS($A$14:$A$1213,$A903,$R$14:$R$1213,"="&amp;$R903)+1)/2,"")</f>
        <v/>
      </c>
      <c r="AF903" s="27">
        <f>IF(ISNUMBER($S903),COUNTIFS($A$14:$A$1213,$A903,$S$14:$S$1213,"&gt;"&amp;$S903)+(COUNTIFS($A$14:$A$1213,$A903,$S$14:$S$1213,"="&amp;$S903)+1)/2,"")</f>
        <v/>
      </c>
      <c r="AG903" s="27">
        <f>IF(ISNUMBER($T903),COUNTIFS($A$14:$A$1213,$A903,$T$14:$T$1213,"&gt;"&amp;$T903)+(COUNTIFS($A$14:$A$1213,$A903,$T$14:$T$1213,"="&amp;$T903)+1)/2,"")</f>
        <v/>
      </c>
      <c r="AH903" s="27">
        <f>IF(COUNT($AC903:$AG903)&lt;2,"",IF(MAX($AC903:$AG903)=MIN($AC903:$AG903),0,1))</f>
        <v/>
      </c>
      <c r="AI903" s="27">
        <f>IF($A903="","",IF(COUNTIF($A$14:$A903,$A903)=1,COUNTIF($AI$13:AI902,"&gt;0")+1,""))</f>
        <v/>
      </c>
      <c r="AO903" s="27">
        <f>IF($A903="","",IF(AND(COUNTIFS($A$14:$A$1213,$A903,$F$14:$F$1213,"&gt;=0")=2,IFERROR(INDEX($M$14:$M$313,MATCH($A903,$H$14:$H$313,0)),"Yes")&lt;&gt;"Yes"),1,0))</f>
        <v/>
      </c>
    </row>
    <row r="904">
      <c r="A904" s="19">
        <f>IF('Enter messages'!A904="","",'Enter messages'!A904)</f>
        <v/>
      </c>
      <c r="B904" s="20">
        <f>IF('Enter messages'!B904="","",'Enter messages'!B904)</f>
        <v/>
      </c>
      <c r="C904" s="21">
        <f>IFERROR(AVERAGE(P904:T904),"")</f>
        <v/>
      </c>
      <c r="D904" s="29" t="n"/>
      <c r="E904" s="29" t="n"/>
      <c r="F904" s="30">
        <f>IF(AND(ISNUMBER($D904),ISNUMBER($E904),$E904&gt;0,$D904&lt;=$E904),$D904/$E904,"")</f>
        <v/>
      </c>
      <c r="P904" s="26" t="n"/>
      <c r="Q904" s="26" t="n"/>
      <c r="R904" s="26" t="n"/>
      <c r="S904" s="26" t="n"/>
      <c r="T904" s="26" t="n"/>
      <c r="V904" s="27">
        <f>IF(ISNUMBER($C904),COUNTIFS($A$14:$A$1213,$A904,$C$14:$C$1213,"&gt;"&amp;$C904)+(COUNTIFS($A$14:$A$1213,$A904,$C$14:$C$1213,"="&amp;$C904)+1)/2,"")</f>
        <v/>
      </c>
      <c r="W904" s="27">
        <f>IF(ISNUMBER($F904),COUNTIFS($A$14:$A$1213,$A904,$F$14:$F$1213,"&gt;"&amp;$F904)+(COUNTIFS($A$14:$A$1213,$A904,$F$14:$F$1213,"="&amp;$F904)+1)/2,"")</f>
        <v/>
      </c>
      <c r="X904" s="27">
        <f>IF(OR(NOT(ISNUMBER($V904)),$AO904=1),"",$V904-(COUNTIFS($A$14:$A$1213,$A904,$C$14:$C$1213,"&gt;=0")+1)/2)</f>
        <v/>
      </c>
      <c r="Y904" s="27">
        <f>IF(OR(NOT(ISNUMBER($W904)),$AO904=1),"",$W904-(COUNTIFS($A$14:$A$1213,$A904,$F$14:$F$1213,"&gt;=0")+1)/2)</f>
        <v/>
      </c>
      <c r="Z904" s="27">
        <f>IF(ISNUMBER($V904),$A904&amp;"|"&amp;$V904,"")</f>
        <v/>
      </c>
      <c r="AA904" s="27">
        <f>IF(ISNUMBER($W904),$A904&amp;"|"&amp;$W904,"")</f>
        <v/>
      </c>
      <c r="AB904" s="27">
        <f>IF(ISNUMBER($F904),$A904&amp;"|"&amp;$F904,"")</f>
        <v/>
      </c>
      <c r="AC904" s="27">
        <f>IF(ISNUMBER($P904),COUNTIFS($A$14:$A$1213,$A904,$P$14:$P$1213,"&gt;"&amp;$P904)+(COUNTIFS($A$14:$A$1213,$A904,$P$14:$P$1213,"="&amp;$P904)+1)/2,"")</f>
        <v/>
      </c>
      <c r="AD904" s="27">
        <f>IF(ISNUMBER($Q904),COUNTIFS($A$14:$A$1213,$A904,$Q$14:$Q$1213,"&gt;"&amp;$Q904)+(COUNTIFS($A$14:$A$1213,$A904,$Q$14:$Q$1213,"="&amp;$Q904)+1)/2,"")</f>
        <v/>
      </c>
      <c r="AE904" s="27">
        <f>IF(ISNUMBER($R904),COUNTIFS($A$14:$A$1213,$A904,$R$14:$R$1213,"&gt;"&amp;$R904)+(COUNTIFS($A$14:$A$1213,$A904,$R$14:$R$1213,"="&amp;$R904)+1)/2,"")</f>
        <v/>
      </c>
      <c r="AF904" s="27">
        <f>IF(ISNUMBER($S904),COUNTIFS($A$14:$A$1213,$A904,$S$14:$S$1213,"&gt;"&amp;$S904)+(COUNTIFS($A$14:$A$1213,$A904,$S$14:$S$1213,"="&amp;$S904)+1)/2,"")</f>
        <v/>
      </c>
      <c r="AG904" s="27">
        <f>IF(ISNUMBER($T904),COUNTIFS($A$14:$A$1213,$A904,$T$14:$T$1213,"&gt;"&amp;$T904)+(COUNTIFS($A$14:$A$1213,$A904,$T$14:$T$1213,"="&amp;$T904)+1)/2,"")</f>
        <v/>
      </c>
      <c r="AH904" s="27">
        <f>IF(COUNT($AC904:$AG904)&lt;2,"",IF(MAX($AC904:$AG904)=MIN($AC904:$AG904),0,1))</f>
        <v/>
      </c>
      <c r="AI904" s="27">
        <f>IF($A904="","",IF(COUNTIF($A$14:$A904,$A904)=1,COUNTIF($AI$13:AI903,"&gt;0")+1,""))</f>
        <v/>
      </c>
      <c r="AO904" s="27">
        <f>IF($A904="","",IF(AND(COUNTIFS($A$14:$A$1213,$A904,$F$14:$F$1213,"&gt;=0")=2,IFERROR(INDEX($M$14:$M$313,MATCH($A904,$H$14:$H$313,0)),"Yes")&lt;&gt;"Yes"),1,0))</f>
        <v/>
      </c>
    </row>
    <row r="905">
      <c r="A905" s="19">
        <f>IF('Enter messages'!A905="","",'Enter messages'!A905)</f>
        <v/>
      </c>
      <c r="B905" s="20">
        <f>IF('Enter messages'!B905="","",'Enter messages'!B905)</f>
        <v/>
      </c>
      <c r="C905" s="21">
        <f>IFERROR(AVERAGE(P905:T905),"")</f>
        <v/>
      </c>
      <c r="D905" s="29" t="n"/>
      <c r="E905" s="29" t="n"/>
      <c r="F905" s="30">
        <f>IF(AND(ISNUMBER($D905),ISNUMBER($E905),$E905&gt;0,$D905&lt;=$E905),$D905/$E905,"")</f>
        <v/>
      </c>
      <c r="P905" s="26" t="n"/>
      <c r="Q905" s="26" t="n"/>
      <c r="R905" s="26" t="n"/>
      <c r="S905" s="26" t="n"/>
      <c r="T905" s="26" t="n"/>
      <c r="V905" s="27">
        <f>IF(ISNUMBER($C905),COUNTIFS($A$14:$A$1213,$A905,$C$14:$C$1213,"&gt;"&amp;$C905)+(COUNTIFS($A$14:$A$1213,$A905,$C$14:$C$1213,"="&amp;$C905)+1)/2,"")</f>
        <v/>
      </c>
      <c r="W905" s="27">
        <f>IF(ISNUMBER($F905),COUNTIFS($A$14:$A$1213,$A905,$F$14:$F$1213,"&gt;"&amp;$F905)+(COUNTIFS($A$14:$A$1213,$A905,$F$14:$F$1213,"="&amp;$F905)+1)/2,"")</f>
        <v/>
      </c>
      <c r="X905" s="27">
        <f>IF(OR(NOT(ISNUMBER($V905)),$AO905=1),"",$V905-(COUNTIFS($A$14:$A$1213,$A905,$C$14:$C$1213,"&gt;=0")+1)/2)</f>
        <v/>
      </c>
      <c r="Y905" s="27">
        <f>IF(OR(NOT(ISNUMBER($W905)),$AO905=1),"",$W905-(COUNTIFS($A$14:$A$1213,$A905,$F$14:$F$1213,"&gt;=0")+1)/2)</f>
        <v/>
      </c>
      <c r="Z905" s="27">
        <f>IF(ISNUMBER($V905),$A905&amp;"|"&amp;$V905,"")</f>
        <v/>
      </c>
      <c r="AA905" s="27">
        <f>IF(ISNUMBER($W905),$A905&amp;"|"&amp;$W905,"")</f>
        <v/>
      </c>
      <c r="AB905" s="27">
        <f>IF(ISNUMBER($F905),$A905&amp;"|"&amp;$F905,"")</f>
        <v/>
      </c>
      <c r="AC905" s="27">
        <f>IF(ISNUMBER($P905),COUNTIFS($A$14:$A$1213,$A905,$P$14:$P$1213,"&gt;"&amp;$P905)+(COUNTIFS($A$14:$A$1213,$A905,$P$14:$P$1213,"="&amp;$P905)+1)/2,"")</f>
        <v/>
      </c>
      <c r="AD905" s="27">
        <f>IF(ISNUMBER($Q905),COUNTIFS($A$14:$A$1213,$A905,$Q$14:$Q$1213,"&gt;"&amp;$Q905)+(COUNTIFS($A$14:$A$1213,$A905,$Q$14:$Q$1213,"="&amp;$Q905)+1)/2,"")</f>
        <v/>
      </c>
      <c r="AE905" s="27">
        <f>IF(ISNUMBER($R905),COUNTIFS($A$14:$A$1213,$A905,$R$14:$R$1213,"&gt;"&amp;$R905)+(COUNTIFS($A$14:$A$1213,$A905,$R$14:$R$1213,"="&amp;$R905)+1)/2,"")</f>
        <v/>
      </c>
      <c r="AF905" s="27">
        <f>IF(ISNUMBER($S905),COUNTIFS($A$14:$A$1213,$A905,$S$14:$S$1213,"&gt;"&amp;$S905)+(COUNTIFS($A$14:$A$1213,$A905,$S$14:$S$1213,"="&amp;$S905)+1)/2,"")</f>
        <v/>
      </c>
      <c r="AG905" s="27">
        <f>IF(ISNUMBER($T905),COUNTIFS($A$14:$A$1213,$A905,$T$14:$T$1213,"&gt;"&amp;$T905)+(COUNTIFS($A$14:$A$1213,$A905,$T$14:$T$1213,"="&amp;$T905)+1)/2,"")</f>
        <v/>
      </c>
      <c r="AH905" s="27">
        <f>IF(COUNT($AC905:$AG905)&lt;2,"",IF(MAX($AC905:$AG905)=MIN($AC905:$AG905),0,1))</f>
        <v/>
      </c>
      <c r="AI905" s="27">
        <f>IF($A905="","",IF(COUNTIF($A$14:$A905,$A905)=1,COUNTIF($AI$13:AI904,"&gt;0")+1,""))</f>
        <v/>
      </c>
      <c r="AO905" s="27">
        <f>IF($A905="","",IF(AND(COUNTIFS($A$14:$A$1213,$A905,$F$14:$F$1213,"&gt;=0")=2,IFERROR(INDEX($M$14:$M$313,MATCH($A905,$H$14:$H$313,0)),"Yes")&lt;&gt;"Yes"),1,0))</f>
        <v/>
      </c>
    </row>
    <row r="906">
      <c r="A906" s="19">
        <f>IF('Enter messages'!A906="","",'Enter messages'!A906)</f>
        <v/>
      </c>
      <c r="B906" s="20">
        <f>IF('Enter messages'!B906="","",'Enter messages'!B906)</f>
        <v/>
      </c>
      <c r="C906" s="21">
        <f>IFERROR(AVERAGE(P906:T906),"")</f>
        <v/>
      </c>
      <c r="D906" s="29" t="n"/>
      <c r="E906" s="29" t="n"/>
      <c r="F906" s="30">
        <f>IF(AND(ISNUMBER($D906),ISNUMBER($E906),$E906&gt;0,$D906&lt;=$E906),$D906/$E906,"")</f>
        <v/>
      </c>
      <c r="P906" s="26" t="n"/>
      <c r="Q906" s="26" t="n"/>
      <c r="R906" s="26" t="n"/>
      <c r="S906" s="26" t="n"/>
      <c r="T906" s="26" t="n"/>
      <c r="V906" s="27">
        <f>IF(ISNUMBER($C906),COUNTIFS($A$14:$A$1213,$A906,$C$14:$C$1213,"&gt;"&amp;$C906)+(COUNTIFS($A$14:$A$1213,$A906,$C$14:$C$1213,"="&amp;$C906)+1)/2,"")</f>
        <v/>
      </c>
      <c r="W906" s="27">
        <f>IF(ISNUMBER($F906),COUNTIFS($A$14:$A$1213,$A906,$F$14:$F$1213,"&gt;"&amp;$F906)+(COUNTIFS($A$14:$A$1213,$A906,$F$14:$F$1213,"="&amp;$F906)+1)/2,"")</f>
        <v/>
      </c>
      <c r="X906" s="27">
        <f>IF(OR(NOT(ISNUMBER($V906)),$AO906=1),"",$V906-(COUNTIFS($A$14:$A$1213,$A906,$C$14:$C$1213,"&gt;=0")+1)/2)</f>
        <v/>
      </c>
      <c r="Y906" s="27">
        <f>IF(OR(NOT(ISNUMBER($W906)),$AO906=1),"",$W906-(COUNTIFS($A$14:$A$1213,$A906,$F$14:$F$1213,"&gt;=0")+1)/2)</f>
        <v/>
      </c>
      <c r="Z906" s="27">
        <f>IF(ISNUMBER($V906),$A906&amp;"|"&amp;$V906,"")</f>
        <v/>
      </c>
      <c r="AA906" s="27">
        <f>IF(ISNUMBER($W906),$A906&amp;"|"&amp;$W906,"")</f>
        <v/>
      </c>
      <c r="AB906" s="27">
        <f>IF(ISNUMBER($F906),$A906&amp;"|"&amp;$F906,"")</f>
        <v/>
      </c>
      <c r="AC906" s="27">
        <f>IF(ISNUMBER($P906),COUNTIFS($A$14:$A$1213,$A906,$P$14:$P$1213,"&gt;"&amp;$P906)+(COUNTIFS($A$14:$A$1213,$A906,$P$14:$P$1213,"="&amp;$P906)+1)/2,"")</f>
        <v/>
      </c>
      <c r="AD906" s="27">
        <f>IF(ISNUMBER($Q906),COUNTIFS($A$14:$A$1213,$A906,$Q$14:$Q$1213,"&gt;"&amp;$Q906)+(COUNTIFS($A$14:$A$1213,$A906,$Q$14:$Q$1213,"="&amp;$Q906)+1)/2,"")</f>
        <v/>
      </c>
      <c r="AE906" s="27">
        <f>IF(ISNUMBER($R906),COUNTIFS($A$14:$A$1213,$A906,$R$14:$R$1213,"&gt;"&amp;$R906)+(COUNTIFS($A$14:$A$1213,$A906,$R$14:$R$1213,"="&amp;$R906)+1)/2,"")</f>
        <v/>
      </c>
      <c r="AF906" s="27">
        <f>IF(ISNUMBER($S906),COUNTIFS($A$14:$A$1213,$A906,$S$14:$S$1213,"&gt;"&amp;$S906)+(COUNTIFS($A$14:$A$1213,$A906,$S$14:$S$1213,"="&amp;$S906)+1)/2,"")</f>
        <v/>
      </c>
      <c r="AG906" s="27">
        <f>IF(ISNUMBER($T906),COUNTIFS($A$14:$A$1213,$A906,$T$14:$T$1213,"&gt;"&amp;$T906)+(COUNTIFS($A$14:$A$1213,$A906,$T$14:$T$1213,"="&amp;$T906)+1)/2,"")</f>
        <v/>
      </c>
      <c r="AH906" s="27">
        <f>IF(COUNT($AC906:$AG906)&lt;2,"",IF(MAX($AC906:$AG906)=MIN($AC906:$AG906),0,1))</f>
        <v/>
      </c>
      <c r="AI906" s="27">
        <f>IF($A906="","",IF(COUNTIF($A$14:$A906,$A906)=1,COUNTIF($AI$13:AI905,"&gt;0")+1,""))</f>
        <v/>
      </c>
      <c r="AO906" s="27">
        <f>IF($A906="","",IF(AND(COUNTIFS($A$14:$A$1213,$A906,$F$14:$F$1213,"&gt;=0")=2,IFERROR(INDEX($M$14:$M$313,MATCH($A906,$H$14:$H$313,0)),"Yes")&lt;&gt;"Yes"),1,0))</f>
        <v/>
      </c>
    </row>
    <row r="907">
      <c r="A907" s="19">
        <f>IF('Enter messages'!A907="","",'Enter messages'!A907)</f>
        <v/>
      </c>
      <c r="B907" s="20">
        <f>IF('Enter messages'!B907="","",'Enter messages'!B907)</f>
        <v/>
      </c>
      <c r="C907" s="21">
        <f>IFERROR(AVERAGE(P907:T907),"")</f>
        <v/>
      </c>
      <c r="D907" s="29" t="n"/>
      <c r="E907" s="29" t="n"/>
      <c r="F907" s="30">
        <f>IF(AND(ISNUMBER($D907),ISNUMBER($E907),$E907&gt;0,$D907&lt;=$E907),$D907/$E907,"")</f>
        <v/>
      </c>
      <c r="P907" s="26" t="n"/>
      <c r="Q907" s="26" t="n"/>
      <c r="R907" s="26" t="n"/>
      <c r="S907" s="26" t="n"/>
      <c r="T907" s="26" t="n"/>
      <c r="V907" s="27">
        <f>IF(ISNUMBER($C907),COUNTIFS($A$14:$A$1213,$A907,$C$14:$C$1213,"&gt;"&amp;$C907)+(COUNTIFS($A$14:$A$1213,$A907,$C$14:$C$1213,"="&amp;$C907)+1)/2,"")</f>
        <v/>
      </c>
      <c r="W907" s="27">
        <f>IF(ISNUMBER($F907),COUNTIFS($A$14:$A$1213,$A907,$F$14:$F$1213,"&gt;"&amp;$F907)+(COUNTIFS($A$14:$A$1213,$A907,$F$14:$F$1213,"="&amp;$F907)+1)/2,"")</f>
        <v/>
      </c>
      <c r="X907" s="27">
        <f>IF(OR(NOT(ISNUMBER($V907)),$AO907=1),"",$V907-(COUNTIFS($A$14:$A$1213,$A907,$C$14:$C$1213,"&gt;=0")+1)/2)</f>
        <v/>
      </c>
      <c r="Y907" s="27">
        <f>IF(OR(NOT(ISNUMBER($W907)),$AO907=1),"",$W907-(COUNTIFS($A$14:$A$1213,$A907,$F$14:$F$1213,"&gt;=0")+1)/2)</f>
        <v/>
      </c>
      <c r="Z907" s="27">
        <f>IF(ISNUMBER($V907),$A907&amp;"|"&amp;$V907,"")</f>
        <v/>
      </c>
      <c r="AA907" s="27">
        <f>IF(ISNUMBER($W907),$A907&amp;"|"&amp;$W907,"")</f>
        <v/>
      </c>
      <c r="AB907" s="27">
        <f>IF(ISNUMBER($F907),$A907&amp;"|"&amp;$F907,"")</f>
        <v/>
      </c>
      <c r="AC907" s="27">
        <f>IF(ISNUMBER($P907),COUNTIFS($A$14:$A$1213,$A907,$P$14:$P$1213,"&gt;"&amp;$P907)+(COUNTIFS($A$14:$A$1213,$A907,$P$14:$P$1213,"="&amp;$P907)+1)/2,"")</f>
        <v/>
      </c>
      <c r="AD907" s="27">
        <f>IF(ISNUMBER($Q907),COUNTIFS($A$14:$A$1213,$A907,$Q$14:$Q$1213,"&gt;"&amp;$Q907)+(COUNTIFS($A$14:$A$1213,$A907,$Q$14:$Q$1213,"="&amp;$Q907)+1)/2,"")</f>
        <v/>
      </c>
      <c r="AE907" s="27">
        <f>IF(ISNUMBER($R907),COUNTIFS($A$14:$A$1213,$A907,$R$14:$R$1213,"&gt;"&amp;$R907)+(COUNTIFS($A$14:$A$1213,$A907,$R$14:$R$1213,"="&amp;$R907)+1)/2,"")</f>
        <v/>
      </c>
      <c r="AF907" s="27">
        <f>IF(ISNUMBER($S907),COUNTIFS($A$14:$A$1213,$A907,$S$14:$S$1213,"&gt;"&amp;$S907)+(COUNTIFS($A$14:$A$1213,$A907,$S$14:$S$1213,"="&amp;$S907)+1)/2,"")</f>
        <v/>
      </c>
      <c r="AG907" s="27">
        <f>IF(ISNUMBER($T907),COUNTIFS($A$14:$A$1213,$A907,$T$14:$T$1213,"&gt;"&amp;$T907)+(COUNTIFS($A$14:$A$1213,$A907,$T$14:$T$1213,"="&amp;$T907)+1)/2,"")</f>
        <v/>
      </c>
      <c r="AH907" s="27">
        <f>IF(COUNT($AC907:$AG907)&lt;2,"",IF(MAX($AC907:$AG907)=MIN($AC907:$AG907),0,1))</f>
        <v/>
      </c>
      <c r="AI907" s="27">
        <f>IF($A907="","",IF(COUNTIF($A$14:$A907,$A907)=1,COUNTIF($AI$13:AI906,"&gt;0")+1,""))</f>
        <v/>
      </c>
      <c r="AO907" s="27">
        <f>IF($A907="","",IF(AND(COUNTIFS($A$14:$A$1213,$A907,$F$14:$F$1213,"&gt;=0")=2,IFERROR(INDEX($M$14:$M$313,MATCH($A907,$H$14:$H$313,0)),"Yes")&lt;&gt;"Yes"),1,0))</f>
        <v/>
      </c>
    </row>
    <row r="908">
      <c r="A908" s="19">
        <f>IF('Enter messages'!A908="","",'Enter messages'!A908)</f>
        <v/>
      </c>
      <c r="B908" s="20">
        <f>IF('Enter messages'!B908="","",'Enter messages'!B908)</f>
        <v/>
      </c>
      <c r="C908" s="21">
        <f>IFERROR(AVERAGE(P908:T908),"")</f>
        <v/>
      </c>
      <c r="D908" s="29" t="n"/>
      <c r="E908" s="29" t="n"/>
      <c r="F908" s="30">
        <f>IF(AND(ISNUMBER($D908),ISNUMBER($E908),$E908&gt;0,$D908&lt;=$E908),$D908/$E908,"")</f>
        <v/>
      </c>
      <c r="P908" s="26" t="n"/>
      <c r="Q908" s="26" t="n"/>
      <c r="R908" s="26" t="n"/>
      <c r="S908" s="26" t="n"/>
      <c r="T908" s="26" t="n"/>
      <c r="V908" s="27">
        <f>IF(ISNUMBER($C908),COUNTIFS($A$14:$A$1213,$A908,$C$14:$C$1213,"&gt;"&amp;$C908)+(COUNTIFS($A$14:$A$1213,$A908,$C$14:$C$1213,"="&amp;$C908)+1)/2,"")</f>
        <v/>
      </c>
      <c r="W908" s="27">
        <f>IF(ISNUMBER($F908),COUNTIFS($A$14:$A$1213,$A908,$F$14:$F$1213,"&gt;"&amp;$F908)+(COUNTIFS($A$14:$A$1213,$A908,$F$14:$F$1213,"="&amp;$F908)+1)/2,"")</f>
        <v/>
      </c>
      <c r="X908" s="27">
        <f>IF(OR(NOT(ISNUMBER($V908)),$AO908=1),"",$V908-(COUNTIFS($A$14:$A$1213,$A908,$C$14:$C$1213,"&gt;=0")+1)/2)</f>
        <v/>
      </c>
      <c r="Y908" s="27">
        <f>IF(OR(NOT(ISNUMBER($W908)),$AO908=1),"",$W908-(COUNTIFS($A$14:$A$1213,$A908,$F$14:$F$1213,"&gt;=0")+1)/2)</f>
        <v/>
      </c>
      <c r="Z908" s="27">
        <f>IF(ISNUMBER($V908),$A908&amp;"|"&amp;$V908,"")</f>
        <v/>
      </c>
      <c r="AA908" s="27">
        <f>IF(ISNUMBER($W908),$A908&amp;"|"&amp;$W908,"")</f>
        <v/>
      </c>
      <c r="AB908" s="27">
        <f>IF(ISNUMBER($F908),$A908&amp;"|"&amp;$F908,"")</f>
        <v/>
      </c>
      <c r="AC908" s="27">
        <f>IF(ISNUMBER($P908),COUNTIFS($A$14:$A$1213,$A908,$P$14:$P$1213,"&gt;"&amp;$P908)+(COUNTIFS($A$14:$A$1213,$A908,$P$14:$P$1213,"="&amp;$P908)+1)/2,"")</f>
        <v/>
      </c>
      <c r="AD908" s="27">
        <f>IF(ISNUMBER($Q908),COUNTIFS($A$14:$A$1213,$A908,$Q$14:$Q$1213,"&gt;"&amp;$Q908)+(COUNTIFS($A$14:$A$1213,$A908,$Q$14:$Q$1213,"="&amp;$Q908)+1)/2,"")</f>
        <v/>
      </c>
      <c r="AE908" s="27">
        <f>IF(ISNUMBER($R908),COUNTIFS($A$14:$A$1213,$A908,$R$14:$R$1213,"&gt;"&amp;$R908)+(COUNTIFS($A$14:$A$1213,$A908,$R$14:$R$1213,"="&amp;$R908)+1)/2,"")</f>
        <v/>
      </c>
      <c r="AF908" s="27">
        <f>IF(ISNUMBER($S908),COUNTIFS($A$14:$A$1213,$A908,$S$14:$S$1213,"&gt;"&amp;$S908)+(COUNTIFS($A$14:$A$1213,$A908,$S$14:$S$1213,"="&amp;$S908)+1)/2,"")</f>
        <v/>
      </c>
      <c r="AG908" s="27">
        <f>IF(ISNUMBER($T908),COUNTIFS($A$14:$A$1213,$A908,$T$14:$T$1213,"&gt;"&amp;$T908)+(COUNTIFS($A$14:$A$1213,$A908,$T$14:$T$1213,"="&amp;$T908)+1)/2,"")</f>
        <v/>
      </c>
      <c r="AH908" s="27">
        <f>IF(COUNT($AC908:$AG908)&lt;2,"",IF(MAX($AC908:$AG908)=MIN($AC908:$AG908),0,1))</f>
        <v/>
      </c>
      <c r="AI908" s="27">
        <f>IF($A908="","",IF(COUNTIF($A$14:$A908,$A908)=1,COUNTIF($AI$13:AI907,"&gt;0")+1,""))</f>
        <v/>
      </c>
      <c r="AO908" s="27">
        <f>IF($A908="","",IF(AND(COUNTIFS($A$14:$A$1213,$A908,$F$14:$F$1213,"&gt;=0")=2,IFERROR(INDEX($M$14:$M$313,MATCH($A908,$H$14:$H$313,0)),"Yes")&lt;&gt;"Yes"),1,0))</f>
        <v/>
      </c>
    </row>
    <row r="909">
      <c r="A909" s="19">
        <f>IF('Enter messages'!A909="","",'Enter messages'!A909)</f>
        <v/>
      </c>
      <c r="B909" s="20">
        <f>IF('Enter messages'!B909="","",'Enter messages'!B909)</f>
        <v/>
      </c>
      <c r="C909" s="21">
        <f>IFERROR(AVERAGE(P909:T909),"")</f>
        <v/>
      </c>
      <c r="D909" s="29" t="n"/>
      <c r="E909" s="29" t="n"/>
      <c r="F909" s="30">
        <f>IF(AND(ISNUMBER($D909),ISNUMBER($E909),$E909&gt;0,$D909&lt;=$E909),$D909/$E909,"")</f>
        <v/>
      </c>
      <c r="P909" s="26" t="n"/>
      <c r="Q909" s="26" t="n"/>
      <c r="R909" s="26" t="n"/>
      <c r="S909" s="26" t="n"/>
      <c r="T909" s="26" t="n"/>
      <c r="V909" s="27">
        <f>IF(ISNUMBER($C909),COUNTIFS($A$14:$A$1213,$A909,$C$14:$C$1213,"&gt;"&amp;$C909)+(COUNTIFS($A$14:$A$1213,$A909,$C$14:$C$1213,"="&amp;$C909)+1)/2,"")</f>
        <v/>
      </c>
      <c r="W909" s="27">
        <f>IF(ISNUMBER($F909),COUNTIFS($A$14:$A$1213,$A909,$F$14:$F$1213,"&gt;"&amp;$F909)+(COUNTIFS($A$14:$A$1213,$A909,$F$14:$F$1213,"="&amp;$F909)+1)/2,"")</f>
        <v/>
      </c>
      <c r="X909" s="27">
        <f>IF(OR(NOT(ISNUMBER($V909)),$AO909=1),"",$V909-(COUNTIFS($A$14:$A$1213,$A909,$C$14:$C$1213,"&gt;=0")+1)/2)</f>
        <v/>
      </c>
      <c r="Y909" s="27">
        <f>IF(OR(NOT(ISNUMBER($W909)),$AO909=1),"",$W909-(COUNTIFS($A$14:$A$1213,$A909,$F$14:$F$1213,"&gt;=0")+1)/2)</f>
        <v/>
      </c>
      <c r="Z909" s="27">
        <f>IF(ISNUMBER($V909),$A909&amp;"|"&amp;$V909,"")</f>
        <v/>
      </c>
      <c r="AA909" s="27">
        <f>IF(ISNUMBER($W909),$A909&amp;"|"&amp;$W909,"")</f>
        <v/>
      </c>
      <c r="AB909" s="27">
        <f>IF(ISNUMBER($F909),$A909&amp;"|"&amp;$F909,"")</f>
        <v/>
      </c>
      <c r="AC909" s="27">
        <f>IF(ISNUMBER($P909),COUNTIFS($A$14:$A$1213,$A909,$P$14:$P$1213,"&gt;"&amp;$P909)+(COUNTIFS($A$14:$A$1213,$A909,$P$14:$P$1213,"="&amp;$P909)+1)/2,"")</f>
        <v/>
      </c>
      <c r="AD909" s="27">
        <f>IF(ISNUMBER($Q909),COUNTIFS($A$14:$A$1213,$A909,$Q$14:$Q$1213,"&gt;"&amp;$Q909)+(COUNTIFS($A$14:$A$1213,$A909,$Q$14:$Q$1213,"="&amp;$Q909)+1)/2,"")</f>
        <v/>
      </c>
      <c r="AE909" s="27">
        <f>IF(ISNUMBER($R909),COUNTIFS($A$14:$A$1213,$A909,$R$14:$R$1213,"&gt;"&amp;$R909)+(COUNTIFS($A$14:$A$1213,$A909,$R$14:$R$1213,"="&amp;$R909)+1)/2,"")</f>
        <v/>
      </c>
      <c r="AF909" s="27">
        <f>IF(ISNUMBER($S909),COUNTIFS($A$14:$A$1213,$A909,$S$14:$S$1213,"&gt;"&amp;$S909)+(COUNTIFS($A$14:$A$1213,$A909,$S$14:$S$1213,"="&amp;$S909)+1)/2,"")</f>
        <v/>
      </c>
      <c r="AG909" s="27">
        <f>IF(ISNUMBER($T909),COUNTIFS($A$14:$A$1213,$A909,$T$14:$T$1213,"&gt;"&amp;$T909)+(COUNTIFS($A$14:$A$1213,$A909,$T$14:$T$1213,"="&amp;$T909)+1)/2,"")</f>
        <v/>
      </c>
      <c r="AH909" s="27">
        <f>IF(COUNT($AC909:$AG909)&lt;2,"",IF(MAX($AC909:$AG909)=MIN($AC909:$AG909),0,1))</f>
        <v/>
      </c>
      <c r="AI909" s="27">
        <f>IF($A909="","",IF(COUNTIF($A$14:$A909,$A909)=1,COUNTIF($AI$13:AI908,"&gt;0")+1,""))</f>
        <v/>
      </c>
      <c r="AO909" s="27">
        <f>IF($A909="","",IF(AND(COUNTIFS($A$14:$A$1213,$A909,$F$14:$F$1213,"&gt;=0")=2,IFERROR(INDEX($M$14:$M$313,MATCH($A909,$H$14:$H$313,0)),"Yes")&lt;&gt;"Yes"),1,0))</f>
        <v/>
      </c>
    </row>
    <row r="910">
      <c r="A910" s="19">
        <f>IF('Enter messages'!A910="","",'Enter messages'!A910)</f>
        <v/>
      </c>
      <c r="B910" s="20">
        <f>IF('Enter messages'!B910="","",'Enter messages'!B910)</f>
        <v/>
      </c>
      <c r="C910" s="21">
        <f>IFERROR(AVERAGE(P910:T910),"")</f>
        <v/>
      </c>
      <c r="D910" s="29" t="n"/>
      <c r="E910" s="29" t="n"/>
      <c r="F910" s="30">
        <f>IF(AND(ISNUMBER($D910),ISNUMBER($E910),$E910&gt;0,$D910&lt;=$E910),$D910/$E910,"")</f>
        <v/>
      </c>
      <c r="P910" s="26" t="n"/>
      <c r="Q910" s="26" t="n"/>
      <c r="R910" s="26" t="n"/>
      <c r="S910" s="26" t="n"/>
      <c r="T910" s="26" t="n"/>
      <c r="V910" s="27">
        <f>IF(ISNUMBER($C910),COUNTIFS($A$14:$A$1213,$A910,$C$14:$C$1213,"&gt;"&amp;$C910)+(COUNTIFS($A$14:$A$1213,$A910,$C$14:$C$1213,"="&amp;$C910)+1)/2,"")</f>
        <v/>
      </c>
      <c r="W910" s="27">
        <f>IF(ISNUMBER($F910),COUNTIFS($A$14:$A$1213,$A910,$F$14:$F$1213,"&gt;"&amp;$F910)+(COUNTIFS($A$14:$A$1213,$A910,$F$14:$F$1213,"="&amp;$F910)+1)/2,"")</f>
        <v/>
      </c>
      <c r="X910" s="27">
        <f>IF(OR(NOT(ISNUMBER($V910)),$AO910=1),"",$V910-(COUNTIFS($A$14:$A$1213,$A910,$C$14:$C$1213,"&gt;=0")+1)/2)</f>
        <v/>
      </c>
      <c r="Y910" s="27">
        <f>IF(OR(NOT(ISNUMBER($W910)),$AO910=1),"",$W910-(COUNTIFS($A$14:$A$1213,$A910,$F$14:$F$1213,"&gt;=0")+1)/2)</f>
        <v/>
      </c>
      <c r="Z910" s="27">
        <f>IF(ISNUMBER($V910),$A910&amp;"|"&amp;$V910,"")</f>
        <v/>
      </c>
      <c r="AA910" s="27">
        <f>IF(ISNUMBER($W910),$A910&amp;"|"&amp;$W910,"")</f>
        <v/>
      </c>
      <c r="AB910" s="27">
        <f>IF(ISNUMBER($F910),$A910&amp;"|"&amp;$F910,"")</f>
        <v/>
      </c>
      <c r="AC910" s="27">
        <f>IF(ISNUMBER($P910),COUNTIFS($A$14:$A$1213,$A910,$P$14:$P$1213,"&gt;"&amp;$P910)+(COUNTIFS($A$14:$A$1213,$A910,$P$14:$P$1213,"="&amp;$P910)+1)/2,"")</f>
        <v/>
      </c>
      <c r="AD910" s="27">
        <f>IF(ISNUMBER($Q910),COUNTIFS($A$14:$A$1213,$A910,$Q$14:$Q$1213,"&gt;"&amp;$Q910)+(COUNTIFS($A$14:$A$1213,$A910,$Q$14:$Q$1213,"="&amp;$Q910)+1)/2,"")</f>
        <v/>
      </c>
      <c r="AE910" s="27">
        <f>IF(ISNUMBER($R910),COUNTIFS($A$14:$A$1213,$A910,$R$14:$R$1213,"&gt;"&amp;$R910)+(COUNTIFS($A$14:$A$1213,$A910,$R$14:$R$1213,"="&amp;$R910)+1)/2,"")</f>
        <v/>
      </c>
      <c r="AF910" s="27">
        <f>IF(ISNUMBER($S910),COUNTIFS($A$14:$A$1213,$A910,$S$14:$S$1213,"&gt;"&amp;$S910)+(COUNTIFS($A$14:$A$1213,$A910,$S$14:$S$1213,"="&amp;$S910)+1)/2,"")</f>
        <v/>
      </c>
      <c r="AG910" s="27">
        <f>IF(ISNUMBER($T910),COUNTIFS($A$14:$A$1213,$A910,$T$14:$T$1213,"&gt;"&amp;$T910)+(COUNTIFS($A$14:$A$1213,$A910,$T$14:$T$1213,"="&amp;$T910)+1)/2,"")</f>
        <v/>
      </c>
      <c r="AH910" s="27">
        <f>IF(COUNT($AC910:$AG910)&lt;2,"",IF(MAX($AC910:$AG910)=MIN($AC910:$AG910),0,1))</f>
        <v/>
      </c>
      <c r="AI910" s="27">
        <f>IF($A910="","",IF(COUNTIF($A$14:$A910,$A910)=1,COUNTIF($AI$13:AI909,"&gt;0")+1,""))</f>
        <v/>
      </c>
      <c r="AO910" s="27">
        <f>IF($A910="","",IF(AND(COUNTIFS($A$14:$A$1213,$A910,$F$14:$F$1213,"&gt;=0")=2,IFERROR(INDEX($M$14:$M$313,MATCH($A910,$H$14:$H$313,0)),"Yes")&lt;&gt;"Yes"),1,0))</f>
        <v/>
      </c>
    </row>
    <row r="911">
      <c r="A911" s="19">
        <f>IF('Enter messages'!A911="","",'Enter messages'!A911)</f>
        <v/>
      </c>
      <c r="B911" s="20">
        <f>IF('Enter messages'!B911="","",'Enter messages'!B911)</f>
        <v/>
      </c>
      <c r="C911" s="21">
        <f>IFERROR(AVERAGE(P911:T911),"")</f>
        <v/>
      </c>
      <c r="D911" s="29" t="n"/>
      <c r="E911" s="29" t="n"/>
      <c r="F911" s="30">
        <f>IF(AND(ISNUMBER($D911),ISNUMBER($E911),$E911&gt;0,$D911&lt;=$E911),$D911/$E911,"")</f>
        <v/>
      </c>
      <c r="P911" s="26" t="n"/>
      <c r="Q911" s="26" t="n"/>
      <c r="R911" s="26" t="n"/>
      <c r="S911" s="26" t="n"/>
      <c r="T911" s="26" t="n"/>
      <c r="V911" s="27">
        <f>IF(ISNUMBER($C911),COUNTIFS($A$14:$A$1213,$A911,$C$14:$C$1213,"&gt;"&amp;$C911)+(COUNTIFS($A$14:$A$1213,$A911,$C$14:$C$1213,"="&amp;$C911)+1)/2,"")</f>
        <v/>
      </c>
      <c r="W911" s="27">
        <f>IF(ISNUMBER($F911),COUNTIFS($A$14:$A$1213,$A911,$F$14:$F$1213,"&gt;"&amp;$F911)+(COUNTIFS($A$14:$A$1213,$A911,$F$14:$F$1213,"="&amp;$F911)+1)/2,"")</f>
        <v/>
      </c>
      <c r="X911" s="27">
        <f>IF(OR(NOT(ISNUMBER($V911)),$AO911=1),"",$V911-(COUNTIFS($A$14:$A$1213,$A911,$C$14:$C$1213,"&gt;=0")+1)/2)</f>
        <v/>
      </c>
      <c r="Y911" s="27">
        <f>IF(OR(NOT(ISNUMBER($W911)),$AO911=1),"",$W911-(COUNTIFS($A$14:$A$1213,$A911,$F$14:$F$1213,"&gt;=0")+1)/2)</f>
        <v/>
      </c>
      <c r="Z911" s="27">
        <f>IF(ISNUMBER($V911),$A911&amp;"|"&amp;$V911,"")</f>
        <v/>
      </c>
      <c r="AA911" s="27">
        <f>IF(ISNUMBER($W911),$A911&amp;"|"&amp;$W911,"")</f>
        <v/>
      </c>
      <c r="AB911" s="27">
        <f>IF(ISNUMBER($F911),$A911&amp;"|"&amp;$F911,"")</f>
        <v/>
      </c>
      <c r="AC911" s="27">
        <f>IF(ISNUMBER($P911),COUNTIFS($A$14:$A$1213,$A911,$P$14:$P$1213,"&gt;"&amp;$P911)+(COUNTIFS($A$14:$A$1213,$A911,$P$14:$P$1213,"="&amp;$P911)+1)/2,"")</f>
        <v/>
      </c>
      <c r="AD911" s="27">
        <f>IF(ISNUMBER($Q911),COUNTIFS($A$14:$A$1213,$A911,$Q$14:$Q$1213,"&gt;"&amp;$Q911)+(COUNTIFS($A$14:$A$1213,$A911,$Q$14:$Q$1213,"="&amp;$Q911)+1)/2,"")</f>
        <v/>
      </c>
      <c r="AE911" s="27">
        <f>IF(ISNUMBER($R911),COUNTIFS($A$14:$A$1213,$A911,$R$14:$R$1213,"&gt;"&amp;$R911)+(COUNTIFS($A$14:$A$1213,$A911,$R$14:$R$1213,"="&amp;$R911)+1)/2,"")</f>
        <v/>
      </c>
      <c r="AF911" s="27">
        <f>IF(ISNUMBER($S911),COUNTIFS($A$14:$A$1213,$A911,$S$14:$S$1213,"&gt;"&amp;$S911)+(COUNTIFS($A$14:$A$1213,$A911,$S$14:$S$1213,"="&amp;$S911)+1)/2,"")</f>
        <v/>
      </c>
      <c r="AG911" s="27">
        <f>IF(ISNUMBER($T911),COUNTIFS($A$14:$A$1213,$A911,$T$14:$T$1213,"&gt;"&amp;$T911)+(COUNTIFS($A$14:$A$1213,$A911,$T$14:$T$1213,"="&amp;$T911)+1)/2,"")</f>
        <v/>
      </c>
      <c r="AH911" s="27">
        <f>IF(COUNT($AC911:$AG911)&lt;2,"",IF(MAX($AC911:$AG911)=MIN($AC911:$AG911),0,1))</f>
        <v/>
      </c>
      <c r="AI911" s="27">
        <f>IF($A911="","",IF(COUNTIF($A$14:$A911,$A911)=1,COUNTIF($AI$13:AI910,"&gt;0")+1,""))</f>
        <v/>
      </c>
      <c r="AO911" s="27">
        <f>IF($A911="","",IF(AND(COUNTIFS($A$14:$A$1213,$A911,$F$14:$F$1213,"&gt;=0")=2,IFERROR(INDEX($M$14:$M$313,MATCH($A911,$H$14:$H$313,0)),"Yes")&lt;&gt;"Yes"),1,0))</f>
        <v/>
      </c>
    </row>
    <row r="912">
      <c r="A912" s="19">
        <f>IF('Enter messages'!A912="","",'Enter messages'!A912)</f>
        <v/>
      </c>
      <c r="B912" s="20">
        <f>IF('Enter messages'!B912="","",'Enter messages'!B912)</f>
        <v/>
      </c>
      <c r="C912" s="21">
        <f>IFERROR(AVERAGE(P912:T912),"")</f>
        <v/>
      </c>
      <c r="D912" s="29" t="n"/>
      <c r="E912" s="29" t="n"/>
      <c r="F912" s="30">
        <f>IF(AND(ISNUMBER($D912),ISNUMBER($E912),$E912&gt;0,$D912&lt;=$E912),$D912/$E912,"")</f>
        <v/>
      </c>
      <c r="P912" s="26" t="n"/>
      <c r="Q912" s="26" t="n"/>
      <c r="R912" s="26" t="n"/>
      <c r="S912" s="26" t="n"/>
      <c r="T912" s="26" t="n"/>
      <c r="V912" s="27">
        <f>IF(ISNUMBER($C912),COUNTIFS($A$14:$A$1213,$A912,$C$14:$C$1213,"&gt;"&amp;$C912)+(COUNTIFS($A$14:$A$1213,$A912,$C$14:$C$1213,"="&amp;$C912)+1)/2,"")</f>
        <v/>
      </c>
      <c r="W912" s="27">
        <f>IF(ISNUMBER($F912),COUNTIFS($A$14:$A$1213,$A912,$F$14:$F$1213,"&gt;"&amp;$F912)+(COUNTIFS($A$14:$A$1213,$A912,$F$14:$F$1213,"="&amp;$F912)+1)/2,"")</f>
        <v/>
      </c>
      <c r="X912" s="27">
        <f>IF(OR(NOT(ISNUMBER($V912)),$AO912=1),"",$V912-(COUNTIFS($A$14:$A$1213,$A912,$C$14:$C$1213,"&gt;=0")+1)/2)</f>
        <v/>
      </c>
      <c r="Y912" s="27">
        <f>IF(OR(NOT(ISNUMBER($W912)),$AO912=1),"",$W912-(COUNTIFS($A$14:$A$1213,$A912,$F$14:$F$1213,"&gt;=0")+1)/2)</f>
        <v/>
      </c>
      <c r="Z912" s="27">
        <f>IF(ISNUMBER($V912),$A912&amp;"|"&amp;$V912,"")</f>
        <v/>
      </c>
      <c r="AA912" s="27">
        <f>IF(ISNUMBER($W912),$A912&amp;"|"&amp;$W912,"")</f>
        <v/>
      </c>
      <c r="AB912" s="27">
        <f>IF(ISNUMBER($F912),$A912&amp;"|"&amp;$F912,"")</f>
        <v/>
      </c>
      <c r="AC912" s="27">
        <f>IF(ISNUMBER($P912),COUNTIFS($A$14:$A$1213,$A912,$P$14:$P$1213,"&gt;"&amp;$P912)+(COUNTIFS($A$14:$A$1213,$A912,$P$14:$P$1213,"="&amp;$P912)+1)/2,"")</f>
        <v/>
      </c>
      <c r="AD912" s="27">
        <f>IF(ISNUMBER($Q912),COUNTIFS($A$14:$A$1213,$A912,$Q$14:$Q$1213,"&gt;"&amp;$Q912)+(COUNTIFS($A$14:$A$1213,$A912,$Q$14:$Q$1213,"="&amp;$Q912)+1)/2,"")</f>
        <v/>
      </c>
      <c r="AE912" s="27">
        <f>IF(ISNUMBER($R912),COUNTIFS($A$14:$A$1213,$A912,$R$14:$R$1213,"&gt;"&amp;$R912)+(COUNTIFS($A$14:$A$1213,$A912,$R$14:$R$1213,"="&amp;$R912)+1)/2,"")</f>
        <v/>
      </c>
      <c r="AF912" s="27">
        <f>IF(ISNUMBER($S912),COUNTIFS($A$14:$A$1213,$A912,$S$14:$S$1213,"&gt;"&amp;$S912)+(COUNTIFS($A$14:$A$1213,$A912,$S$14:$S$1213,"="&amp;$S912)+1)/2,"")</f>
        <v/>
      </c>
      <c r="AG912" s="27">
        <f>IF(ISNUMBER($T912),COUNTIFS($A$14:$A$1213,$A912,$T$14:$T$1213,"&gt;"&amp;$T912)+(COUNTIFS($A$14:$A$1213,$A912,$T$14:$T$1213,"="&amp;$T912)+1)/2,"")</f>
        <v/>
      </c>
      <c r="AH912" s="27">
        <f>IF(COUNT($AC912:$AG912)&lt;2,"",IF(MAX($AC912:$AG912)=MIN($AC912:$AG912),0,1))</f>
        <v/>
      </c>
      <c r="AI912" s="27">
        <f>IF($A912="","",IF(COUNTIF($A$14:$A912,$A912)=1,COUNTIF($AI$13:AI911,"&gt;0")+1,""))</f>
        <v/>
      </c>
      <c r="AO912" s="27">
        <f>IF($A912="","",IF(AND(COUNTIFS($A$14:$A$1213,$A912,$F$14:$F$1213,"&gt;=0")=2,IFERROR(INDEX($M$14:$M$313,MATCH($A912,$H$14:$H$313,0)),"Yes")&lt;&gt;"Yes"),1,0))</f>
        <v/>
      </c>
    </row>
    <row r="913">
      <c r="A913" s="19">
        <f>IF('Enter messages'!A913="","",'Enter messages'!A913)</f>
        <v/>
      </c>
      <c r="B913" s="20">
        <f>IF('Enter messages'!B913="","",'Enter messages'!B913)</f>
        <v/>
      </c>
      <c r="C913" s="21">
        <f>IFERROR(AVERAGE(P913:T913),"")</f>
        <v/>
      </c>
      <c r="D913" s="29" t="n"/>
      <c r="E913" s="29" t="n"/>
      <c r="F913" s="30">
        <f>IF(AND(ISNUMBER($D913),ISNUMBER($E913),$E913&gt;0,$D913&lt;=$E913),$D913/$E913,"")</f>
        <v/>
      </c>
      <c r="P913" s="26" t="n"/>
      <c r="Q913" s="26" t="n"/>
      <c r="R913" s="26" t="n"/>
      <c r="S913" s="26" t="n"/>
      <c r="T913" s="26" t="n"/>
      <c r="V913" s="27">
        <f>IF(ISNUMBER($C913),COUNTIFS($A$14:$A$1213,$A913,$C$14:$C$1213,"&gt;"&amp;$C913)+(COUNTIFS($A$14:$A$1213,$A913,$C$14:$C$1213,"="&amp;$C913)+1)/2,"")</f>
        <v/>
      </c>
      <c r="W913" s="27">
        <f>IF(ISNUMBER($F913),COUNTIFS($A$14:$A$1213,$A913,$F$14:$F$1213,"&gt;"&amp;$F913)+(COUNTIFS($A$14:$A$1213,$A913,$F$14:$F$1213,"="&amp;$F913)+1)/2,"")</f>
        <v/>
      </c>
      <c r="X913" s="27">
        <f>IF(OR(NOT(ISNUMBER($V913)),$AO913=1),"",$V913-(COUNTIFS($A$14:$A$1213,$A913,$C$14:$C$1213,"&gt;=0")+1)/2)</f>
        <v/>
      </c>
      <c r="Y913" s="27">
        <f>IF(OR(NOT(ISNUMBER($W913)),$AO913=1),"",$W913-(COUNTIFS($A$14:$A$1213,$A913,$F$14:$F$1213,"&gt;=0")+1)/2)</f>
        <v/>
      </c>
      <c r="Z913" s="27">
        <f>IF(ISNUMBER($V913),$A913&amp;"|"&amp;$V913,"")</f>
        <v/>
      </c>
      <c r="AA913" s="27">
        <f>IF(ISNUMBER($W913),$A913&amp;"|"&amp;$W913,"")</f>
        <v/>
      </c>
      <c r="AB913" s="27">
        <f>IF(ISNUMBER($F913),$A913&amp;"|"&amp;$F913,"")</f>
        <v/>
      </c>
      <c r="AC913" s="27">
        <f>IF(ISNUMBER($P913),COUNTIFS($A$14:$A$1213,$A913,$P$14:$P$1213,"&gt;"&amp;$P913)+(COUNTIFS($A$14:$A$1213,$A913,$P$14:$P$1213,"="&amp;$P913)+1)/2,"")</f>
        <v/>
      </c>
      <c r="AD913" s="27">
        <f>IF(ISNUMBER($Q913),COUNTIFS($A$14:$A$1213,$A913,$Q$14:$Q$1213,"&gt;"&amp;$Q913)+(COUNTIFS($A$14:$A$1213,$A913,$Q$14:$Q$1213,"="&amp;$Q913)+1)/2,"")</f>
        <v/>
      </c>
      <c r="AE913" s="27">
        <f>IF(ISNUMBER($R913),COUNTIFS($A$14:$A$1213,$A913,$R$14:$R$1213,"&gt;"&amp;$R913)+(COUNTIFS($A$14:$A$1213,$A913,$R$14:$R$1213,"="&amp;$R913)+1)/2,"")</f>
        <v/>
      </c>
      <c r="AF913" s="27">
        <f>IF(ISNUMBER($S913),COUNTIFS($A$14:$A$1213,$A913,$S$14:$S$1213,"&gt;"&amp;$S913)+(COUNTIFS($A$14:$A$1213,$A913,$S$14:$S$1213,"="&amp;$S913)+1)/2,"")</f>
        <v/>
      </c>
      <c r="AG913" s="27">
        <f>IF(ISNUMBER($T913),COUNTIFS($A$14:$A$1213,$A913,$T$14:$T$1213,"&gt;"&amp;$T913)+(COUNTIFS($A$14:$A$1213,$A913,$T$14:$T$1213,"="&amp;$T913)+1)/2,"")</f>
        <v/>
      </c>
      <c r="AH913" s="27">
        <f>IF(COUNT($AC913:$AG913)&lt;2,"",IF(MAX($AC913:$AG913)=MIN($AC913:$AG913),0,1))</f>
        <v/>
      </c>
      <c r="AI913" s="27">
        <f>IF($A913="","",IF(COUNTIF($A$14:$A913,$A913)=1,COUNTIF($AI$13:AI912,"&gt;0")+1,""))</f>
        <v/>
      </c>
      <c r="AO913" s="27">
        <f>IF($A913="","",IF(AND(COUNTIFS($A$14:$A$1213,$A913,$F$14:$F$1213,"&gt;=0")=2,IFERROR(INDEX($M$14:$M$313,MATCH($A913,$H$14:$H$313,0)),"Yes")&lt;&gt;"Yes"),1,0))</f>
        <v/>
      </c>
    </row>
    <row r="914">
      <c r="A914" s="19">
        <f>IF('Enter messages'!A914="","",'Enter messages'!A914)</f>
        <v/>
      </c>
      <c r="B914" s="20">
        <f>IF('Enter messages'!B914="","",'Enter messages'!B914)</f>
        <v/>
      </c>
      <c r="C914" s="21">
        <f>IFERROR(AVERAGE(P914:T914),"")</f>
        <v/>
      </c>
      <c r="D914" s="29" t="n"/>
      <c r="E914" s="29" t="n"/>
      <c r="F914" s="30">
        <f>IF(AND(ISNUMBER($D914),ISNUMBER($E914),$E914&gt;0,$D914&lt;=$E914),$D914/$E914,"")</f>
        <v/>
      </c>
      <c r="P914" s="26" t="n"/>
      <c r="Q914" s="26" t="n"/>
      <c r="R914" s="26" t="n"/>
      <c r="S914" s="26" t="n"/>
      <c r="T914" s="26" t="n"/>
      <c r="V914" s="27">
        <f>IF(ISNUMBER($C914),COUNTIFS($A$14:$A$1213,$A914,$C$14:$C$1213,"&gt;"&amp;$C914)+(COUNTIFS($A$14:$A$1213,$A914,$C$14:$C$1213,"="&amp;$C914)+1)/2,"")</f>
        <v/>
      </c>
      <c r="W914" s="27">
        <f>IF(ISNUMBER($F914),COUNTIFS($A$14:$A$1213,$A914,$F$14:$F$1213,"&gt;"&amp;$F914)+(COUNTIFS($A$14:$A$1213,$A914,$F$14:$F$1213,"="&amp;$F914)+1)/2,"")</f>
        <v/>
      </c>
      <c r="X914" s="27">
        <f>IF(OR(NOT(ISNUMBER($V914)),$AO914=1),"",$V914-(COUNTIFS($A$14:$A$1213,$A914,$C$14:$C$1213,"&gt;=0")+1)/2)</f>
        <v/>
      </c>
      <c r="Y914" s="27">
        <f>IF(OR(NOT(ISNUMBER($W914)),$AO914=1),"",$W914-(COUNTIFS($A$14:$A$1213,$A914,$F$14:$F$1213,"&gt;=0")+1)/2)</f>
        <v/>
      </c>
      <c r="Z914" s="27">
        <f>IF(ISNUMBER($V914),$A914&amp;"|"&amp;$V914,"")</f>
        <v/>
      </c>
      <c r="AA914" s="27">
        <f>IF(ISNUMBER($W914),$A914&amp;"|"&amp;$W914,"")</f>
        <v/>
      </c>
      <c r="AB914" s="27">
        <f>IF(ISNUMBER($F914),$A914&amp;"|"&amp;$F914,"")</f>
        <v/>
      </c>
      <c r="AC914" s="27">
        <f>IF(ISNUMBER($P914),COUNTIFS($A$14:$A$1213,$A914,$P$14:$P$1213,"&gt;"&amp;$P914)+(COUNTIFS($A$14:$A$1213,$A914,$P$14:$P$1213,"="&amp;$P914)+1)/2,"")</f>
        <v/>
      </c>
      <c r="AD914" s="27">
        <f>IF(ISNUMBER($Q914),COUNTIFS($A$14:$A$1213,$A914,$Q$14:$Q$1213,"&gt;"&amp;$Q914)+(COUNTIFS($A$14:$A$1213,$A914,$Q$14:$Q$1213,"="&amp;$Q914)+1)/2,"")</f>
        <v/>
      </c>
      <c r="AE914" s="27">
        <f>IF(ISNUMBER($R914),COUNTIFS($A$14:$A$1213,$A914,$R$14:$R$1213,"&gt;"&amp;$R914)+(COUNTIFS($A$14:$A$1213,$A914,$R$14:$R$1213,"="&amp;$R914)+1)/2,"")</f>
        <v/>
      </c>
      <c r="AF914" s="27">
        <f>IF(ISNUMBER($S914),COUNTIFS($A$14:$A$1213,$A914,$S$14:$S$1213,"&gt;"&amp;$S914)+(COUNTIFS($A$14:$A$1213,$A914,$S$14:$S$1213,"="&amp;$S914)+1)/2,"")</f>
        <v/>
      </c>
      <c r="AG914" s="27">
        <f>IF(ISNUMBER($T914),COUNTIFS($A$14:$A$1213,$A914,$T$14:$T$1213,"&gt;"&amp;$T914)+(COUNTIFS($A$14:$A$1213,$A914,$T$14:$T$1213,"="&amp;$T914)+1)/2,"")</f>
        <v/>
      </c>
      <c r="AH914" s="27">
        <f>IF(COUNT($AC914:$AG914)&lt;2,"",IF(MAX($AC914:$AG914)=MIN($AC914:$AG914),0,1))</f>
        <v/>
      </c>
      <c r="AI914" s="27">
        <f>IF($A914="","",IF(COUNTIF($A$14:$A914,$A914)=1,COUNTIF($AI$13:AI913,"&gt;0")+1,""))</f>
        <v/>
      </c>
      <c r="AO914" s="27">
        <f>IF($A914="","",IF(AND(COUNTIFS($A$14:$A$1213,$A914,$F$14:$F$1213,"&gt;=0")=2,IFERROR(INDEX($M$14:$M$313,MATCH($A914,$H$14:$H$313,0)),"Yes")&lt;&gt;"Yes"),1,0))</f>
        <v/>
      </c>
    </row>
    <row r="915">
      <c r="A915" s="19">
        <f>IF('Enter messages'!A915="","",'Enter messages'!A915)</f>
        <v/>
      </c>
      <c r="B915" s="20">
        <f>IF('Enter messages'!B915="","",'Enter messages'!B915)</f>
        <v/>
      </c>
      <c r="C915" s="21">
        <f>IFERROR(AVERAGE(P915:T915),"")</f>
        <v/>
      </c>
      <c r="D915" s="29" t="n"/>
      <c r="E915" s="29" t="n"/>
      <c r="F915" s="30">
        <f>IF(AND(ISNUMBER($D915),ISNUMBER($E915),$E915&gt;0,$D915&lt;=$E915),$D915/$E915,"")</f>
        <v/>
      </c>
      <c r="P915" s="26" t="n"/>
      <c r="Q915" s="26" t="n"/>
      <c r="R915" s="26" t="n"/>
      <c r="S915" s="26" t="n"/>
      <c r="T915" s="26" t="n"/>
      <c r="V915" s="27">
        <f>IF(ISNUMBER($C915),COUNTIFS($A$14:$A$1213,$A915,$C$14:$C$1213,"&gt;"&amp;$C915)+(COUNTIFS($A$14:$A$1213,$A915,$C$14:$C$1213,"="&amp;$C915)+1)/2,"")</f>
        <v/>
      </c>
      <c r="W915" s="27">
        <f>IF(ISNUMBER($F915),COUNTIFS($A$14:$A$1213,$A915,$F$14:$F$1213,"&gt;"&amp;$F915)+(COUNTIFS($A$14:$A$1213,$A915,$F$14:$F$1213,"="&amp;$F915)+1)/2,"")</f>
        <v/>
      </c>
      <c r="X915" s="27">
        <f>IF(OR(NOT(ISNUMBER($V915)),$AO915=1),"",$V915-(COUNTIFS($A$14:$A$1213,$A915,$C$14:$C$1213,"&gt;=0")+1)/2)</f>
        <v/>
      </c>
      <c r="Y915" s="27">
        <f>IF(OR(NOT(ISNUMBER($W915)),$AO915=1),"",$W915-(COUNTIFS($A$14:$A$1213,$A915,$F$14:$F$1213,"&gt;=0")+1)/2)</f>
        <v/>
      </c>
      <c r="Z915" s="27">
        <f>IF(ISNUMBER($V915),$A915&amp;"|"&amp;$V915,"")</f>
        <v/>
      </c>
      <c r="AA915" s="27">
        <f>IF(ISNUMBER($W915),$A915&amp;"|"&amp;$W915,"")</f>
        <v/>
      </c>
      <c r="AB915" s="27">
        <f>IF(ISNUMBER($F915),$A915&amp;"|"&amp;$F915,"")</f>
        <v/>
      </c>
      <c r="AC915" s="27">
        <f>IF(ISNUMBER($P915),COUNTIFS($A$14:$A$1213,$A915,$P$14:$P$1213,"&gt;"&amp;$P915)+(COUNTIFS($A$14:$A$1213,$A915,$P$14:$P$1213,"="&amp;$P915)+1)/2,"")</f>
        <v/>
      </c>
      <c r="AD915" s="27">
        <f>IF(ISNUMBER($Q915),COUNTIFS($A$14:$A$1213,$A915,$Q$14:$Q$1213,"&gt;"&amp;$Q915)+(COUNTIFS($A$14:$A$1213,$A915,$Q$14:$Q$1213,"="&amp;$Q915)+1)/2,"")</f>
        <v/>
      </c>
      <c r="AE915" s="27">
        <f>IF(ISNUMBER($R915),COUNTIFS($A$14:$A$1213,$A915,$R$14:$R$1213,"&gt;"&amp;$R915)+(COUNTIFS($A$14:$A$1213,$A915,$R$14:$R$1213,"="&amp;$R915)+1)/2,"")</f>
        <v/>
      </c>
      <c r="AF915" s="27">
        <f>IF(ISNUMBER($S915),COUNTIFS($A$14:$A$1213,$A915,$S$14:$S$1213,"&gt;"&amp;$S915)+(COUNTIFS($A$14:$A$1213,$A915,$S$14:$S$1213,"="&amp;$S915)+1)/2,"")</f>
        <v/>
      </c>
      <c r="AG915" s="27">
        <f>IF(ISNUMBER($T915),COUNTIFS($A$14:$A$1213,$A915,$T$14:$T$1213,"&gt;"&amp;$T915)+(COUNTIFS($A$14:$A$1213,$A915,$T$14:$T$1213,"="&amp;$T915)+1)/2,"")</f>
        <v/>
      </c>
      <c r="AH915" s="27">
        <f>IF(COUNT($AC915:$AG915)&lt;2,"",IF(MAX($AC915:$AG915)=MIN($AC915:$AG915),0,1))</f>
        <v/>
      </c>
      <c r="AI915" s="27">
        <f>IF($A915="","",IF(COUNTIF($A$14:$A915,$A915)=1,COUNTIF($AI$13:AI914,"&gt;0")+1,""))</f>
        <v/>
      </c>
      <c r="AO915" s="27">
        <f>IF($A915="","",IF(AND(COUNTIFS($A$14:$A$1213,$A915,$F$14:$F$1213,"&gt;=0")=2,IFERROR(INDEX($M$14:$M$313,MATCH($A915,$H$14:$H$313,0)),"Yes")&lt;&gt;"Yes"),1,0))</f>
        <v/>
      </c>
    </row>
    <row r="916">
      <c r="A916" s="19">
        <f>IF('Enter messages'!A916="","",'Enter messages'!A916)</f>
        <v/>
      </c>
      <c r="B916" s="20">
        <f>IF('Enter messages'!B916="","",'Enter messages'!B916)</f>
        <v/>
      </c>
      <c r="C916" s="21">
        <f>IFERROR(AVERAGE(P916:T916),"")</f>
        <v/>
      </c>
      <c r="D916" s="29" t="n"/>
      <c r="E916" s="29" t="n"/>
      <c r="F916" s="30">
        <f>IF(AND(ISNUMBER($D916),ISNUMBER($E916),$E916&gt;0,$D916&lt;=$E916),$D916/$E916,"")</f>
        <v/>
      </c>
      <c r="P916" s="26" t="n"/>
      <c r="Q916" s="26" t="n"/>
      <c r="R916" s="26" t="n"/>
      <c r="S916" s="26" t="n"/>
      <c r="T916" s="26" t="n"/>
      <c r="V916" s="27">
        <f>IF(ISNUMBER($C916),COUNTIFS($A$14:$A$1213,$A916,$C$14:$C$1213,"&gt;"&amp;$C916)+(COUNTIFS($A$14:$A$1213,$A916,$C$14:$C$1213,"="&amp;$C916)+1)/2,"")</f>
        <v/>
      </c>
      <c r="W916" s="27">
        <f>IF(ISNUMBER($F916),COUNTIFS($A$14:$A$1213,$A916,$F$14:$F$1213,"&gt;"&amp;$F916)+(COUNTIFS($A$14:$A$1213,$A916,$F$14:$F$1213,"="&amp;$F916)+1)/2,"")</f>
        <v/>
      </c>
      <c r="X916" s="27">
        <f>IF(OR(NOT(ISNUMBER($V916)),$AO916=1),"",$V916-(COUNTIFS($A$14:$A$1213,$A916,$C$14:$C$1213,"&gt;=0")+1)/2)</f>
        <v/>
      </c>
      <c r="Y916" s="27">
        <f>IF(OR(NOT(ISNUMBER($W916)),$AO916=1),"",$W916-(COUNTIFS($A$14:$A$1213,$A916,$F$14:$F$1213,"&gt;=0")+1)/2)</f>
        <v/>
      </c>
      <c r="Z916" s="27">
        <f>IF(ISNUMBER($V916),$A916&amp;"|"&amp;$V916,"")</f>
        <v/>
      </c>
      <c r="AA916" s="27">
        <f>IF(ISNUMBER($W916),$A916&amp;"|"&amp;$W916,"")</f>
        <v/>
      </c>
      <c r="AB916" s="27">
        <f>IF(ISNUMBER($F916),$A916&amp;"|"&amp;$F916,"")</f>
        <v/>
      </c>
      <c r="AC916" s="27">
        <f>IF(ISNUMBER($P916),COUNTIFS($A$14:$A$1213,$A916,$P$14:$P$1213,"&gt;"&amp;$P916)+(COUNTIFS($A$14:$A$1213,$A916,$P$14:$P$1213,"="&amp;$P916)+1)/2,"")</f>
        <v/>
      </c>
      <c r="AD916" s="27">
        <f>IF(ISNUMBER($Q916),COUNTIFS($A$14:$A$1213,$A916,$Q$14:$Q$1213,"&gt;"&amp;$Q916)+(COUNTIFS($A$14:$A$1213,$A916,$Q$14:$Q$1213,"="&amp;$Q916)+1)/2,"")</f>
        <v/>
      </c>
      <c r="AE916" s="27">
        <f>IF(ISNUMBER($R916),COUNTIFS($A$14:$A$1213,$A916,$R$14:$R$1213,"&gt;"&amp;$R916)+(COUNTIFS($A$14:$A$1213,$A916,$R$14:$R$1213,"="&amp;$R916)+1)/2,"")</f>
        <v/>
      </c>
      <c r="AF916" s="27">
        <f>IF(ISNUMBER($S916),COUNTIFS($A$14:$A$1213,$A916,$S$14:$S$1213,"&gt;"&amp;$S916)+(COUNTIFS($A$14:$A$1213,$A916,$S$14:$S$1213,"="&amp;$S916)+1)/2,"")</f>
        <v/>
      </c>
      <c r="AG916" s="27">
        <f>IF(ISNUMBER($T916),COUNTIFS($A$14:$A$1213,$A916,$T$14:$T$1213,"&gt;"&amp;$T916)+(COUNTIFS($A$14:$A$1213,$A916,$T$14:$T$1213,"="&amp;$T916)+1)/2,"")</f>
        <v/>
      </c>
      <c r="AH916" s="27">
        <f>IF(COUNT($AC916:$AG916)&lt;2,"",IF(MAX($AC916:$AG916)=MIN($AC916:$AG916),0,1))</f>
        <v/>
      </c>
      <c r="AI916" s="27">
        <f>IF($A916="","",IF(COUNTIF($A$14:$A916,$A916)=1,COUNTIF($AI$13:AI915,"&gt;0")+1,""))</f>
        <v/>
      </c>
      <c r="AO916" s="27">
        <f>IF($A916="","",IF(AND(COUNTIFS($A$14:$A$1213,$A916,$F$14:$F$1213,"&gt;=0")=2,IFERROR(INDEX($M$14:$M$313,MATCH($A916,$H$14:$H$313,0)),"Yes")&lt;&gt;"Yes"),1,0))</f>
        <v/>
      </c>
    </row>
    <row r="917">
      <c r="A917" s="19">
        <f>IF('Enter messages'!A917="","",'Enter messages'!A917)</f>
        <v/>
      </c>
      <c r="B917" s="20">
        <f>IF('Enter messages'!B917="","",'Enter messages'!B917)</f>
        <v/>
      </c>
      <c r="C917" s="21">
        <f>IFERROR(AVERAGE(P917:T917),"")</f>
        <v/>
      </c>
      <c r="D917" s="29" t="n"/>
      <c r="E917" s="29" t="n"/>
      <c r="F917" s="30">
        <f>IF(AND(ISNUMBER($D917),ISNUMBER($E917),$E917&gt;0,$D917&lt;=$E917),$D917/$E917,"")</f>
        <v/>
      </c>
      <c r="P917" s="26" t="n"/>
      <c r="Q917" s="26" t="n"/>
      <c r="R917" s="26" t="n"/>
      <c r="S917" s="26" t="n"/>
      <c r="T917" s="26" t="n"/>
      <c r="V917" s="27">
        <f>IF(ISNUMBER($C917),COUNTIFS($A$14:$A$1213,$A917,$C$14:$C$1213,"&gt;"&amp;$C917)+(COUNTIFS($A$14:$A$1213,$A917,$C$14:$C$1213,"="&amp;$C917)+1)/2,"")</f>
        <v/>
      </c>
      <c r="W917" s="27">
        <f>IF(ISNUMBER($F917),COUNTIFS($A$14:$A$1213,$A917,$F$14:$F$1213,"&gt;"&amp;$F917)+(COUNTIFS($A$14:$A$1213,$A917,$F$14:$F$1213,"="&amp;$F917)+1)/2,"")</f>
        <v/>
      </c>
      <c r="X917" s="27">
        <f>IF(OR(NOT(ISNUMBER($V917)),$AO917=1),"",$V917-(COUNTIFS($A$14:$A$1213,$A917,$C$14:$C$1213,"&gt;=0")+1)/2)</f>
        <v/>
      </c>
      <c r="Y917" s="27">
        <f>IF(OR(NOT(ISNUMBER($W917)),$AO917=1),"",$W917-(COUNTIFS($A$14:$A$1213,$A917,$F$14:$F$1213,"&gt;=0")+1)/2)</f>
        <v/>
      </c>
      <c r="Z917" s="27">
        <f>IF(ISNUMBER($V917),$A917&amp;"|"&amp;$V917,"")</f>
        <v/>
      </c>
      <c r="AA917" s="27">
        <f>IF(ISNUMBER($W917),$A917&amp;"|"&amp;$W917,"")</f>
        <v/>
      </c>
      <c r="AB917" s="27">
        <f>IF(ISNUMBER($F917),$A917&amp;"|"&amp;$F917,"")</f>
        <v/>
      </c>
      <c r="AC917" s="27">
        <f>IF(ISNUMBER($P917),COUNTIFS($A$14:$A$1213,$A917,$P$14:$P$1213,"&gt;"&amp;$P917)+(COUNTIFS($A$14:$A$1213,$A917,$P$14:$P$1213,"="&amp;$P917)+1)/2,"")</f>
        <v/>
      </c>
      <c r="AD917" s="27">
        <f>IF(ISNUMBER($Q917),COUNTIFS($A$14:$A$1213,$A917,$Q$14:$Q$1213,"&gt;"&amp;$Q917)+(COUNTIFS($A$14:$A$1213,$A917,$Q$14:$Q$1213,"="&amp;$Q917)+1)/2,"")</f>
        <v/>
      </c>
      <c r="AE917" s="27">
        <f>IF(ISNUMBER($R917),COUNTIFS($A$14:$A$1213,$A917,$R$14:$R$1213,"&gt;"&amp;$R917)+(COUNTIFS($A$14:$A$1213,$A917,$R$14:$R$1213,"="&amp;$R917)+1)/2,"")</f>
        <v/>
      </c>
      <c r="AF917" s="27">
        <f>IF(ISNUMBER($S917),COUNTIFS($A$14:$A$1213,$A917,$S$14:$S$1213,"&gt;"&amp;$S917)+(COUNTIFS($A$14:$A$1213,$A917,$S$14:$S$1213,"="&amp;$S917)+1)/2,"")</f>
        <v/>
      </c>
      <c r="AG917" s="27">
        <f>IF(ISNUMBER($T917),COUNTIFS($A$14:$A$1213,$A917,$T$14:$T$1213,"&gt;"&amp;$T917)+(COUNTIFS($A$14:$A$1213,$A917,$T$14:$T$1213,"="&amp;$T917)+1)/2,"")</f>
        <v/>
      </c>
      <c r="AH917" s="27">
        <f>IF(COUNT($AC917:$AG917)&lt;2,"",IF(MAX($AC917:$AG917)=MIN($AC917:$AG917),0,1))</f>
        <v/>
      </c>
      <c r="AI917" s="27">
        <f>IF($A917="","",IF(COUNTIF($A$14:$A917,$A917)=1,COUNTIF($AI$13:AI916,"&gt;0")+1,""))</f>
        <v/>
      </c>
      <c r="AO917" s="27">
        <f>IF($A917="","",IF(AND(COUNTIFS($A$14:$A$1213,$A917,$F$14:$F$1213,"&gt;=0")=2,IFERROR(INDEX($M$14:$M$313,MATCH($A917,$H$14:$H$313,0)),"Yes")&lt;&gt;"Yes"),1,0))</f>
        <v/>
      </c>
    </row>
    <row r="918">
      <c r="A918" s="19">
        <f>IF('Enter messages'!A918="","",'Enter messages'!A918)</f>
        <v/>
      </c>
      <c r="B918" s="20">
        <f>IF('Enter messages'!B918="","",'Enter messages'!B918)</f>
        <v/>
      </c>
      <c r="C918" s="21">
        <f>IFERROR(AVERAGE(P918:T918),"")</f>
        <v/>
      </c>
      <c r="D918" s="29" t="n"/>
      <c r="E918" s="29" t="n"/>
      <c r="F918" s="30">
        <f>IF(AND(ISNUMBER($D918),ISNUMBER($E918),$E918&gt;0,$D918&lt;=$E918),$D918/$E918,"")</f>
        <v/>
      </c>
      <c r="P918" s="26" t="n"/>
      <c r="Q918" s="26" t="n"/>
      <c r="R918" s="26" t="n"/>
      <c r="S918" s="26" t="n"/>
      <c r="T918" s="26" t="n"/>
      <c r="V918" s="27">
        <f>IF(ISNUMBER($C918),COUNTIFS($A$14:$A$1213,$A918,$C$14:$C$1213,"&gt;"&amp;$C918)+(COUNTIFS($A$14:$A$1213,$A918,$C$14:$C$1213,"="&amp;$C918)+1)/2,"")</f>
        <v/>
      </c>
      <c r="W918" s="27">
        <f>IF(ISNUMBER($F918),COUNTIFS($A$14:$A$1213,$A918,$F$14:$F$1213,"&gt;"&amp;$F918)+(COUNTIFS($A$14:$A$1213,$A918,$F$14:$F$1213,"="&amp;$F918)+1)/2,"")</f>
        <v/>
      </c>
      <c r="X918" s="27">
        <f>IF(OR(NOT(ISNUMBER($V918)),$AO918=1),"",$V918-(COUNTIFS($A$14:$A$1213,$A918,$C$14:$C$1213,"&gt;=0")+1)/2)</f>
        <v/>
      </c>
      <c r="Y918" s="27">
        <f>IF(OR(NOT(ISNUMBER($W918)),$AO918=1),"",$W918-(COUNTIFS($A$14:$A$1213,$A918,$F$14:$F$1213,"&gt;=0")+1)/2)</f>
        <v/>
      </c>
      <c r="Z918" s="27">
        <f>IF(ISNUMBER($V918),$A918&amp;"|"&amp;$V918,"")</f>
        <v/>
      </c>
      <c r="AA918" s="27">
        <f>IF(ISNUMBER($W918),$A918&amp;"|"&amp;$W918,"")</f>
        <v/>
      </c>
      <c r="AB918" s="27">
        <f>IF(ISNUMBER($F918),$A918&amp;"|"&amp;$F918,"")</f>
        <v/>
      </c>
      <c r="AC918" s="27">
        <f>IF(ISNUMBER($P918),COUNTIFS($A$14:$A$1213,$A918,$P$14:$P$1213,"&gt;"&amp;$P918)+(COUNTIFS($A$14:$A$1213,$A918,$P$14:$P$1213,"="&amp;$P918)+1)/2,"")</f>
        <v/>
      </c>
      <c r="AD918" s="27">
        <f>IF(ISNUMBER($Q918),COUNTIFS($A$14:$A$1213,$A918,$Q$14:$Q$1213,"&gt;"&amp;$Q918)+(COUNTIFS($A$14:$A$1213,$A918,$Q$14:$Q$1213,"="&amp;$Q918)+1)/2,"")</f>
        <v/>
      </c>
      <c r="AE918" s="27">
        <f>IF(ISNUMBER($R918),COUNTIFS($A$14:$A$1213,$A918,$R$14:$R$1213,"&gt;"&amp;$R918)+(COUNTIFS($A$14:$A$1213,$A918,$R$14:$R$1213,"="&amp;$R918)+1)/2,"")</f>
        <v/>
      </c>
      <c r="AF918" s="27">
        <f>IF(ISNUMBER($S918),COUNTIFS($A$14:$A$1213,$A918,$S$14:$S$1213,"&gt;"&amp;$S918)+(COUNTIFS($A$14:$A$1213,$A918,$S$14:$S$1213,"="&amp;$S918)+1)/2,"")</f>
        <v/>
      </c>
      <c r="AG918" s="27">
        <f>IF(ISNUMBER($T918),COUNTIFS($A$14:$A$1213,$A918,$T$14:$T$1213,"&gt;"&amp;$T918)+(COUNTIFS($A$14:$A$1213,$A918,$T$14:$T$1213,"="&amp;$T918)+1)/2,"")</f>
        <v/>
      </c>
      <c r="AH918" s="27">
        <f>IF(COUNT($AC918:$AG918)&lt;2,"",IF(MAX($AC918:$AG918)=MIN($AC918:$AG918),0,1))</f>
        <v/>
      </c>
      <c r="AI918" s="27">
        <f>IF($A918="","",IF(COUNTIF($A$14:$A918,$A918)=1,COUNTIF($AI$13:AI917,"&gt;0")+1,""))</f>
        <v/>
      </c>
      <c r="AO918" s="27">
        <f>IF($A918="","",IF(AND(COUNTIFS($A$14:$A$1213,$A918,$F$14:$F$1213,"&gt;=0")=2,IFERROR(INDEX($M$14:$M$313,MATCH($A918,$H$14:$H$313,0)),"Yes")&lt;&gt;"Yes"),1,0))</f>
        <v/>
      </c>
    </row>
    <row r="919">
      <c r="A919" s="19">
        <f>IF('Enter messages'!A919="","",'Enter messages'!A919)</f>
        <v/>
      </c>
      <c r="B919" s="20">
        <f>IF('Enter messages'!B919="","",'Enter messages'!B919)</f>
        <v/>
      </c>
      <c r="C919" s="21">
        <f>IFERROR(AVERAGE(P919:T919),"")</f>
        <v/>
      </c>
      <c r="D919" s="29" t="n"/>
      <c r="E919" s="29" t="n"/>
      <c r="F919" s="30">
        <f>IF(AND(ISNUMBER($D919),ISNUMBER($E919),$E919&gt;0,$D919&lt;=$E919),$D919/$E919,"")</f>
        <v/>
      </c>
      <c r="P919" s="26" t="n"/>
      <c r="Q919" s="26" t="n"/>
      <c r="R919" s="26" t="n"/>
      <c r="S919" s="26" t="n"/>
      <c r="T919" s="26" t="n"/>
      <c r="V919" s="27">
        <f>IF(ISNUMBER($C919),COUNTIFS($A$14:$A$1213,$A919,$C$14:$C$1213,"&gt;"&amp;$C919)+(COUNTIFS($A$14:$A$1213,$A919,$C$14:$C$1213,"="&amp;$C919)+1)/2,"")</f>
        <v/>
      </c>
      <c r="W919" s="27">
        <f>IF(ISNUMBER($F919),COUNTIFS($A$14:$A$1213,$A919,$F$14:$F$1213,"&gt;"&amp;$F919)+(COUNTIFS($A$14:$A$1213,$A919,$F$14:$F$1213,"="&amp;$F919)+1)/2,"")</f>
        <v/>
      </c>
      <c r="X919" s="27">
        <f>IF(OR(NOT(ISNUMBER($V919)),$AO919=1),"",$V919-(COUNTIFS($A$14:$A$1213,$A919,$C$14:$C$1213,"&gt;=0")+1)/2)</f>
        <v/>
      </c>
      <c r="Y919" s="27">
        <f>IF(OR(NOT(ISNUMBER($W919)),$AO919=1),"",$W919-(COUNTIFS($A$14:$A$1213,$A919,$F$14:$F$1213,"&gt;=0")+1)/2)</f>
        <v/>
      </c>
      <c r="Z919" s="27">
        <f>IF(ISNUMBER($V919),$A919&amp;"|"&amp;$V919,"")</f>
        <v/>
      </c>
      <c r="AA919" s="27">
        <f>IF(ISNUMBER($W919),$A919&amp;"|"&amp;$W919,"")</f>
        <v/>
      </c>
      <c r="AB919" s="27">
        <f>IF(ISNUMBER($F919),$A919&amp;"|"&amp;$F919,"")</f>
        <v/>
      </c>
      <c r="AC919" s="27">
        <f>IF(ISNUMBER($P919),COUNTIFS($A$14:$A$1213,$A919,$P$14:$P$1213,"&gt;"&amp;$P919)+(COUNTIFS($A$14:$A$1213,$A919,$P$14:$P$1213,"="&amp;$P919)+1)/2,"")</f>
        <v/>
      </c>
      <c r="AD919" s="27">
        <f>IF(ISNUMBER($Q919),COUNTIFS($A$14:$A$1213,$A919,$Q$14:$Q$1213,"&gt;"&amp;$Q919)+(COUNTIFS($A$14:$A$1213,$A919,$Q$14:$Q$1213,"="&amp;$Q919)+1)/2,"")</f>
        <v/>
      </c>
      <c r="AE919" s="27">
        <f>IF(ISNUMBER($R919),COUNTIFS($A$14:$A$1213,$A919,$R$14:$R$1213,"&gt;"&amp;$R919)+(COUNTIFS($A$14:$A$1213,$A919,$R$14:$R$1213,"="&amp;$R919)+1)/2,"")</f>
        <v/>
      </c>
      <c r="AF919" s="27">
        <f>IF(ISNUMBER($S919),COUNTIFS($A$14:$A$1213,$A919,$S$14:$S$1213,"&gt;"&amp;$S919)+(COUNTIFS($A$14:$A$1213,$A919,$S$14:$S$1213,"="&amp;$S919)+1)/2,"")</f>
        <v/>
      </c>
      <c r="AG919" s="27">
        <f>IF(ISNUMBER($T919),COUNTIFS($A$14:$A$1213,$A919,$T$14:$T$1213,"&gt;"&amp;$T919)+(COUNTIFS($A$14:$A$1213,$A919,$T$14:$T$1213,"="&amp;$T919)+1)/2,"")</f>
        <v/>
      </c>
      <c r="AH919" s="27">
        <f>IF(COUNT($AC919:$AG919)&lt;2,"",IF(MAX($AC919:$AG919)=MIN($AC919:$AG919),0,1))</f>
        <v/>
      </c>
      <c r="AI919" s="27">
        <f>IF($A919="","",IF(COUNTIF($A$14:$A919,$A919)=1,COUNTIF($AI$13:AI918,"&gt;0")+1,""))</f>
        <v/>
      </c>
      <c r="AO919" s="27">
        <f>IF($A919="","",IF(AND(COUNTIFS($A$14:$A$1213,$A919,$F$14:$F$1213,"&gt;=0")=2,IFERROR(INDEX($M$14:$M$313,MATCH($A919,$H$14:$H$313,0)),"Yes")&lt;&gt;"Yes"),1,0))</f>
        <v/>
      </c>
    </row>
    <row r="920">
      <c r="A920" s="19">
        <f>IF('Enter messages'!A920="","",'Enter messages'!A920)</f>
        <v/>
      </c>
      <c r="B920" s="20">
        <f>IF('Enter messages'!B920="","",'Enter messages'!B920)</f>
        <v/>
      </c>
      <c r="C920" s="21">
        <f>IFERROR(AVERAGE(P920:T920),"")</f>
        <v/>
      </c>
      <c r="D920" s="29" t="n"/>
      <c r="E920" s="29" t="n"/>
      <c r="F920" s="30">
        <f>IF(AND(ISNUMBER($D920),ISNUMBER($E920),$E920&gt;0,$D920&lt;=$E920),$D920/$E920,"")</f>
        <v/>
      </c>
      <c r="P920" s="26" t="n"/>
      <c r="Q920" s="26" t="n"/>
      <c r="R920" s="26" t="n"/>
      <c r="S920" s="26" t="n"/>
      <c r="T920" s="26" t="n"/>
      <c r="V920" s="27">
        <f>IF(ISNUMBER($C920),COUNTIFS($A$14:$A$1213,$A920,$C$14:$C$1213,"&gt;"&amp;$C920)+(COUNTIFS($A$14:$A$1213,$A920,$C$14:$C$1213,"="&amp;$C920)+1)/2,"")</f>
        <v/>
      </c>
      <c r="W920" s="27">
        <f>IF(ISNUMBER($F920),COUNTIFS($A$14:$A$1213,$A920,$F$14:$F$1213,"&gt;"&amp;$F920)+(COUNTIFS($A$14:$A$1213,$A920,$F$14:$F$1213,"="&amp;$F920)+1)/2,"")</f>
        <v/>
      </c>
      <c r="X920" s="27">
        <f>IF(OR(NOT(ISNUMBER($V920)),$AO920=1),"",$V920-(COUNTIFS($A$14:$A$1213,$A920,$C$14:$C$1213,"&gt;=0")+1)/2)</f>
        <v/>
      </c>
      <c r="Y920" s="27">
        <f>IF(OR(NOT(ISNUMBER($W920)),$AO920=1),"",$W920-(COUNTIFS($A$14:$A$1213,$A920,$F$14:$F$1213,"&gt;=0")+1)/2)</f>
        <v/>
      </c>
      <c r="Z920" s="27">
        <f>IF(ISNUMBER($V920),$A920&amp;"|"&amp;$V920,"")</f>
        <v/>
      </c>
      <c r="AA920" s="27">
        <f>IF(ISNUMBER($W920),$A920&amp;"|"&amp;$W920,"")</f>
        <v/>
      </c>
      <c r="AB920" s="27">
        <f>IF(ISNUMBER($F920),$A920&amp;"|"&amp;$F920,"")</f>
        <v/>
      </c>
      <c r="AC920" s="27">
        <f>IF(ISNUMBER($P920),COUNTIFS($A$14:$A$1213,$A920,$P$14:$P$1213,"&gt;"&amp;$P920)+(COUNTIFS($A$14:$A$1213,$A920,$P$14:$P$1213,"="&amp;$P920)+1)/2,"")</f>
        <v/>
      </c>
      <c r="AD920" s="27">
        <f>IF(ISNUMBER($Q920),COUNTIFS($A$14:$A$1213,$A920,$Q$14:$Q$1213,"&gt;"&amp;$Q920)+(COUNTIFS($A$14:$A$1213,$A920,$Q$14:$Q$1213,"="&amp;$Q920)+1)/2,"")</f>
        <v/>
      </c>
      <c r="AE920" s="27">
        <f>IF(ISNUMBER($R920),COUNTIFS($A$14:$A$1213,$A920,$R$14:$R$1213,"&gt;"&amp;$R920)+(COUNTIFS($A$14:$A$1213,$A920,$R$14:$R$1213,"="&amp;$R920)+1)/2,"")</f>
        <v/>
      </c>
      <c r="AF920" s="27">
        <f>IF(ISNUMBER($S920),COUNTIFS($A$14:$A$1213,$A920,$S$14:$S$1213,"&gt;"&amp;$S920)+(COUNTIFS($A$14:$A$1213,$A920,$S$14:$S$1213,"="&amp;$S920)+1)/2,"")</f>
        <v/>
      </c>
      <c r="AG920" s="27">
        <f>IF(ISNUMBER($T920),COUNTIFS($A$14:$A$1213,$A920,$T$14:$T$1213,"&gt;"&amp;$T920)+(COUNTIFS($A$14:$A$1213,$A920,$T$14:$T$1213,"="&amp;$T920)+1)/2,"")</f>
        <v/>
      </c>
      <c r="AH920" s="27">
        <f>IF(COUNT($AC920:$AG920)&lt;2,"",IF(MAX($AC920:$AG920)=MIN($AC920:$AG920),0,1))</f>
        <v/>
      </c>
      <c r="AI920" s="27">
        <f>IF($A920="","",IF(COUNTIF($A$14:$A920,$A920)=1,COUNTIF($AI$13:AI919,"&gt;0")+1,""))</f>
        <v/>
      </c>
      <c r="AO920" s="27">
        <f>IF($A920="","",IF(AND(COUNTIFS($A$14:$A$1213,$A920,$F$14:$F$1213,"&gt;=0")=2,IFERROR(INDEX($M$14:$M$313,MATCH($A920,$H$14:$H$313,0)),"Yes")&lt;&gt;"Yes"),1,0))</f>
        <v/>
      </c>
    </row>
    <row r="921">
      <c r="A921" s="19">
        <f>IF('Enter messages'!A921="","",'Enter messages'!A921)</f>
        <v/>
      </c>
      <c r="B921" s="20">
        <f>IF('Enter messages'!B921="","",'Enter messages'!B921)</f>
        <v/>
      </c>
      <c r="C921" s="21">
        <f>IFERROR(AVERAGE(P921:T921),"")</f>
        <v/>
      </c>
      <c r="D921" s="29" t="n"/>
      <c r="E921" s="29" t="n"/>
      <c r="F921" s="30">
        <f>IF(AND(ISNUMBER($D921),ISNUMBER($E921),$E921&gt;0,$D921&lt;=$E921),$D921/$E921,"")</f>
        <v/>
      </c>
      <c r="P921" s="26" t="n"/>
      <c r="Q921" s="26" t="n"/>
      <c r="R921" s="26" t="n"/>
      <c r="S921" s="26" t="n"/>
      <c r="T921" s="26" t="n"/>
      <c r="V921" s="27">
        <f>IF(ISNUMBER($C921),COUNTIFS($A$14:$A$1213,$A921,$C$14:$C$1213,"&gt;"&amp;$C921)+(COUNTIFS($A$14:$A$1213,$A921,$C$14:$C$1213,"="&amp;$C921)+1)/2,"")</f>
        <v/>
      </c>
      <c r="W921" s="27">
        <f>IF(ISNUMBER($F921),COUNTIFS($A$14:$A$1213,$A921,$F$14:$F$1213,"&gt;"&amp;$F921)+(COUNTIFS($A$14:$A$1213,$A921,$F$14:$F$1213,"="&amp;$F921)+1)/2,"")</f>
        <v/>
      </c>
      <c r="X921" s="27">
        <f>IF(OR(NOT(ISNUMBER($V921)),$AO921=1),"",$V921-(COUNTIFS($A$14:$A$1213,$A921,$C$14:$C$1213,"&gt;=0")+1)/2)</f>
        <v/>
      </c>
      <c r="Y921" s="27">
        <f>IF(OR(NOT(ISNUMBER($W921)),$AO921=1),"",$W921-(COUNTIFS($A$14:$A$1213,$A921,$F$14:$F$1213,"&gt;=0")+1)/2)</f>
        <v/>
      </c>
      <c r="Z921" s="27">
        <f>IF(ISNUMBER($V921),$A921&amp;"|"&amp;$V921,"")</f>
        <v/>
      </c>
      <c r="AA921" s="27">
        <f>IF(ISNUMBER($W921),$A921&amp;"|"&amp;$W921,"")</f>
        <v/>
      </c>
      <c r="AB921" s="27">
        <f>IF(ISNUMBER($F921),$A921&amp;"|"&amp;$F921,"")</f>
        <v/>
      </c>
      <c r="AC921" s="27">
        <f>IF(ISNUMBER($P921),COUNTIFS($A$14:$A$1213,$A921,$P$14:$P$1213,"&gt;"&amp;$P921)+(COUNTIFS($A$14:$A$1213,$A921,$P$14:$P$1213,"="&amp;$P921)+1)/2,"")</f>
        <v/>
      </c>
      <c r="AD921" s="27">
        <f>IF(ISNUMBER($Q921),COUNTIFS($A$14:$A$1213,$A921,$Q$14:$Q$1213,"&gt;"&amp;$Q921)+(COUNTIFS($A$14:$A$1213,$A921,$Q$14:$Q$1213,"="&amp;$Q921)+1)/2,"")</f>
        <v/>
      </c>
      <c r="AE921" s="27">
        <f>IF(ISNUMBER($R921),COUNTIFS($A$14:$A$1213,$A921,$R$14:$R$1213,"&gt;"&amp;$R921)+(COUNTIFS($A$14:$A$1213,$A921,$R$14:$R$1213,"="&amp;$R921)+1)/2,"")</f>
        <v/>
      </c>
      <c r="AF921" s="27">
        <f>IF(ISNUMBER($S921),COUNTIFS($A$14:$A$1213,$A921,$S$14:$S$1213,"&gt;"&amp;$S921)+(COUNTIFS($A$14:$A$1213,$A921,$S$14:$S$1213,"="&amp;$S921)+1)/2,"")</f>
        <v/>
      </c>
      <c r="AG921" s="27">
        <f>IF(ISNUMBER($T921),COUNTIFS($A$14:$A$1213,$A921,$T$14:$T$1213,"&gt;"&amp;$T921)+(COUNTIFS($A$14:$A$1213,$A921,$T$14:$T$1213,"="&amp;$T921)+1)/2,"")</f>
        <v/>
      </c>
      <c r="AH921" s="27">
        <f>IF(COUNT($AC921:$AG921)&lt;2,"",IF(MAX($AC921:$AG921)=MIN($AC921:$AG921),0,1))</f>
        <v/>
      </c>
      <c r="AI921" s="27">
        <f>IF($A921="","",IF(COUNTIF($A$14:$A921,$A921)=1,COUNTIF($AI$13:AI920,"&gt;0")+1,""))</f>
        <v/>
      </c>
      <c r="AO921" s="27">
        <f>IF($A921="","",IF(AND(COUNTIFS($A$14:$A$1213,$A921,$F$14:$F$1213,"&gt;=0")=2,IFERROR(INDEX($M$14:$M$313,MATCH($A921,$H$14:$H$313,0)),"Yes")&lt;&gt;"Yes"),1,0))</f>
        <v/>
      </c>
    </row>
    <row r="922">
      <c r="A922" s="19">
        <f>IF('Enter messages'!A922="","",'Enter messages'!A922)</f>
        <v/>
      </c>
      <c r="B922" s="20">
        <f>IF('Enter messages'!B922="","",'Enter messages'!B922)</f>
        <v/>
      </c>
      <c r="C922" s="21">
        <f>IFERROR(AVERAGE(P922:T922),"")</f>
        <v/>
      </c>
      <c r="D922" s="29" t="n"/>
      <c r="E922" s="29" t="n"/>
      <c r="F922" s="30">
        <f>IF(AND(ISNUMBER($D922),ISNUMBER($E922),$E922&gt;0,$D922&lt;=$E922),$D922/$E922,"")</f>
        <v/>
      </c>
      <c r="P922" s="26" t="n"/>
      <c r="Q922" s="26" t="n"/>
      <c r="R922" s="26" t="n"/>
      <c r="S922" s="26" t="n"/>
      <c r="T922" s="26" t="n"/>
      <c r="V922" s="27">
        <f>IF(ISNUMBER($C922),COUNTIFS($A$14:$A$1213,$A922,$C$14:$C$1213,"&gt;"&amp;$C922)+(COUNTIFS($A$14:$A$1213,$A922,$C$14:$C$1213,"="&amp;$C922)+1)/2,"")</f>
        <v/>
      </c>
      <c r="W922" s="27">
        <f>IF(ISNUMBER($F922),COUNTIFS($A$14:$A$1213,$A922,$F$14:$F$1213,"&gt;"&amp;$F922)+(COUNTIFS($A$14:$A$1213,$A922,$F$14:$F$1213,"="&amp;$F922)+1)/2,"")</f>
        <v/>
      </c>
      <c r="X922" s="27">
        <f>IF(OR(NOT(ISNUMBER($V922)),$AO922=1),"",$V922-(COUNTIFS($A$14:$A$1213,$A922,$C$14:$C$1213,"&gt;=0")+1)/2)</f>
        <v/>
      </c>
      <c r="Y922" s="27">
        <f>IF(OR(NOT(ISNUMBER($W922)),$AO922=1),"",$W922-(COUNTIFS($A$14:$A$1213,$A922,$F$14:$F$1213,"&gt;=0")+1)/2)</f>
        <v/>
      </c>
      <c r="Z922" s="27">
        <f>IF(ISNUMBER($V922),$A922&amp;"|"&amp;$V922,"")</f>
        <v/>
      </c>
      <c r="AA922" s="27">
        <f>IF(ISNUMBER($W922),$A922&amp;"|"&amp;$W922,"")</f>
        <v/>
      </c>
      <c r="AB922" s="27">
        <f>IF(ISNUMBER($F922),$A922&amp;"|"&amp;$F922,"")</f>
        <v/>
      </c>
      <c r="AC922" s="27">
        <f>IF(ISNUMBER($P922),COUNTIFS($A$14:$A$1213,$A922,$P$14:$P$1213,"&gt;"&amp;$P922)+(COUNTIFS($A$14:$A$1213,$A922,$P$14:$P$1213,"="&amp;$P922)+1)/2,"")</f>
        <v/>
      </c>
      <c r="AD922" s="27">
        <f>IF(ISNUMBER($Q922),COUNTIFS($A$14:$A$1213,$A922,$Q$14:$Q$1213,"&gt;"&amp;$Q922)+(COUNTIFS($A$14:$A$1213,$A922,$Q$14:$Q$1213,"="&amp;$Q922)+1)/2,"")</f>
        <v/>
      </c>
      <c r="AE922" s="27">
        <f>IF(ISNUMBER($R922),COUNTIFS($A$14:$A$1213,$A922,$R$14:$R$1213,"&gt;"&amp;$R922)+(COUNTIFS($A$14:$A$1213,$A922,$R$14:$R$1213,"="&amp;$R922)+1)/2,"")</f>
        <v/>
      </c>
      <c r="AF922" s="27">
        <f>IF(ISNUMBER($S922),COUNTIFS($A$14:$A$1213,$A922,$S$14:$S$1213,"&gt;"&amp;$S922)+(COUNTIFS($A$14:$A$1213,$A922,$S$14:$S$1213,"="&amp;$S922)+1)/2,"")</f>
        <v/>
      </c>
      <c r="AG922" s="27">
        <f>IF(ISNUMBER($T922),COUNTIFS($A$14:$A$1213,$A922,$T$14:$T$1213,"&gt;"&amp;$T922)+(COUNTIFS($A$14:$A$1213,$A922,$T$14:$T$1213,"="&amp;$T922)+1)/2,"")</f>
        <v/>
      </c>
      <c r="AH922" s="27">
        <f>IF(COUNT($AC922:$AG922)&lt;2,"",IF(MAX($AC922:$AG922)=MIN($AC922:$AG922),0,1))</f>
        <v/>
      </c>
      <c r="AI922" s="27">
        <f>IF($A922="","",IF(COUNTIF($A$14:$A922,$A922)=1,COUNTIF($AI$13:AI921,"&gt;0")+1,""))</f>
        <v/>
      </c>
      <c r="AO922" s="27">
        <f>IF($A922="","",IF(AND(COUNTIFS($A$14:$A$1213,$A922,$F$14:$F$1213,"&gt;=0")=2,IFERROR(INDEX($M$14:$M$313,MATCH($A922,$H$14:$H$313,0)),"Yes")&lt;&gt;"Yes"),1,0))</f>
        <v/>
      </c>
    </row>
    <row r="923">
      <c r="A923" s="19">
        <f>IF('Enter messages'!A923="","",'Enter messages'!A923)</f>
        <v/>
      </c>
      <c r="B923" s="20">
        <f>IF('Enter messages'!B923="","",'Enter messages'!B923)</f>
        <v/>
      </c>
      <c r="C923" s="21">
        <f>IFERROR(AVERAGE(P923:T923),"")</f>
        <v/>
      </c>
      <c r="D923" s="29" t="n"/>
      <c r="E923" s="29" t="n"/>
      <c r="F923" s="30">
        <f>IF(AND(ISNUMBER($D923),ISNUMBER($E923),$E923&gt;0,$D923&lt;=$E923),$D923/$E923,"")</f>
        <v/>
      </c>
      <c r="P923" s="26" t="n"/>
      <c r="Q923" s="26" t="n"/>
      <c r="R923" s="26" t="n"/>
      <c r="S923" s="26" t="n"/>
      <c r="T923" s="26" t="n"/>
      <c r="V923" s="27">
        <f>IF(ISNUMBER($C923),COUNTIFS($A$14:$A$1213,$A923,$C$14:$C$1213,"&gt;"&amp;$C923)+(COUNTIFS($A$14:$A$1213,$A923,$C$14:$C$1213,"="&amp;$C923)+1)/2,"")</f>
        <v/>
      </c>
      <c r="W923" s="27">
        <f>IF(ISNUMBER($F923),COUNTIFS($A$14:$A$1213,$A923,$F$14:$F$1213,"&gt;"&amp;$F923)+(COUNTIFS($A$14:$A$1213,$A923,$F$14:$F$1213,"="&amp;$F923)+1)/2,"")</f>
        <v/>
      </c>
      <c r="X923" s="27">
        <f>IF(OR(NOT(ISNUMBER($V923)),$AO923=1),"",$V923-(COUNTIFS($A$14:$A$1213,$A923,$C$14:$C$1213,"&gt;=0")+1)/2)</f>
        <v/>
      </c>
      <c r="Y923" s="27">
        <f>IF(OR(NOT(ISNUMBER($W923)),$AO923=1),"",$W923-(COUNTIFS($A$14:$A$1213,$A923,$F$14:$F$1213,"&gt;=0")+1)/2)</f>
        <v/>
      </c>
      <c r="Z923" s="27">
        <f>IF(ISNUMBER($V923),$A923&amp;"|"&amp;$V923,"")</f>
        <v/>
      </c>
      <c r="AA923" s="27">
        <f>IF(ISNUMBER($W923),$A923&amp;"|"&amp;$W923,"")</f>
        <v/>
      </c>
      <c r="AB923" s="27">
        <f>IF(ISNUMBER($F923),$A923&amp;"|"&amp;$F923,"")</f>
        <v/>
      </c>
      <c r="AC923" s="27">
        <f>IF(ISNUMBER($P923),COUNTIFS($A$14:$A$1213,$A923,$P$14:$P$1213,"&gt;"&amp;$P923)+(COUNTIFS($A$14:$A$1213,$A923,$P$14:$P$1213,"="&amp;$P923)+1)/2,"")</f>
        <v/>
      </c>
      <c r="AD923" s="27">
        <f>IF(ISNUMBER($Q923),COUNTIFS($A$14:$A$1213,$A923,$Q$14:$Q$1213,"&gt;"&amp;$Q923)+(COUNTIFS($A$14:$A$1213,$A923,$Q$14:$Q$1213,"="&amp;$Q923)+1)/2,"")</f>
        <v/>
      </c>
      <c r="AE923" s="27">
        <f>IF(ISNUMBER($R923),COUNTIFS($A$14:$A$1213,$A923,$R$14:$R$1213,"&gt;"&amp;$R923)+(COUNTIFS($A$14:$A$1213,$A923,$R$14:$R$1213,"="&amp;$R923)+1)/2,"")</f>
        <v/>
      </c>
      <c r="AF923" s="27">
        <f>IF(ISNUMBER($S923),COUNTIFS($A$14:$A$1213,$A923,$S$14:$S$1213,"&gt;"&amp;$S923)+(COUNTIFS($A$14:$A$1213,$A923,$S$14:$S$1213,"="&amp;$S923)+1)/2,"")</f>
        <v/>
      </c>
      <c r="AG923" s="27">
        <f>IF(ISNUMBER($T923),COUNTIFS($A$14:$A$1213,$A923,$T$14:$T$1213,"&gt;"&amp;$T923)+(COUNTIFS($A$14:$A$1213,$A923,$T$14:$T$1213,"="&amp;$T923)+1)/2,"")</f>
        <v/>
      </c>
      <c r="AH923" s="27">
        <f>IF(COUNT($AC923:$AG923)&lt;2,"",IF(MAX($AC923:$AG923)=MIN($AC923:$AG923),0,1))</f>
        <v/>
      </c>
      <c r="AI923" s="27">
        <f>IF($A923="","",IF(COUNTIF($A$14:$A923,$A923)=1,COUNTIF($AI$13:AI922,"&gt;0")+1,""))</f>
        <v/>
      </c>
      <c r="AO923" s="27">
        <f>IF($A923="","",IF(AND(COUNTIFS($A$14:$A$1213,$A923,$F$14:$F$1213,"&gt;=0")=2,IFERROR(INDEX($M$14:$M$313,MATCH($A923,$H$14:$H$313,0)),"Yes")&lt;&gt;"Yes"),1,0))</f>
        <v/>
      </c>
    </row>
    <row r="924">
      <c r="A924" s="19">
        <f>IF('Enter messages'!A924="","",'Enter messages'!A924)</f>
        <v/>
      </c>
      <c r="B924" s="20">
        <f>IF('Enter messages'!B924="","",'Enter messages'!B924)</f>
        <v/>
      </c>
      <c r="C924" s="21">
        <f>IFERROR(AVERAGE(P924:T924),"")</f>
        <v/>
      </c>
      <c r="D924" s="29" t="n"/>
      <c r="E924" s="29" t="n"/>
      <c r="F924" s="30">
        <f>IF(AND(ISNUMBER($D924),ISNUMBER($E924),$E924&gt;0,$D924&lt;=$E924),$D924/$E924,"")</f>
        <v/>
      </c>
      <c r="P924" s="26" t="n"/>
      <c r="Q924" s="26" t="n"/>
      <c r="R924" s="26" t="n"/>
      <c r="S924" s="26" t="n"/>
      <c r="T924" s="26" t="n"/>
      <c r="V924" s="27">
        <f>IF(ISNUMBER($C924),COUNTIFS($A$14:$A$1213,$A924,$C$14:$C$1213,"&gt;"&amp;$C924)+(COUNTIFS($A$14:$A$1213,$A924,$C$14:$C$1213,"="&amp;$C924)+1)/2,"")</f>
        <v/>
      </c>
      <c r="W924" s="27">
        <f>IF(ISNUMBER($F924),COUNTIFS($A$14:$A$1213,$A924,$F$14:$F$1213,"&gt;"&amp;$F924)+(COUNTIFS($A$14:$A$1213,$A924,$F$14:$F$1213,"="&amp;$F924)+1)/2,"")</f>
        <v/>
      </c>
      <c r="X924" s="27">
        <f>IF(OR(NOT(ISNUMBER($V924)),$AO924=1),"",$V924-(COUNTIFS($A$14:$A$1213,$A924,$C$14:$C$1213,"&gt;=0")+1)/2)</f>
        <v/>
      </c>
      <c r="Y924" s="27">
        <f>IF(OR(NOT(ISNUMBER($W924)),$AO924=1),"",$W924-(COUNTIFS($A$14:$A$1213,$A924,$F$14:$F$1213,"&gt;=0")+1)/2)</f>
        <v/>
      </c>
      <c r="Z924" s="27">
        <f>IF(ISNUMBER($V924),$A924&amp;"|"&amp;$V924,"")</f>
        <v/>
      </c>
      <c r="AA924" s="27">
        <f>IF(ISNUMBER($W924),$A924&amp;"|"&amp;$W924,"")</f>
        <v/>
      </c>
      <c r="AB924" s="27">
        <f>IF(ISNUMBER($F924),$A924&amp;"|"&amp;$F924,"")</f>
        <v/>
      </c>
      <c r="AC924" s="27">
        <f>IF(ISNUMBER($P924),COUNTIFS($A$14:$A$1213,$A924,$P$14:$P$1213,"&gt;"&amp;$P924)+(COUNTIFS($A$14:$A$1213,$A924,$P$14:$P$1213,"="&amp;$P924)+1)/2,"")</f>
        <v/>
      </c>
      <c r="AD924" s="27">
        <f>IF(ISNUMBER($Q924),COUNTIFS($A$14:$A$1213,$A924,$Q$14:$Q$1213,"&gt;"&amp;$Q924)+(COUNTIFS($A$14:$A$1213,$A924,$Q$14:$Q$1213,"="&amp;$Q924)+1)/2,"")</f>
        <v/>
      </c>
      <c r="AE924" s="27">
        <f>IF(ISNUMBER($R924),COUNTIFS($A$14:$A$1213,$A924,$R$14:$R$1213,"&gt;"&amp;$R924)+(COUNTIFS($A$14:$A$1213,$A924,$R$14:$R$1213,"="&amp;$R924)+1)/2,"")</f>
        <v/>
      </c>
      <c r="AF924" s="27">
        <f>IF(ISNUMBER($S924),COUNTIFS($A$14:$A$1213,$A924,$S$14:$S$1213,"&gt;"&amp;$S924)+(COUNTIFS($A$14:$A$1213,$A924,$S$14:$S$1213,"="&amp;$S924)+1)/2,"")</f>
        <v/>
      </c>
      <c r="AG924" s="27">
        <f>IF(ISNUMBER($T924),COUNTIFS($A$14:$A$1213,$A924,$T$14:$T$1213,"&gt;"&amp;$T924)+(COUNTIFS($A$14:$A$1213,$A924,$T$14:$T$1213,"="&amp;$T924)+1)/2,"")</f>
        <v/>
      </c>
      <c r="AH924" s="27">
        <f>IF(COUNT($AC924:$AG924)&lt;2,"",IF(MAX($AC924:$AG924)=MIN($AC924:$AG924),0,1))</f>
        <v/>
      </c>
      <c r="AI924" s="27">
        <f>IF($A924="","",IF(COUNTIF($A$14:$A924,$A924)=1,COUNTIF($AI$13:AI923,"&gt;0")+1,""))</f>
        <v/>
      </c>
      <c r="AO924" s="27">
        <f>IF($A924="","",IF(AND(COUNTIFS($A$14:$A$1213,$A924,$F$14:$F$1213,"&gt;=0")=2,IFERROR(INDEX($M$14:$M$313,MATCH($A924,$H$14:$H$313,0)),"Yes")&lt;&gt;"Yes"),1,0))</f>
        <v/>
      </c>
    </row>
    <row r="925">
      <c r="A925" s="19">
        <f>IF('Enter messages'!A925="","",'Enter messages'!A925)</f>
        <v/>
      </c>
      <c r="B925" s="20">
        <f>IF('Enter messages'!B925="","",'Enter messages'!B925)</f>
        <v/>
      </c>
      <c r="C925" s="21">
        <f>IFERROR(AVERAGE(P925:T925),"")</f>
        <v/>
      </c>
      <c r="D925" s="29" t="n"/>
      <c r="E925" s="29" t="n"/>
      <c r="F925" s="30">
        <f>IF(AND(ISNUMBER($D925),ISNUMBER($E925),$E925&gt;0,$D925&lt;=$E925),$D925/$E925,"")</f>
        <v/>
      </c>
      <c r="P925" s="26" t="n"/>
      <c r="Q925" s="26" t="n"/>
      <c r="R925" s="26" t="n"/>
      <c r="S925" s="26" t="n"/>
      <c r="T925" s="26" t="n"/>
      <c r="V925" s="27">
        <f>IF(ISNUMBER($C925),COUNTIFS($A$14:$A$1213,$A925,$C$14:$C$1213,"&gt;"&amp;$C925)+(COUNTIFS($A$14:$A$1213,$A925,$C$14:$C$1213,"="&amp;$C925)+1)/2,"")</f>
        <v/>
      </c>
      <c r="W925" s="27">
        <f>IF(ISNUMBER($F925),COUNTIFS($A$14:$A$1213,$A925,$F$14:$F$1213,"&gt;"&amp;$F925)+(COUNTIFS($A$14:$A$1213,$A925,$F$14:$F$1213,"="&amp;$F925)+1)/2,"")</f>
        <v/>
      </c>
      <c r="X925" s="27">
        <f>IF(OR(NOT(ISNUMBER($V925)),$AO925=1),"",$V925-(COUNTIFS($A$14:$A$1213,$A925,$C$14:$C$1213,"&gt;=0")+1)/2)</f>
        <v/>
      </c>
      <c r="Y925" s="27">
        <f>IF(OR(NOT(ISNUMBER($W925)),$AO925=1),"",$W925-(COUNTIFS($A$14:$A$1213,$A925,$F$14:$F$1213,"&gt;=0")+1)/2)</f>
        <v/>
      </c>
      <c r="Z925" s="27">
        <f>IF(ISNUMBER($V925),$A925&amp;"|"&amp;$V925,"")</f>
        <v/>
      </c>
      <c r="AA925" s="27">
        <f>IF(ISNUMBER($W925),$A925&amp;"|"&amp;$W925,"")</f>
        <v/>
      </c>
      <c r="AB925" s="27">
        <f>IF(ISNUMBER($F925),$A925&amp;"|"&amp;$F925,"")</f>
        <v/>
      </c>
      <c r="AC925" s="27">
        <f>IF(ISNUMBER($P925),COUNTIFS($A$14:$A$1213,$A925,$P$14:$P$1213,"&gt;"&amp;$P925)+(COUNTIFS($A$14:$A$1213,$A925,$P$14:$P$1213,"="&amp;$P925)+1)/2,"")</f>
        <v/>
      </c>
      <c r="AD925" s="27">
        <f>IF(ISNUMBER($Q925),COUNTIFS($A$14:$A$1213,$A925,$Q$14:$Q$1213,"&gt;"&amp;$Q925)+(COUNTIFS($A$14:$A$1213,$A925,$Q$14:$Q$1213,"="&amp;$Q925)+1)/2,"")</f>
        <v/>
      </c>
      <c r="AE925" s="27">
        <f>IF(ISNUMBER($R925),COUNTIFS($A$14:$A$1213,$A925,$R$14:$R$1213,"&gt;"&amp;$R925)+(COUNTIFS($A$14:$A$1213,$A925,$R$14:$R$1213,"="&amp;$R925)+1)/2,"")</f>
        <v/>
      </c>
      <c r="AF925" s="27">
        <f>IF(ISNUMBER($S925),COUNTIFS($A$14:$A$1213,$A925,$S$14:$S$1213,"&gt;"&amp;$S925)+(COUNTIFS($A$14:$A$1213,$A925,$S$14:$S$1213,"="&amp;$S925)+1)/2,"")</f>
        <v/>
      </c>
      <c r="AG925" s="27">
        <f>IF(ISNUMBER($T925),COUNTIFS($A$14:$A$1213,$A925,$T$14:$T$1213,"&gt;"&amp;$T925)+(COUNTIFS($A$14:$A$1213,$A925,$T$14:$T$1213,"="&amp;$T925)+1)/2,"")</f>
        <v/>
      </c>
      <c r="AH925" s="27">
        <f>IF(COUNT($AC925:$AG925)&lt;2,"",IF(MAX($AC925:$AG925)=MIN($AC925:$AG925),0,1))</f>
        <v/>
      </c>
      <c r="AI925" s="27">
        <f>IF($A925="","",IF(COUNTIF($A$14:$A925,$A925)=1,COUNTIF($AI$13:AI924,"&gt;0")+1,""))</f>
        <v/>
      </c>
      <c r="AO925" s="27">
        <f>IF($A925="","",IF(AND(COUNTIFS($A$14:$A$1213,$A925,$F$14:$F$1213,"&gt;=0")=2,IFERROR(INDEX($M$14:$M$313,MATCH($A925,$H$14:$H$313,0)),"Yes")&lt;&gt;"Yes"),1,0))</f>
        <v/>
      </c>
    </row>
    <row r="926">
      <c r="A926" s="19">
        <f>IF('Enter messages'!A926="","",'Enter messages'!A926)</f>
        <v/>
      </c>
      <c r="B926" s="20">
        <f>IF('Enter messages'!B926="","",'Enter messages'!B926)</f>
        <v/>
      </c>
      <c r="C926" s="21">
        <f>IFERROR(AVERAGE(P926:T926),"")</f>
        <v/>
      </c>
      <c r="D926" s="29" t="n"/>
      <c r="E926" s="29" t="n"/>
      <c r="F926" s="30">
        <f>IF(AND(ISNUMBER($D926),ISNUMBER($E926),$E926&gt;0,$D926&lt;=$E926),$D926/$E926,"")</f>
        <v/>
      </c>
      <c r="P926" s="26" t="n"/>
      <c r="Q926" s="26" t="n"/>
      <c r="R926" s="26" t="n"/>
      <c r="S926" s="26" t="n"/>
      <c r="T926" s="26" t="n"/>
      <c r="V926" s="27">
        <f>IF(ISNUMBER($C926),COUNTIFS($A$14:$A$1213,$A926,$C$14:$C$1213,"&gt;"&amp;$C926)+(COUNTIFS($A$14:$A$1213,$A926,$C$14:$C$1213,"="&amp;$C926)+1)/2,"")</f>
        <v/>
      </c>
      <c r="W926" s="27">
        <f>IF(ISNUMBER($F926),COUNTIFS($A$14:$A$1213,$A926,$F$14:$F$1213,"&gt;"&amp;$F926)+(COUNTIFS($A$14:$A$1213,$A926,$F$14:$F$1213,"="&amp;$F926)+1)/2,"")</f>
        <v/>
      </c>
      <c r="X926" s="27">
        <f>IF(OR(NOT(ISNUMBER($V926)),$AO926=1),"",$V926-(COUNTIFS($A$14:$A$1213,$A926,$C$14:$C$1213,"&gt;=0")+1)/2)</f>
        <v/>
      </c>
      <c r="Y926" s="27">
        <f>IF(OR(NOT(ISNUMBER($W926)),$AO926=1),"",$W926-(COUNTIFS($A$14:$A$1213,$A926,$F$14:$F$1213,"&gt;=0")+1)/2)</f>
        <v/>
      </c>
      <c r="Z926" s="27">
        <f>IF(ISNUMBER($V926),$A926&amp;"|"&amp;$V926,"")</f>
        <v/>
      </c>
      <c r="AA926" s="27">
        <f>IF(ISNUMBER($W926),$A926&amp;"|"&amp;$W926,"")</f>
        <v/>
      </c>
      <c r="AB926" s="27">
        <f>IF(ISNUMBER($F926),$A926&amp;"|"&amp;$F926,"")</f>
        <v/>
      </c>
      <c r="AC926" s="27">
        <f>IF(ISNUMBER($P926),COUNTIFS($A$14:$A$1213,$A926,$P$14:$P$1213,"&gt;"&amp;$P926)+(COUNTIFS($A$14:$A$1213,$A926,$P$14:$P$1213,"="&amp;$P926)+1)/2,"")</f>
        <v/>
      </c>
      <c r="AD926" s="27">
        <f>IF(ISNUMBER($Q926),COUNTIFS($A$14:$A$1213,$A926,$Q$14:$Q$1213,"&gt;"&amp;$Q926)+(COUNTIFS($A$14:$A$1213,$A926,$Q$14:$Q$1213,"="&amp;$Q926)+1)/2,"")</f>
        <v/>
      </c>
      <c r="AE926" s="27">
        <f>IF(ISNUMBER($R926),COUNTIFS($A$14:$A$1213,$A926,$R$14:$R$1213,"&gt;"&amp;$R926)+(COUNTIFS($A$14:$A$1213,$A926,$R$14:$R$1213,"="&amp;$R926)+1)/2,"")</f>
        <v/>
      </c>
      <c r="AF926" s="27">
        <f>IF(ISNUMBER($S926),COUNTIFS($A$14:$A$1213,$A926,$S$14:$S$1213,"&gt;"&amp;$S926)+(COUNTIFS($A$14:$A$1213,$A926,$S$14:$S$1213,"="&amp;$S926)+1)/2,"")</f>
        <v/>
      </c>
      <c r="AG926" s="27">
        <f>IF(ISNUMBER($T926),COUNTIFS($A$14:$A$1213,$A926,$T$14:$T$1213,"&gt;"&amp;$T926)+(COUNTIFS($A$14:$A$1213,$A926,$T$14:$T$1213,"="&amp;$T926)+1)/2,"")</f>
        <v/>
      </c>
      <c r="AH926" s="27">
        <f>IF(COUNT($AC926:$AG926)&lt;2,"",IF(MAX($AC926:$AG926)=MIN($AC926:$AG926),0,1))</f>
        <v/>
      </c>
      <c r="AI926" s="27">
        <f>IF($A926="","",IF(COUNTIF($A$14:$A926,$A926)=1,COUNTIF($AI$13:AI925,"&gt;0")+1,""))</f>
        <v/>
      </c>
      <c r="AO926" s="27">
        <f>IF($A926="","",IF(AND(COUNTIFS($A$14:$A$1213,$A926,$F$14:$F$1213,"&gt;=0")=2,IFERROR(INDEX($M$14:$M$313,MATCH($A926,$H$14:$H$313,0)),"Yes")&lt;&gt;"Yes"),1,0))</f>
        <v/>
      </c>
    </row>
    <row r="927">
      <c r="A927" s="19">
        <f>IF('Enter messages'!A927="","",'Enter messages'!A927)</f>
        <v/>
      </c>
      <c r="B927" s="20">
        <f>IF('Enter messages'!B927="","",'Enter messages'!B927)</f>
        <v/>
      </c>
      <c r="C927" s="21">
        <f>IFERROR(AVERAGE(P927:T927),"")</f>
        <v/>
      </c>
      <c r="D927" s="29" t="n"/>
      <c r="E927" s="29" t="n"/>
      <c r="F927" s="30">
        <f>IF(AND(ISNUMBER($D927),ISNUMBER($E927),$E927&gt;0,$D927&lt;=$E927),$D927/$E927,"")</f>
        <v/>
      </c>
      <c r="P927" s="26" t="n"/>
      <c r="Q927" s="26" t="n"/>
      <c r="R927" s="26" t="n"/>
      <c r="S927" s="26" t="n"/>
      <c r="T927" s="26" t="n"/>
      <c r="V927" s="27">
        <f>IF(ISNUMBER($C927),COUNTIFS($A$14:$A$1213,$A927,$C$14:$C$1213,"&gt;"&amp;$C927)+(COUNTIFS($A$14:$A$1213,$A927,$C$14:$C$1213,"="&amp;$C927)+1)/2,"")</f>
        <v/>
      </c>
      <c r="W927" s="27">
        <f>IF(ISNUMBER($F927),COUNTIFS($A$14:$A$1213,$A927,$F$14:$F$1213,"&gt;"&amp;$F927)+(COUNTIFS($A$14:$A$1213,$A927,$F$14:$F$1213,"="&amp;$F927)+1)/2,"")</f>
        <v/>
      </c>
      <c r="X927" s="27">
        <f>IF(OR(NOT(ISNUMBER($V927)),$AO927=1),"",$V927-(COUNTIFS($A$14:$A$1213,$A927,$C$14:$C$1213,"&gt;=0")+1)/2)</f>
        <v/>
      </c>
      <c r="Y927" s="27">
        <f>IF(OR(NOT(ISNUMBER($W927)),$AO927=1),"",$W927-(COUNTIFS($A$14:$A$1213,$A927,$F$14:$F$1213,"&gt;=0")+1)/2)</f>
        <v/>
      </c>
      <c r="Z927" s="27">
        <f>IF(ISNUMBER($V927),$A927&amp;"|"&amp;$V927,"")</f>
        <v/>
      </c>
      <c r="AA927" s="27">
        <f>IF(ISNUMBER($W927),$A927&amp;"|"&amp;$W927,"")</f>
        <v/>
      </c>
      <c r="AB927" s="27">
        <f>IF(ISNUMBER($F927),$A927&amp;"|"&amp;$F927,"")</f>
        <v/>
      </c>
      <c r="AC927" s="27">
        <f>IF(ISNUMBER($P927),COUNTIFS($A$14:$A$1213,$A927,$P$14:$P$1213,"&gt;"&amp;$P927)+(COUNTIFS($A$14:$A$1213,$A927,$P$14:$P$1213,"="&amp;$P927)+1)/2,"")</f>
        <v/>
      </c>
      <c r="AD927" s="27">
        <f>IF(ISNUMBER($Q927),COUNTIFS($A$14:$A$1213,$A927,$Q$14:$Q$1213,"&gt;"&amp;$Q927)+(COUNTIFS($A$14:$A$1213,$A927,$Q$14:$Q$1213,"="&amp;$Q927)+1)/2,"")</f>
        <v/>
      </c>
      <c r="AE927" s="27">
        <f>IF(ISNUMBER($R927),COUNTIFS($A$14:$A$1213,$A927,$R$14:$R$1213,"&gt;"&amp;$R927)+(COUNTIFS($A$14:$A$1213,$A927,$R$14:$R$1213,"="&amp;$R927)+1)/2,"")</f>
        <v/>
      </c>
      <c r="AF927" s="27">
        <f>IF(ISNUMBER($S927),COUNTIFS($A$14:$A$1213,$A927,$S$14:$S$1213,"&gt;"&amp;$S927)+(COUNTIFS($A$14:$A$1213,$A927,$S$14:$S$1213,"="&amp;$S927)+1)/2,"")</f>
        <v/>
      </c>
      <c r="AG927" s="27">
        <f>IF(ISNUMBER($T927),COUNTIFS($A$14:$A$1213,$A927,$T$14:$T$1213,"&gt;"&amp;$T927)+(COUNTIFS($A$14:$A$1213,$A927,$T$14:$T$1213,"="&amp;$T927)+1)/2,"")</f>
        <v/>
      </c>
      <c r="AH927" s="27">
        <f>IF(COUNT($AC927:$AG927)&lt;2,"",IF(MAX($AC927:$AG927)=MIN($AC927:$AG927),0,1))</f>
        <v/>
      </c>
      <c r="AI927" s="27">
        <f>IF($A927="","",IF(COUNTIF($A$14:$A927,$A927)=1,COUNTIF($AI$13:AI926,"&gt;0")+1,""))</f>
        <v/>
      </c>
      <c r="AO927" s="27">
        <f>IF($A927="","",IF(AND(COUNTIFS($A$14:$A$1213,$A927,$F$14:$F$1213,"&gt;=0")=2,IFERROR(INDEX($M$14:$M$313,MATCH($A927,$H$14:$H$313,0)),"Yes")&lt;&gt;"Yes"),1,0))</f>
        <v/>
      </c>
    </row>
    <row r="928">
      <c r="A928" s="19">
        <f>IF('Enter messages'!A928="","",'Enter messages'!A928)</f>
        <v/>
      </c>
      <c r="B928" s="20">
        <f>IF('Enter messages'!B928="","",'Enter messages'!B928)</f>
        <v/>
      </c>
      <c r="C928" s="21">
        <f>IFERROR(AVERAGE(P928:T928),"")</f>
        <v/>
      </c>
      <c r="D928" s="29" t="n"/>
      <c r="E928" s="29" t="n"/>
      <c r="F928" s="30">
        <f>IF(AND(ISNUMBER($D928),ISNUMBER($E928),$E928&gt;0,$D928&lt;=$E928),$D928/$E928,"")</f>
        <v/>
      </c>
      <c r="P928" s="26" t="n"/>
      <c r="Q928" s="26" t="n"/>
      <c r="R928" s="26" t="n"/>
      <c r="S928" s="26" t="n"/>
      <c r="T928" s="26" t="n"/>
      <c r="V928" s="27">
        <f>IF(ISNUMBER($C928),COUNTIFS($A$14:$A$1213,$A928,$C$14:$C$1213,"&gt;"&amp;$C928)+(COUNTIFS($A$14:$A$1213,$A928,$C$14:$C$1213,"="&amp;$C928)+1)/2,"")</f>
        <v/>
      </c>
      <c r="W928" s="27">
        <f>IF(ISNUMBER($F928),COUNTIFS($A$14:$A$1213,$A928,$F$14:$F$1213,"&gt;"&amp;$F928)+(COUNTIFS($A$14:$A$1213,$A928,$F$14:$F$1213,"="&amp;$F928)+1)/2,"")</f>
        <v/>
      </c>
      <c r="X928" s="27">
        <f>IF(OR(NOT(ISNUMBER($V928)),$AO928=1),"",$V928-(COUNTIFS($A$14:$A$1213,$A928,$C$14:$C$1213,"&gt;=0")+1)/2)</f>
        <v/>
      </c>
      <c r="Y928" s="27">
        <f>IF(OR(NOT(ISNUMBER($W928)),$AO928=1),"",$W928-(COUNTIFS($A$14:$A$1213,$A928,$F$14:$F$1213,"&gt;=0")+1)/2)</f>
        <v/>
      </c>
      <c r="Z928" s="27">
        <f>IF(ISNUMBER($V928),$A928&amp;"|"&amp;$V928,"")</f>
        <v/>
      </c>
      <c r="AA928" s="27">
        <f>IF(ISNUMBER($W928),$A928&amp;"|"&amp;$W928,"")</f>
        <v/>
      </c>
      <c r="AB928" s="27">
        <f>IF(ISNUMBER($F928),$A928&amp;"|"&amp;$F928,"")</f>
        <v/>
      </c>
      <c r="AC928" s="27">
        <f>IF(ISNUMBER($P928),COUNTIFS($A$14:$A$1213,$A928,$P$14:$P$1213,"&gt;"&amp;$P928)+(COUNTIFS($A$14:$A$1213,$A928,$P$14:$P$1213,"="&amp;$P928)+1)/2,"")</f>
        <v/>
      </c>
      <c r="AD928" s="27">
        <f>IF(ISNUMBER($Q928),COUNTIFS($A$14:$A$1213,$A928,$Q$14:$Q$1213,"&gt;"&amp;$Q928)+(COUNTIFS($A$14:$A$1213,$A928,$Q$14:$Q$1213,"="&amp;$Q928)+1)/2,"")</f>
        <v/>
      </c>
      <c r="AE928" s="27">
        <f>IF(ISNUMBER($R928),COUNTIFS($A$14:$A$1213,$A928,$R$14:$R$1213,"&gt;"&amp;$R928)+(COUNTIFS($A$14:$A$1213,$A928,$R$14:$R$1213,"="&amp;$R928)+1)/2,"")</f>
        <v/>
      </c>
      <c r="AF928" s="27">
        <f>IF(ISNUMBER($S928),COUNTIFS($A$14:$A$1213,$A928,$S$14:$S$1213,"&gt;"&amp;$S928)+(COUNTIFS($A$14:$A$1213,$A928,$S$14:$S$1213,"="&amp;$S928)+1)/2,"")</f>
        <v/>
      </c>
      <c r="AG928" s="27">
        <f>IF(ISNUMBER($T928),COUNTIFS($A$14:$A$1213,$A928,$T$14:$T$1213,"&gt;"&amp;$T928)+(COUNTIFS($A$14:$A$1213,$A928,$T$14:$T$1213,"="&amp;$T928)+1)/2,"")</f>
        <v/>
      </c>
      <c r="AH928" s="27">
        <f>IF(COUNT($AC928:$AG928)&lt;2,"",IF(MAX($AC928:$AG928)=MIN($AC928:$AG928),0,1))</f>
        <v/>
      </c>
      <c r="AI928" s="27">
        <f>IF($A928="","",IF(COUNTIF($A$14:$A928,$A928)=1,COUNTIF($AI$13:AI927,"&gt;0")+1,""))</f>
        <v/>
      </c>
      <c r="AO928" s="27">
        <f>IF($A928="","",IF(AND(COUNTIFS($A$14:$A$1213,$A928,$F$14:$F$1213,"&gt;=0")=2,IFERROR(INDEX($M$14:$M$313,MATCH($A928,$H$14:$H$313,0)),"Yes")&lt;&gt;"Yes"),1,0))</f>
        <v/>
      </c>
    </row>
    <row r="929">
      <c r="A929" s="19">
        <f>IF('Enter messages'!A929="","",'Enter messages'!A929)</f>
        <v/>
      </c>
      <c r="B929" s="20">
        <f>IF('Enter messages'!B929="","",'Enter messages'!B929)</f>
        <v/>
      </c>
      <c r="C929" s="21">
        <f>IFERROR(AVERAGE(P929:T929),"")</f>
        <v/>
      </c>
      <c r="D929" s="29" t="n"/>
      <c r="E929" s="29" t="n"/>
      <c r="F929" s="30">
        <f>IF(AND(ISNUMBER($D929),ISNUMBER($E929),$E929&gt;0,$D929&lt;=$E929),$D929/$E929,"")</f>
        <v/>
      </c>
      <c r="P929" s="26" t="n"/>
      <c r="Q929" s="26" t="n"/>
      <c r="R929" s="26" t="n"/>
      <c r="S929" s="26" t="n"/>
      <c r="T929" s="26" t="n"/>
      <c r="V929" s="27">
        <f>IF(ISNUMBER($C929),COUNTIFS($A$14:$A$1213,$A929,$C$14:$C$1213,"&gt;"&amp;$C929)+(COUNTIFS($A$14:$A$1213,$A929,$C$14:$C$1213,"="&amp;$C929)+1)/2,"")</f>
        <v/>
      </c>
      <c r="W929" s="27">
        <f>IF(ISNUMBER($F929),COUNTIFS($A$14:$A$1213,$A929,$F$14:$F$1213,"&gt;"&amp;$F929)+(COUNTIFS($A$14:$A$1213,$A929,$F$14:$F$1213,"="&amp;$F929)+1)/2,"")</f>
        <v/>
      </c>
      <c r="X929" s="27">
        <f>IF(OR(NOT(ISNUMBER($V929)),$AO929=1),"",$V929-(COUNTIFS($A$14:$A$1213,$A929,$C$14:$C$1213,"&gt;=0")+1)/2)</f>
        <v/>
      </c>
      <c r="Y929" s="27">
        <f>IF(OR(NOT(ISNUMBER($W929)),$AO929=1),"",$W929-(COUNTIFS($A$14:$A$1213,$A929,$F$14:$F$1213,"&gt;=0")+1)/2)</f>
        <v/>
      </c>
      <c r="Z929" s="27">
        <f>IF(ISNUMBER($V929),$A929&amp;"|"&amp;$V929,"")</f>
        <v/>
      </c>
      <c r="AA929" s="27">
        <f>IF(ISNUMBER($W929),$A929&amp;"|"&amp;$W929,"")</f>
        <v/>
      </c>
      <c r="AB929" s="27">
        <f>IF(ISNUMBER($F929),$A929&amp;"|"&amp;$F929,"")</f>
        <v/>
      </c>
      <c r="AC929" s="27">
        <f>IF(ISNUMBER($P929),COUNTIFS($A$14:$A$1213,$A929,$P$14:$P$1213,"&gt;"&amp;$P929)+(COUNTIFS($A$14:$A$1213,$A929,$P$14:$P$1213,"="&amp;$P929)+1)/2,"")</f>
        <v/>
      </c>
      <c r="AD929" s="27">
        <f>IF(ISNUMBER($Q929),COUNTIFS($A$14:$A$1213,$A929,$Q$14:$Q$1213,"&gt;"&amp;$Q929)+(COUNTIFS($A$14:$A$1213,$A929,$Q$14:$Q$1213,"="&amp;$Q929)+1)/2,"")</f>
        <v/>
      </c>
      <c r="AE929" s="27">
        <f>IF(ISNUMBER($R929),COUNTIFS($A$14:$A$1213,$A929,$R$14:$R$1213,"&gt;"&amp;$R929)+(COUNTIFS($A$14:$A$1213,$A929,$R$14:$R$1213,"="&amp;$R929)+1)/2,"")</f>
        <v/>
      </c>
      <c r="AF929" s="27">
        <f>IF(ISNUMBER($S929),COUNTIFS($A$14:$A$1213,$A929,$S$14:$S$1213,"&gt;"&amp;$S929)+(COUNTIFS($A$14:$A$1213,$A929,$S$14:$S$1213,"="&amp;$S929)+1)/2,"")</f>
        <v/>
      </c>
      <c r="AG929" s="27">
        <f>IF(ISNUMBER($T929),COUNTIFS($A$14:$A$1213,$A929,$T$14:$T$1213,"&gt;"&amp;$T929)+(COUNTIFS($A$14:$A$1213,$A929,$T$14:$T$1213,"="&amp;$T929)+1)/2,"")</f>
        <v/>
      </c>
      <c r="AH929" s="27">
        <f>IF(COUNT($AC929:$AG929)&lt;2,"",IF(MAX($AC929:$AG929)=MIN($AC929:$AG929),0,1))</f>
        <v/>
      </c>
      <c r="AI929" s="27">
        <f>IF($A929="","",IF(COUNTIF($A$14:$A929,$A929)=1,COUNTIF($AI$13:AI928,"&gt;0")+1,""))</f>
        <v/>
      </c>
      <c r="AO929" s="27">
        <f>IF($A929="","",IF(AND(COUNTIFS($A$14:$A$1213,$A929,$F$14:$F$1213,"&gt;=0")=2,IFERROR(INDEX($M$14:$M$313,MATCH($A929,$H$14:$H$313,0)),"Yes")&lt;&gt;"Yes"),1,0))</f>
        <v/>
      </c>
    </row>
    <row r="930">
      <c r="A930" s="19">
        <f>IF('Enter messages'!A930="","",'Enter messages'!A930)</f>
        <v/>
      </c>
      <c r="B930" s="20">
        <f>IF('Enter messages'!B930="","",'Enter messages'!B930)</f>
        <v/>
      </c>
      <c r="C930" s="21">
        <f>IFERROR(AVERAGE(P930:T930),"")</f>
        <v/>
      </c>
      <c r="D930" s="29" t="n"/>
      <c r="E930" s="29" t="n"/>
      <c r="F930" s="30">
        <f>IF(AND(ISNUMBER($D930),ISNUMBER($E930),$E930&gt;0,$D930&lt;=$E930),$D930/$E930,"")</f>
        <v/>
      </c>
      <c r="P930" s="26" t="n"/>
      <c r="Q930" s="26" t="n"/>
      <c r="R930" s="26" t="n"/>
      <c r="S930" s="26" t="n"/>
      <c r="T930" s="26" t="n"/>
      <c r="V930" s="27">
        <f>IF(ISNUMBER($C930),COUNTIFS($A$14:$A$1213,$A930,$C$14:$C$1213,"&gt;"&amp;$C930)+(COUNTIFS($A$14:$A$1213,$A930,$C$14:$C$1213,"="&amp;$C930)+1)/2,"")</f>
        <v/>
      </c>
      <c r="W930" s="27">
        <f>IF(ISNUMBER($F930),COUNTIFS($A$14:$A$1213,$A930,$F$14:$F$1213,"&gt;"&amp;$F930)+(COUNTIFS($A$14:$A$1213,$A930,$F$14:$F$1213,"="&amp;$F930)+1)/2,"")</f>
        <v/>
      </c>
      <c r="X930" s="27">
        <f>IF(OR(NOT(ISNUMBER($V930)),$AO930=1),"",$V930-(COUNTIFS($A$14:$A$1213,$A930,$C$14:$C$1213,"&gt;=0")+1)/2)</f>
        <v/>
      </c>
      <c r="Y930" s="27">
        <f>IF(OR(NOT(ISNUMBER($W930)),$AO930=1),"",$W930-(COUNTIFS($A$14:$A$1213,$A930,$F$14:$F$1213,"&gt;=0")+1)/2)</f>
        <v/>
      </c>
      <c r="Z930" s="27">
        <f>IF(ISNUMBER($V930),$A930&amp;"|"&amp;$V930,"")</f>
        <v/>
      </c>
      <c r="AA930" s="27">
        <f>IF(ISNUMBER($W930),$A930&amp;"|"&amp;$W930,"")</f>
        <v/>
      </c>
      <c r="AB930" s="27">
        <f>IF(ISNUMBER($F930),$A930&amp;"|"&amp;$F930,"")</f>
        <v/>
      </c>
      <c r="AC930" s="27">
        <f>IF(ISNUMBER($P930),COUNTIFS($A$14:$A$1213,$A930,$P$14:$P$1213,"&gt;"&amp;$P930)+(COUNTIFS($A$14:$A$1213,$A930,$P$14:$P$1213,"="&amp;$P930)+1)/2,"")</f>
        <v/>
      </c>
      <c r="AD930" s="27">
        <f>IF(ISNUMBER($Q930),COUNTIFS($A$14:$A$1213,$A930,$Q$14:$Q$1213,"&gt;"&amp;$Q930)+(COUNTIFS($A$14:$A$1213,$A930,$Q$14:$Q$1213,"="&amp;$Q930)+1)/2,"")</f>
        <v/>
      </c>
      <c r="AE930" s="27">
        <f>IF(ISNUMBER($R930),COUNTIFS($A$14:$A$1213,$A930,$R$14:$R$1213,"&gt;"&amp;$R930)+(COUNTIFS($A$14:$A$1213,$A930,$R$14:$R$1213,"="&amp;$R930)+1)/2,"")</f>
        <v/>
      </c>
      <c r="AF930" s="27">
        <f>IF(ISNUMBER($S930),COUNTIFS($A$14:$A$1213,$A930,$S$14:$S$1213,"&gt;"&amp;$S930)+(COUNTIFS($A$14:$A$1213,$A930,$S$14:$S$1213,"="&amp;$S930)+1)/2,"")</f>
        <v/>
      </c>
      <c r="AG930" s="27">
        <f>IF(ISNUMBER($T930),COUNTIFS($A$14:$A$1213,$A930,$T$14:$T$1213,"&gt;"&amp;$T930)+(COUNTIFS($A$14:$A$1213,$A930,$T$14:$T$1213,"="&amp;$T930)+1)/2,"")</f>
        <v/>
      </c>
      <c r="AH930" s="27">
        <f>IF(COUNT($AC930:$AG930)&lt;2,"",IF(MAX($AC930:$AG930)=MIN($AC930:$AG930),0,1))</f>
        <v/>
      </c>
      <c r="AI930" s="27">
        <f>IF($A930="","",IF(COUNTIF($A$14:$A930,$A930)=1,COUNTIF($AI$13:AI929,"&gt;0")+1,""))</f>
        <v/>
      </c>
      <c r="AO930" s="27">
        <f>IF($A930="","",IF(AND(COUNTIFS($A$14:$A$1213,$A930,$F$14:$F$1213,"&gt;=0")=2,IFERROR(INDEX($M$14:$M$313,MATCH($A930,$H$14:$H$313,0)),"Yes")&lt;&gt;"Yes"),1,0))</f>
        <v/>
      </c>
    </row>
    <row r="931">
      <c r="A931" s="19">
        <f>IF('Enter messages'!A931="","",'Enter messages'!A931)</f>
        <v/>
      </c>
      <c r="B931" s="20">
        <f>IF('Enter messages'!B931="","",'Enter messages'!B931)</f>
        <v/>
      </c>
      <c r="C931" s="21">
        <f>IFERROR(AVERAGE(P931:T931),"")</f>
        <v/>
      </c>
      <c r="D931" s="29" t="n"/>
      <c r="E931" s="29" t="n"/>
      <c r="F931" s="30">
        <f>IF(AND(ISNUMBER($D931),ISNUMBER($E931),$E931&gt;0,$D931&lt;=$E931),$D931/$E931,"")</f>
        <v/>
      </c>
      <c r="P931" s="26" t="n"/>
      <c r="Q931" s="26" t="n"/>
      <c r="R931" s="26" t="n"/>
      <c r="S931" s="26" t="n"/>
      <c r="T931" s="26" t="n"/>
      <c r="V931" s="27">
        <f>IF(ISNUMBER($C931),COUNTIFS($A$14:$A$1213,$A931,$C$14:$C$1213,"&gt;"&amp;$C931)+(COUNTIFS($A$14:$A$1213,$A931,$C$14:$C$1213,"="&amp;$C931)+1)/2,"")</f>
        <v/>
      </c>
      <c r="W931" s="27">
        <f>IF(ISNUMBER($F931),COUNTIFS($A$14:$A$1213,$A931,$F$14:$F$1213,"&gt;"&amp;$F931)+(COUNTIFS($A$14:$A$1213,$A931,$F$14:$F$1213,"="&amp;$F931)+1)/2,"")</f>
        <v/>
      </c>
      <c r="X931" s="27">
        <f>IF(OR(NOT(ISNUMBER($V931)),$AO931=1),"",$V931-(COUNTIFS($A$14:$A$1213,$A931,$C$14:$C$1213,"&gt;=0")+1)/2)</f>
        <v/>
      </c>
      <c r="Y931" s="27">
        <f>IF(OR(NOT(ISNUMBER($W931)),$AO931=1),"",$W931-(COUNTIFS($A$14:$A$1213,$A931,$F$14:$F$1213,"&gt;=0")+1)/2)</f>
        <v/>
      </c>
      <c r="Z931" s="27">
        <f>IF(ISNUMBER($V931),$A931&amp;"|"&amp;$V931,"")</f>
        <v/>
      </c>
      <c r="AA931" s="27">
        <f>IF(ISNUMBER($W931),$A931&amp;"|"&amp;$W931,"")</f>
        <v/>
      </c>
      <c r="AB931" s="27">
        <f>IF(ISNUMBER($F931),$A931&amp;"|"&amp;$F931,"")</f>
        <v/>
      </c>
      <c r="AC931" s="27">
        <f>IF(ISNUMBER($P931),COUNTIFS($A$14:$A$1213,$A931,$P$14:$P$1213,"&gt;"&amp;$P931)+(COUNTIFS($A$14:$A$1213,$A931,$P$14:$P$1213,"="&amp;$P931)+1)/2,"")</f>
        <v/>
      </c>
      <c r="AD931" s="27">
        <f>IF(ISNUMBER($Q931),COUNTIFS($A$14:$A$1213,$A931,$Q$14:$Q$1213,"&gt;"&amp;$Q931)+(COUNTIFS($A$14:$A$1213,$A931,$Q$14:$Q$1213,"="&amp;$Q931)+1)/2,"")</f>
        <v/>
      </c>
      <c r="AE931" s="27">
        <f>IF(ISNUMBER($R931),COUNTIFS($A$14:$A$1213,$A931,$R$14:$R$1213,"&gt;"&amp;$R931)+(COUNTIFS($A$14:$A$1213,$A931,$R$14:$R$1213,"="&amp;$R931)+1)/2,"")</f>
        <v/>
      </c>
      <c r="AF931" s="27">
        <f>IF(ISNUMBER($S931),COUNTIFS($A$14:$A$1213,$A931,$S$14:$S$1213,"&gt;"&amp;$S931)+(COUNTIFS($A$14:$A$1213,$A931,$S$14:$S$1213,"="&amp;$S931)+1)/2,"")</f>
        <v/>
      </c>
      <c r="AG931" s="27">
        <f>IF(ISNUMBER($T931),COUNTIFS($A$14:$A$1213,$A931,$T$14:$T$1213,"&gt;"&amp;$T931)+(COUNTIFS($A$14:$A$1213,$A931,$T$14:$T$1213,"="&amp;$T931)+1)/2,"")</f>
        <v/>
      </c>
      <c r="AH931" s="27">
        <f>IF(COUNT($AC931:$AG931)&lt;2,"",IF(MAX($AC931:$AG931)=MIN($AC931:$AG931),0,1))</f>
        <v/>
      </c>
      <c r="AI931" s="27">
        <f>IF($A931="","",IF(COUNTIF($A$14:$A931,$A931)=1,COUNTIF($AI$13:AI930,"&gt;0")+1,""))</f>
        <v/>
      </c>
      <c r="AO931" s="27">
        <f>IF($A931="","",IF(AND(COUNTIFS($A$14:$A$1213,$A931,$F$14:$F$1213,"&gt;=0")=2,IFERROR(INDEX($M$14:$M$313,MATCH($A931,$H$14:$H$313,0)),"Yes")&lt;&gt;"Yes"),1,0))</f>
        <v/>
      </c>
    </row>
    <row r="932">
      <c r="A932" s="19">
        <f>IF('Enter messages'!A932="","",'Enter messages'!A932)</f>
        <v/>
      </c>
      <c r="B932" s="20">
        <f>IF('Enter messages'!B932="","",'Enter messages'!B932)</f>
        <v/>
      </c>
      <c r="C932" s="21">
        <f>IFERROR(AVERAGE(P932:T932),"")</f>
        <v/>
      </c>
      <c r="D932" s="29" t="n"/>
      <c r="E932" s="29" t="n"/>
      <c r="F932" s="30">
        <f>IF(AND(ISNUMBER($D932),ISNUMBER($E932),$E932&gt;0,$D932&lt;=$E932),$D932/$E932,"")</f>
        <v/>
      </c>
      <c r="P932" s="26" t="n"/>
      <c r="Q932" s="26" t="n"/>
      <c r="R932" s="26" t="n"/>
      <c r="S932" s="26" t="n"/>
      <c r="T932" s="26" t="n"/>
      <c r="V932" s="27">
        <f>IF(ISNUMBER($C932),COUNTIFS($A$14:$A$1213,$A932,$C$14:$C$1213,"&gt;"&amp;$C932)+(COUNTIFS($A$14:$A$1213,$A932,$C$14:$C$1213,"="&amp;$C932)+1)/2,"")</f>
        <v/>
      </c>
      <c r="W932" s="27">
        <f>IF(ISNUMBER($F932),COUNTIFS($A$14:$A$1213,$A932,$F$14:$F$1213,"&gt;"&amp;$F932)+(COUNTIFS($A$14:$A$1213,$A932,$F$14:$F$1213,"="&amp;$F932)+1)/2,"")</f>
        <v/>
      </c>
      <c r="X932" s="27">
        <f>IF(OR(NOT(ISNUMBER($V932)),$AO932=1),"",$V932-(COUNTIFS($A$14:$A$1213,$A932,$C$14:$C$1213,"&gt;=0")+1)/2)</f>
        <v/>
      </c>
      <c r="Y932" s="27">
        <f>IF(OR(NOT(ISNUMBER($W932)),$AO932=1),"",$W932-(COUNTIFS($A$14:$A$1213,$A932,$F$14:$F$1213,"&gt;=0")+1)/2)</f>
        <v/>
      </c>
      <c r="Z932" s="27">
        <f>IF(ISNUMBER($V932),$A932&amp;"|"&amp;$V932,"")</f>
        <v/>
      </c>
      <c r="AA932" s="27">
        <f>IF(ISNUMBER($W932),$A932&amp;"|"&amp;$W932,"")</f>
        <v/>
      </c>
      <c r="AB932" s="27">
        <f>IF(ISNUMBER($F932),$A932&amp;"|"&amp;$F932,"")</f>
        <v/>
      </c>
      <c r="AC932" s="27">
        <f>IF(ISNUMBER($P932),COUNTIFS($A$14:$A$1213,$A932,$P$14:$P$1213,"&gt;"&amp;$P932)+(COUNTIFS($A$14:$A$1213,$A932,$P$14:$P$1213,"="&amp;$P932)+1)/2,"")</f>
        <v/>
      </c>
      <c r="AD932" s="27">
        <f>IF(ISNUMBER($Q932),COUNTIFS($A$14:$A$1213,$A932,$Q$14:$Q$1213,"&gt;"&amp;$Q932)+(COUNTIFS($A$14:$A$1213,$A932,$Q$14:$Q$1213,"="&amp;$Q932)+1)/2,"")</f>
        <v/>
      </c>
      <c r="AE932" s="27">
        <f>IF(ISNUMBER($R932),COUNTIFS($A$14:$A$1213,$A932,$R$14:$R$1213,"&gt;"&amp;$R932)+(COUNTIFS($A$14:$A$1213,$A932,$R$14:$R$1213,"="&amp;$R932)+1)/2,"")</f>
        <v/>
      </c>
      <c r="AF932" s="27">
        <f>IF(ISNUMBER($S932),COUNTIFS($A$14:$A$1213,$A932,$S$14:$S$1213,"&gt;"&amp;$S932)+(COUNTIFS($A$14:$A$1213,$A932,$S$14:$S$1213,"="&amp;$S932)+1)/2,"")</f>
        <v/>
      </c>
      <c r="AG932" s="27">
        <f>IF(ISNUMBER($T932),COUNTIFS($A$14:$A$1213,$A932,$T$14:$T$1213,"&gt;"&amp;$T932)+(COUNTIFS($A$14:$A$1213,$A932,$T$14:$T$1213,"="&amp;$T932)+1)/2,"")</f>
        <v/>
      </c>
      <c r="AH932" s="27">
        <f>IF(COUNT($AC932:$AG932)&lt;2,"",IF(MAX($AC932:$AG932)=MIN($AC932:$AG932),0,1))</f>
        <v/>
      </c>
      <c r="AI932" s="27">
        <f>IF($A932="","",IF(COUNTIF($A$14:$A932,$A932)=1,COUNTIF($AI$13:AI931,"&gt;0")+1,""))</f>
        <v/>
      </c>
      <c r="AO932" s="27">
        <f>IF($A932="","",IF(AND(COUNTIFS($A$14:$A$1213,$A932,$F$14:$F$1213,"&gt;=0")=2,IFERROR(INDEX($M$14:$M$313,MATCH($A932,$H$14:$H$313,0)),"Yes")&lt;&gt;"Yes"),1,0))</f>
        <v/>
      </c>
    </row>
    <row r="933">
      <c r="A933" s="19">
        <f>IF('Enter messages'!A933="","",'Enter messages'!A933)</f>
        <v/>
      </c>
      <c r="B933" s="20">
        <f>IF('Enter messages'!B933="","",'Enter messages'!B933)</f>
        <v/>
      </c>
      <c r="C933" s="21">
        <f>IFERROR(AVERAGE(P933:T933),"")</f>
        <v/>
      </c>
      <c r="D933" s="29" t="n"/>
      <c r="E933" s="29" t="n"/>
      <c r="F933" s="30">
        <f>IF(AND(ISNUMBER($D933),ISNUMBER($E933),$E933&gt;0,$D933&lt;=$E933),$D933/$E933,"")</f>
        <v/>
      </c>
      <c r="P933" s="26" t="n"/>
      <c r="Q933" s="26" t="n"/>
      <c r="R933" s="26" t="n"/>
      <c r="S933" s="26" t="n"/>
      <c r="T933" s="26" t="n"/>
      <c r="V933" s="27">
        <f>IF(ISNUMBER($C933),COUNTIFS($A$14:$A$1213,$A933,$C$14:$C$1213,"&gt;"&amp;$C933)+(COUNTIFS($A$14:$A$1213,$A933,$C$14:$C$1213,"="&amp;$C933)+1)/2,"")</f>
        <v/>
      </c>
      <c r="W933" s="27">
        <f>IF(ISNUMBER($F933),COUNTIFS($A$14:$A$1213,$A933,$F$14:$F$1213,"&gt;"&amp;$F933)+(COUNTIFS($A$14:$A$1213,$A933,$F$14:$F$1213,"="&amp;$F933)+1)/2,"")</f>
        <v/>
      </c>
      <c r="X933" s="27">
        <f>IF(OR(NOT(ISNUMBER($V933)),$AO933=1),"",$V933-(COUNTIFS($A$14:$A$1213,$A933,$C$14:$C$1213,"&gt;=0")+1)/2)</f>
        <v/>
      </c>
      <c r="Y933" s="27">
        <f>IF(OR(NOT(ISNUMBER($W933)),$AO933=1),"",$W933-(COUNTIFS($A$14:$A$1213,$A933,$F$14:$F$1213,"&gt;=0")+1)/2)</f>
        <v/>
      </c>
      <c r="Z933" s="27">
        <f>IF(ISNUMBER($V933),$A933&amp;"|"&amp;$V933,"")</f>
        <v/>
      </c>
      <c r="AA933" s="27">
        <f>IF(ISNUMBER($W933),$A933&amp;"|"&amp;$W933,"")</f>
        <v/>
      </c>
      <c r="AB933" s="27">
        <f>IF(ISNUMBER($F933),$A933&amp;"|"&amp;$F933,"")</f>
        <v/>
      </c>
      <c r="AC933" s="27">
        <f>IF(ISNUMBER($P933),COUNTIFS($A$14:$A$1213,$A933,$P$14:$P$1213,"&gt;"&amp;$P933)+(COUNTIFS($A$14:$A$1213,$A933,$P$14:$P$1213,"="&amp;$P933)+1)/2,"")</f>
        <v/>
      </c>
      <c r="AD933" s="27">
        <f>IF(ISNUMBER($Q933),COUNTIFS($A$14:$A$1213,$A933,$Q$14:$Q$1213,"&gt;"&amp;$Q933)+(COUNTIFS($A$14:$A$1213,$A933,$Q$14:$Q$1213,"="&amp;$Q933)+1)/2,"")</f>
        <v/>
      </c>
      <c r="AE933" s="27">
        <f>IF(ISNUMBER($R933),COUNTIFS($A$14:$A$1213,$A933,$R$14:$R$1213,"&gt;"&amp;$R933)+(COUNTIFS($A$14:$A$1213,$A933,$R$14:$R$1213,"="&amp;$R933)+1)/2,"")</f>
        <v/>
      </c>
      <c r="AF933" s="27">
        <f>IF(ISNUMBER($S933),COUNTIFS($A$14:$A$1213,$A933,$S$14:$S$1213,"&gt;"&amp;$S933)+(COUNTIFS($A$14:$A$1213,$A933,$S$14:$S$1213,"="&amp;$S933)+1)/2,"")</f>
        <v/>
      </c>
      <c r="AG933" s="27">
        <f>IF(ISNUMBER($T933),COUNTIFS($A$14:$A$1213,$A933,$T$14:$T$1213,"&gt;"&amp;$T933)+(COUNTIFS($A$14:$A$1213,$A933,$T$14:$T$1213,"="&amp;$T933)+1)/2,"")</f>
        <v/>
      </c>
      <c r="AH933" s="27">
        <f>IF(COUNT($AC933:$AG933)&lt;2,"",IF(MAX($AC933:$AG933)=MIN($AC933:$AG933),0,1))</f>
        <v/>
      </c>
      <c r="AI933" s="27">
        <f>IF($A933="","",IF(COUNTIF($A$14:$A933,$A933)=1,COUNTIF($AI$13:AI932,"&gt;0")+1,""))</f>
        <v/>
      </c>
      <c r="AO933" s="27">
        <f>IF($A933="","",IF(AND(COUNTIFS($A$14:$A$1213,$A933,$F$14:$F$1213,"&gt;=0")=2,IFERROR(INDEX($M$14:$M$313,MATCH($A933,$H$14:$H$313,0)),"Yes")&lt;&gt;"Yes"),1,0))</f>
        <v/>
      </c>
    </row>
    <row r="934">
      <c r="A934" s="19">
        <f>IF('Enter messages'!A934="","",'Enter messages'!A934)</f>
        <v/>
      </c>
      <c r="B934" s="20">
        <f>IF('Enter messages'!B934="","",'Enter messages'!B934)</f>
        <v/>
      </c>
      <c r="C934" s="21">
        <f>IFERROR(AVERAGE(P934:T934),"")</f>
        <v/>
      </c>
      <c r="D934" s="29" t="n"/>
      <c r="E934" s="29" t="n"/>
      <c r="F934" s="30">
        <f>IF(AND(ISNUMBER($D934),ISNUMBER($E934),$E934&gt;0,$D934&lt;=$E934),$D934/$E934,"")</f>
        <v/>
      </c>
      <c r="P934" s="26" t="n"/>
      <c r="Q934" s="26" t="n"/>
      <c r="R934" s="26" t="n"/>
      <c r="S934" s="26" t="n"/>
      <c r="T934" s="26" t="n"/>
      <c r="V934" s="27">
        <f>IF(ISNUMBER($C934),COUNTIFS($A$14:$A$1213,$A934,$C$14:$C$1213,"&gt;"&amp;$C934)+(COUNTIFS($A$14:$A$1213,$A934,$C$14:$C$1213,"="&amp;$C934)+1)/2,"")</f>
        <v/>
      </c>
      <c r="W934" s="27">
        <f>IF(ISNUMBER($F934),COUNTIFS($A$14:$A$1213,$A934,$F$14:$F$1213,"&gt;"&amp;$F934)+(COUNTIFS($A$14:$A$1213,$A934,$F$14:$F$1213,"="&amp;$F934)+1)/2,"")</f>
        <v/>
      </c>
      <c r="X934" s="27">
        <f>IF(OR(NOT(ISNUMBER($V934)),$AO934=1),"",$V934-(COUNTIFS($A$14:$A$1213,$A934,$C$14:$C$1213,"&gt;=0")+1)/2)</f>
        <v/>
      </c>
      <c r="Y934" s="27">
        <f>IF(OR(NOT(ISNUMBER($W934)),$AO934=1),"",$W934-(COUNTIFS($A$14:$A$1213,$A934,$F$14:$F$1213,"&gt;=0")+1)/2)</f>
        <v/>
      </c>
      <c r="Z934" s="27">
        <f>IF(ISNUMBER($V934),$A934&amp;"|"&amp;$V934,"")</f>
        <v/>
      </c>
      <c r="AA934" s="27">
        <f>IF(ISNUMBER($W934),$A934&amp;"|"&amp;$W934,"")</f>
        <v/>
      </c>
      <c r="AB934" s="27">
        <f>IF(ISNUMBER($F934),$A934&amp;"|"&amp;$F934,"")</f>
        <v/>
      </c>
      <c r="AC934" s="27">
        <f>IF(ISNUMBER($P934),COUNTIFS($A$14:$A$1213,$A934,$P$14:$P$1213,"&gt;"&amp;$P934)+(COUNTIFS($A$14:$A$1213,$A934,$P$14:$P$1213,"="&amp;$P934)+1)/2,"")</f>
        <v/>
      </c>
      <c r="AD934" s="27">
        <f>IF(ISNUMBER($Q934),COUNTIFS($A$14:$A$1213,$A934,$Q$14:$Q$1213,"&gt;"&amp;$Q934)+(COUNTIFS($A$14:$A$1213,$A934,$Q$14:$Q$1213,"="&amp;$Q934)+1)/2,"")</f>
        <v/>
      </c>
      <c r="AE934" s="27">
        <f>IF(ISNUMBER($R934),COUNTIFS($A$14:$A$1213,$A934,$R$14:$R$1213,"&gt;"&amp;$R934)+(COUNTIFS($A$14:$A$1213,$A934,$R$14:$R$1213,"="&amp;$R934)+1)/2,"")</f>
        <v/>
      </c>
      <c r="AF934" s="27">
        <f>IF(ISNUMBER($S934),COUNTIFS($A$14:$A$1213,$A934,$S$14:$S$1213,"&gt;"&amp;$S934)+(COUNTIFS($A$14:$A$1213,$A934,$S$14:$S$1213,"="&amp;$S934)+1)/2,"")</f>
        <v/>
      </c>
      <c r="AG934" s="27">
        <f>IF(ISNUMBER($T934),COUNTIFS($A$14:$A$1213,$A934,$T$14:$T$1213,"&gt;"&amp;$T934)+(COUNTIFS($A$14:$A$1213,$A934,$T$14:$T$1213,"="&amp;$T934)+1)/2,"")</f>
        <v/>
      </c>
      <c r="AH934" s="27">
        <f>IF(COUNT($AC934:$AG934)&lt;2,"",IF(MAX($AC934:$AG934)=MIN($AC934:$AG934),0,1))</f>
        <v/>
      </c>
      <c r="AI934" s="27">
        <f>IF($A934="","",IF(COUNTIF($A$14:$A934,$A934)=1,COUNTIF($AI$13:AI933,"&gt;0")+1,""))</f>
        <v/>
      </c>
      <c r="AO934" s="27">
        <f>IF($A934="","",IF(AND(COUNTIFS($A$14:$A$1213,$A934,$F$14:$F$1213,"&gt;=0")=2,IFERROR(INDEX($M$14:$M$313,MATCH($A934,$H$14:$H$313,0)),"Yes")&lt;&gt;"Yes"),1,0))</f>
        <v/>
      </c>
    </row>
    <row r="935">
      <c r="A935" s="19">
        <f>IF('Enter messages'!A935="","",'Enter messages'!A935)</f>
        <v/>
      </c>
      <c r="B935" s="20">
        <f>IF('Enter messages'!B935="","",'Enter messages'!B935)</f>
        <v/>
      </c>
      <c r="C935" s="21">
        <f>IFERROR(AVERAGE(P935:T935),"")</f>
        <v/>
      </c>
      <c r="D935" s="29" t="n"/>
      <c r="E935" s="29" t="n"/>
      <c r="F935" s="30">
        <f>IF(AND(ISNUMBER($D935),ISNUMBER($E935),$E935&gt;0,$D935&lt;=$E935),$D935/$E935,"")</f>
        <v/>
      </c>
      <c r="P935" s="26" t="n"/>
      <c r="Q935" s="26" t="n"/>
      <c r="R935" s="26" t="n"/>
      <c r="S935" s="26" t="n"/>
      <c r="T935" s="26" t="n"/>
      <c r="V935" s="27">
        <f>IF(ISNUMBER($C935),COUNTIFS($A$14:$A$1213,$A935,$C$14:$C$1213,"&gt;"&amp;$C935)+(COUNTIFS($A$14:$A$1213,$A935,$C$14:$C$1213,"="&amp;$C935)+1)/2,"")</f>
        <v/>
      </c>
      <c r="W935" s="27">
        <f>IF(ISNUMBER($F935),COUNTIFS($A$14:$A$1213,$A935,$F$14:$F$1213,"&gt;"&amp;$F935)+(COUNTIFS($A$14:$A$1213,$A935,$F$14:$F$1213,"="&amp;$F935)+1)/2,"")</f>
        <v/>
      </c>
      <c r="X935" s="27">
        <f>IF(OR(NOT(ISNUMBER($V935)),$AO935=1),"",$V935-(COUNTIFS($A$14:$A$1213,$A935,$C$14:$C$1213,"&gt;=0")+1)/2)</f>
        <v/>
      </c>
      <c r="Y935" s="27">
        <f>IF(OR(NOT(ISNUMBER($W935)),$AO935=1),"",$W935-(COUNTIFS($A$14:$A$1213,$A935,$F$14:$F$1213,"&gt;=0")+1)/2)</f>
        <v/>
      </c>
      <c r="Z935" s="27">
        <f>IF(ISNUMBER($V935),$A935&amp;"|"&amp;$V935,"")</f>
        <v/>
      </c>
      <c r="AA935" s="27">
        <f>IF(ISNUMBER($W935),$A935&amp;"|"&amp;$W935,"")</f>
        <v/>
      </c>
      <c r="AB935" s="27">
        <f>IF(ISNUMBER($F935),$A935&amp;"|"&amp;$F935,"")</f>
        <v/>
      </c>
      <c r="AC935" s="27">
        <f>IF(ISNUMBER($P935),COUNTIFS($A$14:$A$1213,$A935,$P$14:$P$1213,"&gt;"&amp;$P935)+(COUNTIFS($A$14:$A$1213,$A935,$P$14:$P$1213,"="&amp;$P935)+1)/2,"")</f>
        <v/>
      </c>
      <c r="AD935" s="27">
        <f>IF(ISNUMBER($Q935),COUNTIFS($A$14:$A$1213,$A935,$Q$14:$Q$1213,"&gt;"&amp;$Q935)+(COUNTIFS($A$14:$A$1213,$A935,$Q$14:$Q$1213,"="&amp;$Q935)+1)/2,"")</f>
        <v/>
      </c>
      <c r="AE935" s="27">
        <f>IF(ISNUMBER($R935),COUNTIFS($A$14:$A$1213,$A935,$R$14:$R$1213,"&gt;"&amp;$R935)+(COUNTIFS($A$14:$A$1213,$A935,$R$14:$R$1213,"="&amp;$R935)+1)/2,"")</f>
        <v/>
      </c>
      <c r="AF935" s="27">
        <f>IF(ISNUMBER($S935),COUNTIFS($A$14:$A$1213,$A935,$S$14:$S$1213,"&gt;"&amp;$S935)+(COUNTIFS($A$14:$A$1213,$A935,$S$14:$S$1213,"="&amp;$S935)+1)/2,"")</f>
        <v/>
      </c>
      <c r="AG935" s="27">
        <f>IF(ISNUMBER($T935),COUNTIFS($A$14:$A$1213,$A935,$T$14:$T$1213,"&gt;"&amp;$T935)+(COUNTIFS($A$14:$A$1213,$A935,$T$14:$T$1213,"="&amp;$T935)+1)/2,"")</f>
        <v/>
      </c>
      <c r="AH935" s="27">
        <f>IF(COUNT($AC935:$AG935)&lt;2,"",IF(MAX($AC935:$AG935)=MIN($AC935:$AG935),0,1))</f>
        <v/>
      </c>
      <c r="AI935" s="27">
        <f>IF($A935="","",IF(COUNTIF($A$14:$A935,$A935)=1,COUNTIF($AI$13:AI934,"&gt;0")+1,""))</f>
        <v/>
      </c>
      <c r="AO935" s="27">
        <f>IF($A935="","",IF(AND(COUNTIFS($A$14:$A$1213,$A935,$F$14:$F$1213,"&gt;=0")=2,IFERROR(INDEX($M$14:$M$313,MATCH($A935,$H$14:$H$313,0)),"Yes")&lt;&gt;"Yes"),1,0))</f>
        <v/>
      </c>
    </row>
    <row r="936">
      <c r="A936" s="19">
        <f>IF('Enter messages'!A936="","",'Enter messages'!A936)</f>
        <v/>
      </c>
      <c r="B936" s="20">
        <f>IF('Enter messages'!B936="","",'Enter messages'!B936)</f>
        <v/>
      </c>
      <c r="C936" s="21">
        <f>IFERROR(AVERAGE(P936:T936),"")</f>
        <v/>
      </c>
      <c r="D936" s="29" t="n"/>
      <c r="E936" s="29" t="n"/>
      <c r="F936" s="30">
        <f>IF(AND(ISNUMBER($D936),ISNUMBER($E936),$E936&gt;0,$D936&lt;=$E936),$D936/$E936,"")</f>
        <v/>
      </c>
      <c r="P936" s="26" t="n"/>
      <c r="Q936" s="26" t="n"/>
      <c r="R936" s="26" t="n"/>
      <c r="S936" s="26" t="n"/>
      <c r="T936" s="26" t="n"/>
      <c r="V936" s="27">
        <f>IF(ISNUMBER($C936),COUNTIFS($A$14:$A$1213,$A936,$C$14:$C$1213,"&gt;"&amp;$C936)+(COUNTIFS($A$14:$A$1213,$A936,$C$14:$C$1213,"="&amp;$C936)+1)/2,"")</f>
        <v/>
      </c>
      <c r="W936" s="27">
        <f>IF(ISNUMBER($F936),COUNTIFS($A$14:$A$1213,$A936,$F$14:$F$1213,"&gt;"&amp;$F936)+(COUNTIFS($A$14:$A$1213,$A936,$F$14:$F$1213,"="&amp;$F936)+1)/2,"")</f>
        <v/>
      </c>
      <c r="X936" s="27">
        <f>IF(OR(NOT(ISNUMBER($V936)),$AO936=1),"",$V936-(COUNTIFS($A$14:$A$1213,$A936,$C$14:$C$1213,"&gt;=0")+1)/2)</f>
        <v/>
      </c>
      <c r="Y936" s="27">
        <f>IF(OR(NOT(ISNUMBER($W936)),$AO936=1),"",$W936-(COUNTIFS($A$14:$A$1213,$A936,$F$14:$F$1213,"&gt;=0")+1)/2)</f>
        <v/>
      </c>
      <c r="Z936" s="27">
        <f>IF(ISNUMBER($V936),$A936&amp;"|"&amp;$V936,"")</f>
        <v/>
      </c>
      <c r="AA936" s="27">
        <f>IF(ISNUMBER($W936),$A936&amp;"|"&amp;$W936,"")</f>
        <v/>
      </c>
      <c r="AB936" s="27">
        <f>IF(ISNUMBER($F936),$A936&amp;"|"&amp;$F936,"")</f>
        <v/>
      </c>
      <c r="AC936" s="27">
        <f>IF(ISNUMBER($P936),COUNTIFS($A$14:$A$1213,$A936,$P$14:$P$1213,"&gt;"&amp;$P936)+(COUNTIFS($A$14:$A$1213,$A936,$P$14:$P$1213,"="&amp;$P936)+1)/2,"")</f>
        <v/>
      </c>
      <c r="AD936" s="27">
        <f>IF(ISNUMBER($Q936),COUNTIFS($A$14:$A$1213,$A936,$Q$14:$Q$1213,"&gt;"&amp;$Q936)+(COUNTIFS($A$14:$A$1213,$A936,$Q$14:$Q$1213,"="&amp;$Q936)+1)/2,"")</f>
        <v/>
      </c>
      <c r="AE936" s="27">
        <f>IF(ISNUMBER($R936),COUNTIFS($A$14:$A$1213,$A936,$R$14:$R$1213,"&gt;"&amp;$R936)+(COUNTIFS($A$14:$A$1213,$A936,$R$14:$R$1213,"="&amp;$R936)+1)/2,"")</f>
        <v/>
      </c>
      <c r="AF936" s="27">
        <f>IF(ISNUMBER($S936),COUNTIFS($A$14:$A$1213,$A936,$S$14:$S$1213,"&gt;"&amp;$S936)+(COUNTIFS($A$14:$A$1213,$A936,$S$14:$S$1213,"="&amp;$S936)+1)/2,"")</f>
        <v/>
      </c>
      <c r="AG936" s="27">
        <f>IF(ISNUMBER($T936),COUNTIFS($A$14:$A$1213,$A936,$T$14:$T$1213,"&gt;"&amp;$T936)+(COUNTIFS($A$14:$A$1213,$A936,$T$14:$T$1213,"="&amp;$T936)+1)/2,"")</f>
        <v/>
      </c>
      <c r="AH936" s="27">
        <f>IF(COUNT($AC936:$AG936)&lt;2,"",IF(MAX($AC936:$AG936)=MIN($AC936:$AG936),0,1))</f>
        <v/>
      </c>
      <c r="AI936" s="27">
        <f>IF($A936="","",IF(COUNTIF($A$14:$A936,$A936)=1,COUNTIF($AI$13:AI935,"&gt;0")+1,""))</f>
        <v/>
      </c>
      <c r="AO936" s="27">
        <f>IF($A936="","",IF(AND(COUNTIFS($A$14:$A$1213,$A936,$F$14:$F$1213,"&gt;=0")=2,IFERROR(INDEX($M$14:$M$313,MATCH($A936,$H$14:$H$313,0)),"Yes")&lt;&gt;"Yes"),1,0))</f>
        <v/>
      </c>
    </row>
    <row r="937">
      <c r="A937" s="19">
        <f>IF('Enter messages'!A937="","",'Enter messages'!A937)</f>
        <v/>
      </c>
      <c r="B937" s="20">
        <f>IF('Enter messages'!B937="","",'Enter messages'!B937)</f>
        <v/>
      </c>
      <c r="C937" s="21">
        <f>IFERROR(AVERAGE(P937:T937),"")</f>
        <v/>
      </c>
      <c r="D937" s="29" t="n"/>
      <c r="E937" s="29" t="n"/>
      <c r="F937" s="30">
        <f>IF(AND(ISNUMBER($D937),ISNUMBER($E937),$E937&gt;0,$D937&lt;=$E937),$D937/$E937,"")</f>
        <v/>
      </c>
      <c r="P937" s="26" t="n"/>
      <c r="Q937" s="26" t="n"/>
      <c r="R937" s="26" t="n"/>
      <c r="S937" s="26" t="n"/>
      <c r="T937" s="26" t="n"/>
      <c r="V937" s="27">
        <f>IF(ISNUMBER($C937),COUNTIFS($A$14:$A$1213,$A937,$C$14:$C$1213,"&gt;"&amp;$C937)+(COUNTIFS($A$14:$A$1213,$A937,$C$14:$C$1213,"="&amp;$C937)+1)/2,"")</f>
        <v/>
      </c>
      <c r="W937" s="27">
        <f>IF(ISNUMBER($F937),COUNTIFS($A$14:$A$1213,$A937,$F$14:$F$1213,"&gt;"&amp;$F937)+(COUNTIFS($A$14:$A$1213,$A937,$F$14:$F$1213,"="&amp;$F937)+1)/2,"")</f>
        <v/>
      </c>
      <c r="X937" s="27">
        <f>IF(OR(NOT(ISNUMBER($V937)),$AO937=1),"",$V937-(COUNTIFS($A$14:$A$1213,$A937,$C$14:$C$1213,"&gt;=0")+1)/2)</f>
        <v/>
      </c>
      <c r="Y937" s="27">
        <f>IF(OR(NOT(ISNUMBER($W937)),$AO937=1),"",$W937-(COUNTIFS($A$14:$A$1213,$A937,$F$14:$F$1213,"&gt;=0")+1)/2)</f>
        <v/>
      </c>
      <c r="Z937" s="27">
        <f>IF(ISNUMBER($V937),$A937&amp;"|"&amp;$V937,"")</f>
        <v/>
      </c>
      <c r="AA937" s="27">
        <f>IF(ISNUMBER($W937),$A937&amp;"|"&amp;$W937,"")</f>
        <v/>
      </c>
      <c r="AB937" s="27">
        <f>IF(ISNUMBER($F937),$A937&amp;"|"&amp;$F937,"")</f>
        <v/>
      </c>
      <c r="AC937" s="27">
        <f>IF(ISNUMBER($P937),COUNTIFS($A$14:$A$1213,$A937,$P$14:$P$1213,"&gt;"&amp;$P937)+(COUNTIFS($A$14:$A$1213,$A937,$P$14:$P$1213,"="&amp;$P937)+1)/2,"")</f>
        <v/>
      </c>
      <c r="AD937" s="27">
        <f>IF(ISNUMBER($Q937),COUNTIFS($A$14:$A$1213,$A937,$Q$14:$Q$1213,"&gt;"&amp;$Q937)+(COUNTIFS($A$14:$A$1213,$A937,$Q$14:$Q$1213,"="&amp;$Q937)+1)/2,"")</f>
        <v/>
      </c>
      <c r="AE937" s="27">
        <f>IF(ISNUMBER($R937),COUNTIFS($A$14:$A$1213,$A937,$R$14:$R$1213,"&gt;"&amp;$R937)+(COUNTIFS($A$14:$A$1213,$A937,$R$14:$R$1213,"="&amp;$R937)+1)/2,"")</f>
        <v/>
      </c>
      <c r="AF937" s="27">
        <f>IF(ISNUMBER($S937),COUNTIFS($A$14:$A$1213,$A937,$S$14:$S$1213,"&gt;"&amp;$S937)+(COUNTIFS($A$14:$A$1213,$A937,$S$14:$S$1213,"="&amp;$S937)+1)/2,"")</f>
        <v/>
      </c>
      <c r="AG937" s="27">
        <f>IF(ISNUMBER($T937),COUNTIFS($A$14:$A$1213,$A937,$T$14:$T$1213,"&gt;"&amp;$T937)+(COUNTIFS($A$14:$A$1213,$A937,$T$14:$T$1213,"="&amp;$T937)+1)/2,"")</f>
        <v/>
      </c>
      <c r="AH937" s="27">
        <f>IF(COUNT($AC937:$AG937)&lt;2,"",IF(MAX($AC937:$AG937)=MIN($AC937:$AG937),0,1))</f>
        <v/>
      </c>
      <c r="AI937" s="27">
        <f>IF($A937="","",IF(COUNTIF($A$14:$A937,$A937)=1,COUNTIF($AI$13:AI936,"&gt;0")+1,""))</f>
        <v/>
      </c>
      <c r="AO937" s="27">
        <f>IF($A937="","",IF(AND(COUNTIFS($A$14:$A$1213,$A937,$F$14:$F$1213,"&gt;=0")=2,IFERROR(INDEX($M$14:$M$313,MATCH($A937,$H$14:$H$313,0)),"Yes")&lt;&gt;"Yes"),1,0))</f>
        <v/>
      </c>
    </row>
    <row r="938">
      <c r="A938" s="19">
        <f>IF('Enter messages'!A938="","",'Enter messages'!A938)</f>
        <v/>
      </c>
      <c r="B938" s="20">
        <f>IF('Enter messages'!B938="","",'Enter messages'!B938)</f>
        <v/>
      </c>
      <c r="C938" s="21">
        <f>IFERROR(AVERAGE(P938:T938),"")</f>
        <v/>
      </c>
      <c r="D938" s="29" t="n"/>
      <c r="E938" s="29" t="n"/>
      <c r="F938" s="30">
        <f>IF(AND(ISNUMBER($D938),ISNUMBER($E938),$E938&gt;0,$D938&lt;=$E938),$D938/$E938,"")</f>
        <v/>
      </c>
      <c r="P938" s="26" t="n"/>
      <c r="Q938" s="26" t="n"/>
      <c r="R938" s="26" t="n"/>
      <c r="S938" s="26" t="n"/>
      <c r="T938" s="26" t="n"/>
      <c r="V938" s="27">
        <f>IF(ISNUMBER($C938),COUNTIFS($A$14:$A$1213,$A938,$C$14:$C$1213,"&gt;"&amp;$C938)+(COUNTIFS($A$14:$A$1213,$A938,$C$14:$C$1213,"="&amp;$C938)+1)/2,"")</f>
        <v/>
      </c>
      <c r="W938" s="27">
        <f>IF(ISNUMBER($F938),COUNTIFS($A$14:$A$1213,$A938,$F$14:$F$1213,"&gt;"&amp;$F938)+(COUNTIFS($A$14:$A$1213,$A938,$F$14:$F$1213,"="&amp;$F938)+1)/2,"")</f>
        <v/>
      </c>
      <c r="X938" s="27">
        <f>IF(OR(NOT(ISNUMBER($V938)),$AO938=1),"",$V938-(COUNTIFS($A$14:$A$1213,$A938,$C$14:$C$1213,"&gt;=0")+1)/2)</f>
        <v/>
      </c>
      <c r="Y938" s="27">
        <f>IF(OR(NOT(ISNUMBER($W938)),$AO938=1),"",$W938-(COUNTIFS($A$14:$A$1213,$A938,$F$14:$F$1213,"&gt;=0")+1)/2)</f>
        <v/>
      </c>
      <c r="Z938" s="27">
        <f>IF(ISNUMBER($V938),$A938&amp;"|"&amp;$V938,"")</f>
        <v/>
      </c>
      <c r="AA938" s="27">
        <f>IF(ISNUMBER($W938),$A938&amp;"|"&amp;$W938,"")</f>
        <v/>
      </c>
      <c r="AB938" s="27">
        <f>IF(ISNUMBER($F938),$A938&amp;"|"&amp;$F938,"")</f>
        <v/>
      </c>
      <c r="AC938" s="27">
        <f>IF(ISNUMBER($P938),COUNTIFS($A$14:$A$1213,$A938,$P$14:$P$1213,"&gt;"&amp;$P938)+(COUNTIFS($A$14:$A$1213,$A938,$P$14:$P$1213,"="&amp;$P938)+1)/2,"")</f>
        <v/>
      </c>
      <c r="AD938" s="27">
        <f>IF(ISNUMBER($Q938),COUNTIFS($A$14:$A$1213,$A938,$Q$14:$Q$1213,"&gt;"&amp;$Q938)+(COUNTIFS($A$14:$A$1213,$A938,$Q$14:$Q$1213,"="&amp;$Q938)+1)/2,"")</f>
        <v/>
      </c>
      <c r="AE938" s="27">
        <f>IF(ISNUMBER($R938),COUNTIFS($A$14:$A$1213,$A938,$R$14:$R$1213,"&gt;"&amp;$R938)+(COUNTIFS($A$14:$A$1213,$A938,$R$14:$R$1213,"="&amp;$R938)+1)/2,"")</f>
        <v/>
      </c>
      <c r="AF938" s="27">
        <f>IF(ISNUMBER($S938),COUNTIFS($A$14:$A$1213,$A938,$S$14:$S$1213,"&gt;"&amp;$S938)+(COUNTIFS($A$14:$A$1213,$A938,$S$14:$S$1213,"="&amp;$S938)+1)/2,"")</f>
        <v/>
      </c>
      <c r="AG938" s="27">
        <f>IF(ISNUMBER($T938),COUNTIFS($A$14:$A$1213,$A938,$T$14:$T$1213,"&gt;"&amp;$T938)+(COUNTIFS($A$14:$A$1213,$A938,$T$14:$T$1213,"="&amp;$T938)+1)/2,"")</f>
        <v/>
      </c>
      <c r="AH938" s="27">
        <f>IF(COUNT($AC938:$AG938)&lt;2,"",IF(MAX($AC938:$AG938)=MIN($AC938:$AG938),0,1))</f>
        <v/>
      </c>
      <c r="AI938" s="27">
        <f>IF($A938="","",IF(COUNTIF($A$14:$A938,$A938)=1,COUNTIF($AI$13:AI937,"&gt;0")+1,""))</f>
        <v/>
      </c>
      <c r="AO938" s="27">
        <f>IF($A938="","",IF(AND(COUNTIFS($A$14:$A$1213,$A938,$F$14:$F$1213,"&gt;=0")=2,IFERROR(INDEX($M$14:$M$313,MATCH($A938,$H$14:$H$313,0)),"Yes")&lt;&gt;"Yes"),1,0))</f>
        <v/>
      </c>
    </row>
    <row r="939">
      <c r="A939" s="19">
        <f>IF('Enter messages'!A939="","",'Enter messages'!A939)</f>
        <v/>
      </c>
      <c r="B939" s="20">
        <f>IF('Enter messages'!B939="","",'Enter messages'!B939)</f>
        <v/>
      </c>
      <c r="C939" s="21">
        <f>IFERROR(AVERAGE(P939:T939),"")</f>
        <v/>
      </c>
      <c r="D939" s="29" t="n"/>
      <c r="E939" s="29" t="n"/>
      <c r="F939" s="30">
        <f>IF(AND(ISNUMBER($D939),ISNUMBER($E939),$E939&gt;0,$D939&lt;=$E939),$D939/$E939,"")</f>
        <v/>
      </c>
      <c r="P939" s="26" t="n"/>
      <c r="Q939" s="26" t="n"/>
      <c r="R939" s="26" t="n"/>
      <c r="S939" s="26" t="n"/>
      <c r="T939" s="26" t="n"/>
      <c r="V939" s="27">
        <f>IF(ISNUMBER($C939),COUNTIFS($A$14:$A$1213,$A939,$C$14:$C$1213,"&gt;"&amp;$C939)+(COUNTIFS($A$14:$A$1213,$A939,$C$14:$C$1213,"="&amp;$C939)+1)/2,"")</f>
        <v/>
      </c>
      <c r="W939" s="27">
        <f>IF(ISNUMBER($F939),COUNTIFS($A$14:$A$1213,$A939,$F$14:$F$1213,"&gt;"&amp;$F939)+(COUNTIFS($A$14:$A$1213,$A939,$F$14:$F$1213,"="&amp;$F939)+1)/2,"")</f>
        <v/>
      </c>
      <c r="X939" s="27">
        <f>IF(OR(NOT(ISNUMBER($V939)),$AO939=1),"",$V939-(COUNTIFS($A$14:$A$1213,$A939,$C$14:$C$1213,"&gt;=0")+1)/2)</f>
        <v/>
      </c>
      <c r="Y939" s="27">
        <f>IF(OR(NOT(ISNUMBER($W939)),$AO939=1),"",$W939-(COUNTIFS($A$14:$A$1213,$A939,$F$14:$F$1213,"&gt;=0")+1)/2)</f>
        <v/>
      </c>
      <c r="Z939" s="27">
        <f>IF(ISNUMBER($V939),$A939&amp;"|"&amp;$V939,"")</f>
        <v/>
      </c>
      <c r="AA939" s="27">
        <f>IF(ISNUMBER($W939),$A939&amp;"|"&amp;$W939,"")</f>
        <v/>
      </c>
      <c r="AB939" s="27">
        <f>IF(ISNUMBER($F939),$A939&amp;"|"&amp;$F939,"")</f>
        <v/>
      </c>
      <c r="AC939" s="27">
        <f>IF(ISNUMBER($P939),COUNTIFS($A$14:$A$1213,$A939,$P$14:$P$1213,"&gt;"&amp;$P939)+(COUNTIFS($A$14:$A$1213,$A939,$P$14:$P$1213,"="&amp;$P939)+1)/2,"")</f>
        <v/>
      </c>
      <c r="AD939" s="27">
        <f>IF(ISNUMBER($Q939),COUNTIFS($A$14:$A$1213,$A939,$Q$14:$Q$1213,"&gt;"&amp;$Q939)+(COUNTIFS($A$14:$A$1213,$A939,$Q$14:$Q$1213,"="&amp;$Q939)+1)/2,"")</f>
        <v/>
      </c>
      <c r="AE939" s="27">
        <f>IF(ISNUMBER($R939),COUNTIFS($A$14:$A$1213,$A939,$R$14:$R$1213,"&gt;"&amp;$R939)+(COUNTIFS($A$14:$A$1213,$A939,$R$14:$R$1213,"="&amp;$R939)+1)/2,"")</f>
        <v/>
      </c>
      <c r="AF939" s="27">
        <f>IF(ISNUMBER($S939),COUNTIFS($A$14:$A$1213,$A939,$S$14:$S$1213,"&gt;"&amp;$S939)+(COUNTIFS($A$14:$A$1213,$A939,$S$14:$S$1213,"="&amp;$S939)+1)/2,"")</f>
        <v/>
      </c>
      <c r="AG939" s="27">
        <f>IF(ISNUMBER($T939),COUNTIFS($A$14:$A$1213,$A939,$T$14:$T$1213,"&gt;"&amp;$T939)+(COUNTIFS($A$14:$A$1213,$A939,$T$14:$T$1213,"="&amp;$T939)+1)/2,"")</f>
        <v/>
      </c>
      <c r="AH939" s="27">
        <f>IF(COUNT($AC939:$AG939)&lt;2,"",IF(MAX($AC939:$AG939)=MIN($AC939:$AG939),0,1))</f>
        <v/>
      </c>
      <c r="AI939" s="27">
        <f>IF($A939="","",IF(COUNTIF($A$14:$A939,$A939)=1,COUNTIF($AI$13:AI938,"&gt;0")+1,""))</f>
        <v/>
      </c>
      <c r="AO939" s="27">
        <f>IF($A939="","",IF(AND(COUNTIFS($A$14:$A$1213,$A939,$F$14:$F$1213,"&gt;=0")=2,IFERROR(INDEX($M$14:$M$313,MATCH($A939,$H$14:$H$313,0)),"Yes")&lt;&gt;"Yes"),1,0))</f>
        <v/>
      </c>
    </row>
    <row r="940">
      <c r="A940" s="19">
        <f>IF('Enter messages'!A940="","",'Enter messages'!A940)</f>
        <v/>
      </c>
      <c r="B940" s="20">
        <f>IF('Enter messages'!B940="","",'Enter messages'!B940)</f>
        <v/>
      </c>
      <c r="C940" s="21">
        <f>IFERROR(AVERAGE(P940:T940),"")</f>
        <v/>
      </c>
      <c r="D940" s="29" t="n"/>
      <c r="E940" s="29" t="n"/>
      <c r="F940" s="30">
        <f>IF(AND(ISNUMBER($D940),ISNUMBER($E940),$E940&gt;0,$D940&lt;=$E940),$D940/$E940,"")</f>
        <v/>
      </c>
      <c r="P940" s="26" t="n"/>
      <c r="Q940" s="26" t="n"/>
      <c r="R940" s="26" t="n"/>
      <c r="S940" s="26" t="n"/>
      <c r="T940" s="26" t="n"/>
      <c r="V940" s="27">
        <f>IF(ISNUMBER($C940),COUNTIFS($A$14:$A$1213,$A940,$C$14:$C$1213,"&gt;"&amp;$C940)+(COUNTIFS($A$14:$A$1213,$A940,$C$14:$C$1213,"="&amp;$C940)+1)/2,"")</f>
        <v/>
      </c>
      <c r="W940" s="27">
        <f>IF(ISNUMBER($F940),COUNTIFS($A$14:$A$1213,$A940,$F$14:$F$1213,"&gt;"&amp;$F940)+(COUNTIFS($A$14:$A$1213,$A940,$F$14:$F$1213,"="&amp;$F940)+1)/2,"")</f>
        <v/>
      </c>
      <c r="X940" s="27">
        <f>IF(OR(NOT(ISNUMBER($V940)),$AO940=1),"",$V940-(COUNTIFS($A$14:$A$1213,$A940,$C$14:$C$1213,"&gt;=0")+1)/2)</f>
        <v/>
      </c>
      <c r="Y940" s="27">
        <f>IF(OR(NOT(ISNUMBER($W940)),$AO940=1),"",$W940-(COUNTIFS($A$14:$A$1213,$A940,$F$14:$F$1213,"&gt;=0")+1)/2)</f>
        <v/>
      </c>
      <c r="Z940" s="27">
        <f>IF(ISNUMBER($V940),$A940&amp;"|"&amp;$V940,"")</f>
        <v/>
      </c>
      <c r="AA940" s="27">
        <f>IF(ISNUMBER($W940),$A940&amp;"|"&amp;$W940,"")</f>
        <v/>
      </c>
      <c r="AB940" s="27">
        <f>IF(ISNUMBER($F940),$A940&amp;"|"&amp;$F940,"")</f>
        <v/>
      </c>
      <c r="AC940" s="27">
        <f>IF(ISNUMBER($P940),COUNTIFS($A$14:$A$1213,$A940,$P$14:$P$1213,"&gt;"&amp;$P940)+(COUNTIFS($A$14:$A$1213,$A940,$P$14:$P$1213,"="&amp;$P940)+1)/2,"")</f>
        <v/>
      </c>
      <c r="AD940" s="27">
        <f>IF(ISNUMBER($Q940),COUNTIFS($A$14:$A$1213,$A940,$Q$14:$Q$1213,"&gt;"&amp;$Q940)+(COUNTIFS($A$14:$A$1213,$A940,$Q$14:$Q$1213,"="&amp;$Q940)+1)/2,"")</f>
        <v/>
      </c>
      <c r="AE940" s="27">
        <f>IF(ISNUMBER($R940),COUNTIFS($A$14:$A$1213,$A940,$R$14:$R$1213,"&gt;"&amp;$R940)+(COUNTIFS($A$14:$A$1213,$A940,$R$14:$R$1213,"="&amp;$R940)+1)/2,"")</f>
        <v/>
      </c>
      <c r="AF940" s="27">
        <f>IF(ISNUMBER($S940),COUNTIFS($A$14:$A$1213,$A940,$S$14:$S$1213,"&gt;"&amp;$S940)+(COUNTIFS($A$14:$A$1213,$A940,$S$14:$S$1213,"="&amp;$S940)+1)/2,"")</f>
        <v/>
      </c>
      <c r="AG940" s="27">
        <f>IF(ISNUMBER($T940),COUNTIFS($A$14:$A$1213,$A940,$T$14:$T$1213,"&gt;"&amp;$T940)+(COUNTIFS($A$14:$A$1213,$A940,$T$14:$T$1213,"="&amp;$T940)+1)/2,"")</f>
        <v/>
      </c>
      <c r="AH940" s="27">
        <f>IF(COUNT($AC940:$AG940)&lt;2,"",IF(MAX($AC940:$AG940)=MIN($AC940:$AG940),0,1))</f>
        <v/>
      </c>
      <c r="AI940" s="27">
        <f>IF($A940="","",IF(COUNTIF($A$14:$A940,$A940)=1,COUNTIF($AI$13:AI939,"&gt;0")+1,""))</f>
        <v/>
      </c>
      <c r="AO940" s="27">
        <f>IF($A940="","",IF(AND(COUNTIFS($A$14:$A$1213,$A940,$F$14:$F$1213,"&gt;=0")=2,IFERROR(INDEX($M$14:$M$313,MATCH($A940,$H$14:$H$313,0)),"Yes")&lt;&gt;"Yes"),1,0))</f>
        <v/>
      </c>
    </row>
    <row r="941">
      <c r="A941" s="19">
        <f>IF('Enter messages'!A941="","",'Enter messages'!A941)</f>
        <v/>
      </c>
      <c r="B941" s="20">
        <f>IF('Enter messages'!B941="","",'Enter messages'!B941)</f>
        <v/>
      </c>
      <c r="C941" s="21">
        <f>IFERROR(AVERAGE(P941:T941),"")</f>
        <v/>
      </c>
      <c r="D941" s="29" t="n"/>
      <c r="E941" s="29" t="n"/>
      <c r="F941" s="30">
        <f>IF(AND(ISNUMBER($D941),ISNUMBER($E941),$E941&gt;0,$D941&lt;=$E941),$D941/$E941,"")</f>
        <v/>
      </c>
      <c r="P941" s="26" t="n"/>
      <c r="Q941" s="26" t="n"/>
      <c r="R941" s="26" t="n"/>
      <c r="S941" s="26" t="n"/>
      <c r="T941" s="26" t="n"/>
      <c r="V941" s="27">
        <f>IF(ISNUMBER($C941),COUNTIFS($A$14:$A$1213,$A941,$C$14:$C$1213,"&gt;"&amp;$C941)+(COUNTIFS($A$14:$A$1213,$A941,$C$14:$C$1213,"="&amp;$C941)+1)/2,"")</f>
        <v/>
      </c>
      <c r="W941" s="27">
        <f>IF(ISNUMBER($F941),COUNTIFS($A$14:$A$1213,$A941,$F$14:$F$1213,"&gt;"&amp;$F941)+(COUNTIFS($A$14:$A$1213,$A941,$F$14:$F$1213,"="&amp;$F941)+1)/2,"")</f>
        <v/>
      </c>
      <c r="X941" s="27">
        <f>IF(OR(NOT(ISNUMBER($V941)),$AO941=1),"",$V941-(COUNTIFS($A$14:$A$1213,$A941,$C$14:$C$1213,"&gt;=0")+1)/2)</f>
        <v/>
      </c>
      <c r="Y941" s="27">
        <f>IF(OR(NOT(ISNUMBER($W941)),$AO941=1),"",$W941-(COUNTIFS($A$14:$A$1213,$A941,$F$14:$F$1213,"&gt;=0")+1)/2)</f>
        <v/>
      </c>
      <c r="Z941" s="27">
        <f>IF(ISNUMBER($V941),$A941&amp;"|"&amp;$V941,"")</f>
        <v/>
      </c>
      <c r="AA941" s="27">
        <f>IF(ISNUMBER($W941),$A941&amp;"|"&amp;$W941,"")</f>
        <v/>
      </c>
      <c r="AB941" s="27">
        <f>IF(ISNUMBER($F941),$A941&amp;"|"&amp;$F941,"")</f>
        <v/>
      </c>
      <c r="AC941" s="27">
        <f>IF(ISNUMBER($P941),COUNTIFS($A$14:$A$1213,$A941,$P$14:$P$1213,"&gt;"&amp;$P941)+(COUNTIFS($A$14:$A$1213,$A941,$P$14:$P$1213,"="&amp;$P941)+1)/2,"")</f>
        <v/>
      </c>
      <c r="AD941" s="27">
        <f>IF(ISNUMBER($Q941),COUNTIFS($A$14:$A$1213,$A941,$Q$14:$Q$1213,"&gt;"&amp;$Q941)+(COUNTIFS($A$14:$A$1213,$A941,$Q$14:$Q$1213,"="&amp;$Q941)+1)/2,"")</f>
        <v/>
      </c>
      <c r="AE941" s="27">
        <f>IF(ISNUMBER($R941),COUNTIFS($A$14:$A$1213,$A941,$R$14:$R$1213,"&gt;"&amp;$R941)+(COUNTIFS($A$14:$A$1213,$A941,$R$14:$R$1213,"="&amp;$R941)+1)/2,"")</f>
        <v/>
      </c>
      <c r="AF941" s="27">
        <f>IF(ISNUMBER($S941),COUNTIFS($A$14:$A$1213,$A941,$S$14:$S$1213,"&gt;"&amp;$S941)+(COUNTIFS($A$14:$A$1213,$A941,$S$14:$S$1213,"="&amp;$S941)+1)/2,"")</f>
        <v/>
      </c>
      <c r="AG941" s="27">
        <f>IF(ISNUMBER($T941),COUNTIFS($A$14:$A$1213,$A941,$T$14:$T$1213,"&gt;"&amp;$T941)+(COUNTIFS($A$14:$A$1213,$A941,$T$14:$T$1213,"="&amp;$T941)+1)/2,"")</f>
        <v/>
      </c>
      <c r="AH941" s="27">
        <f>IF(COUNT($AC941:$AG941)&lt;2,"",IF(MAX($AC941:$AG941)=MIN($AC941:$AG941),0,1))</f>
        <v/>
      </c>
      <c r="AI941" s="27">
        <f>IF($A941="","",IF(COUNTIF($A$14:$A941,$A941)=1,COUNTIF($AI$13:AI940,"&gt;0")+1,""))</f>
        <v/>
      </c>
      <c r="AO941" s="27">
        <f>IF($A941="","",IF(AND(COUNTIFS($A$14:$A$1213,$A941,$F$14:$F$1213,"&gt;=0")=2,IFERROR(INDEX($M$14:$M$313,MATCH($A941,$H$14:$H$313,0)),"Yes")&lt;&gt;"Yes"),1,0))</f>
        <v/>
      </c>
    </row>
    <row r="942">
      <c r="A942" s="19">
        <f>IF('Enter messages'!A942="","",'Enter messages'!A942)</f>
        <v/>
      </c>
      <c r="B942" s="20">
        <f>IF('Enter messages'!B942="","",'Enter messages'!B942)</f>
        <v/>
      </c>
      <c r="C942" s="21">
        <f>IFERROR(AVERAGE(P942:T942),"")</f>
        <v/>
      </c>
      <c r="D942" s="29" t="n"/>
      <c r="E942" s="29" t="n"/>
      <c r="F942" s="30">
        <f>IF(AND(ISNUMBER($D942),ISNUMBER($E942),$E942&gt;0,$D942&lt;=$E942),$D942/$E942,"")</f>
        <v/>
      </c>
      <c r="P942" s="26" t="n"/>
      <c r="Q942" s="26" t="n"/>
      <c r="R942" s="26" t="n"/>
      <c r="S942" s="26" t="n"/>
      <c r="T942" s="26" t="n"/>
      <c r="V942" s="27">
        <f>IF(ISNUMBER($C942),COUNTIFS($A$14:$A$1213,$A942,$C$14:$C$1213,"&gt;"&amp;$C942)+(COUNTIFS($A$14:$A$1213,$A942,$C$14:$C$1213,"="&amp;$C942)+1)/2,"")</f>
        <v/>
      </c>
      <c r="W942" s="27">
        <f>IF(ISNUMBER($F942),COUNTIFS($A$14:$A$1213,$A942,$F$14:$F$1213,"&gt;"&amp;$F942)+(COUNTIFS($A$14:$A$1213,$A942,$F$14:$F$1213,"="&amp;$F942)+1)/2,"")</f>
        <v/>
      </c>
      <c r="X942" s="27">
        <f>IF(OR(NOT(ISNUMBER($V942)),$AO942=1),"",$V942-(COUNTIFS($A$14:$A$1213,$A942,$C$14:$C$1213,"&gt;=0")+1)/2)</f>
        <v/>
      </c>
      <c r="Y942" s="27">
        <f>IF(OR(NOT(ISNUMBER($W942)),$AO942=1),"",$W942-(COUNTIFS($A$14:$A$1213,$A942,$F$14:$F$1213,"&gt;=0")+1)/2)</f>
        <v/>
      </c>
      <c r="Z942" s="27">
        <f>IF(ISNUMBER($V942),$A942&amp;"|"&amp;$V942,"")</f>
        <v/>
      </c>
      <c r="AA942" s="27">
        <f>IF(ISNUMBER($W942),$A942&amp;"|"&amp;$W942,"")</f>
        <v/>
      </c>
      <c r="AB942" s="27">
        <f>IF(ISNUMBER($F942),$A942&amp;"|"&amp;$F942,"")</f>
        <v/>
      </c>
      <c r="AC942" s="27">
        <f>IF(ISNUMBER($P942),COUNTIFS($A$14:$A$1213,$A942,$P$14:$P$1213,"&gt;"&amp;$P942)+(COUNTIFS($A$14:$A$1213,$A942,$P$14:$P$1213,"="&amp;$P942)+1)/2,"")</f>
        <v/>
      </c>
      <c r="AD942" s="27">
        <f>IF(ISNUMBER($Q942),COUNTIFS($A$14:$A$1213,$A942,$Q$14:$Q$1213,"&gt;"&amp;$Q942)+(COUNTIFS($A$14:$A$1213,$A942,$Q$14:$Q$1213,"="&amp;$Q942)+1)/2,"")</f>
        <v/>
      </c>
      <c r="AE942" s="27">
        <f>IF(ISNUMBER($R942),COUNTIFS($A$14:$A$1213,$A942,$R$14:$R$1213,"&gt;"&amp;$R942)+(COUNTIFS($A$14:$A$1213,$A942,$R$14:$R$1213,"="&amp;$R942)+1)/2,"")</f>
        <v/>
      </c>
      <c r="AF942" s="27">
        <f>IF(ISNUMBER($S942),COUNTIFS($A$14:$A$1213,$A942,$S$14:$S$1213,"&gt;"&amp;$S942)+(COUNTIFS($A$14:$A$1213,$A942,$S$14:$S$1213,"="&amp;$S942)+1)/2,"")</f>
        <v/>
      </c>
      <c r="AG942" s="27">
        <f>IF(ISNUMBER($T942),COUNTIFS($A$14:$A$1213,$A942,$T$14:$T$1213,"&gt;"&amp;$T942)+(COUNTIFS($A$14:$A$1213,$A942,$T$14:$T$1213,"="&amp;$T942)+1)/2,"")</f>
        <v/>
      </c>
      <c r="AH942" s="27">
        <f>IF(COUNT($AC942:$AG942)&lt;2,"",IF(MAX($AC942:$AG942)=MIN($AC942:$AG942),0,1))</f>
        <v/>
      </c>
      <c r="AI942" s="27">
        <f>IF($A942="","",IF(COUNTIF($A$14:$A942,$A942)=1,COUNTIF($AI$13:AI941,"&gt;0")+1,""))</f>
        <v/>
      </c>
      <c r="AO942" s="27">
        <f>IF($A942="","",IF(AND(COUNTIFS($A$14:$A$1213,$A942,$F$14:$F$1213,"&gt;=0")=2,IFERROR(INDEX($M$14:$M$313,MATCH($A942,$H$14:$H$313,0)),"Yes")&lt;&gt;"Yes"),1,0))</f>
        <v/>
      </c>
    </row>
    <row r="943">
      <c r="A943" s="19">
        <f>IF('Enter messages'!A943="","",'Enter messages'!A943)</f>
        <v/>
      </c>
      <c r="B943" s="20">
        <f>IF('Enter messages'!B943="","",'Enter messages'!B943)</f>
        <v/>
      </c>
      <c r="C943" s="21">
        <f>IFERROR(AVERAGE(P943:T943),"")</f>
        <v/>
      </c>
      <c r="D943" s="29" t="n"/>
      <c r="E943" s="29" t="n"/>
      <c r="F943" s="30">
        <f>IF(AND(ISNUMBER($D943),ISNUMBER($E943),$E943&gt;0,$D943&lt;=$E943),$D943/$E943,"")</f>
        <v/>
      </c>
      <c r="P943" s="26" t="n"/>
      <c r="Q943" s="26" t="n"/>
      <c r="R943" s="26" t="n"/>
      <c r="S943" s="26" t="n"/>
      <c r="T943" s="26" t="n"/>
      <c r="V943" s="27">
        <f>IF(ISNUMBER($C943),COUNTIFS($A$14:$A$1213,$A943,$C$14:$C$1213,"&gt;"&amp;$C943)+(COUNTIFS($A$14:$A$1213,$A943,$C$14:$C$1213,"="&amp;$C943)+1)/2,"")</f>
        <v/>
      </c>
      <c r="W943" s="27">
        <f>IF(ISNUMBER($F943),COUNTIFS($A$14:$A$1213,$A943,$F$14:$F$1213,"&gt;"&amp;$F943)+(COUNTIFS($A$14:$A$1213,$A943,$F$14:$F$1213,"="&amp;$F943)+1)/2,"")</f>
        <v/>
      </c>
      <c r="X943" s="27">
        <f>IF(OR(NOT(ISNUMBER($V943)),$AO943=1),"",$V943-(COUNTIFS($A$14:$A$1213,$A943,$C$14:$C$1213,"&gt;=0")+1)/2)</f>
        <v/>
      </c>
      <c r="Y943" s="27">
        <f>IF(OR(NOT(ISNUMBER($W943)),$AO943=1),"",$W943-(COUNTIFS($A$14:$A$1213,$A943,$F$14:$F$1213,"&gt;=0")+1)/2)</f>
        <v/>
      </c>
      <c r="Z943" s="27">
        <f>IF(ISNUMBER($V943),$A943&amp;"|"&amp;$V943,"")</f>
        <v/>
      </c>
      <c r="AA943" s="27">
        <f>IF(ISNUMBER($W943),$A943&amp;"|"&amp;$W943,"")</f>
        <v/>
      </c>
      <c r="AB943" s="27">
        <f>IF(ISNUMBER($F943),$A943&amp;"|"&amp;$F943,"")</f>
        <v/>
      </c>
      <c r="AC943" s="27">
        <f>IF(ISNUMBER($P943),COUNTIFS($A$14:$A$1213,$A943,$P$14:$P$1213,"&gt;"&amp;$P943)+(COUNTIFS($A$14:$A$1213,$A943,$P$14:$P$1213,"="&amp;$P943)+1)/2,"")</f>
        <v/>
      </c>
      <c r="AD943" s="27">
        <f>IF(ISNUMBER($Q943),COUNTIFS($A$14:$A$1213,$A943,$Q$14:$Q$1213,"&gt;"&amp;$Q943)+(COUNTIFS($A$14:$A$1213,$A943,$Q$14:$Q$1213,"="&amp;$Q943)+1)/2,"")</f>
        <v/>
      </c>
      <c r="AE943" s="27">
        <f>IF(ISNUMBER($R943),COUNTIFS($A$14:$A$1213,$A943,$R$14:$R$1213,"&gt;"&amp;$R943)+(COUNTIFS($A$14:$A$1213,$A943,$R$14:$R$1213,"="&amp;$R943)+1)/2,"")</f>
        <v/>
      </c>
      <c r="AF943" s="27">
        <f>IF(ISNUMBER($S943),COUNTIFS($A$14:$A$1213,$A943,$S$14:$S$1213,"&gt;"&amp;$S943)+(COUNTIFS($A$14:$A$1213,$A943,$S$14:$S$1213,"="&amp;$S943)+1)/2,"")</f>
        <v/>
      </c>
      <c r="AG943" s="27">
        <f>IF(ISNUMBER($T943),COUNTIFS($A$14:$A$1213,$A943,$T$14:$T$1213,"&gt;"&amp;$T943)+(COUNTIFS($A$14:$A$1213,$A943,$T$14:$T$1213,"="&amp;$T943)+1)/2,"")</f>
        <v/>
      </c>
      <c r="AH943" s="27">
        <f>IF(COUNT($AC943:$AG943)&lt;2,"",IF(MAX($AC943:$AG943)=MIN($AC943:$AG943),0,1))</f>
        <v/>
      </c>
      <c r="AI943" s="27">
        <f>IF($A943="","",IF(COUNTIF($A$14:$A943,$A943)=1,COUNTIF($AI$13:AI942,"&gt;0")+1,""))</f>
        <v/>
      </c>
      <c r="AO943" s="27">
        <f>IF($A943="","",IF(AND(COUNTIFS($A$14:$A$1213,$A943,$F$14:$F$1213,"&gt;=0")=2,IFERROR(INDEX($M$14:$M$313,MATCH($A943,$H$14:$H$313,0)),"Yes")&lt;&gt;"Yes"),1,0))</f>
        <v/>
      </c>
    </row>
    <row r="944">
      <c r="A944" s="19">
        <f>IF('Enter messages'!A944="","",'Enter messages'!A944)</f>
        <v/>
      </c>
      <c r="B944" s="20">
        <f>IF('Enter messages'!B944="","",'Enter messages'!B944)</f>
        <v/>
      </c>
      <c r="C944" s="21">
        <f>IFERROR(AVERAGE(P944:T944),"")</f>
        <v/>
      </c>
      <c r="D944" s="29" t="n"/>
      <c r="E944" s="29" t="n"/>
      <c r="F944" s="30">
        <f>IF(AND(ISNUMBER($D944),ISNUMBER($E944),$E944&gt;0,$D944&lt;=$E944),$D944/$E944,"")</f>
        <v/>
      </c>
      <c r="P944" s="26" t="n"/>
      <c r="Q944" s="26" t="n"/>
      <c r="R944" s="26" t="n"/>
      <c r="S944" s="26" t="n"/>
      <c r="T944" s="26" t="n"/>
      <c r="V944" s="27">
        <f>IF(ISNUMBER($C944),COUNTIFS($A$14:$A$1213,$A944,$C$14:$C$1213,"&gt;"&amp;$C944)+(COUNTIFS($A$14:$A$1213,$A944,$C$14:$C$1213,"="&amp;$C944)+1)/2,"")</f>
        <v/>
      </c>
      <c r="W944" s="27">
        <f>IF(ISNUMBER($F944),COUNTIFS($A$14:$A$1213,$A944,$F$14:$F$1213,"&gt;"&amp;$F944)+(COUNTIFS($A$14:$A$1213,$A944,$F$14:$F$1213,"="&amp;$F944)+1)/2,"")</f>
        <v/>
      </c>
      <c r="X944" s="27">
        <f>IF(OR(NOT(ISNUMBER($V944)),$AO944=1),"",$V944-(COUNTIFS($A$14:$A$1213,$A944,$C$14:$C$1213,"&gt;=0")+1)/2)</f>
        <v/>
      </c>
      <c r="Y944" s="27">
        <f>IF(OR(NOT(ISNUMBER($W944)),$AO944=1),"",$W944-(COUNTIFS($A$14:$A$1213,$A944,$F$14:$F$1213,"&gt;=0")+1)/2)</f>
        <v/>
      </c>
      <c r="Z944" s="27">
        <f>IF(ISNUMBER($V944),$A944&amp;"|"&amp;$V944,"")</f>
        <v/>
      </c>
      <c r="AA944" s="27">
        <f>IF(ISNUMBER($W944),$A944&amp;"|"&amp;$W944,"")</f>
        <v/>
      </c>
      <c r="AB944" s="27">
        <f>IF(ISNUMBER($F944),$A944&amp;"|"&amp;$F944,"")</f>
        <v/>
      </c>
      <c r="AC944" s="27">
        <f>IF(ISNUMBER($P944),COUNTIFS($A$14:$A$1213,$A944,$P$14:$P$1213,"&gt;"&amp;$P944)+(COUNTIFS($A$14:$A$1213,$A944,$P$14:$P$1213,"="&amp;$P944)+1)/2,"")</f>
        <v/>
      </c>
      <c r="AD944" s="27">
        <f>IF(ISNUMBER($Q944),COUNTIFS($A$14:$A$1213,$A944,$Q$14:$Q$1213,"&gt;"&amp;$Q944)+(COUNTIFS($A$14:$A$1213,$A944,$Q$14:$Q$1213,"="&amp;$Q944)+1)/2,"")</f>
        <v/>
      </c>
      <c r="AE944" s="27">
        <f>IF(ISNUMBER($R944),COUNTIFS($A$14:$A$1213,$A944,$R$14:$R$1213,"&gt;"&amp;$R944)+(COUNTIFS($A$14:$A$1213,$A944,$R$14:$R$1213,"="&amp;$R944)+1)/2,"")</f>
        <v/>
      </c>
      <c r="AF944" s="27">
        <f>IF(ISNUMBER($S944),COUNTIFS($A$14:$A$1213,$A944,$S$14:$S$1213,"&gt;"&amp;$S944)+(COUNTIFS($A$14:$A$1213,$A944,$S$14:$S$1213,"="&amp;$S944)+1)/2,"")</f>
        <v/>
      </c>
      <c r="AG944" s="27">
        <f>IF(ISNUMBER($T944),COUNTIFS($A$14:$A$1213,$A944,$T$14:$T$1213,"&gt;"&amp;$T944)+(COUNTIFS($A$14:$A$1213,$A944,$T$14:$T$1213,"="&amp;$T944)+1)/2,"")</f>
        <v/>
      </c>
      <c r="AH944" s="27">
        <f>IF(COUNT($AC944:$AG944)&lt;2,"",IF(MAX($AC944:$AG944)=MIN($AC944:$AG944),0,1))</f>
        <v/>
      </c>
      <c r="AI944" s="27">
        <f>IF($A944="","",IF(COUNTIF($A$14:$A944,$A944)=1,COUNTIF($AI$13:AI943,"&gt;0")+1,""))</f>
        <v/>
      </c>
      <c r="AO944" s="27">
        <f>IF($A944="","",IF(AND(COUNTIFS($A$14:$A$1213,$A944,$F$14:$F$1213,"&gt;=0")=2,IFERROR(INDEX($M$14:$M$313,MATCH($A944,$H$14:$H$313,0)),"Yes")&lt;&gt;"Yes"),1,0))</f>
        <v/>
      </c>
    </row>
    <row r="945">
      <c r="A945" s="19">
        <f>IF('Enter messages'!A945="","",'Enter messages'!A945)</f>
        <v/>
      </c>
      <c r="B945" s="20">
        <f>IF('Enter messages'!B945="","",'Enter messages'!B945)</f>
        <v/>
      </c>
      <c r="C945" s="21">
        <f>IFERROR(AVERAGE(P945:T945),"")</f>
        <v/>
      </c>
      <c r="D945" s="29" t="n"/>
      <c r="E945" s="29" t="n"/>
      <c r="F945" s="30">
        <f>IF(AND(ISNUMBER($D945),ISNUMBER($E945),$E945&gt;0,$D945&lt;=$E945),$D945/$E945,"")</f>
        <v/>
      </c>
      <c r="P945" s="26" t="n"/>
      <c r="Q945" s="26" t="n"/>
      <c r="R945" s="26" t="n"/>
      <c r="S945" s="26" t="n"/>
      <c r="T945" s="26" t="n"/>
      <c r="V945" s="27">
        <f>IF(ISNUMBER($C945),COUNTIFS($A$14:$A$1213,$A945,$C$14:$C$1213,"&gt;"&amp;$C945)+(COUNTIFS($A$14:$A$1213,$A945,$C$14:$C$1213,"="&amp;$C945)+1)/2,"")</f>
        <v/>
      </c>
      <c r="W945" s="27">
        <f>IF(ISNUMBER($F945),COUNTIFS($A$14:$A$1213,$A945,$F$14:$F$1213,"&gt;"&amp;$F945)+(COUNTIFS($A$14:$A$1213,$A945,$F$14:$F$1213,"="&amp;$F945)+1)/2,"")</f>
        <v/>
      </c>
      <c r="X945" s="27">
        <f>IF(OR(NOT(ISNUMBER($V945)),$AO945=1),"",$V945-(COUNTIFS($A$14:$A$1213,$A945,$C$14:$C$1213,"&gt;=0")+1)/2)</f>
        <v/>
      </c>
      <c r="Y945" s="27">
        <f>IF(OR(NOT(ISNUMBER($W945)),$AO945=1),"",$W945-(COUNTIFS($A$14:$A$1213,$A945,$F$14:$F$1213,"&gt;=0")+1)/2)</f>
        <v/>
      </c>
      <c r="Z945" s="27">
        <f>IF(ISNUMBER($V945),$A945&amp;"|"&amp;$V945,"")</f>
        <v/>
      </c>
      <c r="AA945" s="27">
        <f>IF(ISNUMBER($W945),$A945&amp;"|"&amp;$W945,"")</f>
        <v/>
      </c>
      <c r="AB945" s="27">
        <f>IF(ISNUMBER($F945),$A945&amp;"|"&amp;$F945,"")</f>
        <v/>
      </c>
      <c r="AC945" s="27">
        <f>IF(ISNUMBER($P945),COUNTIFS($A$14:$A$1213,$A945,$P$14:$P$1213,"&gt;"&amp;$P945)+(COUNTIFS($A$14:$A$1213,$A945,$P$14:$P$1213,"="&amp;$P945)+1)/2,"")</f>
        <v/>
      </c>
      <c r="AD945" s="27">
        <f>IF(ISNUMBER($Q945),COUNTIFS($A$14:$A$1213,$A945,$Q$14:$Q$1213,"&gt;"&amp;$Q945)+(COUNTIFS($A$14:$A$1213,$A945,$Q$14:$Q$1213,"="&amp;$Q945)+1)/2,"")</f>
        <v/>
      </c>
      <c r="AE945" s="27">
        <f>IF(ISNUMBER($R945),COUNTIFS($A$14:$A$1213,$A945,$R$14:$R$1213,"&gt;"&amp;$R945)+(COUNTIFS($A$14:$A$1213,$A945,$R$14:$R$1213,"="&amp;$R945)+1)/2,"")</f>
        <v/>
      </c>
      <c r="AF945" s="27">
        <f>IF(ISNUMBER($S945),COUNTIFS($A$14:$A$1213,$A945,$S$14:$S$1213,"&gt;"&amp;$S945)+(COUNTIFS($A$14:$A$1213,$A945,$S$14:$S$1213,"="&amp;$S945)+1)/2,"")</f>
        <v/>
      </c>
      <c r="AG945" s="27">
        <f>IF(ISNUMBER($T945),COUNTIFS($A$14:$A$1213,$A945,$T$14:$T$1213,"&gt;"&amp;$T945)+(COUNTIFS($A$14:$A$1213,$A945,$T$14:$T$1213,"="&amp;$T945)+1)/2,"")</f>
        <v/>
      </c>
      <c r="AH945" s="27">
        <f>IF(COUNT($AC945:$AG945)&lt;2,"",IF(MAX($AC945:$AG945)=MIN($AC945:$AG945),0,1))</f>
        <v/>
      </c>
      <c r="AI945" s="27">
        <f>IF($A945="","",IF(COUNTIF($A$14:$A945,$A945)=1,COUNTIF($AI$13:AI944,"&gt;0")+1,""))</f>
        <v/>
      </c>
      <c r="AO945" s="27">
        <f>IF($A945="","",IF(AND(COUNTIFS($A$14:$A$1213,$A945,$F$14:$F$1213,"&gt;=0")=2,IFERROR(INDEX($M$14:$M$313,MATCH($A945,$H$14:$H$313,0)),"Yes")&lt;&gt;"Yes"),1,0))</f>
        <v/>
      </c>
    </row>
    <row r="946">
      <c r="A946" s="19">
        <f>IF('Enter messages'!A946="","",'Enter messages'!A946)</f>
        <v/>
      </c>
      <c r="B946" s="20">
        <f>IF('Enter messages'!B946="","",'Enter messages'!B946)</f>
        <v/>
      </c>
      <c r="C946" s="21">
        <f>IFERROR(AVERAGE(P946:T946),"")</f>
        <v/>
      </c>
      <c r="D946" s="29" t="n"/>
      <c r="E946" s="29" t="n"/>
      <c r="F946" s="30">
        <f>IF(AND(ISNUMBER($D946),ISNUMBER($E946),$E946&gt;0,$D946&lt;=$E946),$D946/$E946,"")</f>
        <v/>
      </c>
      <c r="P946" s="26" t="n"/>
      <c r="Q946" s="26" t="n"/>
      <c r="R946" s="26" t="n"/>
      <c r="S946" s="26" t="n"/>
      <c r="T946" s="26" t="n"/>
      <c r="V946" s="27">
        <f>IF(ISNUMBER($C946),COUNTIFS($A$14:$A$1213,$A946,$C$14:$C$1213,"&gt;"&amp;$C946)+(COUNTIFS($A$14:$A$1213,$A946,$C$14:$C$1213,"="&amp;$C946)+1)/2,"")</f>
        <v/>
      </c>
      <c r="W946" s="27">
        <f>IF(ISNUMBER($F946),COUNTIFS($A$14:$A$1213,$A946,$F$14:$F$1213,"&gt;"&amp;$F946)+(COUNTIFS($A$14:$A$1213,$A946,$F$14:$F$1213,"="&amp;$F946)+1)/2,"")</f>
        <v/>
      </c>
      <c r="X946" s="27">
        <f>IF(OR(NOT(ISNUMBER($V946)),$AO946=1),"",$V946-(COUNTIFS($A$14:$A$1213,$A946,$C$14:$C$1213,"&gt;=0")+1)/2)</f>
        <v/>
      </c>
      <c r="Y946" s="27">
        <f>IF(OR(NOT(ISNUMBER($W946)),$AO946=1),"",$W946-(COUNTIFS($A$14:$A$1213,$A946,$F$14:$F$1213,"&gt;=0")+1)/2)</f>
        <v/>
      </c>
      <c r="Z946" s="27">
        <f>IF(ISNUMBER($V946),$A946&amp;"|"&amp;$V946,"")</f>
        <v/>
      </c>
      <c r="AA946" s="27">
        <f>IF(ISNUMBER($W946),$A946&amp;"|"&amp;$W946,"")</f>
        <v/>
      </c>
      <c r="AB946" s="27">
        <f>IF(ISNUMBER($F946),$A946&amp;"|"&amp;$F946,"")</f>
        <v/>
      </c>
      <c r="AC946" s="27">
        <f>IF(ISNUMBER($P946),COUNTIFS($A$14:$A$1213,$A946,$P$14:$P$1213,"&gt;"&amp;$P946)+(COUNTIFS($A$14:$A$1213,$A946,$P$14:$P$1213,"="&amp;$P946)+1)/2,"")</f>
        <v/>
      </c>
      <c r="AD946" s="27">
        <f>IF(ISNUMBER($Q946),COUNTIFS($A$14:$A$1213,$A946,$Q$14:$Q$1213,"&gt;"&amp;$Q946)+(COUNTIFS($A$14:$A$1213,$A946,$Q$14:$Q$1213,"="&amp;$Q946)+1)/2,"")</f>
        <v/>
      </c>
      <c r="AE946" s="27">
        <f>IF(ISNUMBER($R946),COUNTIFS($A$14:$A$1213,$A946,$R$14:$R$1213,"&gt;"&amp;$R946)+(COUNTIFS($A$14:$A$1213,$A946,$R$14:$R$1213,"="&amp;$R946)+1)/2,"")</f>
        <v/>
      </c>
      <c r="AF946" s="27">
        <f>IF(ISNUMBER($S946),COUNTIFS($A$14:$A$1213,$A946,$S$14:$S$1213,"&gt;"&amp;$S946)+(COUNTIFS($A$14:$A$1213,$A946,$S$14:$S$1213,"="&amp;$S946)+1)/2,"")</f>
        <v/>
      </c>
      <c r="AG946" s="27">
        <f>IF(ISNUMBER($T946),COUNTIFS($A$14:$A$1213,$A946,$T$14:$T$1213,"&gt;"&amp;$T946)+(COUNTIFS($A$14:$A$1213,$A946,$T$14:$T$1213,"="&amp;$T946)+1)/2,"")</f>
        <v/>
      </c>
      <c r="AH946" s="27">
        <f>IF(COUNT($AC946:$AG946)&lt;2,"",IF(MAX($AC946:$AG946)=MIN($AC946:$AG946),0,1))</f>
        <v/>
      </c>
      <c r="AI946" s="27">
        <f>IF($A946="","",IF(COUNTIF($A$14:$A946,$A946)=1,COUNTIF($AI$13:AI945,"&gt;0")+1,""))</f>
        <v/>
      </c>
      <c r="AO946" s="27">
        <f>IF($A946="","",IF(AND(COUNTIFS($A$14:$A$1213,$A946,$F$14:$F$1213,"&gt;=0")=2,IFERROR(INDEX($M$14:$M$313,MATCH($A946,$H$14:$H$313,0)),"Yes")&lt;&gt;"Yes"),1,0))</f>
        <v/>
      </c>
    </row>
    <row r="947">
      <c r="A947" s="19">
        <f>IF('Enter messages'!A947="","",'Enter messages'!A947)</f>
        <v/>
      </c>
      <c r="B947" s="20">
        <f>IF('Enter messages'!B947="","",'Enter messages'!B947)</f>
        <v/>
      </c>
      <c r="C947" s="21">
        <f>IFERROR(AVERAGE(P947:T947),"")</f>
        <v/>
      </c>
      <c r="D947" s="29" t="n"/>
      <c r="E947" s="29" t="n"/>
      <c r="F947" s="30">
        <f>IF(AND(ISNUMBER($D947),ISNUMBER($E947),$E947&gt;0,$D947&lt;=$E947),$D947/$E947,"")</f>
        <v/>
      </c>
      <c r="P947" s="26" t="n"/>
      <c r="Q947" s="26" t="n"/>
      <c r="R947" s="26" t="n"/>
      <c r="S947" s="26" t="n"/>
      <c r="T947" s="26" t="n"/>
      <c r="V947" s="27">
        <f>IF(ISNUMBER($C947),COUNTIFS($A$14:$A$1213,$A947,$C$14:$C$1213,"&gt;"&amp;$C947)+(COUNTIFS($A$14:$A$1213,$A947,$C$14:$C$1213,"="&amp;$C947)+1)/2,"")</f>
        <v/>
      </c>
      <c r="W947" s="27">
        <f>IF(ISNUMBER($F947),COUNTIFS($A$14:$A$1213,$A947,$F$14:$F$1213,"&gt;"&amp;$F947)+(COUNTIFS($A$14:$A$1213,$A947,$F$14:$F$1213,"="&amp;$F947)+1)/2,"")</f>
        <v/>
      </c>
      <c r="X947" s="27">
        <f>IF(OR(NOT(ISNUMBER($V947)),$AO947=1),"",$V947-(COUNTIFS($A$14:$A$1213,$A947,$C$14:$C$1213,"&gt;=0")+1)/2)</f>
        <v/>
      </c>
      <c r="Y947" s="27">
        <f>IF(OR(NOT(ISNUMBER($W947)),$AO947=1),"",$W947-(COUNTIFS($A$14:$A$1213,$A947,$F$14:$F$1213,"&gt;=0")+1)/2)</f>
        <v/>
      </c>
      <c r="Z947" s="27">
        <f>IF(ISNUMBER($V947),$A947&amp;"|"&amp;$V947,"")</f>
        <v/>
      </c>
      <c r="AA947" s="27">
        <f>IF(ISNUMBER($W947),$A947&amp;"|"&amp;$W947,"")</f>
        <v/>
      </c>
      <c r="AB947" s="27">
        <f>IF(ISNUMBER($F947),$A947&amp;"|"&amp;$F947,"")</f>
        <v/>
      </c>
      <c r="AC947" s="27">
        <f>IF(ISNUMBER($P947),COUNTIFS($A$14:$A$1213,$A947,$P$14:$P$1213,"&gt;"&amp;$P947)+(COUNTIFS($A$14:$A$1213,$A947,$P$14:$P$1213,"="&amp;$P947)+1)/2,"")</f>
        <v/>
      </c>
      <c r="AD947" s="27">
        <f>IF(ISNUMBER($Q947),COUNTIFS($A$14:$A$1213,$A947,$Q$14:$Q$1213,"&gt;"&amp;$Q947)+(COUNTIFS($A$14:$A$1213,$A947,$Q$14:$Q$1213,"="&amp;$Q947)+1)/2,"")</f>
        <v/>
      </c>
      <c r="AE947" s="27">
        <f>IF(ISNUMBER($R947),COUNTIFS($A$14:$A$1213,$A947,$R$14:$R$1213,"&gt;"&amp;$R947)+(COUNTIFS($A$14:$A$1213,$A947,$R$14:$R$1213,"="&amp;$R947)+1)/2,"")</f>
        <v/>
      </c>
      <c r="AF947" s="27">
        <f>IF(ISNUMBER($S947),COUNTIFS($A$14:$A$1213,$A947,$S$14:$S$1213,"&gt;"&amp;$S947)+(COUNTIFS($A$14:$A$1213,$A947,$S$14:$S$1213,"="&amp;$S947)+1)/2,"")</f>
        <v/>
      </c>
      <c r="AG947" s="27">
        <f>IF(ISNUMBER($T947),COUNTIFS($A$14:$A$1213,$A947,$T$14:$T$1213,"&gt;"&amp;$T947)+(COUNTIFS($A$14:$A$1213,$A947,$T$14:$T$1213,"="&amp;$T947)+1)/2,"")</f>
        <v/>
      </c>
      <c r="AH947" s="27">
        <f>IF(COUNT($AC947:$AG947)&lt;2,"",IF(MAX($AC947:$AG947)=MIN($AC947:$AG947),0,1))</f>
        <v/>
      </c>
      <c r="AI947" s="27">
        <f>IF($A947="","",IF(COUNTIF($A$14:$A947,$A947)=1,COUNTIF($AI$13:AI946,"&gt;0")+1,""))</f>
        <v/>
      </c>
      <c r="AO947" s="27">
        <f>IF($A947="","",IF(AND(COUNTIFS($A$14:$A$1213,$A947,$F$14:$F$1213,"&gt;=0")=2,IFERROR(INDEX($M$14:$M$313,MATCH($A947,$H$14:$H$313,0)),"Yes")&lt;&gt;"Yes"),1,0))</f>
        <v/>
      </c>
    </row>
    <row r="948">
      <c r="A948" s="19">
        <f>IF('Enter messages'!A948="","",'Enter messages'!A948)</f>
        <v/>
      </c>
      <c r="B948" s="20">
        <f>IF('Enter messages'!B948="","",'Enter messages'!B948)</f>
        <v/>
      </c>
      <c r="C948" s="21">
        <f>IFERROR(AVERAGE(P948:T948),"")</f>
        <v/>
      </c>
      <c r="D948" s="29" t="n"/>
      <c r="E948" s="29" t="n"/>
      <c r="F948" s="30">
        <f>IF(AND(ISNUMBER($D948),ISNUMBER($E948),$E948&gt;0,$D948&lt;=$E948),$D948/$E948,"")</f>
        <v/>
      </c>
      <c r="P948" s="26" t="n"/>
      <c r="Q948" s="26" t="n"/>
      <c r="R948" s="26" t="n"/>
      <c r="S948" s="26" t="n"/>
      <c r="T948" s="26" t="n"/>
      <c r="V948" s="27">
        <f>IF(ISNUMBER($C948),COUNTIFS($A$14:$A$1213,$A948,$C$14:$C$1213,"&gt;"&amp;$C948)+(COUNTIFS($A$14:$A$1213,$A948,$C$14:$C$1213,"="&amp;$C948)+1)/2,"")</f>
        <v/>
      </c>
      <c r="W948" s="27">
        <f>IF(ISNUMBER($F948),COUNTIFS($A$14:$A$1213,$A948,$F$14:$F$1213,"&gt;"&amp;$F948)+(COUNTIFS($A$14:$A$1213,$A948,$F$14:$F$1213,"="&amp;$F948)+1)/2,"")</f>
        <v/>
      </c>
      <c r="X948" s="27">
        <f>IF(OR(NOT(ISNUMBER($V948)),$AO948=1),"",$V948-(COUNTIFS($A$14:$A$1213,$A948,$C$14:$C$1213,"&gt;=0")+1)/2)</f>
        <v/>
      </c>
      <c r="Y948" s="27">
        <f>IF(OR(NOT(ISNUMBER($W948)),$AO948=1),"",$W948-(COUNTIFS($A$14:$A$1213,$A948,$F$14:$F$1213,"&gt;=0")+1)/2)</f>
        <v/>
      </c>
      <c r="Z948" s="27">
        <f>IF(ISNUMBER($V948),$A948&amp;"|"&amp;$V948,"")</f>
        <v/>
      </c>
      <c r="AA948" s="27">
        <f>IF(ISNUMBER($W948),$A948&amp;"|"&amp;$W948,"")</f>
        <v/>
      </c>
      <c r="AB948" s="27">
        <f>IF(ISNUMBER($F948),$A948&amp;"|"&amp;$F948,"")</f>
        <v/>
      </c>
      <c r="AC948" s="27">
        <f>IF(ISNUMBER($P948),COUNTIFS($A$14:$A$1213,$A948,$P$14:$P$1213,"&gt;"&amp;$P948)+(COUNTIFS($A$14:$A$1213,$A948,$P$14:$P$1213,"="&amp;$P948)+1)/2,"")</f>
        <v/>
      </c>
      <c r="AD948" s="27">
        <f>IF(ISNUMBER($Q948),COUNTIFS($A$14:$A$1213,$A948,$Q$14:$Q$1213,"&gt;"&amp;$Q948)+(COUNTIFS($A$14:$A$1213,$A948,$Q$14:$Q$1213,"="&amp;$Q948)+1)/2,"")</f>
        <v/>
      </c>
      <c r="AE948" s="27">
        <f>IF(ISNUMBER($R948),COUNTIFS($A$14:$A$1213,$A948,$R$14:$R$1213,"&gt;"&amp;$R948)+(COUNTIFS($A$14:$A$1213,$A948,$R$14:$R$1213,"="&amp;$R948)+1)/2,"")</f>
        <v/>
      </c>
      <c r="AF948" s="27">
        <f>IF(ISNUMBER($S948),COUNTIFS($A$14:$A$1213,$A948,$S$14:$S$1213,"&gt;"&amp;$S948)+(COUNTIFS($A$14:$A$1213,$A948,$S$14:$S$1213,"="&amp;$S948)+1)/2,"")</f>
        <v/>
      </c>
      <c r="AG948" s="27">
        <f>IF(ISNUMBER($T948),COUNTIFS($A$14:$A$1213,$A948,$T$14:$T$1213,"&gt;"&amp;$T948)+(COUNTIFS($A$14:$A$1213,$A948,$T$14:$T$1213,"="&amp;$T948)+1)/2,"")</f>
        <v/>
      </c>
      <c r="AH948" s="27">
        <f>IF(COUNT($AC948:$AG948)&lt;2,"",IF(MAX($AC948:$AG948)=MIN($AC948:$AG948),0,1))</f>
        <v/>
      </c>
      <c r="AI948" s="27">
        <f>IF($A948="","",IF(COUNTIF($A$14:$A948,$A948)=1,COUNTIF($AI$13:AI947,"&gt;0")+1,""))</f>
        <v/>
      </c>
      <c r="AO948" s="27">
        <f>IF($A948="","",IF(AND(COUNTIFS($A$14:$A$1213,$A948,$F$14:$F$1213,"&gt;=0")=2,IFERROR(INDEX($M$14:$M$313,MATCH($A948,$H$14:$H$313,0)),"Yes")&lt;&gt;"Yes"),1,0))</f>
        <v/>
      </c>
    </row>
    <row r="949">
      <c r="A949" s="19">
        <f>IF('Enter messages'!A949="","",'Enter messages'!A949)</f>
        <v/>
      </c>
      <c r="B949" s="20">
        <f>IF('Enter messages'!B949="","",'Enter messages'!B949)</f>
        <v/>
      </c>
      <c r="C949" s="21">
        <f>IFERROR(AVERAGE(P949:T949),"")</f>
        <v/>
      </c>
      <c r="D949" s="29" t="n"/>
      <c r="E949" s="29" t="n"/>
      <c r="F949" s="30">
        <f>IF(AND(ISNUMBER($D949),ISNUMBER($E949),$E949&gt;0,$D949&lt;=$E949),$D949/$E949,"")</f>
        <v/>
      </c>
      <c r="P949" s="26" t="n"/>
      <c r="Q949" s="26" t="n"/>
      <c r="R949" s="26" t="n"/>
      <c r="S949" s="26" t="n"/>
      <c r="T949" s="26" t="n"/>
      <c r="V949" s="27">
        <f>IF(ISNUMBER($C949),COUNTIFS($A$14:$A$1213,$A949,$C$14:$C$1213,"&gt;"&amp;$C949)+(COUNTIFS($A$14:$A$1213,$A949,$C$14:$C$1213,"="&amp;$C949)+1)/2,"")</f>
        <v/>
      </c>
      <c r="W949" s="27">
        <f>IF(ISNUMBER($F949),COUNTIFS($A$14:$A$1213,$A949,$F$14:$F$1213,"&gt;"&amp;$F949)+(COUNTIFS($A$14:$A$1213,$A949,$F$14:$F$1213,"="&amp;$F949)+1)/2,"")</f>
        <v/>
      </c>
      <c r="X949" s="27">
        <f>IF(OR(NOT(ISNUMBER($V949)),$AO949=1),"",$V949-(COUNTIFS($A$14:$A$1213,$A949,$C$14:$C$1213,"&gt;=0")+1)/2)</f>
        <v/>
      </c>
      <c r="Y949" s="27">
        <f>IF(OR(NOT(ISNUMBER($W949)),$AO949=1),"",$W949-(COUNTIFS($A$14:$A$1213,$A949,$F$14:$F$1213,"&gt;=0")+1)/2)</f>
        <v/>
      </c>
      <c r="Z949" s="27">
        <f>IF(ISNUMBER($V949),$A949&amp;"|"&amp;$V949,"")</f>
        <v/>
      </c>
      <c r="AA949" s="27">
        <f>IF(ISNUMBER($W949),$A949&amp;"|"&amp;$W949,"")</f>
        <v/>
      </c>
      <c r="AB949" s="27">
        <f>IF(ISNUMBER($F949),$A949&amp;"|"&amp;$F949,"")</f>
        <v/>
      </c>
      <c r="AC949" s="27">
        <f>IF(ISNUMBER($P949),COUNTIFS($A$14:$A$1213,$A949,$P$14:$P$1213,"&gt;"&amp;$P949)+(COUNTIFS($A$14:$A$1213,$A949,$P$14:$P$1213,"="&amp;$P949)+1)/2,"")</f>
        <v/>
      </c>
      <c r="AD949" s="27">
        <f>IF(ISNUMBER($Q949),COUNTIFS($A$14:$A$1213,$A949,$Q$14:$Q$1213,"&gt;"&amp;$Q949)+(COUNTIFS($A$14:$A$1213,$A949,$Q$14:$Q$1213,"="&amp;$Q949)+1)/2,"")</f>
        <v/>
      </c>
      <c r="AE949" s="27">
        <f>IF(ISNUMBER($R949),COUNTIFS($A$14:$A$1213,$A949,$R$14:$R$1213,"&gt;"&amp;$R949)+(COUNTIFS($A$14:$A$1213,$A949,$R$14:$R$1213,"="&amp;$R949)+1)/2,"")</f>
        <v/>
      </c>
      <c r="AF949" s="27">
        <f>IF(ISNUMBER($S949),COUNTIFS($A$14:$A$1213,$A949,$S$14:$S$1213,"&gt;"&amp;$S949)+(COUNTIFS($A$14:$A$1213,$A949,$S$14:$S$1213,"="&amp;$S949)+1)/2,"")</f>
        <v/>
      </c>
      <c r="AG949" s="27">
        <f>IF(ISNUMBER($T949),COUNTIFS($A$14:$A$1213,$A949,$T$14:$T$1213,"&gt;"&amp;$T949)+(COUNTIFS($A$14:$A$1213,$A949,$T$14:$T$1213,"="&amp;$T949)+1)/2,"")</f>
        <v/>
      </c>
      <c r="AH949" s="27">
        <f>IF(COUNT($AC949:$AG949)&lt;2,"",IF(MAX($AC949:$AG949)=MIN($AC949:$AG949),0,1))</f>
        <v/>
      </c>
      <c r="AI949" s="27">
        <f>IF($A949="","",IF(COUNTIF($A$14:$A949,$A949)=1,COUNTIF($AI$13:AI948,"&gt;0")+1,""))</f>
        <v/>
      </c>
      <c r="AO949" s="27">
        <f>IF($A949="","",IF(AND(COUNTIFS($A$14:$A$1213,$A949,$F$14:$F$1213,"&gt;=0")=2,IFERROR(INDEX($M$14:$M$313,MATCH($A949,$H$14:$H$313,0)),"Yes")&lt;&gt;"Yes"),1,0))</f>
        <v/>
      </c>
    </row>
    <row r="950">
      <c r="A950" s="19">
        <f>IF('Enter messages'!A950="","",'Enter messages'!A950)</f>
        <v/>
      </c>
      <c r="B950" s="20">
        <f>IF('Enter messages'!B950="","",'Enter messages'!B950)</f>
        <v/>
      </c>
      <c r="C950" s="21">
        <f>IFERROR(AVERAGE(P950:T950),"")</f>
        <v/>
      </c>
      <c r="D950" s="29" t="n"/>
      <c r="E950" s="29" t="n"/>
      <c r="F950" s="30">
        <f>IF(AND(ISNUMBER($D950),ISNUMBER($E950),$E950&gt;0,$D950&lt;=$E950),$D950/$E950,"")</f>
        <v/>
      </c>
      <c r="P950" s="26" t="n"/>
      <c r="Q950" s="26" t="n"/>
      <c r="R950" s="26" t="n"/>
      <c r="S950" s="26" t="n"/>
      <c r="T950" s="26" t="n"/>
      <c r="V950" s="27">
        <f>IF(ISNUMBER($C950),COUNTIFS($A$14:$A$1213,$A950,$C$14:$C$1213,"&gt;"&amp;$C950)+(COUNTIFS($A$14:$A$1213,$A950,$C$14:$C$1213,"="&amp;$C950)+1)/2,"")</f>
        <v/>
      </c>
      <c r="W950" s="27">
        <f>IF(ISNUMBER($F950),COUNTIFS($A$14:$A$1213,$A950,$F$14:$F$1213,"&gt;"&amp;$F950)+(COUNTIFS($A$14:$A$1213,$A950,$F$14:$F$1213,"="&amp;$F950)+1)/2,"")</f>
        <v/>
      </c>
      <c r="X950" s="27">
        <f>IF(OR(NOT(ISNUMBER($V950)),$AO950=1),"",$V950-(COUNTIFS($A$14:$A$1213,$A950,$C$14:$C$1213,"&gt;=0")+1)/2)</f>
        <v/>
      </c>
      <c r="Y950" s="27">
        <f>IF(OR(NOT(ISNUMBER($W950)),$AO950=1),"",$W950-(COUNTIFS($A$14:$A$1213,$A950,$F$14:$F$1213,"&gt;=0")+1)/2)</f>
        <v/>
      </c>
      <c r="Z950" s="27">
        <f>IF(ISNUMBER($V950),$A950&amp;"|"&amp;$V950,"")</f>
        <v/>
      </c>
      <c r="AA950" s="27">
        <f>IF(ISNUMBER($W950),$A950&amp;"|"&amp;$W950,"")</f>
        <v/>
      </c>
      <c r="AB950" s="27">
        <f>IF(ISNUMBER($F950),$A950&amp;"|"&amp;$F950,"")</f>
        <v/>
      </c>
      <c r="AC950" s="27">
        <f>IF(ISNUMBER($P950),COUNTIFS($A$14:$A$1213,$A950,$P$14:$P$1213,"&gt;"&amp;$P950)+(COUNTIFS($A$14:$A$1213,$A950,$P$14:$P$1213,"="&amp;$P950)+1)/2,"")</f>
        <v/>
      </c>
      <c r="AD950" s="27">
        <f>IF(ISNUMBER($Q950),COUNTIFS($A$14:$A$1213,$A950,$Q$14:$Q$1213,"&gt;"&amp;$Q950)+(COUNTIFS($A$14:$A$1213,$A950,$Q$14:$Q$1213,"="&amp;$Q950)+1)/2,"")</f>
        <v/>
      </c>
      <c r="AE950" s="27">
        <f>IF(ISNUMBER($R950),COUNTIFS($A$14:$A$1213,$A950,$R$14:$R$1213,"&gt;"&amp;$R950)+(COUNTIFS($A$14:$A$1213,$A950,$R$14:$R$1213,"="&amp;$R950)+1)/2,"")</f>
        <v/>
      </c>
      <c r="AF950" s="27">
        <f>IF(ISNUMBER($S950),COUNTIFS($A$14:$A$1213,$A950,$S$14:$S$1213,"&gt;"&amp;$S950)+(COUNTIFS($A$14:$A$1213,$A950,$S$14:$S$1213,"="&amp;$S950)+1)/2,"")</f>
        <v/>
      </c>
      <c r="AG950" s="27">
        <f>IF(ISNUMBER($T950),COUNTIFS($A$14:$A$1213,$A950,$T$14:$T$1213,"&gt;"&amp;$T950)+(COUNTIFS($A$14:$A$1213,$A950,$T$14:$T$1213,"="&amp;$T950)+1)/2,"")</f>
        <v/>
      </c>
      <c r="AH950" s="27">
        <f>IF(COUNT($AC950:$AG950)&lt;2,"",IF(MAX($AC950:$AG950)=MIN($AC950:$AG950),0,1))</f>
        <v/>
      </c>
      <c r="AI950" s="27">
        <f>IF($A950="","",IF(COUNTIF($A$14:$A950,$A950)=1,COUNTIF($AI$13:AI949,"&gt;0")+1,""))</f>
        <v/>
      </c>
      <c r="AO950" s="27">
        <f>IF($A950="","",IF(AND(COUNTIFS($A$14:$A$1213,$A950,$F$14:$F$1213,"&gt;=0")=2,IFERROR(INDEX($M$14:$M$313,MATCH($A950,$H$14:$H$313,0)),"Yes")&lt;&gt;"Yes"),1,0))</f>
        <v/>
      </c>
    </row>
    <row r="951">
      <c r="A951" s="19">
        <f>IF('Enter messages'!A951="","",'Enter messages'!A951)</f>
        <v/>
      </c>
      <c r="B951" s="20">
        <f>IF('Enter messages'!B951="","",'Enter messages'!B951)</f>
        <v/>
      </c>
      <c r="C951" s="21">
        <f>IFERROR(AVERAGE(P951:T951),"")</f>
        <v/>
      </c>
      <c r="D951" s="29" t="n"/>
      <c r="E951" s="29" t="n"/>
      <c r="F951" s="30">
        <f>IF(AND(ISNUMBER($D951),ISNUMBER($E951),$E951&gt;0,$D951&lt;=$E951),$D951/$E951,"")</f>
        <v/>
      </c>
      <c r="P951" s="26" t="n"/>
      <c r="Q951" s="26" t="n"/>
      <c r="R951" s="26" t="n"/>
      <c r="S951" s="26" t="n"/>
      <c r="T951" s="26" t="n"/>
      <c r="V951" s="27">
        <f>IF(ISNUMBER($C951),COUNTIFS($A$14:$A$1213,$A951,$C$14:$C$1213,"&gt;"&amp;$C951)+(COUNTIFS($A$14:$A$1213,$A951,$C$14:$C$1213,"="&amp;$C951)+1)/2,"")</f>
        <v/>
      </c>
      <c r="W951" s="27">
        <f>IF(ISNUMBER($F951),COUNTIFS($A$14:$A$1213,$A951,$F$14:$F$1213,"&gt;"&amp;$F951)+(COUNTIFS($A$14:$A$1213,$A951,$F$14:$F$1213,"="&amp;$F951)+1)/2,"")</f>
        <v/>
      </c>
      <c r="X951" s="27">
        <f>IF(OR(NOT(ISNUMBER($V951)),$AO951=1),"",$V951-(COUNTIFS($A$14:$A$1213,$A951,$C$14:$C$1213,"&gt;=0")+1)/2)</f>
        <v/>
      </c>
      <c r="Y951" s="27">
        <f>IF(OR(NOT(ISNUMBER($W951)),$AO951=1),"",$W951-(COUNTIFS($A$14:$A$1213,$A951,$F$14:$F$1213,"&gt;=0")+1)/2)</f>
        <v/>
      </c>
      <c r="Z951" s="27">
        <f>IF(ISNUMBER($V951),$A951&amp;"|"&amp;$V951,"")</f>
        <v/>
      </c>
      <c r="AA951" s="27">
        <f>IF(ISNUMBER($W951),$A951&amp;"|"&amp;$W951,"")</f>
        <v/>
      </c>
      <c r="AB951" s="27">
        <f>IF(ISNUMBER($F951),$A951&amp;"|"&amp;$F951,"")</f>
        <v/>
      </c>
      <c r="AC951" s="27">
        <f>IF(ISNUMBER($P951),COUNTIFS($A$14:$A$1213,$A951,$P$14:$P$1213,"&gt;"&amp;$P951)+(COUNTIFS($A$14:$A$1213,$A951,$P$14:$P$1213,"="&amp;$P951)+1)/2,"")</f>
        <v/>
      </c>
      <c r="AD951" s="27">
        <f>IF(ISNUMBER($Q951),COUNTIFS($A$14:$A$1213,$A951,$Q$14:$Q$1213,"&gt;"&amp;$Q951)+(COUNTIFS($A$14:$A$1213,$A951,$Q$14:$Q$1213,"="&amp;$Q951)+1)/2,"")</f>
        <v/>
      </c>
      <c r="AE951" s="27">
        <f>IF(ISNUMBER($R951),COUNTIFS($A$14:$A$1213,$A951,$R$14:$R$1213,"&gt;"&amp;$R951)+(COUNTIFS($A$14:$A$1213,$A951,$R$14:$R$1213,"="&amp;$R951)+1)/2,"")</f>
        <v/>
      </c>
      <c r="AF951" s="27">
        <f>IF(ISNUMBER($S951),COUNTIFS($A$14:$A$1213,$A951,$S$14:$S$1213,"&gt;"&amp;$S951)+(COUNTIFS($A$14:$A$1213,$A951,$S$14:$S$1213,"="&amp;$S951)+1)/2,"")</f>
        <v/>
      </c>
      <c r="AG951" s="27">
        <f>IF(ISNUMBER($T951),COUNTIFS($A$14:$A$1213,$A951,$T$14:$T$1213,"&gt;"&amp;$T951)+(COUNTIFS($A$14:$A$1213,$A951,$T$14:$T$1213,"="&amp;$T951)+1)/2,"")</f>
        <v/>
      </c>
      <c r="AH951" s="27">
        <f>IF(COUNT($AC951:$AG951)&lt;2,"",IF(MAX($AC951:$AG951)=MIN($AC951:$AG951),0,1))</f>
        <v/>
      </c>
      <c r="AI951" s="27">
        <f>IF($A951="","",IF(COUNTIF($A$14:$A951,$A951)=1,COUNTIF($AI$13:AI950,"&gt;0")+1,""))</f>
        <v/>
      </c>
      <c r="AO951" s="27">
        <f>IF($A951="","",IF(AND(COUNTIFS($A$14:$A$1213,$A951,$F$14:$F$1213,"&gt;=0")=2,IFERROR(INDEX($M$14:$M$313,MATCH($A951,$H$14:$H$313,0)),"Yes")&lt;&gt;"Yes"),1,0))</f>
        <v/>
      </c>
    </row>
    <row r="952">
      <c r="A952" s="19">
        <f>IF('Enter messages'!A952="","",'Enter messages'!A952)</f>
        <v/>
      </c>
      <c r="B952" s="20">
        <f>IF('Enter messages'!B952="","",'Enter messages'!B952)</f>
        <v/>
      </c>
      <c r="C952" s="21">
        <f>IFERROR(AVERAGE(P952:T952),"")</f>
        <v/>
      </c>
      <c r="D952" s="29" t="n"/>
      <c r="E952" s="29" t="n"/>
      <c r="F952" s="30">
        <f>IF(AND(ISNUMBER($D952),ISNUMBER($E952),$E952&gt;0,$D952&lt;=$E952),$D952/$E952,"")</f>
        <v/>
      </c>
      <c r="P952" s="26" t="n"/>
      <c r="Q952" s="26" t="n"/>
      <c r="R952" s="26" t="n"/>
      <c r="S952" s="26" t="n"/>
      <c r="T952" s="26" t="n"/>
      <c r="V952" s="27">
        <f>IF(ISNUMBER($C952),COUNTIFS($A$14:$A$1213,$A952,$C$14:$C$1213,"&gt;"&amp;$C952)+(COUNTIFS($A$14:$A$1213,$A952,$C$14:$C$1213,"="&amp;$C952)+1)/2,"")</f>
        <v/>
      </c>
      <c r="W952" s="27">
        <f>IF(ISNUMBER($F952),COUNTIFS($A$14:$A$1213,$A952,$F$14:$F$1213,"&gt;"&amp;$F952)+(COUNTIFS($A$14:$A$1213,$A952,$F$14:$F$1213,"="&amp;$F952)+1)/2,"")</f>
        <v/>
      </c>
      <c r="X952" s="27">
        <f>IF(OR(NOT(ISNUMBER($V952)),$AO952=1),"",$V952-(COUNTIFS($A$14:$A$1213,$A952,$C$14:$C$1213,"&gt;=0")+1)/2)</f>
        <v/>
      </c>
      <c r="Y952" s="27">
        <f>IF(OR(NOT(ISNUMBER($W952)),$AO952=1),"",$W952-(COUNTIFS($A$14:$A$1213,$A952,$F$14:$F$1213,"&gt;=0")+1)/2)</f>
        <v/>
      </c>
      <c r="Z952" s="27">
        <f>IF(ISNUMBER($V952),$A952&amp;"|"&amp;$V952,"")</f>
        <v/>
      </c>
      <c r="AA952" s="27">
        <f>IF(ISNUMBER($W952),$A952&amp;"|"&amp;$W952,"")</f>
        <v/>
      </c>
      <c r="AB952" s="27">
        <f>IF(ISNUMBER($F952),$A952&amp;"|"&amp;$F952,"")</f>
        <v/>
      </c>
      <c r="AC952" s="27">
        <f>IF(ISNUMBER($P952),COUNTIFS($A$14:$A$1213,$A952,$P$14:$P$1213,"&gt;"&amp;$P952)+(COUNTIFS($A$14:$A$1213,$A952,$P$14:$P$1213,"="&amp;$P952)+1)/2,"")</f>
        <v/>
      </c>
      <c r="AD952" s="27">
        <f>IF(ISNUMBER($Q952),COUNTIFS($A$14:$A$1213,$A952,$Q$14:$Q$1213,"&gt;"&amp;$Q952)+(COUNTIFS($A$14:$A$1213,$A952,$Q$14:$Q$1213,"="&amp;$Q952)+1)/2,"")</f>
        <v/>
      </c>
      <c r="AE952" s="27">
        <f>IF(ISNUMBER($R952),COUNTIFS($A$14:$A$1213,$A952,$R$14:$R$1213,"&gt;"&amp;$R952)+(COUNTIFS($A$14:$A$1213,$A952,$R$14:$R$1213,"="&amp;$R952)+1)/2,"")</f>
        <v/>
      </c>
      <c r="AF952" s="27">
        <f>IF(ISNUMBER($S952),COUNTIFS($A$14:$A$1213,$A952,$S$14:$S$1213,"&gt;"&amp;$S952)+(COUNTIFS($A$14:$A$1213,$A952,$S$14:$S$1213,"="&amp;$S952)+1)/2,"")</f>
        <v/>
      </c>
      <c r="AG952" s="27">
        <f>IF(ISNUMBER($T952),COUNTIFS($A$14:$A$1213,$A952,$T$14:$T$1213,"&gt;"&amp;$T952)+(COUNTIFS($A$14:$A$1213,$A952,$T$14:$T$1213,"="&amp;$T952)+1)/2,"")</f>
        <v/>
      </c>
      <c r="AH952" s="27">
        <f>IF(COUNT($AC952:$AG952)&lt;2,"",IF(MAX($AC952:$AG952)=MIN($AC952:$AG952),0,1))</f>
        <v/>
      </c>
      <c r="AI952" s="27">
        <f>IF($A952="","",IF(COUNTIF($A$14:$A952,$A952)=1,COUNTIF($AI$13:AI951,"&gt;0")+1,""))</f>
        <v/>
      </c>
      <c r="AO952" s="27">
        <f>IF($A952="","",IF(AND(COUNTIFS($A$14:$A$1213,$A952,$F$14:$F$1213,"&gt;=0")=2,IFERROR(INDEX($M$14:$M$313,MATCH($A952,$H$14:$H$313,0)),"Yes")&lt;&gt;"Yes"),1,0))</f>
        <v/>
      </c>
    </row>
    <row r="953">
      <c r="A953" s="19">
        <f>IF('Enter messages'!A953="","",'Enter messages'!A953)</f>
        <v/>
      </c>
      <c r="B953" s="20">
        <f>IF('Enter messages'!B953="","",'Enter messages'!B953)</f>
        <v/>
      </c>
      <c r="C953" s="21">
        <f>IFERROR(AVERAGE(P953:T953),"")</f>
        <v/>
      </c>
      <c r="D953" s="29" t="n"/>
      <c r="E953" s="29" t="n"/>
      <c r="F953" s="30">
        <f>IF(AND(ISNUMBER($D953),ISNUMBER($E953),$E953&gt;0,$D953&lt;=$E953),$D953/$E953,"")</f>
        <v/>
      </c>
      <c r="P953" s="26" t="n"/>
      <c r="Q953" s="26" t="n"/>
      <c r="R953" s="26" t="n"/>
      <c r="S953" s="26" t="n"/>
      <c r="T953" s="26" t="n"/>
      <c r="V953" s="27">
        <f>IF(ISNUMBER($C953),COUNTIFS($A$14:$A$1213,$A953,$C$14:$C$1213,"&gt;"&amp;$C953)+(COUNTIFS($A$14:$A$1213,$A953,$C$14:$C$1213,"="&amp;$C953)+1)/2,"")</f>
        <v/>
      </c>
      <c r="W953" s="27">
        <f>IF(ISNUMBER($F953),COUNTIFS($A$14:$A$1213,$A953,$F$14:$F$1213,"&gt;"&amp;$F953)+(COUNTIFS($A$14:$A$1213,$A953,$F$14:$F$1213,"="&amp;$F953)+1)/2,"")</f>
        <v/>
      </c>
      <c r="X953" s="27">
        <f>IF(OR(NOT(ISNUMBER($V953)),$AO953=1),"",$V953-(COUNTIFS($A$14:$A$1213,$A953,$C$14:$C$1213,"&gt;=0")+1)/2)</f>
        <v/>
      </c>
      <c r="Y953" s="27">
        <f>IF(OR(NOT(ISNUMBER($W953)),$AO953=1),"",$W953-(COUNTIFS($A$14:$A$1213,$A953,$F$14:$F$1213,"&gt;=0")+1)/2)</f>
        <v/>
      </c>
      <c r="Z953" s="27">
        <f>IF(ISNUMBER($V953),$A953&amp;"|"&amp;$V953,"")</f>
        <v/>
      </c>
      <c r="AA953" s="27">
        <f>IF(ISNUMBER($W953),$A953&amp;"|"&amp;$W953,"")</f>
        <v/>
      </c>
      <c r="AB953" s="27">
        <f>IF(ISNUMBER($F953),$A953&amp;"|"&amp;$F953,"")</f>
        <v/>
      </c>
      <c r="AC953" s="27">
        <f>IF(ISNUMBER($P953),COUNTIFS($A$14:$A$1213,$A953,$P$14:$P$1213,"&gt;"&amp;$P953)+(COUNTIFS($A$14:$A$1213,$A953,$P$14:$P$1213,"="&amp;$P953)+1)/2,"")</f>
        <v/>
      </c>
      <c r="AD953" s="27">
        <f>IF(ISNUMBER($Q953),COUNTIFS($A$14:$A$1213,$A953,$Q$14:$Q$1213,"&gt;"&amp;$Q953)+(COUNTIFS($A$14:$A$1213,$A953,$Q$14:$Q$1213,"="&amp;$Q953)+1)/2,"")</f>
        <v/>
      </c>
      <c r="AE953" s="27">
        <f>IF(ISNUMBER($R953),COUNTIFS($A$14:$A$1213,$A953,$R$14:$R$1213,"&gt;"&amp;$R953)+(COUNTIFS($A$14:$A$1213,$A953,$R$14:$R$1213,"="&amp;$R953)+1)/2,"")</f>
        <v/>
      </c>
      <c r="AF953" s="27">
        <f>IF(ISNUMBER($S953),COUNTIFS($A$14:$A$1213,$A953,$S$14:$S$1213,"&gt;"&amp;$S953)+(COUNTIFS($A$14:$A$1213,$A953,$S$14:$S$1213,"="&amp;$S953)+1)/2,"")</f>
        <v/>
      </c>
      <c r="AG953" s="27">
        <f>IF(ISNUMBER($T953),COUNTIFS($A$14:$A$1213,$A953,$T$14:$T$1213,"&gt;"&amp;$T953)+(COUNTIFS($A$14:$A$1213,$A953,$T$14:$T$1213,"="&amp;$T953)+1)/2,"")</f>
        <v/>
      </c>
      <c r="AH953" s="27">
        <f>IF(COUNT($AC953:$AG953)&lt;2,"",IF(MAX($AC953:$AG953)=MIN($AC953:$AG953),0,1))</f>
        <v/>
      </c>
      <c r="AI953" s="27">
        <f>IF($A953="","",IF(COUNTIF($A$14:$A953,$A953)=1,COUNTIF($AI$13:AI952,"&gt;0")+1,""))</f>
        <v/>
      </c>
      <c r="AO953" s="27">
        <f>IF($A953="","",IF(AND(COUNTIFS($A$14:$A$1213,$A953,$F$14:$F$1213,"&gt;=0")=2,IFERROR(INDEX($M$14:$M$313,MATCH($A953,$H$14:$H$313,0)),"Yes")&lt;&gt;"Yes"),1,0))</f>
        <v/>
      </c>
    </row>
    <row r="954">
      <c r="A954" s="19">
        <f>IF('Enter messages'!A954="","",'Enter messages'!A954)</f>
        <v/>
      </c>
      <c r="B954" s="20">
        <f>IF('Enter messages'!B954="","",'Enter messages'!B954)</f>
        <v/>
      </c>
      <c r="C954" s="21">
        <f>IFERROR(AVERAGE(P954:T954),"")</f>
        <v/>
      </c>
      <c r="D954" s="29" t="n"/>
      <c r="E954" s="29" t="n"/>
      <c r="F954" s="30">
        <f>IF(AND(ISNUMBER($D954),ISNUMBER($E954),$E954&gt;0,$D954&lt;=$E954),$D954/$E954,"")</f>
        <v/>
      </c>
      <c r="P954" s="26" t="n"/>
      <c r="Q954" s="26" t="n"/>
      <c r="R954" s="26" t="n"/>
      <c r="S954" s="26" t="n"/>
      <c r="T954" s="26" t="n"/>
      <c r="V954" s="27">
        <f>IF(ISNUMBER($C954),COUNTIFS($A$14:$A$1213,$A954,$C$14:$C$1213,"&gt;"&amp;$C954)+(COUNTIFS($A$14:$A$1213,$A954,$C$14:$C$1213,"="&amp;$C954)+1)/2,"")</f>
        <v/>
      </c>
      <c r="W954" s="27">
        <f>IF(ISNUMBER($F954),COUNTIFS($A$14:$A$1213,$A954,$F$14:$F$1213,"&gt;"&amp;$F954)+(COUNTIFS($A$14:$A$1213,$A954,$F$14:$F$1213,"="&amp;$F954)+1)/2,"")</f>
        <v/>
      </c>
      <c r="X954" s="27">
        <f>IF(OR(NOT(ISNUMBER($V954)),$AO954=1),"",$V954-(COUNTIFS($A$14:$A$1213,$A954,$C$14:$C$1213,"&gt;=0")+1)/2)</f>
        <v/>
      </c>
      <c r="Y954" s="27">
        <f>IF(OR(NOT(ISNUMBER($W954)),$AO954=1),"",$W954-(COUNTIFS($A$14:$A$1213,$A954,$F$14:$F$1213,"&gt;=0")+1)/2)</f>
        <v/>
      </c>
      <c r="Z954" s="27">
        <f>IF(ISNUMBER($V954),$A954&amp;"|"&amp;$V954,"")</f>
        <v/>
      </c>
      <c r="AA954" s="27">
        <f>IF(ISNUMBER($W954),$A954&amp;"|"&amp;$W954,"")</f>
        <v/>
      </c>
      <c r="AB954" s="27">
        <f>IF(ISNUMBER($F954),$A954&amp;"|"&amp;$F954,"")</f>
        <v/>
      </c>
      <c r="AC954" s="27">
        <f>IF(ISNUMBER($P954),COUNTIFS($A$14:$A$1213,$A954,$P$14:$P$1213,"&gt;"&amp;$P954)+(COUNTIFS($A$14:$A$1213,$A954,$P$14:$P$1213,"="&amp;$P954)+1)/2,"")</f>
        <v/>
      </c>
      <c r="AD954" s="27">
        <f>IF(ISNUMBER($Q954),COUNTIFS($A$14:$A$1213,$A954,$Q$14:$Q$1213,"&gt;"&amp;$Q954)+(COUNTIFS($A$14:$A$1213,$A954,$Q$14:$Q$1213,"="&amp;$Q954)+1)/2,"")</f>
        <v/>
      </c>
      <c r="AE954" s="27">
        <f>IF(ISNUMBER($R954),COUNTIFS($A$14:$A$1213,$A954,$R$14:$R$1213,"&gt;"&amp;$R954)+(COUNTIFS($A$14:$A$1213,$A954,$R$14:$R$1213,"="&amp;$R954)+1)/2,"")</f>
        <v/>
      </c>
      <c r="AF954" s="27">
        <f>IF(ISNUMBER($S954),COUNTIFS($A$14:$A$1213,$A954,$S$14:$S$1213,"&gt;"&amp;$S954)+(COUNTIFS($A$14:$A$1213,$A954,$S$14:$S$1213,"="&amp;$S954)+1)/2,"")</f>
        <v/>
      </c>
      <c r="AG954" s="27">
        <f>IF(ISNUMBER($T954),COUNTIFS($A$14:$A$1213,$A954,$T$14:$T$1213,"&gt;"&amp;$T954)+(COUNTIFS($A$14:$A$1213,$A954,$T$14:$T$1213,"="&amp;$T954)+1)/2,"")</f>
        <v/>
      </c>
      <c r="AH954" s="27">
        <f>IF(COUNT($AC954:$AG954)&lt;2,"",IF(MAX($AC954:$AG954)=MIN($AC954:$AG954),0,1))</f>
        <v/>
      </c>
      <c r="AI954" s="27">
        <f>IF($A954="","",IF(COUNTIF($A$14:$A954,$A954)=1,COUNTIF($AI$13:AI953,"&gt;0")+1,""))</f>
        <v/>
      </c>
      <c r="AO954" s="27">
        <f>IF($A954="","",IF(AND(COUNTIFS($A$14:$A$1213,$A954,$F$14:$F$1213,"&gt;=0")=2,IFERROR(INDEX($M$14:$M$313,MATCH($A954,$H$14:$H$313,0)),"Yes")&lt;&gt;"Yes"),1,0))</f>
        <v/>
      </c>
    </row>
    <row r="955">
      <c r="A955" s="19">
        <f>IF('Enter messages'!A955="","",'Enter messages'!A955)</f>
        <v/>
      </c>
      <c r="B955" s="20">
        <f>IF('Enter messages'!B955="","",'Enter messages'!B955)</f>
        <v/>
      </c>
      <c r="C955" s="21">
        <f>IFERROR(AVERAGE(P955:T955),"")</f>
        <v/>
      </c>
      <c r="D955" s="29" t="n"/>
      <c r="E955" s="29" t="n"/>
      <c r="F955" s="30">
        <f>IF(AND(ISNUMBER($D955),ISNUMBER($E955),$E955&gt;0,$D955&lt;=$E955),$D955/$E955,"")</f>
        <v/>
      </c>
      <c r="P955" s="26" t="n"/>
      <c r="Q955" s="26" t="n"/>
      <c r="R955" s="26" t="n"/>
      <c r="S955" s="26" t="n"/>
      <c r="T955" s="26" t="n"/>
      <c r="V955" s="27">
        <f>IF(ISNUMBER($C955),COUNTIFS($A$14:$A$1213,$A955,$C$14:$C$1213,"&gt;"&amp;$C955)+(COUNTIFS($A$14:$A$1213,$A955,$C$14:$C$1213,"="&amp;$C955)+1)/2,"")</f>
        <v/>
      </c>
      <c r="W955" s="27">
        <f>IF(ISNUMBER($F955),COUNTIFS($A$14:$A$1213,$A955,$F$14:$F$1213,"&gt;"&amp;$F955)+(COUNTIFS($A$14:$A$1213,$A955,$F$14:$F$1213,"="&amp;$F955)+1)/2,"")</f>
        <v/>
      </c>
      <c r="X955" s="27">
        <f>IF(OR(NOT(ISNUMBER($V955)),$AO955=1),"",$V955-(COUNTIFS($A$14:$A$1213,$A955,$C$14:$C$1213,"&gt;=0")+1)/2)</f>
        <v/>
      </c>
      <c r="Y955" s="27">
        <f>IF(OR(NOT(ISNUMBER($W955)),$AO955=1),"",$W955-(COUNTIFS($A$14:$A$1213,$A955,$F$14:$F$1213,"&gt;=0")+1)/2)</f>
        <v/>
      </c>
      <c r="Z955" s="27">
        <f>IF(ISNUMBER($V955),$A955&amp;"|"&amp;$V955,"")</f>
        <v/>
      </c>
      <c r="AA955" s="27">
        <f>IF(ISNUMBER($W955),$A955&amp;"|"&amp;$W955,"")</f>
        <v/>
      </c>
      <c r="AB955" s="27">
        <f>IF(ISNUMBER($F955),$A955&amp;"|"&amp;$F955,"")</f>
        <v/>
      </c>
      <c r="AC955" s="27">
        <f>IF(ISNUMBER($P955),COUNTIFS($A$14:$A$1213,$A955,$P$14:$P$1213,"&gt;"&amp;$P955)+(COUNTIFS($A$14:$A$1213,$A955,$P$14:$P$1213,"="&amp;$P955)+1)/2,"")</f>
        <v/>
      </c>
      <c r="AD955" s="27">
        <f>IF(ISNUMBER($Q955),COUNTIFS($A$14:$A$1213,$A955,$Q$14:$Q$1213,"&gt;"&amp;$Q955)+(COUNTIFS($A$14:$A$1213,$A955,$Q$14:$Q$1213,"="&amp;$Q955)+1)/2,"")</f>
        <v/>
      </c>
      <c r="AE955" s="27">
        <f>IF(ISNUMBER($R955),COUNTIFS($A$14:$A$1213,$A955,$R$14:$R$1213,"&gt;"&amp;$R955)+(COUNTIFS($A$14:$A$1213,$A955,$R$14:$R$1213,"="&amp;$R955)+1)/2,"")</f>
        <v/>
      </c>
      <c r="AF955" s="27">
        <f>IF(ISNUMBER($S955),COUNTIFS($A$14:$A$1213,$A955,$S$14:$S$1213,"&gt;"&amp;$S955)+(COUNTIFS($A$14:$A$1213,$A955,$S$14:$S$1213,"="&amp;$S955)+1)/2,"")</f>
        <v/>
      </c>
      <c r="AG955" s="27">
        <f>IF(ISNUMBER($T955),COUNTIFS($A$14:$A$1213,$A955,$T$14:$T$1213,"&gt;"&amp;$T955)+(COUNTIFS($A$14:$A$1213,$A955,$T$14:$T$1213,"="&amp;$T955)+1)/2,"")</f>
        <v/>
      </c>
      <c r="AH955" s="27">
        <f>IF(COUNT($AC955:$AG955)&lt;2,"",IF(MAX($AC955:$AG955)=MIN($AC955:$AG955),0,1))</f>
        <v/>
      </c>
      <c r="AI955" s="27">
        <f>IF($A955="","",IF(COUNTIF($A$14:$A955,$A955)=1,COUNTIF($AI$13:AI954,"&gt;0")+1,""))</f>
        <v/>
      </c>
      <c r="AO955" s="27">
        <f>IF($A955="","",IF(AND(COUNTIFS($A$14:$A$1213,$A955,$F$14:$F$1213,"&gt;=0")=2,IFERROR(INDEX($M$14:$M$313,MATCH($A955,$H$14:$H$313,0)),"Yes")&lt;&gt;"Yes"),1,0))</f>
        <v/>
      </c>
    </row>
    <row r="956">
      <c r="A956" s="19">
        <f>IF('Enter messages'!A956="","",'Enter messages'!A956)</f>
        <v/>
      </c>
      <c r="B956" s="20">
        <f>IF('Enter messages'!B956="","",'Enter messages'!B956)</f>
        <v/>
      </c>
      <c r="C956" s="21">
        <f>IFERROR(AVERAGE(P956:T956),"")</f>
        <v/>
      </c>
      <c r="D956" s="29" t="n"/>
      <c r="E956" s="29" t="n"/>
      <c r="F956" s="30">
        <f>IF(AND(ISNUMBER($D956),ISNUMBER($E956),$E956&gt;0,$D956&lt;=$E956),$D956/$E956,"")</f>
        <v/>
      </c>
      <c r="P956" s="26" t="n"/>
      <c r="Q956" s="26" t="n"/>
      <c r="R956" s="26" t="n"/>
      <c r="S956" s="26" t="n"/>
      <c r="T956" s="26" t="n"/>
      <c r="V956" s="27">
        <f>IF(ISNUMBER($C956),COUNTIFS($A$14:$A$1213,$A956,$C$14:$C$1213,"&gt;"&amp;$C956)+(COUNTIFS($A$14:$A$1213,$A956,$C$14:$C$1213,"="&amp;$C956)+1)/2,"")</f>
        <v/>
      </c>
      <c r="W956" s="27">
        <f>IF(ISNUMBER($F956),COUNTIFS($A$14:$A$1213,$A956,$F$14:$F$1213,"&gt;"&amp;$F956)+(COUNTIFS($A$14:$A$1213,$A956,$F$14:$F$1213,"="&amp;$F956)+1)/2,"")</f>
        <v/>
      </c>
      <c r="X956" s="27">
        <f>IF(OR(NOT(ISNUMBER($V956)),$AO956=1),"",$V956-(COUNTIFS($A$14:$A$1213,$A956,$C$14:$C$1213,"&gt;=0")+1)/2)</f>
        <v/>
      </c>
      <c r="Y956" s="27">
        <f>IF(OR(NOT(ISNUMBER($W956)),$AO956=1),"",$W956-(COUNTIFS($A$14:$A$1213,$A956,$F$14:$F$1213,"&gt;=0")+1)/2)</f>
        <v/>
      </c>
      <c r="Z956" s="27">
        <f>IF(ISNUMBER($V956),$A956&amp;"|"&amp;$V956,"")</f>
        <v/>
      </c>
      <c r="AA956" s="27">
        <f>IF(ISNUMBER($W956),$A956&amp;"|"&amp;$W956,"")</f>
        <v/>
      </c>
      <c r="AB956" s="27">
        <f>IF(ISNUMBER($F956),$A956&amp;"|"&amp;$F956,"")</f>
        <v/>
      </c>
      <c r="AC956" s="27">
        <f>IF(ISNUMBER($P956),COUNTIFS($A$14:$A$1213,$A956,$P$14:$P$1213,"&gt;"&amp;$P956)+(COUNTIFS($A$14:$A$1213,$A956,$P$14:$P$1213,"="&amp;$P956)+1)/2,"")</f>
        <v/>
      </c>
      <c r="AD956" s="27">
        <f>IF(ISNUMBER($Q956),COUNTIFS($A$14:$A$1213,$A956,$Q$14:$Q$1213,"&gt;"&amp;$Q956)+(COUNTIFS($A$14:$A$1213,$A956,$Q$14:$Q$1213,"="&amp;$Q956)+1)/2,"")</f>
        <v/>
      </c>
      <c r="AE956" s="27">
        <f>IF(ISNUMBER($R956),COUNTIFS($A$14:$A$1213,$A956,$R$14:$R$1213,"&gt;"&amp;$R956)+(COUNTIFS($A$14:$A$1213,$A956,$R$14:$R$1213,"="&amp;$R956)+1)/2,"")</f>
        <v/>
      </c>
      <c r="AF956" s="27">
        <f>IF(ISNUMBER($S956),COUNTIFS($A$14:$A$1213,$A956,$S$14:$S$1213,"&gt;"&amp;$S956)+(COUNTIFS($A$14:$A$1213,$A956,$S$14:$S$1213,"="&amp;$S956)+1)/2,"")</f>
        <v/>
      </c>
      <c r="AG956" s="27">
        <f>IF(ISNUMBER($T956),COUNTIFS($A$14:$A$1213,$A956,$T$14:$T$1213,"&gt;"&amp;$T956)+(COUNTIFS($A$14:$A$1213,$A956,$T$14:$T$1213,"="&amp;$T956)+1)/2,"")</f>
        <v/>
      </c>
      <c r="AH956" s="27">
        <f>IF(COUNT($AC956:$AG956)&lt;2,"",IF(MAX($AC956:$AG956)=MIN($AC956:$AG956),0,1))</f>
        <v/>
      </c>
      <c r="AI956" s="27">
        <f>IF($A956="","",IF(COUNTIF($A$14:$A956,$A956)=1,COUNTIF($AI$13:AI955,"&gt;0")+1,""))</f>
        <v/>
      </c>
      <c r="AO956" s="27">
        <f>IF($A956="","",IF(AND(COUNTIFS($A$14:$A$1213,$A956,$F$14:$F$1213,"&gt;=0")=2,IFERROR(INDEX($M$14:$M$313,MATCH($A956,$H$14:$H$313,0)),"Yes")&lt;&gt;"Yes"),1,0))</f>
        <v/>
      </c>
    </row>
    <row r="957">
      <c r="A957" s="19">
        <f>IF('Enter messages'!A957="","",'Enter messages'!A957)</f>
        <v/>
      </c>
      <c r="B957" s="20">
        <f>IF('Enter messages'!B957="","",'Enter messages'!B957)</f>
        <v/>
      </c>
      <c r="C957" s="21">
        <f>IFERROR(AVERAGE(P957:T957),"")</f>
        <v/>
      </c>
      <c r="D957" s="29" t="n"/>
      <c r="E957" s="29" t="n"/>
      <c r="F957" s="30">
        <f>IF(AND(ISNUMBER($D957),ISNUMBER($E957),$E957&gt;0,$D957&lt;=$E957),$D957/$E957,"")</f>
        <v/>
      </c>
      <c r="P957" s="26" t="n"/>
      <c r="Q957" s="26" t="n"/>
      <c r="R957" s="26" t="n"/>
      <c r="S957" s="26" t="n"/>
      <c r="T957" s="26" t="n"/>
      <c r="V957" s="27">
        <f>IF(ISNUMBER($C957),COUNTIFS($A$14:$A$1213,$A957,$C$14:$C$1213,"&gt;"&amp;$C957)+(COUNTIFS($A$14:$A$1213,$A957,$C$14:$C$1213,"="&amp;$C957)+1)/2,"")</f>
        <v/>
      </c>
      <c r="W957" s="27">
        <f>IF(ISNUMBER($F957),COUNTIFS($A$14:$A$1213,$A957,$F$14:$F$1213,"&gt;"&amp;$F957)+(COUNTIFS($A$14:$A$1213,$A957,$F$14:$F$1213,"="&amp;$F957)+1)/2,"")</f>
        <v/>
      </c>
      <c r="X957" s="27">
        <f>IF(OR(NOT(ISNUMBER($V957)),$AO957=1),"",$V957-(COUNTIFS($A$14:$A$1213,$A957,$C$14:$C$1213,"&gt;=0")+1)/2)</f>
        <v/>
      </c>
      <c r="Y957" s="27">
        <f>IF(OR(NOT(ISNUMBER($W957)),$AO957=1),"",$W957-(COUNTIFS($A$14:$A$1213,$A957,$F$14:$F$1213,"&gt;=0")+1)/2)</f>
        <v/>
      </c>
      <c r="Z957" s="27">
        <f>IF(ISNUMBER($V957),$A957&amp;"|"&amp;$V957,"")</f>
        <v/>
      </c>
      <c r="AA957" s="27">
        <f>IF(ISNUMBER($W957),$A957&amp;"|"&amp;$W957,"")</f>
        <v/>
      </c>
      <c r="AB957" s="27">
        <f>IF(ISNUMBER($F957),$A957&amp;"|"&amp;$F957,"")</f>
        <v/>
      </c>
      <c r="AC957" s="27">
        <f>IF(ISNUMBER($P957),COUNTIFS($A$14:$A$1213,$A957,$P$14:$P$1213,"&gt;"&amp;$P957)+(COUNTIFS($A$14:$A$1213,$A957,$P$14:$P$1213,"="&amp;$P957)+1)/2,"")</f>
        <v/>
      </c>
      <c r="AD957" s="27">
        <f>IF(ISNUMBER($Q957),COUNTIFS($A$14:$A$1213,$A957,$Q$14:$Q$1213,"&gt;"&amp;$Q957)+(COUNTIFS($A$14:$A$1213,$A957,$Q$14:$Q$1213,"="&amp;$Q957)+1)/2,"")</f>
        <v/>
      </c>
      <c r="AE957" s="27">
        <f>IF(ISNUMBER($R957),COUNTIFS($A$14:$A$1213,$A957,$R$14:$R$1213,"&gt;"&amp;$R957)+(COUNTIFS($A$14:$A$1213,$A957,$R$14:$R$1213,"="&amp;$R957)+1)/2,"")</f>
        <v/>
      </c>
      <c r="AF957" s="27">
        <f>IF(ISNUMBER($S957),COUNTIFS($A$14:$A$1213,$A957,$S$14:$S$1213,"&gt;"&amp;$S957)+(COUNTIFS($A$14:$A$1213,$A957,$S$14:$S$1213,"="&amp;$S957)+1)/2,"")</f>
        <v/>
      </c>
      <c r="AG957" s="27">
        <f>IF(ISNUMBER($T957),COUNTIFS($A$14:$A$1213,$A957,$T$14:$T$1213,"&gt;"&amp;$T957)+(COUNTIFS($A$14:$A$1213,$A957,$T$14:$T$1213,"="&amp;$T957)+1)/2,"")</f>
        <v/>
      </c>
      <c r="AH957" s="27">
        <f>IF(COUNT($AC957:$AG957)&lt;2,"",IF(MAX($AC957:$AG957)=MIN($AC957:$AG957),0,1))</f>
        <v/>
      </c>
      <c r="AI957" s="27">
        <f>IF($A957="","",IF(COUNTIF($A$14:$A957,$A957)=1,COUNTIF($AI$13:AI956,"&gt;0")+1,""))</f>
        <v/>
      </c>
      <c r="AO957" s="27">
        <f>IF($A957="","",IF(AND(COUNTIFS($A$14:$A$1213,$A957,$F$14:$F$1213,"&gt;=0")=2,IFERROR(INDEX($M$14:$M$313,MATCH($A957,$H$14:$H$313,0)),"Yes")&lt;&gt;"Yes"),1,0))</f>
        <v/>
      </c>
    </row>
    <row r="958">
      <c r="A958" s="19">
        <f>IF('Enter messages'!A958="","",'Enter messages'!A958)</f>
        <v/>
      </c>
      <c r="B958" s="20">
        <f>IF('Enter messages'!B958="","",'Enter messages'!B958)</f>
        <v/>
      </c>
      <c r="C958" s="21">
        <f>IFERROR(AVERAGE(P958:T958),"")</f>
        <v/>
      </c>
      <c r="D958" s="29" t="n"/>
      <c r="E958" s="29" t="n"/>
      <c r="F958" s="30">
        <f>IF(AND(ISNUMBER($D958),ISNUMBER($E958),$E958&gt;0,$D958&lt;=$E958),$D958/$E958,"")</f>
        <v/>
      </c>
      <c r="P958" s="26" t="n"/>
      <c r="Q958" s="26" t="n"/>
      <c r="R958" s="26" t="n"/>
      <c r="S958" s="26" t="n"/>
      <c r="T958" s="26" t="n"/>
      <c r="V958" s="27">
        <f>IF(ISNUMBER($C958),COUNTIFS($A$14:$A$1213,$A958,$C$14:$C$1213,"&gt;"&amp;$C958)+(COUNTIFS($A$14:$A$1213,$A958,$C$14:$C$1213,"="&amp;$C958)+1)/2,"")</f>
        <v/>
      </c>
      <c r="W958" s="27">
        <f>IF(ISNUMBER($F958),COUNTIFS($A$14:$A$1213,$A958,$F$14:$F$1213,"&gt;"&amp;$F958)+(COUNTIFS($A$14:$A$1213,$A958,$F$14:$F$1213,"="&amp;$F958)+1)/2,"")</f>
        <v/>
      </c>
      <c r="X958" s="27">
        <f>IF(OR(NOT(ISNUMBER($V958)),$AO958=1),"",$V958-(COUNTIFS($A$14:$A$1213,$A958,$C$14:$C$1213,"&gt;=0")+1)/2)</f>
        <v/>
      </c>
      <c r="Y958" s="27">
        <f>IF(OR(NOT(ISNUMBER($W958)),$AO958=1),"",$W958-(COUNTIFS($A$14:$A$1213,$A958,$F$14:$F$1213,"&gt;=0")+1)/2)</f>
        <v/>
      </c>
      <c r="Z958" s="27">
        <f>IF(ISNUMBER($V958),$A958&amp;"|"&amp;$V958,"")</f>
        <v/>
      </c>
      <c r="AA958" s="27">
        <f>IF(ISNUMBER($W958),$A958&amp;"|"&amp;$W958,"")</f>
        <v/>
      </c>
      <c r="AB958" s="27">
        <f>IF(ISNUMBER($F958),$A958&amp;"|"&amp;$F958,"")</f>
        <v/>
      </c>
      <c r="AC958" s="27">
        <f>IF(ISNUMBER($P958),COUNTIFS($A$14:$A$1213,$A958,$P$14:$P$1213,"&gt;"&amp;$P958)+(COUNTIFS($A$14:$A$1213,$A958,$P$14:$P$1213,"="&amp;$P958)+1)/2,"")</f>
        <v/>
      </c>
      <c r="AD958" s="27">
        <f>IF(ISNUMBER($Q958),COUNTIFS($A$14:$A$1213,$A958,$Q$14:$Q$1213,"&gt;"&amp;$Q958)+(COUNTIFS($A$14:$A$1213,$A958,$Q$14:$Q$1213,"="&amp;$Q958)+1)/2,"")</f>
        <v/>
      </c>
      <c r="AE958" s="27">
        <f>IF(ISNUMBER($R958),COUNTIFS($A$14:$A$1213,$A958,$R$14:$R$1213,"&gt;"&amp;$R958)+(COUNTIFS($A$14:$A$1213,$A958,$R$14:$R$1213,"="&amp;$R958)+1)/2,"")</f>
        <v/>
      </c>
      <c r="AF958" s="27">
        <f>IF(ISNUMBER($S958),COUNTIFS($A$14:$A$1213,$A958,$S$14:$S$1213,"&gt;"&amp;$S958)+(COUNTIFS($A$14:$A$1213,$A958,$S$14:$S$1213,"="&amp;$S958)+1)/2,"")</f>
        <v/>
      </c>
      <c r="AG958" s="27">
        <f>IF(ISNUMBER($T958),COUNTIFS($A$14:$A$1213,$A958,$T$14:$T$1213,"&gt;"&amp;$T958)+(COUNTIFS($A$14:$A$1213,$A958,$T$14:$T$1213,"="&amp;$T958)+1)/2,"")</f>
        <v/>
      </c>
      <c r="AH958" s="27">
        <f>IF(COUNT($AC958:$AG958)&lt;2,"",IF(MAX($AC958:$AG958)=MIN($AC958:$AG958),0,1))</f>
        <v/>
      </c>
      <c r="AI958" s="27">
        <f>IF($A958="","",IF(COUNTIF($A$14:$A958,$A958)=1,COUNTIF($AI$13:AI957,"&gt;0")+1,""))</f>
        <v/>
      </c>
      <c r="AO958" s="27">
        <f>IF($A958="","",IF(AND(COUNTIFS($A$14:$A$1213,$A958,$F$14:$F$1213,"&gt;=0")=2,IFERROR(INDEX($M$14:$M$313,MATCH($A958,$H$14:$H$313,0)),"Yes")&lt;&gt;"Yes"),1,0))</f>
        <v/>
      </c>
    </row>
    <row r="959">
      <c r="A959" s="19">
        <f>IF('Enter messages'!A959="","",'Enter messages'!A959)</f>
        <v/>
      </c>
      <c r="B959" s="20">
        <f>IF('Enter messages'!B959="","",'Enter messages'!B959)</f>
        <v/>
      </c>
      <c r="C959" s="21">
        <f>IFERROR(AVERAGE(P959:T959),"")</f>
        <v/>
      </c>
      <c r="D959" s="29" t="n"/>
      <c r="E959" s="29" t="n"/>
      <c r="F959" s="30">
        <f>IF(AND(ISNUMBER($D959),ISNUMBER($E959),$E959&gt;0,$D959&lt;=$E959),$D959/$E959,"")</f>
        <v/>
      </c>
      <c r="P959" s="26" t="n"/>
      <c r="Q959" s="26" t="n"/>
      <c r="R959" s="26" t="n"/>
      <c r="S959" s="26" t="n"/>
      <c r="T959" s="26" t="n"/>
      <c r="V959" s="27">
        <f>IF(ISNUMBER($C959),COUNTIFS($A$14:$A$1213,$A959,$C$14:$C$1213,"&gt;"&amp;$C959)+(COUNTIFS($A$14:$A$1213,$A959,$C$14:$C$1213,"="&amp;$C959)+1)/2,"")</f>
        <v/>
      </c>
      <c r="W959" s="27">
        <f>IF(ISNUMBER($F959),COUNTIFS($A$14:$A$1213,$A959,$F$14:$F$1213,"&gt;"&amp;$F959)+(COUNTIFS($A$14:$A$1213,$A959,$F$14:$F$1213,"="&amp;$F959)+1)/2,"")</f>
        <v/>
      </c>
      <c r="X959" s="27">
        <f>IF(OR(NOT(ISNUMBER($V959)),$AO959=1),"",$V959-(COUNTIFS($A$14:$A$1213,$A959,$C$14:$C$1213,"&gt;=0")+1)/2)</f>
        <v/>
      </c>
      <c r="Y959" s="27">
        <f>IF(OR(NOT(ISNUMBER($W959)),$AO959=1),"",$W959-(COUNTIFS($A$14:$A$1213,$A959,$F$14:$F$1213,"&gt;=0")+1)/2)</f>
        <v/>
      </c>
      <c r="Z959" s="27">
        <f>IF(ISNUMBER($V959),$A959&amp;"|"&amp;$V959,"")</f>
        <v/>
      </c>
      <c r="AA959" s="27">
        <f>IF(ISNUMBER($W959),$A959&amp;"|"&amp;$W959,"")</f>
        <v/>
      </c>
      <c r="AB959" s="27">
        <f>IF(ISNUMBER($F959),$A959&amp;"|"&amp;$F959,"")</f>
        <v/>
      </c>
      <c r="AC959" s="27">
        <f>IF(ISNUMBER($P959),COUNTIFS($A$14:$A$1213,$A959,$P$14:$P$1213,"&gt;"&amp;$P959)+(COUNTIFS($A$14:$A$1213,$A959,$P$14:$P$1213,"="&amp;$P959)+1)/2,"")</f>
        <v/>
      </c>
      <c r="AD959" s="27">
        <f>IF(ISNUMBER($Q959),COUNTIFS($A$14:$A$1213,$A959,$Q$14:$Q$1213,"&gt;"&amp;$Q959)+(COUNTIFS($A$14:$A$1213,$A959,$Q$14:$Q$1213,"="&amp;$Q959)+1)/2,"")</f>
        <v/>
      </c>
      <c r="AE959" s="27">
        <f>IF(ISNUMBER($R959),COUNTIFS($A$14:$A$1213,$A959,$R$14:$R$1213,"&gt;"&amp;$R959)+(COUNTIFS($A$14:$A$1213,$A959,$R$14:$R$1213,"="&amp;$R959)+1)/2,"")</f>
        <v/>
      </c>
      <c r="AF959" s="27">
        <f>IF(ISNUMBER($S959),COUNTIFS($A$14:$A$1213,$A959,$S$14:$S$1213,"&gt;"&amp;$S959)+(COUNTIFS($A$14:$A$1213,$A959,$S$14:$S$1213,"="&amp;$S959)+1)/2,"")</f>
        <v/>
      </c>
      <c r="AG959" s="27">
        <f>IF(ISNUMBER($T959),COUNTIFS($A$14:$A$1213,$A959,$T$14:$T$1213,"&gt;"&amp;$T959)+(COUNTIFS($A$14:$A$1213,$A959,$T$14:$T$1213,"="&amp;$T959)+1)/2,"")</f>
        <v/>
      </c>
      <c r="AH959" s="27">
        <f>IF(COUNT($AC959:$AG959)&lt;2,"",IF(MAX($AC959:$AG959)=MIN($AC959:$AG959),0,1))</f>
        <v/>
      </c>
      <c r="AI959" s="27">
        <f>IF($A959="","",IF(COUNTIF($A$14:$A959,$A959)=1,COUNTIF($AI$13:AI958,"&gt;0")+1,""))</f>
        <v/>
      </c>
      <c r="AO959" s="27">
        <f>IF($A959="","",IF(AND(COUNTIFS($A$14:$A$1213,$A959,$F$14:$F$1213,"&gt;=0")=2,IFERROR(INDEX($M$14:$M$313,MATCH($A959,$H$14:$H$313,0)),"Yes")&lt;&gt;"Yes"),1,0))</f>
        <v/>
      </c>
    </row>
    <row r="960">
      <c r="A960" s="19">
        <f>IF('Enter messages'!A960="","",'Enter messages'!A960)</f>
        <v/>
      </c>
      <c r="B960" s="20">
        <f>IF('Enter messages'!B960="","",'Enter messages'!B960)</f>
        <v/>
      </c>
      <c r="C960" s="21">
        <f>IFERROR(AVERAGE(P960:T960),"")</f>
        <v/>
      </c>
      <c r="D960" s="29" t="n"/>
      <c r="E960" s="29" t="n"/>
      <c r="F960" s="30">
        <f>IF(AND(ISNUMBER($D960),ISNUMBER($E960),$E960&gt;0,$D960&lt;=$E960),$D960/$E960,"")</f>
        <v/>
      </c>
      <c r="P960" s="26" t="n"/>
      <c r="Q960" s="26" t="n"/>
      <c r="R960" s="26" t="n"/>
      <c r="S960" s="26" t="n"/>
      <c r="T960" s="26" t="n"/>
      <c r="V960" s="27">
        <f>IF(ISNUMBER($C960),COUNTIFS($A$14:$A$1213,$A960,$C$14:$C$1213,"&gt;"&amp;$C960)+(COUNTIFS($A$14:$A$1213,$A960,$C$14:$C$1213,"="&amp;$C960)+1)/2,"")</f>
        <v/>
      </c>
      <c r="W960" s="27">
        <f>IF(ISNUMBER($F960),COUNTIFS($A$14:$A$1213,$A960,$F$14:$F$1213,"&gt;"&amp;$F960)+(COUNTIFS($A$14:$A$1213,$A960,$F$14:$F$1213,"="&amp;$F960)+1)/2,"")</f>
        <v/>
      </c>
      <c r="X960" s="27">
        <f>IF(OR(NOT(ISNUMBER($V960)),$AO960=1),"",$V960-(COUNTIFS($A$14:$A$1213,$A960,$C$14:$C$1213,"&gt;=0")+1)/2)</f>
        <v/>
      </c>
      <c r="Y960" s="27">
        <f>IF(OR(NOT(ISNUMBER($W960)),$AO960=1),"",$W960-(COUNTIFS($A$14:$A$1213,$A960,$F$14:$F$1213,"&gt;=0")+1)/2)</f>
        <v/>
      </c>
      <c r="Z960" s="27">
        <f>IF(ISNUMBER($V960),$A960&amp;"|"&amp;$V960,"")</f>
        <v/>
      </c>
      <c r="AA960" s="27">
        <f>IF(ISNUMBER($W960),$A960&amp;"|"&amp;$W960,"")</f>
        <v/>
      </c>
      <c r="AB960" s="27">
        <f>IF(ISNUMBER($F960),$A960&amp;"|"&amp;$F960,"")</f>
        <v/>
      </c>
      <c r="AC960" s="27">
        <f>IF(ISNUMBER($P960),COUNTIFS($A$14:$A$1213,$A960,$P$14:$P$1213,"&gt;"&amp;$P960)+(COUNTIFS($A$14:$A$1213,$A960,$P$14:$P$1213,"="&amp;$P960)+1)/2,"")</f>
        <v/>
      </c>
      <c r="AD960" s="27">
        <f>IF(ISNUMBER($Q960),COUNTIFS($A$14:$A$1213,$A960,$Q$14:$Q$1213,"&gt;"&amp;$Q960)+(COUNTIFS($A$14:$A$1213,$A960,$Q$14:$Q$1213,"="&amp;$Q960)+1)/2,"")</f>
        <v/>
      </c>
      <c r="AE960" s="27">
        <f>IF(ISNUMBER($R960),COUNTIFS($A$14:$A$1213,$A960,$R$14:$R$1213,"&gt;"&amp;$R960)+(COUNTIFS($A$14:$A$1213,$A960,$R$14:$R$1213,"="&amp;$R960)+1)/2,"")</f>
        <v/>
      </c>
      <c r="AF960" s="27">
        <f>IF(ISNUMBER($S960),COUNTIFS($A$14:$A$1213,$A960,$S$14:$S$1213,"&gt;"&amp;$S960)+(COUNTIFS($A$14:$A$1213,$A960,$S$14:$S$1213,"="&amp;$S960)+1)/2,"")</f>
        <v/>
      </c>
      <c r="AG960" s="27">
        <f>IF(ISNUMBER($T960),COUNTIFS($A$14:$A$1213,$A960,$T$14:$T$1213,"&gt;"&amp;$T960)+(COUNTIFS($A$14:$A$1213,$A960,$T$14:$T$1213,"="&amp;$T960)+1)/2,"")</f>
        <v/>
      </c>
      <c r="AH960" s="27">
        <f>IF(COUNT($AC960:$AG960)&lt;2,"",IF(MAX($AC960:$AG960)=MIN($AC960:$AG960),0,1))</f>
        <v/>
      </c>
      <c r="AI960" s="27">
        <f>IF($A960="","",IF(COUNTIF($A$14:$A960,$A960)=1,COUNTIF($AI$13:AI959,"&gt;0")+1,""))</f>
        <v/>
      </c>
      <c r="AO960" s="27">
        <f>IF($A960="","",IF(AND(COUNTIFS($A$14:$A$1213,$A960,$F$14:$F$1213,"&gt;=0")=2,IFERROR(INDEX($M$14:$M$313,MATCH($A960,$H$14:$H$313,0)),"Yes")&lt;&gt;"Yes"),1,0))</f>
        <v/>
      </c>
    </row>
    <row r="961">
      <c r="A961" s="19">
        <f>IF('Enter messages'!A961="","",'Enter messages'!A961)</f>
        <v/>
      </c>
      <c r="B961" s="20">
        <f>IF('Enter messages'!B961="","",'Enter messages'!B961)</f>
        <v/>
      </c>
      <c r="C961" s="21">
        <f>IFERROR(AVERAGE(P961:T961),"")</f>
        <v/>
      </c>
      <c r="D961" s="29" t="n"/>
      <c r="E961" s="29" t="n"/>
      <c r="F961" s="30">
        <f>IF(AND(ISNUMBER($D961),ISNUMBER($E961),$E961&gt;0,$D961&lt;=$E961),$D961/$E961,"")</f>
        <v/>
      </c>
      <c r="P961" s="26" t="n"/>
      <c r="Q961" s="26" t="n"/>
      <c r="R961" s="26" t="n"/>
      <c r="S961" s="26" t="n"/>
      <c r="T961" s="26" t="n"/>
      <c r="V961" s="27">
        <f>IF(ISNUMBER($C961),COUNTIFS($A$14:$A$1213,$A961,$C$14:$C$1213,"&gt;"&amp;$C961)+(COUNTIFS($A$14:$A$1213,$A961,$C$14:$C$1213,"="&amp;$C961)+1)/2,"")</f>
        <v/>
      </c>
      <c r="W961" s="27">
        <f>IF(ISNUMBER($F961),COUNTIFS($A$14:$A$1213,$A961,$F$14:$F$1213,"&gt;"&amp;$F961)+(COUNTIFS($A$14:$A$1213,$A961,$F$14:$F$1213,"="&amp;$F961)+1)/2,"")</f>
        <v/>
      </c>
      <c r="X961" s="27">
        <f>IF(OR(NOT(ISNUMBER($V961)),$AO961=1),"",$V961-(COUNTIFS($A$14:$A$1213,$A961,$C$14:$C$1213,"&gt;=0")+1)/2)</f>
        <v/>
      </c>
      <c r="Y961" s="27">
        <f>IF(OR(NOT(ISNUMBER($W961)),$AO961=1),"",$W961-(COUNTIFS($A$14:$A$1213,$A961,$F$14:$F$1213,"&gt;=0")+1)/2)</f>
        <v/>
      </c>
      <c r="Z961" s="27">
        <f>IF(ISNUMBER($V961),$A961&amp;"|"&amp;$V961,"")</f>
        <v/>
      </c>
      <c r="AA961" s="27">
        <f>IF(ISNUMBER($W961),$A961&amp;"|"&amp;$W961,"")</f>
        <v/>
      </c>
      <c r="AB961" s="27">
        <f>IF(ISNUMBER($F961),$A961&amp;"|"&amp;$F961,"")</f>
        <v/>
      </c>
      <c r="AC961" s="27">
        <f>IF(ISNUMBER($P961),COUNTIFS($A$14:$A$1213,$A961,$P$14:$P$1213,"&gt;"&amp;$P961)+(COUNTIFS($A$14:$A$1213,$A961,$P$14:$P$1213,"="&amp;$P961)+1)/2,"")</f>
        <v/>
      </c>
      <c r="AD961" s="27">
        <f>IF(ISNUMBER($Q961),COUNTIFS($A$14:$A$1213,$A961,$Q$14:$Q$1213,"&gt;"&amp;$Q961)+(COUNTIFS($A$14:$A$1213,$A961,$Q$14:$Q$1213,"="&amp;$Q961)+1)/2,"")</f>
        <v/>
      </c>
      <c r="AE961" s="27">
        <f>IF(ISNUMBER($R961),COUNTIFS($A$14:$A$1213,$A961,$R$14:$R$1213,"&gt;"&amp;$R961)+(COUNTIFS($A$14:$A$1213,$A961,$R$14:$R$1213,"="&amp;$R961)+1)/2,"")</f>
        <v/>
      </c>
      <c r="AF961" s="27">
        <f>IF(ISNUMBER($S961),COUNTIFS($A$14:$A$1213,$A961,$S$14:$S$1213,"&gt;"&amp;$S961)+(COUNTIFS($A$14:$A$1213,$A961,$S$14:$S$1213,"="&amp;$S961)+1)/2,"")</f>
        <v/>
      </c>
      <c r="AG961" s="27">
        <f>IF(ISNUMBER($T961),COUNTIFS($A$14:$A$1213,$A961,$T$14:$T$1213,"&gt;"&amp;$T961)+(COUNTIFS($A$14:$A$1213,$A961,$T$14:$T$1213,"="&amp;$T961)+1)/2,"")</f>
        <v/>
      </c>
      <c r="AH961" s="27">
        <f>IF(COUNT($AC961:$AG961)&lt;2,"",IF(MAX($AC961:$AG961)=MIN($AC961:$AG961),0,1))</f>
        <v/>
      </c>
      <c r="AI961" s="27">
        <f>IF($A961="","",IF(COUNTIF($A$14:$A961,$A961)=1,COUNTIF($AI$13:AI960,"&gt;0")+1,""))</f>
        <v/>
      </c>
      <c r="AO961" s="27">
        <f>IF($A961="","",IF(AND(COUNTIFS($A$14:$A$1213,$A961,$F$14:$F$1213,"&gt;=0")=2,IFERROR(INDEX($M$14:$M$313,MATCH($A961,$H$14:$H$313,0)),"Yes")&lt;&gt;"Yes"),1,0))</f>
        <v/>
      </c>
    </row>
    <row r="962">
      <c r="A962" s="19">
        <f>IF('Enter messages'!A962="","",'Enter messages'!A962)</f>
        <v/>
      </c>
      <c r="B962" s="20">
        <f>IF('Enter messages'!B962="","",'Enter messages'!B962)</f>
        <v/>
      </c>
      <c r="C962" s="21">
        <f>IFERROR(AVERAGE(P962:T962),"")</f>
        <v/>
      </c>
      <c r="D962" s="29" t="n"/>
      <c r="E962" s="29" t="n"/>
      <c r="F962" s="30">
        <f>IF(AND(ISNUMBER($D962),ISNUMBER($E962),$E962&gt;0,$D962&lt;=$E962),$D962/$E962,"")</f>
        <v/>
      </c>
      <c r="P962" s="26" t="n"/>
      <c r="Q962" s="26" t="n"/>
      <c r="R962" s="26" t="n"/>
      <c r="S962" s="26" t="n"/>
      <c r="T962" s="26" t="n"/>
      <c r="V962" s="27">
        <f>IF(ISNUMBER($C962),COUNTIFS($A$14:$A$1213,$A962,$C$14:$C$1213,"&gt;"&amp;$C962)+(COUNTIFS($A$14:$A$1213,$A962,$C$14:$C$1213,"="&amp;$C962)+1)/2,"")</f>
        <v/>
      </c>
      <c r="W962" s="27">
        <f>IF(ISNUMBER($F962),COUNTIFS($A$14:$A$1213,$A962,$F$14:$F$1213,"&gt;"&amp;$F962)+(COUNTIFS($A$14:$A$1213,$A962,$F$14:$F$1213,"="&amp;$F962)+1)/2,"")</f>
        <v/>
      </c>
      <c r="X962" s="27">
        <f>IF(OR(NOT(ISNUMBER($V962)),$AO962=1),"",$V962-(COUNTIFS($A$14:$A$1213,$A962,$C$14:$C$1213,"&gt;=0")+1)/2)</f>
        <v/>
      </c>
      <c r="Y962" s="27">
        <f>IF(OR(NOT(ISNUMBER($W962)),$AO962=1),"",$W962-(COUNTIFS($A$14:$A$1213,$A962,$F$14:$F$1213,"&gt;=0")+1)/2)</f>
        <v/>
      </c>
      <c r="Z962" s="27">
        <f>IF(ISNUMBER($V962),$A962&amp;"|"&amp;$V962,"")</f>
        <v/>
      </c>
      <c r="AA962" s="27">
        <f>IF(ISNUMBER($W962),$A962&amp;"|"&amp;$W962,"")</f>
        <v/>
      </c>
      <c r="AB962" s="27">
        <f>IF(ISNUMBER($F962),$A962&amp;"|"&amp;$F962,"")</f>
        <v/>
      </c>
      <c r="AC962" s="27">
        <f>IF(ISNUMBER($P962),COUNTIFS($A$14:$A$1213,$A962,$P$14:$P$1213,"&gt;"&amp;$P962)+(COUNTIFS($A$14:$A$1213,$A962,$P$14:$P$1213,"="&amp;$P962)+1)/2,"")</f>
        <v/>
      </c>
      <c r="AD962" s="27">
        <f>IF(ISNUMBER($Q962),COUNTIFS($A$14:$A$1213,$A962,$Q$14:$Q$1213,"&gt;"&amp;$Q962)+(COUNTIFS($A$14:$A$1213,$A962,$Q$14:$Q$1213,"="&amp;$Q962)+1)/2,"")</f>
        <v/>
      </c>
      <c r="AE962" s="27">
        <f>IF(ISNUMBER($R962),COUNTIFS($A$14:$A$1213,$A962,$R$14:$R$1213,"&gt;"&amp;$R962)+(COUNTIFS($A$14:$A$1213,$A962,$R$14:$R$1213,"="&amp;$R962)+1)/2,"")</f>
        <v/>
      </c>
      <c r="AF962" s="27">
        <f>IF(ISNUMBER($S962),COUNTIFS($A$14:$A$1213,$A962,$S$14:$S$1213,"&gt;"&amp;$S962)+(COUNTIFS($A$14:$A$1213,$A962,$S$14:$S$1213,"="&amp;$S962)+1)/2,"")</f>
        <v/>
      </c>
      <c r="AG962" s="27">
        <f>IF(ISNUMBER($T962),COUNTIFS($A$14:$A$1213,$A962,$T$14:$T$1213,"&gt;"&amp;$T962)+(COUNTIFS($A$14:$A$1213,$A962,$T$14:$T$1213,"="&amp;$T962)+1)/2,"")</f>
        <v/>
      </c>
      <c r="AH962" s="27">
        <f>IF(COUNT($AC962:$AG962)&lt;2,"",IF(MAX($AC962:$AG962)=MIN($AC962:$AG962),0,1))</f>
        <v/>
      </c>
      <c r="AI962" s="27">
        <f>IF($A962="","",IF(COUNTIF($A$14:$A962,$A962)=1,COUNTIF($AI$13:AI961,"&gt;0")+1,""))</f>
        <v/>
      </c>
      <c r="AO962" s="27">
        <f>IF($A962="","",IF(AND(COUNTIFS($A$14:$A$1213,$A962,$F$14:$F$1213,"&gt;=0")=2,IFERROR(INDEX($M$14:$M$313,MATCH($A962,$H$14:$H$313,0)),"Yes")&lt;&gt;"Yes"),1,0))</f>
        <v/>
      </c>
    </row>
    <row r="963">
      <c r="A963" s="19">
        <f>IF('Enter messages'!A963="","",'Enter messages'!A963)</f>
        <v/>
      </c>
      <c r="B963" s="20">
        <f>IF('Enter messages'!B963="","",'Enter messages'!B963)</f>
        <v/>
      </c>
      <c r="C963" s="21">
        <f>IFERROR(AVERAGE(P963:T963),"")</f>
        <v/>
      </c>
      <c r="D963" s="29" t="n"/>
      <c r="E963" s="29" t="n"/>
      <c r="F963" s="30">
        <f>IF(AND(ISNUMBER($D963),ISNUMBER($E963),$E963&gt;0,$D963&lt;=$E963),$D963/$E963,"")</f>
        <v/>
      </c>
      <c r="P963" s="26" t="n"/>
      <c r="Q963" s="26" t="n"/>
      <c r="R963" s="26" t="n"/>
      <c r="S963" s="26" t="n"/>
      <c r="T963" s="26" t="n"/>
      <c r="V963" s="27">
        <f>IF(ISNUMBER($C963),COUNTIFS($A$14:$A$1213,$A963,$C$14:$C$1213,"&gt;"&amp;$C963)+(COUNTIFS($A$14:$A$1213,$A963,$C$14:$C$1213,"="&amp;$C963)+1)/2,"")</f>
        <v/>
      </c>
      <c r="W963" s="27">
        <f>IF(ISNUMBER($F963),COUNTIFS($A$14:$A$1213,$A963,$F$14:$F$1213,"&gt;"&amp;$F963)+(COUNTIFS($A$14:$A$1213,$A963,$F$14:$F$1213,"="&amp;$F963)+1)/2,"")</f>
        <v/>
      </c>
      <c r="X963" s="27">
        <f>IF(OR(NOT(ISNUMBER($V963)),$AO963=1),"",$V963-(COUNTIFS($A$14:$A$1213,$A963,$C$14:$C$1213,"&gt;=0")+1)/2)</f>
        <v/>
      </c>
      <c r="Y963" s="27">
        <f>IF(OR(NOT(ISNUMBER($W963)),$AO963=1),"",$W963-(COUNTIFS($A$14:$A$1213,$A963,$F$14:$F$1213,"&gt;=0")+1)/2)</f>
        <v/>
      </c>
      <c r="Z963" s="27">
        <f>IF(ISNUMBER($V963),$A963&amp;"|"&amp;$V963,"")</f>
        <v/>
      </c>
      <c r="AA963" s="27">
        <f>IF(ISNUMBER($W963),$A963&amp;"|"&amp;$W963,"")</f>
        <v/>
      </c>
      <c r="AB963" s="27">
        <f>IF(ISNUMBER($F963),$A963&amp;"|"&amp;$F963,"")</f>
        <v/>
      </c>
      <c r="AC963" s="27">
        <f>IF(ISNUMBER($P963),COUNTIFS($A$14:$A$1213,$A963,$P$14:$P$1213,"&gt;"&amp;$P963)+(COUNTIFS($A$14:$A$1213,$A963,$P$14:$P$1213,"="&amp;$P963)+1)/2,"")</f>
        <v/>
      </c>
      <c r="AD963" s="27">
        <f>IF(ISNUMBER($Q963),COUNTIFS($A$14:$A$1213,$A963,$Q$14:$Q$1213,"&gt;"&amp;$Q963)+(COUNTIFS($A$14:$A$1213,$A963,$Q$14:$Q$1213,"="&amp;$Q963)+1)/2,"")</f>
        <v/>
      </c>
      <c r="AE963" s="27">
        <f>IF(ISNUMBER($R963),COUNTIFS($A$14:$A$1213,$A963,$R$14:$R$1213,"&gt;"&amp;$R963)+(COUNTIFS($A$14:$A$1213,$A963,$R$14:$R$1213,"="&amp;$R963)+1)/2,"")</f>
        <v/>
      </c>
      <c r="AF963" s="27">
        <f>IF(ISNUMBER($S963),COUNTIFS($A$14:$A$1213,$A963,$S$14:$S$1213,"&gt;"&amp;$S963)+(COUNTIFS($A$14:$A$1213,$A963,$S$14:$S$1213,"="&amp;$S963)+1)/2,"")</f>
        <v/>
      </c>
      <c r="AG963" s="27">
        <f>IF(ISNUMBER($T963),COUNTIFS($A$14:$A$1213,$A963,$T$14:$T$1213,"&gt;"&amp;$T963)+(COUNTIFS($A$14:$A$1213,$A963,$T$14:$T$1213,"="&amp;$T963)+1)/2,"")</f>
        <v/>
      </c>
      <c r="AH963" s="27">
        <f>IF(COUNT($AC963:$AG963)&lt;2,"",IF(MAX($AC963:$AG963)=MIN($AC963:$AG963),0,1))</f>
        <v/>
      </c>
      <c r="AI963" s="27">
        <f>IF($A963="","",IF(COUNTIF($A$14:$A963,$A963)=1,COUNTIF($AI$13:AI962,"&gt;0")+1,""))</f>
        <v/>
      </c>
      <c r="AO963" s="27">
        <f>IF($A963="","",IF(AND(COUNTIFS($A$14:$A$1213,$A963,$F$14:$F$1213,"&gt;=0")=2,IFERROR(INDEX($M$14:$M$313,MATCH($A963,$H$14:$H$313,0)),"Yes")&lt;&gt;"Yes"),1,0))</f>
        <v/>
      </c>
    </row>
    <row r="964">
      <c r="A964" s="19">
        <f>IF('Enter messages'!A964="","",'Enter messages'!A964)</f>
        <v/>
      </c>
      <c r="B964" s="20">
        <f>IF('Enter messages'!B964="","",'Enter messages'!B964)</f>
        <v/>
      </c>
      <c r="C964" s="21">
        <f>IFERROR(AVERAGE(P964:T964),"")</f>
        <v/>
      </c>
      <c r="D964" s="29" t="n"/>
      <c r="E964" s="29" t="n"/>
      <c r="F964" s="30">
        <f>IF(AND(ISNUMBER($D964),ISNUMBER($E964),$E964&gt;0,$D964&lt;=$E964),$D964/$E964,"")</f>
        <v/>
      </c>
      <c r="P964" s="26" t="n"/>
      <c r="Q964" s="26" t="n"/>
      <c r="R964" s="26" t="n"/>
      <c r="S964" s="26" t="n"/>
      <c r="T964" s="26" t="n"/>
      <c r="V964" s="27">
        <f>IF(ISNUMBER($C964),COUNTIFS($A$14:$A$1213,$A964,$C$14:$C$1213,"&gt;"&amp;$C964)+(COUNTIFS($A$14:$A$1213,$A964,$C$14:$C$1213,"="&amp;$C964)+1)/2,"")</f>
        <v/>
      </c>
      <c r="W964" s="27">
        <f>IF(ISNUMBER($F964),COUNTIFS($A$14:$A$1213,$A964,$F$14:$F$1213,"&gt;"&amp;$F964)+(COUNTIFS($A$14:$A$1213,$A964,$F$14:$F$1213,"="&amp;$F964)+1)/2,"")</f>
        <v/>
      </c>
      <c r="X964" s="27">
        <f>IF(OR(NOT(ISNUMBER($V964)),$AO964=1),"",$V964-(COUNTIFS($A$14:$A$1213,$A964,$C$14:$C$1213,"&gt;=0")+1)/2)</f>
        <v/>
      </c>
      <c r="Y964" s="27">
        <f>IF(OR(NOT(ISNUMBER($W964)),$AO964=1),"",$W964-(COUNTIFS($A$14:$A$1213,$A964,$F$14:$F$1213,"&gt;=0")+1)/2)</f>
        <v/>
      </c>
      <c r="Z964" s="27">
        <f>IF(ISNUMBER($V964),$A964&amp;"|"&amp;$V964,"")</f>
        <v/>
      </c>
      <c r="AA964" s="27">
        <f>IF(ISNUMBER($W964),$A964&amp;"|"&amp;$W964,"")</f>
        <v/>
      </c>
      <c r="AB964" s="27">
        <f>IF(ISNUMBER($F964),$A964&amp;"|"&amp;$F964,"")</f>
        <v/>
      </c>
      <c r="AC964" s="27">
        <f>IF(ISNUMBER($P964),COUNTIFS($A$14:$A$1213,$A964,$P$14:$P$1213,"&gt;"&amp;$P964)+(COUNTIFS($A$14:$A$1213,$A964,$P$14:$P$1213,"="&amp;$P964)+1)/2,"")</f>
        <v/>
      </c>
      <c r="AD964" s="27">
        <f>IF(ISNUMBER($Q964),COUNTIFS($A$14:$A$1213,$A964,$Q$14:$Q$1213,"&gt;"&amp;$Q964)+(COUNTIFS($A$14:$A$1213,$A964,$Q$14:$Q$1213,"="&amp;$Q964)+1)/2,"")</f>
        <v/>
      </c>
      <c r="AE964" s="27">
        <f>IF(ISNUMBER($R964),COUNTIFS($A$14:$A$1213,$A964,$R$14:$R$1213,"&gt;"&amp;$R964)+(COUNTIFS($A$14:$A$1213,$A964,$R$14:$R$1213,"="&amp;$R964)+1)/2,"")</f>
        <v/>
      </c>
      <c r="AF964" s="27">
        <f>IF(ISNUMBER($S964),COUNTIFS($A$14:$A$1213,$A964,$S$14:$S$1213,"&gt;"&amp;$S964)+(COUNTIFS($A$14:$A$1213,$A964,$S$14:$S$1213,"="&amp;$S964)+1)/2,"")</f>
        <v/>
      </c>
      <c r="AG964" s="27">
        <f>IF(ISNUMBER($T964),COUNTIFS($A$14:$A$1213,$A964,$T$14:$T$1213,"&gt;"&amp;$T964)+(COUNTIFS($A$14:$A$1213,$A964,$T$14:$T$1213,"="&amp;$T964)+1)/2,"")</f>
        <v/>
      </c>
      <c r="AH964" s="27">
        <f>IF(COUNT($AC964:$AG964)&lt;2,"",IF(MAX($AC964:$AG964)=MIN($AC964:$AG964),0,1))</f>
        <v/>
      </c>
      <c r="AI964" s="27">
        <f>IF($A964="","",IF(COUNTIF($A$14:$A964,$A964)=1,COUNTIF($AI$13:AI963,"&gt;0")+1,""))</f>
        <v/>
      </c>
      <c r="AO964" s="27">
        <f>IF($A964="","",IF(AND(COUNTIFS($A$14:$A$1213,$A964,$F$14:$F$1213,"&gt;=0")=2,IFERROR(INDEX($M$14:$M$313,MATCH($A964,$H$14:$H$313,0)),"Yes")&lt;&gt;"Yes"),1,0))</f>
        <v/>
      </c>
    </row>
    <row r="965">
      <c r="A965" s="19">
        <f>IF('Enter messages'!A965="","",'Enter messages'!A965)</f>
        <v/>
      </c>
      <c r="B965" s="20">
        <f>IF('Enter messages'!B965="","",'Enter messages'!B965)</f>
        <v/>
      </c>
      <c r="C965" s="21">
        <f>IFERROR(AVERAGE(P965:T965),"")</f>
        <v/>
      </c>
      <c r="D965" s="29" t="n"/>
      <c r="E965" s="29" t="n"/>
      <c r="F965" s="30">
        <f>IF(AND(ISNUMBER($D965),ISNUMBER($E965),$E965&gt;0,$D965&lt;=$E965),$D965/$E965,"")</f>
        <v/>
      </c>
      <c r="P965" s="26" t="n"/>
      <c r="Q965" s="26" t="n"/>
      <c r="R965" s="26" t="n"/>
      <c r="S965" s="26" t="n"/>
      <c r="T965" s="26" t="n"/>
      <c r="V965" s="27">
        <f>IF(ISNUMBER($C965),COUNTIFS($A$14:$A$1213,$A965,$C$14:$C$1213,"&gt;"&amp;$C965)+(COUNTIFS($A$14:$A$1213,$A965,$C$14:$C$1213,"="&amp;$C965)+1)/2,"")</f>
        <v/>
      </c>
      <c r="W965" s="27">
        <f>IF(ISNUMBER($F965),COUNTIFS($A$14:$A$1213,$A965,$F$14:$F$1213,"&gt;"&amp;$F965)+(COUNTIFS($A$14:$A$1213,$A965,$F$14:$F$1213,"="&amp;$F965)+1)/2,"")</f>
        <v/>
      </c>
      <c r="X965" s="27">
        <f>IF(OR(NOT(ISNUMBER($V965)),$AO965=1),"",$V965-(COUNTIFS($A$14:$A$1213,$A965,$C$14:$C$1213,"&gt;=0")+1)/2)</f>
        <v/>
      </c>
      <c r="Y965" s="27">
        <f>IF(OR(NOT(ISNUMBER($W965)),$AO965=1),"",$W965-(COUNTIFS($A$14:$A$1213,$A965,$F$14:$F$1213,"&gt;=0")+1)/2)</f>
        <v/>
      </c>
      <c r="Z965" s="27">
        <f>IF(ISNUMBER($V965),$A965&amp;"|"&amp;$V965,"")</f>
        <v/>
      </c>
      <c r="AA965" s="27">
        <f>IF(ISNUMBER($W965),$A965&amp;"|"&amp;$W965,"")</f>
        <v/>
      </c>
      <c r="AB965" s="27">
        <f>IF(ISNUMBER($F965),$A965&amp;"|"&amp;$F965,"")</f>
        <v/>
      </c>
      <c r="AC965" s="27">
        <f>IF(ISNUMBER($P965),COUNTIFS($A$14:$A$1213,$A965,$P$14:$P$1213,"&gt;"&amp;$P965)+(COUNTIFS($A$14:$A$1213,$A965,$P$14:$P$1213,"="&amp;$P965)+1)/2,"")</f>
        <v/>
      </c>
      <c r="AD965" s="27">
        <f>IF(ISNUMBER($Q965),COUNTIFS($A$14:$A$1213,$A965,$Q$14:$Q$1213,"&gt;"&amp;$Q965)+(COUNTIFS($A$14:$A$1213,$A965,$Q$14:$Q$1213,"="&amp;$Q965)+1)/2,"")</f>
        <v/>
      </c>
      <c r="AE965" s="27">
        <f>IF(ISNUMBER($R965),COUNTIFS($A$14:$A$1213,$A965,$R$14:$R$1213,"&gt;"&amp;$R965)+(COUNTIFS($A$14:$A$1213,$A965,$R$14:$R$1213,"="&amp;$R965)+1)/2,"")</f>
        <v/>
      </c>
      <c r="AF965" s="27">
        <f>IF(ISNUMBER($S965),COUNTIFS($A$14:$A$1213,$A965,$S$14:$S$1213,"&gt;"&amp;$S965)+(COUNTIFS($A$14:$A$1213,$A965,$S$14:$S$1213,"="&amp;$S965)+1)/2,"")</f>
        <v/>
      </c>
      <c r="AG965" s="27">
        <f>IF(ISNUMBER($T965),COUNTIFS($A$14:$A$1213,$A965,$T$14:$T$1213,"&gt;"&amp;$T965)+(COUNTIFS($A$14:$A$1213,$A965,$T$14:$T$1213,"="&amp;$T965)+1)/2,"")</f>
        <v/>
      </c>
      <c r="AH965" s="27">
        <f>IF(COUNT($AC965:$AG965)&lt;2,"",IF(MAX($AC965:$AG965)=MIN($AC965:$AG965),0,1))</f>
        <v/>
      </c>
      <c r="AI965" s="27">
        <f>IF($A965="","",IF(COUNTIF($A$14:$A965,$A965)=1,COUNTIF($AI$13:AI964,"&gt;0")+1,""))</f>
        <v/>
      </c>
      <c r="AO965" s="27">
        <f>IF($A965="","",IF(AND(COUNTIFS($A$14:$A$1213,$A965,$F$14:$F$1213,"&gt;=0")=2,IFERROR(INDEX($M$14:$M$313,MATCH($A965,$H$14:$H$313,0)),"Yes")&lt;&gt;"Yes"),1,0))</f>
        <v/>
      </c>
    </row>
    <row r="966">
      <c r="A966" s="19">
        <f>IF('Enter messages'!A966="","",'Enter messages'!A966)</f>
        <v/>
      </c>
      <c r="B966" s="20">
        <f>IF('Enter messages'!B966="","",'Enter messages'!B966)</f>
        <v/>
      </c>
      <c r="C966" s="21">
        <f>IFERROR(AVERAGE(P966:T966),"")</f>
        <v/>
      </c>
      <c r="D966" s="29" t="n"/>
      <c r="E966" s="29" t="n"/>
      <c r="F966" s="30">
        <f>IF(AND(ISNUMBER($D966),ISNUMBER($E966),$E966&gt;0,$D966&lt;=$E966),$D966/$E966,"")</f>
        <v/>
      </c>
      <c r="P966" s="26" t="n"/>
      <c r="Q966" s="26" t="n"/>
      <c r="R966" s="26" t="n"/>
      <c r="S966" s="26" t="n"/>
      <c r="T966" s="26" t="n"/>
      <c r="V966" s="27">
        <f>IF(ISNUMBER($C966),COUNTIFS($A$14:$A$1213,$A966,$C$14:$C$1213,"&gt;"&amp;$C966)+(COUNTIFS($A$14:$A$1213,$A966,$C$14:$C$1213,"="&amp;$C966)+1)/2,"")</f>
        <v/>
      </c>
      <c r="W966" s="27">
        <f>IF(ISNUMBER($F966),COUNTIFS($A$14:$A$1213,$A966,$F$14:$F$1213,"&gt;"&amp;$F966)+(COUNTIFS($A$14:$A$1213,$A966,$F$14:$F$1213,"="&amp;$F966)+1)/2,"")</f>
        <v/>
      </c>
      <c r="X966" s="27">
        <f>IF(OR(NOT(ISNUMBER($V966)),$AO966=1),"",$V966-(COUNTIFS($A$14:$A$1213,$A966,$C$14:$C$1213,"&gt;=0")+1)/2)</f>
        <v/>
      </c>
      <c r="Y966" s="27">
        <f>IF(OR(NOT(ISNUMBER($W966)),$AO966=1),"",$W966-(COUNTIFS($A$14:$A$1213,$A966,$F$14:$F$1213,"&gt;=0")+1)/2)</f>
        <v/>
      </c>
      <c r="Z966" s="27">
        <f>IF(ISNUMBER($V966),$A966&amp;"|"&amp;$V966,"")</f>
        <v/>
      </c>
      <c r="AA966" s="27">
        <f>IF(ISNUMBER($W966),$A966&amp;"|"&amp;$W966,"")</f>
        <v/>
      </c>
      <c r="AB966" s="27">
        <f>IF(ISNUMBER($F966),$A966&amp;"|"&amp;$F966,"")</f>
        <v/>
      </c>
      <c r="AC966" s="27">
        <f>IF(ISNUMBER($P966),COUNTIFS($A$14:$A$1213,$A966,$P$14:$P$1213,"&gt;"&amp;$P966)+(COUNTIFS($A$14:$A$1213,$A966,$P$14:$P$1213,"="&amp;$P966)+1)/2,"")</f>
        <v/>
      </c>
      <c r="AD966" s="27">
        <f>IF(ISNUMBER($Q966),COUNTIFS($A$14:$A$1213,$A966,$Q$14:$Q$1213,"&gt;"&amp;$Q966)+(COUNTIFS($A$14:$A$1213,$A966,$Q$14:$Q$1213,"="&amp;$Q966)+1)/2,"")</f>
        <v/>
      </c>
      <c r="AE966" s="27">
        <f>IF(ISNUMBER($R966),COUNTIFS($A$14:$A$1213,$A966,$R$14:$R$1213,"&gt;"&amp;$R966)+(COUNTIFS($A$14:$A$1213,$A966,$R$14:$R$1213,"="&amp;$R966)+1)/2,"")</f>
        <v/>
      </c>
      <c r="AF966" s="27">
        <f>IF(ISNUMBER($S966),COUNTIFS($A$14:$A$1213,$A966,$S$14:$S$1213,"&gt;"&amp;$S966)+(COUNTIFS($A$14:$A$1213,$A966,$S$14:$S$1213,"="&amp;$S966)+1)/2,"")</f>
        <v/>
      </c>
      <c r="AG966" s="27">
        <f>IF(ISNUMBER($T966),COUNTIFS($A$14:$A$1213,$A966,$T$14:$T$1213,"&gt;"&amp;$T966)+(COUNTIFS($A$14:$A$1213,$A966,$T$14:$T$1213,"="&amp;$T966)+1)/2,"")</f>
        <v/>
      </c>
      <c r="AH966" s="27">
        <f>IF(COUNT($AC966:$AG966)&lt;2,"",IF(MAX($AC966:$AG966)=MIN($AC966:$AG966),0,1))</f>
        <v/>
      </c>
      <c r="AI966" s="27">
        <f>IF($A966="","",IF(COUNTIF($A$14:$A966,$A966)=1,COUNTIF($AI$13:AI965,"&gt;0")+1,""))</f>
        <v/>
      </c>
      <c r="AO966" s="27">
        <f>IF($A966="","",IF(AND(COUNTIFS($A$14:$A$1213,$A966,$F$14:$F$1213,"&gt;=0")=2,IFERROR(INDEX($M$14:$M$313,MATCH($A966,$H$14:$H$313,0)),"Yes")&lt;&gt;"Yes"),1,0))</f>
        <v/>
      </c>
    </row>
    <row r="967">
      <c r="A967" s="19">
        <f>IF('Enter messages'!A967="","",'Enter messages'!A967)</f>
        <v/>
      </c>
      <c r="B967" s="20">
        <f>IF('Enter messages'!B967="","",'Enter messages'!B967)</f>
        <v/>
      </c>
      <c r="C967" s="21">
        <f>IFERROR(AVERAGE(P967:T967),"")</f>
        <v/>
      </c>
      <c r="D967" s="29" t="n"/>
      <c r="E967" s="29" t="n"/>
      <c r="F967" s="30">
        <f>IF(AND(ISNUMBER($D967),ISNUMBER($E967),$E967&gt;0,$D967&lt;=$E967),$D967/$E967,"")</f>
        <v/>
      </c>
      <c r="P967" s="26" t="n"/>
      <c r="Q967" s="26" t="n"/>
      <c r="R967" s="26" t="n"/>
      <c r="S967" s="26" t="n"/>
      <c r="T967" s="26" t="n"/>
      <c r="V967" s="27">
        <f>IF(ISNUMBER($C967),COUNTIFS($A$14:$A$1213,$A967,$C$14:$C$1213,"&gt;"&amp;$C967)+(COUNTIFS($A$14:$A$1213,$A967,$C$14:$C$1213,"="&amp;$C967)+1)/2,"")</f>
        <v/>
      </c>
      <c r="W967" s="27">
        <f>IF(ISNUMBER($F967),COUNTIFS($A$14:$A$1213,$A967,$F$14:$F$1213,"&gt;"&amp;$F967)+(COUNTIFS($A$14:$A$1213,$A967,$F$14:$F$1213,"="&amp;$F967)+1)/2,"")</f>
        <v/>
      </c>
      <c r="X967" s="27">
        <f>IF(OR(NOT(ISNUMBER($V967)),$AO967=1),"",$V967-(COUNTIFS($A$14:$A$1213,$A967,$C$14:$C$1213,"&gt;=0")+1)/2)</f>
        <v/>
      </c>
      <c r="Y967" s="27">
        <f>IF(OR(NOT(ISNUMBER($W967)),$AO967=1),"",$W967-(COUNTIFS($A$14:$A$1213,$A967,$F$14:$F$1213,"&gt;=0")+1)/2)</f>
        <v/>
      </c>
      <c r="Z967" s="27">
        <f>IF(ISNUMBER($V967),$A967&amp;"|"&amp;$V967,"")</f>
        <v/>
      </c>
      <c r="AA967" s="27">
        <f>IF(ISNUMBER($W967),$A967&amp;"|"&amp;$W967,"")</f>
        <v/>
      </c>
      <c r="AB967" s="27">
        <f>IF(ISNUMBER($F967),$A967&amp;"|"&amp;$F967,"")</f>
        <v/>
      </c>
      <c r="AC967" s="27">
        <f>IF(ISNUMBER($P967),COUNTIFS($A$14:$A$1213,$A967,$P$14:$P$1213,"&gt;"&amp;$P967)+(COUNTIFS($A$14:$A$1213,$A967,$P$14:$P$1213,"="&amp;$P967)+1)/2,"")</f>
        <v/>
      </c>
      <c r="AD967" s="27">
        <f>IF(ISNUMBER($Q967),COUNTIFS($A$14:$A$1213,$A967,$Q$14:$Q$1213,"&gt;"&amp;$Q967)+(COUNTIFS($A$14:$A$1213,$A967,$Q$14:$Q$1213,"="&amp;$Q967)+1)/2,"")</f>
        <v/>
      </c>
      <c r="AE967" s="27">
        <f>IF(ISNUMBER($R967),COUNTIFS($A$14:$A$1213,$A967,$R$14:$R$1213,"&gt;"&amp;$R967)+(COUNTIFS($A$14:$A$1213,$A967,$R$14:$R$1213,"="&amp;$R967)+1)/2,"")</f>
        <v/>
      </c>
      <c r="AF967" s="27">
        <f>IF(ISNUMBER($S967),COUNTIFS($A$14:$A$1213,$A967,$S$14:$S$1213,"&gt;"&amp;$S967)+(COUNTIFS($A$14:$A$1213,$A967,$S$14:$S$1213,"="&amp;$S967)+1)/2,"")</f>
        <v/>
      </c>
      <c r="AG967" s="27">
        <f>IF(ISNUMBER($T967),COUNTIFS($A$14:$A$1213,$A967,$T$14:$T$1213,"&gt;"&amp;$T967)+(COUNTIFS($A$14:$A$1213,$A967,$T$14:$T$1213,"="&amp;$T967)+1)/2,"")</f>
        <v/>
      </c>
      <c r="AH967" s="27">
        <f>IF(COUNT($AC967:$AG967)&lt;2,"",IF(MAX($AC967:$AG967)=MIN($AC967:$AG967),0,1))</f>
        <v/>
      </c>
      <c r="AI967" s="27">
        <f>IF($A967="","",IF(COUNTIF($A$14:$A967,$A967)=1,COUNTIF($AI$13:AI966,"&gt;0")+1,""))</f>
        <v/>
      </c>
      <c r="AO967" s="27">
        <f>IF($A967="","",IF(AND(COUNTIFS($A$14:$A$1213,$A967,$F$14:$F$1213,"&gt;=0")=2,IFERROR(INDEX($M$14:$M$313,MATCH($A967,$H$14:$H$313,0)),"Yes")&lt;&gt;"Yes"),1,0))</f>
        <v/>
      </c>
    </row>
    <row r="968">
      <c r="A968" s="19">
        <f>IF('Enter messages'!A968="","",'Enter messages'!A968)</f>
        <v/>
      </c>
      <c r="B968" s="20">
        <f>IF('Enter messages'!B968="","",'Enter messages'!B968)</f>
        <v/>
      </c>
      <c r="C968" s="21">
        <f>IFERROR(AVERAGE(P968:T968),"")</f>
        <v/>
      </c>
      <c r="D968" s="29" t="n"/>
      <c r="E968" s="29" t="n"/>
      <c r="F968" s="30">
        <f>IF(AND(ISNUMBER($D968),ISNUMBER($E968),$E968&gt;0,$D968&lt;=$E968),$D968/$E968,"")</f>
        <v/>
      </c>
      <c r="P968" s="26" t="n"/>
      <c r="Q968" s="26" t="n"/>
      <c r="R968" s="26" t="n"/>
      <c r="S968" s="26" t="n"/>
      <c r="T968" s="26" t="n"/>
      <c r="V968" s="27">
        <f>IF(ISNUMBER($C968),COUNTIFS($A$14:$A$1213,$A968,$C$14:$C$1213,"&gt;"&amp;$C968)+(COUNTIFS($A$14:$A$1213,$A968,$C$14:$C$1213,"="&amp;$C968)+1)/2,"")</f>
        <v/>
      </c>
      <c r="W968" s="27">
        <f>IF(ISNUMBER($F968),COUNTIFS($A$14:$A$1213,$A968,$F$14:$F$1213,"&gt;"&amp;$F968)+(COUNTIFS($A$14:$A$1213,$A968,$F$14:$F$1213,"="&amp;$F968)+1)/2,"")</f>
        <v/>
      </c>
      <c r="X968" s="27">
        <f>IF(OR(NOT(ISNUMBER($V968)),$AO968=1),"",$V968-(COUNTIFS($A$14:$A$1213,$A968,$C$14:$C$1213,"&gt;=0")+1)/2)</f>
        <v/>
      </c>
      <c r="Y968" s="27">
        <f>IF(OR(NOT(ISNUMBER($W968)),$AO968=1),"",$W968-(COUNTIFS($A$14:$A$1213,$A968,$F$14:$F$1213,"&gt;=0")+1)/2)</f>
        <v/>
      </c>
      <c r="Z968" s="27">
        <f>IF(ISNUMBER($V968),$A968&amp;"|"&amp;$V968,"")</f>
        <v/>
      </c>
      <c r="AA968" s="27">
        <f>IF(ISNUMBER($W968),$A968&amp;"|"&amp;$W968,"")</f>
        <v/>
      </c>
      <c r="AB968" s="27">
        <f>IF(ISNUMBER($F968),$A968&amp;"|"&amp;$F968,"")</f>
        <v/>
      </c>
      <c r="AC968" s="27">
        <f>IF(ISNUMBER($P968),COUNTIFS($A$14:$A$1213,$A968,$P$14:$P$1213,"&gt;"&amp;$P968)+(COUNTIFS($A$14:$A$1213,$A968,$P$14:$P$1213,"="&amp;$P968)+1)/2,"")</f>
        <v/>
      </c>
      <c r="AD968" s="27">
        <f>IF(ISNUMBER($Q968),COUNTIFS($A$14:$A$1213,$A968,$Q$14:$Q$1213,"&gt;"&amp;$Q968)+(COUNTIFS($A$14:$A$1213,$A968,$Q$14:$Q$1213,"="&amp;$Q968)+1)/2,"")</f>
        <v/>
      </c>
      <c r="AE968" s="27">
        <f>IF(ISNUMBER($R968),COUNTIFS($A$14:$A$1213,$A968,$R$14:$R$1213,"&gt;"&amp;$R968)+(COUNTIFS($A$14:$A$1213,$A968,$R$14:$R$1213,"="&amp;$R968)+1)/2,"")</f>
        <v/>
      </c>
      <c r="AF968" s="27">
        <f>IF(ISNUMBER($S968),COUNTIFS($A$14:$A$1213,$A968,$S$14:$S$1213,"&gt;"&amp;$S968)+(COUNTIFS($A$14:$A$1213,$A968,$S$14:$S$1213,"="&amp;$S968)+1)/2,"")</f>
        <v/>
      </c>
      <c r="AG968" s="27">
        <f>IF(ISNUMBER($T968),COUNTIFS($A$14:$A$1213,$A968,$T$14:$T$1213,"&gt;"&amp;$T968)+(COUNTIFS($A$14:$A$1213,$A968,$T$14:$T$1213,"="&amp;$T968)+1)/2,"")</f>
        <v/>
      </c>
      <c r="AH968" s="27">
        <f>IF(COUNT($AC968:$AG968)&lt;2,"",IF(MAX($AC968:$AG968)=MIN($AC968:$AG968),0,1))</f>
        <v/>
      </c>
      <c r="AI968" s="27">
        <f>IF($A968="","",IF(COUNTIF($A$14:$A968,$A968)=1,COUNTIF($AI$13:AI967,"&gt;0")+1,""))</f>
        <v/>
      </c>
      <c r="AO968" s="27">
        <f>IF($A968="","",IF(AND(COUNTIFS($A$14:$A$1213,$A968,$F$14:$F$1213,"&gt;=0")=2,IFERROR(INDEX($M$14:$M$313,MATCH($A968,$H$14:$H$313,0)),"Yes")&lt;&gt;"Yes"),1,0))</f>
        <v/>
      </c>
    </row>
    <row r="969">
      <c r="A969" s="19">
        <f>IF('Enter messages'!A969="","",'Enter messages'!A969)</f>
        <v/>
      </c>
      <c r="B969" s="20">
        <f>IF('Enter messages'!B969="","",'Enter messages'!B969)</f>
        <v/>
      </c>
      <c r="C969" s="21">
        <f>IFERROR(AVERAGE(P969:T969),"")</f>
        <v/>
      </c>
      <c r="D969" s="29" t="n"/>
      <c r="E969" s="29" t="n"/>
      <c r="F969" s="30">
        <f>IF(AND(ISNUMBER($D969),ISNUMBER($E969),$E969&gt;0,$D969&lt;=$E969),$D969/$E969,"")</f>
        <v/>
      </c>
      <c r="P969" s="26" t="n"/>
      <c r="Q969" s="26" t="n"/>
      <c r="R969" s="26" t="n"/>
      <c r="S969" s="26" t="n"/>
      <c r="T969" s="26" t="n"/>
      <c r="V969" s="27">
        <f>IF(ISNUMBER($C969),COUNTIFS($A$14:$A$1213,$A969,$C$14:$C$1213,"&gt;"&amp;$C969)+(COUNTIFS($A$14:$A$1213,$A969,$C$14:$C$1213,"="&amp;$C969)+1)/2,"")</f>
        <v/>
      </c>
      <c r="W969" s="27">
        <f>IF(ISNUMBER($F969),COUNTIFS($A$14:$A$1213,$A969,$F$14:$F$1213,"&gt;"&amp;$F969)+(COUNTIFS($A$14:$A$1213,$A969,$F$14:$F$1213,"="&amp;$F969)+1)/2,"")</f>
        <v/>
      </c>
      <c r="X969" s="27">
        <f>IF(OR(NOT(ISNUMBER($V969)),$AO969=1),"",$V969-(COUNTIFS($A$14:$A$1213,$A969,$C$14:$C$1213,"&gt;=0")+1)/2)</f>
        <v/>
      </c>
      <c r="Y969" s="27">
        <f>IF(OR(NOT(ISNUMBER($W969)),$AO969=1),"",$W969-(COUNTIFS($A$14:$A$1213,$A969,$F$14:$F$1213,"&gt;=0")+1)/2)</f>
        <v/>
      </c>
      <c r="Z969" s="27">
        <f>IF(ISNUMBER($V969),$A969&amp;"|"&amp;$V969,"")</f>
        <v/>
      </c>
      <c r="AA969" s="27">
        <f>IF(ISNUMBER($W969),$A969&amp;"|"&amp;$W969,"")</f>
        <v/>
      </c>
      <c r="AB969" s="27">
        <f>IF(ISNUMBER($F969),$A969&amp;"|"&amp;$F969,"")</f>
        <v/>
      </c>
      <c r="AC969" s="27">
        <f>IF(ISNUMBER($P969),COUNTIFS($A$14:$A$1213,$A969,$P$14:$P$1213,"&gt;"&amp;$P969)+(COUNTIFS($A$14:$A$1213,$A969,$P$14:$P$1213,"="&amp;$P969)+1)/2,"")</f>
        <v/>
      </c>
      <c r="AD969" s="27">
        <f>IF(ISNUMBER($Q969),COUNTIFS($A$14:$A$1213,$A969,$Q$14:$Q$1213,"&gt;"&amp;$Q969)+(COUNTIFS($A$14:$A$1213,$A969,$Q$14:$Q$1213,"="&amp;$Q969)+1)/2,"")</f>
        <v/>
      </c>
      <c r="AE969" s="27">
        <f>IF(ISNUMBER($R969),COUNTIFS($A$14:$A$1213,$A969,$R$14:$R$1213,"&gt;"&amp;$R969)+(COUNTIFS($A$14:$A$1213,$A969,$R$14:$R$1213,"="&amp;$R969)+1)/2,"")</f>
        <v/>
      </c>
      <c r="AF969" s="27">
        <f>IF(ISNUMBER($S969),COUNTIFS($A$14:$A$1213,$A969,$S$14:$S$1213,"&gt;"&amp;$S969)+(COUNTIFS($A$14:$A$1213,$A969,$S$14:$S$1213,"="&amp;$S969)+1)/2,"")</f>
        <v/>
      </c>
      <c r="AG969" s="27">
        <f>IF(ISNUMBER($T969),COUNTIFS($A$14:$A$1213,$A969,$T$14:$T$1213,"&gt;"&amp;$T969)+(COUNTIFS($A$14:$A$1213,$A969,$T$14:$T$1213,"="&amp;$T969)+1)/2,"")</f>
        <v/>
      </c>
      <c r="AH969" s="27">
        <f>IF(COUNT($AC969:$AG969)&lt;2,"",IF(MAX($AC969:$AG969)=MIN($AC969:$AG969),0,1))</f>
        <v/>
      </c>
      <c r="AI969" s="27">
        <f>IF($A969="","",IF(COUNTIF($A$14:$A969,$A969)=1,COUNTIF($AI$13:AI968,"&gt;0")+1,""))</f>
        <v/>
      </c>
      <c r="AO969" s="27">
        <f>IF($A969="","",IF(AND(COUNTIFS($A$14:$A$1213,$A969,$F$14:$F$1213,"&gt;=0")=2,IFERROR(INDEX($M$14:$M$313,MATCH($A969,$H$14:$H$313,0)),"Yes")&lt;&gt;"Yes"),1,0))</f>
        <v/>
      </c>
    </row>
    <row r="970">
      <c r="A970" s="19">
        <f>IF('Enter messages'!A970="","",'Enter messages'!A970)</f>
        <v/>
      </c>
      <c r="B970" s="20">
        <f>IF('Enter messages'!B970="","",'Enter messages'!B970)</f>
        <v/>
      </c>
      <c r="C970" s="21">
        <f>IFERROR(AVERAGE(P970:T970),"")</f>
        <v/>
      </c>
      <c r="D970" s="29" t="n"/>
      <c r="E970" s="29" t="n"/>
      <c r="F970" s="30">
        <f>IF(AND(ISNUMBER($D970),ISNUMBER($E970),$E970&gt;0,$D970&lt;=$E970),$D970/$E970,"")</f>
        <v/>
      </c>
      <c r="P970" s="26" t="n"/>
      <c r="Q970" s="26" t="n"/>
      <c r="R970" s="26" t="n"/>
      <c r="S970" s="26" t="n"/>
      <c r="T970" s="26" t="n"/>
      <c r="V970" s="27">
        <f>IF(ISNUMBER($C970),COUNTIFS($A$14:$A$1213,$A970,$C$14:$C$1213,"&gt;"&amp;$C970)+(COUNTIFS($A$14:$A$1213,$A970,$C$14:$C$1213,"="&amp;$C970)+1)/2,"")</f>
        <v/>
      </c>
      <c r="W970" s="27">
        <f>IF(ISNUMBER($F970),COUNTIFS($A$14:$A$1213,$A970,$F$14:$F$1213,"&gt;"&amp;$F970)+(COUNTIFS($A$14:$A$1213,$A970,$F$14:$F$1213,"="&amp;$F970)+1)/2,"")</f>
        <v/>
      </c>
      <c r="X970" s="27">
        <f>IF(OR(NOT(ISNUMBER($V970)),$AO970=1),"",$V970-(COUNTIFS($A$14:$A$1213,$A970,$C$14:$C$1213,"&gt;=0")+1)/2)</f>
        <v/>
      </c>
      <c r="Y970" s="27">
        <f>IF(OR(NOT(ISNUMBER($W970)),$AO970=1),"",$W970-(COUNTIFS($A$14:$A$1213,$A970,$F$14:$F$1213,"&gt;=0")+1)/2)</f>
        <v/>
      </c>
      <c r="Z970" s="27">
        <f>IF(ISNUMBER($V970),$A970&amp;"|"&amp;$V970,"")</f>
        <v/>
      </c>
      <c r="AA970" s="27">
        <f>IF(ISNUMBER($W970),$A970&amp;"|"&amp;$W970,"")</f>
        <v/>
      </c>
      <c r="AB970" s="27">
        <f>IF(ISNUMBER($F970),$A970&amp;"|"&amp;$F970,"")</f>
        <v/>
      </c>
      <c r="AC970" s="27">
        <f>IF(ISNUMBER($P970),COUNTIFS($A$14:$A$1213,$A970,$P$14:$P$1213,"&gt;"&amp;$P970)+(COUNTIFS($A$14:$A$1213,$A970,$P$14:$P$1213,"="&amp;$P970)+1)/2,"")</f>
        <v/>
      </c>
      <c r="AD970" s="27">
        <f>IF(ISNUMBER($Q970),COUNTIFS($A$14:$A$1213,$A970,$Q$14:$Q$1213,"&gt;"&amp;$Q970)+(COUNTIFS($A$14:$A$1213,$A970,$Q$14:$Q$1213,"="&amp;$Q970)+1)/2,"")</f>
        <v/>
      </c>
      <c r="AE970" s="27">
        <f>IF(ISNUMBER($R970),COUNTIFS($A$14:$A$1213,$A970,$R$14:$R$1213,"&gt;"&amp;$R970)+(COUNTIFS($A$14:$A$1213,$A970,$R$14:$R$1213,"="&amp;$R970)+1)/2,"")</f>
        <v/>
      </c>
      <c r="AF970" s="27">
        <f>IF(ISNUMBER($S970),COUNTIFS($A$14:$A$1213,$A970,$S$14:$S$1213,"&gt;"&amp;$S970)+(COUNTIFS($A$14:$A$1213,$A970,$S$14:$S$1213,"="&amp;$S970)+1)/2,"")</f>
        <v/>
      </c>
      <c r="AG970" s="27">
        <f>IF(ISNUMBER($T970),COUNTIFS($A$14:$A$1213,$A970,$T$14:$T$1213,"&gt;"&amp;$T970)+(COUNTIFS($A$14:$A$1213,$A970,$T$14:$T$1213,"="&amp;$T970)+1)/2,"")</f>
        <v/>
      </c>
      <c r="AH970" s="27">
        <f>IF(COUNT($AC970:$AG970)&lt;2,"",IF(MAX($AC970:$AG970)=MIN($AC970:$AG970),0,1))</f>
        <v/>
      </c>
      <c r="AI970" s="27">
        <f>IF($A970="","",IF(COUNTIF($A$14:$A970,$A970)=1,COUNTIF($AI$13:AI969,"&gt;0")+1,""))</f>
        <v/>
      </c>
      <c r="AO970" s="27">
        <f>IF($A970="","",IF(AND(COUNTIFS($A$14:$A$1213,$A970,$F$14:$F$1213,"&gt;=0")=2,IFERROR(INDEX($M$14:$M$313,MATCH($A970,$H$14:$H$313,0)),"Yes")&lt;&gt;"Yes"),1,0))</f>
        <v/>
      </c>
    </row>
    <row r="971">
      <c r="A971" s="19">
        <f>IF('Enter messages'!A971="","",'Enter messages'!A971)</f>
        <v/>
      </c>
      <c r="B971" s="20">
        <f>IF('Enter messages'!B971="","",'Enter messages'!B971)</f>
        <v/>
      </c>
      <c r="C971" s="21">
        <f>IFERROR(AVERAGE(P971:T971),"")</f>
        <v/>
      </c>
      <c r="D971" s="29" t="n"/>
      <c r="E971" s="29" t="n"/>
      <c r="F971" s="30">
        <f>IF(AND(ISNUMBER($D971),ISNUMBER($E971),$E971&gt;0,$D971&lt;=$E971),$D971/$E971,"")</f>
        <v/>
      </c>
      <c r="P971" s="26" t="n"/>
      <c r="Q971" s="26" t="n"/>
      <c r="R971" s="26" t="n"/>
      <c r="S971" s="26" t="n"/>
      <c r="T971" s="26" t="n"/>
      <c r="V971" s="27">
        <f>IF(ISNUMBER($C971),COUNTIFS($A$14:$A$1213,$A971,$C$14:$C$1213,"&gt;"&amp;$C971)+(COUNTIFS($A$14:$A$1213,$A971,$C$14:$C$1213,"="&amp;$C971)+1)/2,"")</f>
        <v/>
      </c>
      <c r="W971" s="27">
        <f>IF(ISNUMBER($F971),COUNTIFS($A$14:$A$1213,$A971,$F$14:$F$1213,"&gt;"&amp;$F971)+(COUNTIFS($A$14:$A$1213,$A971,$F$14:$F$1213,"="&amp;$F971)+1)/2,"")</f>
        <v/>
      </c>
      <c r="X971" s="27">
        <f>IF(OR(NOT(ISNUMBER($V971)),$AO971=1),"",$V971-(COUNTIFS($A$14:$A$1213,$A971,$C$14:$C$1213,"&gt;=0")+1)/2)</f>
        <v/>
      </c>
      <c r="Y971" s="27">
        <f>IF(OR(NOT(ISNUMBER($W971)),$AO971=1),"",$W971-(COUNTIFS($A$14:$A$1213,$A971,$F$14:$F$1213,"&gt;=0")+1)/2)</f>
        <v/>
      </c>
      <c r="Z971" s="27">
        <f>IF(ISNUMBER($V971),$A971&amp;"|"&amp;$V971,"")</f>
        <v/>
      </c>
      <c r="AA971" s="27">
        <f>IF(ISNUMBER($W971),$A971&amp;"|"&amp;$W971,"")</f>
        <v/>
      </c>
      <c r="AB971" s="27">
        <f>IF(ISNUMBER($F971),$A971&amp;"|"&amp;$F971,"")</f>
        <v/>
      </c>
      <c r="AC971" s="27">
        <f>IF(ISNUMBER($P971),COUNTIFS($A$14:$A$1213,$A971,$P$14:$P$1213,"&gt;"&amp;$P971)+(COUNTIFS($A$14:$A$1213,$A971,$P$14:$P$1213,"="&amp;$P971)+1)/2,"")</f>
        <v/>
      </c>
      <c r="AD971" s="27">
        <f>IF(ISNUMBER($Q971),COUNTIFS($A$14:$A$1213,$A971,$Q$14:$Q$1213,"&gt;"&amp;$Q971)+(COUNTIFS($A$14:$A$1213,$A971,$Q$14:$Q$1213,"="&amp;$Q971)+1)/2,"")</f>
        <v/>
      </c>
      <c r="AE971" s="27">
        <f>IF(ISNUMBER($R971),COUNTIFS($A$14:$A$1213,$A971,$R$14:$R$1213,"&gt;"&amp;$R971)+(COUNTIFS($A$14:$A$1213,$A971,$R$14:$R$1213,"="&amp;$R971)+1)/2,"")</f>
        <v/>
      </c>
      <c r="AF971" s="27">
        <f>IF(ISNUMBER($S971),COUNTIFS($A$14:$A$1213,$A971,$S$14:$S$1213,"&gt;"&amp;$S971)+(COUNTIFS($A$14:$A$1213,$A971,$S$14:$S$1213,"="&amp;$S971)+1)/2,"")</f>
        <v/>
      </c>
      <c r="AG971" s="27">
        <f>IF(ISNUMBER($T971),COUNTIFS($A$14:$A$1213,$A971,$T$14:$T$1213,"&gt;"&amp;$T971)+(COUNTIFS($A$14:$A$1213,$A971,$T$14:$T$1213,"="&amp;$T971)+1)/2,"")</f>
        <v/>
      </c>
      <c r="AH971" s="27">
        <f>IF(COUNT($AC971:$AG971)&lt;2,"",IF(MAX($AC971:$AG971)=MIN($AC971:$AG971),0,1))</f>
        <v/>
      </c>
      <c r="AI971" s="27">
        <f>IF($A971="","",IF(COUNTIF($A$14:$A971,$A971)=1,COUNTIF($AI$13:AI970,"&gt;0")+1,""))</f>
        <v/>
      </c>
      <c r="AO971" s="27">
        <f>IF($A971="","",IF(AND(COUNTIFS($A$14:$A$1213,$A971,$F$14:$F$1213,"&gt;=0")=2,IFERROR(INDEX($M$14:$M$313,MATCH($A971,$H$14:$H$313,0)),"Yes")&lt;&gt;"Yes"),1,0))</f>
        <v/>
      </c>
    </row>
    <row r="972">
      <c r="A972" s="19">
        <f>IF('Enter messages'!A972="","",'Enter messages'!A972)</f>
        <v/>
      </c>
      <c r="B972" s="20">
        <f>IF('Enter messages'!B972="","",'Enter messages'!B972)</f>
        <v/>
      </c>
      <c r="C972" s="21">
        <f>IFERROR(AVERAGE(P972:T972),"")</f>
        <v/>
      </c>
      <c r="D972" s="29" t="n"/>
      <c r="E972" s="29" t="n"/>
      <c r="F972" s="30">
        <f>IF(AND(ISNUMBER($D972),ISNUMBER($E972),$E972&gt;0,$D972&lt;=$E972),$D972/$E972,"")</f>
        <v/>
      </c>
      <c r="P972" s="26" t="n"/>
      <c r="Q972" s="26" t="n"/>
      <c r="R972" s="26" t="n"/>
      <c r="S972" s="26" t="n"/>
      <c r="T972" s="26" t="n"/>
      <c r="V972" s="27">
        <f>IF(ISNUMBER($C972),COUNTIFS($A$14:$A$1213,$A972,$C$14:$C$1213,"&gt;"&amp;$C972)+(COUNTIFS($A$14:$A$1213,$A972,$C$14:$C$1213,"="&amp;$C972)+1)/2,"")</f>
        <v/>
      </c>
      <c r="W972" s="27">
        <f>IF(ISNUMBER($F972),COUNTIFS($A$14:$A$1213,$A972,$F$14:$F$1213,"&gt;"&amp;$F972)+(COUNTIFS($A$14:$A$1213,$A972,$F$14:$F$1213,"="&amp;$F972)+1)/2,"")</f>
        <v/>
      </c>
      <c r="X972" s="27">
        <f>IF(OR(NOT(ISNUMBER($V972)),$AO972=1),"",$V972-(COUNTIFS($A$14:$A$1213,$A972,$C$14:$C$1213,"&gt;=0")+1)/2)</f>
        <v/>
      </c>
      <c r="Y972" s="27">
        <f>IF(OR(NOT(ISNUMBER($W972)),$AO972=1),"",$W972-(COUNTIFS($A$14:$A$1213,$A972,$F$14:$F$1213,"&gt;=0")+1)/2)</f>
        <v/>
      </c>
      <c r="Z972" s="27">
        <f>IF(ISNUMBER($V972),$A972&amp;"|"&amp;$V972,"")</f>
        <v/>
      </c>
      <c r="AA972" s="27">
        <f>IF(ISNUMBER($W972),$A972&amp;"|"&amp;$W972,"")</f>
        <v/>
      </c>
      <c r="AB972" s="27">
        <f>IF(ISNUMBER($F972),$A972&amp;"|"&amp;$F972,"")</f>
        <v/>
      </c>
      <c r="AC972" s="27">
        <f>IF(ISNUMBER($P972),COUNTIFS($A$14:$A$1213,$A972,$P$14:$P$1213,"&gt;"&amp;$P972)+(COUNTIFS($A$14:$A$1213,$A972,$P$14:$P$1213,"="&amp;$P972)+1)/2,"")</f>
        <v/>
      </c>
      <c r="AD972" s="27">
        <f>IF(ISNUMBER($Q972),COUNTIFS($A$14:$A$1213,$A972,$Q$14:$Q$1213,"&gt;"&amp;$Q972)+(COUNTIFS($A$14:$A$1213,$A972,$Q$14:$Q$1213,"="&amp;$Q972)+1)/2,"")</f>
        <v/>
      </c>
      <c r="AE972" s="27">
        <f>IF(ISNUMBER($R972),COUNTIFS($A$14:$A$1213,$A972,$R$14:$R$1213,"&gt;"&amp;$R972)+(COUNTIFS($A$14:$A$1213,$A972,$R$14:$R$1213,"="&amp;$R972)+1)/2,"")</f>
        <v/>
      </c>
      <c r="AF972" s="27">
        <f>IF(ISNUMBER($S972),COUNTIFS($A$14:$A$1213,$A972,$S$14:$S$1213,"&gt;"&amp;$S972)+(COUNTIFS($A$14:$A$1213,$A972,$S$14:$S$1213,"="&amp;$S972)+1)/2,"")</f>
        <v/>
      </c>
      <c r="AG972" s="27">
        <f>IF(ISNUMBER($T972),COUNTIFS($A$14:$A$1213,$A972,$T$14:$T$1213,"&gt;"&amp;$T972)+(COUNTIFS($A$14:$A$1213,$A972,$T$14:$T$1213,"="&amp;$T972)+1)/2,"")</f>
        <v/>
      </c>
      <c r="AH972" s="27">
        <f>IF(COUNT($AC972:$AG972)&lt;2,"",IF(MAX($AC972:$AG972)=MIN($AC972:$AG972),0,1))</f>
        <v/>
      </c>
      <c r="AI972" s="27">
        <f>IF($A972="","",IF(COUNTIF($A$14:$A972,$A972)=1,COUNTIF($AI$13:AI971,"&gt;0")+1,""))</f>
        <v/>
      </c>
      <c r="AO972" s="27">
        <f>IF($A972="","",IF(AND(COUNTIFS($A$14:$A$1213,$A972,$F$14:$F$1213,"&gt;=0")=2,IFERROR(INDEX($M$14:$M$313,MATCH($A972,$H$14:$H$313,0)),"Yes")&lt;&gt;"Yes"),1,0))</f>
        <v/>
      </c>
    </row>
    <row r="973">
      <c r="A973" s="19">
        <f>IF('Enter messages'!A973="","",'Enter messages'!A973)</f>
        <v/>
      </c>
      <c r="B973" s="20">
        <f>IF('Enter messages'!B973="","",'Enter messages'!B973)</f>
        <v/>
      </c>
      <c r="C973" s="21">
        <f>IFERROR(AVERAGE(P973:T973),"")</f>
        <v/>
      </c>
      <c r="D973" s="29" t="n"/>
      <c r="E973" s="29" t="n"/>
      <c r="F973" s="30">
        <f>IF(AND(ISNUMBER($D973),ISNUMBER($E973),$E973&gt;0,$D973&lt;=$E973),$D973/$E973,"")</f>
        <v/>
      </c>
      <c r="P973" s="26" t="n"/>
      <c r="Q973" s="26" t="n"/>
      <c r="R973" s="26" t="n"/>
      <c r="S973" s="26" t="n"/>
      <c r="T973" s="26" t="n"/>
      <c r="V973" s="27">
        <f>IF(ISNUMBER($C973),COUNTIFS($A$14:$A$1213,$A973,$C$14:$C$1213,"&gt;"&amp;$C973)+(COUNTIFS($A$14:$A$1213,$A973,$C$14:$C$1213,"="&amp;$C973)+1)/2,"")</f>
        <v/>
      </c>
      <c r="W973" s="27">
        <f>IF(ISNUMBER($F973),COUNTIFS($A$14:$A$1213,$A973,$F$14:$F$1213,"&gt;"&amp;$F973)+(COUNTIFS($A$14:$A$1213,$A973,$F$14:$F$1213,"="&amp;$F973)+1)/2,"")</f>
        <v/>
      </c>
      <c r="X973" s="27">
        <f>IF(OR(NOT(ISNUMBER($V973)),$AO973=1),"",$V973-(COUNTIFS($A$14:$A$1213,$A973,$C$14:$C$1213,"&gt;=0")+1)/2)</f>
        <v/>
      </c>
      <c r="Y973" s="27">
        <f>IF(OR(NOT(ISNUMBER($W973)),$AO973=1),"",$W973-(COUNTIFS($A$14:$A$1213,$A973,$F$14:$F$1213,"&gt;=0")+1)/2)</f>
        <v/>
      </c>
      <c r="Z973" s="27">
        <f>IF(ISNUMBER($V973),$A973&amp;"|"&amp;$V973,"")</f>
        <v/>
      </c>
      <c r="AA973" s="27">
        <f>IF(ISNUMBER($W973),$A973&amp;"|"&amp;$W973,"")</f>
        <v/>
      </c>
      <c r="AB973" s="27">
        <f>IF(ISNUMBER($F973),$A973&amp;"|"&amp;$F973,"")</f>
        <v/>
      </c>
      <c r="AC973" s="27">
        <f>IF(ISNUMBER($P973),COUNTIFS($A$14:$A$1213,$A973,$P$14:$P$1213,"&gt;"&amp;$P973)+(COUNTIFS($A$14:$A$1213,$A973,$P$14:$P$1213,"="&amp;$P973)+1)/2,"")</f>
        <v/>
      </c>
      <c r="AD973" s="27">
        <f>IF(ISNUMBER($Q973),COUNTIFS($A$14:$A$1213,$A973,$Q$14:$Q$1213,"&gt;"&amp;$Q973)+(COUNTIFS($A$14:$A$1213,$A973,$Q$14:$Q$1213,"="&amp;$Q973)+1)/2,"")</f>
        <v/>
      </c>
      <c r="AE973" s="27">
        <f>IF(ISNUMBER($R973),COUNTIFS($A$14:$A$1213,$A973,$R$14:$R$1213,"&gt;"&amp;$R973)+(COUNTIFS($A$14:$A$1213,$A973,$R$14:$R$1213,"="&amp;$R973)+1)/2,"")</f>
        <v/>
      </c>
      <c r="AF973" s="27">
        <f>IF(ISNUMBER($S973),COUNTIFS($A$14:$A$1213,$A973,$S$14:$S$1213,"&gt;"&amp;$S973)+(COUNTIFS($A$14:$A$1213,$A973,$S$14:$S$1213,"="&amp;$S973)+1)/2,"")</f>
        <v/>
      </c>
      <c r="AG973" s="27">
        <f>IF(ISNUMBER($T973),COUNTIFS($A$14:$A$1213,$A973,$T$14:$T$1213,"&gt;"&amp;$T973)+(COUNTIFS($A$14:$A$1213,$A973,$T$14:$T$1213,"="&amp;$T973)+1)/2,"")</f>
        <v/>
      </c>
      <c r="AH973" s="27">
        <f>IF(COUNT($AC973:$AG973)&lt;2,"",IF(MAX($AC973:$AG973)=MIN($AC973:$AG973),0,1))</f>
        <v/>
      </c>
      <c r="AI973" s="27">
        <f>IF($A973="","",IF(COUNTIF($A$14:$A973,$A973)=1,COUNTIF($AI$13:AI972,"&gt;0")+1,""))</f>
        <v/>
      </c>
      <c r="AO973" s="27">
        <f>IF($A973="","",IF(AND(COUNTIFS($A$14:$A$1213,$A973,$F$14:$F$1213,"&gt;=0")=2,IFERROR(INDEX($M$14:$M$313,MATCH($A973,$H$14:$H$313,0)),"Yes")&lt;&gt;"Yes"),1,0))</f>
        <v/>
      </c>
    </row>
    <row r="974">
      <c r="A974" s="19">
        <f>IF('Enter messages'!A974="","",'Enter messages'!A974)</f>
        <v/>
      </c>
      <c r="B974" s="20">
        <f>IF('Enter messages'!B974="","",'Enter messages'!B974)</f>
        <v/>
      </c>
      <c r="C974" s="21">
        <f>IFERROR(AVERAGE(P974:T974),"")</f>
        <v/>
      </c>
      <c r="D974" s="29" t="n"/>
      <c r="E974" s="29" t="n"/>
      <c r="F974" s="30">
        <f>IF(AND(ISNUMBER($D974),ISNUMBER($E974),$E974&gt;0,$D974&lt;=$E974),$D974/$E974,"")</f>
        <v/>
      </c>
      <c r="P974" s="26" t="n"/>
      <c r="Q974" s="26" t="n"/>
      <c r="R974" s="26" t="n"/>
      <c r="S974" s="26" t="n"/>
      <c r="T974" s="26" t="n"/>
      <c r="V974" s="27">
        <f>IF(ISNUMBER($C974),COUNTIFS($A$14:$A$1213,$A974,$C$14:$C$1213,"&gt;"&amp;$C974)+(COUNTIFS($A$14:$A$1213,$A974,$C$14:$C$1213,"="&amp;$C974)+1)/2,"")</f>
        <v/>
      </c>
      <c r="W974" s="27">
        <f>IF(ISNUMBER($F974),COUNTIFS($A$14:$A$1213,$A974,$F$14:$F$1213,"&gt;"&amp;$F974)+(COUNTIFS($A$14:$A$1213,$A974,$F$14:$F$1213,"="&amp;$F974)+1)/2,"")</f>
        <v/>
      </c>
      <c r="X974" s="27">
        <f>IF(OR(NOT(ISNUMBER($V974)),$AO974=1),"",$V974-(COUNTIFS($A$14:$A$1213,$A974,$C$14:$C$1213,"&gt;=0")+1)/2)</f>
        <v/>
      </c>
      <c r="Y974" s="27">
        <f>IF(OR(NOT(ISNUMBER($W974)),$AO974=1),"",$W974-(COUNTIFS($A$14:$A$1213,$A974,$F$14:$F$1213,"&gt;=0")+1)/2)</f>
        <v/>
      </c>
      <c r="Z974" s="27">
        <f>IF(ISNUMBER($V974),$A974&amp;"|"&amp;$V974,"")</f>
        <v/>
      </c>
      <c r="AA974" s="27">
        <f>IF(ISNUMBER($W974),$A974&amp;"|"&amp;$W974,"")</f>
        <v/>
      </c>
      <c r="AB974" s="27">
        <f>IF(ISNUMBER($F974),$A974&amp;"|"&amp;$F974,"")</f>
        <v/>
      </c>
      <c r="AC974" s="27">
        <f>IF(ISNUMBER($P974),COUNTIFS($A$14:$A$1213,$A974,$P$14:$P$1213,"&gt;"&amp;$P974)+(COUNTIFS($A$14:$A$1213,$A974,$P$14:$P$1213,"="&amp;$P974)+1)/2,"")</f>
        <v/>
      </c>
      <c r="AD974" s="27">
        <f>IF(ISNUMBER($Q974),COUNTIFS($A$14:$A$1213,$A974,$Q$14:$Q$1213,"&gt;"&amp;$Q974)+(COUNTIFS($A$14:$A$1213,$A974,$Q$14:$Q$1213,"="&amp;$Q974)+1)/2,"")</f>
        <v/>
      </c>
      <c r="AE974" s="27">
        <f>IF(ISNUMBER($R974),COUNTIFS($A$14:$A$1213,$A974,$R$14:$R$1213,"&gt;"&amp;$R974)+(COUNTIFS($A$14:$A$1213,$A974,$R$14:$R$1213,"="&amp;$R974)+1)/2,"")</f>
        <v/>
      </c>
      <c r="AF974" s="27">
        <f>IF(ISNUMBER($S974),COUNTIFS($A$14:$A$1213,$A974,$S$14:$S$1213,"&gt;"&amp;$S974)+(COUNTIFS($A$14:$A$1213,$A974,$S$14:$S$1213,"="&amp;$S974)+1)/2,"")</f>
        <v/>
      </c>
      <c r="AG974" s="27">
        <f>IF(ISNUMBER($T974),COUNTIFS($A$14:$A$1213,$A974,$T$14:$T$1213,"&gt;"&amp;$T974)+(COUNTIFS($A$14:$A$1213,$A974,$T$14:$T$1213,"="&amp;$T974)+1)/2,"")</f>
        <v/>
      </c>
      <c r="AH974" s="27">
        <f>IF(COUNT($AC974:$AG974)&lt;2,"",IF(MAX($AC974:$AG974)=MIN($AC974:$AG974),0,1))</f>
        <v/>
      </c>
      <c r="AI974" s="27">
        <f>IF($A974="","",IF(COUNTIF($A$14:$A974,$A974)=1,COUNTIF($AI$13:AI973,"&gt;0")+1,""))</f>
        <v/>
      </c>
      <c r="AO974" s="27">
        <f>IF($A974="","",IF(AND(COUNTIFS($A$14:$A$1213,$A974,$F$14:$F$1213,"&gt;=0")=2,IFERROR(INDEX($M$14:$M$313,MATCH($A974,$H$14:$H$313,0)),"Yes")&lt;&gt;"Yes"),1,0))</f>
        <v/>
      </c>
    </row>
    <row r="975">
      <c r="A975" s="19">
        <f>IF('Enter messages'!A975="","",'Enter messages'!A975)</f>
        <v/>
      </c>
      <c r="B975" s="20">
        <f>IF('Enter messages'!B975="","",'Enter messages'!B975)</f>
        <v/>
      </c>
      <c r="C975" s="21">
        <f>IFERROR(AVERAGE(P975:T975),"")</f>
        <v/>
      </c>
      <c r="D975" s="29" t="n"/>
      <c r="E975" s="29" t="n"/>
      <c r="F975" s="30">
        <f>IF(AND(ISNUMBER($D975),ISNUMBER($E975),$E975&gt;0,$D975&lt;=$E975),$D975/$E975,"")</f>
        <v/>
      </c>
      <c r="P975" s="26" t="n"/>
      <c r="Q975" s="26" t="n"/>
      <c r="R975" s="26" t="n"/>
      <c r="S975" s="26" t="n"/>
      <c r="T975" s="26" t="n"/>
      <c r="V975" s="27">
        <f>IF(ISNUMBER($C975),COUNTIFS($A$14:$A$1213,$A975,$C$14:$C$1213,"&gt;"&amp;$C975)+(COUNTIFS($A$14:$A$1213,$A975,$C$14:$C$1213,"="&amp;$C975)+1)/2,"")</f>
        <v/>
      </c>
      <c r="W975" s="27">
        <f>IF(ISNUMBER($F975),COUNTIFS($A$14:$A$1213,$A975,$F$14:$F$1213,"&gt;"&amp;$F975)+(COUNTIFS($A$14:$A$1213,$A975,$F$14:$F$1213,"="&amp;$F975)+1)/2,"")</f>
        <v/>
      </c>
      <c r="X975" s="27">
        <f>IF(OR(NOT(ISNUMBER($V975)),$AO975=1),"",$V975-(COUNTIFS($A$14:$A$1213,$A975,$C$14:$C$1213,"&gt;=0")+1)/2)</f>
        <v/>
      </c>
      <c r="Y975" s="27">
        <f>IF(OR(NOT(ISNUMBER($W975)),$AO975=1),"",$W975-(COUNTIFS($A$14:$A$1213,$A975,$F$14:$F$1213,"&gt;=0")+1)/2)</f>
        <v/>
      </c>
      <c r="Z975" s="27">
        <f>IF(ISNUMBER($V975),$A975&amp;"|"&amp;$V975,"")</f>
        <v/>
      </c>
      <c r="AA975" s="27">
        <f>IF(ISNUMBER($W975),$A975&amp;"|"&amp;$W975,"")</f>
        <v/>
      </c>
      <c r="AB975" s="27">
        <f>IF(ISNUMBER($F975),$A975&amp;"|"&amp;$F975,"")</f>
        <v/>
      </c>
      <c r="AC975" s="27">
        <f>IF(ISNUMBER($P975),COUNTIFS($A$14:$A$1213,$A975,$P$14:$P$1213,"&gt;"&amp;$P975)+(COUNTIFS($A$14:$A$1213,$A975,$P$14:$P$1213,"="&amp;$P975)+1)/2,"")</f>
        <v/>
      </c>
      <c r="AD975" s="27">
        <f>IF(ISNUMBER($Q975),COUNTIFS($A$14:$A$1213,$A975,$Q$14:$Q$1213,"&gt;"&amp;$Q975)+(COUNTIFS($A$14:$A$1213,$A975,$Q$14:$Q$1213,"="&amp;$Q975)+1)/2,"")</f>
        <v/>
      </c>
      <c r="AE975" s="27">
        <f>IF(ISNUMBER($R975),COUNTIFS($A$14:$A$1213,$A975,$R$14:$R$1213,"&gt;"&amp;$R975)+(COUNTIFS($A$14:$A$1213,$A975,$R$14:$R$1213,"="&amp;$R975)+1)/2,"")</f>
        <v/>
      </c>
      <c r="AF975" s="27">
        <f>IF(ISNUMBER($S975),COUNTIFS($A$14:$A$1213,$A975,$S$14:$S$1213,"&gt;"&amp;$S975)+(COUNTIFS($A$14:$A$1213,$A975,$S$14:$S$1213,"="&amp;$S975)+1)/2,"")</f>
        <v/>
      </c>
      <c r="AG975" s="27">
        <f>IF(ISNUMBER($T975),COUNTIFS($A$14:$A$1213,$A975,$T$14:$T$1213,"&gt;"&amp;$T975)+(COUNTIFS($A$14:$A$1213,$A975,$T$14:$T$1213,"="&amp;$T975)+1)/2,"")</f>
        <v/>
      </c>
      <c r="AH975" s="27">
        <f>IF(COUNT($AC975:$AG975)&lt;2,"",IF(MAX($AC975:$AG975)=MIN($AC975:$AG975),0,1))</f>
        <v/>
      </c>
      <c r="AI975" s="27">
        <f>IF($A975="","",IF(COUNTIF($A$14:$A975,$A975)=1,COUNTIF($AI$13:AI974,"&gt;0")+1,""))</f>
        <v/>
      </c>
      <c r="AO975" s="27">
        <f>IF($A975="","",IF(AND(COUNTIFS($A$14:$A$1213,$A975,$F$14:$F$1213,"&gt;=0")=2,IFERROR(INDEX($M$14:$M$313,MATCH($A975,$H$14:$H$313,0)),"Yes")&lt;&gt;"Yes"),1,0))</f>
        <v/>
      </c>
    </row>
    <row r="976">
      <c r="A976" s="19">
        <f>IF('Enter messages'!A976="","",'Enter messages'!A976)</f>
        <v/>
      </c>
      <c r="B976" s="20">
        <f>IF('Enter messages'!B976="","",'Enter messages'!B976)</f>
        <v/>
      </c>
      <c r="C976" s="21">
        <f>IFERROR(AVERAGE(P976:T976),"")</f>
        <v/>
      </c>
      <c r="D976" s="29" t="n"/>
      <c r="E976" s="29" t="n"/>
      <c r="F976" s="30">
        <f>IF(AND(ISNUMBER($D976),ISNUMBER($E976),$E976&gt;0,$D976&lt;=$E976),$D976/$E976,"")</f>
        <v/>
      </c>
      <c r="P976" s="26" t="n"/>
      <c r="Q976" s="26" t="n"/>
      <c r="R976" s="26" t="n"/>
      <c r="S976" s="26" t="n"/>
      <c r="T976" s="26" t="n"/>
      <c r="V976" s="27">
        <f>IF(ISNUMBER($C976),COUNTIFS($A$14:$A$1213,$A976,$C$14:$C$1213,"&gt;"&amp;$C976)+(COUNTIFS($A$14:$A$1213,$A976,$C$14:$C$1213,"="&amp;$C976)+1)/2,"")</f>
        <v/>
      </c>
      <c r="W976" s="27">
        <f>IF(ISNUMBER($F976),COUNTIFS($A$14:$A$1213,$A976,$F$14:$F$1213,"&gt;"&amp;$F976)+(COUNTIFS($A$14:$A$1213,$A976,$F$14:$F$1213,"="&amp;$F976)+1)/2,"")</f>
        <v/>
      </c>
      <c r="X976" s="27">
        <f>IF(OR(NOT(ISNUMBER($V976)),$AO976=1),"",$V976-(COUNTIFS($A$14:$A$1213,$A976,$C$14:$C$1213,"&gt;=0")+1)/2)</f>
        <v/>
      </c>
      <c r="Y976" s="27">
        <f>IF(OR(NOT(ISNUMBER($W976)),$AO976=1),"",$W976-(COUNTIFS($A$14:$A$1213,$A976,$F$14:$F$1213,"&gt;=0")+1)/2)</f>
        <v/>
      </c>
      <c r="Z976" s="27">
        <f>IF(ISNUMBER($V976),$A976&amp;"|"&amp;$V976,"")</f>
        <v/>
      </c>
      <c r="AA976" s="27">
        <f>IF(ISNUMBER($W976),$A976&amp;"|"&amp;$W976,"")</f>
        <v/>
      </c>
      <c r="AB976" s="27">
        <f>IF(ISNUMBER($F976),$A976&amp;"|"&amp;$F976,"")</f>
        <v/>
      </c>
      <c r="AC976" s="27">
        <f>IF(ISNUMBER($P976),COUNTIFS($A$14:$A$1213,$A976,$P$14:$P$1213,"&gt;"&amp;$P976)+(COUNTIFS($A$14:$A$1213,$A976,$P$14:$P$1213,"="&amp;$P976)+1)/2,"")</f>
        <v/>
      </c>
      <c r="AD976" s="27">
        <f>IF(ISNUMBER($Q976),COUNTIFS($A$14:$A$1213,$A976,$Q$14:$Q$1213,"&gt;"&amp;$Q976)+(COUNTIFS($A$14:$A$1213,$A976,$Q$14:$Q$1213,"="&amp;$Q976)+1)/2,"")</f>
        <v/>
      </c>
      <c r="AE976" s="27">
        <f>IF(ISNUMBER($R976),COUNTIFS($A$14:$A$1213,$A976,$R$14:$R$1213,"&gt;"&amp;$R976)+(COUNTIFS($A$14:$A$1213,$A976,$R$14:$R$1213,"="&amp;$R976)+1)/2,"")</f>
        <v/>
      </c>
      <c r="AF976" s="27">
        <f>IF(ISNUMBER($S976),COUNTIFS($A$14:$A$1213,$A976,$S$14:$S$1213,"&gt;"&amp;$S976)+(COUNTIFS($A$14:$A$1213,$A976,$S$14:$S$1213,"="&amp;$S976)+1)/2,"")</f>
        <v/>
      </c>
      <c r="AG976" s="27">
        <f>IF(ISNUMBER($T976),COUNTIFS($A$14:$A$1213,$A976,$T$14:$T$1213,"&gt;"&amp;$T976)+(COUNTIFS($A$14:$A$1213,$A976,$T$14:$T$1213,"="&amp;$T976)+1)/2,"")</f>
        <v/>
      </c>
      <c r="AH976" s="27">
        <f>IF(COUNT($AC976:$AG976)&lt;2,"",IF(MAX($AC976:$AG976)=MIN($AC976:$AG976),0,1))</f>
        <v/>
      </c>
      <c r="AI976" s="27">
        <f>IF($A976="","",IF(COUNTIF($A$14:$A976,$A976)=1,COUNTIF($AI$13:AI975,"&gt;0")+1,""))</f>
        <v/>
      </c>
      <c r="AO976" s="27">
        <f>IF($A976="","",IF(AND(COUNTIFS($A$14:$A$1213,$A976,$F$14:$F$1213,"&gt;=0")=2,IFERROR(INDEX($M$14:$M$313,MATCH($A976,$H$14:$H$313,0)),"Yes")&lt;&gt;"Yes"),1,0))</f>
        <v/>
      </c>
    </row>
    <row r="977">
      <c r="A977" s="19">
        <f>IF('Enter messages'!A977="","",'Enter messages'!A977)</f>
        <v/>
      </c>
      <c r="B977" s="20">
        <f>IF('Enter messages'!B977="","",'Enter messages'!B977)</f>
        <v/>
      </c>
      <c r="C977" s="21">
        <f>IFERROR(AVERAGE(P977:T977),"")</f>
        <v/>
      </c>
      <c r="D977" s="29" t="n"/>
      <c r="E977" s="29" t="n"/>
      <c r="F977" s="30">
        <f>IF(AND(ISNUMBER($D977),ISNUMBER($E977),$E977&gt;0,$D977&lt;=$E977),$D977/$E977,"")</f>
        <v/>
      </c>
      <c r="P977" s="26" t="n"/>
      <c r="Q977" s="26" t="n"/>
      <c r="R977" s="26" t="n"/>
      <c r="S977" s="26" t="n"/>
      <c r="T977" s="26" t="n"/>
      <c r="V977" s="27">
        <f>IF(ISNUMBER($C977),COUNTIFS($A$14:$A$1213,$A977,$C$14:$C$1213,"&gt;"&amp;$C977)+(COUNTIFS($A$14:$A$1213,$A977,$C$14:$C$1213,"="&amp;$C977)+1)/2,"")</f>
        <v/>
      </c>
      <c r="W977" s="27">
        <f>IF(ISNUMBER($F977),COUNTIFS($A$14:$A$1213,$A977,$F$14:$F$1213,"&gt;"&amp;$F977)+(COUNTIFS($A$14:$A$1213,$A977,$F$14:$F$1213,"="&amp;$F977)+1)/2,"")</f>
        <v/>
      </c>
      <c r="X977" s="27">
        <f>IF(OR(NOT(ISNUMBER($V977)),$AO977=1),"",$V977-(COUNTIFS($A$14:$A$1213,$A977,$C$14:$C$1213,"&gt;=0")+1)/2)</f>
        <v/>
      </c>
      <c r="Y977" s="27">
        <f>IF(OR(NOT(ISNUMBER($W977)),$AO977=1),"",$W977-(COUNTIFS($A$14:$A$1213,$A977,$F$14:$F$1213,"&gt;=0")+1)/2)</f>
        <v/>
      </c>
      <c r="Z977" s="27">
        <f>IF(ISNUMBER($V977),$A977&amp;"|"&amp;$V977,"")</f>
        <v/>
      </c>
      <c r="AA977" s="27">
        <f>IF(ISNUMBER($W977),$A977&amp;"|"&amp;$W977,"")</f>
        <v/>
      </c>
      <c r="AB977" s="27">
        <f>IF(ISNUMBER($F977),$A977&amp;"|"&amp;$F977,"")</f>
        <v/>
      </c>
      <c r="AC977" s="27">
        <f>IF(ISNUMBER($P977),COUNTIFS($A$14:$A$1213,$A977,$P$14:$P$1213,"&gt;"&amp;$P977)+(COUNTIFS($A$14:$A$1213,$A977,$P$14:$P$1213,"="&amp;$P977)+1)/2,"")</f>
        <v/>
      </c>
      <c r="AD977" s="27">
        <f>IF(ISNUMBER($Q977),COUNTIFS($A$14:$A$1213,$A977,$Q$14:$Q$1213,"&gt;"&amp;$Q977)+(COUNTIFS($A$14:$A$1213,$A977,$Q$14:$Q$1213,"="&amp;$Q977)+1)/2,"")</f>
        <v/>
      </c>
      <c r="AE977" s="27">
        <f>IF(ISNUMBER($R977),COUNTIFS($A$14:$A$1213,$A977,$R$14:$R$1213,"&gt;"&amp;$R977)+(COUNTIFS($A$14:$A$1213,$A977,$R$14:$R$1213,"="&amp;$R977)+1)/2,"")</f>
        <v/>
      </c>
      <c r="AF977" s="27">
        <f>IF(ISNUMBER($S977),COUNTIFS($A$14:$A$1213,$A977,$S$14:$S$1213,"&gt;"&amp;$S977)+(COUNTIFS($A$14:$A$1213,$A977,$S$14:$S$1213,"="&amp;$S977)+1)/2,"")</f>
        <v/>
      </c>
      <c r="AG977" s="27">
        <f>IF(ISNUMBER($T977),COUNTIFS($A$14:$A$1213,$A977,$T$14:$T$1213,"&gt;"&amp;$T977)+(COUNTIFS($A$14:$A$1213,$A977,$T$14:$T$1213,"="&amp;$T977)+1)/2,"")</f>
        <v/>
      </c>
      <c r="AH977" s="27">
        <f>IF(COUNT($AC977:$AG977)&lt;2,"",IF(MAX($AC977:$AG977)=MIN($AC977:$AG977),0,1))</f>
        <v/>
      </c>
      <c r="AI977" s="27">
        <f>IF($A977="","",IF(COUNTIF($A$14:$A977,$A977)=1,COUNTIF($AI$13:AI976,"&gt;0")+1,""))</f>
        <v/>
      </c>
      <c r="AO977" s="27">
        <f>IF($A977="","",IF(AND(COUNTIFS($A$14:$A$1213,$A977,$F$14:$F$1213,"&gt;=0")=2,IFERROR(INDEX($M$14:$M$313,MATCH($A977,$H$14:$H$313,0)),"Yes")&lt;&gt;"Yes"),1,0))</f>
        <v/>
      </c>
    </row>
    <row r="978">
      <c r="A978" s="19">
        <f>IF('Enter messages'!A978="","",'Enter messages'!A978)</f>
        <v/>
      </c>
      <c r="B978" s="20">
        <f>IF('Enter messages'!B978="","",'Enter messages'!B978)</f>
        <v/>
      </c>
      <c r="C978" s="21">
        <f>IFERROR(AVERAGE(P978:T978),"")</f>
        <v/>
      </c>
      <c r="D978" s="29" t="n"/>
      <c r="E978" s="29" t="n"/>
      <c r="F978" s="30">
        <f>IF(AND(ISNUMBER($D978),ISNUMBER($E978),$E978&gt;0,$D978&lt;=$E978),$D978/$E978,"")</f>
        <v/>
      </c>
      <c r="P978" s="26" t="n"/>
      <c r="Q978" s="26" t="n"/>
      <c r="R978" s="26" t="n"/>
      <c r="S978" s="26" t="n"/>
      <c r="T978" s="26" t="n"/>
      <c r="V978" s="27">
        <f>IF(ISNUMBER($C978),COUNTIFS($A$14:$A$1213,$A978,$C$14:$C$1213,"&gt;"&amp;$C978)+(COUNTIFS($A$14:$A$1213,$A978,$C$14:$C$1213,"="&amp;$C978)+1)/2,"")</f>
        <v/>
      </c>
      <c r="W978" s="27">
        <f>IF(ISNUMBER($F978),COUNTIFS($A$14:$A$1213,$A978,$F$14:$F$1213,"&gt;"&amp;$F978)+(COUNTIFS($A$14:$A$1213,$A978,$F$14:$F$1213,"="&amp;$F978)+1)/2,"")</f>
        <v/>
      </c>
      <c r="X978" s="27">
        <f>IF(OR(NOT(ISNUMBER($V978)),$AO978=1),"",$V978-(COUNTIFS($A$14:$A$1213,$A978,$C$14:$C$1213,"&gt;=0")+1)/2)</f>
        <v/>
      </c>
      <c r="Y978" s="27">
        <f>IF(OR(NOT(ISNUMBER($W978)),$AO978=1),"",$W978-(COUNTIFS($A$14:$A$1213,$A978,$F$14:$F$1213,"&gt;=0")+1)/2)</f>
        <v/>
      </c>
      <c r="Z978" s="27">
        <f>IF(ISNUMBER($V978),$A978&amp;"|"&amp;$V978,"")</f>
        <v/>
      </c>
      <c r="AA978" s="27">
        <f>IF(ISNUMBER($W978),$A978&amp;"|"&amp;$W978,"")</f>
        <v/>
      </c>
      <c r="AB978" s="27">
        <f>IF(ISNUMBER($F978),$A978&amp;"|"&amp;$F978,"")</f>
        <v/>
      </c>
      <c r="AC978" s="27">
        <f>IF(ISNUMBER($P978),COUNTIFS($A$14:$A$1213,$A978,$P$14:$P$1213,"&gt;"&amp;$P978)+(COUNTIFS($A$14:$A$1213,$A978,$P$14:$P$1213,"="&amp;$P978)+1)/2,"")</f>
        <v/>
      </c>
      <c r="AD978" s="27">
        <f>IF(ISNUMBER($Q978),COUNTIFS($A$14:$A$1213,$A978,$Q$14:$Q$1213,"&gt;"&amp;$Q978)+(COUNTIFS($A$14:$A$1213,$A978,$Q$14:$Q$1213,"="&amp;$Q978)+1)/2,"")</f>
        <v/>
      </c>
      <c r="AE978" s="27">
        <f>IF(ISNUMBER($R978),COUNTIFS($A$14:$A$1213,$A978,$R$14:$R$1213,"&gt;"&amp;$R978)+(COUNTIFS($A$14:$A$1213,$A978,$R$14:$R$1213,"="&amp;$R978)+1)/2,"")</f>
        <v/>
      </c>
      <c r="AF978" s="27">
        <f>IF(ISNUMBER($S978),COUNTIFS($A$14:$A$1213,$A978,$S$14:$S$1213,"&gt;"&amp;$S978)+(COUNTIFS($A$14:$A$1213,$A978,$S$14:$S$1213,"="&amp;$S978)+1)/2,"")</f>
        <v/>
      </c>
      <c r="AG978" s="27">
        <f>IF(ISNUMBER($T978),COUNTIFS($A$14:$A$1213,$A978,$T$14:$T$1213,"&gt;"&amp;$T978)+(COUNTIFS($A$14:$A$1213,$A978,$T$14:$T$1213,"="&amp;$T978)+1)/2,"")</f>
        <v/>
      </c>
      <c r="AH978" s="27">
        <f>IF(COUNT($AC978:$AG978)&lt;2,"",IF(MAX($AC978:$AG978)=MIN($AC978:$AG978),0,1))</f>
        <v/>
      </c>
      <c r="AI978" s="27">
        <f>IF($A978="","",IF(COUNTIF($A$14:$A978,$A978)=1,COUNTIF($AI$13:AI977,"&gt;0")+1,""))</f>
        <v/>
      </c>
      <c r="AO978" s="27">
        <f>IF($A978="","",IF(AND(COUNTIFS($A$14:$A$1213,$A978,$F$14:$F$1213,"&gt;=0")=2,IFERROR(INDEX($M$14:$M$313,MATCH($A978,$H$14:$H$313,0)),"Yes")&lt;&gt;"Yes"),1,0))</f>
        <v/>
      </c>
    </row>
    <row r="979">
      <c r="A979" s="19">
        <f>IF('Enter messages'!A979="","",'Enter messages'!A979)</f>
        <v/>
      </c>
      <c r="B979" s="20">
        <f>IF('Enter messages'!B979="","",'Enter messages'!B979)</f>
        <v/>
      </c>
      <c r="C979" s="21">
        <f>IFERROR(AVERAGE(P979:T979),"")</f>
        <v/>
      </c>
      <c r="D979" s="29" t="n"/>
      <c r="E979" s="29" t="n"/>
      <c r="F979" s="30">
        <f>IF(AND(ISNUMBER($D979),ISNUMBER($E979),$E979&gt;0,$D979&lt;=$E979),$D979/$E979,"")</f>
        <v/>
      </c>
      <c r="P979" s="26" t="n"/>
      <c r="Q979" s="26" t="n"/>
      <c r="R979" s="26" t="n"/>
      <c r="S979" s="26" t="n"/>
      <c r="T979" s="26" t="n"/>
      <c r="V979" s="27">
        <f>IF(ISNUMBER($C979),COUNTIFS($A$14:$A$1213,$A979,$C$14:$C$1213,"&gt;"&amp;$C979)+(COUNTIFS($A$14:$A$1213,$A979,$C$14:$C$1213,"="&amp;$C979)+1)/2,"")</f>
        <v/>
      </c>
      <c r="W979" s="27">
        <f>IF(ISNUMBER($F979),COUNTIFS($A$14:$A$1213,$A979,$F$14:$F$1213,"&gt;"&amp;$F979)+(COUNTIFS($A$14:$A$1213,$A979,$F$14:$F$1213,"="&amp;$F979)+1)/2,"")</f>
        <v/>
      </c>
      <c r="X979" s="27">
        <f>IF(OR(NOT(ISNUMBER($V979)),$AO979=1),"",$V979-(COUNTIFS($A$14:$A$1213,$A979,$C$14:$C$1213,"&gt;=0")+1)/2)</f>
        <v/>
      </c>
      <c r="Y979" s="27">
        <f>IF(OR(NOT(ISNUMBER($W979)),$AO979=1),"",$W979-(COUNTIFS($A$14:$A$1213,$A979,$F$14:$F$1213,"&gt;=0")+1)/2)</f>
        <v/>
      </c>
      <c r="Z979" s="27">
        <f>IF(ISNUMBER($V979),$A979&amp;"|"&amp;$V979,"")</f>
        <v/>
      </c>
      <c r="AA979" s="27">
        <f>IF(ISNUMBER($W979),$A979&amp;"|"&amp;$W979,"")</f>
        <v/>
      </c>
      <c r="AB979" s="27">
        <f>IF(ISNUMBER($F979),$A979&amp;"|"&amp;$F979,"")</f>
        <v/>
      </c>
      <c r="AC979" s="27">
        <f>IF(ISNUMBER($P979),COUNTIFS($A$14:$A$1213,$A979,$P$14:$P$1213,"&gt;"&amp;$P979)+(COUNTIFS($A$14:$A$1213,$A979,$P$14:$P$1213,"="&amp;$P979)+1)/2,"")</f>
        <v/>
      </c>
      <c r="AD979" s="27">
        <f>IF(ISNUMBER($Q979),COUNTIFS($A$14:$A$1213,$A979,$Q$14:$Q$1213,"&gt;"&amp;$Q979)+(COUNTIFS($A$14:$A$1213,$A979,$Q$14:$Q$1213,"="&amp;$Q979)+1)/2,"")</f>
        <v/>
      </c>
      <c r="AE979" s="27">
        <f>IF(ISNUMBER($R979),COUNTIFS($A$14:$A$1213,$A979,$R$14:$R$1213,"&gt;"&amp;$R979)+(COUNTIFS($A$14:$A$1213,$A979,$R$14:$R$1213,"="&amp;$R979)+1)/2,"")</f>
        <v/>
      </c>
      <c r="AF979" s="27">
        <f>IF(ISNUMBER($S979),COUNTIFS($A$14:$A$1213,$A979,$S$14:$S$1213,"&gt;"&amp;$S979)+(COUNTIFS($A$14:$A$1213,$A979,$S$14:$S$1213,"="&amp;$S979)+1)/2,"")</f>
        <v/>
      </c>
      <c r="AG979" s="27">
        <f>IF(ISNUMBER($T979),COUNTIFS($A$14:$A$1213,$A979,$T$14:$T$1213,"&gt;"&amp;$T979)+(COUNTIFS($A$14:$A$1213,$A979,$T$14:$T$1213,"="&amp;$T979)+1)/2,"")</f>
        <v/>
      </c>
      <c r="AH979" s="27">
        <f>IF(COUNT($AC979:$AG979)&lt;2,"",IF(MAX($AC979:$AG979)=MIN($AC979:$AG979),0,1))</f>
        <v/>
      </c>
      <c r="AI979" s="27">
        <f>IF($A979="","",IF(COUNTIF($A$14:$A979,$A979)=1,COUNTIF($AI$13:AI978,"&gt;0")+1,""))</f>
        <v/>
      </c>
      <c r="AO979" s="27">
        <f>IF($A979="","",IF(AND(COUNTIFS($A$14:$A$1213,$A979,$F$14:$F$1213,"&gt;=0")=2,IFERROR(INDEX($M$14:$M$313,MATCH($A979,$H$14:$H$313,0)),"Yes")&lt;&gt;"Yes"),1,0))</f>
        <v/>
      </c>
    </row>
    <row r="980">
      <c r="A980" s="19">
        <f>IF('Enter messages'!A980="","",'Enter messages'!A980)</f>
        <v/>
      </c>
      <c r="B980" s="20">
        <f>IF('Enter messages'!B980="","",'Enter messages'!B980)</f>
        <v/>
      </c>
      <c r="C980" s="21">
        <f>IFERROR(AVERAGE(P980:T980),"")</f>
        <v/>
      </c>
      <c r="D980" s="29" t="n"/>
      <c r="E980" s="29" t="n"/>
      <c r="F980" s="30">
        <f>IF(AND(ISNUMBER($D980),ISNUMBER($E980),$E980&gt;0,$D980&lt;=$E980),$D980/$E980,"")</f>
        <v/>
      </c>
      <c r="P980" s="26" t="n"/>
      <c r="Q980" s="26" t="n"/>
      <c r="R980" s="26" t="n"/>
      <c r="S980" s="26" t="n"/>
      <c r="T980" s="26" t="n"/>
      <c r="V980" s="27">
        <f>IF(ISNUMBER($C980),COUNTIFS($A$14:$A$1213,$A980,$C$14:$C$1213,"&gt;"&amp;$C980)+(COUNTIFS($A$14:$A$1213,$A980,$C$14:$C$1213,"="&amp;$C980)+1)/2,"")</f>
        <v/>
      </c>
      <c r="W980" s="27">
        <f>IF(ISNUMBER($F980),COUNTIFS($A$14:$A$1213,$A980,$F$14:$F$1213,"&gt;"&amp;$F980)+(COUNTIFS($A$14:$A$1213,$A980,$F$14:$F$1213,"="&amp;$F980)+1)/2,"")</f>
        <v/>
      </c>
      <c r="X980" s="27">
        <f>IF(OR(NOT(ISNUMBER($V980)),$AO980=1),"",$V980-(COUNTIFS($A$14:$A$1213,$A980,$C$14:$C$1213,"&gt;=0")+1)/2)</f>
        <v/>
      </c>
      <c r="Y980" s="27">
        <f>IF(OR(NOT(ISNUMBER($W980)),$AO980=1),"",$W980-(COUNTIFS($A$14:$A$1213,$A980,$F$14:$F$1213,"&gt;=0")+1)/2)</f>
        <v/>
      </c>
      <c r="Z980" s="27">
        <f>IF(ISNUMBER($V980),$A980&amp;"|"&amp;$V980,"")</f>
        <v/>
      </c>
      <c r="AA980" s="27">
        <f>IF(ISNUMBER($W980),$A980&amp;"|"&amp;$W980,"")</f>
        <v/>
      </c>
      <c r="AB980" s="27">
        <f>IF(ISNUMBER($F980),$A980&amp;"|"&amp;$F980,"")</f>
        <v/>
      </c>
      <c r="AC980" s="27">
        <f>IF(ISNUMBER($P980),COUNTIFS($A$14:$A$1213,$A980,$P$14:$P$1213,"&gt;"&amp;$P980)+(COUNTIFS($A$14:$A$1213,$A980,$P$14:$P$1213,"="&amp;$P980)+1)/2,"")</f>
        <v/>
      </c>
      <c r="AD980" s="27">
        <f>IF(ISNUMBER($Q980),COUNTIFS($A$14:$A$1213,$A980,$Q$14:$Q$1213,"&gt;"&amp;$Q980)+(COUNTIFS($A$14:$A$1213,$A980,$Q$14:$Q$1213,"="&amp;$Q980)+1)/2,"")</f>
        <v/>
      </c>
      <c r="AE980" s="27">
        <f>IF(ISNUMBER($R980),COUNTIFS($A$14:$A$1213,$A980,$R$14:$R$1213,"&gt;"&amp;$R980)+(COUNTIFS($A$14:$A$1213,$A980,$R$14:$R$1213,"="&amp;$R980)+1)/2,"")</f>
        <v/>
      </c>
      <c r="AF980" s="27">
        <f>IF(ISNUMBER($S980),COUNTIFS($A$14:$A$1213,$A980,$S$14:$S$1213,"&gt;"&amp;$S980)+(COUNTIFS($A$14:$A$1213,$A980,$S$14:$S$1213,"="&amp;$S980)+1)/2,"")</f>
        <v/>
      </c>
      <c r="AG980" s="27">
        <f>IF(ISNUMBER($T980),COUNTIFS($A$14:$A$1213,$A980,$T$14:$T$1213,"&gt;"&amp;$T980)+(COUNTIFS($A$14:$A$1213,$A980,$T$14:$T$1213,"="&amp;$T980)+1)/2,"")</f>
        <v/>
      </c>
      <c r="AH980" s="27">
        <f>IF(COUNT($AC980:$AG980)&lt;2,"",IF(MAX($AC980:$AG980)=MIN($AC980:$AG980),0,1))</f>
        <v/>
      </c>
      <c r="AI980" s="27">
        <f>IF($A980="","",IF(COUNTIF($A$14:$A980,$A980)=1,COUNTIF($AI$13:AI979,"&gt;0")+1,""))</f>
        <v/>
      </c>
      <c r="AO980" s="27">
        <f>IF($A980="","",IF(AND(COUNTIFS($A$14:$A$1213,$A980,$F$14:$F$1213,"&gt;=0")=2,IFERROR(INDEX($M$14:$M$313,MATCH($A980,$H$14:$H$313,0)),"Yes")&lt;&gt;"Yes"),1,0))</f>
        <v/>
      </c>
    </row>
    <row r="981">
      <c r="A981" s="19">
        <f>IF('Enter messages'!A981="","",'Enter messages'!A981)</f>
        <v/>
      </c>
      <c r="B981" s="20">
        <f>IF('Enter messages'!B981="","",'Enter messages'!B981)</f>
        <v/>
      </c>
      <c r="C981" s="21">
        <f>IFERROR(AVERAGE(P981:T981),"")</f>
        <v/>
      </c>
      <c r="D981" s="29" t="n"/>
      <c r="E981" s="29" t="n"/>
      <c r="F981" s="30">
        <f>IF(AND(ISNUMBER($D981),ISNUMBER($E981),$E981&gt;0,$D981&lt;=$E981),$D981/$E981,"")</f>
        <v/>
      </c>
      <c r="P981" s="26" t="n"/>
      <c r="Q981" s="26" t="n"/>
      <c r="R981" s="26" t="n"/>
      <c r="S981" s="26" t="n"/>
      <c r="T981" s="26" t="n"/>
      <c r="V981" s="27">
        <f>IF(ISNUMBER($C981),COUNTIFS($A$14:$A$1213,$A981,$C$14:$C$1213,"&gt;"&amp;$C981)+(COUNTIFS($A$14:$A$1213,$A981,$C$14:$C$1213,"="&amp;$C981)+1)/2,"")</f>
        <v/>
      </c>
      <c r="W981" s="27">
        <f>IF(ISNUMBER($F981),COUNTIFS($A$14:$A$1213,$A981,$F$14:$F$1213,"&gt;"&amp;$F981)+(COUNTIFS($A$14:$A$1213,$A981,$F$14:$F$1213,"="&amp;$F981)+1)/2,"")</f>
        <v/>
      </c>
      <c r="X981" s="27">
        <f>IF(OR(NOT(ISNUMBER($V981)),$AO981=1),"",$V981-(COUNTIFS($A$14:$A$1213,$A981,$C$14:$C$1213,"&gt;=0")+1)/2)</f>
        <v/>
      </c>
      <c r="Y981" s="27">
        <f>IF(OR(NOT(ISNUMBER($W981)),$AO981=1),"",$W981-(COUNTIFS($A$14:$A$1213,$A981,$F$14:$F$1213,"&gt;=0")+1)/2)</f>
        <v/>
      </c>
      <c r="Z981" s="27">
        <f>IF(ISNUMBER($V981),$A981&amp;"|"&amp;$V981,"")</f>
        <v/>
      </c>
      <c r="AA981" s="27">
        <f>IF(ISNUMBER($W981),$A981&amp;"|"&amp;$W981,"")</f>
        <v/>
      </c>
      <c r="AB981" s="27">
        <f>IF(ISNUMBER($F981),$A981&amp;"|"&amp;$F981,"")</f>
        <v/>
      </c>
      <c r="AC981" s="27">
        <f>IF(ISNUMBER($P981),COUNTIFS($A$14:$A$1213,$A981,$P$14:$P$1213,"&gt;"&amp;$P981)+(COUNTIFS($A$14:$A$1213,$A981,$P$14:$P$1213,"="&amp;$P981)+1)/2,"")</f>
        <v/>
      </c>
      <c r="AD981" s="27">
        <f>IF(ISNUMBER($Q981),COUNTIFS($A$14:$A$1213,$A981,$Q$14:$Q$1213,"&gt;"&amp;$Q981)+(COUNTIFS($A$14:$A$1213,$A981,$Q$14:$Q$1213,"="&amp;$Q981)+1)/2,"")</f>
        <v/>
      </c>
      <c r="AE981" s="27">
        <f>IF(ISNUMBER($R981),COUNTIFS($A$14:$A$1213,$A981,$R$14:$R$1213,"&gt;"&amp;$R981)+(COUNTIFS($A$14:$A$1213,$A981,$R$14:$R$1213,"="&amp;$R981)+1)/2,"")</f>
        <v/>
      </c>
      <c r="AF981" s="27">
        <f>IF(ISNUMBER($S981),COUNTIFS($A$14:$A$1213,$A981,$S$14:$S$1213,"&gt;"&amp;$S981)+(COUNTIFS($A$14:$A$1213,$A981,$S$14:$S$1213,"="&amp;$S981)+1)/2,"")</f>
        <v/>
      </c>
      <c r="AG981" s="27">
        <f>IF(ISNUMBER($T981),COUNTIFS($A$14:$A$1213,$A981,$T$14:$T$1213,"&gt;"&amp;$T981)+(COUNTIFS($A$14:$A$1213,$A981,$T$14:$T$1213,"="&amp;$T981)+1)/2,"")</f>
        <v/>
      </c>
      <c r="AH981" s="27">
        <f>IF(COUNT($AC981:$AG981)&lt;2,"",IF(MAX($AC981:$AG981)=MIN($AC981:$AG981),0,1))</f>
        <v/>
      </c>
      <c r="AI981" s="27">
        <f>IF($A981="","",IF(COUNTIF($A$14:$A981,$A981)=1,COUNTIF($AI$13:AI980,"&gt;0")+1,""))</f>
        <v/>
      </c>
      <c r="AO981" s="27">
        <f>IF($A981="","",IF(AND(COUNTIFS($A$14:$A$1213,$A981,$F$14:$F$1213,"&gt;=0")=2,IFERROR(INDEX($M$14:$M$313,MATCH($A981,$H$14:$H$313,0)),"Yes")&lt;&gt;"Yes"),1,0))</f>
        <v/>
      </c>
    </row>
    <row r="982">
      <c r="A982" s="19">
        <f>IF('Enter messages'!A982="","",'Enter messages'!A982)</f>
        <v/>
      </c>
      <c r="B982" s="20">
        <f>IF('Enter messages'!B982="","",'Enter messages'!B982)</f>
        <v/>
      </c>
      <c r="C982" s="21">
        <f>IFERROR(AVERAGE(P982:T982),"")</f>
        <v/>
      </c>
      <c r="D982" s="29" t="n"/>
      <c r="E982" s="29" t="n"/>
      <c r="F982" s="30">
        <f>IF(AND(ISNUMBER($D982),ISNUMBER($E982),$E982&gt;0,$D982&lt;=$E982),$D982/$E982,"")</f>
        <v/>
      </c>
      <c r="P982" s="26" t="n"/>
      <c r="Q982" s="26" t="n"/>
      <c r="R982" s="26" t="n"/>
      <c r="S982" s="26" t="n"/>
      <c r="T982" s="26" t="n"/>
      <c r="V982" s="27">
        <f>IF(ISNUMBER($C982),COUNTIFS($A$14:$A$1213,$A982,$C$14:$C$1213,"&gt;"&amp;$C982)+(COUNTIFS($A$14:$A$1213,$A982,$C$14:$C$1213,"="&amp;$C982)+1)/2,"")</f>
        <v/>
      </c>
      <c r="W982" s="27">
        <f>IF(ISNUMBER($F982),COUNTIFS($A$14:$A$1213,$A982,$F$14:$F$1213,"&gt;"&amp;$F982)+(COUNTIFS($A$14:$A$1213,$A982,$F$14:$F$1213,"="&amp;$F982)+1)/2,"")</f>
        <v/>
      </c>
      <c r="X982" s="27">
        <f>IF(OR(NOT(ISNUMBER($V982)),$AO982=1),"",$V982-(COUNTIFS($A$14:$A$1213,$A982,$C$14:$C$1213,"&gt;=0")+1)/2)</f>
        <v/>
      </c>
      <c r="Y982" s="27">
        <f>IF(OR(NOT(ISNUMBER($W982)),$AO982=1),"",$W982-(COUNTIFS($A$14:$A$1213,$A982,$F$14:$F$1213,"&gt;=0")+1)/2)</f>
        <v/>
      </c>
      <c r="Z982" s="27">
        <f>IF(ISNUMBER($V982),$A982&amp;"|"&amp;$V982,"")</f>
        <v/>
      </c>
      <c r="AA982" s="27">
        <f>IF(ISNUMBER($W982),$A982&amp;"|"&amp;$W982,"")</f>
        <v/>
      </c>
      <c r="AB982" s="27">
        <f>IF(ISNUMBER($F982),$A982&amp;"|"&amp;$F982,"")</f>
        <v/>
      </c>
      <c r="AC982" s="27">
        <f>IF(ISNUMBER($P982),COUNTIFS($A$14:$A$1213,$A982,$P$14:$P$1213,"&gt;"&amp;$P982)+(COUNTIFS($A$14:$A$1213,$A982,$P$14:$P$1213,"="&amp;$P982)+1)/2,"")</f>
        <v/>
      </c>
      <c r="AD982" s="27">
        <f>IF(ISNUMBER($Q982),COUNTIFS($A$14:$A$1213,$A982,$Q$14:$Q$1213,"&gt;"&amp;$Q982)+(COUNTIFS($A$14:$A$1213,$A982,$Q$14:$Q$1213,"="&amp;$Q982)+1)/2,"")</f>
        <v/>
      </c>
      <c r="AE982" s="27">
        <f>IF(ISNUMBER($R982),COUNTIFS($A$14:$A$1213,$A982,$R$14:$R$1213,"&gt;"&amp;$R982)+(COUNTIFS($A$14:$A$1213,$A982,$R$14:$R$1213,"="&amp;$R982)+1)/2,"")</f>
        <v/>
      </c>
      <c r="AF982" s="27">
        <f>IF(ISNUMBER($S982),COUNTIFS($A$14:$A$1213,$A982,$S$14:$S$1213,"&gt;"&amp;$S982)+(COUNTIFS($A$14:$A$1213,$A982,$S$14:$S$1213,"="&amp;$S982)+1)/2,"")</f>
        <v/>
      </c>
      <c r="AG982" s="27">
        <f>IF(ISNUMBER($T982),COUNTIFS($A$14:$A$1213,$A982,$T$14:$T$1213,"&gt;"&amp;$T982)+(COUNTIFS($A$14:$A$1213,$A982,$T$14:$T$1213,"="&amp;$T982)+1)/2,"")</f>
        <v/>
      </c>
      <c r="AH982" s="27">
        <f>IF(COUNT($AC982:$AG982)&lt;2,"",IF(MAX($AC982:$AG982)=MIN($AC982:$AG982),0,1))</f>
        <v/>
      </c>
      <c r="AI982" s="27">
        <f>IF($A982="","",IF(COUNTIF($A$14:$A982,$A982)=1,COUNTIF($AI$13:AI981,"&gt;0")+1,""))</f>
        <v/>
      </c>
      <c r="AO982" s="27">
        <f>IF($A982="","",IF(AND(COUNTIFS($A$14:$A$1213,$A982,$F$14:$F$1213,"&gt;=0")=2,IFERROR(INDEX($M$14:$M$313,MATCH($A982,$H$14:$H$313,0)),"Yes")&lt;&gt;"Yes"),1,0))</f>
        <v/>
      </c>
    </row>
    <row r="983">
      <c r="A983" s="19">
        <f>IF('Enter messages'!A983="","",'Enter messages'!A983)</f>
        <v/>
      </c>
      <c r="B983" s="20">
        <f>IF('Enter messages'!B983="","",'Enter messages'!B983)</f>
        <v/>
      </c>
      <c r="C983" s="21">
        <f>IFERROR(AVERAGE(P983:T983),"")</f>
        <v/>
      </c>
      <c r="D983" s="29" t="n"/>
      <c r="E983" s="29" t="n"/>
      <c r="F983" s="30">
        <f>IF(AND(ISNUMBER($D983),ISNUMBER($E983),$E983&gt;0,$D983&lt;=$E983),$D983/$E983,"")</f>
        <v/>
      </c>
      <c r="P983" s="26" t="n"/>
      <c r="Q983" s="26" t="n"/>
      <c r="R983" s="26" t="n"/>
      <c r="S983" s="26" t="n"/>
      <c r="T983" s="26" t="n"/>
      <c r="V983" s="27">
        <f>IF(ISNUMBER($C983),COUNTIFS($A$14:$A$1213,$A983,$C$14:$C$1213,"&gt;"&amp;$C983)+(COUNTIFS($A$14:$A$1213,$A983,$C$14:$C$1213,"="&amp;$C983)+1)/2,"")</f>
        <v/>
      </c>
      <c r="W983" s="27">
        <f>IF(ISNUMBER($F983),COUNTIFS($A$14:$A$1213,$A983,$F$14:$F$1213,"&gt;"&amp;$F983)+(COUNTIFS($A$14:$A$1213,$A983,$F$14:$F$1213,"="&amp;$F983)+1)/2,"")</f>
        <v/>
      </c>
      <c r="X983" s="27">
        <f>IF(OR(NOT(ISNUMBER($V983)),$AO983=1),"",$V983-(COUNTIFS($A$14:$A$1213,$A983,$C$14:$C$1213,"&gt;=0")+1)/2)</f>
        <v/>
      </c>
      <c r="Y983" s="27">
        <f>IF(OR(NOT(ISNUMBER($W983)),$AO983=1),"",$W983-(COUNTIFS($A$14:$A$1213,$A983,$F$14:$F$1213,"&gt;=0")+1)/2)</f>
        <v/>
      </c>
      <c r="Z983" s="27">
        <f>IF(ISNUMBER($V983),$A983&amp;"|"&amp;$V983,"")</f>
        <v/>
      </c>
      <c r="AA983" s="27">
        <f>IF(ISNUMBER($W983),$A983&amp;"|"&amp;$W983,"")</f>
        <v/>
      </c>
      <c r="AB983" s="27">
        <f>IF(ISNUMBER($F983),$A983&amp;"|"&amp;$F983,"")</f>
        <v/>
      </c>
      <c r="AC983" s="27">
        <f>IF(ISNUMBER($P983),COUNTIFS($A$14:$A$1213,$A983,$P$14:$P$1213,"&gt;"&amp;$P983)+(COUNTIFS($A$14:$A$1213,$A983,$P$14:$P$1213,"="&amp;$P983)+1)/2,"")</f>
        <v/>
      </c>
      <c r="AD983" s="27">
        <f>IF(ISNUMBER($Q983),COUNTIFS($A$14:$A$1213,$A983,$Q$14:$Q$1213,"&gt;"&amp;$Q983)+(COUNTIFS($A$14:$A$1213,$A983,$Q$14:$Q$1213,"="&amp;$Q983)+1)/2,"")</f>
        <v/>
      </c>
      <c r="AE983" s="27">
        <f>IF(ISNUMBER($R983),COUNTIFS($A$14:$A$1213,$A983,$R$14:$R$1213,"&gt;"&amp;$R983)+(COUNTIFS($A$14:$A$1213,$A983,$R$14:$R$1213,"="&amp;$R983)+1)/2,"")</f>
        <v/>
      </c>
      <c r="AF983" s="27">
        <f>IF(ISNUMBER($S983),COUNTIFS($A$14:$A$1213,$A983,$S$14:$S$1213,"&gt;"&amp;$S983)+(COUNTIFS($A$14:$A$1213,$A983,$S$14:$S$1213,"="&amp;$S983)+1)/2,"")</f>
        <v/>
      </c>
      <c r="AG983" s="27">
        <f>IF(ISNUMBER($T983),COUNTIFS($A$14:$A$1213,$A983,$T$14:$T$1213,"&gt;"&amp;$T983)+(COUNTIFS($A$14:$A$1213,$A983,$T$14:$T$1213,"="&amp;$T983)+1)/2,"")</f>
        <v/>
      </c>
      <c r="AH983" s="27">
        <f>IF(COUNT($AC983:$AG983)&lt;2,"",IF(MAX($AC983:$AG983)=MIN($AC983:$AG983),0,1))</f>
        <v/>
      </c>
      <c r="AI983" s="27">
        <f>IF($A983="","",IF(COUNTIF($A$14:$A983,$A983)=1,COUNTIF($AI$13:AI982,"&gt;0")+1,""))</f>
        <v/>
      </c>
      <c r="AO983" s="27">
        <f>IF($A983="","",IF(AND(COUNTIFS($A$14:$A$1213,$A983,$F$14:$F$1213,"&gt;=0")=2,IFERROR(INDEX($M$14:$M$313,MATCH($A983,$H$14:$H$313,0)),"Yes")&lt;&gt;"Yes"),1,0))</f>
        <v/>
      </c>
    </row>
    <row r="984">
      <c r="A984" s="19">
        <f>IF('Enter messages'!A984="","",'Enter messages'!A984)</f>
        <v/>
      </c>
      <c r="B984" s="20">
        <f>IF('Enter messages'!B984="","",'Enter messages'!B984)</f>
        <v/>
      </c>
      <c r="C984" s="21">
        <f>IFERROR(AVERAGE(P984:T984),"")</f>
        <v/>
      </c>
      <c r="D984" s="29" t="n"/>
      <c r="E984" s="29" t="n"/>
      <c r="F984" s="30">
        <f>IF(AND(ISNUMBER($D984),ISNUMBER($E984),$E984&gt;0,$D984&lt;=$E984),$D984/$E984,"")</f>
        <v/>
      </c>
      <c r="P984" s="26" t="n"/>
      <c r="Q984" s="26" t="n"/>
      <c r="R984" s="26" t="n"/>
      <c r="S984" s="26" t="n"/>
      <c r="T984" s="26" t="n"/>
      <c r="V984" s="27">
        <f>IF(ISNUMBER($C984),COUNTIFS($A$14:$A$1213,$A984,$C$14:$C$1213,"&gt;"&amp;$C984)+(COUNTIFS($A$14:$A$1213,$A984,$C$14:$C$1213,"="&amp;$C984)+1)/2,"")</f>
        <v/>
      </c>
      <c r="W984" s="27">
        <f>IF(ISNUMBER($F984),COUNTIFS($A$14:$A$1213,$A984,$F$14:$F$1213,"&gt;"&amp;$F984)+(COUNTIFS($A$14:$A$1213,$A984,$F$14:$F$1213,"="&amp;$F984)+1)/2,"")</f>
        <v/>
      </c>
      <c r="X984" s="27">
        <f>IF(OR(NOT(ISNUMBER($V984)),$AO984=1),"",$V984-(COUNTIFS($A$14:$A$1213,$A984,$C$14:$C$1213,"&gt;=0")+1)/2)</f>
        <v/>
      </c>
      <c r="Y984" s="27">
        <f>IF(OR(NOT(ISNUMBER($W984)),$AO984=1),"",$W984-(COUNTIFS($A$14:$A$1213,$A984,$F$14:$F$1213,"&gt;=0")+1)/2)</f>
        <v/>
      </c>
      <c r="Z984" s="27">
        <f>IF(ISNUMBER($V984),$A984&amp;"|"&amp;$V984,"")</f>
        <v/>
      </c>
      <c r="AA984" s="27">
        <f>IF(ISNUMBER($W984),$A984&amp;"|"&amp;$W984,"")</f>
        <v/>
      </c>
      <c r="AB984" s="27">
        <f>IF(ISNUMBER($F984),$A984&amp;"|"&amp;$F984,"")</f>
        <v/>
      </c>
      <c r="AC984" s="27">
        <f>IF(ISNUMBER($P984),COUNTIFS($A$14:$A$1213,$A984,$P$14:$P$1213,"&gt;"&amp;$P984)+(COUNTIFS($A$14:$A$1213,$A984,$P$14:$P$1213,"="&amp;$P984)+1)/2,"")</f>
        <v/>
      </c>
      <c r="AD984" s="27">
        <f>IF(ISNUMBER($Q984),COUNTIFS($A$14:$A$1213,$A984,$Q$14:$Q$1213,"&gt;"&amp;$Q984)+(COUNTIFS($A$14:$A$1213,$A984,$Q$14:$Q$1213,"="&amp;$Q984)+1)/2,"")</f>
        <v/>
      </c>
      <c r="AE984" s="27">
        <f>IF(ISNUMBER($R984),COUNTIFS($A$14:$A$1213,$A984,$R$14:$R$1213,"&gt;"&amp;$R984)+(COUNTIFS($A$14:$A$1213,$A984,$R$14:$R$1213,"="&amp;$R984)+1)/2,"")</f>
        <v/>
      </c>
      <c r="AF984" s="27">
        <f>IF(ISNUMBER($S984),COUNTIFS($A$14:$A$1213,$A984,$S$14:$S$1213,"&gt;"&amp;$S984)+(COUNTIFS($A$14:$A$1213,$A984,$S$14:$S$1213,"="&amp;$S984)+1)/2,"")</f>
        <v/>
      </c>
      <c r="AG984" s="27">
        <f>IF(ISNUMBER($T984),COUNTIFS($A$14:$A$1213,$A984,$T$14:$T$1213,"&gt;"&amp;$T984)+(COUNTIFS($A$14:$A$1213,$A984,$T$14:$T$1213,"="&amp;$T984)+1)/2,"")</f>
        <v/>
      </c>
      <c r="AH984" s="27">
        <f>IF(COUNT($AC984:$AG984)&lt;2,"",IF(MAX($AC984:$AG984)=MIN($AC984:$AG984),0,1))</f>
        <v/>
      </c>
      <c r="AI984" s="27">
        <f>IF($A984="","",IF(COUNTIF($A$14:$A984,$A984)=1,COUNTIF($AI$13:AI983,"&gt;0")+1,""))</f>
        <v/>
      </c>
      <c r="AO984" s="27">
        <f>IF($A984="","",IF(AND(COUNTIFS($A$14:$A$1213,$A984,$F$14:$F$1213,"&gt;=0")=2,IFERROR(INDEX($M$14:$M$313,MATCH($A984,$H$14:$H$313,0)),"Yes")&lt;&gt;"Yes"),1,0))</f>
        <v/>
      </c>
    </row>
    <row r="985">
      <c r="A985" s="19">
        <f>IF('Enter messages'!A985="","",'Enter messages'!A985)</f>
        <v/>
      </c>
      <c r="B985" s="20">
        <f>IF('Enter messages'!B985="","",'Enter messages'!B985)</f>
        <v/>
      </c>
      <c r="C985" s="21">
        <f>IFERROR(AVERAGE(P985:T985),"")</f>
        <v/>
      </c>
      <c r="D985" s="29" t="n"/>
      <c r="E985" s="29" t="n"/>
      <c r="F985" s="30">
        <f>IF(AND(ISNUMBER($D985),ISNUMBER($E985),$E985&gt;0,$D985&lt;=$E985),$D985/$E985,"")</f>
        <v/>
      </c>
      <c r="P985" s="26" t="n"/>
      <c r="Q985" s="26" t="n"/>
      <c r="R985" s="26" t="n"/>
      <c r="S985" s="26" t="n"/>
      <c r="T985" s="26" t="n"/>
      <c r="V985" s="27">
        <f>IF(ISNUMBER($C985),COUNTIFS($A$14:$A$1213,$A985,$C$14:$C$1213,"&gt;"&amp;$C985)+(COUNTIFS($A$14:$A$1213,$A985,$C$14:$C$1213,"="&amp;$C985)+1)/2,"")</f>
        <v/>
      </c>
      <c r="W985" s="27">
        <f>IF(ISNUMBER($F985),COUNTIFS($A$14:$A$1213,$A985,$F$14:$F$1213,"&gt;"&amp;$F985)+(COUNTIFS($A$14:$A$1213,$A985,$F$14:$F$1213,"="&amp;$F985)+1)/2,"")</f>
        <v/>
      </c>
      <c r="X985" s="27">
        <f>IF(OR(NOT(ISNUMBER($V985)),$AO985=1),"",$V985-(COUNTIFS($A$14:$A$1213,$A985,$C$14:$C$1213,"&gt;=0")+1)/2)</f>
        <v/>
      </c>
      <c r="Y985" s="27">
        <f>IF(OR(NOT(ISNUMBER($W985)),$AO985=1),"",$W985-(COUNTIFS($A$14:$A$1213,$A985,$F$14:$F$1213,"&gt;=0")+1)/2)</f>
        <v/>
      </c>
      <c r="Z985" s="27">
        <f>IF(ISNUMBER($V985),$A985&amp;"|"&amp;$V985,"")</f>
        <v/>
      </c>
      <c r="AA985" s="27">
        <f>IF(ISNUMBER($W985),$A985&amp;"|"&amp;$W985,"")</f>
        <v/>
      </c>
      <c r="AB985" s="27">
        <f>IF(ISNUMBER($F985),$A985&amp;"|"&amp;$F985,"")</f>
        <v/>
      </c>
      <c r="AC985" s="27">
        <f>IF(ISNUMBER($P985),COUNTIFS($A$14:$A$1213,$A985,$P$14:$P$1213,"&gt;"&amp;$P985)+(COUNTIFS($A$14:$A$1213,$A985,$P$14:$P$1213,"="&amp;$P985)+1)/2,"")</f>
        <v/>
      </c>
      <c r="AD985" s="27">
        <f>IF(ISNUMBER($Q985),COUNTIFS($A$14:$A$1213,$A985,$Q$14:$Q$1213,"&gt;"&amp;$Q985)+(COUNTIFS($A$14:$A$1213,$A985,$Q$14:$Q$1213,"="&amp;$Q985)+1)/2,"")</f>
        <v/>
      </c>
      <c r="AE985" s="27">
        <f>IF(ISNUMBER($R985),COUNTIFS($A$14:$A$1213,$A985,$R$14:$R$1213,"&gt;"&amp;$R985)+(COUNTIFS($A$14:$A$1213,$A985,$R$14:$R$1213,"="&amp;$R985)+1)/2,"")</f>
        <v/>
      </c>
      <c r="AF985" s="27">
        <f>IF(ISNUMBER($S985),COUNTIFS($A$14:$A$1213,$A985,$S$14:$S$1213,"&gt;"&amp;$S985)+(COUNTIFS($A$14:$A$1213,$A985,$S$14:$S$1213,"="&amp;$S985)+1)/2,"")</f>
        <v/>
      </c>
      <c r="AG985" s="27">
        <f>IF(ISNUMBER($T985),COUNTIFS($A$14:$A$1213,$A985,$T$14:$T$1213,"&gt;"&amp;$T985)+(COUNTIFS($A$14:$A$1213,$A985,$T$14:$T$1213,"="&amp;$T985)+1)/2,"")</f>
        <v/>
      </c>
      <c r="AH985" s="27">
        <f>IF(COUNT($AC985:$AG985)&lt;2,"",IF(MAX($AC985:$AG985)=MIN($AC985:$AG985),0,1))</f>
        <v/>
      </c>
      <c r="AI985" s="27">
        <f>IF($A985="","",IF(COUNTIF($A$14:$A985,$A985)=1,COUNTIF($AI$13:AI984,"&gt;0")+1,""))</f>
        <v/>
      </c>
      <c r="AO985" s="27">
        <f>IF($A985="","",IF(AND(COUNTIFS($A$14:$A$1213,$A985,$F$14:$F$1213,"&gt;=0")=2,IFERROR(INDEX($M$14:$M$313,MATCH($A985,$H$14:$H$313,0)),"Yes")&lt;&gt;"Yes"),1,0))</f>
        <v/>
      </c>
    </row>
    <row r="986">
      <c r="A986" s="19">
        <f>IF('Enter messages'!A986="","",'Enter messages'!A986)</f>
        <v/>
      </c>
      <c r="B986" s="20">
        <f>IF('Enter messages'!B986="","",'Enter messages'!B986)</f>
        <v/>
      </c>
      <c r="C986" s="21">
        <f>IFERROR(AVERAGE(P986:T986),"")</f>
        <v/>
      </c>
      <c r="D986" s="29" t="n"/>
      <c r="E986" s="29" t="n"/>
      <c r="F986" s="30">
        <f>IF(AND(ISNUMBER($D986),ISNUMBER($E986),$E986&gt;0,$D986&lt;=$E986),$D986/$E986,"")</f>
        <v/>
      </c>
      <c r="P986" s="26" t="n"/>
      <c r="Q986" s="26" t="n"/>
      <c r="R986" s="26" t="n"/>
      <c r="S986" s="26" t="n"/>
      <c r="T986" s="26" t="n"/>
      <c r="V986" s="27">
        <f>IF(ISNUMBER($C986),COUNTIFS($A$14:$A$1213,$A986,$C$14:$C$1213,"&gt;"&amp;$C986)+(COUNTIFS($A$14:$A$1213,$A986,$C$14:$C$1213,"="&amp;$C986)+1)/2,"")</f>
        <v/>
      </c>
      <c r="W986" s="27">
        <f>IF(ISNUMBER($F986),COUNTIFS($A$14:$A$1213,$A986,$F$14:$F$1213,"&gt;"&amp;$F986)+(COUNTIFS($A$14:$A$1213,$A986,$F$14:$F$1213,"="&amp;$F986)+1)/2,"")</f>
        <v/>
      </c>
      <c r="X986" s="27">
        <f>IF(OR(NOT(ISNUMBER($V986)),$AO986=1),"",$V986-(COUNTIFS($A$14:$A$1213,$A986,$C$14:$C$1213,"&gt;=0")+1)/2)</f>
        <v/>
      </c>
      <c r="Y986" s="27">
        <f>IF(OR(NOT(ISNUMBER($W986)),$AO986=1),"",$W986-(COUNTIFS($A$14:$A$1213,$A986,$F$14:$F$1213,"&gt;=0")+1)/2)</f>
        <v/>
      </c>
      <c r="Z986" s="27">
        <f>IF(ISNUMBER($V986),$A986&amp;"|"&amp;$V986,"")</f>
        <v/>
      </c>
      <c r="AA986" s="27">
        <f>IF(ISNUMBER($W986),$A986&amp;"|"&amp;$W986,"")</f>
        <v/>
      </c>
      <c r="AB986" s="27">
        <f>IF(ISNUMBER($F986),$A986&amp;"|"&amp;$F986,"")</f>
        <v/>
      </c>
      <c r="AC986" s="27">
        <f>IF(ISNUMBER($P986),COUNTIFS($A$14:$A$1213,$A986,$P$14:$P$1213,"&gt;"&amp;$P986)+(COUNTIFS($A$14:$A$1213,$A986,$P$14:$P$1213,"="&amp;$P986)+1)/2,"")</f>
        <v/>
      </c>
      <c r="AD986" s="27">
        <f>IF(ISNUMBER($Q986),COUNTIFS($A$14:$A$1213,$A986,$Q$14:$Q$1213,"&gt;"&amp;$Q986)+(COUNTIFS($A$14:$A$1213,$A986,$Q$14:$Q$1213,"="&amp;$Q986)+1)/2,"")</f>
        <v/>
      </c>
      <c r="AE986" s="27">
        <f>IF(ISNUMBER($R986),COUNTIFS($A$14:$A$1213,$A986,$R$14:$R$1213,"&gt;"&amp;$R986)+(COUNTIFS($A$14:$A$1213,$A986,$R$14:$R$1213,"="&amp;$R986)+1)/2,"")</f>
        <v/>
      </c>
      <c r="AF986" s="27">
        <f>IF(ISNUMBER($S986),COUNTIFS($A$14:$A$1213,$A986,$S$14:$S$1213,"&gt;"&amp;$S986)+(COUNTIFS($A$14:$A$1213,$A986,$S$14:$S$1213,"="&amp;$S986)+1)/2,"")</f>
        <v/>
      </c>
      <c r="AG986" s="27">
        <f>IF(ISNUMBER($T986),COUNTIFS($A$14:$A$1213,$A986,$T$14:$T$1213,"&gt;"&amp;$T986)+(COUNTIFS($A$14:$A$1213,$A986,$T$14:$T$1213,"="&amp;$T986)+1)/2,"")</f>
        <v/>
      </c>
      <c r="AH986" s="27">
        <f>IF(COUNT($AC986:$AG986)&lt;2,"",IF(MAX($AC986:$AG986)=MIN($AC986:$AG986),0,1))</f>
        <v/>
      </c>
      <c r="AI986" s="27">
        <f>IF($A986="","",IF(COUNTIF($A$14:$A986,$A986)=1,COUNTIF($AI$13:AI985,"&gt;0")+1,""))</f>
        <v/>
      </c>
      <c r="AO986" s="27">
        <f>IF($A986="","",IF(AND(COUNTIFS($A$14:$A$1213,$A986,$F$14:$F$1213,"&gt;=0")=2,IFERROR(INDEX($M$14:$M$313,MATCH($A986,$H$14:$H$313,0)),"Yes")&lt;&gt;"Yes"),1,0))</f>
        <v/>
      </c>
    </row>
    <row r="987">
      <c r="A987" s="19">
        <f>IF('Enter messages'!A987="","",'Enter messages'!A987)</f>
        <v/>
      </c>
      <c r="B987" s="20">
        <f>IF('Enter messages'!B987="","",'Enter messages'!B987)</f>
        <v/>
      </c>
      <c r="C987" s="21">
        <f>IFERROR(AVERAGE(P987:T987),"")</f>
        <v/>
      </c>
      <c r="D987" s="29" t="n"/>
      <c r="E987" s="29" t="n"/>
      <c r="F987" s="30">
        <f>IF(AND(ISNUMBER($D987),ISNUMBER($E987),$E987&gt;0,$D987&lt;=$E987),$D987/$E987,"")</f>
        <v/>
      </c>
      <c r="P987" s="26" t="n"/>
      <c r="Q987" s="26" t="n"/>
      <c r="R987" s="26" t="n"/>
      <c r="S987" s="26" t="n"/>
      <c r="T987" s="26" t="n"/>
      <c r="V987" s="27">
        <f>IF(ISNUMBER($C987),COUNTIFS($A$14:$A$1213,$A987,$C$14:$C$1213,"&gt;"&amp;$C987)+(COUNTIFS($A$14:$A$1213,$A987,$C$14:$C$1213,"="&amp;$C987)+1)/2,"")</f>
        <v/>
      </c>
      <c r="W987" s="27">
        <f>IF(ISNUMBER($F987),COUNTIFS($A$14:$A$1213,$A987,$F$14:$F$1213,"&gt;"&amp;$F987)+(COUNTIFS($A$14:$A$1213,$A987,$F$14:$F$1213,"="&amp;$F987)+1)/2,"")</f>
        <v/>
      </c>
      <c r="X987" s="27">
        <f>IF(OR(NOT(ISNUMBER($V987)),$AO987=1),"",$V987-(COUNTIFS($A$14:$A$1213,$A987,$C$14:$C$1213,"&gt;=0")+1)/2)</f>
        <v/>
      </c>
      <c r="Y987" s="27">
        <f>IF(OR(NOT(ISNUMBER($W987)),$AO987=1),"",$W987-(COUNTIFS($A$14:$A$1213,$A987,$F$14:$F$1213,"&gt;=0")+1)/2)</f>
        <v/>
      </c>
      <c r="Z987" s="27">
        <f>IF(ISNUMBER($V987),$A987&amp;"|"&amp;$V987,"")</f>
        <v/>
      </c>
      <c r="AA987" s="27">
        <f>IF(ISNUMBER($W987),$A987&amp;"|"&amp;$W987,"")</f>
        <v/>
      </c>
      <c r="AB987" s="27">
        <f>IF(ISNUMBER($F987),$A987&amp;"|"&amp;$F987,"")</f>
        <v/>
      </c>
      <c r="AC987" s="27">
        <f>IF(ISNUMBER($P987),COUNTIFS($A$14:$A$1213,$A987,$P$14:$P$1213,"&gt;"&amp;$P987)+(COUNTIFS($A$14:$A$1213,$A987,$P$14:$P$1213,"="&amp;$P987)+1)/2,"")</f>
        <v/>
      </c>
      <c r="AD987" s="27">
        <f>IF(ISNUMBER($Q987),COUNTIFS($A$14:$A$1213,$A987,$Q$14:$Q$1213,"&gt;"&amp;$Q987)+(COUNTIFS($A$14:$A$1213,$A987,$Q$14:$Q$1213,"="&amp;$Q987)+1)/2,"")</f>
        <v/>
      </c>
      <c r="AE987" s="27">
        <f>IF(ISNUMBER($R987),COUNTIFS($A$14:$A$1213,$A987,$R$14:$R$1213,"&gt;"&amp;$R987)+(COUNTIFS($A$14:$A$1213,$A987,$R$14:$R$1213,"="&amp;$R987)+1)/2,"")</f>
        <v/>
      </c>
      <c r="AF987" s="27">
        <f>IF(ISNUMBER($S987),COUNTIFS($A$14:$A$1213,$A987,$S$14:$S$1213,"&gt;"&amp;$S987)+(COUNTIFS($A$14:$A$1213,$A987,$S$14:$S$1213,"="&amp;$S987)+1)/2,"")</f>
        <v/>
      </c>
      <c r="AG987" s="27">
        <f>IF(ISNUMBER($T987),COUNTIFS($A$14:$A$1213,$A987,$T$14:$T$1213,"&gt;"&amp;$T987)+(COUNTIFS($A$14:$A$1213,$A987,$T$14:$T$1213,"="&amp;$T987)+1)/2,"")</f>
        <v/>
      </c>
      <c r="AH987" s="27">
        <f>IF(COUNT($AC987:$AG987)&lt;2,"",IF(MAX($AC987:$AG987)=MIN($AC987:$AG987),0,1))</f>
        <v/>
      </c>
      <c r="AI987" s="27">
        <f>IF($A987="","",IF(COUNTIF($A$14:$A987,$A987)=1,COUNTIF($AI$13:AI986,"&gt;0")+1,""))</f>
        <v/>
      </c>
      <c r="AO987" s="27">
        <f>IF($A987="","",IF(AND(COUNTIFS($A$14:$A$1213,$A987,$F$14:$F$1213,"&gt;=0")=2,IFERROR(INDEX($M$14:$M$313,MATCH($A987,$H$14:$H$313,0)),"Yes")&lt;&gt;"Yes"),1,0))</f>
        <v/>
      </c>
    </row>
    <row r="988">
      <c r="A988" s="19">
        <f>IF('Enter messages'!A988="","",'Enter messages'!A988)</f>
        <v/>
      </c>
      <c r="B988" s="20">
        <f>IF('Enter messages'!B988="","",'Enter messages'!B988)</f>
        <v/>
      </c>
      <c r="C988" s="21">
        <f>IFERROR(AVERAGE(P988:T988),"")</f>
        <v/>
      </c>
      <c r="D988" s="29" t="n"/>
      <c r="E988" s="29" t="n"/>
      <c r="F988" s="30">
        <f>IF(AND(ISNUMBER($D988),ISNUMBER($E988),$E988&gt;0,$D988&lt;=$E988),$D988/$E988,"")</f>
        <v/>
      </c>
      <c r="P988" s="26" t="n"/>
      <c r="Q988" s="26" t="n"/>
      <c r="R988" s="26" t="n"/>
      <c r="S988" s="26" t="n"/>
      <c r="T988" s="26" t="n"/>
      <c r="V988" s="27">
        <f>IF(ISNUMBER($C988),COUNTIFS($A$14:$A$1213,$A988,$C$14:$C$1213,"&gt;"&amp;$C988)+(COUNTIFS($A$14:$A$1213,$A988,$C$14:$C$1213,"="&amp;$C988)+1)/2,"")</f>
        <v/>
      </c>
      <c r="W988" s="27">
        <f>IF(ISNUMBER($F988),COUNTIFS($A$14:$A$1213,$A988,$F$14:$F$1213,"&gt;"&amp;$F988)+(COUNTIFS($A$14:$A$1213,$A988,$F$14:$F$1213,"="&amp;$F988)+1)/2,"")</f>
        <v/>
      </c>
      <c r="X988" s="27">
        <f>IF(OR(NOT(ISNUMBER($V988)),$AO988=1),"",$V988-(COUNTIFS($A$14:$A$1213,$A988,$C$14:$C$1213,"&gt;=0")+1)/2)</f>
        <v/>
      </c>
      <c r="Y988" s="27">
        <f>IF(OR(NOT(ISNUMBER($W988)),$AO988=1),"",$W988-(COUNTIFS($A$14:$A$1213,$A988,$F$14:$F$1213,"&gt;=0")+1)/2)</f>
        <v/>
      </c>
      <c r="Z988" s="27">
        <f>IF(ISNUMBER($V988),$A988&amp;"|"&amp;$V988,"")</f>
        <v/>
      </c>
      <c r="AA988" s="27">
        <f>IF(ISNUMBER($W988),$A988&amp;"|"&amp;$W988,"")</f>
        <v/>
      </c>
      <c r="AB988" s="27">
        <f>IF(ISNUMBER($F988),$A988&amp;"|"&amp;$F988,"")</f>
        <v/>
      </c>
      <c r="AC988" s="27">
        <f>IF(ISNUMBER($P988),COUNTIFS($A$14:$A$1213,$A988,$P$14:$P$1213,"&gt;"&amp;$P988)+(COUNTIFS($A$14:$A$1213,$A988,$P$14:$P$1213,"="&amp;$P988)+1)/2,"")</f>
        <v/>
      </c>
      <c r="AD988" s="27">
        <f>IF(ISNUMBER($Q988),COUNTIFS($A$14:$A$1213,$A988,$Q$14:$Q$1213,"&gt;"&amp;$Q988)+(COUNTIFS($A$14:$A$1213,$A988,$Q$14:$Q$1213,"="&amp;$Q988)+1)/2,"")</f>
        <v/>
      </c>
      <c r="AE988" s="27">
        <f>IF(ISNUMBER($R988),COUNTIFS($A$14:$A$1213,$A988,$R$14:$R$1213,"&gt;"&amp;$R988)+(COUNTIFS($A$14:$A$1213,$A988,$R$14:$R$1213,"="&amp;$R988)+1)/2,"")</f>
        <v/>
      </c>
      <c r="AF988" s="27">
        <f>IF(ISNUMBER($S988),COUNTIFS($A$14:$A$1213,$A988,$S$14:$S$1213,"&gt;"&amp;$S988)+(COUNTIFS($A$14:$A$1213,$A988,$S$14:$S$1213,"="&amp;$S988)+1)/2,"")</f>
        <v/>
      </c>
      <c r="AG988" s="27">
        <f>IF(ISNUMBER($T988),COUNTIFS($A$14:$A$1213,$A988,$T$14:$T$1213,"&gt;"&amp;$T988)+(COUNTIFS($A$14:$A$1213,$A988,$T$14:$T$1213,"="&amp;$T988)+1)/2,"")</f>
        <v/>
      </c>
      <c r="AH988" s="27">
        <f>IF(COUNT($AC988:$AG988)&lt;2,"",IF(MAX($AC988:$AG988)=MIN($AC988:$AG988),0,1))</f>
        <v/>
      </c>
      <c r="AI988" s="27">
        <f>IF($A988="","",IF(COUNTIF($A$14:$A988,$A988)=1,COUNTIF($AI$13:AI987,"&gt;0")+1,""))</f>
        <v/>
      </c>
      <c r="AO988" s="27">
        <f>IF($A988="","",IF(AND(COUNTIFS($A$14:$A$1213,$A988,$F$14:$F$1213,"&gt;=0")=2,IFERROR(INDEX($M$14:$M$313,MATCH($A988,$H$14:$H$313,0)),"Yes")&lt;&gt;"Yes"),1,0))</f>
        <v/>
      </c>
    </row>
    <row r="989">
      <c r="A989" s="19">
        <f>IF('Enter messages'!A989="","",'Enter messages'!A989)</f>
        <v/>
      </c>
      <c r="B989" s="20">
        <f>IF('Enter messages'!B989="","",'Enter messages'!B989)</f>
        <v/>
      </c>
      <c r="C989" s="21">
        <f>IFERROR(AVERAGE(P989:T989),"")</f>
        <v/>
      </c>
      <c r="D989" s="29" t="n"/>
      <c r="E989" s="29" t="n"/>
      <c r="F989" s="30">
        <f>IF(AND(ISNUMBER($D989),ISNUMBER($E989),$E989&gt;0,$D989&lt;=$E989),$D989/$E989,"")</f>
        <v/>
      </c>
      <c r="P989" s="26" t="n"/>
      <c r="Q989" s="26" t="n"/>
      <c r="R989" s="26" t="n"/>
      <c r="S989" s="26" t="n"/>
      <c r="T989" s="26" t="n"/>
      <c r="V989" s="27">
        <f>IF(ISNUMBER($C989),COUNTIFS($A$14:$A$1213,$A989,$C$14:$C$1213,"&gt;"&amp;$C989)+(COUNTIFS($A$14:$A$1213,$A989,$C$14:$C$1213,"="&amp;$C989)+1)/2,"")</f>
        <v/>
      </c>
      <c r="W989" s="27">
        <f>IF(ISNUMBER($F989),COUNTIFS($A$14:$A$1213,$A989,$F$14:$F$1213,"&gt;"&amp;$F989)+(COUNTIFS($A$14:$A$1213,$A989,$F$14:$F$1213,"="&amp;$F989)+1)/2,"")</f>
        <v/>
      </c>
      <c r="X989" s="27">
        <f>IF(OR(NOT(ISNUMBER($V989)),$AO989=1),"",$V989-(COUNTIFS($A$14:$A$1213,$A989,$C$14:$C$1213,"&gt;=0")+1)/2)</f>
        <v/>
      </c>
      <c r="Y989" s="27">
        <f>IF(OR(NOT(ISNUMBER($W989)),$AO989=1),"",$W989-(COUNTIFS($A$14:$A$1213,$A989,$F$14:$F$1213,"&gt;=0")+1)/2)</f>
        <v/>
      </c>
      <c r="Z989" s="27">
        <f>IF(ISNUMBER($V989),$A989&amp;"|"&amp;$V989,"")</f>
        <v/>
      </c>
      <c r="AA989" s="27">
        <f>IF(ISNUMBER($W989),$A989&amp;"|"&amp;$W989,"")</f>
        <v/>
      </c>
      <c r="AB989" s="27">
        <f>IF(ISNUMBER($F989),$A989&amp;"|"&amp;$F989,"")</f>
        <v/>
      </c>
      <c r="AC989" s="27">
        <f>IF(ISNUMBER($P989),COUNTIFS($A$14:$A$1213,$A989,$P$14:$P$1213,"&gt;"&amp;$P989)+(COUNTIFS($A$14:$A$1213,$A989,$P$14:$P$1213,"="&amp;$P989)+1)/2,"")</f>
        <v/>
      </c>
      <c r="AD989" s="27">
        <f>IF(ISNUMBER($Q989),COUNTIFS($A$14:$A$1213,$A989,$Q$14:$Q$1213,"&gt;"&amp;$Q989)+(COUNTIFS($A$14:$A$1213,$A989,$Q$14:$Q$1213,"="&amp;$Q989)+1)/2,"")</f>
        <v/>
      </c>
      <c r="AE989" s="27">
        <f>IF(ISNUMBER($R989),COUNTIFS($A$14:$A$1213,$A989,$R$14:$R$1213,"&gt;"&amp;$R989)+(COUNTIFS($A$14:$A$1213,$A989,$R$14:$R$1213,"="&amp;$R989)+1)/2,"")</f>
        <v/>
      </c>
      <c r="AF989" s="27">
        <f>IF(ISNUMBER($S989),COUNTIFS($A$14:$A$1213,$A989,$S$14:$S$1213,"&gt;"&amp;$S989)+(COUNTIFS($A$14:$A$1213,$A989,$S$14:$S$1213,"="&amp;$S989)+1)/2,"")</f>
        <v/>
      </c>
      <c r="AG989" s="27">
        <f>IF(ISNUMBER($T989),COUNTIFS($A$14:$A$1213,$A989,$T$14:$T$1213,"&gt;"&amp;$T989)+(COUNTIFS($A$14:$A$1213,$A989,$T$14:$T$1213,"="&amp;$T989)+1)/2,"")</f>
        <v/>
      </c>
      <c r="AH989" s="27">
        <f>IF(COUNT($AC989:$AG989)&lt;2,"",IF(MAX($AC989:$AG989)=MIN($AC989:$AG989),0,1))</f>
        <v/>
      </c>
      <c r="AI989" s="27">
        <f>IF($A989="","",IF(COUNTIF($A$14:$A989,$A989)=1,COUNTIF($AI$13:AI988,"&gt;0")+1,""))</f>
        <v/>
      </c>
      <c r="AO989" s="27">
        <f>IF($A989="","",IF(AND(COUNTIFS($A$14:$A$1213,$A989,$F$14:$F$1213,"&gt;=0")=2,IFERROR(INDEX($M$14:$M$313,MATCH($A989,$H$14:$H$313,0)),"Yes")&lt;&gt;"Yes"),1,0))</f>
        <v/>
      </c>
    </row>
    <row r="990">
      <c r="A990" s="19">
        <f>IF('Enter messages'!A990="","",'Enter messages'!A990)</f>
        <v/>
      </c>
      <c r="B990" s="20">
        <f>IF('Enter messages'!B990="","",'Enter messages'!B990)</f>
        <v/>
      </c>
      <c r="C990" s="21">
        <f>IFERROR(AVERAGE(P990:T990),"")</f>
        <v/>
      </c>
      <c r="D990" s="29" t="n"/>
      <c r="E990" s="29" t="n"/>
      <c r="F990" s="30">
        <f>IF(AND(ISNUMBER($D990),ISNUMBER($E990),$E990&gt;0,$D990&lt;=$E990),$D990/$E990,"")</f>
        <v/>
      </c>
      <c r="P990" s="26" t="n"/>
      <c r="Q990" s="26" t="n"/>
      <c r="R990" s="26" t="n"/>
      <c r="S990" s="26" t="n"/>
      <c r="T990" s="26" t="n"/>
      <c r="V990" s="27">
        <f>IF(ISNUMBER($C990),COUNTIFS($A$14:$A$1213,$A990,$C$14:$C$1213,"&gt;"&amp;$C990)+(COUNTIFS($A$14:$A$1213,$A990,$C$14:$C$1213,"="&amp;$C990)+1)/2,"")</f>
        <v/>
      </c>
      <c r="W990" s="27">
        <f>IF(ISNUMBER($F990),COUNTIFS($A$14:$A$1213,$A990,$F$14:$F$1213,"&gt;"&amp;$F990)+(COUNTIFS($A$14:$A$1213,$A990,$F$14:$F$1213,"="&amp;$F990)+1)/2,"")</f>
        <v/>
      </c>
      <c r="X990" s="27">
        <f>IF(OR(NOT(ISNUMBER($V990)),$AO990=1),"",$V990-(COUNTIFS($A$14:$A$1213,$A990,$C$14:$C$1213,"&gt;=0")+1)/2)</f>
        <v/>
      </c>
      <c r="Y990" s="27">
        <f>IF(OR(NOT(ISNUMBER($W990)),$AO990=1),"",$W990-(COUNTIFS($A$14:$A$1213,$A990,$F$14:$F$1213,"&gt;=0")+1)/2)</f>
        <v/>
      </c>
      <c r="Z990" s="27">
        <f>IF(ISNUMBER($V990),$A990&amp;"|"&amp;$V990,"")</f>
        <v/>
      </c>
      <c r="AA990" s="27">
        <f>IF(ISNUMBER($W990),$A990&amp;"|"&amp;$W990,"")</f>
        <v/>
      </c>
      <c r="AB990" s="27">
        <f>IF(ISNUMBER($F990),$A990&amp;"|"&amp;$F990,"")</f>
        <v/>
      </c>
      <c r="AC990" s="27">
        <f>IF(ISNUMBER($P990),COUNTIFS($A$14:$A$1213,$A990,$P$14:$P$1213,"&gt;"&amp;$P990)+(COUNTIFS($A$14:$A$1213,$A990,$P$14:$P$1213,"="&amp;$P990)+1)/2,"")</f>
        <v/>
      </c>
      <c r="AD990" s="27">
        <f>IF(ISNUMBER($Q990),COUNTIFS($A$14:$A$1213,$A990,$Q$14:$Q$1213,"&gt;"&amp;$Q990)+(COUNTIFS($A$14:$A$1213,$A990,$Q$14:$Q$1213,"="&amp;$Q990)+1)/2,"")</f>
        <v/>
      </c>
      <c r="AE990" s="27">
        <f>IF(ISNUMBER($R990),COUNTIFS($A$14:$A$1213,$A990,$R$14:$R$1213,"&gt;"&amp;$R990)+(COUNTIFS($A$14:$A$1213,$A990,$R$14:$R$1213,"="&amp;$R990)+1)/2,"")</f>
        <v/>
      </c>
      <c r="AF990" s="27">
        <f>IF(ISNUMBER($S990),COUNTIFS($A$14:$A$1213,$A990,$S$14:$S$1213,"&gt;"&amp;$S990)+(COUNTIFS($A$14:$A$1213,$A990,$S$14:$S$1213,"="&amp;$S990)+1)/2,"")</f>
        <v/>
      </c>
      <c r="AG990" s="27">
        <f>IF(ISNUMBER($T990),COUNTIFS($A$14:$A$1213,$A990,$T$14:$T$1213,"&gt;"&amp;$T990)+(COUNTIFS($A$14:$A$1213,$A990,$T$14:$T$1213,"="&amp;$T990)+1)/2,"")</f>
        <v/>
      </c>
      <c r="AH990" s="27">
        <f>IF(COUNT($AC990:$AG990)&lt;2,"",IF(MAX($AC990:$AG990)=MIN($AC990:$AG990),0,1))</f>
        <v/>
      </c>
      <c r="AI990" s="27">
        <f>IF($A990="","",IF(COUNTIF($A$14:$A990,$A990)=1,COUNTIF($AI$13:AI989,"&gt;0")+1,""))</f>
        <v/>
      </c>
      <c r="AO990" s="27">
        <f>IF($A990="","",IF(AND(COUNTIFS($A$14:$A$1213,$A990,$F$14:$F$1213,"&gt;=0")=2,IFERROR(INDEX($M$14:$M$313,MATCH($A990,$H$14:$H$313,0)),"Yes")&lt;&gt;"Yes"),1,0))</f>
        <v/>
      </c>
    </row>
    <row r="991">
      <c r="A991" s="19">
        <f>IF('Enter messages'!A991="","",'Enter messages'!A991)</f>
        <v/>
      </c>
      <c r="B991" s="20">
        <f>IF('Enter messages'!B991="","",'Enter messages'!B991)</f>
        <v/>
      </c>
      <c r="C991" s="21">
        <f>IFERROR(AVERAGE(P991:T991),"")</f>
        <v/>
      </c>
      <c r="D991" s="29" t="n"/>
      <c r="E991" s="29" t="n"/>
      <c r="F991" s="30">
        <f>IF(AND(ISNUMBER($D991),ISNUMBER($E991),$E991&gt;0,$D991&lt;=$E991),$D991/$E991,"")</f>
        <v/>
      </c>
      <c r="P991" s="26" t="n"/>
      <c r="Q991" s="26" t="n"/>
      <c r="R991" s="26" t="n"/>
      <c r="S991" s="26" t="n"/>
      <c r="T991" s="26" t="n"/>
      <c r="V991" s="27">
        <f>IF(ISNUMBER($C991),COUNTIFS($A$14:$A$1213,$A991,$C$14:$C$1213,"&gt;"&amp;$C991)+(COUNTIFS($A$14:$A$1213,$A991,$C$14:$C$1213,"="&amp;$C991)+1)/2,"")</f>
        <v/>
      </c>
      <c r="W991" s="27">
        <f>IF(ISNUMBER($F991),COUNTIFS($A$14:$A$1213,$A991,$F$14:$F$1213,"&gt;"&amp;$F991)+(COUNTIFS($A$14:$A$1213,$A991,$F$14:$F$1213,"="&amp;$F991)+1)/2,"")</f>
        <v/>
      </c>
      <c r="X991" s="27">
        <f>IF(OR(NOT(ISNUMBER($V991)),$AO991=1),"",$V991-(COUNTIFS($A$14:$A$1213,$A991,$C$14:$C$1213,"&gt;=0")+1)/2)</f>
        <v/>
      </c>
      <c r="Y991" s="27">
        <f>IF(OR(NOT(ISNUMBER($W991)),$AO991=1),"",$W991-(COUNTIFS($A$14:$A$1213,$A991,$F$14:$F$1213,"&gt;=0")+1)/2)</f>
        <v/>
      </c>
      <c r="Z991" s="27">
        <f>IF(ISNUMBER($V991),$A991&amp;"|"&amp;$V991,"")</f>
        <v/>
      </c>
      <c r="AA991" s="27">
        <f>IF(ISNUMBER($W991),$A991&amp;"|"&amp;$W991,"")</f>
        <v/>
      </c>
      <c r="AB991" s="27">
        <f>IF(ISNUMBER($F991),$A991&amp;"|"&amp;$F991,"")</f>
        <v/>
      </c>
      <c r="AC991" s="27">
        <f>IF(ISNUMBER($P991),COUNTIFS($A$14:$A$1213,$A991,$P$14:$P$1213,"&gt;"&amp;$P991)+(COUNTIFS($A$14:$A$1213,$A991,$P$14:$P$1213,"="&amp;$P991)+1)/2,"")</f>
        <v/>
      </c>
      <c r="AD991" s="27">
        <f>IF(ISNUMBER($Q991),COUNTIFS($A$14:$A$1213,$A991,$Q$14:$Q$1213,"&gt;"&amp;$Q991)+(COUNTIFS($A$14:$A$1213,$A991,$Q$14:$Q$1213,"="&amp;$Q991)+1)/2,"")</f>
        <v/>
      </c>
      <c r="AE991" s="27">
        <f>IF(ISNUMBER($R991),COUNTIFS($A$14:$A$1213,$A991,$R$14:$R$1213,"&gt;"&amp;$R991)+(COUNTIFS($A$14:$A$1213,$A991,$R$14:$R$1213,"="&amp;$R991)+1)/2,"")</f>
        <v/>
      </c>
      <c r="AF991" s="27">
        <f>IF(ISNUMBER($S991),COUNTIFS($A$14:$A$1213,$A991,$S$14:$S$1213,"&gt;"&amp;$S991)+(COUNTIFS($A$14:$A$1213,$A991,$S$14:$S$1213,"="&amp;$S991)+1)/2,"")</f>
        <v/>
      </c>
      <c r="AG991" s="27">
        <f>IF(ISNUMBER($T991),COUNTIFS($A$14:$A$1213,$A991,$T$14:$T$1213,"&gt;"&amp;$T991)+(COUNTIFS($A$14:$A$1213,$A991,$T$14:$T$1213,"="&amp;$T991)+1)/2,"")</f>
        <v/>
      </c>
      <c r="AH991" s="27">
        <f>IF(COUNT($AC991:$AG991)&lt;2,"",IF(MAX($AC991:$AG991)=MIN($AC991:$AG991),0,1))</f>
        <v/>
      </c>
      <c r="AI991" s="27">
        <f>IF($A991="","",IF(COUNTIF($A$14:$A991,$A991)=1,COUNTIF($AI$13:AI990,"&gt;0")+1,""))</f>
        <v/>
      </c>
      <c r="AO991" s="27">
        <f>IF($A991="","",IF(AND(COUNTIFS($A$14:$A$1213,$A991,$F$14:$F$1213,"&gt;=0")=2,IFERROR(INDEX($M$14:$M$313,MATCH($A991,$H$14:$H$313,0)),"Yes")&lt;&gt;"Yes"),1,0))</f>
        <v/>
      </c>
    </row>
    <row r="992">
      <c r="A992" s="19">
        <f>IF('Enter messages'!A992="","",'Enter messages'!A992)</f>
        <v/>
      </c>
      <c r="B992" s="20">
        <f>IF('Enter messages'!B992="","",'Enter messages'!B992)</f>
        <v/>
      </c>
      <c r="C992" s="21">
        <f>IFERROR(AVERAGE(P992:T992),"")</f>
        <v/>
      </c>
      <c r="D992" s="29" t="n"/>
      <c r="E992" s="29" t="n"/>
      <c r="F992" s="30">
        <f>IF(AND(ISNUMBER($D992),ISNUMBER($E992),$E992&gt;0,$D992&lt;=$E992),$D992/$E992,"")</f>
        <v/>
      </c>
      <c r="P992" s="26" t="n"/>
      <c r="Q992" s="26" t="n"/>
      <c r="R992" s="26" t="n"/>
      <c r="S992" s="26" t="n"/>
      <c r="T992" s="26" t="n"/>
      <c r="V992" s="27">
        <f>IF(ISNUMBER($C992),COUNTIFS($A$14:$A$1213,$A992,$C$14:$C$1213,"&gt;"&amp;$C992)+(COUNTIFS($A$14:$A$1213,$A992,$C$14:$C$1213,"="&amp;$C992)+1)/2,"")</f>
        <v/>
      </c>
      <c r="W992" s="27">
        <f>IF(ISNUMBER($F992),COUNTIFS($A$14:$A$1213,$A992,$F$14:$F$1213,"&gt;"&amp;$F992)+(COUNTIFS($A$14:$A$1213,$A992,$F$14:$F$1213,"="&amp;$F992)+1)/2,"")</f>
        <v/>
      </c>
      <c r="X992" s="27">
        <f>IF(OR(NOT(ISNUMBER($V992)),$AO992=1),"",$V992-(COUNTIFS($A$14:$A$1213,$A992,$C$14:$C$1213,"&gt;=0")+1)/2)</f>
        <v/>
      </c>
      <c r="Y992" s="27">
        <f>IF(OR(NOT(ISNUMBER($W992)),$AO992=1),"",$W992-(COUNTIFS($A$14:$A$1213,$A992,$F$14:$F$1213,"&gt;=0")+1)/2)</f>
        <v/>
      </c>
      <c r="Z992" s="27">
        <f>IF(ISNUMBER($V992),$A992&amp;"|"&amp;$V992,"")</f>
        <v/>
      </c>
      <c r="AA992" s="27">
        <f>IF(ISNUMBER($W992),$A992&amp;"|"&amp;$W992,"")</f>
        <v/>
      </c>
      <c r="AB992" s="27">
        <f>IF(ISNUMBER($F992),$A992&amp;"|"&amp;$F992,"")</f>
        <v/>
      </c>
      <c r="AC992" s="27">
        <f>IF(ISNUMBER($P992),COUNTIFS($A$14:$A$1213,$A992,$P$14:$P$1213,"&gt;"&amp;$P992)+(COUNTIFS($A$14:$A$1213,$A992,$P$14:$P$1213,"="&amp;$P992)+1)/2,"")</f>
        <v/>
      </c>
      <c r="AD992" s="27">
        <f>IF(ISNUMBER($Q992),COUNTIFS($A$14:$A$1213,$A992,$Q$14:$Q$1213,"&gt;"&amp;$Q992)+(COUNTIFS($A$14:$A$1213,$A992,$Q$14:$Q$1213,"="&amp;$Q992)+1)/2,"")</f>
        <v/>
      </c>
      <c r="AE992" s="27">
        <f>IF(ISNUMBER($R992),COUNTIFS($A$14:$A$1213,$A992,$R$14:$R$1213,"&gt;"&amp;$R992)+(COUNTIFS($A$14:$A$1213,$A992,$R$14:$R$1213,"="&amp;$R992)+1)/2,"")</f>
        <v/>
      </c>
      <c r="AF992" s="27">
        <f>IF(ISNUMBER($S992),COUNTIFS($A$14:$A$1213,$A992,$S$14:$S$1213,"&gt;"&amp;$S992)+(COUNTIFS($A$14:$A$1213,$A992,$S$14:$S$1213,"="&amp;$S992)+1)/2,"")</f>
        <v/>
      </c>
      <c r="AG992" s="27">
        <f>IF(ISNUMBER($T992),COUNTIFS($A$14:$A$1213,$A992,$T$14:$T$1213,"&gt;"&amp;$T992)+(COUNTIFS($A$14:$A$1213,$A992,$T$14:$T$1213,"="&amp;$T992)+1)/2,"")</f>
        <v/>
      </c>
      <c r="AH992" s="27">
        <f>IF(COUNT($AC992:$AG992)&lt;2,"",IF(MAX($AC992:$AG992)=MIN($AC992:$AG992),0,1))</f>
        <v/>
      </c>
      <c r="AI992" s="27">
        <f>IF($A992="","",IF(COUNTIF($A$14:$A992,$A992)=1,COUNTIF($AI$13:AI991,"&gt;0")+1,""))</f>
        <v/>
      </c>
      <c r="AO992" s="27">
        <f>IF($A992="","",IF(AND(COUNTIFS($A$14:$A$1213,$A992,$F$14:$F$1213,"&gt;=0")=2,IFERROR(INDEX($M$14:$M$313,MATCH($A992,$H$14:$H$313,0)),"Yes")&lt;&gt;"Yes"),1,0))</f>
        <v/>
      </c>
    </row>
    <row r="993">
      <c r="A993" s="19">
        <f>IF('Enter messages'!A993="","",'Enter messages'!A993)</f>
        <v/>
      </c>
      <c r="B993" s="20">
        <f>IF('Enter messages'!B993="","",'Enter messages'!B993)</f>
        <v/>
      </c>
      <c r="C993" s="21">
        <f>IFERROR(AVERAGE(P993:T993),"")</f>
        <v/>
      </c>
      <c r="D993" s="29" t="n"/>
      <c r="E993" s="29" t="n"/>
      <c r="F993" s="30">
        <f>IF(AND(ISNUMBER($D993),ISNUMBER($E993),$E993&gt;0,$D993&lt;=$E993),$D993/$E993,"")</f>
        <v/>
      </c>
      <c r="P993" s="26" t="n"/>
      <c r="Q993" s="26" t="n"/>
      <c r="R993" s="26" t="n"/>
      <c r="S993" s="26" t="n"/>
      <c r="T993" s="26" t="n"/>
      <c r="V993" s="27">
        <f>IF(ISNUMBER($C993),COUNTIFS($A$14:$A$1213,$A993,$C$14:$C$1213,"&gt;"&amp;$C993)+(COUNTIFS($A$14:$A$1213,$A993,$C$14:$C$1213,"="&amp;$C993)+1)/2,"")</f>
        <v/>
      </c>
      <c r="W993" s="27">
        <f>IF(ISNUMBER($F993),COUNTIFS($A$14:$A$1213,$A993,$F$14:$F$1213,"&gt;"&amp;$F993)+(COUNTIFS($A$14:$A$1213,$A993,$F$14:$F$1213,"="&amp;$F993)+1)/2,"")</f>
        <v/>
      </c>
      <c r="X993" s="27">
        <f>IF(OR(NOT(ISNUMBER($V993)),$AO993=1),"",$V993-(COUNTIFS($A$14:$A$1213,$A993,$C$14:$C$1213,"&gt;=0")+1)/2)</f>
        <v/>
      </c>
      <c r="Y993" s="27">
        <f>IF(OR(NOT(ISNUMBER($W993)),$AO993=1),"",$W993-(COUNTIFS($A$14:$A$1213,$A993,$F$14:$F$1213,"&gt;=0")+1)/2)</f>
        <v/>
      </c>
      <c r="Z993" s="27">
        <f>IF(ISNUMBER($V993),$A993&amp;"|"&amp;$V993,"")</f>
        <v/>
      </c>
      <c r="AA993" s="27">
        <f>IF(ISNUMBER($W993),$A993&amp;"|"&amp;$W993,"")</f>
        <v/>
      </c>
      <c r="AB993" s="27">
        <f>IF(ISNUMBER($F993),$A993&amp;"|"&amp;$F993,"")</f>
        <v/>
      </c>
      <c r="AC993" s="27">
        <f>IF(ISNUMBER($P993),COUNTIFS($A$14:$A$1213,$A993,$P$14:$P$1213,"&gt;"&amp;$P993)+(COUNTIFS($A$14:$A$1213,$A993,$P$14:$P$1213,"="&amp;$P993)+1)/2,"")</f>
        <v/>
      </c>
      <c r="AD993" s="27">
        <f>IF(ISNUMBER($Q993),COUNTIFS($A$14:$A$1213,$A993,$Q$14:$Q$1213,"&gt;"&amp;$Q993)+(COUNTIFS($A$14:$A$1213,$A993,$Q$14:$Q$1213,"="&amp;$Q993)+1)/2,"")</f>
        <v/>
      </c>
      <c r="AE993" s="27">
        <f>IF(ISNUMBER($R993),COUNTIFS($A$14:$A$1213,$A993,$R$14:$R$1213,"&gt;"&amp;$R993)+(COUNTIFS($A$14:$A$1213,$A993,$R$14:$R$1213,"="&amp;$R993)+1)/2,"")</f>
        <v/>
      </c>
      <c r="AF993" s="27">
        <f>IF(ISNUMBER($S993),COUNTIFS($A$14:$A$1213,$A993,$S$14:$S$1213,"&gt;"&amp;$S993)+(COUNTIFS($A$14:$A$1213,$A993,$S$14:$S$1213,"="&amp;$S993)+1)/2,"")</f>
        <v/>
      </c>
      <c r="AG993" s="27">
        <f>IF(ISNUMBER($T993),COUNTIFS($A$14:$A$1213,$A993,$T$14:$T$1213,"&gt;"&amp;$T993)+(COUNTIFS($A$14:$A$1213,$A993,$T$14:$T$1213,"="&amp;$T993)+1)/2,"")</f>
        <v/>
      </c>
      <c r="AH993" s="27">
        <f>IF(COUNT($AC993:$AG993)&lt;2,"",IF(MAX($AC993:$AG993)=MIN($AC993:$AG993),0,1))</f>
        <v/>
      </c>
      <c r="AI993" s="27">
        <f>IF($A993="","",IF(COUNTIF($A$14:$A993,$A993)=1,COUNTIF($AI$13:AI992,"&gt;0")+1,""))</f>
        <v/>
      </c>
      <c r="AO993" s="27">
        <f>IF($A993="","",IF(AND(COUNTIFS($A$14:$A$1213,$A993,$F$14:$F$1213,"&gt;=0")=2,IFERROR(INDEX($M$14:$M$313,MATCH($A993,$H$14:$H$313,0)),"Yes")&lt;&gt;"Yes"),1,0))</f>
        <v/>
      </c>
    </row>
    <row r="994">
      <c r="A994" s="19">
        <f>IF('Enter messages'!A994="","",'Enter messages'!A994)</f>
        <v/>
      </c>
      <c r="B994" s="20">
        <f>IF('Enter messages'!B994="","",'Enter messages'!B994)</f>
        <v/>
      </c>
      <c r="C994" s="21">
        <f>IFERROR(AVERAGE(P994:T994),"")</f>
        <v/>
      </c>
      <c r="D994" s="29" t="n"/>
      <c r="E994" s="29" t="n"/>
      <c r="F994" s="30">
        <f>IF(AND(ISNUMBER($D994),ISNUMBER($E994),$E994&gt;0,$D994&lt;=$E994),$D994/$E994,"")</f>
        <v/>
      </c>
      <c r="P994" s="26" t="n"/>
      <c r="Q994" s="26" t="n"/>
      <c r="R994" s="26" t="n"/>
      <c r="S994" s="26" t="n"/>
      <c r="T994" s="26" t="n"/>
      <c r="V994" s="27">
        <f>IF(ISNUMBER($C994),COUNTIFS($A$14:$A$1213,$A994,$C$14:$C$1213,"&gt;"&amp;$C994)+(COUNTIFS($A$14:$A$1213,$A994,$C$14:$C$1213,"="&amp;$C994)+1)/2,"")</f>
        <v/>
      </c>
      <c r="W994" s="27">
        <f>IF(ISNUMBER($F994),COUNTIFS($A$14:$A$1213,$A994,$F$14:$F$1213,"&gt;"&amp;$F994)+(COUNTIFS($A$14:$A$1213,$A994,$F$14:$F$1213,"="&amp;$F994)+1)/2,"")</f>
        <v/>
      </c>
      <c r="X994" s="27">
        <f>IF(OR(NOT(ISNUMBER($V994)),$AO994=1),"",$V994-(COUNTIFS($A$14:$A$1213,$A994,$C$14:$C$1213,"&gt;=0")+1)/2)</f>
        <v/>
      </c>
      <c r="Y994" s="27">
        <f>IF(OR(NOT(ISNUMBER($W994)),$AO994=1),"",$W994-(COUNTIFS($A$14:$A$1213,$A994,$F$14:$F$1213,"&gt;=0")+1)/2)</f>
        <v/>
      </c>
      <c r="Z994" s="27">
        <f>IF(ISNUMBER($V994),$A994&amp;"|"&amp;$V994,"")</f>
        <v/>
      </c>
      <c r="AA994" s="27">
        <f>IF(ISNUMBER($W994),$A994&amp;"|"&amp;$W994,"")</f>
        <v/>
      </c>
      <c r="AB994" s="27">
        <f>IF(ISNUMBER($F994),$A994&amp;"|"&amp;$F994,"")</f>
        <v/>
      </c>
      <c r="AC994" s="27">
        <f>IF(ISNUMBER($P994),COUNTIFS($A$14:$A$1213,$A994,$P$14:$P$1213,"&gt;"&amp;$P994)+(COUNTIFS($A$14:$A$1213,$A994,$P$14:$P$1213,"="&amp;$P994)+1)/2,"")</f>
        <v/>
      </c>
      <c r="AD994" s="27">
        <f>IF(ISNUMBER($Q994),COUNTIFS($A$14:$A$1213,$A994,$Q$14:$Q$1213,"&gt;"&amp;$Q994)+(COUNTIFS($A$14:$A$1213,$A994,$Q$14:$Q$1213,"="&amp;$Q994)+1)/2,"")</f>
        <v/>
      </c>
      <c r="AE994" s="27">
        <f>IF(ISNUMBER($R994),COUNTIFS($A$14:$A$1213,$A994,$R$14:$R$1213,"&gt;"&amp;$R994)+(COUNTIFS($A$14:$A$1213,$A994,$R$14:$R$1213,"="&amp;$R994)+1)/2,"")</f>
        <v/>
      </c>
      <c r="AF994" s="27">
        <f>IF(ISNUMBER($S994),COUNTIFS($A$14:$A$1213,$A994,$S$14:$S$1213,"&gt;"&amp;$S994)+(COUNTIFS($A$14:$A$1213,$A994,$S$14:$S$1213,"="&amp;$S994)+1)/2,"")</f>
        <v/>
      </c>
      <c r="AG994" s="27">
        <f>IF(ISNUMBER($T994),COUNTIFS($A$14:$A$1213,$A994,$T$14:$T$1213,"&gt;"&amp;$T994)+(COUNTIFS($A$14:$A$1213,$A994,$T$14:$T$1213,"="&amp;$T994)+1)/2,"")</f>
        <v/>
      </c>
      <c r="AH994" s="27">
        <f>IF(COUNT($AC994:$AG994)&lt;2,"",IF(MAX($AC994:$AG994)=MIN($AC994:$AG994),0,1))</f>
        <v/>
      </c>
      <c r="AI994" s="27">
        <f>IF($A994="","",IF(COUNTIF($A$14:$A994,$A994)=1,COUNTIF($AI$13:AI993,"&gt;0")+1,""))</f>
        <v/>
      </c>
      <c r="AO994" s="27">
        <f>IF($A994="","",IF(AND(COUNTIFS($A$14:$A$1213,$A994,$F$14:$F$1213,"&gt;=0")=2,IFERROR(INDEX($M$14:$M$313,MATCH($A994,$H$14:$H$313,0)),"Yes")&lt;&gt;"Yes"),1,0))</f>
        <v/>
      </c>
    </row>
    <row r="995">
      <c r="A995" s="19">
        <f>IF('Enter messages'!A995="","",'Enter messages'!A995)</f>
        <v/>
      </c>
      <c r="B995" s="20">
        <f>IF('Enter messages'!B995="","",'Enter messages'!B995)</f>
        <v/>
      </c>
      <c r="C995" s="21">
        <f>IFERROR(AVERAGE(P995:T995),"")</f>
        <v/>
      </c>
      <c r="D995" s="29" t="n"/>
      <c r="E995" s="29" t="n"/>
      <c r="F995" s="30">
        <f>IF(AND(ISNUMBER($D995),ISNUMBER($E995),$E995&gt;0,$D995&lt;=$E995),$D995/$E995,"")</f>
        <v/>
      </c>
      <c r="P995" s="26" t="n"/>
      <c r="Q995" s="26" t="n"/>
      <c r="R995" s="26" t="n"/>
      <c r="S995" s="26" t="n"/>
      <c r="T995" s="26" t="n"/>
      <c r="V995" s="27">
        <f>IF(ISNUMBER($C995),COUNTIFS($A$14:$A$1213,$A995,$C$14:$C$1213,"&gt;"&amp;$C995)+(COUNTIFS($A$14:$A$1213,$A995,$C$14:$C$1213,"="&amp;$C995)+1)/2,"")</f>
        <v/>
      </c>
      <c r="W995" s="27">
        <f>IF(ISNUMBER($F995),COUNTIFS($A$14:$A$1213,$A995,$F$14:$F$1213,"&gt;"&amp;$F995)+(COUNTIFS($A$14:$A$1213,$A995,$F$14:$F$1213,"="&amp;$F995)+1)/2,"")</f>
        <v/>
      </c>
      <c r="X995" s="27">
        <f>IF(OR(NOT(ISNUMBER($V995)),$AO995=1),"",$V995-(COUNTIFS($A$14:$A$1213,$A995,$C$14:$C$1213,"&gt;=0")+1)/2)</f>
        <v/>
      </c>
      <c r="Y995" s="27">
        <f>IF(OR(NOT(ISNUMBER($W995)),$AO995=1),"",$W995-(COUNTIFS($A$14:$A$1213,$A995,$F$14:$F$1213,"&gt;=0")+1)/2)</f>
        <v/>
      </c>
      <c r="Z995" s="27">
        <f>IF(ISNUMBER($V995),$A995&amp;"|"&amp;$V995,"")</f>
        <v/>
      </c>
      <c r="AA995" s="27">
        <f>IF(ISNUMBER($W995),$A995&amp;"|"&amp;$W995,"")</f>
        <v/>
      </c>
      <c r="AB995" s="27">
        <f>IF(ISNUMBER($F995),$A995&amp;"|"&amp;$F995,"")</f>
        <v/>
      </c>
      <c r="AC995" s="27">
        <f>IF(ISNUMBER($P995),COUNTIFS($A$14:$A$1213,$A995,$P$14:$P$1213,"&gt;"&amp;$P995)+(COUNTIFS($A$14:$A$1213,$A995,$P$14:$P$1213,"="&amp;$P995)+1)/2,"")</f>
        <v/>
      </c>
      <c r="AD995" s="27">
        <f>IF(ISNUMBER($Q995),COUNTIFS($A$14:$A$1213,$A995,$Q$14:$Q$1213,"&gt;"&amp;$Q995)+(COUNTIFS($A$14:$A$1213,$A995,$Q$14:$Q$1213,"="&amp;$Q995)+1)/2,"")</f>
        <v/>
      </c>
      <c r="AE995" s="27">
        <f>IF(ISNUMBER($R995),COUNTIFS($A$14:$A$1213,$A995,$R$14:$R$1213,"&gt;"&amp;$R995)+(COUNTIFS($A$14:$A$1213,$A995,$R$14:$R$1213,"="&amp;$R995)+1)/2,"")</f>
        <v/>
      </c>
      <c r="AF995" s="27">
        <f>IF(ISNUMBER($S995),COUNTIFS($A$14:$A$1213,$A995,$S$14:$S$1213,"&gt;"&amp;$S995)+(COUNTIFS($A$14:$A$1213,$A995,$S$14:$S$1213,"="&amp;$S995)+1)/2,"")</f>
        <v/>
      </c>
      <c r="AG995" s="27">
        <f>IF(ISNUMBER($T995),COUNTIFS($A$14:$A$1213,$A995,$T$14:$T$1213,"&gt;"&amp;$T995)+(COUNTIFS($A$14:$A$1213,$A995,$T$14:$T$1213,"="&amp;$T995)+1)/2,"")</f>
        <v/>
      </c>
      <c r="AH995" s="27">
        <f>IF(COUNT($AC995:$AG995)&lt;2,"",IF(MAX($AC995:$AG995)=MIN($AC995:$AG995),0,1))</f>
        <v/>
      </c>
      <c r="AI995" s="27">
        <f>IF($A995="","",IF(COUNTIF($A$14:$A995,$A995)=1,COUNTIF($AI$13:AI994,"&gt;0")+1,""))</f>
        <v/>
      </c>
      <c r="AO995" s="27">
        <f>IF($A995="","",IF(AND(COUNTIFS($A$14:$A$1213,$A995,$F$14:$F$1213,"&gt;=0")=2,IFERROR(INDEX($M$14:$M$313,MATCH($A995,$H$14:$H$313,0)),"Yes")&lt;&gt;"Yes"),1,0))</f>
        <v/>
      </c>
    </row>
    <row r="996">
      <c r="A996" s="19">
        <f>IF('Enter messages'!A996="","",'Enter messages'!A996)</f>
        <v/>
      </c>
      <c r="B996" s="20">
        <f>IF('Enter messages'!B996="","",'Enter messages'!B996)</f>
        <v/>
      </c>
      <c r="C996" s="21">
        <f>IFERROR(AVERAGE(P996:T996),"")</f>
        <v/>
      </c>
      <c r="D996" s="29" t="n"/>
      <c r="E996" s="29" t="n"/>
      <c r="F996" s="30">
        <f>IF(AND(ISNUMBER($D996),ISNUMBER($E996),$E996&gt;0,$D996&lt;=$E996),$D996/$E996,"")</f>
        <v/>
      </c>
      <c r="P996" s="26" t="n"/>
      <c r="Q996" s="26" t="n"/>
      <c r="R996" s="26" t="n"/>
      <c r="S996" s="26" t="n"/>
      <c r="T996" s="26" t="n"/>
      <c r="V996" s="27">
        <f>IF(ISNUMBER($C996),COUNTIFS($A$14:$A$1213,$A996,$C$14:$C$1213,"&gt;"&amp;$C996)+(COUNTIFS($A$14:$A$1213,$A996,$C$14:$C$1213,"="&amp;$C996)+1)/2,"")</f>
        <v/>
      </c>
      <c r="W996" s="27">
        <f>IF(ISNUMBER($F996),COUNTIFS($A$14:$A$1213,$A996,$F$14:$F$1213,"&gt;"&amp;$F996)+(COUNTIFS($A$14:$A$1213,$A996,$F$14:$F$1213,"="&amp;$F996)+1)/2,"")</f>
        <v/>
      </c>
      <c r="X996" s="27">
        <f>IF(OR(NOT(ISNUMBER($V996)),$AO996=1),"",$V996-(COUNTIFS($A$14:$A$1213,$A996,$C$14:$C$1213,"&gt;=0")+1)/2)</f>
        <v/>
      </c>
      <c r="Y996" s="27">
        <f>IF(OR(NOT(ISNUMBER($W996)),$AO996=1),"",$W996-(COUNTIFS($A$14:$A$1213,$A996,$F$14:$F$1213,"&gt;=0")+1)/2)</f>
        <v/>
      </c>
      <c r="Z996" s="27">
        <f>IF(ISNUMBER($V996),$A996&amp;"|"&amp;$V996,"")</f>
        <v/>
      </c>
      <c r="AA996" s="27">
        <f>IF(ISNUMBER($W996),$A996&amp;"|"&amp;$W996,"")</f>
        <v/>
      </c>
      <c r="AB996" s="27">
        <f>IF(ISNUMBER($F996),$A996&amp;"|"&amp;$F996,"")</f>
        <v/>
      </c>
      <c r="AC996" s="27">
        <f>IF(ISNUMBER($P996),COUNTIFS($A$14:$A$1213,$A996,$P$14:$P$1213,"&gt;"&amp;$P996)+(COUNTIFS($A$14:$A$1213,$A996,$P$14:$P$1213,"="&amp;$P996)+1)/2,"")</f>
        <v/>
      </c>
      <c r="AD996" s="27">
        <f>IF(ISNUMBER($Q996),COUNTIFS($A$14:$A$1213,$A996,$Q$14:$Q$1213,"&gt;"&amp;$Q996)+(COUNTIFS($A$14:$A$1213,$A996,$Q$14:$Q$1213,"="&amp;$Q996)+1)/2,"")</f>
        <v/>
      </c>
      <c r="AE996" s="27">
        <f>IF(ISNUMBER($R996),COUNTIFS($A$14:$A$1213,$A996,$R$14:$R$1213,"&gt;"&amp;$R996)+(COUNTIFS($A$14:$A$1213,$A996,$R$14:$R$1213,"="&amp;$R996)+1)/2,"")</f>
        <v/>
      </c>
      <c r="AF996" s="27">
        <f>IF(ISNUMBER($S996),COUNTIFS($A$14:$A$1213,$A996,$S$14:$S$1213,"&gt;"&amp;$S996)+(COUNTIFS($A$14:$A$1213,$A996,$S$14:$S$1213,"="&amp;$S996)+1)/2,"")</f>
        <v/>
      </c>
      <c r="AG996" s="27">
        <f>IF(ISNUMBER($T996),COUNTIFS($A$14:$A$1213,$A996,$T$14:$T$1213,"&gt;"&amp;$T996)+(COUNTIFS($A$14:$A$1213,$A996,$T$14:$T$1213,"="&amp;$T996)+1)/2,"")</f>
        <v/>
      </c>
      <c r="AH996" s="27">
        <f>IF(COUNT($AC996:$AG996)&lt;2,"",IF(MAX($AC996:$AG996)=MIN($AC996:$AG996),0,1))</f>
        <v/>
      </c>
      <c r="AI996" s="27">
        <f>IF($A996="","",IF(COUNTIF($A$14:$A996,$A996)=1,COUNTIF($AI$13:AI995,"&gt;0")+1,""))</f>
        <v/>
      </c>
      <c r="AO996" s="27">
        <f>IF($A996="","",IF(AND(COUNTIFS($A$14:$A$1213,$A996,$F$14:$F$1213,"&gt;=0")=2,IFERROR(INDEX($M$14:$M$313,MATCH($A996,$H$14:$H$313,0)),"Yes")&lt;&gt;"Yes"),1,0))</f>
        <v/>
      </c>
    </row>
    <row r="997">
      <c r="A997" s="19">
        <f>IF('Enter messages'!A997="","",'Enter messages'!A997)</f>
        <v/>
      </c>
      <c r="B997" s="20">
        <f>IF('Enter messages'!B997="","",'Enter messages'!B997)</f>
        <v/>
      </c>
      <c r="C997" s="21">
        <f>IFERROR(AVERAGE(P997:T997),"")</f>
        <v/>
      </c>
      <c r="D997" s="29" t="n"/>
      <c r="E997" s="29" t="n"/>
      <c r="F997" s="30">
        <f>IF(AND(ISNUMBER($D997),ISNUMBER($E997),$E997&gt;0,$D997&lt;=$E997),$D997/$E997,"")</f>
        <v/>
      </c>
      <c r="P997" s="26" t="n"/>
      <c r="Q997" s="26" t="n"/>
      <c r="R997" s="26" t="n"/>
      <c r="S997" s="26" t="n"/>
      <c r="T997" s="26" t="n"/>
      <c r="V997" s="27">
        <f>IF(ISNUMBER($C997),COUNTIFS($A$14:$A$1213,$A997,$C$14:$C$1213,"&gt;"&amp;$C997)+(COUNTIFS($A$14:$A$1213,$A997,$C$14:$C$1213,"="&amp;$C997)+1)/2,"")</f>
        <v/>
      </c>
      <c r="W997" s="27">
        <f>IF(ISNUMBER($F997),COUNTIFS($A$14:$A$1213,$A997,$F$14:$F$1213,"&gt;"&amp;$F997)+(COUNTIFS($A$14:$A$1213,$A997,$F$14:$F$1213,"="&amp;$F997)+1)/2,"")</f>
        <v/>
      </c>
      <c r="X997" s="27">
        <f>IF(OR(NOT(ISNUMBER($V997)),$AO997=1),"",$V997-(COUNTIFS($A$14:$A$1213,$A997,$C$14:$C$1213,"&gt;=0")+1)/2)</f>
        <v/>
      </c>
      <c r="Y997" s="27">
        <f>IF(OR(NOT(ISNUMBER($W997)),$AO997=1),"",$W997-(COUNTIFS($A$14:$A$1213,$A997,$F$14:$F$1213,"&gt;=0")+1)/2)</f>
        <v/>
      </c>
      <c r="Z997" s="27">
        <f>IF(ISNUMBER($V997),$A997&amp;"|"&amp;$V997,"")</f>
        <v/>
      </c>
      <c r="AA997" s="27">
        <f>IF(ISNUMBER($W997),$A997&amp;"|"&amp;$W997,"")</f>
        <v/>
      </c>
      <c r="AB997" s="27">
        <f>IF(ISNUMBER($F997),$A997&amp;"|"&amp;$F997,"")</f>
        <v/>
      </c>
      <c r="AC997" s="27">
        <f>IF(ISNUMBER($P997),COUNTIFS($A$14:$A$1213,$A997,$P$14:$P$1213,"&gt;"&amp;$P997)+(COUNTIFS($A$14:$A$1213,$A997,$P$14:$P$1213,"="&amp;$P997)+1)/2,"")</f>
        <v/>
      </c>
      <c r="AD997" s="27">
        <f>IF(ISNUMBER($Q997),COUNTIFS($A$14:$A$1213,$A997,$Q$14:$Q$1213,"&gt;"&amp;$Q997)+(COUNTIFS($A$14:$A$1213,$A997,$Q$14:$Q$1213,"="&amp;$Q997)+1)/2,"")</f>
        <v/>
      </c>
      <c r="AE997" s="27">
        <f>IF(ISNUMBER($R997),COUNTIFS($A$14:$A$1213,$A997,$R$14:$R$1213,"&gt;"&amp;$R997)+(COUNTIFS($A$14:$A$1213,$A997,$R$14:$R$1213,"="&amp;$R997)+1)/2,"")</f>
        <v/>
      </c>
      <c r="AF997" s="27">
        <f>IF(ISNUMBER($S997),COUNTIFS($A$14:$A$1213,$A997,$S$14:$S$1213,"&gt;"&amp;$S997)+(COUNTIFS($A$14:$A$1213,$A997,$S$14:$S$1213,"="&amp;$S997)+1)/2,"")</f>
        <v/>
      </c>
      <c r="AG997" s="27">
        <f>IF(ISNUMBER($T997),COUNTIFS($A$14:$A$1213,$A997,$T$14:$T$1213,"&gt;"&amp;$T997)+(COUNTIFS($A$14:$A$1213,$A997,$T$14:$T$1213,"="&amp;$T997)+1)/2,"")</f>
        <v/>
      </c>
      <c r="AH997" s="27">
        <f>IF(COUNT($AC997:$AG997)&lt;2,"",IF(MAX($AC997:$AG997)=MIN($AC997:$AG997),0,1))</f>
        <v/>
      </c>
      <c r="AI997" s="27">
        <f>IF($A997="","",IF(COUNTIF($A$14:$A997,$A997)=1,COUNTIF($AI$13:AI996,"&gt;0")+1,""))</f>
        <v/>
      </c>
      <c r="AO997" s="27">
        <f>IF($A997="","",IF(AND(COUNTIFS($A$14:$A$1213,$A997,$F$14:$F$1213,"&gt;=0")=2,IFERROR(INDEX($M$14:$M$313,MATCH($A997,$H$14:$H$313,0)),"Yes")&lt;&gt;"Yes"),1,0))</f>
        <v/>
      </c>
    </row>
    <row r="998">
      <c r="A998" s="19">
        <f>IF('Enter messages'!A998="","",'Enter messages'!A998)</f>
        <v/>
      </c>
      <c r="B998" s="20">
        <f>IF('Enter messages'!B998="","",'Enter messages'!B998)</f>
        <v/>
      </c>
      <c r="C998" s="21">
        <f>IFERROR(AVERAGE(P998:T998),"")</f>
        <v/>
      </c>
      <c r="D998" s="29" t="n"/>
      <c r="E998" s="29" t="n"/>
      <c r="F998" s="30">
        <f>IF(AND(ISNUMBER($D998),ISNUMBER($E998),$E998&gt;0,$D998&lt;=$E998),$D998/$E998,"")</f>
        <v/>
      </c>
      <c r="P998" s="26" t="n"/>
      <c r="Q998" s="26" t="n"/>
      <c r="R998" s="26" t="n"/>
      <c r="S998" s="26" t="n"/>
      <c r="T998" s="26" t="n"/>
      <c r="V998" s="27">
        <f>IF(ISNUMBER($C998),COUNTIFS($A$14:$A$1213,$A998,$C$14:$C$1213,"&gt;"&amp;$C998)+(COUNTIFS($A$14:$A$1213,$A998,$C$14:$C$1213,"="&amp;$C998)+1)/2,"")</f>
        <v/>
      </c>
      <c r="W998" s="27">
        <f>IF(ISNUMBER($F998),COUNTIFS($A$14:$A$1213,$A998,$F$14:$F$1213,"&gt;"&amp;$F998)+(COUNTIFS($A$14:$A$1213,$A998,$F$14:$F$1213,"="&amp;$F998)+1)/2,"")</f>
        <v/>
      </c>
      <c r="X998" s="27">
        <f>IF(OR(NOT(ISNUMBER($V998)),$AO998=1),"",$V998-(COUNTIFS($A$14:$A$1213,$A998,$C$14:$C$1213,"&gt;=0")+1)/2)</f>
        <v/>
      </c>
      <c r="Y998" s="27">
        <f>IF(OR(NOT(ISNUMBER($W998)),$AO998=1),"",$W998-(COUNTIFS($A$14:$A$1213,$A998,$F$14:$F$1213,"&gt;=0")+1)/2)</f>
        <v/>
      </c>
      <c r="Z998" s="27">
        <f>IF(ISNUMBER($V998),$A998&amp;"|"&amp;$V998,"")</f>
        <v/>
      </c>
      <c r="AA998" s="27">
        <f>IF(ISNUMBER($W998),$A998&amp;"|"&amp;$W998,"")</f>
        <v/>
      </c>
      <c r="AB998" s="27">
        <f>IF(ISNUMBER($F998),$A998&amp;"|"&amp;$F998,"")</f>
        <v/>
      </c>
      <c r="AC998" s="27">
        <f>IF(ISNUMBER($P998),COUNTIFS($A$14:$A$1213,$A998,$P$14:$P$1213,"&gt;"&amp;$P998)+(COUNTIFS($A$14:$A$1213,$A998,$P$14:$P$1213,"="&amp;$P998)+1)/2,"")</f>
        <v/>
      </c>
      <c r="AD998" s="27">
        <f>IF(ISNUMBER($Q998),COUNTIFS($A$14:$A$1213,$A998,$Q$14:$Q$1213,"&gt;"&amp;$Q998)+(COUNTIFS($A$14:$A$1213,$A998,$Q$14:$Q$1213,"="&amp;$Q998)+1)/2,"")</f>
        <v/>
      </c>
      <c r="AE998" s="27">
        <f>IF(ISNUMBER($R998),COUNTIFS($A$14:$A$1213,$A998,$R$14:$R$1213,"&gt;"&amp;$R998)+(COUNTIFS($A$14:$A$1213,$A998,$R$14:$R$1213,"="&amp;$R998)+1)/2,"")</f>
        <v/>
      </c>
      <c r="AF998" s="27">
        <f>IF(ISNUMBER($S998),COUNTIFS($A$14:$A$1213,$A998,$S$14:$S$1213,"&gt;"&amp;$S998)+(COUNTIFS($A$14:$A$1213,$A998,$S$14:$S$1213,"="&amp;$S998)+1)/2,"")</f>
        <v/>
      </c>
      <c r="AG998" s="27">
        <f>IF(ISNUMBER($T998),COUNTIFS($A$14:$A$1213,$A998,$T$14:$T$1213,"&gt;"&amp;$T998)+(COUNTIFS($A$14:$A$1213,$A998,$T$14:$T$1213,"="&amp;$T998)+1)/2,"")</f>
        <v/>
      </c>
      <c r="AH998" s="27">
        <f>IF(COUNT($AC998:$AG998)&lt;2,"",IF(MAX($AC998:$AG998)=MIN($AC998:$AG998),0,1))</f>
        <v/>
      </c>
      <c r="AI998" s="27">
        <f>IF($A998="","",IF(COUNTIF($A$14:$A998,$A998)=1,COUNTIF($AI$13:AI997,"&gt;0")+1,""))</f>
        <v/>
      </c>
      <c r="AO998" s="27">
        <f>IF($A998="","",IF(AND(COUNTIFS($A$14:$A$1213,$A998,$F$14:$F$1213,"&gt;=0")=2,IFERROR(INDEX($M$14:$M$313,MATCH($A998,$H$14:$H$313,0)),"Yes")&lt;&gt;"Yes"),1,0))</f>
        <v/>
      </c>
    </row>
    <row r="999">
      <c r="A999" s="19">
        <f>IF('Enter messages'!A999="","",'Enter messages'!A999)</f>
        <v/>
      </c>
      <c r="B999" s="20">
        <f>IF('Enter messages'!B999="","",'Enter messages'!B999)</f>
        <v/>
      </c>
      <c r="C999" s="21">
        <f>IFERROR(AVERAGE(P999:T999),"")</f>
        <v/>
      </c>
      <c r="D999" s="29" t="n"/>
      <c r="E999" s="29" t="n"/>
      <c r="F999" s="30">
        <f>IF(AND(ISNUMBER($D999),ISNUMBER($E999),$E999&gt;0,$D999&lt;=$E999),$D999/$E999,"")</f>
        <v/>
      </c>
      <c r="P999" s="26" t="n"/>
      <c r="Q999" s="26" t="n"/>
      <c r="R999" s="26" t="n"/>
      <c r="S999" s="26" t="n"/>
      <c r="T999" s="26" t="n"/>
      <c r="V999" s="27">
        <f>IF(ISNUMBER($C999),COUNTIFS($A$14:$A$1213,$A999,$C$14:$C$1213,"&gt;"&amp;$C999)+(COUNTIFS($A$14:$A$1213,$A999,$C$14:$C$1213,"="&amp;$C999)+1)/2,"")</f>
        <v/>
      </c>
      <c r="W999" s="27">
        <f>IF(ISNUMBER($F999),COUNTIFS($A$14:$A$1213,$A999,$F$14:$F$1213,"&gt;"&amp;$F999)+(COUNTIFS($A$14:$A$1213,$A999,$F$14:$F$1213,"="&amp;$F999)+1)/2,"")</f>
        <v/>
      </c>
      <c r="X999" s="27">
        <f>IF(OR(NOT(ISNUMBER($V999)),$AO999=1),"",$V999-(COUNTIFS($A$14:$A$1213,$A999,$C$14:$C$1213,"&gt;=0")+1)/2)</f>
        <v/>
      </c>
      <c r="Y999" s="27">
        <f>IF(OR(NOT(ISNUMBER($W999)),$AO999=1),"",$W999-(COUNTIFS($A$14:$A$1213,$A999,$F$14:$F$1213,"&gt;=0")+1)/2)</f>
        <v/>
      </c>
      <c r="Z999" s="27">
        <f>IF(ISNUMBER($V999),$A999&amp;"|"&amp;$V999,"")</f>
        <v/>
      </c>
      <c r="AA999" s="27">
        <f>IF(ISNUMBER($W999),$A999&amp;"|"&amp;$W999,"")</f>
        <v/>
      </c>
      <c r="AB999" s="27">
        <f>IF(ISNUMBER($F999),$A999&amp;"|"&amp;$F999,"")</f>
        <v/>
      </c>
      <c r="AC999" s="27">
        <f>IF(ISNUMBER($P999),COUNTIFS($A$14:$A$1213,$A999,$P$14:$P$1213,"&gt;"&amp;$P999)+(COUNTIFS($A$14:$A$1213,$A999,$P$14:$P$1213,"="&amp;$P999)+1)/2,"")</f>
        <v/>
      </c>
      <c r="AD999" s="27">
        <f>IF(ISNUMBER($Q999),COUNTIFS($A$14:$A$1213,$A999,$Q$14:$Q$1213,"&gt;"&amp;$Q999)+(COUNTIFS($A$14:$A$1213,$A999,$Q$14:$Q$1213,"="&amp;$Q999)+1)/2,"")</f>
        <v/>
      </c>
      <c r="AE999" s="27">
        <f>IF(ISNUMBER($R999),COUNTIFS($A$14:$A$1213,$A999,$R$14:$R$1213,"&gt;"&amp;$R999)+(COUNTIFS($A$14:$A$1213,$A999,$R$14:$R$1213,"="&amp;$R999)+1)/2,"")</f>
        <v/>
      </c>
      <c r="AF999" s="27">
        <f>IF(ISNUMBER($S999),COUNTIFS($A$14:$A$1213,$A999,$S$14:$S$1213,"&gt;"&amp;$S999)+(COUNTIFS($A$14:$A$1213,$A999,$S$14:$S$1213,"="&amp;$S999)+1)/2,"")</f>
        <v/>
      </c>
      <c r="AG999" s="27">
        <f>IF(ISNUMBER($T999),COUNTIFS($A$14:$A$1213,$A999,$T$14:$T$1213,"&gt;"&amp;$T999)+(COUNTIFS($A$14:$A$1213,$A999,$T$14:$T$1213,"="&amp;$T999)+1)/2,"")</f>
        <v/>
      </c>
      <c r="AH999" s="27">
        <f>IF(COUNT($AC999:$AG999)&lt;2,"",IF(MAX($AC999:$AG999)=MIN($AC999:$AG999),0,1))</f>
        <v/>
      </c>
      <c r="AI999" s="27">
        <f>IF($A999="","",IF(COUNTIF($A$14:$A999,$A999)=1,COUNTIF($AI$13:AI998,"&gt;0")+1,""))</f>
        <v/>
      </c>
      <c r="AO999" s="27">
        <f>IF($A999="","",IF(AND(COUNTIFS($A$14:$A$1213,$A999,$F$14:$F$1213,"&gt;=0")=2,IFERROR(INDEX($M$14:$M$313,MATCH($A999,$H$14:$H$313,0)),"Yes")&lt;&gt;"Yes"),1,0))</f>
        <v/>
      </c>
    </row>
    <row r="1000">
      <c r="A1000" s="19">
        <f>IF('Enter messages'!A1000="","",'Enter messages'!A1000)</f>
        <v/>
      </c>
      <c r="B1000" s="20">
        <f>IF('Enter messages'!B1000="","",'Enter messages'!B1000)</f>
        <v/>
      </c>
      <c r="C1000" s="21">
        <f>IFERROR(AVERAGE(P1000:T1000),"")</f>
        <v/>
      </c>
      <c r="D1000" s="29" t="n"/>
      <c r="E1000" s="29" t="n"/>
      <c r="F1000" s="30">
        <f>IF(AND(ISNUMBER($D1000),ISNUMBER($E1000),$E1000&gt;0,$D1000&lt;=$E1000),$D1000/$E1000,"")</f>
        <v/>
      </c>
      <c r="P1000" s="26" t="n"/>
      <c r="Q1000" s="26" t="n"/>
      <c r="R1000" s="26" t="n"/>
      <c r="S1000" s="26" t="n"/>
      <c r="T1000" s="26" t="n"/>
      <c r="V1000" s="27">
        <f>IF(ISNUMBER($C1000),COUNTIFS($A$14:$A$1213,$A1000,$C$14:$C$1213,"&gt;"&amp;$C1000)+(COUNTIFS($A$14:$A$1213,$A1000,$C$14:$C$1213,"="&amp;$C1000)+1)/2,"")</f>
        <v/>
      </c>
      <c r="W1000" s="27">
        <f>IF(ISNUMBER($F1000),COUNTIFS($A$14:$A$1213,$A1000,$F$14:$F$1213,"&gt;"&amp;$F1000)+(COUNTIFS($A$14:$A$1213,$A1000,$F$14:$F$1213,"="&amp;$F1000)+1)/2,"")</f>
        <v/>
      </c>
      <c r="X1000" s="27">
        <f>IF(OR(NOT(ISNUMBER($V1000)),$AO1000=1),"",$V1000-(COUNTIFS($A$14:$A$1213,$A1000,$C$14:$C$1213,"&gt;=0")+1)/2)</f>
        <v/>
      </c>
      <c r="Y1000" s="27">
        <f>IF(OR(NOT(ISNUMBER($W1000)),$AO1000=1),"",$W1000-(COUNTIFS($A$14:$A$1213,$A1000,$F$14:$F$1213,"&gt;=0")+1)/2)</f>
        <v/>
      </c>
      <c r="Z1000" s="27">
        <f>IF(ISNUMBER($V1000),$A1000&amp;"|"&amp;$V1000,"")</f>
        <v/>
      </c>
      <c r="AA1000" s="27">
        <f>IF(ISNUMBER($W1000),$A1000&amp;"|"&amp;$W1000,"")</f>
        <v/>
      </c>
      <c r="AB1000" s="27">
        <f>IF(ISNUMBER($F1000),$A1000&amp;"|"&amp;$F1000,"")</f>
        <v/>
      </c>
      <c r="AC1000" s="27">
        <f>IF(ISNUMBER($P1000),COUNTIFS($A$14:$A$1213,$A1000,$P$14:$P$1213,"&gt;"&amp;$P1000)+(COUNTIFS($A$14:$A$1213,$A1000,$P$14:$P$1213,"="&amp;$P1000)+1)/2,"")</f>
        <v/>
      </c>
      <c r="AD1000" s="27">
        <f>IF(ISNUMBER($Q1000),COUNTIFS($A$14:$A$1213,$A1000,$Q$14:$Q$1213,"&gt;"&amp;$Q1000)+(COUNTIFS($A$14:$A$1213,$A1000,$Q$14:$Q$1213,"="&amp;$Q1000)+1)/2,"")</f>
        <v/>
      </c>
      <c r="AE1000" s="27">
        <f>IF(ISNUMBER($R1000),COUNTIFS($A$14:$A$1213,$A1000,$R$14:$R$1213,"&gt;"&amp;$R1000)+(COUNTIFS($A$14:$A$1213,$A1000,$R$14:$R$1213,"="&amp;$R1000)+1)/2,"")</f>
        <v/>
      </c>
      <c r="AF1000" s="27">
        <f>IF(ISNUMBER($S1000),COUNTIFS($A$14:$A$1213,$A1000,$S$14:$S$1213,"&gt;"&amp;$S1000)+(COUNTIFS($A$14:$A$1213,$A1000,$S$14:$S$1213,"="&amp;$S1000)+1)/2,"")</f>
        <v/>
      </c>
      <c r="AG1000" s="27">
        <f>IF(ISNUMBER($T1000),COUNTIFS($A$14:$A$1213,$A1000,$T$14:$T$1213,"&gt;"&amp;$T1000)+(COUNTIFS($A$14:$A$1213,$A1000,$T$14:$T$1213,"="&amp;$T1000)+1)/2,"")</f>
        <v/>
      </c>
      <c r="AH1000" s="27">
        <f>IF(COUNT($AC1000:$AG1000)&lt;2,"",IF(MAX($AC1000:$AG1000)=MIN($AC1000:$AG1000),0,1))</f>
        <v/>
      </c>
      <c r="AI1000" s="27">
        <f>IF($A1000="","",IF(COUNTIF($A$14:$A1000,$A1000)=1,COUNTIF($AI$13:AI999,"&gt;0")+1,""))</f>
        <v/>
      </c>
      <c r="AO1000" s="27">
        <f>IF($A1000="","",IF(AND(COUNTIFS($A$14:$A$1213,$A1000,$F$14:$F$1213,"&gt;=0")=2,IFERROR(INDEX($M$14:$M$313,MATCH($A1000,$H$14:$H$313,0)),"Yes")&lt;&gt;"Yes"),1,0))</f>
        <v/>
      </c>
    </row>
    <row r="1001">
      <c r="A1001" s="19">
        <f>IF('Enter messages'!A1001="","",'Enter messages'!A1001)</f>
        <v/>
      </c>
      <c r="B1001" s="20">
        <f>IF('Enter messages'!B1001="","",'Enter messages'!B1001)</f>
        <v/>
      </c>
      <c r="C1001" s="21">
        <f>IFERROR(AVERAGE(P1001:T1001),"")</f>
        <v/>
      </c>
      <c r="D1001" s="29" t="n"/>
      <c r="E1001" s="29" t="n"/>
      <c r="F1001" s="30">
        <f>IF(AND(ISNUMBER($D1001),ISNUMBER($E1001),$E1001&gt;0,$D1001&lt;=$E1001),$D1001/$E1001,"")</f>
        <v/>
      </c>
      <c r="P1001" s="26" t="n"/>
      <c r="Q1001" s="26" t="n"/>
      <c r="R1001" s="26" t="n"/>
      <c r="S1001" s="26" t="n"/>
      <c r="T1001" s="26" t="n"/>
      <c r="V1001" s="27">
        <f>IF(ISNUMBER($C1001),COUNTIFS($A$14:$A$1213,$A1001,$C$14:$C$1213,"&gt;"&amp;$C1001)+(COUNTIFS($A$14:$A$1213,$A1001,$C$14:$C$1213,"="&amp;$C1001)+1)/2,"")</f>
        <v/>
      </c>
      <c r="W1001" s="27">
        <f>IF(ISNUMBER($F1001),COUNTIFS($A$14:$A$1213,$A1001,$F$14:$F$1213,"&gt;"&amp;$F1001)+(COUNTIFS($A$14:$A$1213,$A1001,$F$14:$F$1213,"="&amp;$F1001)+1)/2,"")</f>
        <v/>
      </c>
      <c r="X1001" s="27">
        <f>IF(OR(NOT(ISNUMBER($V1001)),$AO1001=1),"",$V1001-(COUNTIFS($A$14:$A$1213,$A1001,$C$14:$C$1213,"&gt;=0")+1)/2)</f>
        <v/>
      </c>
      <c r="Y1001" s="27">
        <f>IF(OR(NOT(ISNUMBER($W1001)),$AO1001=1),"",$W1001-(COUNTIFS($A$14:$A$1213,$A1001,$F$14:$F$1213,"&gt;=0")+1)/2)</f>
        <v/>
      </c>
      <c r="Z1001" s="27">
        <f>IF(ISNUMBER($V1001),$A1001&amp;"|"&amp;$V1001,"")</f>
        <v/>
      </c>
      <c r="AA1001" s="27">
        <f>IF(ISNUMBER($W1001),$A1001&amp;"|"&amp;$W1001,"")</f>
        <v/>
      </c>
      <c r="AB1001" s="27">
        <f>IF(ISNUMBER($F1001),$A1001&amp;"|"&amp;$F1001,"")</f>
        <v/>
      </c>
      <c r="AC1001" s="27">
        <f>IF(ISNUMBER($P1001),COUNTIFS($A$14:$A$1213,$A1001,$P$14:$P$1213,"&gt;"&amp;$P1001)+(COUNTIFS($A$14:$A$1213,$A1001,$P$14:$P$1213,"="&amp;$P1001)+1)/2,"")</f>
        <v/>
      </c>
      <c r="AD1001" s="27">
        <f>IF(ISNUMBER($Q1001),COUNTIFS($A$14:$A$1213,$A1001,$Q$14:$Q$1213,"&gt;"&amp;$Q1001)+(COUNTIFS($A$14:$A$1213,$A1001,$Q$14:$Q$1213,"="&amp;$Q1001)+1)/2,"")</f>
        <v/>
      </c>
      <c r="AE1001" s="27">
        <f>IF(ISNUMBER($R1001),COUNTIFS($A$14:$A$1213,$A1001,$R$14:$R$1213,"&gt;"&amp;$R1001)+(COUNTIFS($A$14:$A$1213,$A1001,$R$14:$R$1213,"="&amp;$R1001)+1)/2,"")</f>
        <v/>
      </c>
      <c r="AF1001" s="27">
        <f>IF(ISNUMBER($S1001),COUNTIFS($A$14:$A$1213,$A1001,$S$14:$S$1213,"&gt;"&amp;$S1001)+(COUNTIFS($A$14:$A$1213,$A1001,$S$14:$S$1213,"="&amp;$S1001)+1)/2,"")</f>
        <v/>
      </c>
      <c r="AG1001" s="27">
        <f>IF(ISNUMBER($T1001),COUNTIFS($A$14:$A$1213,$A1001,$T$14:$T$1213,"&gt;"&amp;$T1001)+(COUNTIFS($A$14:$A$1213,$A1001,$T$14:$T$1213,"="&amp;$T1001)+1)/2,"")</f>
        <v/>
      </c>
      <c r="AH1001" s="27">
        <f>IF(COUNT($AC1001:$AG1001)&lt;2,"",IF(MAX($AC1001:$AG1001)=MIN($AC1001:$AG1001),0,1))</f>
        <v/>
      </c>
      <c r="AI1001" s="27">
        <f>IF($A1001="","",IF(COUNTIF($A$14:$A1001,$A1001)=1,COUNTIF($AI$13:AI1000,"&gt;0")+1,""))</f>
        <v/>
      </c>
      <c r="AO1001" s="27">
        <f>IF($A1001="","",IF(AND(COUNTIFS($A$14:$A$1213,$A1001,$F$14:$F$1213,"&gt;=0")=2,IFERROR(INDEX($M$14:$M$313,MATCH($A1001,$H$14:$H$313,0)),"Yes")&lt;&gt;"Yes"),1,0))</f>
        <v/>
      </c>
    </row>
    <row r="1002">
      <c r="A1002" s="19">
        <f>IF('Enter messages'!A1002="","",'Enter messages'!A1002)</f>
        <v/>
      </c>
      <c r="B1002" s="20">
        <f>IF('Enter messages'!B1002="","",'Enter messages'!B1002)</f>
        <v/>
      </c>
      <c r="C1002" s="21">
        <f>IFERROR(AVERAGE(P1002:T1002),"")</f>
        <v/>
      </c>
      <c r="D1002" s="29" t="n"/>
      <c r="E1002" s="29" t="n"/>
      <c r="F1002" s="30">
        <f>IF(AND(ISNUMBER($D1002),ISNUMBER($E1002),$E1002&gt;0,$D1002&lt;=$E1002),$D1002/$E1002,"")</f>
        <v/>
      </c>
      <c r="P1002" s="26" t="n"/>
      <c r="Q1002" s="26" t="n"/>
      <c r="R1002" s="26" t="n"/>
      <c r="S1002" s="26" t="n"/>
      <c r="T1002" s="26" t="n"/>
      <c r="V1002" s="27">
        <f>IF(ISNUMBER($C1002),COUNTIFS($A$14:$A$1213,$A1002,$C$14:$C$1213,"&gt;"&amp;$C1002)+(COUNTIFS($A$14:$A$1213,$A1002,$C$14:$C$1213,"="&amp;$C1002)+1)/2,"")</f>
        <v/>
      </c>
      <c r="W1002" s="27">
        <f>IF(ISNUMBER($F1002),COUNTIFS($A$14:$A$1213,$A1002,$F$14:$F$1213,"&gt;"&amp;$F1002)+(COUNTIFS($A$14:$A$1213,$A1002,$F$14:$F$1213,"="&amp;$F1002)+1)/2,"")</f>
        <v/>
      </c>
      <c r="X1002" s="27">
        <f>IF(OR(NOT(ISNUMBER($V1002)),$AO1002=1),"",$V1002-(COUNTIFS($A$14:$A$1213,$A1002,$C$14:$C$1213,"&gt;=0")+1)/2)</f>
        <v/>
      </c>
      <c r="Y1002" s="27">
        <f>IF(OR(NOT(ISNUMBER($W1002)),$AO1002=1),"",$W1002-(COUNTIFS($A$14:$A$1213,$A1002,$F$14:$F$1213,"&gt;=0")+1)/2)</f>
        <v/>
      </c>
      <c r="Z1002" s="27">
        <f>IF(ISNUMBER($V1002),$A1002&amp;"|"&amp;$V1002,"")</f>
        <v/>
      </c>
      <c r="AA1002" s="27">
        <f>IF(ISNUMBER($W1002),$A1002&amp;"|"&amp;$W1002,"")</f>
        <v/>
      </c>
      <c r="AB1002" s="27">
        <f>IF(ISNUMBER($F1002),$A1002&amp;"|"&amp;$F1002,"")</f>
        <v/>
      </c>
      <c r="AC1002" s="27">
        <f>IF(ISNUMBER($P1002),COUNTIFS($A$14:$A$1213,$A1002,$P$14:$P$1213,"&gt;"&amp;$P1002)+(COUNTIFS($A$14:$A$1213,$A1002,$P$14:$P$1213,"="&amp;$P1002)+1)/2,"")</f>
        <v/>
      </c>
      <c r="AD1002" s="27">
        <f>IF(ISNUMBER($Q1002),COUNTIFS($A$14:$A$1213,$A1002,$Q$14:$Q$1213,"&gt;"&amp;$Q1002)+(COUNTIFS($A$14:$A$1213,$A1002,$Q$14:$Q$1213,"="&amp;$Q1002)+1)/2,"")</f>
        <v/>
      </c>
      <c r="AE1002" s="27">
        <f>IF(ISNUMBER($R1002),COUNTIFS($A$14:$A$1213,$A1002,$R$14:$R$1213,"&gt;"&amp;$R1002)+(COUNTIFS($A$14:$A$1213,$A1002,$R$14:$R$1213,"="&amp;$R1002)+1)/2,"")</f>
        <v/>
      </c>
      <c r="AF1002" s="27">
        <f>IF(ISNUMBER($S1002),COUNTIFS($A$14:$A$1213,$A1002,$S$14:$S$1213,"&gt;"&amp;$S1002)+(COUNTIFS($A$14:$A$1213,$A1002,$S$14:$S$1213,"="&amp;$S1002)+1)/2,"")</f>
        <v/>
      </c>
      <c r="AG1002" s="27">
        <f>IF(ISNUMBER($T1002),COUNTIFS($A$14:$A$1213,$A1002,$T$14:$T$1213,"&gt;"&amp;$T1002)+(COUNTIFS($A$14:$A$1213,$A1002,$T$14:$T$1213,"="&amp;$T1002)+1)/2,"")</f>
        <v/>
      </c>
      <c r="AH1002" s="27">
        <f>IF(COUNT($AC1002:$AG1002)&lt;2,"",IF(MAX($AC1002:$AG1002)=MIN($AC1002:$AG1002),0,1))</f>
        <v/>
      </c>
      <c r="AI1002" s="27">
        <f>IF($A1002="","",IF(COUNTIF($A$14:$A1002,$A1002)=1,COUNTIF($AI$13:AI1001,"&gt;0")+1,""))</f>
        <v/>
      </c>
      <c r="AO1002" s="27">
        <f>IF($A1002="","",IF(AND(COUNTIFS($A$14:$A$1213,$A1002,$F$14:$F$1213,"&gt;=0")=2,IFERROR(INDEX($M$14:$M$313,MATCH($A1002,$H$14:$H$313,0)),"Yes")&lt;&gt;"Yes"),1,0))</f>
        <v/>
      </c>
    </row>
    <row r="1003">
      <c r="A1003" s="19">
        <f>IF('Enter messages'!A1003="","",'Enter messages'!A1003)</f>
        <v/>
      </c>
      <c r="B1003" s="20">
        <f>IF('Enter messages'!B1003="","",'Enter messages'!B1003)</f>
        <v/>
      </c>
      <c r="C1003" s="21">
        <f>IFERROR(AVERAGE(P1003:T1003),"")</f>
        <v/>
      </c>
      <c r="D1003" s="29" t="n"/>
      <c r="E1003" s="29" t="n"/>
      <c r="F1003" s="30">
        <f>IF(AND(ISNUMBER($D1003),ISNUMBER($E1003),$E1003&gt;0,$D1003&lt;=$E1003),$D1003/$E1003,"")</f>
        <v/>
      </c>
      <c r="P1003" s="26" t="n"/>
      <c r="Q1003" s="26" t="n"/>
      <c r="R1003" s="26" t="n"/>
      <c r="S1003" s="26" t="n"/>
      <c r="T1003" s="26" t="n"/>
      <c r="V1003" s="27">
        <f>IF(ISNUMBER($C1003),COUNTIFS($A$14:$A$1213,$A1003,$C$14:$C$1213,"&gt;"&amp;$C1003)+(COUNTIFS($A$14:$A$1213,$A1003,$C$14:$C$1213,"="&amp;$C1003)+1)/2,"")</f>
        <v/>
      </c>
      <c r="W1003" s="27">
        <f>IF(ISNUMBER($F1003),COUNTIFS($A$14:$A$1213,$A1003,$F$14:$F$1213,"&gt;"&amp;$F1003)+(COUNTIFS($A$14:$A$1213,$A1003,$F$14:$F$1213,"="&amp;$F1003)+1)/2,"")</f>
        <v/>
      </c>
      <c r="X1003" s="27">
        <f>IF(OR(NOT(ISNUMBER($V1003)),$AO1003=1),"",$V1003-(COUNTIFS($A$14:$A$1213,$A1003,$C$14:$C$1213,"&gt;=0")+1)/2)</f>
        <v/>
      </c>
      <c r="Y1003" s="27">
        <f>IF(OR(NOT(ISNUMBER($W1003)),$AO1003=1),"",$W1003-(COUNTIFS($A$14:$A$1213,$A1003,$F$14:$F$1213,"&gt;=0")+1)/2)</f>
        <v/>
      </c>
      <c r="Z1003" s="27">
        <f>IF(ISNUMBER($V1003),$A1003&amp;"|"&amp;$V1003,"")</f>
        <v/>
      </c>
      <c r="AA1003" s="27">
        <f>IF(ISNUMBER($W1003),$A1003&amp;"|"&amp;$W1003,"")</f>
        <v/>
      </c>
      <c r="AB1003" s="27">
        <f>IF(ISNUMBER($F1003),$A1003&amp;"|"&amp;$F1003,"")</f>
        <v/>
      </c>
      <c r="AC1003" s="27">
        <f>IF(ISNUMBER($P1003),COUNTIFS($A$14:$A$1213,$A1003,$P$14:$P$1213,"&gt;"&amp;$P1003)+(COUNTIFS($A$14:$A$1213,$A1003,$P$14:$P$1213,"="&amp;$P1003)+1)/2,"")</f>
        <v/>
      </c>
      <c r="AD1003" s="27">
        <f>IF(ISNUMBER($Q1003),COUNTIFS($A$14:$A$1213,$A1003,$Q$14:$Q$1213,"&gt;"&amp;$Q1003)+(COUNTIFS($A$14:$A$1213,$A1003,$Q$14:$Q$1213,"="&amp;$Q1003)+1)/2,"")</f>
        <v/>
      </c>
      <c r="AE1003" s="27">
        <f>IF(ISNUMBER($R1003),COUNTIFS($A$14:$A$1213,$A1003,$R$14:$R$1213,"&gt;"&amp;$R1003)+(COUNTIFS($A$14:$A$1213,$A1003,$R$14:$R$1213,"="&amp;$R1003)+1)/2,"")</f>
        <v/>
      </c>
      <c r="AF1003" s="27">
        <f>IF(ISNUMBER($S1003),COUNTIFS($A$14:$A$1213,$A1003,$S$14:$S$1213,"&gt;"&amp;$S1003)+(COUNTIFS($A$14:$A$1213,$A1003,$S$14:$S$1213,"="&amp;$S1003)+1)/2,"")</f>
        <v/>
      </c>
      <c r="AG1003" s="27">
        <f>IF(ISNUMBER($T1003),COUNTIFS($A$14:$A$1213,$A1003,$T$14:$T$1213,"&gt;"&amp;$T1003)+(COUNTIFS($A$14:$A$1213,$A1003,$T$14:$T$1213,"="&amp;$T1003)+1)/2,"")</f>
        <v/>
      </c>
      <c r="AH1003" s="27">
        <f>IF(COUNT($AC1003:$AG1003)&lt;2,"",IF(MAX($AC1003:$AG1003)=MIN($AC1003:$AG1003),0,1))</f>
        <v/>
      </c>
      <c r="AI1003" s="27">
        <f>IF($A1003="","",IF(COUNTIF($A$14:$A1003,$A1003)=1,COUNTIF($AI$13:AI1002,"&gt;0")+1,""))</f>
        <v/>
      </c>
      <c r="AO1003" s="27">
        <f>IF($A1003="","",IF(AND(COUNTIFS($A$14:$A$1213,$A1003,$F$14:$F$1213,"&gt;=0")=2,IFERROR(INDEX($M$14:$M$313,MATCH($A1003,$H$14:$H$313,0)),"Yes")&lt;&gt;"Yes"),1,0))</f>
        <v/>
      </c>
    </row>
    <row r="1004">
      <c r="A1004" s="19">
        <f>IF('Enter messages'!A1004="","",'Enter messages'!A1004)</f>
        <v/>
      </c>
      <c r="B1004" s="20">
        <f>IF('Enter messages'!B1004="","",'Enter messages'!B1004)</f>
        <v/>
      </c>
      <c r="C1004" s="21">
        <f>IFERROR(AVERAGE(P1004:T1004),"")</f>
        <v/>
      </c>
      <c r="D1004" s="29" t="n"/>
      <c r="E1004" s="29" t="n"/>
      <c r="F1004" s="30">
        <f>IF(AND(ISNUMBER($D1004),ISNUMBER($E1004),$E1004&gt;0,$D1004&lt;=$E1004),$D1004/$E1004,"")</f>
        <v/>
      </c>
      <c r="P1004" s="26" t="n"/>
      <c r="Q1004" s="26" t="n"/>
      <c r="R1004" s="26" t="n"/>
      <c r="S1004" s="26" t="n"/>
      <c r="T1004" s="26" t="n"/>
      <c r="V1004" s="27">
        <f>IF(ISNUMBER($C1004),COUNTIFS($A$14:$A$1213,$A1004,$C$14:$C$1213,"&gt;"&amp;$C1004)+(COUNTIFS($A$14:$A$1213,$A1004,$C$14:$C$1213,"="&amp;$C1004)+1)/2,"")</f>
        <v/>
      </c>
      <c r="W1004" s="27">
        <f>IF(ISNUMBER($F1004),COUNTIFS($A$14:$A$1213,$A1004,$F$14:$F$1213,"&gt;"&amp;$F1004)+(COUNTIFS($A$14:$A$1213,$A1004,$F$14:$F$1213,"="&amp;$F1004)+1)/2,"")</f>
        <v/>
      </c>
      <c r="X1004" s="27">
        <f>IF(OR(NOT(ISNUMBER($V1004)),$AO1004=1),"",$V1004-(COUNTIFS($A$14:$A$1213,$A1004,$C$14:$C$1213,"&gt;=0")+1)/2)</f>
        <v/>
      </c>
      <c r="Y1004" s="27">
        <f>IF(OR(NOT(ISNUMBER($W1004)),$AO1004=1),"",$W1004-(COUNTIFS($A$14:$A$1213,$A1004,$F$14:$F$1213,"&gt;=0")+1)/2)</f>
        <v/>
      </c>
      <c r="Z1004" s="27">
        <f>IF(ISNUMBER($V1004),$A1004&amp;"|"&amp;$V1004,"")</f>
        <v/>
      </c>
      <c r="AA1004" s="27">
        <f>IF(ISNUMBER($W1004),$A1004&amp;"|"&amp;$W1004,"")</f>
        <v/>
      </c>
      <c r="AB1004" s="27">
        <f>IF(ISNUMBER($F1004),$A1004&amp;"|"&amp;$F1004,"")</f>
        <v/>
      </c>
      <c r="AC1004" s="27">
        <f>IF(ISNUMBER($P1004),COUNTIFS($A$14:$A$1213,$A1004,$P$14:$P$1213,"&gt;"&amp;$P1004)+(COUNTIFS($A$14:$A$1213,$A1004,$P$14:$P$1213,"="&amp;$P1004)+1)/2,"")</f>
        <v/>
      </c>
      <c r="AD1004" s="27">
        <f>IF(ISNUMBER($Q1004),COUNTIFS($A$14:$A$1213,$A1004,$Q$14:$Q$1213,"&gt;"&amp;$Q1004)+(COUNTIFS($A$14:$A$1213,$A1004,$Q$14:$Q$1213,"="&amp;$Q1004)+1)/2,"")</f>
        <v/>
      </c>
      <c r="AE1004" s="27">
        <f>IF(ISNUMBER($R1004),COUNTIFS($A$14:$A$1213,$A1004,$R$14:$R$1213,"&gt;"&amp;$R1004)+(COUNTIFS($A$14:$A$1213,$A1004,$R$14:$R$1213,"="&amp;$R1004)+1)/2,"")</f>
        <v/>
      </c>
      <c r="AF1004" s="27">
        <f>IF(ISNUMBER($S1004),COUNTIFS($A$14:$A$1213,$A1004,$S$14:$S$1213,"&gt;"&amp;$S1004)+(COUNTIFS($A$14:$A$1213,$A1004,$S$14:$S$1213,"="&amp;$S1004)+1)/2,"")</f>
        <v/>
      </c>
      <c r="AG1004" s="27">
        <f>IF(ISNUMBER($T1004),COUNTIFS($A$14:$A$1213,$A1004,$T$14:$T$1213,"&gt;"&amp;$T1004)+(COUNTIFS($A$14:$A$1213,$A1004,$T$14:$T$1213,"="&amp;$T1004)+1)/2,"")</f>
        <v/>
      </c>
      <c r="AH1004" s="27">
        <f>IF(COUNT($AC1004:$AG1004)&lt;2,"",IF(MAX($AC1004:$AG1004)=MIN($AC1004:$AG1004),0,1))</f>
        <v/>
      </c>
      <c r="AI1004" s="27">
        <f>IF($A1004="","",IF(COUNTIF($A$14:$A1004,$A1004)=1,COUNTIF($AI$13:AI1003,"&gt;0")+1,""))</f>
        <v/>
      </c>
      <c r="AO1004" s="27">
        <f>IF($A1004="","",IF(AND(COUNTIFS($A$14:$A$1213,$A1004,$F$14:$F$1213,"&gt;=0")=2,IFERROR(INDEX($M$14:$M$313,MATCH($A1004,$H$14:$H$313,0)),"Yes")&lt;&gt;"Yes"),1,0))</f>
        <v/>
      </c>
    </row>
    <row r="1005">
      <c r="A1005" s="19">
        <f>IF('Enter messages'!A1005="","",'Enter messages'!A1005)</f>
        <v/>
      </c>
      <c r="B1005" s="20">
        <f>IF('Enter messages'!B1005="","",'Enter messages'!B1005)</f>
        <v/>
      </c>
      <c r="C1005" s="21">
        <f>IFERROR(AVERAGE(P1005:T1005),"")</f>
        <v/>
      </c>
      <c r="D1005" s="29" t="n"/>
      <c r="E1005" s="29" t="n"/>
      <c r="F1005" s="30">
        <f>IF(AND(ISNUMBER($D1005),ISNUMBER($E1005),$E1005&gt;0,$D1005&lt;=$E1005),$D1005/$E1005,"")</f>
        <v/>
      </c>
      <c r="P1005" s="26" t="n"/>
      <c r="Q1005" s="26" t="n"/>
      <c r="R1005" s="26" t="n"/>
      <c r="S1005" s="26" t="n"/>
      <c r="T1005" s="26" t="n"/>
      <c r="V1005" s="27">
        <f>IF(ISNUMBER($C1005),COUNTIFS($A$14:$A$1213,$A1005,$C$14:$C$1213,"&gt;"&amp;$C1005)+(COUNTIFS($A$14:$A$1213,$A1005,$C$14:$C$1213,"="&amp;$C1005)+1)/2,"")</f>
        <v/>
      </c>
      <c r="W1005" s="27">
        <f>IF(ISNUMBER($F1005),COUNTIFS($A$14:$A$1213,$A1005,$F$14:$F$1213,"&gt;"&amp;$F1005)+(COUNTIFS($A$14:$A$1213,$A1005,$F$14:$F$1213,"="&amp;$F1005)+1)/2,"")</f>
        <v/>
      </c>
      <c r="X1005" s="27">
        <f>IF(OR(NOT(ISNUMBER($V1005)),$AO1005=1),"",$V1005-(COUNTIFS($A$14:$A$1213,$A1005,$C$14:$C$1213,"&gt;=0")+1)/2)</f>
        <v/>
      </c>
      <c r="Y1005" s="27">
        <f>IF(OR(NOT(ISNUMBER($W1005)),$AO1005=1),"",$W1005-(COUNTIFS($A$14:$A$1213,$A1005,$F$14:$F$1213,"&gt;=0")+1)/2)</f>
        <v/>
      </c>
      <c r="Z1005" s="27">
        <f>IF(ISNUMBER($V1005),$A1005&amp;"|"&amp;$V1005,"")</f>
        <v/>
      </c>
      <c r="AA1005" s="27">
        <f>IF(ISNUMBER($W1005),$A1005&amp;"|"&amp;$W1005,"")</f>
        <v/>
      </c>
      <c r="AB1005" s="27">
        <f>IF(ISNUMBER($F1005),$A1005&amp;"|"&amp;$F1005,"")</f>
        <v/>
      </c>
      <c r="AC1005" s="27">
        <f>IF(ISNUMBER($P1005),COUNTIFS($A$14:$A$1213,$A1005,$P$14:$P$1213,"&gt;"&amp;$P1005)+(COUNTIFS($A$14:$A$1213,$A1005,$P$14:$P$1213,"="&amp;$P1005)+1)/2,"")</f>
        <v/>
      </c>
      <c r="AD1005" s="27">
        <f>IF(ISNUMBER($Q1005),COUNTIFS($A$14:$A$1213,$A1005,$Q$14:$Q$1213,"&gt;"&amp;$Q1005)+(COUNTIFS($A$14:$A$1213,$A1005,$Q$14:$Q$1213,"="&amp;$Q1005)+1)/2,"")</f>
        <v/>
      </c>
      <c r="AE1005" s="27">
        <f>IF(ISNUMBER($R1005),COUNTIFS($A$14:$A$1213,$A1005,$R$14:$R$1213,"&gt;"&amp;$R1005)+(COUNTIFS($A$14:$A$1213,$A1005,$R$14:$R$1213,"="&amp;$R1005)+1)/2,"")</f>
        <v/>
      </c>
      <c r="AF1005" s="27">
        <f>IF(ISNUMBER($S1005),COUNTIFS($A$14:$A$1213,$A1005,$S$14:$S$1213,"&gt;"&amp;$S1005)+(COUNTIFS($A$14:$A$1213,$A1005,$S$14:$S$1213,"="&amp;$S1005)+1)/2,"")</f>
        <v/>
      </c>
      <c r="AG1005" s="27">
        <f>IF(ISNUMBER($T1005),COUNTIFS($A$14:$A$1213,$A1005,$T$14:$T$1213,"&gt;"&amp;$T1005)+(COUNTIFS($A$14:$A$1213,$A1005,$T$14:$T$1213,"="&amp;$T1005)+1)/2,"")</f>
        <v/>
      </c>
      <c r="AH1005" s="27">
        <f>IF(COUNT($AC1005:$AG1005)&lt;2,"",IF(MAX($AC1005:$AG1005)=MIN($AC1005:$AG1005),0,1))</f>
        <v/>
      </c>
      <c r="AI1005" s="27">
        <f>IF($A1005="","",IF(COUNTIF($A$14:$A1005,$A1005)=1,COUNTIF($AI$13:AI1004,"&gt;0")+1,""))</f>
        <v/>
      </c>
      <c r="AO1005" s="27">
        <f>IF($A1005="","",IF(AND(COUNTIFS($A$14:$A$1213,$A1005,$F$14:$F$1213,"&gt;=0")=2,IFERROR(INDEX($M$14:$M$313,MATCH($A1005,$H$14:$H$313,0)),"Yes")&lt;&gt;"Yes"),1,0))</f>
        <v/>
      </c>
    </row>
    <row r="1006">
      <c r="A1006" s="19">
        <f>IF('Enter messages'!A1006="","",'Enter messages'!A1006)</f>
        <v/>
      </c>
      <c r="B1006" s="20">
        <f>IF('Enter messages'!B1006="","",'Enter messages'!B1006)</f>
        <v/>
      </c>
      <c r="C1006" s="21">
        <f>IFERROR(AVERAGE(P1006:T1006),"")</f>
        <v/>
      </c>
      <c r="D1006" s="29" t="n"/>
      <c r="E1006" s="29" t="n"/>
      <c r="F1006" s="30">
        <f>IF(AND(ISNUMBER($D1006),ISNUMBER($E1006),$E1006&gt;0,$D1006&lt;=$E1006),$D1006/$E1006,"")</f>
        <v/>
      </c>
      <c r="P1006" s="26" t="n"/>
      <c r="Q1006" s="26" t="n"/>
      <c r="R1006" s="26" t="n"/>
      <c r="S1006" s="26" t="n"/>
      <c r="T1006" s="26" t="n"/>
      <c r="V1006" s="27">
        <f>IF(ISNUMBER($C1006),COUNTIFS($A$14:$A$1213,$A1006,$C$14:$C$1213,"&gt;"&amp;$C1006)+(COUNTIFS($A$14:$A$1213,$A1006,$C$14:$C$1213,"="&amp;$C1006)+1)/2,"")</f>
        <v/>
      </c>
      <c r="W1006" s="27">
        <f>IF(ISNUMBER($F1006),COUNTIFS($A$14:$A$1213,$A1006,$F$14:$F$1213,"&gt;"&amp;$F1006)+(COUNTIFS($A$14:$A$1213,$A1006,$F$14:$F$1213,"="&amp;$F1006)+1)/2,"")</f>
        <v/>
      </c>
      <c r="X1006" s="27">
        <f>IF(OR(NOT(ISNUMBER($V1006)),$AO1006=1),"",$V1006-(COUNTIFS($A$14:$A$1213,$A1006,$C$14:$C$1213,"&gt;=0")+1)/2)</f>
        <v/>
      </c>
      <c r="Y1006" s="27">
        <f>IF(OR(NOT(ISNUMBER($W1006)),$AO1006=1),"",$W1006-(COUNTIFS($A$14:$A$1213,$A1006,$F$14:$F$1213,"&gt;=0")+1)/2)</f>
        <v/>
      </c>
      <c r="Z1006" s="27">
        <f>IF(ISNUMBER($V1006),$A1006&amp;"|"&amp;$V1006,"")</f>
        <v/>
      </c>
      <c r="AA1006" s="27">
        <f>IF(ISNUMBER($W1006),$A1006&amp;"|"&amp;$W1006,"")</f>
        <v/>
      </c>
      <c r="AB1006" s="27">
        <f>IF(ISNUMBER($F1006),$A1006&amp;"|"&amp;$F1006,"")</f>
        <v/>
      </c>
      <c r="AC1006" s="27">
        <f>IF(ISNUMBER($P1006),COUNTIFS($A$14:$A$1213,$A1006,$P$14:$P$1213,"&gt;"&amp;$P1006)+(COUNTIFS($A$14:$A$1213,$A1006,$P$14:$P$1213,"="&amp;$P1006)+1)/2,"")</f>
        <v/>
      </c>
      <c r="AD1006" s="27">
        <f>IF(ISNUMBER($Q1006),COUNTIFS($A$14:$A$1213,$A1006,$Q$14:$Q$1213,"&gt;"&amp;$Q1006)+(COUNTIFS($A$14:$A$1213,$A1006,$Q$14:$Q$1213,"="&amp;$Q1006)+1)/2,"")</f>
        <v/>
      </c>
      <c r="AE1006" s="27">
        <f>IF(ISNUMBER($R1006),COUNTIFS($A$14:$A$1213,$A1006,$R$14:$R$1213,"&gt;"&amp;$R1006)+(COUNTIFS($A$14:$A$1213,$A1006,$R$14:$R$1213,"="&amp;$R1006)+1)/2,"")</f>
        <v/>
      </c>
      <c r="AF1006" s="27">
        <f>IF(ISNUMBER($S1006),COUNTIFS($A$14:$A$1213,$A1006,$S$14:$S$1213,"&gt;"&amp;$S1006)+(COUNTIFS($A$14:$A$1213,$A1006,$S$14:$S$1213,"="&amp;$S1006)+1)/2,"")</f>
        <v/>
      </c>
      <c r="AG1006" s="27">
        <f>IF(ISNUMBER($T1006),COUNTIFS($A$14:$A$1213,$A1006,$T$14:$T$1213,"&gt;"&amp;$T1006)+(COUNTIFS($A$14:$A$1213,$A1006,$T$14:$T$1213,"="&amp;$T1006)+1)/2,"")</f>
        <v/>
      </c>
      <c r="AH1006" s="27">
        <f>IF(COUNT($AC1006:$AG1006)&lt;2,"",IF(MAX($AC1006:$AG1006)=MIN($AC1006:$AG1006),0,1))</f>
        <v/>
      </c>
      <c r="AI1006" s="27">
        <f>IF($A1006="","",IF(COUNTIF($A$14:$A1006,$A1006)=1,COUNTIF($AI$13:AI1005,"&gt;0")+1,""))</f>
        <v/>
      </c>
      <c r="AO1006" s="27">
        <f>IF($A1006="","",IF(AND(COUNTIFS($A$14:$A$1213,$A1006,$F$14:$F$1213,"&gt;=0")=2,IFERROR(INDEX($M$14:$M$313,MATCH($A1006,$H$14:$H$313,0)),"Yes")&lt;&gt;"Yes"),1,0))</f>
        <v/>
      </c>
    </row>
    <row r="1007">
      <c r="A1007" s="19">
        <f>IF('Enter messages'!A1007="","",'Enter messages'!A1007)</f>
        <v/>
      </c>
      <c r="B1007" s="20">
        <f>IF('Enter messages'!B1007="","",'Enter messages'!B1007)</f>
        <v/>
      </c>
      <c r="C1007" s="21">
        <f>IFERROR(AVERAGE(P1007:T1007),"")</f>
        <v/>
      </c>
      <c r="D1007" s="29" t="n"/>
      <c r="E1007" s="29" t="n"/>
      <c r="F1007" s="30">
        <f>IF(AND(ISNUMBER($D1007),ISNUMBER($E1007),$E1007&gt;0,$D1007&lt;=$E1007),$D1007/$E1007,"")</f>
        <v/>
      </c>
      <c r="P1007" s="26" t="n"/>
      <c r="Q1007" s="26" t="n"/>
      <c r="R1007" s="26" t="n"/>
      <c r="S1007" s="26" t="n"/>
      <c r="T1007" s="26" t="n"/>
      <c r="V1007" s="27">
        <f>IF(ISNUMBER($C1007),COUNTIFS($A$14:$A$1213,$A1007,$C$14:$C$1213,"&gt;"&amp;$C1007)+(COUNTIFS($A$14:$A$1213,$A1007,$C$14:$C$1213,"="&amp;$C1007)+1)/2,"")</f>
        <v/>
      </c>
      <c r="W1007" s="27">
        <f>IF(ISNUMBER($F1007),COUNTIFS($A$14:$A$1213,$A1007,$F$14:$F$1213,"&gt;"&amp;$F1007)+(COUNTIFS($A$14:$A$1213,$A1007,$F$14:$F$1213,"="&amp;$F1007)+1)/2,"")</f>
        <v/>
      </c>
      <c r="X1007" s="27">
        <f>IF(OR(NOT(ISNUMBER($V1007)),$AO1007=1),"",$V1007-(COUNTIFS($A$14:$A$1213,$A1007,$C$14:$C$1213,"&gt;=0")+1)/2)</f>
        <v/>
      </c>
      <c r="Y1007" s="27">
        <f>IF(OR(NOT(ISNUMBER($W1007)),$AO1007=1),"",$W1007-(COUNTIFS($A$14:$A$1213,$A1007,$F$14:$F$1213,"&gt;=0")+1)/2)</f>
        <v/>
      </c>
      <c r="Z1007" s="27">
        <f>IF(ISNUMBER($V1007),$A1007&amp;"|"&amp;$V1007,"")</f>
        <v/>
      </c>
      <c r="AA1007" s="27">
        <f>IF(ISNUMBER($W1007),$A1007&amp;"|"&amp;$W1007,"")</f>
        <v/>
      </c>
      <c r="AB1007" s="27">
        <f>IF(ISNUMBER($F1007),$A1007&amp;"|"&amp;$F1007,"")</f>
        <v/>
      </c>
      <c r="AC1007" s="27">
        <f>IF(ISNUMBER($P1007),COUNTIFS($A$14:$A$1213,$A1007,$P$14:$P$1213,"&gt;"&amp;$P1007)+(COUNTIFS($A$14:$A$1213,$A1007,$P$14:$P$1213,"="&amp;$P1007)+1)/2,"")</f>
        <v/>
      </c>
      <c r="AD1007" s="27">
        <f>IF(ISNUMBER($Q1007),COUNTIFS($A$14:$A$1213,$A1007,$Q$14:$Q$1213,"&gt;"&amp;$Q1007)+(COUNTIFS($A$14:$A$1213,$A1007,$Q$14:$Q$1213,"="&amp;$Q1007)+1)/2,"")</f>
        <v/>
      </c>
      <c r="AE1007" s="27">
        <f>IF(ISNUMBER($R1007),COUNTIFS($A$14:$A$1213,$A1007,$R$14:$R$1213,"&gt;"&amp;$R1007)+(COUNTIFS($A$14:$A$1213,$A1007,$R$14:$R$1213,"="&amp;$R1007)+1)/2,"")</f>
        <v/>
      </c>
      <c r="AF1007" s="27">
        <f>IF(ISNUMBER($S1007),COUNTIFS($A$14:$A$1213,$A1007,$S$14:$S$1213,"&gt;"&amp;$S1007)+(COUNTIFS($A$14:$A$1213,$A1007,$S$14:$S$1213,"="&amp;$S1007)+1)/2,"")</f>
        <v/>
      </c>
      <c r="AG1007" s="27">
        <f>IF(ISNUMBER($T1007),COUNTIFS($A$14:$A$1213,$A1007,$T$14:$T$1213,"&gt;"&amp;$T1007)+(COUNTIFS($A$14:$A$1213,$A1007,$T$14:$T$1213,"="&amp;$T1007)+1)/2,"")</f>
        <v/>
      </c>
      <c r="AH1007" s="27">
        <f>IF(COUNT($AC1007:$AG1007)&lt;2,"",IF(MAX($AC1007:$AG1007)=MIN($AC1007:$AG1007),0,1))</f>
        <v/>
      </c>
      <c r="AI1007" s="27">
        <f>IF($A1007="","",IF(COUNTIF($A$14:$A1007,$A1007)=1,COUNTIF($AI$13:AI1006,"&gt;0")+1,""))</f>
        <v/>
      </c>
      <c r="AO1007" s="27">
        <f>IF($A1007="","",IF(AND(COUNTIFS($A$14:$A$1213,$A1007,$F$14:$F$1213,"&gt;=0")=2,IFERROR(INDEX($M$14:$M$313,MATCH($A1007,$H$14:$H$313,0)),"Yes")&lt;&gt;"Yes"),1,0))</f>
        <v/>
      </c>
    </row>
    <row r="1008">
      <c r="A1008" s="19">
        <f>IF('Enter messages'!A1008="","",'Enter messages'!A1008)</f>
        <v/>
      </c>
      <c r="B1008" s="20">
        <f>IF('Enter messages'!B1008="","",'Enter messages'!B1008)</f>
        <v/>
      </c>
      <c r="C1008" s="21">
        <f>IFERROR(AVERAGE(P1008:T1008),"")</f>
        <v/>
      </c>
      <c r="D1008" s="29" t="n"/>
      <c r="E1008" s="29" t="n"/>
      <c r="F1008" s="30">
        <f>IF(AND(ISNUMBER($D1008),ISNUMBER($E1008),$E1008&gt;0,$D1008&lt;=$E1008),$D1008/$E1008,"")</f>
        <v/>
      </c>
      <c r="P1008" s="26" t="n"/>
      <c r="Q1008" s="26" t="n"/>
      <c r="R1008" s="26" t="n"/>
      <c r="S1008" s="26" t="n"/>
      <c r="T1008" s="26" t="n"/>
      <c r="V1008" s="27">
        <f>IF(ISNUMBER($C1008),COUNTIFS($A$14:$A$1213,$A1008,$C$14:$C$1213,"&gt;"&amp;$C1008)+(COUNTIFS($A$14:$A$1213,$A1008,$C$14:$C$1213,"="&amp;$C1008)+1)/2,"")</f>
        <v/>
      </c>
      <c r="W1008" s="27">
        <f>IF(ISNUMBER($F1008),COUNTIFS($A$14:$A$1213,$A1008,$F$14:$F$1213,"&gt;"&amp;$F1008)+(COUNTIFS($A$14:$A$1213,$A1008,$F$14:$F$1213,"="&amp;$F1008)+1)/2,"")</f>
        <v/>
      </c>
      <c r="X1008" s="27">
        <f>IF(OR(NOT(ISNUMBER($V1008)),$AO1008=1),"",$V1008-(COUNTIFS($A$14:$A$1213,$A1008,$C$14:$C$1213,"&gt;=0")+1)/2)</f>
        <v/>
      </c>
      <c r="Y1008" s="27">
        <f>IF(OR(NOT(ISNUMBER($W1008)),$AO1008=1),"",$W1008-(COUNTIFS($A$14:$A$1213,$A1008,$F$14:$F$1213,"&gt;=0")+1)/2)</f>
        <v/>
      </c>
      <c r="Z1008" s="27">
        <f>IF(ISNUMBER($V1008),$A1008&amp;"|"&amp;$V1008,"")</f>
        <v/>
      </c>
      <c r="AA1008" s="27">
        <f>IF(ISNUMBER($W1008),$A1008&amp;"|"&amp;$W1008,"")</f>
        <v/>
      </c>
      <c r="AB1008" s="27">
        <f>IF(ISNUMBER($F1008),$A1008&amp;"|"&amp;$F1008,"")</f>
        <v/>
      </c>
      <c r="AC1008" s="27">
        <f>IF(ISNUMBER($P1008),COUNTIFS($A$14:$A$1213,$A1008,$P$14:$P$1213,"&gt;"&amp;$P1008)+(COUNTIFS($A$14:$A$1213,$A1008,$P$14:$P$1213,"="&amp;$P1008)+1)/2,"")</f>
        <v/>
      </c>
      <c r="AD1008" s="27">
        <f>IF(ISNUMBER($Q1008),COUNTIFS($A$14:$A$1213,$A1008,$Q$14:$Q$1213,"&gt;"&amp;$Q1008)+(COUNTIFS($A$14:$A$1213,$A1008,$Q$14:$Q$1213,"="&amp;$Q1008)+1)/2,"")</f>
        <v/>
      </c>
      <c r="AE1008" s="27">
        <f>IF(ISNUMBER($R1008),COUNTIFS($A$14:$A$1213,$A1008,$R$14:$R$1213,"&gt;"&amp;$R1008)+(COUNTIFS($A$14:$A$1213,$A1008,$R$14:$R$1213,"="&amp;$R1008)+1)/2,"")</f>
        <v/>
      </c>
      <c r="AF1008" s="27">
        <f>IF(ISNUMBER($S1008),COUNTIFS($A$14:$A$1213,$A1008,$S$14:$S$1213,"&gt;"&amp;$S1008)+(COUNTIFS($A$14:$A$1213,$A1008,$S$14:$S$1213,"="&amp;$S1008)+1)/2,"")</f>
        <v/>
      </c>
      <c r="AG1008" s="27">
        <f>IF(ISNUMBER($T1008),COUNTIFS($A$14:$A$1213,$A1008,$T$14:$T$1213,"&gt;"&amp;$T1008)+(COUNTIFS($A$14:$A$1213,$A1008,$T$14:$T$1213,"="&amp;$T1008)+1)/2,"")</f>
        <v/>
      </c>
      <c r="AH1008" s="27">
        <f>IF(COUNT($AC1008:$AG1008)&lt;2,"",IF(MAX($AC1008:$AG1008)=MIN($AC1008:$AG1008),0,1))</f>
        <v/>
      </c>
      <c r="AI1008" s="27">
        <f>IF($A1008="","",IF(COUNTIF($A$14:$A1008,$A1008)=1,COUNTIF($AI$13:AI1007,"&gt;0")+1,""))</f>
        <v/>
      </c>
      <c r="AO1008" s="27">
        <f>IF($A1008="","",IF(AND(COUNTIFS($A$14:$A$1213,$A1008,$F$14:$F$1213,"&gt;=0")=2,IFERROR(INDEX($M$14:$M$313,MATCH($A1008,$H$14:$H$313,0)),"Yes")&lt;&gt;"Yes"),1,0))</f>
        <v/>
      </c>
    </row>
    <row r="1009">
      <c r="A1009" s="19">
        <f>IF('Enter messages'!A1009="","",'Enter messages'!A1009)</f>
        <v/>
      </c>
      <c r="B1009" s="20">
        <f>IF('Enter messages'!B1009="","",'Enter messages'!B1009)</f>
        <v/>
      </c>
      <c r="C1009" s="21">
        <f>IFERROR(AVERAGE(P1009:T1009),"")</f>
        <v/>
      </c>
      <c r="D1009" s="29" t="n"/>
      <c r="E1009" s="29" t="n"/>
      <c r="F1009" s="30">
        <f>IF(AND(ISNUMBER($D1009),ISNUMBER($E1009),$E1009&gt;0,$D1009&lt;=$E1009),$D1009/$E1009,"")</f>
        <v/>
      </c>
      <c r="P1009" s="26" t="n"/>
      <c r="Q1009" s="26" t="n"/>
      <c r="R1009" s="26" t="n"/>
      <c r="S1009" s="26" t="n"/>
      <c r="T1009" s="26" t="n"/>
      <c r="V1009" s="27">
        <f>IF(ISNUMBER($C1009),COUNTIFS($A$14:$A$1213,$A1009,$C$14:$C$1213,"&gt;"&amp;$C1009)+(COUNTIFS($A$14:$A$1213,$A1009,$C$14:$C$1213,"="&amp;$C1009)+1)/2,"")</f>
        <v/>
      </c>
      <c r="W1009" s="27">
        <f>IF(ISNUMBER($F1009),COUNTIFS($A$14:$A$1213,$A1009,$F$14:$F$1213,"&gt;"&amp;$F1009)+(COUNTIFS($A$14:$A$1213,$A1009,$F$14:$F$1213,"="&amp;$F1009)+1)/2,"")</f>
        <v/>
      </c>
      <c r="X1009" s="27">
        <f>IF(OR(NOT(ISNUMBER($V1009)),$AO1009=1),"",$V1009-(COUNTIFS($A$14:$A$1213,$A1009,$C$14:$C$1213,"&gt;=0")+1)/2)</f>
        <v/>
      </c>
      <c r="Y1009" s="27">
        <f>IF(OR(NOT(ISNUMBER($W1009)),$AO1009=1),"",$W1009-(COUNTIFS($A$14:$A$1213,$A1009,$F$14:$F$1213,"&gt;=0")+1)/2)</f>
        <v/>
      </c>
      <c r="Z1009" s="27">
        <f>IF(ISNUMBER($V1009),$A1009&amp;"|"&amp;$V1009,"")</f>
        <v/>
      </c>
      <c r="AA1009" s="27">
        <f>IF(ISNUMBER($W1009),$A1009&amp;"|"&amp;$W1009,"")</f>
        <v/>
      </c>
      <c r="AB1009" s="27">
        <f>IF(ISNUMBER($F1009),$A1009&amp;"|"&amp;$F1009,"")</f>
        <v/>
      </c>
      <c r="AC1009" s="27">
        <f>IF(ISNUMBER($P1009),COUNTIFS($A$14:$A$1213,$A1009,$P$14:$P$1213,"&gt;"&amp;$P1009)+(COUNTIFS($A$14:$A$1213,$A1009,$P$14:$P$1213,"="&amp;$P1009)+1)/2,"")</f>
        <v/>
      </c>
      <c r="AD1009" s="27">
        <f>IF(ISNUMBER($Q1009),COUNTIFS($A$14:$A$1213,$A1009,$Q$14:$Q$1213,"&gt;"&amp;$Q1009)+(COUNTIFS($A$14:$A$1213,$A1009,$Q$14:$Q$1213,"="&amp;$Q1009)+1)/2,"")</f>
        <v/>
      </c>
      <c r="AE1009" s="27">
        <f>IF(ISNUMBER($R1009),COUNTIFS($A$14:$A$1213,$A1009,$R$14:$R$1213,"&gt;"&amp;$R1009)+(COUNTIFS($A$14:$A$1213,$A1009,$R$14:$R$1213,"="&amp;$R1009)+1)/2,"")</f>
        <v/>
      </c>
      <c r="AF1009" s="27">
        <f>IF(ISNUMBER($S1009),COUNTIFS($A$14:$A$1213,$A1009,$S$14:$S$1213,"&gt;"&amp;$S1009)+(COUNTIFS($A$14:$A$1213,$A1009,$S$14:$S$1213,"="&amp;$S1009)+1)/2,"")</f>
        <v/>
      </c>
      <c r="AG1009" s="27">
        <f>IF(ISNUMBER($T1009),COUNTIFS($A$14:$A$1213,$A1009,$T$14:$T$1213,"&gt;"&amp;$T1009)+(COUNTIFS($A$14:$A$1213,$A1009,$T$14:$T$1213,"="&amp;$T1009)+1)/2,"")</f>
        <v/>
      </c>
      <c r="AH1009" s="27">
        <f>IF(COUNT($AC1009:$AG1009)&lt;2,"",IF(MAX($AC1009:$AG1009)=MIN($AC1009:$AG1009),0,1))</f>
        <v/>
      </c>
      <c r="AI1009" s="27">
        <f>IF($A1009="","",IF(COUNTIF($A$14:$A1009,$A1009)=1,COUNTIF($AI$13:AI1008,"&gt;0")+1,""))</f>
        <v/>
      </c>
      <c r="AO1009" s="27">
        <f>IF($A1009="","",IF(AND(COUNTIFS($A$14:$A$1213,$A1009,$F$14:$F$1213,"&gt;=0")=2,IFERROR(INDEX($M$14:$M$313,MATCH($A1009,$H$14:$H$313,0)),"Yes")&lt;&gt;"Yes"),1,0))</f>
        <v/>
      </c>
    </row>
    <row r="1010">
      <c r="A1010" s="19">
        <f>IF('Enter messages'!A1010="","",'Enter messages'!A1010)</f>
        <v/>
      </c>
      <c r="B1010" s="20">
        <f>IF('Enter messages'!B1010="","",'Enter messages'!B1010)</f>
        <v/>
      </c>
      <c r="C1010" s="21">
        <f>IFERROR(AVERAGE(P1010:T1010),"")</f>
        <v/>
      </c>
      <c r="D1010" s="29" t="n"/>
      <c r="E1010" s="29" t="n"/>
      <c r="F1010" s="30">
        <f>IF(AND(ISNUMBER($D1010),ISNUMBER($E1010),$E1010&gt;0,$D1010&lt;=$E1010),$D1010/$E1010,"")</f>
        <v/>
      </c>
      <c r="P1010" s="26" t="n"/>
      <c r="Q1010" s="26" t="n"/>
      <c r="R1010" s="26" t="n"/>
      <c r="S1010" s="26" t="n"/>
      <c r="T1010" s="26" t="n"/>
      <c r="V1010" s="27">
        <f>IF(ISNUMBER($C1010),COUNTIFS($A$14:$A$1213,$A1010,$C$14:$C$1213,"&gt;"&amp;$C1010)+(COUNTIFS($A$14:$A$1213,$A1010,$C$14:$C$1213,"="&amp;$C1010)+1)/2,"")</f>
        <v/>
      </c>
      <c r="W1010" s="27">
        <f>IF(ISNUMBER($F1010),COUNTIFS($A$14:$A$1213,$A1010,$F$14:$F$1213,"&gt;"&amp;$F1010)+(COUNTIFS($A$14:$A$1213,$A1010,$F$14:$F$1213,"="&amp;$F1010)+1)/2,"")</f>
        <v/>
      </c>
      <c r="X1010" s="27">
        <f>IF(OR(NOT(ISNUMBER($V1010)),$AO1010=1),"",$V1010-(COUNTIFS($A$14:$A$1213,$A1010,$C$14:$C$1213,"&gt;=0")+1)/2)</f>
        <v/>
      </c>
      <c r="Y1010" s="27">
        <f>IF(OR(NOT(ISNUMBER($W1010)),$AO1010=1),"",$W1010-(COUNTIFS($A$14:$A$1213,$A1010,$F$14:$F$1213,"&gt;=0")+1)/2)</f>
        <v/>
      </c>
      <c r="Z1010" s="27">
        <f>IF(ISNUMBER($V1010),$A1010&amp;"|"&amp;$V1010,"")</f>
        <v/>
      </c>
      <c r="AA1010" s="27">
        <f>IF(ISNUMBER($W1010),$A1010&amp;"|"&amp;$W1010,"")</f>
        <v/>
      </c>
      <c r="AB1010" s="27">
        <f>IF(ISNUMBER($F1010),$A1010&amp;"|"&amp;$F1010,"")</f>
        <v/>
      </c>
      <c r="AC1010" s="27">
        <f>IF(ISNUMBER($P1010),COUNTIFS($A$14:$A$1213,$A1010,$P$14:$P$1213,"&gt;"&amp;$P1010)+(COUNTIFS($A$14:$A$1213,$A1010,$P$14:$P$1213,"="&amp;$P1010)+1)/2,"")</f>
        <v/>
      </c>
      <c r="AD1010" s="27">
        <f>IF(ISNUMBER($Q1010),COUNTIFS($A$14:$A$1213,$A1010,$Q$14:$Q$1213,"&gt;"&amp;$Q1010)+(COUNTIFS($A$14:$A$1213,$A1010,$Q$14:$Q$1213,"="&amp;$Q1010)+1)/2,"")</f>
        <v/>
      </c>
      <c r="AE1010" s="27">
        <f>IF(ISNUMBER($R1010),COUNTIFS($A$14:$A$1213,$A1010,$R$14:$R$1213,"&gt;"&amp;$R1010)+(COUNTIFS($A$14:$A$1213,$A1010,$R$14:$R$1213,"="&amp;$R1010)+1)/2,"")</f>
        <v/>
      </c>
      <c r="AF1010" s="27">
        <f>IF(ISNUMBER($S1010),COUNTIFS($A$14:$A$1213,$A1010,$S$14:$S$1213,"&gt;"&amp;$S1010)+(COUNTIFS($A$14:$A$1213,$A1010,$S$14:$S$1213,"="&amp;$S1010)+1)/2,"")</f>
        <v/>
      </c>
      <c r="AG1010" s="27">
        <f>IF(ISNUMBER($T1010),COUNTIFS($A$14:$A$1213,$A1010,$T$14:$T$1213,"&gt;"&amp;$T1010)+(COUNTIFS($A$14:$A$1213,$A1010,$T$14:$T$1213,"="&amp;$T1010)+1)/2,"")</f>
        <v/>
      </c>
      <c r="AH1010" s="27">
        <f>IF(COUNT($AC1010:$AG1010)&lt;2,"",IF(MAX($AC1010:$AG1010)=MIN($AC1010:$AG1010),0,1))</f>
        <v/>
      </c>
      <c r="AI1010" s="27">
        <f>IF($A1010="","",IF(COUNTIF($A$14:$A1010,$A1010)=1,COUNTIF($AI$13:AI1009,"&gt;0")+1,""))</f>
        <v/>
      </c>
      <c r="AO1010" s="27">
        <f>IF($A1010="","",IF(AND(COUNTIFS($A$14:$A$1213,$A1010,$F$14:$F$1213,"&gt;=0")=2,IFERROR(INDEX($M$14:$M$313,MATCH($A1010,$H$14:$H$313,0)),"Yes")&lt;&gt;"Yes"),1,0))</f>
        <v/>
      </c>
    </row>
    <row r="1011">
      <c r="A1011" s="19">
        <f>IF('Enter messages'!A1011="","",'Enter messages'!A1011)</f>
        <v/>
      </c>
      <c r="B1011" s="20">
        <f>IF('Enter messages'!B1011="","",'Enter messages'!B1011)</f>
        <v/>
      </c>
      <c r="C1011" s="21">
        <f>IFERROR(AVERAGE(P1011:T1011),"")</f>
        <v/>
      </c>
      <c r="D1011" s="29" t="n"/>
      <c r="E1011" s="29" t="n"/>
      <c r="F1011" s="30">
        <f>IF(AND(ISNUMBER($D1011),ISNUMBER($E1011),$E1011&gt;0,$D1011&lt;=$E1011),$D1011/$E1011,"")</f>
        <v/>
      </c>
      <c r="P1011" s="26" t="n"/>
      <c r="Q1011" s="26" t="n"/>
      <c r="R1011" s="26" t="n"/>
      <c r="S1011" s="26" t="n"/>
      <c r="T1011" s="26" t="n"/>
      <c r="V1011" s="27">
        <f>IF(ISNUMBER($C1011),COUNTIFS($A$14:$A$1213,$A1011,$C$14:$C$1213,"&gt;"&amp;$C1011)+(COUNTIFS($A$14:$A$1213,$A1011,$C$14:$C$1213,"="&amp;$C1011)+1)/2,"")</f>
        <v/>
      </c>
      <c r="W1011" s="27">
        <f>IF(ISNUMBER($F1011),COUNTIFS($A$14:$A$1213,$A1011,$F$14:$F$1213,"&gt;"&amp;$F1011)+(COUNTIFS($A$14:$A$1213,$A1011,$F$14:$F$1213,"="&amp;$F1011)+1)/2,"")</f>
        <v/>
      </c>
      <c r="X1011" s="27">
        <f>IF(OR(NOT(ISNUMBER($V1011)),$AO1011=1),"",$V1011-(COUNTIFS($A$14:$A$1213,$A1011,$C$14:$C$1213,"&gt;=0")+1)/2)</f>
        <v/>
      </c>
      <c r="Y1011" s="27">
        <f>IF(OR(NOT(ISNUMBER($W1011)),$AO1011=1),"",$W1011-(COUNTIFS($A$14:$A$1213,$A1011,$F$14:$F$1213,"&gt;=0")+1)/2)</f>
        <v/>
      </c>
      <c r="Z1011" s="27">
        <f>IF(ISNUMBER($V1011),$A1011&amp;"|"&amp;$V1011,"")</f>
        <v/>
      </c>
      <c r="AA1011" s="27">
        <f>IF(ISNUMBER($W1011),$A1011&amp;"|"&amp;$W1011,"")</f>
        <v/>
      </c>
      <c r="AB1011" s="27">
        <f>IF(ISNUMBER($F1011),$A1011&amp;"|"&amp;$F1011,"")</f>
        <v/>
      </c>
      <c r="AC1011" s="27">
        <f>IF(ISNUMBER($P1011),COUNTIFS($A$14:$A$1213,$A1011,$P$14:$P$1213,"&gt;"&amp;$P1011)+(COUNTIFS($A$14:$A$1213,$A1011,$P$14:$P$1213,"="&amp;$P1011)+1)/2,"")</f>
        <v/>
      </c>
      <c r="AD1011" s="27">
        <f>IF(ISNUMBER($Q1011),COUNTIFS($A$14:$A$1213,$A1011,$Q$14:$Q$1213,"&gt;"&amp;$Q1011)+(COUNTIFS($A$14:$A$1213,$A1011,$Q$14:$Q$1213,"="&amp;$Q1011)+1)/2,"")</f>
        <v/>
      </c>
      <c r="AE1011" s="27">
        <f>IF(ISNUMBER($R1011),COUNTIFS($A$14:$A$1213,$A1011,$R$14:$R$1213,"&gt;"&amp;$R1011)+(COUNTIFS($A$14:$A$1213,$A1011,$R$14:$R$1213,"="&amp;$R1011)+1)/2,"")</f>
        <v/>
      </c>
      <c r="AF1011" s="27">
        <f>IF(ISNUMBER($S1011),COUNTIFS($A$14:$A$1213,$A1011,$S$14:$S$1213,"&gt;"&amp;$S1011)+(COUNTIFS($A$14:$A$1213,$A1011,$S$14:$S$1213,"="&amp;$S1011)+1)/2,"")</f>
        <v/>
      </c>
      <c r="AG1011" s="27">
        <f>IF(ISNUMBER($T1011),COUNTIFS($A$14:$A$1213,$A1011,$T$14:$T$1213,"&gt;"&amp;$T1011)+(COUNTIFS($A$14:$A$1213,$A1011,$T$14:$T$1213,"="&amp;$T1011)+1)/2,"")</f>
        <v/>
      </c>
      <c r="AH1011" s="27">
        <f>IF(COUNT($AC1011:$AG1011)&lt;2,"",IF(MAX($AC1011:$AG1011)=MIN($AC1011:$AG1011),0,1))</f>
        <v/>
      </c>
      <c r="AI1011" s="27">
        <f>IF($A1011="","",IF(COUNTIF($A$14:$A1011,$A1011)=1,COUNTIF($AI$13:AI1010,"&gt;0")+1,""))</f>
        <v/>
      </c>
      <c r="AO1011" s="27">
        <f>IF($A1011="","",IF(AND(COUNTIFS($A$14:$A$1213,$A1011,$F$14:$F$1213,"&gt;=0")=2,IFERROR(INDEX($M$14:$M$313,MATCH($A1011,$H$14:$H$313,0)),"Yes")&lt;&gt;"Yes"),1,0))</f>
        <v/>
      </c>
    </row>
    <row r="1012">
      <c r="A1012" s="19">
        <f>IF('Enter messages'!A1012="","",'Enter messages'!A1012)</f>
        <v/>
      </c>
      <c r="B1012" s="20">
        <f>IF('Enter messages'!B1012="","",'Enter messages'!B1012)</f>
        <v/>
      </c>
      <c r="C1012" s="21">
        <f>IFERROR(AVERAGE(P1012:T1012),"")</f>
        <v/>
      </c>
      <c r="D1012" s="29" t="n"/>
      <c r="E1012" s="29" t="n"/>
      <c r="F1012" s="30">
        <f>IF(AND(ISNUMBER($D1012),ISNUMBER($E1012),$E1012&gt;0,$D1012&lt;=$E1012),$D1012/$E1012,"")</f>
        <v/>
      </c>
      <c r="P1012" s="26" t="n"/>
      <c r="Q1012" s="26" t="n"/>
      <c r="R1012" s="26" t="n"/>
      <c r="S1012" s="26" t="n"/>
      <c r="T1012" s="26" t="n"/>
      <c r="V1012" s="27">
        <f>IF(ISNUMBER($C1012),COUNTIFS($A$14:$A$1213,$A1012,$C$14:$C$1213,"&gt;"&amp;$C1012)+(COUNTIFS($A$14:$A$1213,$A1012,$C$14:$C$1213,"="&amp;$C1012)+1)/2,"")</f>
        <v/>
      </c>
      <c r="W1012" s="27">
        <f>IF(ISNUMBER($F1012),COUNTIFS($A$14:$A$1213,$A1012,$F$14:$F$1213,"&gt;"&amp;$F1012)+(COUNTIFS($A$14:$A$1213,$A1012,$F$14:$F$1213,"="&amp;$F1012)+1)/2,"")</f>
        <v/>
      </c>
      <c r="X1012" s="27">
        <f>IF(OR(NOT(ISNUMBER($V1012)),$AO1012=1),"",$V1012-(COUNTIFS($A$14:$A$1213,$A1012,$C$14:$C$1213,"&gt;=0")+1)/2)</f>
        <v/>
      </c>
      <c r="Y1012" s="27">
        <f>IF(OR(NOT(ISNUMBER($W1012)),$AO1012=1),"",$W1012-(COUNTIFS($A$14:$A$1213,$A1012,$F$14:$F$1213,"&gt;=0")+1)/2)</f>
        <v/>
      </c>
      <c r="Z1012" s="27">
        <f>IF(ISNUMBER($V1012),$A1012&amp;"|"&amp;$V1012,"")</f>
        <v/>
      </c>
      <c r="AA1012" s="27">
        <f>IF(ISNUMBER($W1012),$A1012&amp;"|"&amp;$W1012,"")</f>
        <v/>
      </c>
      <c r="AB1012" s="27">
        <f>IF(ISNUMBER($F1012),$A1012&amp;"|"&amp;$F1012,"")</f>
        <v/>
      </c>
      <c r="AC1012" s="27">
        <f>IF(ISNUMBER($P1012),COUNTIFS($A$14:$A$1213,$A1012,$P$14:$P$1213,"&gt;"&amp;$P1012)+(COUNTIFS($A$14:$A$1213,$A1012,$P$14:$P$1213,"="&amp;$P1012)+1)/2,"")</f>
        <v/>
      </c>
      <c r="AD1012" s="27">
        <f>IF(ISNUMBER($Q1012),COUNTIFS($A$14:$A$1213,$A1012,$Q$14:$Q$1213,"&gt;"&amp;$Q1012)+(COUNTIFS($A$14:$A$1213,$A1012,$Q$14:$Q$1213,"="&amp;$Q1012)+1)/2,"")</f>
        <v/>
      </c>
      <c r="AE1012" s="27">
        <f>IF(ISNUMBER($R1012),COUNTIFS($A$14:$A$1213,$A1012,$R$14:$R$1213,"&gt;"&amp;$R1012)+(COUNTIFS($A$14:$A$1213,$A1012,$R$14:$R$1213,"="&amp;$R1012)+1)/2,"")</f>
        <v/>
      </c>
      <c r="AF1012" s="27">
        <f>IF(ISNUMBER($S1012),COUNTIFS($A$14:$A$1213,$A1012,$S$14:$S$1213,"&gt;"&amp;$S1012)+(COUNTIFS($A$14:$A$1213,$A1012,$S$14:$S$1213,"="&amp;$S1012)+1)/2,"")</f>
        <v/>
      </c>
      <c r="AG1012" s="27">
        <f>IF(ISNUMBER($T1012),COUNTIFS($A$14:$A$1213,$A1012,$T$14:$T$1213,"&gt;"&amp;$T1012)+(COUNTIFS($A$14:$A$1213,$A1012,$T$14:$T$1213,"="&amp;$T1012)+1)/2,"")</f>
        <v/>
      </c>
      <c r="AH1012" s="27">
        <f>IF(COUNT($AC1012:$AG1012)&lt;2,"",IF(MAX($AC1012:$AG1012)=MIN($AC1012:$AG1012),0,1))</f>
        <v/>
      </c>
      <c r="AI1012" s="27">
        <f>IF($A1012="","",IF(COUNTIF($A$14:$A1012,$A1012)=1,COUNTIF($AI$13:AI1011,"&gt;0")+1,""))</f>
        <v/>
      </c>
      <c r="AO1012" s="27">
        <f>IF($A1012="","",IF(AND(COUNTIFS($A$14:$A$1213,$A1012,$F$14:$F$1213,"&gt;=0")=2,IFERROR(INDEX($M$14:$M$313,MATCH($A1012,$H$14:$H$313,0)),"Yes")&lt;&gt;"Yes"),1,0))</f>
        <v/>
      </c>
    </row>
    <row r="1013">
      <c r="A1013" s="19">
        <f>IF('Enter messages'!A1013="","",'Enter messages'!A1013)</f>
        <v/>
      </c>
      <c r="B1013" s="20">
        <f>IF('Enter messages'!B1013="","",'Enter messages'!B1013)</f>
        <v/>
      </c>
      <c r="C1013" s="21">
        <f>IFERROR(AVERAGE(P1013:T1013),"")</f>
        <v/>
      </c>
      <c r="D1013" s="29" t="n"/>
      <c r="E1013" s="29" t="n"/>
      <c r="F1013" s="30">
        <f>IF(AND(ISNUMBER($D1013),ISNUMBER($E1013),$E1013&gt;0,$D1013&lt;=$E1013),$D1013/$E1013,"")</f>
        <v/>
      </c>
      <c r="P1013" s="26" t="n"/>
      <c r="Q1013" s="26" t="n"/>
      <c r="R1013" s="26" t="n"/>
      <c r="S1013" s="26" t="n"/>
      <c r="T1013" s="26" t="n"/>
      <c r="V1013" s="27">
        <f>IF(ISNUMBER($C1013),COUNTIFS($A$14:$A$1213,$A1013,$C$14:$C$1213,"&gt;"&amp;$C1013)+(COUNTIFS($A$14:$A$1213,$A1013,$C$14:$C$1213,"="&amp;$C1013)+1)/2,"")</f>
        <v/>
      </c>
      <c r="W1013" s="27">
        <f>IF(ISNUMBER($F1013),COUNTIFS($A$14:$A$1213,$A1013,$F$14:$F$1213,"&gt;"&amp;$F1013)+(COUNTIFS($A$14:$A$1213,$A1013,$F$14:$F$1213,"="&amp;$F1013)+1)/2,"")</f>
        <v/>
      </c>
      <c r="X1013" s="27">
        <f>IF(OR(NOT(ISNUMBER($V1013)),$AO1013=1),"",$V1013-(COUNTIFS($A$14:$A$1213,$A1013,$C$14:$C$1213,"&gt;=0")+1)/2)</f>
        <v/>
      </c>
      <c r="Y1013" s="27">
        <f>IF(OR(NOT(ISNUMBER($W1013)),$AO1013=1),"",$W1013-(COUNTIFS($A$14:$A$1213,$A1013,$F$14:$F$1213,"&gt;=0")+1)/2)</f>
        <v/>
      </c>
      <c r="Z1013" s="27">
        <f>IF(ISNUMBER($V1013),$A1013&amp;"|"&amp;$V1013,"")</f>
        <v/>
      </c>
      <c r="AA1013" s="27">
        <f>IF(ISNUMBER($W1013),$A1013&amp;"|"&amp;$W1013,"")</f>
        <v/>
      </c>
      <c r="AB1013" s="27">
        <f>IF(ISNUMBER($F1013),$A1013&amp;"|"&amp;$F1013,"")</f>
        <v/>
      </c>
      <c r="AC1013" s="27">
        <f>IF(ISNUMBER($P1013),COUNTIFS($A$14:$A$1213,$A1013,$P$14:$P$1213,"&gt;"&amp;$P1013)+(COUNTIFS($A$14:$A$1213,$A1013,$P$14:$P$1213,"="&amp;$P1013)+1)/2,"")</f>
        <v/>
      </c>
      <c r="AD1013" s="27">
        <f>IF(ISNUMBER($Q1013),COUNTIFS($A$14:$A$1213,$A1013,$Q$14:$Q$1213,"&gt;"&amp;$Q1013)+(COUNTIFS($A$14:$A$1213,$A1013,$Q$14:$Q$1213,"="&amp;$Q1013)+1)/2,"")</f>
        <v/>
      </c>
      <c r="AE1013" s="27">
        <f>IF(ISNUMBER($R1013),COUNTIFS($A$14:$A$1213,$A1013,$R$14:$R$1213,"&gt;"&amp;$R1013)+(COUNTIFS($A$14:$A$1213,$A1013,$R$14:$R$1213,"="&amp;$R1013)+1)/2,"")</f>
        <v/>
      </c>
      <c r="AF1013" s="27">
        <f>IF(ISNUMBER($S1013),COUNTIFS($A$14:$A$1213,$A1013,$S$14:$S$1213,"&gt;"&amp;$S1013)+(COUNTIFS($A$14:$A$1213,$A1013,$S$14:$S$1213,"="&amp;$S1013)+1)/2,"")</f>
        <v/>
      </c>
      <c r="AG1013" s="27">
        <f>IF(ISNUMBER($T1013),COUNTIFS($A$14:$A$1213,$A1013,$T$14:$T$1213,"&gt;"&amp;$T1013)+(COUNTIFS($A$14:$A$1213,$A1013,$T$14:$T$1213,"="&amp;$T1013)+1)/2,"")</f>
        <v/>
      </c>
      <c r="AH1013" s="27">
        <f>IF(COUNT($AC1013:$AG1013)&lt;2,"",IF(MAX($AC1013:$AG1013)=MIN($AC1013:$AG1013),0,1))</f>
        <v/>
      </c>
      <c r="AI1013" s="27">
        <f>IF($A1013="","",IF(COUNTIF($A$14:$A1013,$A1013)=1,COUNTIF($AI$13:AI1012,"&gt;0")+1,""))</f>
        <v/>
      </c>
      <c r="AO1013" s="27">
        <f>IF($A1013="","",IF(AND(COUNTIFS($A$14:$A$1213,$A1013,$F$14:$F$1213,"&gt;=0")=2,IFERROR(INDEX($M$14:$M$313,MATCH($A1013,$H$14:$H$313,0)),"Yes")&lt;&gt;"Yes"),1,0))</f>
        <v/>
      </c>
    </row>
    <row r="1014">
      <c r="A1014" s="19">
        <f>IF('Enter messages'!A1014="","",'Enter messages'!A1014)</f>
        <v/>
      </c>
      <c r="B1014" s="20">
        <f>IF('Enter messages'!B1014="","",'Enter messages'!B1014)</f>
        <v/>
      </c>
      <c r="C1014" s="21">
        <f>IFERROR(AVERAGE(P1014:T1014),"")</f>
        <v/>
      </c>
      <c r="D1014" s="29" t="n"/>
      <c r="E1014" s="29" t="n"/>
      <c r="F1014" s="30">
        <f>IF(AND(ISNUMBER($D1014),ISNUMBER($E1014),$E1014&gt;0,$D1014&lt;=$E1014),$D1014/$E1014,"")</f>
        <v/>
      </c>
      <c r="P1014" s="26" t="n"/>
      <c r="Q1014" s="26" t="n"/>
      <c r="R1014" s="26" t="n"/>
      <c r="S1014" s="26" t="n"/>
      <c r="T1014" s="26" t="n"/>
      <c r="V1014" s="27">
        <f>IF(ISNUMBER($C1014),COUNTIFS($A$14:$A$1213,$A1014,$C$14:$C$1213,"&gt;"&amp;$C1014)+(COUNTIFS($A$14:$A$1213,$A1014,$C$14:$C$1213,"="&amp;$C1014)+1)/2,"")</f>
        <v/>
      </c>
      <c r="W1014" s="27">
        <f>IF(ISNUMBER($F1014),COUNTIFS($A$14:$A$1213,$A1014,$F$14:$F$1213,"&gt;"&amp;$F1014)+(COUNTIFS($A$14:$A$1213,$A1014,$F$14:$F$1213,"="&amp;$F1014)+1)/2,"")</f>
        <v/>
      </c>
      <c r="X1014" s="27">
        <f>IF(OR(NOT(ISNUMBER($V1014)),$AO1014=1),"",$V1014-(COUNTIFS($A$14:$A$1213,$A1014,$C$14:$C$1213,"&gt;=0")+1)/2)</f>
        <v/>
      </c>
      <c r="Y1014" s="27">
        <f>IF(OR(NOT(ISNUMBER($W1014)),$AO1014=1),"",$W1014-(COUNTIFS($A$14:$A$1213,$A1014,$F$14:$F$1213,"&gt;=0")+1)/2)</f>
        <v/>
      </c>
      <c r="Z1014" s="27">
        <f>IF(ISNUMBER($V1014),$A1014&amp;"|"&amp;$V1014,"")</f>
        <v/>
      </c>
      <c r="AA1014" s="27">
        <f>IF(ISNUMBER($W1014),$A1014&amp;"|"&amp;$W1014,"")</f>
        <v/>
      </c>
      <c r="AB1014" s="27">
        <f>IF(ISNUMBER($F1014),$A1014&amp;"|"&amp;$F1014,"")</f>
        <v/>
      </c>
      <c r="AC1014" s="27">
        <f>IF(ISNUMBER($P1014),COUNTIFS($A$14:$A$1213,$A1014,$P$14:$P$1213,"&gt;"&amp;$P1014)+(COUNTIFS($A$14:$A$1213,$A1014,$P$14:$P$1213,"="&amp;$P1014)+1)/2,"")</f>
        <v/>
      </c>
      <c r="AD1014" s="27">
        <f>IF(ISNUMBER($Q1014),COUNTIFS($A$14:$A$1213,$A1014,$Q$14:$Q$1213,"&gt;"&amp;$Q1014)+(COUNTIFS($A$14:$A$1213,$A1014,$Q$14:$Q$1213,"="&amp;$Q1014)+1)/2,"")</f>
        <v/>
      </c>
      <c r="AE1014" s="27">
        <f>IF(ISNUMBER($R1014),COUNTIFS($A$14:$A$1213,$A1014,$R$14:$R$1213,"&gt;"&amp;$R1014)+(COUNTIFS($A$14:$A$1213,$A1014,$R$14:$R$1213,"="&amp;$R1014)+1)/2,"")</f>
        <v/>
      </c>
      <c r="AF1014" s="27">
        <f>IF(ISNUMBER($S1014),COUNTIFS($A$14:$A$1213,$A1014,$S$14:$S$1213,"&gt;"&amp;$S1014)+(COUNTIFS($A$14:$A$1213,$A1014,$S$14:$S$1213,"="&amp;$S1014)+1)/2,"")</f>
        <v/>
      </c>
      <c r="AG1014" s="27">
        <f>IF(ISNUMBER($T1014),COUNTIFS($A$14:$A$1213,$A1014,$T$14:$T$1213,"&gt;"&amp;$T1014)+(COUNTIFS($A$14:$A$1213,$A1014,$T$14:$T$1213,"="&amp;$T1014)+1)/2,"")</f>
        <v/>
      </c>
      <c r="AH1014" s="27">
        <f>IF(COUNT($AC1014:$AG1014)&lt;2,"",IF(MAX($AC1014:$AG1014)=MIN($AC1014:$AG1014),0,1))</f>
        <v/>
      </c>
      <c r="AI1014" s="27">
        <f>IF($A1014="","",IF(COUNTIF($A$14:$A1014,$A1014)=1,COUNTIF($AI$13:AI1013,"&gt;0")+1,""))</f>
        <v/>
      </c>
      <c r="AO1014" s="27">
        <f>IF($A1014="","",IF(AND(COUNTIFS($A$14:$A$1213,$A1014,$F$14:$F$1213,"&gt;=0")=2,IFERROR(INDEX($M$14:$M$313,MATCH($A1014,$H$14:$H$313,0)),"Yes")&lt;&gt;"Yes"),1,0))</f>
        <v/>
      </c>
    </row>
    <row r="1015">
      <c r="A1015" s="19">
        <f>IF('Enter messages'!A1015="","",'Enter messages'!A1015)</f>
        <v/>
      </c>
      <c r="B1015" s="20">
        <f>IF('Enter messages'!B1015="","",'Enter messages'!B1015)</f>
        <v/>
      </c>
      <c r="C1015" s="21">
        <f>IFERROR(AVERAGE(P1015:T1015),"")</f>
        <v/>
      </c>
      <c r="D1015" s="29" t="n"/>
      <c r="E1015" s="29" t="n"/>
      <c r="F1015" s="30">
        <f>IF(AND(ISNUMBER($D1015),ISNUMBER($E1015),$E1015&gt;0,$D1015&lt;=$E1015),$D1015/$E1015,"")</f>
        <v/>
      </c>
      <c r="P1015" s="26" t="n"/>
      <c r="Q1015" s="26" t="n"/>
      <c r="R1015" s="26" t="n"/>
      <c r="S1015" s="26" t="n"/>
      <c r="T1015" s="26" t="n"/>
      <c r="V1015" s="27">
        <f>IF(ISNUMBER($C1015),COUNTIFS($A$14:$A$1213,$A1015,$C$14:$C$1213,"&gt;"&amp;$C1015)+(COUNTIFS($A$14:$A$1213,$A1015,$C$14:$C$1213,"="&amp;$C1015)+1)/2,"")</f>
        <v/>
      </c>
      <c r="W1015" s="27">
        <f>IF(ISNUMBER($F1015),COUNTIFS($A$14:$A$1213,$A1015,$F$14:$F$1213,"&gt;"&amp;$F1015)+(COUNTIFS($A$14:$A$1213,$A1015,$F$14:$F$1213,"="&amp;$F1015)+1)/2,"")</f>
        <v/>
      </c>
      <c r="X1015" s="27">
        <f>IF(OR(NOT(ISNUMBER($V1015)),$AO1015=1),"",$V1015-(COUNTIFS($A$14:$A$1213,$A1015,$C$14:$C$1213,"&gt;=0")+1)/2)</f>
        <v/>
      </c>
      <c r="Y1015" s="27">
        <f>IF(OR(NOT(ISNUMBER($W1015)),$AO1015=1),"",$W1015-(COUNTIFS($A$14:$A$1213,$A1015,$F$14:$F$1213,"&gt;=0")+1)/2)</f>
        <v/>
      </c>
      <c r="Z1015" s="27">
        <f>IF(ISNUMBER($V1015),$A1015&amp;"|"&amp;$V1015,"")</f>
        <v/>
      </c>
      <c r="AA1015" s="27">
        <f>IF(ISNUMBER($W1015),$A1015&amp;"|"&amp;$W1015,"")</f>
        <v/>
      </c>
      <c r="AB1015" s="27">
        <f>IF(ISNUMBER($F1015),$A1015&amp;"|"&amp;$F1015,"")</f>
        <v/>
      </c>
      <c r="AC1015" s="27">
        <f>IF(ISNUMBER($P1015),COUNTIFS($A$14:$A$1213,$A1015,$P$14:$P$1213,"&gt;"&amp;$P1015)+(COUNTIFS($A$14:$A$1213,$A1015,$P$14:$P$1213,"="&amp;$P1015)+1)/2,"")</f>
        <v/>
      </c>
      <c r="AD1015" s="27">
        <f>IF(ISNUMBER($Q1015),COUNTIFS($A$14:$A$1213,$A1015,$Q$14:$Q$1213,"&gt;"&amp;$Q1015)+(COUNTIFS($A$14:$A$1213,$A1015,$Q$14:$Q$1213,"="&amp;$Q1015)+1)/2,"")</f>
        <v/>
      </c>
      <c r="AE1015" s="27">
        <f>IF(ISNUMBER($R1015),COUNTIFS($A$14:$A$1213,$A1015,$R$14:$R$1213,"&gt;"&amp;$R1015)+(COUNTIFS($A$14:$A$1213,$A1015,$R$14:$R$1213,"="&amp;$R1015)+1)/2,"")</f>
        <v/>
      </c>
      <c r="AF1015" s="27">
        <f>IF(ISNUMBER($S1015),COUNTIFS($A$14:$A$1213,$A1015,$S$14:$S$1213,"&gt;"&amp;$S1015)+(COUNTIFS($A$14:$A$1213,$A1015,$S$14:$S$1213,"="&amp;$S1015)+1)/2,"")</f>
        <v/>
      </c>
      <c r="AG1015" s="27">
        <f>IF(ISNUMBER($T1015),COUNTIFS($A$14:$A$1213,$A1015,$T$14:$T$1213,"&gt;"&amp;$T1015)+(COUNTIFS($A$14:$A$1213,$A1015,$T$14:$T$1213,"="&amp;$T1015)+1)/2,"")</f>
        <v/>
      </c>
      <c r="AH1015" s="27">
        <f>IF(COUNT($AC1015:$AG1015)&lt;2,"",IF(MAX($AC1015:$AG1015)=MIN($AC1015:$AG1015),0,1))</f>
        <v/>
      </c>
      <c r="AI1015" s="27">
        <f>IF($A1015="","",IF(COUNTIF($A$14:$A1015,$A1015)=1,COUNTIF($AI$13:AI1014,"&gt;0")+1,""))</f>
        <v/>
      </c>
      <c r="AO1015" s="27">
        <f>IF($A1015="","",IF(AND(COUNTIFS($A$14:$A$1213,$A1015,$F$14:$F$1213,"&gt;=0")=2,IFERROR(INDEX($M$14:$M$313,MATCH($A1015,$H$14:$H$313,0)),"Yes")&lt;&gt;"Yes"),1,0))</f>
        <v/>
      </c>
    </row>
    <row r="1016">
      <c r="A1016" s="19">
        <f>IF('Enter messages'!A1016="","",'Enter messages'!A1016)</f>
        <v/>
      </c>
      <c r="B1016" s="20">
        <f>IF('Enter messages'!B1016="","",'Enter messages'!B1016)</f>
        <v/>
      </c>
      <c r="C1016" s="21">
        <f>IFERROR(AVERAGE(P1016:T1016),"")</f>
        <v/>
      </c>
      <c r="D1016" s="29" t="n"/>
      <c r="E1016" s="29" t="n"/>
      <c r="F1016" s="30">
        <f>IF(AND(ISNUMBER($D1016),ISNUMBER($E1016),$E1016&gt;0,$D1016&lt;=$E1016),$D1016/$E1016,"")</f>
        <v/>
      </c>
      <c r="P1016" s="26" t="n"/>
      <c r="Q1016" s="26" t="n"/>
      <c r="R1016" s="26" t="n"/>
      <c r="S1016" s="26" t="n"/>
      <c r="T1016" s="26" t="n"/>
      <c r="V1016" s="27">
        <f>IF(ISNUMBER($C1016),COUNTIFS($A$14:$A$1213,$A1016,$C$14:$C$1213,"&gt;"&amp;$C1016)+(COUNTIFS($A$14:$A$1213,$A1016,$C$14:$C$1213,"="&amp;$C1016)+1)/2,"")</f>
        <v/>
      </c>
      <c r="W1016" s="27">
        <f>IF(ISNUMBER($F1016),COUNTIFS($A$14:$A$1213,$A1016,$F$14:$F$1213,"&gt;"&amp;$F1016)+(COUNTIFS($A$14:$A$1213,$A1016,$F$14:$F$1213,"="&amp;$F1016)+1)/2,"")</f>
        <v/>
      </c>
      <c r="X1016" s="27">
        <f>IF(OR(NOT(ISNUMBER($V1016)),$AO1016=1),"",$V1016-(COUNTIFS($A$14:$A$1213,$A1016,$C$14:$C$1213,"&gt;=0")+1)/2)</f>
        <v/>
      </c>
      <c r="Y1016" s="27">
        <f>IF(OR(NOT(ISNUMBER($W1016)),$AO1016=1),"",$W1016-(COUNTIFS($A$14:$A$1213,$A1016,$F$14:$F$1213,"&gt;=0")+1)/2)</f>
        <v/>
      </c>
      <c r="Z1016" s="27">
        <f>IF(ISNUMBER($V1016),$A1016&amp;"|"&amp;$V1016,"")</f>
        <v/>
      </c>
      <c r="AA1016" s="27">
        <f>IF(ISNUMBER($W1016),$A1016&amp;"|"&amp;$W1016,"")</f>
        <v/>
      </c>
      <c r="AB1016" s="27">
        <f>IF(ISNUMBER($F1016),$A1016&amp;"|"&amp;$F1016,"")</f>
        <v/>
      </c>
      <c r="AC1016" s="27">
        <f>IF(ISNUMBER($P1016),COUNTIFS($A$14:$A$1213,$A1016,$P$14:$P$1213,"&gt;"&amp;$P1016)+(COUNTIFS($A$14:$A$1213,$A1016,$P$14:$P$1213,"="&amp;$P1016)+1)/2,"")</f>
        <v/>
      </c>
      <c r="AD1016" s="27">
        <f>IF(ISNUMBER($Q1016),COUNTIFS($A$14:$A$1213,$A1016,$Q$14:$Q$1213,"&gt;"&amp;$Q1016)+(COUNTIFS($A$14:$A$1213,$A1016,$Q$14:$Q$1213,"="&amp;$Q1016)+1)/2,"")</f>
        <v/>
      </c>
      <c r="AE1016" s="27">
        <f>IF(ISNUMBER($R1016),COUNTIFS($A$14:$A$1213,$A1016,$R$14:$R$1213,"&gt;"&amp;$R1016)+(COUNTIFS($A$14:$A$1213,$A1016,$R$14:$R$1213,"="&amp;$R1016)+1)/2,"")</f>
        <v/>
      </c>
      <c r="AF1016" s="27">
        <f>IF(ISNUMBER($S1016),COUNTIFS($A$14:$A$1213,$A1016,$S$14:$S$1213,"&gt;"&amp;$S1016)+(COUNTIFS($A$14:$A$1213,$A1016,$S$14:$S$1213,"="&amp;$S1016)+1)/2,"")</f>
        <v/>
      </c>
      <c r="AG1016" s="27">
        <f>IF(ISNUMBER($T1016),COUNTIFS($A$14:$A$1213,$A1016,$T$14:$T$1213,"&gt;"&amp;$T1016)+(COUNTIFS($A$14:$A$1213,$A1016,$T$14:$T$1213,"="&amp;$T1016)+1)/2,"")</f>
        <v/>
      </c>
      <c r="AH1016" s="27">
        <f>IF(COUNT($AC1016:$AG1016)&lt;2,"",IF(MAX($AC1016:$AG1016)=MIN($AC1016:$AG1016),0,1))</f>
        <v/>
      </c>
      <c r="AI1016" s="27">
        <f>IF($A1016="","",IF(COUNTIF($A$14:$A1016,$A1016)=1,COUNTIF($AI$13:AI1015,"&gt;0")+1,""))</f>
        <v/>
      </c>
      <c r="AO1016" s="27">
        <f>IF($A1016="","",IF(AND(COUNTIFS($A$14:$A$1213,$A1016,$F$14:$F$1213,"&gt;=0")=2,IFERROR(INDEX($M$14:$M$313,MATCH($A1016,$H$14:$H$313,0)),"Yes")&lt;&gt;"Yes"),1,0))</f>
        <v/>
      </c>
    </row>
    <row r="1017">
      <c r="A1017" s="19">
        <f>IF('Enter messages'!A1017="","",'Enter messages'!A1017)</f>
        <v/>
      </c>
      <c r="B1017" s="20">
        <f>IF('Enter messages'!B1017="","",'Enter messages'!B1017)</f>
        <v/>
      </c>
      <c r="C1017" s="21">
        <f>IFERROR(AVERAGE(P1017:T1017),"")</f>
        <v/>
      </c>
      <c r="D1017" s="29" t="n"/>
      <c r="E1017" s="29" t="n"/>
      <c r="F1017" s="30">
        <f>IF(AND(ISNUMBER($D1017),ISNUMBER($E1017),$E1017&gt;0,$D1017&lt;=$E1017),$D1017/$E1017,"")</f>
        <v/>
      </c>
      <c r="P1017" s="26" t="n"/>
      <c r="Q1017" s="26" t="n"/>
      <c r="R1017" s="26" t="n"/>
      <c r="S1017" s="26" t="n"/>
      <c r="T1017" s="26" t="n"/>
      <c r="V1017" s="27">
        <f>IF(ISNUMBER($C1017),COUNTIFS($A$14:$A$1213,$A1017,$C$14:$C$1213,"&gt;"&amp;$C1017)+(COUNTIFS($A$14:$A$1213,$A1017,$C$14:$C$1213,"="&amp;$C1017)+1)/2,"")</f>
        <v/>
      </c>
      <c r="W1017" s="27">
        <f>IF(ISNUMBER($F1017),COUNTIFS($A$14:$A$1213,$A1017,$F$14:$F$1213,"&gt;"&amp;$F1017)+(COUNTIFS($A$14:$A$1213,$A1017,$F$14:$F$1213,"="&amp;$F1017)+1)/2,"")</f>
        <v/>
      </c>
      <c r="X1017" s="27">
        <f>IF(OR(NOT(ISNUMBER($V1017)),$AO1017=1),"",$V1017-(COUNTIFS($A$14:$A$1213,$A1017,$C$14:$C$1213,"&gt;=0")+1)/2)</f>
        <v/>
      </c>
      <c r="Y1017" s="27">
        <f>IF(OR(NOT(ISNUMBER($W1017)),$AO1017=1),"",$W1017-(COUNTIFS($A$14:$A$1213,$A1017,$F$14:$F$1213,"&gt;=0")+1)/2)</f>
        <v/>
      </c>
      <c r="Z1017" s="27">
        <f>IF(ISNUMBER($V1017),$A1017&amp;"|"&amp;$V1017,"")</f>
        <v/>
      </c>
      <c r="AA1017" s="27">
        <f>IF(ISNUMBER($W1017),$A1017&amp;"|"&amp;$W1017,"")</f>
        <v/>
      </c>
      <c r="AB1017" s="27">
        <f>IF(ISNUMBER($F1017),$A1017&amp;"|"&amp;$F1017,"")</f>
        <v/>
      </c>
      <c r="AC1017" s="27">
        <f>IF(ISNUMBER($P1017),COUNTIFS($A$14:$A$1213,$A1017,$P$14:$P$1213,"&gt;"&amp;$P1017)+(COUNTIFS($A$14:$A$1213,$A1017,$P$14:$P$1213,"="&amp;$P1017)+1)/2,"")</f>
        <v/>
      </c>
      <c r="AD1017" s="27">
        <f>IF(ISNUMBER($Q1017),COUNTIFS($A$14:$A$1213,$A1017,$Q$14:$Q$1213,"&gt;"&amp;$Q1017)+(COUNTIFS($A$14:$A$1213,$A1017,$Q$14:$Q$1213,"="&amp;$Q1017)+1)/2,"")</f>
        <v/>
      </c>
      <c r="AE1017" s="27">
        <f>IF(ISNUMBER($R1017),COUNTIFS($A$14:$A$1213,$A1017,$R$14:$R$1213,"&gt;"&amp;$R1017)+(COUNTIFS($A$14:$A$1213,$A1017,$R$14:$R$1213,"="&amp;$R1017)+1)/2,"")</f>
        <v/>
      </c>
      <c r="AF1017" s="27">
        <f>IF(ISNUMBER($S1017),COUNTIFS($A$14:$A$1213,$A1017,$S$14:$S$1213,"&gt;"&amp;$S1017)+(COUNTIFS($A$14:$A$1213,$A1017,$S$14:$S$1213,"="&amp;$S1017)+1)/2,"")</f>
        <v/>
      </c>
      <c r="AG1017" s="27">
        <f>IF(ISNUMBER($T1017),COUNTIFS($A$14:$A$1213,$A1017,$T$14:$T$1213,"&gt;"&amp;$T1017)+(COUNTIFS($A$14:$A$1213,$A1017,$T$14:$T$1213,"="&amp;$T1017)+1)/2,"")</f>
        <v/>
      </c>
      <c r="AH1017" s="27">
        <f>IF(COUNT($AC1017:$AG1017)&lt;2,"",IF(MAX($AC1017:$AG1017)=MIN($AC1017:$AG1017),0,1))</f>
        <v/>
      </c>
      <c r="AI1017" s="27">
        <f>IF($A1017="","",IF(COUNTIF($A$14:$A1017,$A1017)=1,COUNTIF($AI$13:AI1016,"&gt;0")+1,""))</f>
        <v/>
      </c>
      <c r="AO1017" s="27">
        <f>IF($A1017="","",IF(AND(COUNTIFS($A$14:$A$1213,$A1017,$F$14:$F$1213,"&gt;=0")=2,IFERROR(INDEX($M$14:$M$313,MATCH($A1017,$H$14:$H$313,0)),"Yes")&lt;&gt;"Yes"),1,0))</f>
        <v/>
      </c>
    </row>
    <row r="1018">
      <c r="A1018" s="19">
        <f>IF('Enter messages'!A1018="","",'Enter messages'!A1018)</f>
        <v/>
      </c>
      <c r="B1018" s="20">
        <f>IF('Enter messages'!B1018="","",'Enter messages'!B1018)</f>
        <v/>
      </c>
      <c r="C1018" s="21">
        <f>IFERROR(AVERAGE(P1018:T1018),"")</f>
        <v/>
      </c>
      <c r="D1018" s="29" t="n"/>
      <c r="E1018" s="29" t="n"/>
      <c r="F1018" s="30">
        <f>IF(AND(ISNUMBER($D1018),ISNUMBER($E1018),$E1018&gt;0,$D1018&lt;=$E1018),$D1018/$E1018,"")</f>
        <v/>
      </c>
      <c r="P1018" s="26" t="n"/>
      <c r="Q1018" s="26" t="n"/>
      <c r="R1018" s="26" t="n"/>
      <c r="S1018" s="26" t="n"/>
      <c r="T1018" s="26" t="n"/>
      <c r="V1018" s="27">
        <f>IF(ISNUMBER($C1018),COUNTIFS($A$14:$A$1213,$A1018,$C$14:$C$1213,"&gt;"&amp;$C1018)+(COUNTIFS($A$14:$A$1213,$A1018,$C$14:$C$1213,"="&amp;$C1018)+1)/2,"")</f>
        <v/>
      </c>
      <c r="W1018" s="27">
        <f>IF(ISNUMBER($F1018),COUNTIFS($A$14:$A$1213,$A1018,$F$14:$F$1213,"&gt;"&amp;$F1018)+(COUNTIFS($A$14:$A$1213,$A1018,$F$14:$F$1213,"="&amp;$F1018)+1)/2,"")</f>
        <v/>
      </c>
      <c r="X1018" s="27">
        <f>IF(OR(NOT(ISNUMBER($V1018)),$AO1018=1),"",$V1018-(COUNTIFS($A$14:$A$1213,$A1018,$C$14:$C$1213,"&gt;=0")+1)/2)</f>
        <v/>
      </c>
      <c r="Y1018" s="27">
        <f>IF(OR(NOT(ISNUMBER($W1018)),$AO1018=1),"",$W1018-(COUNTIFS($A$14:$A$1213,$A1018,$F$14:$F$1213,"&gt;=0")+1)/2)</f>
        <v/>
      </c>
      <c r="Z1018" s="27">
        <f>IF(ISNUMBER($V1018),$A1018&amp;"|"&amp;$V1018,"")</f>
        <v/>
      </c>
      <c r="AA1018" s="27">
        <f>IF(ISNUMBER($W1018),$A1018&amp;"|"&amp;$W1018,"")</f>
        <v/>
      </c>
      <c r="AB1018" s="27">
        <f>IF(ISNUMBER($F1018),$A1018&amp;"|"&amp;$F1018,"")</f>
        <v/>
      </c>
      <c r="AC1018" s="27">
        <f>IF(ISNUMBER($P1018),COUNTIFS($A$14:$A$1213,$A1018,$P$14:$P$1213,"&gt;"&amp;$P1018)+(COUNTIFS($A$14:$A$1213,$A1018,$P$14:$P$1213,"="&amp;$P1018)+1)/2,"")</f>
        <v/>
      </c>
      <c r="AD1018" s="27">
        <f>IF(ISNUMBER($Q1018),COUNTIFS($A$14:$A$1213,$A1018,$Q$14:$Q$1213,"&gt;"&amp;$Q1018)+(COUNTIFS($A$14:$A$1213,$A1018,$Q$14:$Q$1213,"="&amp;$Q1018)+1)/2,"")</f>
        <v/>
      </c>
      <c r="AE1018" s="27">
        <f>IF(ISNUMBER($R1018),COUNTIFS($A$14:$A$1213,$A1018,$R$14:$R$1213,"&gt;"&amp;$R1018)+(COUNTIFS($A$14:$A$1213,$A1018,$R$14:$R$1213,"="&amp;$R1018)+1)/2,"")</f>
        <v/>
      </c>
      <c r="AF1018" s="27">
        <f>IF(ISNUMBER($S1018),COUNTIFS($A$14:$A$1213,$A1018,$S$14:$S$1213,"&gt;"&amp;$S1018)+(COUNTIFS($A$14:$A$1213,$A1018,$S$14:$S$1213,"="&amp;$S1018)+1)/2,"")</f>
        <v/>
      </c>
      <c r="AG1018" s="27">
        <f>IF(ISNUMBER($T1018),COUNTIFS($A$14:$A$1213,$A1018,$T$14:$T$1213,"&gt;"&amp;$T1018)+(COUNTIFS($A$14:$A$1213,$A1018,$T$14:$T$1213,"="&amp;$T1018)+1)/2,"")</f>
        <v/>
      </c>
      <c r="AH1018" s="27">
        <f>IF(COUNT($AC1018:$AG1018)&lt;2,"",IF(MAX($AC1018:$AG1018)=MIN($AC1018:$AG1018),0,1))</f>
        <v/>
      </c>
      <c r="AI1018" s="27">
        <f>IF($A1018="","",IF(COUNTIF($A$14:$A1018,$A1018)=1,COUNTIF($AI$13:AI1017,"&gt;0")+1,""))</f>
        <v/>
      </c>
      <c r="AO1018" s="27">
        <f>IF($A1018="","",IF(AND(COUNTIFS($A$14:$A$1213,$A1018,$F$14:$F$1213,"&gt;=0")=2,IFERROR(INDEX($M$14:$M$313,MATCH($A1018,$H$14:$H$313,0)),"Yes")&lt;&gt;"Yes"),1,0))</f>
        <v/>
      </c>
    </row>
    <row r="1019">
      <c r="A1019" s="19">
        <f>IF('Enter messages'!A1019="","",'Enter messages'!A1019)</f>
        <v/>
      </c>
      <c r="B1019" s="20">
        <f>IF('Enter messages'!B1019="","",'Enter messages'!B1019)</f>
        <v/>
      </c>
      <c r="C1019" s="21">
        <f>IFERROR(AVERAGE(P1019:T1019),"")</f>
        <v/>
      </c>
      <c r="D1019" s="29" t="n"/>
      <c r="E1019" s="29" t="n"/>
      <c r="F1019" s="30">
        <f>IF(AND(ISNUMBER($D1019),ISNUMBER($E1019),$E1019&gt;0,$D1019&lt;=$E1019),$D1019/$E1019,"")</f>
        <v/>
      </c>
      <c r="P1019" s="26" t="n"/>
      <c r="Q1019" s="26" t="n"/>
      <c r="R1019" s="26" t="n"/>
      <c r="S1019" s="26" t="n"/>
      <c r="T1019" s="26" t="n"/>
      <c r="V1019" s="27">
        <f>IF(ISNUMBER($C1019),COUNTIFS($A$14:$A$1213,$A1019,$C$14:$C$1213,"&gt;"&amp;$C1019)+(COUNTIFS($A$14:$A$1213,$A1019,$C$14:$C$1213,"="&amp;$C1019)+1)/2,"")</f>
        <v/>
      </c>
      <c r="W1019" s="27">
        <f>IF(ISNUMBER($F1019),COUNTIFS($A$14:$A$1213,$A1019,$F$14:$F$1213,"&gt;"&amp;$F1019)+(COUNTIFS($A$14:$A$1213,$A1019,$F$14:$F$1213,"="&amp;$F1019)+1)/2,"")</f>
        <v/>
      </c>
      <c r="X1019" s="27">
        <f>IF(OR(NOT(ISNUMBER($V1019)),$AO1019=1),"",$V1019-(COUNTIFS($A$14:$A$1213,$A1019,$C$14:$C$1213,"&gt;=0")+1)/2)</f>
        <v/>
      </c>
      <c r="Y1019" s="27">
        <f>IF(OR(NOT(ISNUMBER($W1019)),$AO1019=1),"",$W1019-(COUNTIFS($A$14:$A$1213,$A1019,$F$14:$F$1213,"&gt;=0")+1)/2)</f>
        <v/>
      </c>
      <c r="Z1019" s="27">
        <f>IF(ISNUMBER($V1019),$A1019&amp;"|"&amp;$V1019,"")</f>
        <v/>
      </c>
      <c r="AA1019" s="27">
        <f>IF(ISNUMBER($W1019),$A1019&amp;"|"&amp;$W1019,"")</f>
        <v/>
      </c>
      <c r="AB1019" s="27">
        <f>IF(ISNUMBER($F1019),$A1019&amp;"|"&amp;$F1019,"")</f>
        <v/>
      </c>
      <c r="AC1019" s="27">
        <f>IF(ISNUMBER($P1019),COUNTIFS($A$14:$A$1213,$A1019,$P$14:$P$1213,"&gt;"&amp;$P1019)+(COUNTIFS($A$14:$A$1213,$A1019,$P$14:$P$1213,"="&amp;$P1019)+1)/2,"")</f>
        <v/>
      </c>
      <c r="AD1019" s="27">
        <f>IF(ISNUMBER($Q1019),COUNTIFS($A$14:$A$1213,$A1019,$Q$14:$Q$1213,"&gt;"&amp;$Q1019)+(COUNTIFS($A$14:$A$1213,$A1019,$Q$14:$Q$1213,"="&amp;$Q1019)+1)/2,"")</f>
        <v/>
      </c>
      <c r="AE1019" s="27">
        <f>IF(ISNUMBER($R1019),COUNTIFS($A$14:$A$1213,$A1019,$R$14:$R$1213,"&gt;"&amp;$R1019)+(COUNTIFS($A$14:$A$1213,$A1019,$R$14:$R$1213,"="&amp;$R1019)+1)/2,"")</f>
        <v/>
      </c>
      <c r="AF1019" s="27">
        <f>IF(ISNUMBER($S1019),COUNTIFS($A$14:$A$1213,$A1019,$S$14:$S$1213,"&gt;"&amp;$S1019)+(COUNTIFS($A$14:$A$1213,$A1019,$S$14:$S$1213,"="&amp;$S1019)+1)/2,"")</f>
        <v/>
      </c>
      <c r="AG1019" s="27">
        <f>IF(ISNUMBER($T1019),COUNTIFS($A$14:$A$1213,$A1019,$T$14:$T$1213,"&gt;"&amp;$T1019)+(COUNTIFS($A$14:$A$1213,$A1019,$T$14:$T$1213,"="&amp;$T1019)+1)/2,"")</f>
        <v/>
      </c>
      <c r="AH1019" s="27">
        <f>IF(COUNT($AC1019:$AG1019)&lt;2,"",IF(MAX($AC1019:$AG1019)=MIN($AC1019:$AG1019),0,1))</f>
        <v/>
      </c>
      <c r="AI1019" s="27">
        <f>IF($A1019="","",IF(COUNTIF($A$14:$A1019,$A1019)=1,COUNTIF($AI$13:AI1018,"&gt;0")+1,""))</f>
        <v/>
      </c>
      <c r="AO1019" s="27">
        <f>IF($A1019="","",IF(AND(COUNTIFS($A$14:$A$1213,$A1019,$F$14:$F$1213,"&gt;=0")=2,IFERROR(INDEX($M$14:$M$313,MATCH($A1019,$H$14:$H$313,0)),"Yes")&lt;&gt;"Yes"),1,0))</f>
        <v/>
      </c>
    </row>
    <row r="1020">
      <c r="A1020" s="19">
        <f>IF('Enter messages'!A1020="","",'Enter messages'!A1020)</f>
        <v/>
      </c>
      <c r="B1020" s="20">
        <f>IF('Enter messages'!B1020="","",'Enter messages'!B1020)</f>
        <v/>
      </c>
      <c r="C1020" s="21">
        <f>IFERROR(AVERAGE(P1020:T1020),"")</f>
        <v/>
      </c>
      <c r="D1020" s="29" t="n"/>
      <c r="E1020" s="29" t="n"/>
      <c r="F1020" s="30">
        <f>IF(AND(ISNUMBER($D1020),ISNUMBER($E1020),$E1020&gt;0,$D1020&lt;=$E1020),$D1020/$E1020,"")</f>
        <v/>
      </c>
      <c r="P1020" s="26" t="n"/>
      <c r="Q1020" s="26" t="n"/>
      <c r="R1020" s="26" t="n"/>
      <c r="S1020" s="26" t="n"/>
      <c r="T1020" s="26" t="n"/>
      <c r="V1020" s="27">
        <f>IF(ISNUMBER($C1020),COUNTIFS($A$14:$A$1213,$A1020,$C$14:$C$1213,"&gt;"&amp;$C1020)+(COUNTIFS($A$14:$A$1213,$A1020,$C$14:$C$1213,"="&amp;$C1020)+1)/2,"")</f>
        <v/>
      </c>
      <c r="W1020" s="27">
        <f>IF(ISNUMBER($F1020),COUNTIFS($A$14:$A$1213,$A1020,$F$14:$F$1213,"&gt;"&amp;$F1020)+(COUNTIFS($A$14:$A$1213,$A1020,$F$14:$F$1213,"="&amp;$F1020)+1)/2,"")</f>
        <v/>
      </c>
      <c r="X1020" s="27">
        <f>IF(OR(NOT(ISNUMBER($V1020)),$AO1020=1),"",$V1020-(COUNTIFS($A$14:$A$1213,$A1020,$C$14:$C$1213,"&gt;=0")+1)/2)</f>
        <v/>
      </c>
      <c r="Y1020" s="27">
        <f>IF(OR(NOT(ISNUMBER($W1020)),$AO1020=1),"",$W1020-(COUNTIFS($A$14:$A$1213,$A1020,$F$14:$F$1213,"&gt;=0")+1)/2)</f>
        <v/>
      </c>
      <c r="Z1020" s="27">
        <f>IF(ISNUMBER($V1020),$A1020&amp;"|"&amp;$V1020,"")</f>
        <v/>
      </c>
      <c r="AA1020" s="27">
        <f>IF(ISNUMBER($W1020),$A1020&amp;"|"&amp;$W1020,"")</f>
        <v/>
      </c>
      <c r="AB1020" s="27">
        <f>IF(ISNUMBER($F1020),$A1020&amp;"|"&amp;$F1020,"")</f>
        <v/>
      </c>
      <c r="AC1020" s="27">
        <f>IF(ISNUMBER($P1020),COUNTIFS($A$14:$A$1213,$A1020,$P$14:$P$1213,"&gt;"&amp;$P1020)+(COUNTIFS($A$14:$A$1213,$A1020,$P$14:$P$1213,"="&amp;$P1020)+1)/2,"")</f>
        <v/>
      </c>
      <c r="AD1020" s="27">
        <f>IF(ISNUMBER($Q1020),COUNTIFS($A$14:$A$1213,$A1020,$Q$14:$Q$1213,"&gt;"&amp;$Q1020)+(COUNTIFS($A$14:$A$1213,$A1020,$Q$14:$Q$1213,"="&amp;$Q1020)+1)/2,"")</f>
        <v/>
      </c>
      <c r="AE1020" s="27">
        <f>IF(ISNUMBER($R1020),COUNTIFS($A$14:$A$1213,$A1020,$R$14:$R$1213,"&gt;"&amp;$R1020)+(COUNTIFS($A$14:$A$1213,$A1020,$R$14:$R$1213,"="&amp;$R1020)+1)/2,"")</f>
        <v/>
      </c>
      <c r="AF1020" s="27">
        <f>IF(ISNUMBER($S1020),COUNTIFS($A$14:$A$1213,$A1020,$S$14:$S$1213,"&gt;"&amp;$S1020)+(COUNTIFS($A$14:$A$1213,$A1020,$S$14:$S$1213,"="&amp;$S1020)+1)/2,"")</f>
        <v/>
      </c>
      <c r="AG1020" s="27">
        <f>IF(ISNUMBER($T1020),COUNTIFS($A$14:$A$1213,$A1020,$T$14:$T$1213,"&gt;"&amp;$T1020)+(COUNTIFS($A$14:$A$1213,$A1020,$T$14:$T$1213,"="&amp;$T1020)+1)/2,"")</f>
        <v/>
      </c>
      <c r="AH1020" s="27">
        <f>IF(COUNT($AC1020:$AG1020)&lt;2,"",IF(MAX($AC1020:$AG1020)=MIN($AC1020:$AG1020),0,1))</f>
        <v/>
      </c>
      <c r="AI1020" s="27">
        <f>IF($A1020="","",IF(COUNTIF($A$14:$A1020,$A1020)=1,COUNTIF($AI$13:AI1019,"&gt;0")+1,""))</f>
        <v/>
      </c>
      <c r="AO1020" s="27">
        <f>IF($A1020="","",IF(AND(COUNTIFS($A$14:$A$1213,$A1020,$F$14:$F$1213,"&gt;=0")=2,IFERROR(INDEX($M$14:$M$313,MATCH($A1020,$H$14:$H$313,0)),"Yes")&lt;&gt;"Yes"),1,0))</f>
        <v/>
      </c>
    </row>
    <row r="1021">
      <c r="A1021" s="19">
        <f>IF('Enter messages'!A1021="","",'Enter messages'!A1021)</f>
        <v/>
      </c>
      <c r="B1021" s="20">
        <f>IF('Enter messages'!B1021="","",'Enter messages'!B1021)</f>
        <v/>
      </c>
      <c r="C1021" s="21">
        <f>IFERROR(AVERAGE(P1021:T1021),"")</f>
        <v/>
      </c>
      <c r="D1021" s="29" t="n"/>
      <c r="E1021" s="29" t="n"/>
      <c r="F1021" s="30">
        <f>IF(AND(ISNUMBER($D1021),ISNUMBER($E1021),$E1021&gt;0,$D1021&lt;=$E1021),$D1021/$E1021,"")</f>
        <v/>
      </c>
      <c r="P1021" s="26" t="n"/>
      <c r="Q1021" s="26" t="n"/>
      <c r="R1021" s="26" t="n"/>
      <c r="S1021" s="26" t="n"/>
      <c r="T1021" s="26" t="n"/>
      <c r="V1021" s="27">
        <f>IF(ISNUMBER($C1021),COUNTIFS($A$14:$A$1213,$A1021,$C$14:$C$1213,"&gt;"&amp;$C1021)+(COUNTIFS($A$14:$A$1213,$A1021,$C$14:$C$1213,"="&amp;$C1021)+1)/2,"")</f>
        <v/>
      </c>
      <c r="W1021" s="27">
        <f>IF(ISNUMBER($F1021),COUNTIFS($A$14:$A$1213,$A1021,$F$14:$F$1213,"&gt;"&amp;$F1021)+(COUNTIFS($A$14:$A$1213,$A1021,$F$14:$F$1213,"="&amp;$F1021)+1)/2,"")</f>
        <v/>
      </c>
      <c r="X1021" s="27">
        <f>IF(OR(NOT(ISNUMBER($V1021)),$AO1021=1),"",$V1021-(COUNTIFS($A$14:$A$1213,$A1021,$C$14:$C$1213,"&gt;=0")+1)/2)</f>
        <v/>
      </c>
      <c r="Y1021" s="27">
        <f>IF(OR(NOT(ISNUMBER($W1021)),$AO1021=1),"",$W1021-(COUNTIFS($A$14:$A$1213,$A1021,$F$14:$F$1213,"&gt;=0")+1)/2)</f>
        <v/>
      </c>
      <c r="Z1021" s="27">
        <f>IF(ISNUMBER($V1021),$A1021&amp;"|"&amp;$V1021,"")</f>
        <v/>
      </c>
      <c r="AA1021" s="27">
        <f>IF(ISNUMBER($W1021),$A1021&amp;"|"&amp;$W1021,"")</f>
        <v/>
      </c>
      <c r="AB1021" s="27">
        <f>IF(ISNUMBER($F1021),$A1021&amp;"|"&amp;$F1021,"")</f>
        <v/>
      </c>
      <c r="AC1021" s="27">
        <f>IF(ISNUMBER($P1021),COUNTIFS($A$14:$A$1213,$A1021,$P$14:$P$1213,"&gt;"&amp;$P1021)+(COUNTIFS($A$14:$A$1213,$A1021,$P$14:$P$1213,"="&amp;$P1021)+1)/2,"")</f>
        <v/>
      </c>
      <c r="AD1021" s="27">
        <f>IF(ISNUMBER($Q1021),COUNTIFS($A$14:$A$1213,$A1021,$Q$14:$Q$1213,"&gt;"&amp;$Q1021)+(COUNTIFS($A$14:$A$1213,$A1021,$Q$14:$Q$1213,"="&amp;$Q1021)+1)/2,"")</f>
        <v/>
      </c>
      <c r="AE1021" s="27">
        <f>IF(ISNUMBER($R1021),COUNTIFS($A$14:$A$1213,$A1021,$R$14:$R$1213,"&gt;"&amp;$R1021)+(COUNTIFS($A$14:$A$1213,$A1021,$R$14:$R$1213,"="&amp;$R1021)+1)/2,"")</f>
        <v/>
      </c>
      <c r="AF1021" s="27">
        <f>IF(ISNUMBER($S1021),COUNTIFS($A$14:$A$1213,$A1021,$S$14:$S$1213,"&gt;"&amp;$S1021)+(COUNTIFS($A$14:$A$1213,$A1021,$S$14:$S$1213,"="&amp;$S1021)+1)/2,"")</f>
        <v/>
      </c>
      <c r="AG1021" s="27">
        <f>IF(ISNUMBER($T1021),COUNTIFS($A$14:$A$1213,$A1021,$T$14:$T$1213,"&gt;"&amp;$T1021)+(COUNTIFS($A$14:$A$1213,$A1021,$T$14:$T$1213,"="&amp;$T1021)+1)/2,"")</f>
        <v/>
      </c>
      <c r="AH1021" s="27">
        <f>IF(COUNT($AC1021:$AG1021)&lt;2,"",IF(MAX($AC1021:$AG1021)=MIN($AC1021:$AG1021),0,1))</f>
        <v/>
      </c>
      <c r="AI1021" s="27">
        <f>IF($A1021="","",IF(COUNTIF($A$14:$A1021,$A1021)=1,COUNTIF($AI$13:AI1020,"&gt;0")+1,""))</f>
        <v/>
      </c>
      <c r="AO1021" s="27">
        <f>IF($A1021="","",IF(AND(COUNTIFS($A$14:$A$1213,$A1021,$F$14:$F$1213,"&gt;=0")=2,IFERROR(INDEX($M$14:$M$313,MATCH($A1021,$H$14:$H$313,0)),"Yes")&lt;&gt;"Yes"),1,0))</f>
        <v/>
      </c>
    </row>
    <row r="1022">
      <c r="A1022" s="19">
        <f>IF('Enter messages'!A1022="","",'Enter messages'!A1022)</f>
        <v/>
      </c>
      <c r="B1022" s="20">
        <f>IF('Enter messages'!B1022="","",'Enter messages'!B1022)</f>
        <v/>
      </c>
      <c r="C1022" s="21">
        <f>IFERROR(AVERAGE(P1022:T1022),"")</f>
        <v/>
      </c>
      <c r="D1022" s="29" t="n"/>
      <c r="E1022" s="29" t="n"/>
      <c r="F1022" s="30">
        <f>IF(AND(ISNUMBER($D1022),ISNUMBER($E1022),$E1022&gt;0,$D1022&lt;=$E1022),$D1022/$E1022,"")</f>
        <v/>
      </c>
      <c r="P1022" s="26" t="n"/>
      <c r="Q1022" s="26" t="n"/>
      <c r="R1022" s="26" t="n"/>
      <c r="S1022" s="26" t="n"/>
      <c r="T1022" s="26" t="n"/>
      <c r="V1022" s="27">
        <f>IF(ISNUMBER($C1022),COUNTIFS($A$14:$A$1213,$A1022,$C$14:$C$1213,"&gt;"&amp;$C1022)+(COUNTIFS($A$14:$A$1213,$A1022,$C$14:$C$1213,"="&amp;$C1022)+1)/2,"")</f>
        <v/>
      </c>
      <c r="W1022" s="27">
        <f>IF(ISNUMBER($F1022),COUNTIFS($A$14:$A$1213,$A1022,$F$14:$F$1213,"&gt;"&amp;$F1022)+(COUNTIFS($A$14:$A$1213,$A1022,$F$14:$F$1213,"="&amp;$F1022)+1)/2,"")</f>
        <v/>
      </c>
      <c r="X1022" s="27">
        <f>IF(OR(NOT(ISNUMBER($V1022)),$AO1022=1),"",$V1022-(COUNTIFS($A$14:$A$1213,$A1022,$C$14:$C$1213,"&gt;=0")+1)/2)</f>
        <v/>
      </c>
      <c r="Y1022" s="27">
        <f>IF(OR(NOT(ISNUMBER($W1022)),$AO1022=1),"",$W1022-(COUNTIFS($A$14:$A$1213,$A1022,$F$14:$F$1213,"&gt;=0")+1)/2)</f>
        <v/>
      </c>
      <c r="Z1022" s="27">
        <f>IF(ISNUMBER($V1022),$A1022&amp;"|"&amp;$V1022,"")</f>
        <v/>
      </c>
      <c r="AA1022" s="27">
        <f>IF(ISNUMBER($W1022),$A1022&amp;"|"&amp;$W1022,"")</f>
        <v/>
      </c>
      <c r="AB1022" s="27">
        <f>IF(ISNUMBER($F1022),$A1022&amp;"|"&amp;$F1022,"")</f>
        <v/>
      </c>
      <c r="AC1022" s="27">
        <f>IF(ISNUMBER($P1022),COUNTIFS($A$14:$A$1213,$A1022,$P$14:$P$1213,"&gt;"&amp;$P1022)+(COUNTIFS($A$14:$A$1213,$A1022,$P$14:$P$1213,"="&amp;$P1022)+1)/2,"")</f>
        <v/>
      </c>
      <c r="AD1022" s="27">
        <f>IF(ISNUMBER($Q1022),COUNTIFS($A$14:$A$1213,$A1022,$Q$14:$Q$1213,"&gt;"&amp;$Q1022)+(COUNTIFS($A$14:$A$1213,$A1022,$Q$14:$Q$1213,"="&amp;$Q1022)+1)/2,"")</f>
        <v/>
      </c>
      <c r="AE1022" s="27">
        <f>IF(ISNUMBER($R1022),COUNTIFS($A$14:$A$1213,$A1022,$R$14:$R$1213,"&gt;"&amp;$R1022)+(COUNTIFS($A$14:$A$1213,$A1022,$R$14:$R$1213,"="&amp;$R1022)+1)/2,"")</f>
        <v/>
      </c>
      <c r="AF1022" s="27">
        <f>IF(ISNUMBER($S1022),COUNTIFS($A$14:$A$1213,$A1022,$S$14:$S$1213,"&gt;"&amp;$S1022)+(COUNTIFS($A$14:$A$1213,$A1022,$S$14:$S$1213,"="&amp;$S1022)+1)/2,"")</f>
        <v/>
      </c>
      <c r="AG1022" s="27">
        <f>IF(ISNUMBER($T1022),COUNTIFS($A$14:$A$1213,$A1022,$T$14:$T$1213,"&gt;"&amp;$T1022)+(COUNTIFS($A$14:$A$1213,$A1022,$T$14:$T$1213,"="&amp;$T1022)+1)/2,"")</f>
        <v/>
      </c>
      <c r="AH1022" s="27">
        <f>IF(COUNT($AC1022:$AG1022)&lt;2,"",IF(MAX($AC1022:$AG1022)=MIN($AC1022:$AG1022),0,1))</f>
        <v/>
      </c>
      <c r="AI1022" s="27">
        <f>IF($A1022="","",IF(COUNTIF($A$14:$A1022,$A1022)=1,COUNTIF($AI$13:AI1021,"&gt;0")+1,""))</f>
        <v/>
      </c>
      <c r="AO1022" s="27">
        <f>IF($A1022="","",IF(AND(COUNTIFS($A$14:$A$1213,$A1022,$F$14:$F$1213,"&gt;=0")=2,IFERROR(INDEX($M$14:$M$313,MATCH($A1022,$H$14:$H$313,0)),"Yes")&lt;&gt;"Yes"),1,0))</f>
        <v/>
      </c>
    </row>
    <row r="1023">
      <c r="A1023" s="19">
        <f>IF('Enter messages'!A1023="","",'Enter messages'!A1023)</f>
        <v/>
      </c>
      <c r="B1023" s="20">
        <f>IF('Enter messages'!B1023="","",'Enter messages'!B1023)</f>
        <v/>
      </c>
      <c r="C1023" s="21">
        <f>IFERROR(AVERAGE(P1023:T1023),"")</f>
        <v/>
      </c>
      <c r="D1023" s="29" t="n"/>
      <c r="E1023" s="29" t="n"/>
      <c r="F1023" s="30">
        <f>IF(AND(ISNUMBER($D1023),ISNUMBER($E1023),$E1023&gt;0,$D1023&lt;=$E1023),$D1023/$E1023,"")</f>
        <v/>
      </c>
      <c r="P1023" s="26" t="n"/>
      <c r="Q1023" s="26" t="n"/>
      <c r="R1023" s="26" t="n"/>
      <c r="S1023" s="26" t="n"/>
      <c r="T1023" s="26" t="n"/>
      <c r="V1023" s="27">
        <f>IF(ISNUMBER($C1023),COUNTIFS($A$14:$A$1213,$A1023,$C$14:$C$1213,"&gt;"&amp;$C1023)+(COUNTIFS($A$14:$A$1213,$A1023,$C$14:$C$1213,"="&amp;$C1023)+1)/2,"")</f>
        <v/>
      </c>
      <c r="W1023" s="27">
        <f>IF(ISNUMBER($F1023),COUNTIFS($A$14:$A$1213,$A1023,$F$14:$F$1213,"&gt;"&amp;$F1023)+(COUNTIFS($A$14:$A$1213,$A1023,$F$14:$F$1213,"="&amp;$F1023)+1)/2,"")</f>
        <v/>
      </c>
      <c r="X1023" s="27">
        <f>IF(OR(NOT(ISNUMBER($V1023)),$AO1023=1),"",$V1023-(COUNTIFS($A$14:$A$1213,$A1023,$C$14:$C$1213,"&gt;=0")+1)/2)</f>
        <v/>
      </c>
      <c r="Y1023" s="27">
        <f>IF(OR(NOT(ISNUMBER($W1023)),$AO1023=1),"",$W1023-(COUNTIFS($A$14:$A$1213,$A1023,$F$14:$F$1213,"&gt;=0")+1)/2)</f>
        <v/>
      </c>
      <c r="Z1023" s="27">
        <f>IF(ISNUMBER($V1023),$A1023&amp;"|"&amp;$V1023,"")</f>
        <v/>
      </c>
      <c r="AA1023" s="27">
        <f>IF(ISNUMBER($W1023),$A1023&amp;"|"&amp;$W1023,"")</f>
        <v/>
      </c>
      <c r="AB1023" s="27">
        <f>IF(ISNUMBER($F1023),$A1023&amp;"|"&amp;$F1023,"")</f>
        <v/>
      </c>
      <c r="AC1023" s="27">
        <f>IF(ISNUMBER($P1023),COUNTIFS($A$14:$A$1213,$A1023,$P$14:$P$1213,"&gt;"&amp;$P1023)+(COUNTIFS($A$14:$A$1213,$A1023,$P$14:$P$1213,"="&amp;$P1023)+1)/2,"")</f>
        <v/>
      </c>
      <c r="AD1023" s="27">
        <f>IF(ISNUMBER($Q1023),COUNTIFS($A$14:$A$1213,$A1023,$Q$14:$Q$1213,"&gt;"&amp;$Q1023)+(COUNTIFS($A$14:$A$1213,$A1023,$Q$14:$Q$1213,"="&amp;$Q1023)+1)/2,"")</f>
        <v/>
      </c>
      <c r="AE1023" s="27">
        <f>IF(ISNUMBER($R1023),COUNTIFS($A$14:$A$1213,$A1023,$R$14:$R$1213,"&gt;"&amp;$R1023)+(COUNTIFS($A$14:$A$1213,$A1023,$R$14:$R$1213,"="&amp;$R1023)+1)/2,"")</f>
        <v/>
      </c>
      <c r="AF1023" s="27">
        <f>IF(ISNUMBER($S1023),COUNTIFS($A$14:$A$1213,$A1023,$S$14:$S$1213,"&gt;"&amp;$S1023)+(COUNTIFS($A$14:$A$1213,$A1023,$S$14:$S$1213,"="&amp;$S1023)+1)/2,"")</f>
        <v/>
      </c>
      <c r="AG1023" s="27">
        <f>IF(ISNUMBER($T1023),COUNTIFS($A$14:$A$1213,$A1023,$T$14:$T$1213,"&gt;"&amp;$T1023)+(COUNTIFS($A$14:$A$1213,$A1023,$T$14:$T$1213,"="&amp;$T1023)+1)/2,"")</f>
        <v/>
      </c>
      <c r="AH1023" s="27">
        <f>IF(COUNT($AC1023:$AG1023)&lt;2,"",IF(MAX($AC1023:$AG1023)=MIN($AC1023:$AG1023),0,1))</f>
        <v/>
      </c>
      <c r="AI1023" s="27">
        <f>IF($A1023="","",IF(COUNTIF($A$14:$A1023,$A1023)=1,COUNTIF($AI$13:AI1022,"&gt;0")+1,""))</f>
        <v/>
      </c>
      <c r="AO1023" s="27">
        <f>IF($A1023="","",IF(AND(COUNTIFS($A$14:$A$1213,$A1023,$F$14:$F$1213,"&gt;=0")=2,IFERROR(INDEX($M$14:$M$313,MATCH($A1023,$H$14:$H$313,0)),"Yes")&lt;&gt;"Yes"),1,0))</f>
        <v/>
      </c>
    </row>
    <row r="1024">
      <c r="A1024" s="19">
        <f>IF('Enter messages'!A1024="","",'Enter messages'!A1024)</f>
        <v/>
      </c>
      <c r="B1024" s="20">
        <f>IF('Enter messages'!B1024="","",'Enter messages'!B1024)</f>
        <v/>
      </c>
      <c r="C1024" s="21">
        <f>IFERROR(AVERAGE(P1024:T1024),"")</f>
        <v/>
      </c>
      <c r="D1024" s="29" t="n"/>
      <c r="E1024" s="29" t="n"/>
      <c r="F1024" s="30">
        <f>IF(AND(ISNUMBER($D1024),ISNUMBER($E1024),$E1024&gt;0,$D1024&lt;=$E1024),$D1024/$E1024,"")</f>
        <v/>
      </c>
      <c r="P1024" s="26" t="n"/>
      <c r="Q1024" s="26" t="n"/>
      <c r="R1024" s="26" t="n"/>
      <c r="S1024" s="26" t="n"/>
      <c r="T1024" s="26" t="n"/>
      <c r="V1024" s="27">
        <f>IF(ISNUMBER($C1024),COUNTIFS($A$14:$A$1213,$A1024,$C$14:$C$1213,"&gt;"&amp;$C1024)+(COUNTIFS($A$14:$A$1213,$A1024,$C$14:$C$1213,"="&amp;$C1024)+1)/2,"")</f>
        <v/>
      </c>
      <c r="W1024" s="27">
        <f>IF(ISNUMBER($F1024),COUNTIFS($A$14:$A$1213,$A1024,$F$14:$F$1213,"&gt;"&amp;$F1024)+(COUNTIFS($A$14:$A$1213,$A1024,$F$14:$F$1213,"="&amp;$F1024)+1)/2,"")</f>
        <v/>
      </c>
      <c r="X1024" s="27">
        <f>IF(OR(NOT(ISNUMBER($V1024)),$AO1024=1),"",$V1024-(COUNTIFS($A$14:$A$1213,$A1024,$C$14:$C$1213,"&gt;=0")+1)/2)</f>
        <v/>
      </c>
      <c r="Y1024" s="27">
        <f>IF(OR(NOT(ISNUMBER($W1024)),$AO1024=1),"",$W1024-(COUNTIFS($A$14:$A$1213,$A1024,$F$14:$F$1213,"&gt;=0")+1)/2)</f>
        <v/>
      </c>
      <c r="Z1024" s="27">
        <f>IF(ISNUMBER($V1024),$A1024&amp;"|"&amp;$V1024,"")</f>
        <v/>
      </c>
      <c r="AA1024" s="27">
        <f>IF(ISNUMBER($W1024),$A1024&amp;"|"&amp;$W1024,"")</f>
        <v/>
      </c>
      <c r="AB1024" s="27">
        <f>IF(ISNUMBER($F1024),$A1024&amp;"|"&amp;$F1024,"")</f>
        <v/>
      </c>
      <c r="AC1024" s="27">
        <f>IF(ISNUMBER($P1024),COUNTIFS($A$14:$A$1213,$A1024,$P$14:$P$1213,"&gt;"&amp;$P1024)+(COUNTIFS($A$14:$A$1213,$A1024,$P$14:$P$1213,"="&amp;$P1024)+1)/2,"")</f>
        <v/>
      </c>
      <c r="AD1024" s="27">
        <f>IF(ISNUMBER($Q1024),COUNTIFS($A$14:$A$1213,$A1024,$Q$14:$Q$1213,"&gt;"&amp;$Q1024)+(COUNTIFS($A$14:$A$1213,$A1024,$Q$14:$Q$1213,"="&amp;$Q1024)+1)/2,"")</f>
        <v/>
      </c>
      <c r="AE1024" s="27">
        <f>IF(ISNUMBER($R1024),COUNTIFS($A$14:$A$1213,$A1024,$R$14:$R$1213,"&gt;"&amp;$R1024)+(COUNTIFS($A$14:$A$1213,$A1024,$R$14:$R$1213,"="&amp;$R1024)+1)/2,"")</f>
        <v/>
      </c>
      <c r="AF1024" s="27">
        <f>IF(ISNUMBER($S1024),COUNTIFS($A$14:$A$1213,$A1024,$S$14:$S$1213,"&gt;"&amp;$S1024)+(COUNTIFS($A$14:$A$1213,$A1024,$S$14:$S$1213,"="&amp;$S1024)+1)/2,"")</f>
        <v/>
      </c>
      <c r="AG1024" s="27">
        <f>IF(ISNUMBER($T1024),COUNTIFS($A$14:$A$1213,$A1024,$T$14:$T$1213,"&gt;"&amp;$T1024)+(COUNTIFS($A$14:$A$1213,$A1024,$T$14:$T$1213,"="&amp;$T1024)+1)/2,"")</f>
        <v/>
      </c>
      <c r="AH1024" s="27">
        <f>IF(COUNT($AC1024:$AG1024)&lt;2,"",IF(MAX($AC1024:$AG1024)=MIN($AC1024:$AG1024),0,1))</f>
        <v/>
      </c>
      <c r="AI1024" s="27">
        <f>IF($A1024="","",IF(COUNTIF($A$14:$A1024,$A1024)=1,COUNTIF($AI$13:AI1023,"&gt;0")+1,""))</f>
        <v/>
      </c>
      <c r="AO1024" s="27">
        <f>IF($A1024="","",IF(AND(COUNTIFS($A$14:$A$1213,$A1024,$F$14:$F$1213,"&gt;=0")=2,IFERROR(INDEX($M$14:$M$313,MATCH($A1024,$H$14:$H$313,0)),"Yes")&lt;&gt;"Yes"),1,0))</f>
        <v/>
      </c>
    </row>
    <row r="1025">
      <c r="A1025" s="19">
        <f>IF('Enter messages'!A1025="","",'Enter messages'!A1025)</f>
        <v/>
      </c>
      <c r="B1025" s="20">
        <f>IF('Enter messages'!B1025="","",'Enter messages'!B1025)</f>
        <v/>
      </c>
      <c r="C1025" s="21">
        <f>IFERROR(AVERAGE(P1025:T1025),"")</f>
        <v/>
      </c>
      <c r="D1025" s="29" t="n"/>
      <c r="E1025" s="29" t="n"/>
      <c r="F1025" s="30">
        <f>IF(AND(ISNUMBER($D1025),ISNUMBER($E1025),$E1025&gt;0,$D1025&lt;=$E1025),$D1025/$E1025,"")</f>
        <v/>
      </c>
      <c r="P1025" s="26" t="n"/>
      <c r="Q1025" s="26" t="n"/>
      <c r="R1025" s="26" t="n"/>
      <c r="S1025" s="26" t="n"/>
      <c r="T1025" s="26" t="n"/>
      <c r="V1025" s="27">
        <f>IF(ISNUMBER($C1025),COUNTIFS($A$14:$A$1213,$A1025,$C$14:$C$1213,"&gt;"&amp;$C1025)+(COUNTIFS($A$14:$A$1213,$A1025,$C$14:$C$1213,"="&amp;$C1025)+1)/2,"")</f>
        <v/>
      </c>
      <c r="W1025" s="27">
        <f>IF(ISNUMBER($F1025),COUNTIFS($A$14:$A$1213,$A1025,$F$14:$F$1213,"&gt;"&amp;$F1025)+(COUNTIFS($A$14:$A$1213,$A1025,$F$14:$F$1213,"="&amp;$F1025)+1)/2,"")</f>
        <v/>
      </c>
      <c r="X1025" s="27">
        <f>IF(OR(NOT(ISNUMBER($V1025)),$AO1025=1),"",$V1025-(COUNTIFS($A$14:$A$1213,$A1025,$C$14:$C$1213,"&gt;=0")+1)/2)</f>
        <v/>
      </c>
      <c r="Y1025" s="27">
        <f>IF(OR(NOT(ISNUMBER($W1025)),$AO1025=1),"",$W1025-(COUNTIFS($A$14:$A$1213,$A1025,$F$14:$F$1213,"&gt;=0")+1)/2)</f>
        <v/>
      </c>
      <c r="Z1025" s="27">
        <f>IF(ISNUMBER($V1025),$A1025&amp;"|"&amp;$V1025,"")</f>
        <v/>
      </c>
      <c r="AA1025" s="27">
        <f>IF(ISNUMBER($W1025),$A1025&amp;"|"&amp;$W1025,"")</f>
        <v/>
      </c>
      <c r="AB1025" s="27">
        <f>IF(ISNUMBER($F1025),$A1025&amp;"|"&amp;$F1025,"")</f>
        <v/>
      </c>
      <c r="AC1025" s="27">
        <f>IF(ISNUMBER($P1025),COUNTIFS($A$14:$A$1213,$A1025,$P$14:$P$1213,"&gt;"&amp;$P1025)+(COUNTIFS($A$14:$A$1213,$A1025,$P$14:$P$1213,"="&amp;$P1025)+1)/2,"")</f>
        <v/>
      </c>
      <c r="AD1025" s="27">
        <f>IF(ISNUMBER($Q1025),COUNTIFS($A$14:$A$1213,$A1025,$Q$14:$Q$1213,"&gt;"&amp;$Q1025)+(COUNTIFS($A$14:$A$1213,$A1025,$Q$14:$Q$1213,"="&amp;$Q1025)+1)/2,"")</f>
        <v/>
      </c>
      <c r="AE1025" s="27">
        <f>IF(ISNUMBER($R1025),COUNTIFS($A$14:$A$1213,$A1025,$R$14:$R$1213,"&gt;"&amp;$R1025)+(COUNTIFS($A$14:$A$1213,$A1025,$R$14:$R$1213,"="&amp;$R1025)+1)/2,"")</f>
        <v/>
      </c>
      <c r="AF1025" s="27">
        <f>IF(ISNUMBER($S1025),COUNTIFS($A$14:$A$1213,$A1025,$S$14:$S$1213,"&gt;"&amp;$S1025)+(COUNTIFS($A$14:$A$1213,$A1025,$S$14:$S$1213,"="&amp;$S1025)+1)/2,"")</f>
        <v/>
      </c>
      <c r="AG1025" s="27">
        <f>IF(ISNUMBER($T1025),COUNTIFS($A$14:$A$1213,$A1025,$T$14:$T$1213,"&gt;"&amp;$T1025)+(COUNTIFS($A$14:$A$1213,$A1025,$T$14:$T$1213,"="&amp;$T1025)+1)/2,"")</f>
        <v/>
      </c>
      <c r="AH1025" s="27">
        <f>IF(COUNT($AC1025:$AG1025)&lt;2,"",IF(MAX($AC1025:$AG1025)=MIN($AC1025:$AG1025),0,1))</f>
        <v/>
      </c>
      <c r="AI1025" s="27">
        <f>IF($A1025="","",IF(COUNTIF($A$14:$A1025,$A1025)=1,COUNTIF($AI$13:AI1024,"&gt;0")+1,""))</f>
        <v/>
      </c>
      <c r="AO1025" s="27">
        <f>IF($A1025="","",IF(AND(COUNTIFS($A$14:$A$1213,$A1025,$F$14:$F$1213,"&gt;=0")=2,IFERROR(INDEX($M$14:$M$313,MATCH($A1025,$H$14:$H$313,0)),"Yes")&lt;&gt;"Yes"),1,0))</f>
        <v/>
      </c>
    </row>
    <row r="1026">
      <c r="A1026" s="19">
        <f>IF('Enter messages'!A1026="","",'Enter messages'!A1026)</f>
        <v/>
      </c>
      <c r="B1026" s="20">
        <f>IF('Enter messages'!B1026="","",'Enter messages'!B1026)</f>
        <v/>
      </c>
      <c r="C1026" s="21">
        <f>IFERROR(AVERAGE(P1026:T1026),"")</f>
        <v/>
      </c>
      <c r="D1026" s="29" t="n"/>
      <c r="E1026" s="29" t="n"/>
      <c r="F1026" s="30">
        <f>IF(AND(ISNUMBER($D1026),ISNUMBER($E1026),$E1026&gt;0,$D1026&lt;=$E1026),$D1026/$E1026,"")</f>
        <v/>
      </c>
      <c r="P1026" s="26" t="n"/>
      <c r="Q1026" s="26" t="n"/>
      <c r="R1026" s="26" t="n"/>
      <c r="S1026" s="26" t="n"/>
      <c r="T1026" s="26" t="n"/>
      <c r="V1026" s="27">
        <f>IF(ISNUMBER($C1026),COUNTIFS($A$14:$A$1213,$A1026,$C$14:$C$1213,"&gt;"&amp;$C1026)+(COUNTIFS($A$14:$A$1213,$A1026,$C$14:$C$1213,"="&amp;$C1026)+1)/2,"")</f>
        <v/>
      </c>
      <c r="W1026" s="27">
        <f>IF(ISNUMBER($F1026),COUNTIFS($A$14:$A$1213,$A1026,$F$14:$F$1213,"&gt;"&amp;$F1026)+(COUNTIFS($A$14:$A$1213,$A1026,$F$14:$F$1213,"="&amp;$F1026)+1)/2,"")</f>
        <v/>
      </c>
      <c r="X1026" s="27">
        <f>IF(OR(NOT(ISNUMBER($V1026)),$AO1026=1),"",$V1026-(COUNTIFS($A$14:$A$1213,$A1026,$C$14:$C$1213,"&gt;=0")+1)/2)</f>
        <v/>
      </c>
      <c r="Y1026" s="27">
        <f>IF(OR(NOT(ISNUMBER($W1026)),$AO1026=1),"",$W1026-(COUNTIFS($A$14:$A$1213,$A1026,$F$14:$F$1213,"&gt;=0")+1)/2)</f>
        <v/>
      </c>
      <c r="Z1026" s="27">
        <f>IF(ISNUMBER($V1026),$A1026&amp;"|"&amp;$V1026,"")</f>
        <v/>
      </c>
      <c r="AA1026" s="27">
        <f>IF(ISNUMBER($W1026),$A1026&amp;"|"&amp;$W1026,"")</f>
        <v/>
      </c>
      <c r="AB1026" s="27">
        <f>IF(ISNUMBER($F1026),$A1026&amp;"|"&amp;$F1026,"")</f>
        <v/>
      </c>
      <c r="AC1026" s="27">
        <f>IF(ISNUMBER($P1026),COUNTIFS($A$14:$A$1213,$A1026,$P$14:$P$1213,"&gt;"&amp;$P1026)+(COUNTIFS($A$14:$A$1213,$A1026,$P$14:$P$1213,"="&amp;$P1026)+1)/2,"")</f>
        <v/>
      </c>
      <c r="AD1026" s="27">
        <f>IF(ISNUMBER($Q1026),COUNTIFS($A$14:$A$1213,$A1026,$Q$14:$Q$1213,"&gt;"&amp;$Q1026)+(COUNTIFS($A$14:$A$1213,$A1026,$Q$14:$Q$1213,"="&amp;$Q1026)+1)/2,"")</f>
        <v/>
      </c>
      <c r="AE1026" s="27">
        <f>IF(ISNUMBER($R1026),COUNTIFS($A$14:$A$1213,$A1026,$R$14:$R$1213,"&gt;"&amp;$R1026)+(COUNTIFS($A$14:$A$1213,$A1026,$R$14:$R$1213,"="&amp;$R1026)+1)/2,"")</f>
        <v/>
      </c>
      <c r="AF1026" s="27">
        <f>IF(ISNUMBER($S1026),COUNTIFS($A$14:$A$1213,$A1026,$S$14:$S$1213,"&gt;"&amp;$S1026)+(COUNTIFS($A$14:$A$1213,$A1026,$S$14:$S$1213,"="&amp;$S1026)+1)/2,"")</f>
        <v/>
      </c>
      <c r="AG1026" s="27">
        <f>IF(ISNUMBER($T1026),COUNTIFS($A$14:$A$1213,$A1026,$T$14:$T$1213,"&gt;"&amp;$T1026)+(COUNTIFS($A$14:$A$1213,$A1026,$T$14:$T$1213,"="&amp;$T1026)+1)/2,"")</f>
        <v/>
      </c>
      <c r="AH1026" s="27">
        <f>IF(COUNT($AC1026:$AG1026)&lt;2,"",IF(MAX($AC1026:$AG1026)=MIN($AC1026:$AG1026),0,1))</f>
        <v/>
      </c>
      <c r="AI1026" s="27">
        <f>IF($A1026="","",IF(COUNTIF($A$14:$A1026,$A1026)=1,COUNTIF($AI$13:AI1025,"&gt;0")+1,""))</f>
        <v/>
      </c>
      <c r="AO1026" s="27">
        <f>IF($A1026="","",IF(AND(COUNTIFS($A$14:$A$1213,$A1026,$F$14:$F$1213,"&gt;=0")=2,IFERROR(INDEX($M$14:$M$313,MATCH($A1026,$H$14:$H$313,0)),"Yes")&lt;&gt;"Yes"),1,0))</f>
        <v/>
      </c>
    </row>
    <row r="1027">
      <c r="A1027" s="19">
        <f>IF('Enter messages'!A1027="","",'Enter messages'!A1027)</f>
        <v/>
      </c>
      <c r="B1027" s="20">
        <f>IF('Enter messages'!B1027="","",'Enter messages'!B1027)</f>
        <v/>
      </c>
      <c r="C1027" s="21">
        <f>IFERROR(AVERAGE(P1027:T1027),"")</f>
        <v/>
      </c>
      <c r="D1027" s="29" t="n"/>
      <c r="E1027" s="29" t="n"/>
      <c r="F1027" s="30">
        <f>IF(AND(ISNUMBER($D1027),ISNUMBER($E1027),$E1027&gt;0,$D1027&lt;=$E1027),$D1027/$E1027,"")</f>
        <v/>
      </c>
      <c r="P1027" s="26" t="n"/>
      <c r="Q1027" s="26" t="n"/>
      <c r="R1027" s="26" t="n"/>
      <c r="S1027" s="26" t="n"/>
      <c r="T1027" s="26" t="n"/>
      <c r="V1027" s="27">
        <f>IF(ISNUMBER($C1027),COUNTIFS($A$14:$A$1213,$A1027,$C$14:$C$1213,"&gt;"&amp;$C1027)+(COUNTIFS($A$14:$A$1213,$A1027,$C$14:$C$1213,"="&amp;$C1027)+1)/2,"")</f>
        <v/>
      </c>
      <c r="W1027" s="27">
        <f>IF(ISNUMBER($F1027),COUNTIFS($A$14:$A$1213,$A1027,$F$14:$F$1213,"&gt;"&amp;$F1027)+(COUNTIFS($A$14:$A$1213,$A1027,$F$14:$F$1213,"="&amp;$F1027)+1)/2,"")</f>
        <v/>
      </c>
      <c r="X1027" s="27">
        <f>IF(OR(NOT(ISNUMBER($V1027)),$AO1027=1),"",$V1027-(COUNTIFS($A$14:$A$1213,$A1027,$C$14:$C$1213,"&gt;=0")+1)/2)</f>
        <v/>
      </c>
      <c r="Y1027" s="27">
        <f>IF(OR(NOT(ISNUMBER($W1027)),$AO1027=1),"",$W1027-(COUNTIFS($A$14:$A$1213,$A1027,$F$14:$F$1213,"&gt;=0")+1)/2)</f>
        <v/>
      </c>
      <c r="Z1027" s="27">
        <f>IF(ISNUMBER($V1027),$A1027&amp;"|"&amp;$V1027,"")</f>
        <v/>
      </c>
      <c r="AA1027" s="27">
        <f>IF(ISNUMBER($W1027),$A1027&amp;"|"&amp;$W1027,"")</f>
        <v/>
      </c>
      <c r="AB1027" s="27">
        <f>IF(ISNUMBER($F1027),$A1027&amp;"|"&amp;$F1027,"")</f>
        <v/>
      </c>
      <c r="AC1027" s="27">
        <f>IF(ISNUMBER($P1027),COUNTIFS($A$14:$A$1213,$A1027,$P$14:$P$1213,"&gt;"&amp;$P1027)+(COUNTIFS($A$14:$A$1213,$A1027,$P$14:$P$1213,"="&amp;$P1027)+1)/2,"")</f>
        <v/>
      </c>
      <c r="AD1027" s="27">
        <f>IF(ISNUMBER($Q1027),COUNTIFS($A$14:$A$1213,$A1027,$Q$14:$Q$1213,"&gt;"&amp;$Q1027)+(COUNTIFS($A$14:$A$1213,$A1027,$Q$14:$Q$1213,"="&amp;$Q1027)+1)/2,"")</f>
        <v/>
      </c>
      <c r="AE1027" s="27">
        <f>IF(ISNUMBER($R1027),COUNTIFS($A$14:$A$1213,$A1027,$R$14:$R$1213,"&gt;"&amp;$R1027)+(COUNTIFS($A$14:$A$1213,$A1027,$R$14:$R$1213,"="&amp;$R1027)+1)/2,"")</f>
        <v/>
      </c>
      <c r="AF1027" s="27">
        <f>IF(ISNUMBER($S1027),COUNTIFS($A$14:$A$1213,$A1027,$S$14:$S$1213,"&gt;"&amp;$S1027)+(COUNTIFS($A$14:$A$1213,$A1027,$S$14:$S$1213,"="&amp;$S1027)+1)/2,"")</f>
        <v/>
      </c>
      <c r="AG1027" s="27">
        <f>IF(ISNUMBER($T1027),COUNTIFS($A$14:$A$1213,$A1027,$T$14:$T$1213,"&gt;"&amp;$T1027)+(COUNTIFS($A$14:$A$1213,$A1027,$T$14:$T$1213,"="&amp;$T1027)+1)/2,"")</f>
        <v/>
      </c>
      <c r="AH1027" s="27">
        <f>IF(COUNT($AC1027:$AG1027)&lt;2,"",IF(MAX($AC1027:$AG1027)=MIN($AC1027:$AG1027),0,1))</f>
        <v/>
      </c>
      <c r="AI1027" s="27">
        <f>IF($A1027="","",IF(COUNTIF($A$14:$A1027,$A1027)=1,COUNTIF($AI$13:AI1026,"&gt;0")+1,""))</f>
        <v/>
      </c>
      <c r="AO1027" s="27">
        <f>IF($A1027="","",IF(AND(COUNTIFS($A$14:$A$1213,$A1027,$F$14:$F$1213,"&gt;=0")=2,IFERROR(INDEX($M$14:$M$313,MATCH($A1027,$H$14:$H$313,0)),"Yes")&lt;&gt;"Yes"),1,0))</f>
        <v/>
      </c>
    </row>
    <row r="1028">
      <c r="A1028" s="19">
        <f>IF('Enter messages'!A1028="","",'Enter messages'!A1028)</f>
        <v/>
      </c>
      <c r="B1028" s="20">
        <f>IF('Enter messages'!B1028="","",'Enter messages'!B1028)</f>
        <v/>
      </c>
      <c r="C1028" s="21">
        <f>IFERROR(AVERAGE(P1028:T1028),"")</f>
        <v/>
      </c>
      <c r="D1028" s="29" t="n"/>
      <c r="E1028" s="29" t="n"/>
      <c r="F1028" s="30">
        <f>IF(AND(ISNUMBER($D1028),ISNUMBER($E1028),$E1028&gt;0,$D1028&lt;=$E1028),$D1028/$E1028,"")</f>
        <v/>
      </c>
      <c r="P1028" s="26" t="n"/>
      <c r="Q1028" s="26" t="n"/>
      <c r="R1028" s="26" t="n"/>
      <c r="S1028" s="26" t="n"/>
      <c r="T1028" s="26" t="n"/>
      <c r="V1028" s="27">
        <f>IF(ISNUMBER($C1028),COUNTIFS($A$14:$A$1213,$A1028,$C$14:$C$1213,"&gt;"&amp;$C1028)+(COUNTIFS($A$14:$A$1213,$A1028,$C$14:$C$1213,"="&amp;$C1028)+1)/2,"")</f>
        <v/>
      </c>
      <c r="W1028" s="27">
        <f>IF(ISNUMBER($F1028),COUNTIFS($A$14:$A$1213,$A1028,$F$14:$F$1213,"&gt;"&amp;$F1028)+(COUNTIFS($A$14:$A$1213,$A1028,$F$14:$F$1213,"="&amp;$F1028)+1)/2,"")</f>
        <v/>
      </c>
      <c r="X1028" s="27">
        <f>IF(OR(NOT(ISNUMBER($V1028)),$AO1028=1),"",$V1028-(COUNTIFS($A$14:$A$1213,$A1028,$C$14:$C$1213,"&gt;=0")+1)/2)</f>
        <v/>
      </c>
      <c r="Y1028" s="27">
        <f>IF(OR(NOT(ISNUMBER($W1028)),$AO1028=1),"",$W1028-(COUNTIFS($A$14:$A$1213,$A1028,$F$14:$F$1213,"&gt;=0")+1)/2)</f>
        <v/>
      </c>
      <c r="Z1028" s="27">
        <f>IF(ISNUMBER($V1028),$A1028&amp;"|"&amp;$V1028,"")</f>
        <v/>
      </c>
      <c r="AA1028" s="27">
        <f>IF(ISNUMBER($W1028),$A1028&amp;"|"&amp;$W1028,"")</f>
        <v/>
      </c>
      <c r="AB1028" s="27">
        <f>IF(ISNUMBER($F1028),$A1028&amp;"|"&amp;$F1028,"")</f>
        <v/>
      </c>
      <c r="AC1028" s="27">
        <f>IF(ISNUMBER($P1028),COUNTIFS($A$14:$A$1213,$A1028,$P$14:$P$1213,"&gt;"&amp;$P1028)+(COUNTIFS($A$14:$A$1213,$A1028,$P$14:$P$1213,"="&amp;$P1028)+1)/2,"")</f>
        <v/>
      </c>
      <c r="AD1028" s="27">
        <f>IF(ISNUMBER($Q1028),COUNTIFS($A$14:$A$1213,$A1028,$Q$14:$Q$1213,"&gt;"&amp;$Q1028)+(COUNTIFS($A$14:$A$1213,$A1028,$Q$14:$Q$1213,"="&amp;$Q1028)+1)/2,"")</f>
        <v/>
      </c>
      <c r="AE1028" s="27">
        <f>IF(ISNUMBER($R1028),COUNTIFS($A$14:$A$1213,$A1028,$R$14:$R$1213,"&gt;"&amp;$R1028)+(COUNTIFS($A$14:$A$1213,$A1028,$R$14:$R$1213,"="&amp;$R1028)+1)/2,"")</f>
        <v/>
      </c>
      <c r="AF1028" s="27">
        <f>IF(ISNUMBER($S1028),COUNTIFS($A$14:$A$1213,$A1028,$S$14:$S$1213,"&gt;"&amp;$S1028)+(COUNTIFS($A$14:$A$1213,$A1028,$S$14:$S$1213,"="&amp;$S1028)+1)/2,"")</f>
        <v/>
      </c>
      <c r="AG1028" s="27">
        <f>IF(ISNUMBER($T1028),COUNTIFS($A$14:$A$1213,$A1028,$T$14:$T$1213,"&gt;"&amp;$T1028)+(COUNTIFS($A$14:$A$1213,$A1028,$T$14:$T$1213,"="&amp;$T1028)+1)/2,"")</f>
        <v/>
      </c>
      <c r="AH1028" s="27">
        <f>IF(COUNT($AC1028:$AG1028)&lt;2,"",IF(MAX($AC1028:$AG1028)=MIN($AC1028:$AG1028),0,1))</f>
        <v/>
      </c>
      <c r="AI1028" s="27">
        <f>IF($A1028="","",IF(COUNTIF($A$14:$A1028,$A1028)=1,COUNTIF($AI$13:AI1027,"&gt;0")+1,""))</f>
        <v/>
      </c>
      <c r="AO1028" s="27">
        <f>IF($A1028="","",IF(AND(COUNTIFS($A$14:$A$1213,$A1028,$F$14:$F$1213,"&gt;=0")=2,IFERROR(INDEX($M$14:$M$313,MATCH($A1028,$H$14:$H$313,0)),"Yes")&lt;&gt;"Yes"),1,0))</f>
        <v/>
      </c>
    </row>
    <row r="1029">
      <c r="A1029" s="19">
        <f>IF('Enter messages'!A1029="","",'Enter messages'!A1029)</f>
        <v/>
      </c>
      <c r="B1029" s="20">
        <f>IF('Enter messages'!B1029="","",'Enter messages'!B1029)</f>
        <v/>
      </c>
      <c r="C1029" s="21">
        <f>IFERROR(AVERAGE(P1029:T1029),"")</f>
        <v/>
      </c>
      <c r="D1029" s="29" t="n"/>
      <c r="E1029" s="29" t="n"/>
      <c r="F1029" s="30">
        <f>IF(AND(ISNUMBER($D1029),ISNUMBER($E1029),$E1029&gt;0,$D1029&lt;=$E1029),$D1029/$E1029,"")</f>
        <v/>
      </c>
      <c r="P1029" s="26" t="n"/>
      <c r="Q1029" s="26" t="n"/>
      <c r="R1029" s="26" t="n"/>
      <c r="S1029" s="26" t="n"/>
      <c r="T1029" s="26" t="n"/>
      <c r="V1029" s="27">
        <f>IF(ISNUMBER($C1029),COUNTIFS($A$14:$A$1213,$A1029,$C$14:$C$1213,"&gt;"&amp;$C1029)+(COUNTIFS($A$14:$A$1213,$A1029,$C$14:$C$1213,"="&amp;$C1029)+1)/2,"")</f>
        <v/>
      </c>
      <c r="W1029" s="27">
        <f>IF(ISNUMBER($F1029),COUNTIFS($A$14:$A$1213,$A1029,$F$14:$F$1213,"&gt;"&amp;$F1029)+(COUNTIFS($A$14:$A$1213,$A1029,$F$14:$F$1213,"="&amp;$F1029)+1)/2,"")</f>
        <v/>
      </c>
      <c r="X1029" s="27">
        <f>IF(OR(NOT(ISNUMBER($V1029)),$AO1029=1),"",$V1029-(COUNTIFS($A$14:$A$1213,$A1029,$C$14:$C$1213,"&gt;=0")+1)/2)</f>
        <v/>
      </c>
      <c r="Y1029" s="27">
        <f>IF(OR(NOT(ISNUMBER($W1029)),$AO1029=1),"",$W1029-(COUNTIFS($A$14:$A$1213,$A1029,$F$14:$F$1213,"&gt;=0")+1)/2)</f>
        <v/>
      </c>
      <c r="Z1029" s="27">
        <f>IF(ISNUMBER($V1029),$A1029&amp;"|"&amp;$V1029,"")</f>
        <v/>
      </c>
      <c r="AA1029" s="27">
        <f>IF(ISNUMBER($W1029),$A1029&amp;"|"&amp;$W1029,"")</f>
        <v/>
      </c>
      <c r="AB1029" s="27">
        <f>IF(ISNUMBER($F1029),$A1029&amp;"|"&amp;$F1029,"")</f>
        <v/>
      </c>
      <c r="AC1029" s="27">
        <f>IF(ISNUMBER($P1029),COUNTIFS($A$14:$A$1213,$A1029,$P$14:$P$1213,"&gt;"&amp;$P1029)+(COUNTIFS($A$14:$A$1213,$A1029,$P$14:$P$1213,"="&amp;$P1029)+1)/2,"")</f>
        <v/>
      </c>
      <c r="AD1029" s="27">
        <f>IF(ISNUMBER($Q1029),COUNTIFS($A$14:$A$1213,$A1029,$Q$14:$Q$1213,"&gt;"&amp;$Q1029)+(COUNTIFS($A$14:$A$1213,$A1029,$Q$14:$Q$1213,"="&amp;$Q1029)+1)/2,"")</f>
        <v/>
      </c>
      <c r="AE1029" s="27">
        <f>IF(ISNUMBER($R1029),COUNTIFS($A$14:$A$1213,$A1029,$R$14:$R$1213,"&gt;"&amp;$R1029)+(COUNTIFS($A$14:$A$1213,$A1029,$R$14:$R$1213,"="&amp;$R1029)+1)/2,"")</f>
        <v/>
      </c>
      <c r="AF1029" s="27">
        <f>IF(ISNUMBER($S1029),COUNTIFS($A$14:$A$1213,$A1029,$S$14:$S$1213,"&gt;"&amp;$S1029)+(COUNTIFS($A$14:$A$1213,$A1029,$S$14:$S$1213,"="&amp;$S1029)+1)/2,"")</f>
        <v/>
      </c>
      <c r="AG1029" s="27">
        <f>IF(ISNUMBER($T1029),COUNTIFS($A$14:$A$1213,$A1029,$T$14:$T$1213,"&gt;"&amp;$T1029)+(COUNTIFS($A$14:$A$1213,$A1029,$T$14:$T$1213,"="&amp;$T1029)+1)/2,"")</f>
        <v/>
      </c>
      <c r="AH1029" s="27">
        <f>IF(COUNT($AC1029:$AG1029)&lt;2,"",IF(MAX($AC1029:$AG1029)=MIN($AC1029:$AG1029),0,1))</f>
        <v/>
      </c>
      <c r="AI1029" s="27">
        <f>IF($A1029="","",IF(COUNTIF($A$14:$A1029,$A1029)=1,COUNTIF($AI$13:AI1028,"&gt;0")+1,""))</f>
        <v/>
      </c>
      <c r="AO1029" s="27">
        <f>IF($A1029="","",IF(AND(COUNTIFS($A$14:$A$1213,$A1029,$F$14:$F$1213,"&gt;=0")=2,IFERROR(INDEX($M$14:$M$313,MATCH($A1029,$H$14:$H$313,0)),"Yes")&lt;&gt;"Yes"),1,0))</f>
        <v/>
      </c>
    </row>
    <row r="1030">
      <c r="A1030" s="19">
        <f>IF('Enter messages'!A1030="","",'Enter messages'!A1030)</f>
        <v/>
      </c>
      <c r="B1030" s="20">
        <f>IF('Enter messages'!B1030="","",'Enter messages'!B1030)</f>
        <v/>
      </c>
      <c r="C1030" s="21">
        <f>IFERROR(AVERAGE(P1030:T1030),"")</f>
        <v/>
      </c>
      <c r="D1030" s="29" t="n"/>
      <c r="E1030" s="29" t="n"/>
      <c r="F1030" s="30">
        <f>IF(AND(ISNUMBER($D1030),ISNUMBER($E1030),$E1030&gt;0,$D1030&lt;=$E1030),$D1030/$E1030,"")</f>
        <v/>
      </c>
      <c r="P1030" s="26" t="n"/>
      <c r="Q1030" s="26" t="n"/>
      <c r="R1030" s="26" t="n"/>
      <c r="S1030" s="26" t="n"/>
      <c r="T1030" s="26" t="n"/>
      <c r="V1030" s="27">
        <f>IF(ISNUMBER($C1030),COUNTIFS($A$14:$A$1213,$A1030,$C$14:$C$1213,"&gt;"&amp;$C1030)+(COUNTIFS($A$14:$A$1213,$A1030,$C$14:$C$1213,"="&amp;$C1030)+1)/2,"")</f>
        <v/>
      </c>
      <c r="W1030" s="27">
        <f>IF(ISNUMBER($F1030),COUNTIFS($A$14:$A$1213,$A1030,$F$14:$F$1213,"&gt;"&amp;$F1030)+(COUNTIFS($A$14:$A$1213,$A1030,$F$14:$F$1213,"="&amp;$F1030)+1)/2,"")</f>
        <v/>
      </c>
      <c r="X1030" s="27">
        <f>IF(OR(NOT(ISNUMBER($V1030)),$AO1030=1),"",$V1030-(COUNTIFS($A$14:$A$1213,$A1030,$C$14:$C$1213,"&gt;=0")+1)/2)</f>
        <v/>
      </c>
      <c r="Y1030" s="27">
        <f>IF(OR(NOT(ISNUMBER($W1030)),$AO1030=1),"",$W1030-(COUNTIFS($A$14:$A$1213,$A1030,$F$14:$F$1213,"&gt;=0")+1)/2)</f>
        <v/>
      </c>
      <c r="Z1030" s="27">
        <f>IF(ISNUMBER($V1030),$A1030&amp;"|"&amp;$V1030,"")</f>
        <v/>
      </c>
      <c r="AA1030" s="27">
        <f>IF(ISNUMBER($W1030),$A1030&amp;"|"&amp;$W1030,"")</f>
        <v/>
      </c>
      <c r="AB1030" s="27">
        <f>IF(ISNUMBER($F1030),$A1030&amp;"|"&amp;$F1030,"")</f>
        <v/>
      </c>
      <c r="AC1030" s="27">
        <f>IF(ISNUMBER($P1030),COUNTIFS($A$14:$A$1213,$A1030,$P$14:$P$1213,"&gt;"&amp;$P1030)+(COUNTIFS($A$14:$A$1213,$A1030,$P$14:$P$1213,"="&amp;$P1030)+1)/2,"")</f>
        <v/>
      </c>
      <c r="AD1030" s="27">
        <f>IF(ISNUMBER($Q1030),COUNTIFS($A$14:$A$1213,$A1030,$Q$14:$Q$1213,"&gt;"&amp;$Q1030)+(COUNTIFS($A$14:$A$1213,$A1030,$Q$14:$Q$1213,"="&amp;$Q1030)+1)/2,"")</f>
        <v/>
      </c>
      <c r="AE1030" s="27">
        <f>IF(ISNUMBER($R1030),COUNTIFS($A$14:$A$1213,$A1030,$R$14:$R$1213,"&gt;"&amp;$R1030)+(COUNTIFS($A$14:$A$1213,$A1030,$R$14:$R$1213,"="&amp;$R1030)+1)/2,"")</f>
        <v/>
      </c>
      <c r="AF1030" s="27">
        <f>IF(ISNUMBER($S1030),COUNTIFS($A$14:$A$1213,$A1030,$S$14:$S$1213,"&gt;"&amp;$S1030)+(COUNTIFS($A$14:$A$1213,$A1030,$S$14:$S$1213,"="&amp;$S1030)+1)/2,"")</f>
        <v/>
      </c>
      <c r="AG1030" s="27">
        <f>IF(ISNUMBER($T1030),COUNTIFS($A$14:$A$1213,$A1030,$T$14:$T$1213,"&gt;"&amp;$T1030)+(COUNTIFS($A$14:$A$1213,$A1030,$T$14:$T$1213,"="&amp;$T1030)+1)/2,"")</f>
        <v/>
      </c>
      <c r="AH1030" s="27">
        <f>IF(COUNT($AC1030:$AG1030)&lt;2,"",IF(MAX($AC1030:$AG1030)=MIN($AC1030:$AG1030),0,1))</f>
        <v/>
      </c>
      <c r="AI1030" s="27">
        <f>IF($A1030="","",IF(COUNTIF($A$14:$A1030,$A1030)=1,COUNTIF($AI$13:AI1029,"&gt;0")+1,""))</f>
        <v/>
      </c>
      <c r="AO1030" s="27">
        <f>IF($A1030="","",IF(AND(COUNTIFS($A$14:$A$1213,$A1030,$F$14:$F$1213,"&gt;=0")=2,IFERROR(INDEX($M$14:$M$313,MATCH($A1030,$H$14:$H$313,0)),"Yes")&lt;&gt;"Yes"),1,0))</f>
        <v/>
      </c>
    </row>
    <row r="1031">
      <c r="A1031" s="19">
        <f>IF('Enter messages'!A1031="","",'Enter messages'!A1031)</f>
        <v/>
      </c>
      <c r="B1031" s="20">
        <f>IF('Enter messages'!B1031="","",'Enter messages'!B1031)</f>
        <v/>
      </c>
      <c r="C1031" s="21">
        <f>IFERROR(AVERAGE(P1031:T1031),"")</f>
        <v/>
      </c>
      <c r="D1031" s="29" t="n"/>
      <c r="E1031" s="29" t="n"/>
      <c r="F1031" s="30">
        <f>IF(AND(ISNUMBER($D1031),ISNUMBER($E1031),$E1031&gt;0,$D1031&lt;=$E1031),$D1031/$E1031,"")</f>
        <v/>
      </c>
      <c r="P1031" s="26" t="n"/>
      <c r="Q1031" s="26" t="n"/>
      <c r="R1031" s="26" t="n"/>
      <c r="S1031" s="26" t="n"/>
      <c r="T1031" s="26" t="n"/>
      <c r="V1031" s="27">
        <f>IF(ISNUMBER($C1031),COUNTIFS($A$14:$A$1213,$A1031,$C$14:$C$1213,"&gt;"&amp;$C1031)+(COUNTIFS($A$14:$A$1213,$A1031,$C$14:$C$1213,"="&amp;$C1031)+1)/2,"")</f>
        <v/>
      </c>
      <c r="W1031" s="27">
        <f>IF(ISNUMBER($F1031),COUNTIFS($A$14:$A$1213,$A1031,$F$14:$F$1213,"&gt;"&amp;$F1031)+(COUNTIFS($A$14:$A$1213,$A1031,$F$14:$F$1213,"="&amp;$F1031)+1)/2,"")</f>
        <v/>
      </c>
      <c r="X1031" s="27">
        <f>IF(OR(NOT(ISNUMBER($V1031)),$AO1031=1),"",$V1031-(COUNTIFS($A$14:$A$1213,$A1031,$C$14:$C$1213,"&gt;=0")+1)/2)</f>
        <v/>
      </c>
      <c r="Y1031" s="27">
        <f>IF(OR(NOT(ISNUMBER($W1031)),$AO1031=1),"",$W1031-(COUNTIFS($A$14:$A$1213,$A1031,$F$14:$F$1213,"&gt;=0")+1)/2)</f>
        <v/>
      </c>
      <c r="Z1031" s="27">
        <f>IF(ISNUMBER($V1031),$A1031&amp;"|"&amp;$V1031,"")</f>
        <v/>
      </c>
      <c r="AA1031" s="27">
        <f>IF(ISNUMBER($W1031),$A1031&amp;"|"&amp;$W1031,"")</f>
        <v/>
      </c>
      <c r="AB1031" s="27">
        <f>IF(ISNUMBER($F1031),$A1031&amp;"|"&amp;$F1031,"")</f>
        <v/>
      </c>
      <c r="AC1031" s="27">
        <f>IF(ISNUMBER($P1031),COUNTIFS($A$14:$A$1213,$A1031,$P$14:$P$1213,"&gt;"&amp;$P1031)+(COUNTIFS($A$14:$A$1213,$A1031,$P$14:$P$1213,"="&amp;$P1031)+1)/2,"")</f>
        <v/>
      </c>
      <c r="AD1031" s="27">
        <f>IF(ISNUMBER($Q1031),COUNTIFS($A$14:$A$1213,$A1031,$Q$14:$Q$1213,"&gt;"&amp;$Q1031)+(COUNTIFS($A$14:$A$1213,$A1031,$Q$14:$Q$1213,"="&amp;$Q1031)+1)/2,"")</f>
        <v/>
      </c>
      <c r="AE1031" s="27">
        <f>IF(ISNUMBER($R1031),COUNTIFS($A$14:$A$1213,$A1031,$R$14:$R$1213,"&gt;"&amp;$R1031)+(COUNTIFS($A$14:$A$1213,$A1031,$R$14:$R$1213,"="&amp;$R1031)+1)/2,"")</f>
        <v/>
      </c>
      <c r="AF1031" s="27">
        <f>IF(ISNUMBER($S1031),COUNTIFS($A$14:$A$1213,$A1031,$S$14:$S$1213,"&gt;"&amp;$S1031)+(COUNTIFS($A$14:$A$1213,$A1031,$S$14:$S$1213,"="&amp;$S1031)+1)/2,"")</f>
        <v/>
      </c>
      <c r="AG1031" s="27">
        <f>IF(ISNUMBER($T1031),COUNTIFS($A$14:$A$1213,$A1031,$T$14:$T$1213,"&gt;"&amp;$T1031)+(COUNTIFS($A$14:$A$1213,$A1031,$T$14:$T$1213,"="&amp;$T1031)+1)/2,"")</f>
        <v/>
      </c>
      <c r="AH1031" s="27">
        <f>IF(COUNT($AC1031:$AG1031)&lt;2,"",IF(MAX($AC1031:$AG1031)=MIN($AC1031:$AG1031),0,1))</f>
        <v/>
      </c>
      <c r="AI1031" s="27">
        <f>IF($A1031="","",IF(COUNTIF($A$14:$A1031,$A1031)=1,COUNTIF($AI$13:AI1030,"&gt;0")+1,""))</f>
        <v/>
      </c>
      <c r="AO1031" s="27">
        <f>IF($A1031="","",IF(AND(COUNTIFS($A$14:$A$1213,$A1031,$F$14:$F$1213,"&gt;=0")=2,IFERROR(INDEX($M$14:$M$313,MATCH($A1031,$H$14:$H$313,0)),"Yes")&lt;&gt;"Yes"),1,0))</f>
        <v/>
      </c>
    </row>
    <row r="1032">
      <c r="A1032" s="19">
        <f>IF('Enter messages'!A1032="","",'Enter messages'!A1032)</f>
        <v/>
      </c>
      <c r="B1032" s="20">
        <f>IF('Enter messages'!B1032="","",'Enter messages'!B1032)</f>
        <v/>
      </c>
      <c r="C1032" s="21">
        <f>IFERROR(AVERAGE(P1032:T1032),"")</f>
        <v/>
      </c>
      <c r="D1032" s="29" t="n"/>
      <c r="E1032" s="29" t="n"/>
      <c r="F1032" s="30">
        <f>IF(AND(ISNUMBER($D1032),ISNUMBER($E1032),$E1032&gt;0,$D1032&lt;=$E1032),$D1032/$E1032,"")</f>
        <v/>
      </c>
      <c r="P1032" s="26" t="n"/>
      <c r="Q1032" s="26" t="n"/>
      <c r="R1032" s="26" t="n"/>
      <c r="S1032" s="26" t="n"/>
      <c r="T1032" s="26" t="n"/>
      <c r="V1032" s="27">
        <f>IF(ISNUMBER($C1032),COUNTIFS($A$14:$A$1213,$A1032,$C$14:$C$1213,"&gt;"&amp;$C1032)+(COUNTIFS($A$14:$A$1213,$A1032,$C$14:$C$1213,"="&amp;$C1032)+1)/2,"")</f>
        <v/>
      </c>
      <c r="W1032" s="27">
        <f>IF(ISNUMBER($F1032),COUNTIFS($A$14:$A$1213,$A1032,$F$14:$F$1213,"&gt;"&amp;$F1032)+(COUNTIFS($A$14:$A$1213,$A1032,$F$14:$F$1213,"="&amp;$F1032)+1)/2,"")</f>
        <v/>
      </c>
      <c r="X1032" s="27">
        <f>IF(OR(NOT(ISNUMBER($V1032)),$AO1032=1),"",$V1032-(COUNTIFS($A$14:$A$1213,$A1032,$C$14:$C$1213,"&gt;=0")+1)/2)</f>
        <v/>
      </c>
      <c r="Y1032" s="27">
        <f>IF(OR(NOT(ISNUMBER($W1032)),$AO1032=1),"",$W1032-(COUNTIFS($A$14:$A$1213,$A1032,$F$14:$F$1213,"&gt;=0")+1)/2)</f>
        <v/>
      </c>
      <c r="Z1032" s="27">
        <f>IF(ISNUMBER($V1032),$A1032&amp;"|"&amp;$V1032,"")</f>
        <v/>
      </c>
      <c r="AA1032" s="27">
        <f>IF(ISNUMBER($W1032),$A1032&amp;"|"&amp;$W1032,"")</f>
        <v/>
      </c>
      <c r="AB1032" s="27">
        <f>IF(ISNUMBER($F1032),$A1032&amp;"|"&amp;$F1032,"")</f>
        <v/>
      </c>
      <c r="AC1032" s="27">
        <f>IF(ISNUMBER($P1032),COUNTIFS($A$14:$A$1213,$A1032,$P$14:$P$1213,"&gt;"&amp;$P1032)+(COUNTIFS($A$14:$A$1213,$A1032,$P$14:$P$1213,"="&amp;$P1032)+1)/2,"")</f>
        <v/>
      </c>
      <c r="AD1032" s="27">
        <f>IF(ISNUMBER($Q1032),COUNTIFS($A$14:$A$1213,$A1032,$Q$14:$Q$1213,"&gt;"&amp;$Q1032)+(COUNTIFS($A$14:$A$1213,$A1032,$Q$14:$Q$1213,"="&amp;$Q1032)+1)/2,"")</f>
        <v/>
      </c>
      <c r="AE1032" s="27">
        <f>IF(ISNUMBER($R1032),COUNTIFS($A$14:$A$1213,$A1032,$R$14:$R$1213,"&gt;"&amp;$R1032)+(COUNTIFS($A$14:$A$1213,$A1032,$R$14:$R$1213,"="&amp;$R1032)+1)/2,"")</f>
        <v/>
      </c>
      <c r="AF1032" s="27">
        <f>IF(ISNUMBER($S1032),COUNTIFS($A$14:$A$1213,$A1032,$S$14:$S$1213,"&gt;"&amp;$S1032)+(COUNTIFS($A$14:$A$1213,$A1032,$S$14:$S$1213,"="&amp;$S1032)+1)/2,"")</f>
        <v/>
      </c>
      <c r="AG1032" s="27">
        <f>IF(ISNUMBER($T1032),COUNTIFS($A$14:$A$1213,$A1032,$T$14:$T$1213,"&gt;"&amp;$T1032)+(COUNTIFS($A$14:$A$1213,$A1032,$T$14:$T$1213,"="&amp;$T1032)+1)/2,"")</f>
        <v/>
      </c>
      <c r="AH1032" s="27">
        <f>IF(COUNT($AC1032:$AG1032)&lt;2,"",IF(MAX($AC1032:$AG1032)=MIN($AC1032:$AG1032),0,1))</f>
        <v/>
      </c>
      <c r="AI1032" s="27">
        <f>IF($A1032="","",IF(COUNTIF($A$14:$A1032,$A1032)=1,COUNTIF($AI$13:AI1031,"&gt;0")+1,""))</f>
        <v/>
      </c>
      <c r="AO1032" s="27">
        <f>IF($A1032="","",IF(AND(COUNTIFS($A$14:$A$1213,$A1032,$F$14:$F$1213,"&gt;=0")=2,IFERROR(INDEX($M$14:$M$313,MATCH($A1032,$H$14:$H$313,0)),"Yes")&lt;&gt;"Yes"),1,0))</f>
        <v/>
      </c>
    </row>
    <row r="1033">
      <c r="A1033" s="19">
        <f>IF('Enter messages'!A1033="","",'Enter messages'!A1033)</f>
        <v/>
      </c>
      <c r="B1033" s="20">
        <f>IF('Enter messages'!B1033="","",'Enter messages'!B1033)</f>
        <v/>
      </c>
      <c r="C1033" s="21">
        <f>IFERROR(AVERAGE(P1033:T1033),"")</f>
        <v/>
      </c>
      <c r="D1033" s="29" t="n"/>
      <c r="E1033" s="29" t="n"/>
      <c r="F1033" s="30">
        <f>IF(AND(ISNUMBER($D1033),ISNUMBER($E1033),$E1033&gt;0,$D1033&lt;=$E1033),$D1033/$E1033,"")</f>
        <v/>
      </c>
      <c r="P1033" s="26" t="n"/>
      <c r="Q1033" s="26" t="n"/>
      <c r="R1033" s="26" t="n"/>
      <c r="S1033" s="26" t="n"/>
      <c r="T1033" s="26" t="n"/>
      <c r="V1033" s="27">
        <f>IF(ISNUMBER($C1033),COUNTIFS($A$14:$A$1213,$A1033,$C$14:$C$1213,"&gt;"&amp;$C1033)+(COUNTIFS($A$14:$A$1213,$A1033,$C$14:$C$1213,"="&amp;$C1033)+1)/2,"")</f>
        <v/>
      </c>
      <c r="W1033" s="27">
        <f>IF(ISNUMBER($F1033),COUNTIFS($A$14:$A$1213,$A1033,$F$14:$F$1213,"&gt;"&amp;$F1033)+(COUNTIFS($A$14:$A$1213,$A1033,$F$14:$F$1213,"="&amp;$F1033)+1)/2,"")</f>
        <v/>
      </c>
      <c r="X1033" s="27">
        <f>IF(OR(NOT(ISNUMBER($V1033)),$AO1033=1),"",$V1033-(COUNTIFS($A$14:$A$1213,$A1033,$C$14:$C$1213,"&gt;=0")+1)/2)</f>
        <v/>
      </c>
      <c r="Y1033" s="27">
        <f>IF(OR(NOT(ISNUMBER($W1033)),$AO1033=1),"",$W1033-(COUNTIFS($A$14:$A$1213,$A1033,$F$14:$F$1213,"&gt;=0")+1)/2)</f>
        <v/>
      </c>
      <c r="Z1033" s="27">
        <f>IF(ISNUMBER($V1033),$A1033&amp;"|"&amp;$V1033,"")</f>
        <v/>
      </c>
      <c r="AA1033" s="27">
        <f>IF(ISNUMBER($W1033),$A1033&amp;"|"&amp;$W1033,"")</f>
        <v/>
      </c>
      <c r="AB1033" s="27">
        <f>IF(ISNUMBER($F1033),$A1033&amp;"|"&amp;$F1033,"")</f>
        <v/>
      </c>
      <c r="AC1033" s="27">
        <f>IF(ISNUMBER($P1033),COUNTIFS($A$14:$A$1213,$A1033,$P$14:$P$1213,"&gt;"&amp;$P1033)+(COUNTIFS($A$14:$A$1213,$A1033,$P$14:$P$1213,"="&amp;$P1033)+1)/2,"")</f>
        <v/>
      </c>
      <c r="AD1033" s="27">
        <f>IF(ISNUMBER($Q1033),COUNTIFS($A$14:$A$1213,$A1033,$Q$14:$Q$1213,"&gt;"&amp;$Q1033)+(COUNTIFS($A$14:$A$1213,$A1033,$Q$14:$Q$1213,"="&amp;$Q1033)+1)/2,"")</f>
        <v/>
      </c>
      <c r="AE1033" s="27">
        <f>IF(ISNUMBER($R1033),COUNTIFS($A$14:$A$1213,$A1033,$R$14:$R$1213,"&gt;"&amp;$R1033)+(COUNTIFS($A$14:$A$1213,$A1033,$R$14:$R$1213,"="&amp;$R1033)+1)/2,"")</f>
        <v/>
      </c>
      <c r="AF1033" s="27">
        <f>IF(ISNUMBER($S1033),COUNTIFS($A$14:$A$1213,$A1033,$S$14:$S$1213,"&gt;"&amp;$S1033)+(COUNTIFS($A$14:$A$1213,$A1033,$S$14:$S$1213,"="&amp;$S1033)+1)/2,"")</f>
        <v/>
      </c>
      <c r="AG1033" s="27">
        <f>IF(ISNUMBER($T1033),COUNTIFS($A$14:$A$1213,$A1033,$T$14:$T$1213,"&gt;"&amp;$T1033)+(COUNTIFS($A$14:$A$1213,$A1033,$T$14:$T$1213,"="&amp;$T1033)+1)/2,"")</f>
        <v/>
      </c>
      <c r="AH1033" s="27">
        <f>IF(COUNT($AC1033:$AG1033)&lt;2,"",IF(MAX($AC1033:$AG1033)=MIN($AC1033:$AG1033),0,1))</f>
        <v/>
      </c>
      <c r="AI1033" s="27">
        <f>IF($A1033="","",IF(COUNTIF($A$14:$A1033,$A1033)=1,COUNTIF($AI$13:AI1032,"&gt;0")+1,""))</f>
        <v/>
      </c>
      <c r="AO1033" s="27">
        <f>IF($A1033="","",IF(AND(COUNTIFS($A$14:$A$1213,$A1033,$F$14:$F$1213,"&gt;=0")=2,IFERROR(INDEX($M$14:$M$313,MATCH($A1033,$H$14:$H$313,0)),"Yes")&lt;&gt;"Yes"),1,0))</f>
        <v/>
      </c>
    </row>
    <row r="1034">
      <c r="A1034" s="19">
        <f>IF('Enter messages'!A1034="","",'Enter messages'!A1034)</f>
        <v/>
      </c>
      <c r="B1034" s="20">
        <f>IF('Enter messages'!B1034="","",'Enter messages'!B1034)</f>
        <v/>
      </c>
      <c r="C1034" s="21">
        <f>IFERROR(AVERAGE(P1034:T1034),"")</f>
        <v/>
      </c>
      <c r="D1034" s="29" t="n"/>
      <c r="E1034" s="29" t="n"/>
      <c r="F1034" s="30">
        <f>IF(AND(ISNUMBER($D1034),ISNUMBER($E1034),$E1034&gt;0,$D1034&lt;=$E1034),$D1034/$E1034,"")</f>
        <v/>
      </c>
      <c r="P1034" s="26" t="n"/>
      <c r="Q1034" s="26" t="n"/>
      <c r="R1034" s="26" t="n"/>
      <c r="S1034" s="26" t="n"/>
      <c r="T1034" s="26" t="n"/>
      <c r="V1034" s="27">
        <f>IF(ISNUMBER($C1034),COUNTIFS($A$14:$A$1213,$A1034,$C$14:$C$1213,"&gt;"&amp;$C1034)+(COUNTIFS($A$14:$A$1213,$A1034,$C$14:$C$1213,"="&amp;$C1034)+1)/2,"")</f>
        <v/>
      </c>
      <c r="W1034" s="27">
        <f>IF(ISNUMBER($F1034),COUNTIFS($A$14:$A$1213,$A1034,$F$14:$F$1213,"&gt;"&amp;$F1034)+(COUNTIFS($A$14:$A$1213,$A1034,$F$14:$F$1213,"="&amp;$F1034)+1)/2,"")</f>
        <v/>
      </c>
      <c r="X1034" s="27">
        <f>IF(OR(NOT(ISNUMBER($V1034)),$AO1034=1),"",$V1034-(COUNTIFS($A$14:$A$1213,$A1034,$C$14:$C$1213,"&gt;=0")+1)/2)</f>
        <v/>
      </c>
      <c r="Y1034" s="27">
        <f>IF(OR(NOT(ISNUMBER($W1034)),$AO1034=1),"",$W1034-(COUNTIFS($A$14:$A$1213,$A1034,$F$14:$F$1213,"&gt;=0")+1)/2)</f>
        <v/>
      </c>
      <c r="Z1034" s="27">
        <f>IF(ISNUMBER($V1034),$A1034&amp;"|"&amp;$V1034,"")</f>
        <v/>
      </c>
      <c r="AA1034" s="27">
        <f>IF(ISNUMBER($W1034),$A1034&amp;"|"&amp;$W1034,"")</f>
        <v/>
      </c>
      <c r="AB1034" s="27">
        <f>IF(ISNUMBER($F1034),$A1034&amp;"|"&amp;$F1034,"")</f>
        <v/>
      </c>
      <c r="AC1034" s="27">
        <f>IF(ISNUMBER($P1034),COUNTIFS($A$14:$A$1213,$A1034,$P$14:$P$1213,"&gt;"&amp;$P1034)+(COUNTIFS($A$14:$A$1213,$A1034,$P$14:$P$1213,"="&amp;$P1034)+1)/2,"")</f>
        <v/>
      </c>
      <c r="AD1034" s="27">
        <f>IF(ISNUMBER($Q1034),COUNTIFS($A$14:$A$1213,$A1034,$Q$14:$Q$1213,"&gt;"&amp;$Q1034)+(COUNTIFS($A$14:$A$1213,$A1034,$Q$14:$Q$1213,"="&amp;$Q1034)+1)/2,"")</f>
        <v/>
      </c>
      <c r="AE1034" s="27">
        <f>IF(ISNUMBER($R1034),COUNTIFS($A$14:$A$1213,$A1034,$R$14:$R$1213,"&gt;"&amp;$R1034)+(COUNTIFS($A$14:$A$1213,$A1034,$R$14:$R$1213,"="&amp;$R1034)+1)/2,"")</f>
        <v/>
      </c>
      <c r="AF1034" s="27">
        <f>IF(ISNUMBER($S1034),COUNTIFS($A$14:$A$1213,$A1034,$S$14:$S$1213,"&gt;"&amp;$S1034)+(COUNTIFS($A$14:$A$1213,$A1034,$S$14:$S$1213,"="&amp;$S1034)+1)/2,"")</f>
        <v/>
      </c>
      <c r="AG1034" s="27">
        <f>IF(ISNUMBER($T1034),COUNTIFS($A$14:$A$1213,$A1034,$T$14:$T$1213,"&gt;"&amp;$T1034)+(COUNTIFS($A$14:$A$1213,$A1034,$T$14:$T$1213,"="&amp;$T1034)+1)/2,"")</f>
        <v/>
      </c>
      <c r="AH1034" s="27">
        <f>IF(COUNT($AC1034:$AG1034)&lt;2,"",IF(MAX($AC1034:$AG1034)=MIN($AC1034:$AG1034),0,1))</f>
        <v/>
      </c>
      <c r="AI1034" s="27">
        <f>IF($A1034="","",IF(COUNTIF($A$14:$A1034,$A1034)=1,COUNTIF($AI$13:AI1033,"&gt;0")+1,""))</f>
        <v/>
      </c>
      <c r="AO1034" s="27">
        <f>IF($A1034="","",IF(AND(COUNTIFS($A$14:$A$1213,$A1034,$F$14:$F$1213,"&gt;=0")=2,IFERROR(INDEX($M$14:$M$313,MATCH($A1034,$H$14:$H$313,0)),"Yes")&lt;&gt;"Yes"),1,0))</f>
        <v/>
      </c>
    </row>
    <row r="1035">
      <c r="A1035" s="19">
        <f>IF('Enter messages'!A1035="","",'Enter messages'!A1035)</f>
        <v/>
      </c>
      <c r="B1035" s="20">
        <f>IF('Enter messages'!B1035="","",'Enter messages'!B1035)</f>
        <v/>
      </c>
      <c r="C1035" s="21">
        <f>IFERROR(AVERAGE(P1035:T1035),"")</f>
        <v/>
      </c>
      <c r="D1035" s="29" t="n"/>
      <c r="E1035" s="29" t="n"/>
      <c r="F1035" s="30">
        <f>IF(AND(ISNUMBER($D1035),ISNUMBER($E1035),$E1035&gt;0,$D1035&lt;=$E1035),$D1035/$E1035,"")</f>
        <v/>
      </c>
      <c r="P1035" s="26" t="n"/>
      <c r="Q1035" s="26" t="n"/>
      <c r="R1035" s="26" t="n"/>
      <c r="S1035" s="26" t="n"/>
      <c r="T1035" s="26" t="n"/>
      <c r="V1035" s="27">
        <f>IF(ISNUMBER($C1035),COUNTIFS($A$14:$A$1213,$A1035,$C$14:$C$1213,"&gt;"&amp;$C1035)+(COUNTIFS($A$14:$A$1213,$A1035,$C$14:$C$1213,"="&amp;$C1035)+1)/2,"")</f>
        <v/>
      </c>
      <c r="W1035" s="27">
        <f>IF(ISNUMBER($F1035),COUNTIFS($A$14:$A$1213,$A1035,$F$14:$F$1213,"&gt;"&amp;$F1035)+(COUNTIFS($A$14:$A$1213,$A1035,$F$14:$F$1213,"="&amp;$F1035)+1)/2,"")</f>
        <v/>
      </c>
      <c r="X1035" s="27">
        <f>IF(OR(NOT(ISNUMBER($V1035)),$AO1035=1),"",$V1035-(COUNTIFS($A$14:$A$1213,$A1035,$C$14:$C$1213,"&gt;=0")+1)/2)</f>
        <v/>
      </c>
      <c r="Y1035" s="27">
        <f>IF(OR(NOT(ISNUMBER($W1035)),$AO1035=1),"",$W1035-(COUNTIFS($A$14:$A$1213,$A1035,$F$14:$F$1213,"&gt;=0")+1)/2)</f>
        <v/>
      </c>
      <c r="Z1035" s="27">
        <f>IF(ISNUMBER($V1035),$A1035&amp;"|"&amp;$V1035,"")</f>
        <v/>
      </c>
      <c r="AA1035" s="27">
        <f>IF(ISNUMBER($W1035),$A1035&amp;"|"&amp;$W1035,"")</f>
        <v/>
      </c>
      <c r="AB1035" s="27">
        <f>IF(ISNUMBER($F1035),$A1035&amp;"|"&amp;$F1035,"")</f>
        <v/>
      </c>
      <c r="AC1035" s="27">
        <f>IF(ISNUMBER($P1035),COUNTIFS($A$14:$A$1213,$A1035,$P$14:$P$1213,"&gt;"&amp;$P1035)+(COUNTIFS($A$14:$A$1213,$A1035,$P$14:$P$1213,"="&amp;$P1035)+1)/2,"")</f>
        <v/>
      </c>
      <c r="AD1035" s="27">
        <f>IF(ISNUMBER($Q1035),COUNTIFS($A$14:$A$1213,$A1035,$Q$14:$Q$1213,"&gt;"&amp;$Q1035)+(COUNTIFS($A$14:$A$1213,$A1035,$Q$14:$Q$1213,"="&amp;$Q1035)+1)/2,"")</f>
        <v/>
      </c>
      <c r="AE1035" s="27">
        <f>IF(ISNUMBER($R1035),COUNTIFS($A$14:$A$1213,$A1035,$R$14:$R$1213,"&gt;"&amp;$R1035)+(COUNTIFS($A$14:$A$1213,$A1035,$R$14:$R$1213,"="&amp;$R1035)+1)/2,"")</f>
        <v/>
      </c>
      <c r="AF1035" s="27">
        <f>IF(ISNUMBER($S1035),COUNTIFS($A$14:$A$1213,$A1035,$S$14:$S$1213,"&gt;"&amp;$S1035)+(COUNTIFS($A$14:$A$1213,$A1035,$S$14:$S$1213,"="&amp;$S1035)+1)/2,"")</f>
        <v/>
      </c>
      <c r="AG1035" s="27">
        <f>IF(ISNUMBER($T1035),COUNTIFS($A$14:$A$1213,$A1035,$T$14:$T$1213,"&gt;"&amp;$T1035)+(COUNTIFS($A$14:$A$1213,$A1035,$T$14:$T$1213,"="&amp;$T1035)+1)/2,"")</f>
        <v/>
      </c>
      <c r="AH1035" s="27">
        <f>IF(COUNT($AC1035:$AG1035)&lt;2,"",IF(MAX($AC1035:$AG1035)=MIN($AC1035:$AG1035),0,1))</f>
        <v/>
      </c>
      <c r="AI1035" s="27">
        <f>IF($A1035="","",IF(COUNTIF($A$14:$A1035,$A1035)=1,COUNTIF($AI$13:AI1034,"&gt;0")+1,""))</f>
        <v/>
      </c>
      <c r="AO1035" s="27">
        <f>IF($A1035="","",IF(AND(COUNTIFS($A$14:$A$1213,$A1035,$F$14:$F$1213,"&gt;=0")=2,IFERROR(INDEX($M$14:$M$313,MATCH($A1035,$H$14:$H$313,0)),"Yes")&lt;&gt;"Yes"),1,0))</f>
        <v/>
      </c>
    </row>
    <row r="1036">
      <c r="A1036" s="19">
        <f>IF('Enter messages'!A1036="","",'Enter messages'!A1036)</f>
        <v/>
      </c>
      <c r="B1036" s="20">
        <f>IF('Enter messages'!B1036="","",'Enter messages'!B1036)</f>
        <v/>
      </c>
      <c r="C1036" s="21">
        <f>IFERROR(AVERAGE(P1036:T1036),"")</f>
        <v/>
      </c>
      <c r="D1036" s="29" t="n"/>
      <c r="E1036" s="29" t="n"/>
      <c r="F1036" s="30">
        <f>IF(AND(ISNUMBER($D1036),ISNUMBER($E1036),$E1036&gt;0,$D1036&lt;=$E1036),$D1036/$E1036,"")</f>
        <v/>
      </c>
      <c r="P1036" s="26" t="n"/>
      <c r="Q1036" s="26" t="n"/>
      <c r="R1036" s="26" t="n"/>
      <c r="S1036" s="26" t="n"/>
      <c r="T1036" s="26" t="n"/>
      <c r="V1036" s="27">
        <f>IF(ISNUMBER($C1036),COUNTIFS($A$14:$A$1213,$A1036,$C$14:$C$1213,"&gt;"&amp;$C1036)+(COUNTIFS($A$14:$A$1213,$A1036,$C$14:$C$1213,"="&amp;$C1036)+1)/2,"")</f>
        <v/>
      </c>
      <c r="W1036" s="27">
        <f>IF(ISNUMBER($F1036),COUNTIFS($A$14:$A$1213,$A1036,$F$14:$F$1213,"&gt;"&amp;$F1036)+(COUNTIFS($A$14:$A$1213,$A1036,$F$14:$F$1213,"="&amp;$F1036)+1)/2,"")</f>
        <v/>
      </c>
      <c r="X1036" s="27">
        <f>IF(OR(NOT(ISNUMBER($V1036)),$AO1036=1),"",$V1036-(COUNTIFS($A$14:$A$1213,$A1036,$C$14:$C$1213,"&gt;=0")+1)/2)</f>
        <v/>
      </c>
      <c r="Y1036" s="27">
        <f>IF(OR(NOT(ISNUMBER($W1036)),$AO1036=1),"",$W1036-(COUNTIFS($A$14:$A$1213,$A1036,$F$14:$F$1213,"&gt;=0")+1)/2)</f>
        <v/>
      </c>
      <c r="Z1036" s="27">
        <f>IF(ISNUMBER($V1036),$A1036&amp;"|"&amp;$V1036,"")</f>
        <v/>
      </c>
      <c r="AA1036" s="27">
        <f>IF(ISNUMBER($W1036),$A1036&amp;"|"&amp;$W1036,"")</f>
        <v/>
      </c>
      <c r="AB1036" s="27">
        <f>IF(ISNUMBER($F1036),$A1036&amp;"|"&amp;$F1036,"")</f>
        <v/>
      </c>
      <c r="AC1036" s="27">
        <f>IF(ISNUMBER($P1036),COUNTIFS($A$14:$A$1213,$A1036,$P$14:$P$1213,"&gt;"&amp;$P1036)+(COUNTIFS($A$14:$A$1213,$A1036,$P$14:$P$1213,"="&amp;$P1036)+1)/2,"")</f>
        <v/>
      </c>
      <c r="AD1036" s="27">
        <f>IF(ISNUMBER($Q1036),COUNTIFS($A$14:$A$1213,$A1036,$Q$14:$Q$1213,"&gt;"&amp;$Q1036)+(COUNTIFS($A$14:$A$1213,$A1036,$Q$14:$Q$1213,"="&amp;$Q1036)+1)/2,"")</f>
        <v/>
      </c>
      <c r="AE1036" s="27">
        <f>IF(ISNUMBER($R1036),COUNTIFS($A$14:$A$1213,$A1036,$R$14:$R$1213,"&gt;"&amp;$R1036)+(COUNTIFS($A$14:$A$1213,$A1036,$R$14:$R$1213,"="&amp;$R1036)+1)/2,"")</f>
        <v/>
      </c>
      <c r="AF1036" s="27">
        <f>IF(ISNUMBER($S1036),COUNTIFS($A$14:$A$1213,$A1036,$S$14:$S$1213,"&gt;"&amp;$S1036)+(COUNTIFS($A$14:$A$1213,$A1036,$S$14:$S$1213,"="&amp;$S1036)+1)/2,"")</f>
        <v/>
      </c>
      <c r="AG1036" s="27">
        <f>IF(ISNUMBER($T1036),COUNTIFS($A$14:$A$1213,$A1036,$T$14:$T$1213,"&gt;"&amp;$T1036)+(COUNTIFS($A$14:$A$1213,$A1036,$T$14:$T$1213,"="&amp;$T1036)+1)/2,"")</f>
        <v/>
      </c>
      <c r="AH1036" s="27">
        <f>IF(COUNT($AC1036:$AG1036)&lt;2,"",IF(MAX($AC1036:$AG1036)=MIN($AC1036:$AG1036),0,1))</f>
        <v/>
      </c>
      <c r="AI1036" s="27">
        <f>IF($A1036="","",IF(COUNTIF($A$14:$A1036,$A1036)=1,COUNTIF($AI$13:AI1035,"&gt;0")+1,""))</f>
        <v/>
      </c>
      <c r="AO1036" s="27">
        <f>IF($A1036="","",IF(AND(COUNTIFS($A$14:$A$1213,$A1036,$F$14:$F$1213,"&gt;=0")=2,IFERROR(INDEX($M$14:$M$313,MATCH($A1036,$H$14:$H$313,0)),"Yes")&lt;&gt;"Yes"),1,0))</f>
        <v/>
      </c>
    </row>
    <row r="1037">
      <c r="A1037" s="19">
        <f>IF('Enter messages'!A1037="","",'Enter messages'!A1037)</f>
        <v/>
      </c>
      <c r="B1037" s="20">
        <f>IF('Enter messages'!B1037="","",'Enter messages'!B1037)</f>
        <v/>
      </c>
      <c r="C1037" s="21">
        <f>IFERROR(AVERAGE(P1037:T1037),"")</f>
        <v/>
      </c>
      <c r="D1037" s="29" t="n"/>
      <c r="E1037" s="29" t="n"/>
      <c r="F1037" s="30">
        <f>IF(AND(ISNUMBER($D1037),ISNUMBER($E1037),$E1037&gt;0,$D1037&lt;=$E1037),$D1037/$E1037,"")</f>
        <v/>
      </c>
      <c r="P1037" s="26" t="n"/>
      <c r="Q1037" s="26" t="n"/>
      <c r="R1037" s="26" t="n"/>
      <c r="S1037" s="26" t="n"/>
      <c r="T1037" s="26" t="n"/>
      <c r="V1037" s="27">
        <f>IF(ISNUMBER($C1037),COUNTIFS($A$14:$A$1213,$A1037,$C$14:$C$1213,"&gt;"&amp;$C1037)+(COUNTIFS($A$14:$A$1213,$A1037,$C$14:$C$1213,"="&amp;$C1037)+1)/2,"")</f>
        <v/>
      </c>
      <c r="W1037" s="27">
        <f>IF(ISNUMBER($F1037),COUNTIFS($A$14:$A$1213,$A1037,$F$14:$F$1213,"&gt;"&amp;$F1037)+(COUNTIFS($A$14:$A$1213,$A1037,$F$14:$F$1213,"="&amp;$F1037)+1)/2,"")</f>
        <v/>
      </c>
      <c r="X1037" s="27">
        <f>IF(OR(NOT(ISNUMBER($V1037)),$AO1037=1),"",$V1037-(COUNTIFS($A$14:$A$1213,$A1037,$C$14:$C$1213,"&gt;=0")+1)/2)</f>
        <v/>
      </c>
      <c r="Y1037" s="27">
        <f>IF(OR(NOT(ISNUMBER($W1037)),$AO1037=1),"",$W1037-(COUNTIFS($A$14:$A$1213,$A1037,$F$14:$F$1213,"&gt;=0")+1)/2)</f>
        <v/>
      </c>
      <c r="Z1037" s="27">
        <f>IF(ISNUMBER($V1037),$A1037&amp;"|"&amp;$V1037,"")</f>
        <v/>
      </c>
      <c r="AA1037" s="27">
        <f>IF(ISNUMBER($W1037),$A1037&amp;"|"&amp;$W1037,"")</f>
        <v/>
      </c>
      <c r="AB1037" s="27">
        <f>IF(ISNUMBER($F1037),$A1037&amp;"|"&amp;$F1037,"")</f>
        <v/>
      </c>
      <c r="AC1037" s="27">
        <f>IF(ISNUMBER($P1037),COUNTIFS($A$14:$A$1213,$A1037,$P$14:$P$1213,"&gt;"&amp;$P1037)+(COUNTIFS($A$14:$A$1213,$A1037,$P$14:$P$1213,"="&amp;$P1037)+1)/2,"")</f>
        <v/>
      </c>
      <c r="AD1037" s="27">
        <f>IF(ISNUMBER($Q1037),COUNTIFS($A$14:$A$1213,$A1037,$Q$14:$Q$1213,"&gt;"&amp;$Q1037)+(COUNTIFS($A$14:$A$1213,$A1037,$Q$14:$Q$1213,"="&amp;$Q1037)+1)/2,"")</f>
        <v/>
      </c>
      <c r="AE1037" s="27">
        <f>IF(ISNUMBER($R1037),COUNTIFS($A$14:$A$1213,$A1037,$R$14:$R$1213,"&gt;"&amp;$R1037)+(COUNTIFS($A$14:$A$1213,$A1037,$R$14:$R$1213,"="&amp;$R1037)+1)/2,"")</f>
        <v/>
      </c>
      <c r="AF1037" s="27">
        <f>IF(ISNUMBER($S1037),COUNTIFS($A$14:$A$1213,$A1037,$S$14:$S$1213,"&gt;"&amp;$S1037)+(COUNTIFS($A$14:$A$1213,$A1037,$S$14:$S$1213,"="&amp;$S1037)+1)/2,"")</f>
        <v/>
      </c>
      <c r="AG1037" s="27">
        <f>IF(ISNUMBER($T1037),COUNTIFS($A$14:$A$1213,$A1037,$T$14:$T$1213,"&gt;"&amp;$T1037)+(COUNTIFS($A$14:$A$1213,$A1037,$T$14:$T$1213,"="&amp;$T1037)+1)/2,"")</f>
        <v/>
      </c>
      <c r="AH1037" s="27">
        <f>IF(COUNT($AC1037:$AG1037)&lt;2,"",IF(MAX($AC1037:$AG1037)=MIN($AC1037:$AG1037),0,1))</f>
        <v/>
      </c>
      <c r="AI1037" s="27">
        <f>IF($A1037="","",IF(COUNTIF($A$14:$A1037,$A1037)=1,COUNTIF($AI$13:AI1036,"&gt;0")+1,""))</f>
        <v/>
      </c>
      <c r="AO1037" s="27">
        <f>IF($A1037="","",IF(AND(COUNTIFS($A$14:$A$1213,$A1037,$F$14:$F$1213,"&gt;=0")=2,IFERROR(INDEX($M$14:$M$313,MATCH($A1037,$H$14:$H$313,0)),"Yes")&lt;&gt;"Yes"),1,0))</f>
        <v/>
      </c>
    </row>
    <row r="1038">
      <c r="A1038" s="19">
        <f>IF('Enter messages'!A1038="","",'Enter messages'!A1038)</f>
        <v/>
      </c>
      <c r="B1038" s="20">
        <f>IF('Enter messages'!B1038="","",'Enter messages'!B1038)</f>
        <v/>
      </c>
      <c r="C1038" s="21">
        <f>IFERROR(AVERAGE(P1038:T1038),"")</f>
        <v/>
      </c>
      <c r="D1038" s="29" t="n"/>
      <c r="E1038" s="29" t="n"/>
      <c r="F1038" s="30">
        <f>IF(AND(ISNUMBER($D1038),ISNUMBER($E1038),$E1038&gt;0,$D1038&lt;=$E1038),$D1038/$E1038,"")</f>
        <v/>
      </c>
      <c r="P1038" s="26" t="n"/>
      <c r="Q1038" s="26" t="n"/>
      <c r="R1038" s="26" t="n"/>
      <c r="S1038" s="26" t="n"/>
      <c r="T1038" s="26" t="n"/>
      <c r="V1038" s="27">
        <f>IF(ISNUMBER($C1038),COUNTIFS($A$14:$A$1213,$A1038,$C$14:$C$1213,"&gt;"&amp;$C1038)+(COUNTIFS($A$14:$A$1213,$A1038,$C$14:$C$1213,"="&amp;$C1038)+1)/2,"")</f>
        <v/>
      </c>
      <c r="W1038" s="27">
        <f>IF(ISNUMBER($F1038),COUNTIFS($A$14:$A$1213,$A1038,$F$14:$F$1213,"&gt;"&amp;$F1038)+(COUNTIFS($A$14:$A$1213,$A1038,$F$14:$F$1213,"="&amp;$F1038)+1)/2,"")</f>
        <v/>
      </c>
      <c r="X1038" s="27">
        <f>IF(OR(NOT(ISNUMBER($V1038)),$AO1038=1),"",$V1038-(COUNTIFS($A$14:$A$1213,$A1038,$C$14:$C$1213,"&gt;=0")+1)/2)</f>
        <v/>
      </c>
      <c r="Y1038" s="27">
        <f>IF(OR(NOT(ISNUMBER($W1038)),$AO1038=1),"",$W1038-(COUNTIFS($A$14:$A$1213,$A1038,$F$14:$F$1213,"&gt;=0")+1)/2)</f>
        <v/>
      </c>
      <c r="Z1038" s="27">
        <f>IF(ISNUMBER($V1038),$A1038&amp;"|"&amp;$V1038,"")</f>
        <v/>
      </c>
      <c r="AA1038" s="27">
        <f>IF(ISNUMBER($W1038),$A1038&amp;"|"&amp;$W1038,"")</f>
        <v/>
      </c>
      <c r="AB1038" s="27">
        <f>IF(ISNUMBER($F1038),$A1038&amp;"|"&amp;$F1038,"")</f>
        <v/>
      </c>
      <c r="AC1038" s="27">
        <f>IF(ISNUMBER($P1038),COUNTIFS($A$14:$A$1213,$A1038,$P$14:$P$1213,"&gt;"&amp;$P1038)+(COUNTIFS($A$14:$A$1213,$A1038,$P$14:$P$1213,"="&amp;$P1038)+1)/2,"")</f>
        <v/>
      </c>
      <c r="AD1038" s="27">
        <f>IF(ISNUMBER($Q1038),COUNTIFS($A$14:$A$1213,$A1038,$Q$14:$Q$1213,"&gt;"&amp;$Q1038)+(COUNTIFS($A$14:$A$1213,$A1038,$Q$14:$Q$1213,"="&amp;$Q1038)+1)/2,"")</f>
        <v/>
      </c>
      <c r="AE1038" s="27">
        <f>IF(ISNUMBER($R1038),COUNTIFS($A$14:$A$1213,$A1038,$R$14:$R$1213,"&gt;"&amp;$R1038)+(COUNTIFS($A$14:$A$1213,$A1038,$R$14:$R$1213,"="&amp;$R1038)+1)/2,"")</f>
        <v/>
      </c>
      <c r="AF1038" s="27">
        <f>IF(ISNUMBER($S1038),COUNTIFS($A$14:$A$1213,$A1038,$S$14:$S$1213,"&gt;"&amp;$S1038)+(COUNTIFS($A$14:$A$1213,$A1038,$S$14:$S$1213,"="&amp;$S1038)+1)/2,"")</f>
        <v/>
      </c>
      <c r="AG1038" s="27">
        <f>IF(ISNUMBER($T1038),COUNTIFS($A$14:$A$1213,$A1038,$T$14:$T$1213,"&gt;"&amp;$T1038)+(COUNTIFS($A$14:$A$1213,$A1038,$T$14:$T$1213,"="&amp;$T1038)+1)/2,"")</f>
        <v/>
      </c>
      <c r="AH1038" s="27">
        <f>IF(COUNT($AC1038:$AG1038)&lt;2,"",IF(MAX($AC1038:$AG1038)=MIN($AC1038:$AG1038),0,1))</f>
        <v/>
      </c>
      <c r="AI1038" s="27">
        <f>IF($A1038="","",IF(COUNTIF($A$14:$A1038,$A1038)=1,COUNTIF($AI$13:AI1037,"&gt;0")+1,""))</f>
        <v/>
      </c>
      <c r="AO1038" s="27">
        <f>IF($A1038="","",IF(AND(COUNTIFS($A$14:$A$1213,$A1038,$F$14:$F$1213,"&gt;=0")=2,IFERROR(INDEX($M$14:$M$313,MATCH($A1038,$H$14:$H$313,0)),"Yes")&lt;&gt;"Yes"),1,0))</f>
        <v/>
      </c>
    </row>
    <row r="1039">
      <c r="A1039" s="19">
        <f>IF('Enter messages'!A1039="","",'Enter messages'!A1039)</f>
        <v/>
      </c>
      <c r="B1039" s="20">
        <f>IF('Enter messages'!B1039="","",'Enter messages'!B1039)</f>
        <v/>
      </c>
      <c r="C1039" s="21">
        <f>IFERROR(AVERAGE(P1039:T1039),"")</f>
        <v/>
      </c>
      <c r="D1039" s="29" t="n"/>
      <c r="E1039" s="29" t="n"/>
      <c r="F1039" s="30">
        <f>IF(AND(ISNUMBER($D1039),ISNUMBER($E1039),$E1039&gt;0,$D1039&lt;=$E1039),$D1039/$E1039,"")</f>
        <v/>
      </c>
      <c r="P1039" s="26" t="n"/>
      <c r="Q1039" s="26" t="n"/>
      <c r="R1039" s="26" t="n"/>
      <c r="S1039" s="26" t="n"/>
      <c r="T1039" s="26" t="n"/>
      <c r="V1039" s="27">
        <f>IF(ISNUMBER($C1039),COUNTIFS($A$14:$A$1213,$A1039,$C$14:$C$1213,"&gt;"&amp;$C1039)+(COUNTIFS($A$14:$A$1213,$A1039,$C$14:$C$1213,"="&amp;$C1039)+1)/2,"")</f>
        <v/>
      </c>
      <c r="W1039" s="27">
        <f>IF(ISNUMBER($F1039),COUNTIFS($A$14:$A$1213,$A1039,$F$14:$F$1213,"&gt;"&amp;$F1039)+(COUNTIFS($A$14:$A$1213,$A1039,$F$14:$F$1213,"="&amp;$F1039)+1)/2,"")</f>
        <v/>
      </c>
      <c r="X1039" s="27">
        <f>IF(OR(NOT(ISNUMBER($V1039)),$AO1039=1),"",$V1039-(COUNTIFS($A$14:$A$1213,$A1039,$C$14:$C$1213,"&gt;=0")+1)/2)</f>
        <v/>
      </c>
      <c r="Y1039" s="27">
        <f>IF(OR(NOT(ISNUMBER($W1039)),$AO1039=1),"",$W1039-(COUNTIFS($A$14:$A$1213,$A1039,$F$14:$F$1213,"&gt;=0")+1)/2)</f>
        <v/>
      </c>
      <c r="Z1039" s="27">
        <f>IF(ISNUMBER($V1039),$A1039&amp;"|"&amp;$V1039,"")</f>
        <v/>
      </c>
      <c r="AA1039" s="27">
        <f>IF(ISNUMBER($W1039),$A1039&amp;"|"&amp;$W1039,"")</f>
        <v/>
      </c>
      <c r="AB1039" s="27">
        <f>IF(ISNUMBER($F1039),$A1039&amp;"|"&amp;$F1039,"")</f>
        <v/>
      </c>
      <c r="AC1039" s="27">
        <f>IF(ISNUMBER($P1039),COUNTIFS($A$14:$A$1213,$A1039,$P$14:$P$1213,"&gt;"&amp;$P1039)+(COUNTIFS($A$14:$A$1213,$A1039,$P$14:$P$1213,"="&amp;$P1039)+1)/2,"")</f>
        <v/>
      </c>
      <c r="AD1039" s="27">
        <f>IF(ISNUMBER($Q1039),COUNTIFS($A$14:$A$1213,$A1039,$Q$14:$Q$1213,"&gt;"&amp;$Q1039)+(COUNTIFS($A$14:$A$1213,$A1039,$Q$14:$Q$1213,"="&amp;$Q1039)+1)/2,"")</f>
        <v/>
      </c>
      <c r="AE1039" s="27">
        <f>IF(ISNUMBER($R1039),COUNTIFS($A$14:$A$1213,$A1039,$R$14:$R$1213,"&gt;"&amp;$R1039)+(COUNTIFS($A$14:$A$1213,$A1039,$R$14:$R$1213,"="&amp;$R1039)+1)/2,"")</f>
        <v/>
      </c>
      <c r="AF1039" s="27">
        <f>IF(ISNUMBER($S1039),COUNTIFS($A$14:$A$1213,$A1039,$S$14:$S$1213,"&gt;"&amp;$S1039)+(COUNTIFS($A$14:$A$1213,$A1039,$S$14:$S$1213,"="&amp;$S1039)+1)/2,"")</f>
        <v/>
      </c>
      <c r="AG1039" s="27">
        <f>IF(ISNUMBER($T1039),COUNTIFS($A$14:$A$1213,$A1039,$T$14:$T$1213,"&gt;"&amp;$T1039)+(COUNTIFS($A$14:$A$1213,$A1039,$T$14:$T$1213,"="&amp;$T1039)+1)/2,"")</f>
        <v/>
      </c>
      <c r="AH1039" s="27">
        <f>IF(COUNT($AC1039:$AG1039)&lt;2,"",IF(MAX($AC1039:$AG1039)=MIN($AC1039:$AG1039),0,1))</f>
        <v/>
      </c>
      <c r="AI1039" s="27">
        <f>IF($A1039="","",IF(COUNTIF($A$14:$A1039,$A1039)=1,COUNTIF($AI$13:AI1038,"&gt;0")+1,""))</f>
        <v/>
      </c>
      <c r="AO1039" s="27">
        <f>IF($A1039="","",IF(AND(COUNTIFS($A$14:$A$1213,$A1039,$F$14:$F$1213,"&gt;=0")=2,IFERROR(INDEX($M$14:$M$313,MATCH($A1039,$H$14:$H$313,0)),"Yes")&lt;&gt;"Yes"),1,0))</f>
        <v/>
      </c>
    </row>
    <row r="1040">
      <c r="A1040" s="19">
        <f>IF('Enter messages'!A1040="","",'Enter messages'!A1040)</f>
        <v/>
      </c>
      <c r="B1040" s="20">
        <f>IF('Enter messages'!B1040="","",'Enter messages'!B1040)</f>
        <v/>
      </c>
      <c r="C1040" s="21">
        <f>IFERROR(AVERAGE(P1040:T1040),"")</f>
        <v/>
      </c>
      <c r="D1040" s="29" t="n"/>
      <c r="E1040" s="29" t="n"/>
      <c r="F1040" s="30">
        <f>IF(AND(ISNUMBER($D1040),ISNUMBER($E1040),$E1040&gt;0,$D1040&lt;=$E1040),$D1040/$E1040,"")</f>
        <v/>
      </c>
      <c r="P1040" s="26" t="n"/>
      <c r="Q1040" s="26" t="n"/>
      <c r="R1040" s="26" t="n"/>
      <c r="S1040" s="26" t="n"/>
      <c r="T1040" s="26" t="n"/>
      <c r="V1040" s="27">
        <f>IF(ISNUMBER($C1040),COUNTIFS($A$14:$A$1213,$A1040,$C$14:$C$1213,"&gt;"&amp;$C1040)+(COUNTIFS($A$14:$A$1213,$A1040,$C$14:$C$1213,"="&amp;$C1040)+1)/2,"")</f>
        <v/>
      </c>
      <c r="W1040" s="27">
        <f>IF(ISNUMBER($F1040),COUNTIFS($A$14:$A$1213,$A1040,$F$14:$F$1213,"&gt;"&amp;$F1040)+(COUNTIFS($A$14:$A$1213,$A1040,$F$14:$F$1213,"="&amp;$F1040)+1)/2,"")</f>
        <v/>
      </c>
      <c r="X1040" s="27">
        <f>IF(OR(NOT(ISNUMBER($V1040)),$AO1040=1),"",$V1040-(COUNTIFS($A$14:$A$1213,$A1040,$C$14:$C$1213,"&gt;=0")+1)/2)</f>
        <v/>
      </c>
      <c r="Y1040" s="27">
        <f>IF(OR(NOT(ISNUMBER($W1040)),$AO1040=1),"",$W1040-(COUNTIFS($A$14:$A$1213,$A1040,$F$14:$F$1213,"&gt;=0")+1)/2)</f>
        <v/>
      </c>
      <c r="Z1040" s="27">
        <f>IF(ISNUMBER($V1040),$A1040&amp;"|"&amp;$V1040,"")</f>
        <v/>
      </c>
      <c r="AA1040" s="27">
        <f>IF(ISNUMBER($W1040),$A1040&amp;"|"&amp;$W1040,"")</f>
        <v/>
      </c>
      <c r="AB1040" s="27">
        <f>IF(ISNUMBER($F1040),$A1040&amp;"|"&amp;$F1040,"")</f>
        <v/>
      </c>
      <c r="AC1040" s="27">
        <f>IF(ISNUMBER($P1040),COUNTIFS($A$14:$A$1213,$A1040,$P$14:$P$1213,"&gt;"&amp;$P1040)+(COUNTIFS($A$14:$A$1213,$A1040,$P$14:$P$1213,"="&amp;$P1040)+1)/2,"")</f>
        <v/>
      </c>
      <c r="AD1040" s="27">
        <f>IF(ISNUMBER($Q1040),COUNTIFS($A$14:$A$1213,$A1040,$Q$14:$Q$1213,"&gt;"&amp;$Q1040)+(COUNTIFS($A$14:$A$1213,$A1040,$Q$14:$Q$1213,"="&amp;$Q1040)+1)/2,"")</f>
        <v/>
      </c>
      <c r="AE1040" s="27">
        <f>IF(ISNUMBER($R1040),COUNTIFS($A$14:$A$1213,$A1040,$R$14:$R$1213,"&gt;"&amp;$R1040)+(COUNTIFS($A$14:$A$1213,$A1040,$R$14:$R$1213,"="&amp;$R1040)+1)/2,"")</f>
        <v/>
      </c>
      <c r="AF1040" s="27">
        <f>IF(ISNUMBER($S1040),COUNTIFS($A$14:$A$1213,$A1040,$S$14:$S$1213,"&gt;"&amp;$S1040)+(COUNTIFS($A$14:$A$1213,$A1040,$S$14:$S$1213,"="&amp;$S1040)+1)/2,"")</f>
        <v/>
      </c>
      <c r="AG1040" s="27">
        <f>IF(ISNUMBER($T1040),COUNTIFS($A$14:$A$1213,$A1040,$T$14:$T$1213,"&gt;"&amp;$T1040)+(COUNTIFS($A$14:$A$1213,$A1040,$T$14:$T$1213,"="&amp;$T1040)+1)/2,"")</f>
        <v/>
      </c>
      <c r="AH1040" s="27">
        <f>IF(COUNT($AC1040:$AG1040)&lt;2,"",IF(MAX($AC1040:$AG1040)=MIN($AC1040:$AG1040),0,1))</f>
        <v/>
      </c>
      <c r="AI1040" s="27">
        <f>IF($A1040="","",IF(COUNTIF($A$14:$A1040,$A1040)=1,COUNTIF($AI$13:AI1039,"&gt;0")+1,""))</f>
        <v/>
      </c>
      <c r="AO1040" s="27">
        <f>IF($A1040="","",IF(AND(COUNTIFS($A$14:$A$1213,$A1040,$F$14:$F$1213,"&gt;=0")=2,IFERROR(INDEX($M$14:$M$313,MATCH($A1040,$H$14:$H$313,0)),"Yes")&lt;&gt;"Yes"),1,0))</f>
        <v/>
      </c>
    </row>
    <row r="1041">
      <c r="A1041" s="19">
        <f>IF('Enter messages'!A1041="","",'Enter messages'!A1041)</f>
        <v/>
      </c>
      <c r="B1041" s="20">
        <f>IF('Enter messages'!B1041="","",'Enter messages'!B1041)</f>
        <v/>
      </c>
      <c r="C1041" s="21">
        <f>IFERROR(AVERAGE(P1041:T1041),"")</f>
        <v/>
      </c>
      <c r="D1041" s="29" t="n"/>
      <c r="E1041" s="29" t="n"/>
      <c r="F1041" s="30">
        <f>IF(AND(ISNUMBER($D1041),ISNUMBER($E1041),$E1041&gt;0,$D1041&lt;=$E1041),$D1041/$E1041,"")</f>
        <v/>
      </c>
      <c r="P1041" s="26" t="n"/>
      <c r="Q1041" s="26" t="n"/>
      <c r="R1041" s="26" t="n"/>
      <c r="S1041" s="26" t="n"/>
      <c r="T1041" s="26" t="n"/>
      <c r="V1041" s="27">
        <f>IF(ISNUMBER($C1041),COUNTIFS($A$14:$A$1213,$A1041,$C$14:$C$1213,"&gt;"&amp;$C1041)+(COUNTIFS($A$14:$A$1213,$A1041,$C$14:$C$1213,"="&amp;$C1041)+1)/2,"")</f>
        <v/>
      </c>
      <c r="W1041" s="27">
        <f>IF(ISNUMBER($F1041),COUNTIFS($A$14:$A$1213,$A1041,$F$14:$F$1213,"&gt;"&amp;$F1041)+(COUNTIFS($A$14:$A$1213,$A1041,$F$14:$F$1213,"="&amp;$F1041)+1)/2,"")</f>
        <v/>
      </c>
      <c r="X1041" s="27">
        <f>IF(OR(NOT(ISNUMBER($V1041)),$AO1041=1),"",$V1041-(COUNTIFS($A$14:$A$1213,$A1041,$C$14:$C$1213,"&gt;=0")+1)/2)</f>
        <v/>
      </c>
      <c r="Y1041" s="27">
        <f>IF(OR(NOT(ISNUMBER($W1041)),$AO1041=1),"",$W1041-(COUNTIFS($A$14:$A$1213,$A1041,$F$14:$F$1213,"&gt;=0")+1)/2)</f>
        <v/>
      </c>
      <c r="Z1041" s="27">
        <f>IF(ISNUMBER($V1041),$A1041&amp;"|"&amp;$V1041,"")</f>
        <v/>
      </c>
      <c r="AA1041" s="27">
        <f>IF(ISNUMBER($W1041),$A1041&amp;"|"&amp;$W1041,"")</f>
        <v/>
      </c>
      <c r="AB1041" s="27">
        <f>IF(ISNUMBER($F1041),$A1041&amp;"|"&amp;$F1041,"")</f>
        <v/>
      </c>
      <c r="AC1041" s="27">
        <f>IF(ISNUMBER($P1041),COUNTIFS($A$14:$A$1213,$A1041,$P$14:$P$1213,"&gt;"&amp;$P1041)+(COUNTIFS($A$14:$A$1213,$A1041,$P$14:$P$1213,"="&amp;$P1041)+1)/2,"")</f>
        <v/>
      </c>
      <c r="AD1041" s="27">
        <f>IF(ISNUMBER($Q1041),COUNTIFS($A$14:$A$1213,$A1041,$Q$14:$Q$1213,"&gt;"&amp;$Q1041)+(COUNTIFS($A$14:$A$1213,$A1041,$Q$14:$Q$1213,"="&amp;$Q1041)+1)/2,"")</f>
        <v/>
      </c>
      <c r="AE1041" s="27">
        <f>IF(ISNUMBER($R1041),COUNTIFS($A$14:$A$1213,$A1041,$R$14:$R$1213,"&gt;"&amp;$R1041)+(COUNTIFS($A$14:$A$1213,$A1041,$R$14:$R$1213,"="&amp;$R1041)+1)/2,"")</f>
        <v/>
      </c>
      <c r="AF1041" s="27">
        <f>IF(ISNUMBER($S1041),COUNTIFS($A$14:$A$1213,$A1041,$S$14:$S$1213,"&gt;"&amp;$S1041)+(COUNTIFS($A$14:$A$1213,$A1041,$S$14:$S$1213,"="&amp;$S1041)+1)/2,"")</f>
        <v/>
      </c>
      <c r="AG1041" s="27">
        <f>IF(ISNUMBER($T1041),COUNTIFS($A$14:$A$1213,$A1041,$T$14:$T$1213,"&gt;"&amp;$T1041)+(COUNTIFS($A$14:$A$1213,$A1041,$T$14:$T$1213,"="&amp;$T1041)+1)/2,"")</f>
        <v/>
      </c>
      <c r="AH1041" s="27">
        <f>IF(COUNT($AC1041:$AG1041)&lt;2,"",IF(MAX($AC1041:$AG1041)=MIN($AC1041:$AG1041),0,1))</f>
        <v/>
      </c>
      <c r="AI1041" s="27">
        <f>IF($A1041="","",IF(COUNTIF($A$14:$A1041,$A1041)=1,COUNTIF($AI$13:AI1040,"&gt;0")+1,""))</f>
        <v/>
      </c>
      <c r="AO1041" s="27">
        <f>IF($A1041="","",IF(AND(COUNTIFS($A$14:$A$1213,$A1041,$F$14:$F$1213,"&gt;=0")=2,IFERROR(INDEX($M$14:$M$313,MATCH($A1041,$H$14:$H$313,0)),"Yes")&lt;&gt;"Yes"),1,0))</f>
        <v/>
      </c>
    </row>
    <row r="1042">
      <c r="A1042" s="19">
        <f>IF('Enter messages'!A1042="","",'Enter messages'!A1042)</f>
        <v/>
      </c>
      <c r="B1042" s="20">
        <f>IF('Enter messages'!B1042="","",'Enter messages'!B1042)</f>
        <v/>
      </c>
      <c r="C1042" s="21">
        <f>IFERROR(AVERAGE(P1042:T1042),"")</f>
        <v/>
      </c>
      <c r="D1042" s="29" t="n"/>
      <c r="E1042" s="29" t="n"/>
      <c r="F1042" s="30">
        <f>IF(AND(ISNUMBER($D1042),ISNUMBER($E1042),$E1042&gt;0,$D1042&lt;=$E1042),$D1042/$E1042,"")</f>
        <v/>
      </c>
      <c r="P1042" s="26" t="n"/>
      <c r="Q1042" s="26" t="n"/>
      <c r="R1042" s="26" t="n"/>
      <c r="S1042" s="26" t="n"/>
      <c r="T1042" s="26" t="n"/>
      <c r="V1042" s="27">
        <f>IF(ISNUMBER($C1042),COUNTIFS($A$14:$A$1213,$A1042,$C$14:$C$1213,"&gt;"&amp;$C1042)+(COUNTIFS($A$14:$A$1213,$A1042,$C$14:$C$1213,"="&amp;$C1042)+1)/2,"")</f>
        <v/>
      </c>
      <c r="W1042" s="27">
        <f>IF(ISNUMBER($F1042),COUNTIFS($A$14:$A$1213,$A1042,$F$14:$F$1213,"&gt;"&amp;$F1042)+(COUNTIFS($A$14:$A$1213,$A1042,$F$14:$F$1213,"="&amp;$F1042)+1)/2,"")</f>
        <v/>
      </c>
      <c r="X1042" s="27">
        <f>IF(OR(NOT(ISNUMBER($V1042)),$AO1042=1),"",$V1042-(COUNTIFS($A$14:$A$1213,$A1042,$C$14:$C$1213,"&gt;=0")+1)/2)</f>
        <v/>
      </c>
      <c r="Y1042" s="27">
        <f>IF(OR(NOT(ISNUMBER($W1042)),$AO1042=1),"",$W1042-(COUNTIFS($A$14:$A$1213,$A1042,$F$14:$F$1213,"&gt;=0")+1)/2)</f>
        <v/>
      </c>
      <c r="Z1042" s="27">
        <f>IF(ISNUMBER($V1042),$A1042&amp;"|"&amp;$V1042,"")</f>
        <v/>
      </c>
      <c r="AA1042" s="27">
        <f>IF(ISNUMBER($W1042),$A1042&amp;"|"&amp;$W1042,"")</f>
        <v/>
      </c>
      <c r="AB1042" s="27">
        <f>IF(ISNUMBER($F1042),$A1042&amp;"|"&amp;$F1042,"")</f>
        <v/>
      </c>
      <c r="AC1042" s="27">
        <f>IF(ISNUMBER($P1042),COUNTIFS($A$14:$A$1213,$A1042,$P$14:$P$1213,"&gt;"&amp;$P1042)+(COUNTIFS($A$14:$A$1213,$A1042,$P$14:$P$1213,"="&amp;$P1042)+1)/2,"")</f>
        <v/>
      </c>
      <c r="AD1042" s="27">
        <f>IF(ISNUMBER($Q1042),COUNTIFS($A$14:$A$1213,$A1042,$Q$14:$Q$1213,"&gt;"&amp;$Q1042)+(COUNTIFS($A$14:$A$1213,$A1042,$Q$14:$Q$1213,"="&amp;$Q1042)+1)/2,"")</f>
        <v/>
      </c>
      <c r="AE1042" s="27">
        <f>IF(ISNUMBER($R1042),COUNTIFS($A$14:$A$1213,$A1042,$R$14:$R$1213,"&gt;"&amp;$R1042)+(COUNTIFS($A$14:$A$1213,$A1042,$R$14:$R$1213,"="&amp;$R1042)+1)/2,"")</f>
        <v/>
      </c>
      <c r="AF1042" s="27">
        <f>IF(ISNUMBER($S1042),COUNTIFS($A$14:$A$1213,$A1042,$S$14:$S$1213,"&gt;"&amp;$S1042)+(COUNTIFS($A$14:$A$1213,$A1042,$S$14:$S$1213,"="&amp;$S1042)+1)/2,"")</f>
        <v/>
      </c>
      <c r="AG1042" s="27">
        <f>IF(ISNUMBER($T1042),COUNTIFS($A$14:$A$1213,$A1042,$T$14:$T$1213,"&gt;"&amp;$T1042)+(COUNTIFS($A$14:$A$1213,$A1042,$T$14:$T$1213,"="&amp;$T1042)+1)/2,"")</f>
        <v/>
      </c>
      <c r="AH1042" s="27">
        <f>IF(COUNT($AC1042:$AG1042)&lt;2,"",IF(MAX($AC1042:$AG1042)=MIN($AC1042:$AG1042),0,1))</f>
        <v/>
      </c>
      <c r="AI1042" s="27">
        <f>IF($A1042="","",IF(COUNTIF($A$14:$A1042,$A1042)=1,COUNTIF($AI$13:AI1041,"&gt;0")+1,""))</f>
        <v/>
      </c>
      <c r="AO1042" s="27">
        <f>IF($A1042="","",IF(AND(COUNTIFS($A$14:$A$1213,$A1042,$F$14:$F$1213,"&gt;=0")=2,IFERROR(INDEX($M$14:$M$313,MATCH($A1042,$H$14:$H$313,0)),"Yes")&lt;&gt;"Yes"),1,0))</f>
        <v/>
      </c>
    </row>
    <row r="1043">
      <c r="A1043" s="19">
        <f>IF('Enter messages'!A1043="","",'Enter messages'!A1043)</f>
        <v/>
      </c>
      <c r="B1043" s="20">
        <f>IF('Enter messages'!B1043="","",'Enter messages'!B1043)</f>
        <v/>
      </c>
      <c r="C1043" s="21">
        <f>IFERROR(AVERAGE(P1043:T1043),"")</f>
        <v/>
      </c>
      <c r="D1043" s="29" t="n"/>
      <c r="E1043" s="29" t="n"/>
      <c r="F1043" s="30">
        <f>IF(AND(ISNUMBER($D1043),ISNUMBER($E1043),$E1043&gt;0,$D1043&lt;=$E1043),$D1043/$E1043,"")</f>
        <v/>
      </c>
      <c r="P1043" s="26" t="n"/>
      <c r="Q1043" s="26" t="n"/>
      <c r="R1043" s="26" t="n"/>
      <c r="S1043" s="26" t="n"/>
      <c r="T1043" s="26" t="n"/>
      <c r="V1043" s="27">
        <f>IF(ISNUMBER($C1043),COUNTIFS($A$14:$A$1213,$A1043,$C$14:$C$1213,"&gt;"&amp;$C1043)+(COUNTIFS($A$14:$A$1213,$A1043,$C$14:$C$1213,"="&amp;$C1043)+1)/2,"")</f>
        <v/>
      </c>
      <c r="W1043" s="27">
        <f>IF(ISNUMBER($F1043),COUNTIFS($A$14:$A$1213,$A1043,$F$14:$F$1213,"&gt;"&amp;$F1043)+(COUNTIFS($A$14:$A$1213,$A1043,$F$14:$F$1213,"="&amp;$F1043)+1)/2,"")</f>
        <v/>
      </c>
      <c r="X1043" s="27">
        <f>IF(OR(NOT(ISNUMBER($V1043)),$AO1043=1),"",$V1043-(COUNTIFS($A$14:$A$1213,$A1043,$C$14:$C$1213,"&gt;=0")+1)/2)</f>
        <v/>
      </c>
      <c r="Y1043" s="27">
        <f>IF(OR(NOT(ISNUMBER($W1043)),$AO1043=1),"",$W1043-(COUNTIFS($A$14:$A$1213,$A1043,$F$14:$F$1213,"&gt;=0")+1)/2)</f>
        <v/>
      </c>
      <c r="Z1043" s="27">
        <f>IF(ISNUMBER($V1043),$A1043&amp;"|"&amp;$V1043,"")</f>
        <v/>
      </c>
      <c r="AA1043" s="27">
        <f>IF(ISNUMBER($W1043),$A1043&amp;"|"&amp;$W1043,"")</f>
        <v/>
      </c>
      <c r="AB1043" s="27">
        <f>IF(ISNUMBER($F1043),$A1043&amp;"|"&amp;$F1043,"")</f>
        <v/>
      </c>
      <c r="AC1043" s="27">
        <f>IF(ISNUMBER($P1043),COUNTIFS($A$14:$A$1213,$A1043,$P$14:$P$1213,"&gt;"&amp;$P1043)+(COUNTIFS($A$14:$A$1213,$A1043,$P$14:$P$1213,"="&amp;$P1043)+1)/2,"")</f>
        <v/>
      </c>
      <c r="AD1043" s="27">
        <f>IF(ISNUMBER($Q1043),COUNTIFS($A$14:$A$1213,$A1043,$Q$14:$Q$1213,"&gt;"&amp;$Q1043)+(COUNTIFS($A$14:$A$1213,$A1043,$Q$14:$Q$1213,"="&amp;$Q1043)+1)/2,"")</f>
        <v/>
      </c>
      <c r="AE1043" s="27">
        <f>IF(ISNUMBER($R1043),COUNTIFS($A$14:$A$1213,$A1043,$R$14:$R$1213,"&gt;"&amp;$R1043)+(COUNTIFS($A$14:$A$1213,$A1043,$R$14:$R$1213,"="&amp;$R1043)+1)/2,"")</f>
        <v/>
      </c>
      <c r="AF1043" s="27">
        <f>IF(ISNUMBER($S1043),COUNTIFS($A$14:$A$1213,$A1043,$S$14:$S$1213,"&gt;"&amp;$S1043)+(COUNTIFS($A$14:$A$1213,$A1043,$S$14:$S$1213,"="&amp;$S1043)+1)/2,"")</f>
        <v/>
      </c>
      <c r="AG1043" s="27">
        <f>IF(ISNUMBER($T1043),COUNTIFS($A$14:$A$1213,$A1043,$T$14:$T$1213,"&gt;"&amp;$T1043)+(COUNTIFS($A$14:$A$1213,$A1043,$T$14:$T$1213,"="&amp;$T1043)+1)/2,"")</f>
        <v/>
      </c>
      <c r="AH1043" s="27">
        <f>IF(COUNT($AC1043:$AG1043)&lt;2,"",IF(MAX($AC1043:$AG1043)=MIN($AC1043:$AG1043),0,1))</f>
        <v/>
      </c>
      <c r="AI1043" s="27">
        <f>IF($A1043="","",IF(COUNTIF($A$14:$A1043,$A1043)=1,COUNTIF($AI$13:AI1042,"&gt;0")+1,""))</f>
        <v/>
      </c>
      <c r="AO1043" s="27">
        <f>IF($A1043="","",IF(AND(COUNTIFS($A$14:$A$1213,$A1043,$F$14:$F$1213,"&gt;=0")=2,IFERROR(INDEX($M$14:$M$313,MATCH($A1043,$H$14:$H$313,0)),"Yes")&lt;&gt;"Yes"),1,0))</f>
        <v/>
      </c>
    </row>
    <row r="1044">
      <c r="A1044" s="19">
        <f>IF('Enter messages'!A1044="","",'Enter messages'!A1044)</f>
        <v/>
      </c>
      <c r="B1044" s="20">
        <f>IF('Enter messages'!B1044="","",'Enter messages'!B1044)</f>
        <v/>
      </c>
      <c r="C1044" s="21">
        <f>IFERROR(AVERAGE(P1044:T1044),"")</f>
        <v/>
      </c>
      <c r="D1044" s="29" t="n"/>
      <c r="E1044" s="29" t="n"/>
      <c r="F1044" s="30">
        <f>IF(AND(ISNUMBER($D1044),ISNUMBER($E1044),$E1044&gt;0,$D1044&lt;=$E1044),$D1044/$E1044,"")</f>
        <v/>
      </c>
      <c r="P1044" s="26" t="n"/>
      <c r="Q1044" s="26" t="n"/>
      <c r="R1044" s="26" t="n"/>
      <c r="S1044" s="26" t="n"/>
      <c r="T1044" s="26" t="n"/>
      <c r="V1044" s="27">
        <f>IF(ISNUMBER($C1044),COUNTIFS($A$14:$A$1213,$A1044,$C$14:$C$1213,"&gt;"&amp;$C1044)+(COUNTIFS($A$14:$A$1213,$A1044,$C$14:$C$1213,"="&amp;$C1044)+1)/2,"")</f>
        <v/>
      </c>
      <c r="W1044" s="27">
        <f>IF(ISNUMBER($F1044),COUNTIFS($A$14:$A$1213,$A1044,$F$14:$F$1213,"&gt;"&amp;$F1044)+(COUNTIFS($A$14:$A$1213,$A1044,$F$14:$F$1213,"="&amp;$F1044)+1)/2,"")</f>
        <v/>
      </c>
      <c r="X1044" s="27">
        <f>IF(OR(NOT(ISNUMBER($V1044)),$AO1044=1),"",$V1044-(COUNTIFS($A$14:$A$1213,$A1044,$C$14:$C$1213,"&gt;=0")+1)/2)</f>
        <v/>
      </c>
      <c r="Y1044" s="27">
        <f>IF(OR(NOT(ISNUMBER($W1044)),$AO1044=1),"",$W1044-(COUNTIFS($A$14:$A$1213,$A1044,$F$14:$F$1213,"&gt;=0")+1)/2)</f>
        <v/>
      </c>
      <c r="Z1044" s="27">
        <f>IF(ISNUMBER($V1044),$A1044&amp;"|"&amp;$V1044,"")</f>
        <v/>
      </c>
      <c r="AA1044" s="27">
        <f>IF(ISNUMBER($W1044),$A1044&amp;"|"&amp;$W1044,"")</f>
        <v/>
      </c>
      <c r="AB1044" s="27">
        <f>IF(ISNUMBER($F1044),$A1044&amp;"|"&amp;$F1044,"")</f>
        <v/>
      </c>
      <c r="AC1044" s="27">
        <f>IF(ISNUMBER($P1044),COUNTIFS($A$14:$A$1213,$A1044,$P$14:$P$1213,"&gt;"&amp;$P1044)+(COUNTIFS($A$14:$A$1213,$A1044,$P$14:$P$1213,"="&amp;$P1044)+1)/2,"")</f>
        <v/>
      </c>
      <c r="AD1044" s="27">
        <f>IF(ISNUMBER($Q1044),COUNTIFS($A$14:$A$1213,$A1044,$Q$14:$Q$1213,"&gt;"&amp;$Q1044)+(COUNTIFS($A$14:$A$1213,$A1044,$Q$14:$Q$1213,"="&amp;$Q1044)+1)/2,"")</f>
        <v/>
      </c>
      <c r="AE1044" s="27">
        <f>IF(ISNUMBER($R1044),COUNTIFS($A$14:$A$1213,$A1044,$R$14:$R$1213,"&gt;"&amp;$R1044)+(COUNTIFS($A$14:$A$1213,$A1044,$R$14:$R$1213,"="&amp;$R1044)+1)/2,"")</f>
        <v/>
      </c>
      <c r="AF1044" s="27">
        <f>IF(ISNUMBER($S1044),COUNTIFS($A$14:$A$1213,$A1044,$S$14:$S$1213,"&gt;"&amp;$S1044)+(COUNTIFS($A$14:$A$1213,$A1044,$S$14:$S$1213,"="&amp;$S1044)+1)/2,"")</f>
        <v/>
      </c>
      <c r="AG1044" s="27">
        <f>IF(ISNUMBER($T1044),COUNTIFS($A$14:$A$1213,$A1044,$T$14:$T$1213,"&gt;"&amp;$T1044)+(COUNTIFS($A$14:$A$1213,$A1044,$T$14:$T$1213,"="&amp;$T1044)+1)/2,"")</f>
        <v/>
      </c>
      <c r="AH1044" s="27">
        <f>IF(COUNT($AC1044:$AG1044)&lt;2,"",IF(MAX($AC1044:$AG1044)=MIN($AC1044:$AG1044),0,1))</f>
        <v/>
      </c>
      <c r="AI1044" s="27">
        <f>IF($A1044="","",IF(COUNTIF($A$14:$A1044,$A1044)=1,COUNTIF($AI$13:AI1043,"&gt;0")+1,""))</f>
        <v/>
      </c>
      <c r="AO1044" s="27">
        <f>IF($A1044="","",IF(AND(COUNTIFS($A$14:$A$1213,$A1044,$F$14:$F$1213,"&gt;=0")=2,IFERROR(INDEX($M$14:$M$313,MATCH($A1044,$H$14:$H$313,0)),"Yes")&lt;&gt;"Yes"),1,0))</f>
        <v/>
      </c>
    </row>
    <row r="1045">
      <c r="A1045" s="19">
        <f>IF('Enter messages'!A1045="","",'Enter messages'!A1045)</f>
        <v/>
      </c>
      <c r="B1045" s="20">
        <f>IF('Enter messages'!B1045="","",'Enter messages'!B1045)</f>
        <v/>
      </c>
      <c r="C1045" s="21">
        <f>IFERROR(AVERAGE(P1045:T1045),"")</f>
        <v/>
      </c>
      <c r="D1045" s="29" t="n"/>
      <c r="E1045" s="29" t="n"/>
      <c r="F1045" s="30">
        <f>IF(AND(ISNUMBER($D1045),ISNUMBER($E1045),$E1045&gt;0,$D1045&lt;=$E1045),$D1045/$E1045,"")</f>
        <v/>
      </c>
      <c r="P1045" s="26" t="n"/>
      <c r="Q1045" s="26" t="n"/>
      <c r="R1045" s="26" t="n"/>
      <c r="S1045" s="26" t="n"/>
      <c r="T1045" s="26" t="n"/>
      <c r="V1045" s="27">
        <f>IF(ISNUMBER($C1045),COUNTIFS($A$14:$A$1213,$A1045,$C$14:$C$1213,"&gt;"&amp;$C1045)+(COUNTIFS($A$14:$A$1213,$A1045,$C$14:$C$1213,"="&amp;$C1045)+1)/2,"")</f>
        <v/>
      </c>
      <c r="W1045" s="27">
        <f>IF(ISNUMBER($F1045),COUNTIFS($A$14:$A$1213,$A1045,$F$14:$F$1213,"&gt;"&amp;$F1045)+(COUNTIFS($A$14:$A$1213,$A1045,$F$14:$F$1213,"="&amp;$F1045)+1)/2,"")</f>
        <v/>
      </c>
      <c r="X1045" s="27">
        <f>IF(OR(NOT(ISNUMBER($V1045)),$AO1045=1),"",$V1045-(COUNTIFS($A$14:$A$1213,$A1045,$C$14:$C$1213,"&gt;=0")+1)/2)</f>
        <v/>
      </c>
      <c r="Y1045" s="27">
        <f>IF(OR(NOT(ISNUMBER($W1045)),$AO1045=1),"",$W1045-(COUNTIFS($A$14:$A$1213,$A1045,$F$14:$F$1213,"&gt;=0")+1)/2)</f>
        <v/>
      </c>
      <c r="Z1045" s="27">
        <f>IF(ISNUMBER($V1045),$A1045&amp;"|"&amp;$V1045,"")</f>
        <v/>
      </c>
      <c r="AA1045" s="27">
        <f>IF(ISNUMBER($W1045),$A1045&amp;"|"&amp;$W1045,"")</f>
        <v/>
      </c>
      <c r="AB1045" s="27">
        <f>IF(ISNUMBER($F1045),$A1045&amp;"|"&amp;$F1045,"")</f>
        <v/>
      </c>
      <c r="AC1045" s="27">
        <f>IF(ISNUMBER($P1045),COUNTIFS($A$14:$A$1213,$A1045,$P$14:$P$1213,"&gt;"&amp;$P1045)+(COUNTIFS($A$14:$A$1213,$A1045,$P$14:$P$1213,"="&amp;$P1045)+1)/2,"")</f>
        <v/>
      </c>
      <c r="AD1045" s="27">
        <f>IF(ISNUMBER($Q1045),COUNTIFS($A$14:$A$1213,$A1045,$Q$14:$Q$1213,"&gt;"&amp;$Q1045)+(COUNTIFS($A$14:$A$1213,$A1045,$Q$14:$Q$1213,"="&amp;$Q1045)+1)/2,"")</f>
        <v/>
      </c>
      <c r="AE1045" s="27">
        <f>IF(ISNUMBER($R1045),COUNTIFS($A$14:$A$1213,$A1045,$R$14:$R$1213,"&gt;"&amp;$R1045)+(COUNTIFS($A$14:$A$1213,$A1045,$R$14:$R$1213,"="&amp;$R1045)+1)/2,"")</f>
        <v/>
      </c>
      <c r="AF1045" s="27">
        <f>IF(ISNUMBER($S1045),COUNTIFS($A$14:$A$1213,$A1045,$S$14:$S$1213,"&gt;"&amp;$S1045)+(COUNTIFS($A$14:$A$1213,$A1045,$S$14:$S$1213,"="&amp;$S1045)+1)/2,"")</f>
        <v/>
      </c>
      <c r="AG1045" s="27">
        <f>IF(ISNUMBER($T1045),COUNTIFS($A$14:$A$1213,$A1045,$T$14:$T$1213,"&gt;"&amp;$T1045)+(COUNTIFS($A$14:$A$1213,$A1045,$T$14:$T$1213,"="&amp;$T1045)+1)/2,"")</f>
        <v/>
      </c>
      <c r="AH1045" s="27">
        <f>IF(COUNT($AC1045:$AG1045)&lt;2,"",IF(MAX($AC1045:$AG1045)=MIN($AC1045:$AG1045),0,1))</f>
        <v/>
      </c>
      <c r="AI1045" s="27">
        <f>IF($A1045="","",IF(COUNTIF($A$14:$A1045,$A1045)=1,COUNTIF($AI$13:AI1044,"&gt;0")+1,""))</f>
        <v/>
      </c>
      <c r="AO1045" s="27">
        <f>IF($A1045="","",IF(AND(COUNTIFS($A$14:$A$1213,$A1045,$F$14:$F$1213,"&gt;=0")=2,IFERROR(INDEX($M$14:$M$313,MATCH($A1045,$H$14:$H$313,0)),"Yes")&lt;&gt;"Yes"),1,0))</f>
        <v/>
      </c>
    </row>
    <row r="1046">
      <c r="A1046" s="19">
        <f>IF('Enter messages'!A1046="","",'Enter messages'!A1046)</f>
        <v/>
      </c>
      <c r="B1046" s="20">
        <f>IF('Enter messages'!B1046="","",'Enter messages'!B1046)</f>
        <v/>
      </c>
      <c r="C1046" s="21">
        <f>IFERROR(AVERAGE(P1046:T1046),"")</f>
        <v/>
      </c>
      <c r="D1046" s="29" t="n"/>
      <c r="E1046" s="29" t="n"/>
      <c r="F1046" s="30">
        <f>IF(AND(ISNUMBER($D1046),ISNUMBER($E1046),$E1046&gt;0,$D1046&lt;=$E1046),$D1046/$E1046,"")</f>
        <v/>
      </c>
      <c r="P1046" s="26" t="n"/>
      <c r="Q1046" s="26" t="n"/>
      <c r="R1046" s="26" t="n"/>
      <c r="S1046" s="26" t="n"/>
      <c r="T1046" s="26" t="n"/>
      <c r="V1046" s="27">
        <f>IF(ISNUMBER($C1046),COUNTIFS($A$14:$A$1213,$A1046,$C$14:$C$1213,"&gt;"&amp;$C1046)+(COUNTIFS($A$14:$A$1213,$A1046,$C$14:$C$1213,"="&amp;$C1046)+1)/2,"")</f>
        <v/>
      </c>
      <c r="W1046" s="27">
        <f>IF(ISNUMBER($F1046),COUNTIFS($A$14:$A$1213,$A1046,$F$14:$F$1213,"&gt;"&amp;$F1046)+(COUNTIFS($A$14:$A$1213,$A1046,$F$14:$F$1213,"="&amp;$F1046)+1)/2,"")</f>
        <v/>
      </c>
      <c r="X1046" s="27">
        <f>IF(OR(NOT(ISNUMBER($V1046)),$AO1046=1),"",$V1046-(COUNTIFS($A$14:$A$1213,$A1046,$C$14:$C$1213,"&gt;=0")+1)/2)</f>
        <v/>
      </c>
      <c r="Y1046" s="27">
        <f>IF(OR(NOT(ISNUMBER($W1046)),$AO1046=1),"",$W1046-(COUNTIFS($A$14:$A$1213,$A1046,$F$14:$F$1213,"&gt;=0")+1)/2)</f>
        <v/>
      </c>
      <c r="Z1046" s="27">
        <f>IF(ISNUMBER($V1046),$A1046&amp;"|"&amp;$V1046,"")</f>
        <v/>
      </c>
      <c r="AA1046" s="27">
        <f>IF(ISNUMBER($W1046),$A1046&amp;"|"&amp;$W1046,"")</f>
        <v/>
      </c>
      <c r="AB1046" s="27">
        <f>IF(ISNUMBER($F1046),$A1046&amp;"|"&amp;$F1046,"")</f>
        <v/>
      </c>
      <c r="AC1046" s="27">
        <f>IF(ISNUMBER($P1046),COUNTIFS($A$14:$A$1213,$A1046,$P$14:$P$1213,"&gt;"&amp;$P1046)+(COUNTIFS($A$14:$A$1213,$A1046,$P$14:$P$1213,"="&amp;$P1046)+1)/2,"")</f>
        <v/>
      </c>
      <c r="AD1046" s="27">
        <f>IF(ISNUMBER($Q1046),COUNTIFS($A$14:$A$1213,$A1046,$Q$14:$Q$1213,"&gt;"&amp;$Q1046)+(COUNTIFS($A$14:$A$1213,$A1046,$Q$14:$Q$1213,"="&amp;$Q1046)+1)/2,"")</f>
        <v/>
      </c>
      <c r="AE1046" s="27">
        <f>IF(ISNUMBER($R1046),COUNTIFS($A$14:$A$1213,$A1046,$R$14:$R$1213,"&gt;"&amp;$R1046)+(COUNTIFS($A$14:$A$1213,$A1046,$R$14:$R$1213,"="&amp;$R1046)+1)/2,"")</f>
        <v/>
      </c>
      <c r="AF1046" s="27">
        <f>IF(ISNUMBER($S1046),COUNTIFS($A$14:$A$1213,$A1046,$S$14:$S$1213,"&gt;"&amp;$S1046)+(COUNTIFS($A$14:$A$1213,$A1046,$S$14:$S$1213,"="&amp;$S1046)+1)/2,"")</f>
        <v/>
      </c>
      <c r="AG1046" s="27">
        <f>IF(ISNUMBER($T1046),COUNTIFS($A$14:$A$1213,$A1046,$T$14:$T$1213,"&gt;"&amp;$T1046)+(COUNTIFS($A$14:$A$1213,$A1046,$T$14:$T$1213,"="&amp;$T1046)+1)/2,"")</f>
        <v/>
      </c>
      <c r="AH1046" s="27">
        <f>IF(COUNT($AC1046:$AG1046)&lt;2,"",IF(MAX($AC1046:$AG1046)=MIN($AC1046:$AG1046),0,1))</f>
        <v/>
      </c>
      <c r="AI1046" s="27">
        <f>IF($A1046="","",IF(COUNTIF($A$14:$A1046,$A1046)=1,COUNTIF($AI$13:AI1045,"&gt;0")+1,""))</f>
        <v/>
      </c>
      <c r="AO1046" s="27">
        <f>IF($A1046="","",IF(AND(COUNTIFS($A$14:$A$1213,$A1046,$F$14:$F$1213,"&gt;=0")=2,IFERROR(INDEX($M$14:$M$313,MATCH($A1046,$H$14:$H$313,0)),"Yes")&lt;&gt;"Yes"),1,0))</f>
        <v/>
      </c>
    </row>
    <row r="1047">
      <c r="A1047" s="19">
        <f>IF('Enter messages'!A1047="","",'Enter messages'!A1047)</f>
        <v/>
      </c>
      <c r="B1047" s="20">
        <f>IF('Enter messages'!B1047="","",'Enter messages'!B1047)</f>
        <v/>
      </c>
      <c r="C1047" s="21">
        <f>IFERROR(AVERAGE(P1047:T1047),"")</f>
        <v/>
      </c>
      <c r="D1047" s="29" t="n"/>
      <c r="E1047" s="29" t="n"/>
      <c r="F1047" s="30">
        <f>IF(AND(ISNUMBER($D1047),ISNUMBER($E1047),$E1047&gt;0,$D1047&lt;=$E1047),$D1047/$E1047,"")</f>
        <v/>
      </c>
      <c r="P1047" s="26" t="n"/>
      <c r="Q1047" s="26" t="n"/>
      <c r="R1047" s="26" t="n"/>
      <c r="S1047" s="26" t="n"/>
      <c r="T1047" s="26" t="n"/>
      <c r="V1047" s="27">
        <f>IF(ISNUMBER($C1047),COUNTIFS($A$14:$A$1213,$A1047,$C$14:$C$1213,"&gt;"&amp;$C1047)+(COUNTIFS($A$14:$A$1213,$A1047,$C$14:$C$1213,"="&amp;$C1047)+1)/2,"")</f>
        <v/>
      </c>
      <c r="W1047" s="27">
        <f>IF(ISNUMBER($F1047),COUNTIFS($A$14:$A$1213,$A1047,$F$14:$F$1213,"&gt;"&amp;$F1047)+(COUNTIFS($A$14:$A$1213,$A1047,$F$14:$F$1213,"="&amp;$F1047)+1)/2,"")</f>
        <v/>
      </c>
      <c r="X1047" s="27">
        <f>IF(OR(NOT(ISNUMBER($V1047)),$AO1047=1),"",$V1047-(COUNTIFS($A$14:$A$1213,$A1047,$C$14:$C$1213,"&gt;=0")+1)/2)</f>
        <v/>
      </c>
      <c r="Y1047" s="27">
        <f>IF(OR(NOT(ISNUMBER($W1047)),$AO1047=1),"",$W1047-(COUNTIFS($A$14:$A$1213,$A1047,$F$14:$F$1213,"&gt;=0")+1)/2)</f>
        <v/>
      </c>
      <c r="Z1047" s="27">
        <f>IF(ISNUMBER($V1047),$A1047&amp;"|"&amp;$V1047,"")</f>
        <v/>
      </c>
      <c r="AA1047" s="27">
        <f>IF(ISNUMBER($W1047),$A1047&amp;"|"&amp;$W1047,"")</f>
        <v/>
      </c>
      <c r="AB1047" s="27">
        <f>IF(ISNUMBER($F1047),$A1047&amp;"|"&amp;$F1047,"")</f>
        <v/>
      </c>
      <c r="AC1047" s="27">
        <f>IF(ISNUMBER($P1047),COUNTIFS($A$14:$A$1213,$A1047,$P$14:$P$1213,"&gt;"&amp;$P1047)+(COUNTIFS($A$14:$A$1213,$A1047,$P$14:$P$1213,"="&amp;$P1047)+1)/2,"")</f>
        <v/>
      </c>
      <c r="AD1047" s="27">
        <f>IF(ISNUMBER($Q1047),COUNTIFS($A$14:$A$1213,$A1047,$Q$14:$Q$1213,"&gt;"&amp;$Q1047)+(COUNTIFS($A$14:$A$1213,$A1047,$Q$14:$Q$1213,"="&amp;$Q1047)+1)/2,"")</f>
        <v/>
      </c>
      <c r="AE1047" s="27">
        <f>IF(ISNUMBER($R1047),COUNTIFS($A$14:$A$1213,$A1047,$R$14:$R$1213,"&gt;"&amp;$R1047)+(COUNTIFS($A$14:$A$1213,$A1047,$R$14:$R$1213,"="&amp;$R1047)+1)/2,"")</f>
        <v/>
      </c>
      <c r="AF1047" s="27">
        <f>IF(ISNUMBER($S1047),COUNTIFS($A$14:$A$1213,$A1047,$S$14:$S$1213,"&gt;"&amp;$S1047)+(COUNTIFS($A$14:$A$1213,$A1047,$S$14:$S$1213,"="&amp;$S1047)+1)/2,"")</f>
        <v/>
      </c>
      <c r="AG1047" s="27">
        <f>IF(ISNUMBER($T1047),COUNTIFS($A$14:$A$1213,$A1047,$T$14:$T$1213,"&gt;"&amp;$T1047)+(COUNTIFS($A$14:$A$1213,$A1047,$T$14:$T$1213,"="&amp;$T1047)+1)/2,"")</f>
        <v/>
      </c>
      <c r="AH1047" s="27">
        <f>IF(COUNT($AC1047:$AG1047)&lt;2,"",IF(MAX($AC1047:$AG1047)=MIN($AC1047:$AG1047),0,1))</f>
        <v/>
      </c>
      <c r="AI1047" s="27">
        <f>IF($A1047="","",IF(COUNTIF($A$14:$A1047,$A1047)=1,COUNTIF($AI$13:AI1046,"&gt;0")+1,""))</f>
        <v/>
      </c>
      <c r="AO1047" s="27">
        <f>IF($A1047="","",IF(AND(COUNTIFS($A$14:$A$1213,$A1047,$F$14:$F$1213,"&gt;=0")=2,IFERROR(INDEX($M$14:$M$313,MATCH($A1047,$H$14:$H$313,0)),"Yes")&lt;&gt;"Yes"),1,0))</f>
        <v/>
      </c>
    </row>
    <row r="1048">
      <c r="A1048" s="19">
        <f>IF('Enter messages'!A1048="","",'Enter messages'!A1048)</f>
        <v/>
      </c>
      <c r="B1048" s="20">
        <f>IF('Enter messages'!B1048="","",'Enter messages'!B1048)</f>
        <v/>
      </c>
      <c r="C1048" s="21">
        <f>IFERROR(AVERAGE(P1048:T1048),"")</f>
        <v/>
      </c>
      <c r="D1048" s="29" t="n"/>
      <c r="E1048" s="29" t="n"/>
      <c r="F1048" s="30">
        <f>IF(AND(ISNUMBER($D1048),ISNUMBER($E1048),$E1048&gt;0,$D1048&lt;=$E1048),$D1048/$E1048,"")</f>
        <v/>
      </c>
      <c r="P1048" s="26" t="n"/>
      <c r="Q1048" s="26" t="n"/>
      <c r="R1048" s="26" t="n"/>
      <c r="S1048" s="26" t="n"/>
      <c r="T1048" s="26" t="n"/>
      <c r="V1048" s="27">
        <f>IF(ISNUMBER($C1048),COUNTIFS($A$14:$A$1213,$A1048,$C$14:$C$1213,"&gt;"&amp;$C1048)+(COUNTIFS($A$14:$A$1213,$A1048,$C$14:$C$1213,"="&amp;$C1048)+1)/2,"")</f>
        <v/>
      </c>
      <c r="W1048" s="27">
        <f>IF(ISNUMBER($F1048),COUNTIFS($A$14:$A$1213,$A1048,$F$14:$F$1213,"&gt;"&amp;$F1048)+(COUNTIFS($A$14:$A$1213,$A1048,$F$14:$F$1213,"="&amp;$F1048)+1)/2,"")</f>
        <v/>
      </c>
      <c r="X1048" s="27">
        <f>IF(OR(NOT(ISNUMBER($V1048)),$AO1048=1),"",$V1048-(COUNTIFS($A$14:$A$1213,$A1048,$C$14:$C$1213,"&gt;=0")+1)/2)</f>
        <v/>
      </c>
      <c r="Y1048" s="27">
        <f>IF(OR(NOT(ISNUMBER($W1048)),$AO1048=1),"",$W1048-(COUNTIFS($A$14:$A$1213,$A1048,$F$14:$F$1213,"&gt;=0")+1)/2)</f>
        <v/>
      </c>
      <c r="Z1048" s="27">
        <f>IF(ISNUMBER($V1048),$A1048&amp;"|"&amp;$V1048,"")</f>
        <v/>
      </c>
      <c r="AA1048" s="27">
        <f>IF(ISNUMBER($W1048),$A1048&amp;"|"&amp;$W1048,"")</f>
        <v/>
      </c>
      <c r="AB1048" s="27">
        <f>IF(ISNUMBER($F1048),$A1048&amp;"|"&amp;$F1048,"")</f>
        <v/>
      </c>
      <c r="AC1048" s="27">
        <f>IF(ISNUMBER($P1048),COUNTIFS($A$14:$A$1213,$A1048,$P$14:$P$1213,"&gt;"&amp;$P1048)+(COUNTIFS($A$14:$A$1213,$A1048,$P$14:$P$1213,"="&amp;$P1048)+1)/2,"")</f>
        <v/>
      </c>
      <c r="AD1048" s="27">
        <f>IF(ISNUMBER($Q1048),COUNTIFS($A$14:$A$1213,$A1048,$Q$14:$Q$1213,"&gt;"&amp;$Q1048)+(COUNTIFS($A$14:$A$1213,$A1048,$Q$14:$Q$1213,"="&amp;$Q1048)+1)/2,"")</f>
        <v/>
      </c>
      <c r="AE1048" s="27">
        <f>IF(ISNUMBER($R1048),COUNTIFS($A$14:$A$1213,$A1048,$R$14:$R$1213,"&gt;"&amp;$R1048)+(COUNTIFS($A$14:$A$1213,$A1048,$R$14:$R$1213,"="&amp;$R1048)+1)/2,"")</f>
        <v/>
      </c>
      <c r="AF1048" s="27">
        <f>IF(ISNUMBER($S1048),COUNTIFS($A$14:$A$1213,$A1048,$S$14:$S$1213,"&gt;"&amp;$S1048)+(COUNTIFS($A$14:$A$1213,$A1048,$S$14:$S$1213,"="&amp;$S1048)+1)/2,"")</f>
        <v/>
      </c>
      <c r="AG1048" s="27">
        <f>IF(ISNUMBER($T1048),COUNTIFS($A$14:$A$1213,$A1048,$T$14:$T$1213,"&gt;"&amp;$T1048)+(COUNTIFS($A$14:$A$1213,$A1048,$T$14:$T$1213,"="&amp;$T1048)+1)/2,"")</f>
        <v/>
      </c>
      <c r="AH1048" s="27">
        <f>IF(COUNT($AC1048:$AG1048)&lt;2,"",IF(MAX($AC1048:$AG1048)=MIN($AC1048:$AG1048),0,1))</f>
        <v/>
      </c>
      <c r="AI1048" s="27">
        <f>IF($A1048="","",IF(COUNTIF($A$14:$A1048,$A1048)=1,COUNTIF($AI$13:AI1047,"&gt;0")+1,""))</f>
        <v/>
      </c>
      <c r="AO1048" s="27">
        <f>IF($A1048="","",IF(AND(COUNTIFS($A$14:$A$1213,$A1048,$F$14:$F$1213,"&gt;=0")=2,IFERROR(INDEX($M$14:$M$313,MATCH($A1048,$H$14:$H$313,0)),"Yes")&lt;&gt;"Yes"),1,0))</f>
        <v/>
      </c>
    </row>
    <row r="1049">
      <c r="A1049" s="19">
        <f>IF('Enter messages'!A1049="","",'Enter messages'!A1049)</f>
        <v/>
      </c>
      <c r="B1049" s="20">
        <f>IF('Enter messages'!B1049="","",'Enter messages'!B1049)</f>
        <v/>
      </c>
      <c r="C1049" s="21">
        <f>IFERROR(AVERAGE(P1049:T1049),"")</f>
        <v/>
      </c>
      <c r="D1049" s="29" t="n"/>
      <c r="E1049" s="29" t="n"/>
      <c r="F1049" s="30">
        <f>IF(AND(ISNUMBER($D1049),ISNUMBER($E1049),$E1049&gt;0,$D1049&lt;=$E1049),$D1049/$E1049,"")</f>
        <v/>
      </c>
      <c r="P1049" s="26" t="n"/>
      <c r="Q1049" s="26" t="n"/>
      <c r="R1049" s="26" t="n"/>
      <c r="S1049" s="26" t="n"/>
      <c r="T1049" s="26" t="n"/>
      <c r="V1049" s="27">
        <f>IF(ISNUMBER($C1049),COUNTIFS($A$14:$A$1213,$A1049,$C$14:$C$1213,"&gt;"&amp;$C1049)+(COUNTIFS($A$14:$A$1213,$A1049,$C$14:$C$1213,"="&amp;$C1049)+1)/2,"")</f>
        <v/>
      </c>
      <c r="W1049" s="27">
        <f>IF(ISNUMBER($F1049),COUNTIFS($A$14:$A$1213,$A1049,$F$14:$F$1213,"&gt;"&amp;$F1049)+(COUNTIFS($A$14:$A$1213,$A1049,$F$14:$F$1213,"="&amp;$F1049)+1)/2,"")</f>
        <v/>
      </c>
      <c r="X1049" s="27">
        <f>IF(OR(NOT(ISNUMBER($V1049)),$AO1049=1),"",$V1049-(COUNTIFS($A$14:$A$1213,$A1049,$C$14:$C$1213,"&gt;=0")+1)/2)</f>
        <v/>
      </c>
      <c r="Y1049" s="27">
        <f>IF(OR(NOT(ISNUMBER($W1049)),$AO1049=1),"",$W1049-(COUNTIFS($A$14:$A$1213,$A1049,$F$14:$F$1213,"&gt;=0")+1)/2)</f>
        <v/>
      </c>
      <c r="Z1049" s="27">
        <f>IF(ISNUMBER($V1049),$A1049&amp;"|"&amp;$V1049,"")</f>
        <v/>
      </c>
      <c r="AA1049" s="27">
        <f>IF(ISNUMBER($W1049),$A1049&amp;"|"&amp;$W1049,"")</f>
        <v/>
      </c>
      <c r="AB1049" s="27">
        <f>IF(ISNUMBER($F1049),$A1049&amp;"|"&amp;$F1049,"")</f>
        <v/>
      </c>
      <c r="AC1049" s="27">
        <f>IF(ISNUMBER($P1049),COUNTIFS($A$14:$A$1213,$A1049,$P$14:$P$1213,"&gt;"&amp;$P1049)+(COUNTIFS($A$14:$A$1213,$A1049,$P$14:$P$1213,"="&amp;$P1049)+1)/2,"")</f>
        <v/>
      </c>
      <c r="AD1049" s="27">
        <f>IF(ISNUMBER($Q1049),COUNTIFS($A$14:$A$1213,$A1049,$Q$14:$Q$1213,"&gt;"&amp;$Q1049)+(COUNTIFS($A$14:$A$1213,$A1049,$Q$14:$Q$1213,"="&amp;$Q1049)+1)/2,"")</f>
        <v/>
      </c>
      <c r="AE1049" s="27">
        <f>IF(ISNUMBER($R1049),COUNTIFS($A$14:$A$1213,$A1049,$R$14:$R$1213,"&gt;"&amp;$R1049)+(COUNTIFS($A$14:$A$1213,$A1049,$R$14:$R$1213,"="&amp;$R1049)+1)/2,"")</f>
        <v/>
      </c>
      <c r="AF1049" s="27">
        <f>IF(ISNUMBER($S1049),COUNTIFS($A$14:$A$1213,$A1049,$S$14:$S$1213,"&gt;"&amp;$S1049)+(COUNTIFS($A$14:$A$1213,$A1049,$S$14:$S$1213,"="&amp;$S1049)+1)/2,"")</f>
        <v/>
      </c>
      <c r="AG1049" s="27">
        <f>IF(ISNUMBER($T1049),COUNTIFS($A$14:$A$1213,$A1049,$T$14:$T$1213,"&gt;"&amp;$T1049)+(COUNTIFS($A$14:$A$1213,$A1049,$T$14:$T$1213,"="&amp;$T1049)+1)/2,"")</f>
        <v/>
      </c>
      <c r="AH1049" s="27">
        <f>IF(COUNT($AC1049:$AG1049)&lt;2,"",IF(MAX($AC1049:$AG1049)=MIN($AC1049:$AG1049),0,1))</f>
        <v/>
      </c>
      <c r="AI1049" s="27">
        <f>IF($A1049="","",IF(COUNTIF($A$14:$A1049,$A1049)=1,COUNTIF($AI$13:AI1048,"&gt;0")+1,""))</f>
        <v/>
      </c>
      <c r="AO1049" s="27">
        <f>IF($A1049="","",IF(AND(COUNTIFS($A$14:$A$1213,$A1049,$F$14:$F$1213,"&gt;=0")=2,IFERROR(INDEX($M$14:$M$313,MATCH($A1049,$H$14:$H$313,0)),"Yes")&lt;&gt;"Yes"),1,0))</f>
        <v/>
      </c>
    </row>
    <row r="1050">
      <c r="A1050" s="19">
        <f>IF('Enter messages'!A1050="","",'Enter messages'!A1050)</f>
        <v/>
      </c>
      <c r="B1050" s="20">
        <f>IF('Enter messages'!B1050="","",'Enter messages'!B1050)</f>
        <v/>
      </c>
      <c r="C1050" s="21">
        <f>IFERROR(AVERAGE(P1050:T1050),"")</f>
        <v/>
      </c>
      <c r="D1050" s="29" t="n"/>
      <c r="E1050" s="29" t="n"/>
      <c r="F1050" s="30">
        <f>IF(AND(ISNUMBER($D1050),ISNUMBER($E1050),$E1050&gt;0,$D1050&lt;=$E1050),$D1050/$E1050,"")</f>
        <v/>
      </c>
      <c r="P1050" s="26" t="n"/>
      <c r="Q1050" s="26" t="n"/>
      <c r="R1050" s="26" t="n"/>
      <c r="S1050" s="26" t="n"/>
      <c r="T1050" s="26" t="n"/>
      <c r="V1050" s="27">
        <f>IF(ISNUMBER($C1050),COUNTIFS($A$14:$A$1213,$A1050,$C$14:$C$1213,"&gt;"&amp;$C1050)+(COUNTIFS($A$14:$A$1213,$A1050,$C$14:$C$1213,"="&amp;$C1050)+1)/2,"")</f>
        <v/>
      </c>
      <c r="W1050" s="27">
        <f>IF(ISNUMBER($F1050),COUNTIFS($A$14:$A$1213,$A1050,$F$14:$F$1213,"&gt;"&amp;$F1050)+(COUNTIFS($A$14:$A$1213,$A1050,$F$14:$F$1213,"="&amp;$F1050)+1)/2,"")</f>
        <v/>
      </c>
      <c r="X1050" s="27">
        <f>IF(OR(NOT(ISNUMBER($V1050)),$AO1050=1),"",$V1050-(COUNTIFS($A$14:$A$1213,$A1050,$C$14:$C$1213,"&gt;=0")+1)/2)</f>
        <v/>
      </c>
      <c r="Y1050" s="27">
        <f>IF(OR(NOT(ISNUMBER($W1050)),$AO1050=1),"",$W1050-(COUNTIFS($A$14:$A$1213,$A1050,$F$14:$F$1213,"&gt;=0")+1)/2)</f>
        <v/>
      </c>
      <c r="Z1050" s="27">
        <f>IF(ISNUMBER($V1050),$A1050&amp;"|"&amp;$V1050,"")</f>
        <v/>
      </c>
      <c r="AA1050" s="27">
        <f>IF(ISNUMBER($W1050),$A1050&amp;"|"&amp;$W1050,"")</f>
        <v/>
      </c>
      <c r="AB1050" s="27">
        <f>IF(ISNUMBER($F1050),$A1050&amp;"|"&amp;$F1050,"")</f>
        <v/>
      </c>
      <c r="AC1050" s="27">
        <f>IF(ISNUMBER($P1050),COUNTIFS($A$14:$A$1213,$A1050,$P$14:$P$1213,"&gt;"&amp;$P1050)+(COUNTIFS($A$14:$A$1213,$A1050,$P$14:$P$1213,"="&amp;$P1050)+1)/2,"")</f>
        <v/>
      </c>
      <c r="AD1050" s="27">
        <f>IF(ISNUMBER($Q1050),COUNTIFS($A$14:$A$1213,$A1050,$Q$14:$Q$1213,"&gt;"&amp;$Q1050)+(COUNTIFS($A$14:$A$1213,$A1050,$Q$14:$Q$1213,"="&amp;$Q1050)+1)/2,"")</f>
        <v/>
      </c>
      <c r="AE1050" s="27">
        <f>IF(ISNUMBER($R1050),COUNTIFS($A$14:$A$1213,$A1050,$R$14:$R$1213,"&gt;"&amp;$R1050)+(COUNTIFS($A$14:$A$1213,$A1050,$R$14:$R$1213,"="&amp;$R1050)+1)/2,"")</f>
        <v/>
      </c>
      <c r="AF1050" s="27">
        <f>IF(ISNUMBER($S1050),COUNTIFS($A$14:$A$1213,$A1050,$S$14:$S$1213,"&gt;"&amp;$S1050)+(COUNTIFS($A$14:$A$1213,$A1050,$S$14:$S$1213,"="&amp;$S1050)+1)/2,"")</f>
        <v/>
      </c>
      <c r="AG1050" s="27">
        <f>IF(ISNUMBER($T1050),COUNTIFS($A$14:$A$1213,$A1050,$T$14:$T$1213,"&gt;"&amp;$T1050)+(COUNTIFS($A$14:$A$1213,$A1050,$T$14:$T$1213,"="&amp;$T1050)+1)/2,"")</f>
        <v/>
      </c>
      <c r="AH1050" s="27">
        <f>IF(COUNT($AC1050:$AG1050)&lt;2,"",IF(MAX($AC1050:$AG1050)=MIN($AC1050:$AG1050),0,1))</f>
        <v/>
      </c>
      <c r="AI1050" s="27">
        <f>IF($A1050="","",IF(COUNTIF($A$14:$A1050,$A1050)=1,COUNTIF($AI$13:AI1049,"&gt;0")+1,""))</f>
        <v/>
      </c>
      <c r="AO1050" s="27">
        <f>IF($A1050="","",IF(AND(COUNTIFS($A$14:$A$1213,$A1050,$F$14:$F$1213,"&gt;=0")=2,IFERROR(INDEX($M$14:$M$313,MATCH($A1050,$H$14:$H$313,0)),"Yes")&lt;&gt;"Yes"),1,0))</f>
        <v/>
      </c>
    </row>
    <row r="1051">
      <c r="A1051" s="19">
        <f>IF('Enter messages'!A1051="","",'Enter messages'!A1051)</f>
        <v/>
      </c>
      <c r="B1051" s="20">
        <f>IF('Enter messages'!B1051="","",'Enter messages'!B1051)</f>
        <v/>
      </c>
      <c r="C1051" s="21">
        <f>IFERROR(AVERAGE(P1051:T1051),"")</f>
        <v/>
      </c>
      <c r="D1051" s="29" t="n"/>
      <c r="E1051" s="29" t="n"/>
      <c r="F1051" s="30">
        <f>IF(AND(ISNUMBER($D1051),ISNUMBER($E1051),$E1051&gt;0,$D1051&lt;=$E1051),$D1051/$E1051,"")</f>
        <v/>
      </c>
      <c r="P1051" s="26" t="n"/>
      <c r="Q1051" s="26" t="n"/>
      <c r="R1051" s="26" t="n"/>
      <c r="S1051" s="26" t="n"/>
      <c r="T1051" s="26" t="n"/>
      <c r="V1051" s="27">
        <f>IF(ISNUMBER($C1051),COUNTIFS($A$14:$A$1213,$A1051,$C$14:$C$1213,"&gt;"&amp;$C1051)+(COUNTIFS($A$14:$A$1213,$A1051,$C$14:$C$1213,"="&amp;$C1051)+1)/2,"")</f>
        <v/>
      </c>
      <c r="W1051" s="27">
        <f>IF(ISNUMBER($F1051),COUNTIFS($A$14:$A$1213,$A1051,$F$14:$F$1213,"&gt;"&amp;$F1051)+(COUNTIFS($A$14:$A$1213,$A1051,$F$14:$F$1213,"="&amp;$F1051)+1)/2,"")</f>
        <v/>
      </c>
      <c r="X1051" s="27">
        <f>IF(OR(NOT(ISNUMBER($V1051)),$AO1051=1),"",$V1051-(COUNTIFS($A$14:$A$1213,$A1051,$C$14:$C$1213,"&gt;=0")+1)/2)</f>
        <v/>
      </c>
      <c r="Y1051" s="27">
        <f>IF(OR(NOT(ISNUMBER($W1051)),$AO1051=1),"",$W1051-(COUNTIFS($A$14:$A$1213,$A1051,$F$14:$F$1213,"&gt;=0")+1)/2)</f>
        <v/>
      </c>
      <c r="Z1051" s="27">
        <f>IF(ISNUMBER($V1051),$A1051&amp;"|"&amp;$V1051,"")</f>
        <v/>
      </c>
      <c r="AA1051" s="27">
        <f>IF(ISNUMBER($W1051),$A1051&amp;"|"&amp;$W1051,"")</f>
        <v/>
      </c>
      <c r="AB1051" s="27">
        <f>IF(ISNUMBER($F1051),$A1051&amp;"|"&amp;$F1051,"")</f>
        <v/>
      </c>
      <c r="AC1051" s="27">
        <f>IF(ISNUMBER($P1051),COUNTIFS($A$14:$A$1213,$A1051,$P$14:$P$1213,"&gt;"&amp;$P1051)+(COUNTIFS($A$14:$A$1213,$A1051,$P$14:$P$1213,"="&amp;$P1051)+1)/2,"")</f>
        <v/>
      </c>
      <c r="AD1051" s="27">
        <f>IF(ISNUMBER($Q1051),COUNTIFS($A$14:$A$1213,$A1051,$Q$14:$Q$1213,"&gt;"&amp;$Q1051)+(COUNTIFS($A$14:$A$1213,$A1051,$Q$14:$Q$1213,"="&amp;$Q1051)+1)/2,"")</f>
        <v/>
      </c>
      <c r="AE1051" s="27">
        <f>IF(ISNUMBER($R1051),COUNTIFS($A$14:$A$1213,$A1051,$R$14:$R$1213,"&gt;"&amp;$R1051)+(COUNTIFS($A$14:$A$1213,$A1051,$R$14:$R$1213,"="&amp;$R1051)+1)/2,"")</f>
        <v/>
      </c>
      <c r="AF1051" s="27">
        <f>IF(ISNUMBER($S1051),COUNTIFS($A$14:$A$1213,$A1051,$S$14:$S$1213,"&gt;"&amp;$S1051)+(COUNTIFS($A$14:$A$1213,$A1051,$S$14:$S$1213,"="&amp;$S1051)+1)/2,"")</f>
        <v/>
      </c>
      <c r="AG1051" s="27">
        <f>IF(ISNUMBER($T1051),COUNTIFS($A$14:$A$1213,$A1051,$T$14:$T$1213,"&gt;"&amp;$T1051)+(COUNTIFS($A$14:$A$1213,$A1051,$T$14:$T$1213,"="&amp;$T1051)+1)/2,"")</f>
        <v/>
      </c>
      <c r="AH1051" s="27">
        <f>IF(COUNT($AC1051:$AG1051)&lt;2,"",IF(MAX($AC1051:$AG1051)=MIN($AC1051:$AG1051),0,1))</f>
        <v/>
      </c>
      <c r="AI1051" s="27">
        <f>IF($A1051="","",IF(COUNTIF($A$14:$A1051,$A1051)=1,COUNTIF($AI$13:AI1050,"&gt;0")+1,""))</f>
        <v/>
      </c>
      <c r="AO1051" s="27">
        <f>IF($A1051="","",IF(AND(COUNTIFS($A$14:$A$1213,$A1051,$F$14:$F$1213,"&gt;=0")=2,IFERROR(INDEX($M$14:$M$313,MATCH($A1051,$H$14:$H$313,0)),"Yes")&lt;&gt;"Yes"),1,0))</f>
        <v/>
      </c>
    </row>
    <row r="1052">
      <c r="A1052" s="19">
        <f>IF('Enter messages'!A1052="","",'Enter messages'!A1052)</f>
        <v/>
      </c>
      <c r="B1052" s="20">
        <f>IF('Enter messages'!B1052="","",'Enter messages'!B1052)</f>
        <v/>
      </c>
      <c r="C1052" s="21">
        <f>IFERROR(AVERAGE(P1052:T1052),"")</f>
        <v/>
      </c>
      <c r="D1052" s="29" t="n"/>
      <c r="E1052" s="29" t="n"/>
      <c r="F1052" s="30">
        <f>IF(AND(ISNUMBER($D1052),ISNUMBER($E1052),$E1052&gt;0,$D1052&lt;=$E1052),$D1052/$E1052,"")</f>
        <v/>
      </c>
      <c r="P1052" s="26" t="n"/>
      <c r="Q1052" s="26" t="n"/>
      <c r="R1052" s="26" t="n"/>
      <c r="S1052" s="26" t="n"/>
      <c r="T1052" s="26" t="n"/>
      <c r="V1052" s="27">
        <f>IF(ISNUMBER($C1052),COUNTIFS($A$14:$A$1213,$A1052,$C$14:$C$1213,"&gt;"&amp;$C1052)+(COUNTIFS($A$14:$A$1213,$A1052,$C$14:$C$1213,"="&amp;$C1052)+1)/2,"")</f>
        <v/>
      </c>
      <c r="W1052" s="27">
        <f>IF(ISNUMBER($F1052),COUNTIFS($A$14:$A$1213,$A1052,$F$14:$F$1213,"&gt;"&amp;$F1052)+(COUNTIFS($A$14:$A$1213,$A1052,$F$14:$F$1213,"="&amp;$F1052)+1)/2,"")</f>
        <v/>
      </c>
      <c r="X1052" s="27">
        <f>IF(OR(NOT(ISNUMBER($V1052)),$AO1052=1),"",$V1052-(COUNTIFS($A$14:$A$1213,$A1052,$C$14:$C$1213,"&gt;=0")+1)/2)</f>
        <v/>
      </c>
      <c r="Y1052" s="27">
        <f>IF(OR(NOT(ISNUMBER($W1052)),$AO1052=1),"",$W1052-(COUNTIFS($A$14:$A$1213,$A1052,$F$14:$F$1213,"&gt;=0")+1)/2)</f>
        <v/>
      </c>
      <c r="Z1052" s="27">
        <f>IF(ISNUMBER($V1052),$A1052&amp;"|"&amp;$V1052,"")</f>
        <v/>
      </c>
      <c r="AA1052" s="27">
        <f>IF(ISNUMBER($W1052),$A1052&amp;"|"&amp;$W1052,"")</f>
        <v/>
      </c>
      <c r="AB1052" s="27">
        <f>IF(ISNUMBER($F1052),$A1052&amp;"|"&amp;$F1052,"")</f>
        <v/>
      </c>
      <c r="AC1052" s="27">
        <f>IF(ISNUMBER($P1052),COUNTIFS($A$14:$A$1213,$A1052,$P$14:$P$1213,"&gt;"&amp;$P1052)+(COUNTIFS($A$14:$A$1213,$A1052,$P$14:$P$1213,"="&amp;$P1052)+1)/2,"")</f>
        <v/>
      </c>
      <c r="AD1052" s="27">
        <f>IF(ISNUMBER($Q1052),COUNTIFS($A$14:$A$1213,$A1052,$Q$14:$Q$1213,"&gt;"&amp;$Q1052)+(COUNTIFS($A$14:$A$1213,$A1052,$Q$14:$Q$1213,"="&amp;$Q1052)+1)/2,"")</f>
        <v/>
      </c>
      <c r="AE1052" s="27">
        <f>IF(ISNUMBER($R1052),COUNTIFS($A$14:$A$1213,$A1052,$R$14:$R$1213,"&gt;"&amp;$R1052)+(COUNTIFS($A$14:$A$1213,$A1052,$R$14:$R$1213,"="&amp;$R1052)+1)/2,"")</f>
        <v/>
      </c>
      <c r="AF1052" s="27">
        <f>IF(ISNUMBER($S1052),COUNTIFS($A$14:$A$1213,$A1052,$S$14:$S$1213,"&gt;"&amp;$S1052)+(COUNTIFS($A$14:$A$1213,$A1052,$S$14:$S$1213,"="&amp;$S1052)+1)/2,"")</f>
        <v/>
      </c>
      <c r="AG1052" s="27">
        <f>IF(ISNUMBER($T1052),COUNTIFS($A$14:$A$1213,$A1052,$T$14:$T$1213,"&gt;"&amp;$T1052)+(COUNTIFS($A$14:$A$1213,$A1052,$T$14:$T$1213,"="&amp;$T1052)+1)/2,"")</f>
        <v/>
      </c>
      <c r="AH1052" s="27">
        <f>IF(COUNT($AC1052:$AG1052)&lt;2,"",IF(MAX($AC1052:$AG1052)=MIN($AC1052:$AG1052),0,1))</f>
        <v/>
      </c>
      <c r="AI1052" s="27">
        <f>IF($A1052="","",IF(COUNTIF($A$14:$A1052,$A1052)=1,COUNTIF($AI$13:AI1051,"&gt;0")+1,""))</f>
        <v/>
      </c>
      <c r="AO1052" s="27">
        <f>IF($A1052="","",IF(AND(COUNTIFS($A$14:$A$1213,$A1052,$F$14:$F$1213,"&gt;=0")=2,IFERROR(INDEX($M$14:$M$313,MATCH($A1052,$H$14:$H$313,0)),"Yes")&lt;&gt;"Yes"),1,0))</f>
        <v/>
      </c>
    </row>
    <row r="1053">
      <c r="A1053" s="19">
        <f>IF('Enter messages'!A1053="","",'Enter messages'!A1053)</f>
        <v/>
      </c>
      <c r="B1053" s="20">
        <f>IF('Enter messages'!B1053="","",'Enter messages'!B1053)</f>
        <v/>
      </c>
      <c r="C1053" s="21">
        <f>IFERROR(AVERAGE(P1053:T1053),"")</f>
        <v/>
      </c>
      <c r="D1053" s="29" t="n"/>
      <c r="E1053" s="29" t="n"/>
      <c r="F1053" s="30">
        <f>IF(AND(ISNUMBER($D1053),ISNUMBER($E1053),$E1053&gt;0,$D1053&lt;=$E1053),$D1053/$E1053,"")</f>
        <v/>
      </c>
      <c r="P1053" s="26" t="n"/>
      <c r="Q1053" s="26" t="n"/>
      <c r="R1053" s="26" t="n"/>
      <c r="S1053" s="26" t="n"/>
      <c r="T1053" s="26" t="n"/>
      <c r="V1053" s="27">
        <f>IF(ISNUMBER($C1053),COUNTIFS($A$14:$A$1213,$A1053,$C$14:$C$1213,"&gt;"&amp;$C1053)+(COUNTIFS($A$14:$A$1213,$A1053,$C$14:$C$1213,"="&amp;$C1053)+1)/2,"")</f>
        <v/>
      </c>
      <c r="W1053" s="27">
        <f>IF(ISNUMBER($F1053),COUNTIFS($A$14:$A$1213,$A1053,$F$14:$F$1213,"&gt;"&amp;$F1053)+(COUNTIFS($A$14:$A$1213,$A1053,$F$14:$F$1213,"="&amp;$F1053)+1)/2,"")</f>
        <v/>
      </c>
      <c r="X1053" s="27">
        <f>IF(OR(NOT(ISNUMBER($V1053)),$AO1053=1),"",$V1053-(COUNTIFS($A$14:$A$1213,$A1053,$C$14:$C$1213,"&gt;=0")+1)/2)</f>
        <v/>
      </c>
      <c r="Y1053" s="27">
        <f>IF(OR(NOT(ISNUMBER($W1053)),$AO1053=1),"",$W1053-(COUNTIFS($A$14:$A$1213,$A1053,$F$14:$F$1213,"&gt;=0")+1)/2)</f>
        <v/>
      </c>
      <c r="Z1053" s="27">
        <f>IF(ISNUMBER($V1053),$A1053&amp;"|"&amp;$V1053,"")</f>
        <v/>
      </c>
      <c r="AA1053" s="27">
        <f>IF(ISNUMBER($W1053),$A1053&amp;"|"&amp;$W1053,"")</f>
        <v/>
      </c>
      <c r="AB1053" s="27">
        <f>IF(ISNUMBER($F1053),$A1053&amp;"|"&amp;$F1053,"")</f>
        <v/>
      </c>
      <c r="AC1053" s="27">
        <f>IF(ISNUMBER($P1053),COUNTIFS($A$14:$A$1213,$A1053,$P$14:$P$1213,"&gt;"&amp;$P1053)+(COUNTIFS($A$14:$A$1213,$A1053,$P$14:$P$1213,"="&amp;$P1053)+1)/2,"")</f>
        <v/>
      </c>
      <c r="AD1053" s="27">
        <f>IF(ISNUMBER($Q1053),COUNTIFS($A$14:$A$1213,$A1053,$Q$14:$Q$1213,"&gt;"&amp;$Q1053)+(COUNTIFS($A$14:$A$1213,$A1053,$Q$14:$Q$1213,"="&amp;$Q1053)+1)/2,"")</f>
        <v/>
      </c>
      <c r="AE1053" s="27">
        <f>IF(ISNUMBER($R1053),COUNTIFS($A$14:$A$1213,$A1053,$R$14:$R$1213,"&gt;"&amp;$R1053)+(COUNTIFS($A$14:$A$1213,$A1053,$R$14:$R$1213,"="&amp;$R1053)+1)/2,"")</f>
        <v/>
      </c>
      <c r="AF1053" s="27">
        <f>IF(ISNUMBER($S1053),COUNTIFS($A$14:$A$1213,$A1053,$S$14:$S$1213,"&gt;"&amp;$S1053)+(COUNTIFS($A$14:$A$1213,$A1053,$S$14:$S$1213,"="&amp;$S1053)+1)/2,"")</f>
        <v/>
      </c>
      <c r="AG1053" s="27">
        <f>IF(ISNUMBER($T1053),COUNTIFS($A$14:$A$1213,$A1053,$T$14:$T$1213,"&gt;"&amp;$T1053)+(COUNTIFS($A$14:$A$1213,$A1053,$T$14:$T$1213,"="&amp;$T1053)+1)/2,"")</f>
        <v/>
      </c>
      <c r="AH1053" s="27">
        <f>IF(COUNT($AC1053:$AG1053)&lt;2,"",IF(MAX($AC1053:$AG1053)=MIN($AC1053:$AG1053),0,1))</f>
        <v/>
      </c>
      <c r="AI1053" s="27">
        <f>IF($A1053="","",IF(COUNTIF($A$14:$A1053,$A1053)=1,COUNTIF($AI$13:AI1052,"&gt;0")+1,""))</f>
        <v/>
      </c>
      <c r="AO1053" s="27">
        <f>IF($A1053="","",IF(AND(COUNTIFS($A$14:$A$1213,$A1053,$F$14:$F$1213,"&gt;=0")=2,IFERROR(INDEX($M$14:$M$313,MATCH($A1053,$H$14:$H$313,0)),"Yes")&lt;&gt;"Yes"),1,0))</f>
        <v/>
      </c>
    </row>
    <row r="1054">
      <c r="A1054" s="19">
        <f>IF('Enter messages'!A1054="","",'Enter messages'!A1054)</f>
        <v/>
      </c>
      <c r="B1054" s="20">
        <f>IF('Enter messages'!B1054="","",'Enter messages'!B1054)</f>
        <v/>
      </c>
      <c r="C1054" s="21">
        <f>IFERROR(AVERAGE(P1054:T1054),"")</f>
        <v/>
      </c>
      <c r="D1054" s="29" t="n"/>
      <c r="E1054" s="29" t="n"/>
      <c r="F1054" s="30">
        <f>IF(AND(ISNUMBER($D1054),ISNUMBER($E1054),$E1054&gt;0,$D1054&lt;=$E1054),$D1054/$E1054,"")</f>
        <v/>
      </c>
      <c r="P1054" s="26" t="n"/>
      <c r="Q1054" s="26" t="n"/>
      <c r="R1054" s="26" t="n"/>
      <c r="S1054" s="26" t="n"/>
      <c r="T1054" s="26" t="n"/>
      <c r="V1054" s="27">
        <f>IF(ISNUMBER($C1054),COUNTIFS($A$14:$A$1213,$A1054,$C$14:$C$1213,"&gt;"&amp;$C1054)+(COUNTIFS($A$14:$A$1213,$A1054,$C$14:$C$1213,"="&amp;$C1054)+1)/2,"")</f>
        <v/>
      </c>
      <c r="W1054" s="27">
        <f>IF(ISNUMBER($F1054),COUNTIFS($A$14:$A$1213,$A1054,$F$14:$F$1213,"&gt;"&amp;$F1054)+(COUNTIFS($A$14:$A$1213,$A1054,$F$14:$F$1213,"="&amp;$F1054)+1)/2,"")</f>
        <v/>
      </c>
      <c r="X1054" s="27">
        <f>IF(OR(NOT(ISNUMBER($V1054)),$AO1054=1),"",$V1054-(COUNTIFS($A$14:$A$1213,$A1054,$C$14:$C$1213,"&gt;=0")+1)/2)</f>
        <v/>
      </c>
      <c r="Y1054" s="27">
        <f>IF(OR(NOT(ISNUMBER($W1054)),$AO1054=1),"",$W1054-(COUNTIFS($A$14:$A$1213,$A1054,$F$14:$F$1213,"&gt;=0")+1)/2)</f>
        <v/>
      </c>
      <c r="Z1054" s="27">
        <f>IF(ISNUMBER($V1054),$A1054&amp;"|"&amp;$V1054,"")</f>
        <v/>
      </c>
      <c r="AA1054" s="27">
        <f>IF(ISNUMBER($W1054),$A1054&amp;"|"&amp;$W1054,"")</f>
        <v/>
      </c>
      <c r="AB1054" s="27">
        <f>IF(ISNUMBER($F1054),$A1054&amp;"|"&amp;$F1054,"")</f>
        <v/>
      </c>
      <c r="AC1054" s="27">
        <f>IF(ISNUMBER($P1054),COUNTIFS($A$14:$A$1213,$A1054,$P$14:$P$1213,"&gt;"&amp;$P1054)+(COUNTIFS($A$14:$A$1213,$A1054,$P$14:$P$1213,"="&amp;$P1054)+1)/2,"")</f>
        <v/>
      </c>
      <c r="AD1054" s="27">
        <f>IF(ISNUMBER($Q1054),COUNTIFS($A$14:$A$1213,$A1054,$Q$14:$Q$1213,"&gt;"&amp;$Q1054)+(COUNTIFS($A$14:$A$1213,$A1054,$Q$14:$Q$1213,"="&amp;$Q1054)+1)/2,"")</f>
        <v/>
      </c>
      <c r="AE1054" s="27">
        <f>IF(ISNUMBER($R1054),COUNTIFS($A$14:$A$1213,$A1054,$R$14:$R$1213,"&gt;"&amp;$R1054)+(COUNTIFS($A$14:$A$1213,$A1054,$R$14:$R$1213,"="&amp;$R1054)+1)/2,"")</f>
        <v/>
      </c>
      <c r="AF1054" s="27">
        <f>IF(ISNUMBER($S1054),COUNTIFS($A$14:$A$1213,$A1054,$S$14:$S$1213,"&gt;"&amp;$S1054)+(COUNTIFS($A$14:$A$1213,$A1054,$S$14:$S$1213,"="&amp;$S1054)+1)/2,"")</f>
        <v/>
      </c>
      <c r="AG1054" s="27">
        <f>IF(ISNUMBER($T1054),COUNTIFS($A$14:$A$1213,$A1054,$T$14:$T$1213,"&gt;"&amp;$T1054)+(COUNTIFS($A$14:$A$1213,$A1054,$T$14:$T$1213,"="&amp;$T1054)+1)/2,"")</f>
        <v/>
      </c>
      <c r="AH1054" s="27">
        <f>IF(COUNT($AC1054:$AG1054)&lt;2,"",IF(MAX($AC1054:$AG1054)=MIN($AC1054:$AG1054),0,1))</f>
        <v/>
      </c>
      <c r="AI1054" s="27">
        <f>IF($A1054="","",IF(COUNTIF($A$14:$A1054,$A1054)=1,COUNTIF($AI$13:AI1053,"&gt;0")+1,""))</f>
        <v/>
      </c>
      <c r="AO1054" s="27">
        <f>IF($A1054="","",IF(AND(COUNTIFS($A$14:$A$1213,$A1054,$F$14:$F$1213,"&gt;=0")=2,IFERROR(INDEX($M$14:$M$313,MATCH($A1054,$H$14:$H$313,0)),"Yes")&lt;&gt;"Yes"),1,0))</f>
        <v/>
      </c>
    </row>
    <row r="1055">
      <c r="A1055" s="19">
        <f>IF('Enter messages'!A1055="","",'Enter messages'!A1055)</f>
        <v/>
      </c>
      <c r="B1055" s="20">
        <f>IF('Enter messages'!B1055="","",'Enter messages'!B1055)</f>
        <v/>
      </c>
      <c r="C1055" s="21">
        <f>IFERROR(AVERAGE(P1055:T1055),"")</f>
        <v/>
      </c>
      <c r="D1055" s="29" t="n"/>
      <c r="E1055" s="29" t="n"/>
      <c r="F1055" s="30">
        <f>IF(AND(ISNUMBER($D1055),ISNUMBER($E1055),$E1055&gt;0,$D1055&lt;=$E1055),$D1055/$E1055,"")</f>
        <v/>
      </c>
      <c r="P1055" s="26" t="n"/>
      <c r="Q1055" s="26" t="n"/>
      <c r="R1055" s="26" t="n"/>
      <c r="S1055" s="26" t="n"/>
      <c r="T1055" s="26" t="n"/>
      <c r="V1055" s="27">
        <f>IF(ISNUMBER($C1055),COUNTIFS($A$14:$A$1213,$A1055,$C$14:$C$1213,"&gt;"&amp;$C1055)+(COUNTIFS($A$14:$A$1213,$A1055,$C$14:$C$1213,"="&amp;$C1055)+1)/2,"")</f>
        <v/>
      </c>
      <c r="W1055" s="27">
        <f>IF(ISNUMBER($F1055),COUNTIFS($A$14:$A$1213,$A1055,$F$14:$F$1213,"&gt;"&amp;$F1055)+(COUNTIFS($A$14:$A$1213,$A1055,$F$14:$F$1213,"="&amp;$F1055)+1)/2,"")</f>
        <v/>
      </c>
      <c r="X1055" s="27">
        <f>IF(OR(NOT(ISNUMBER($V1055)),$AO1055=1),"",$V1055-(COUNTIFS($A$14:$A$1213,$A1055,$C$14:$C$1213,"&gt;=0")+1)/2)</f>
        <v/>
      </c>
      <c r="Y1055" s="27">
        <f>IF(OR(NOT(ISNUMBER($W1055)),$AO1055=1),"",$W1055-(COUNTIFS($A$14:$A$1213,$A1055,$F$14:$F$1213,"&gt;=0")+1)/2)</f>
        <v/>
      </c>
      <c r="Z1055" s="27">
        <f>IF(ISNUMBER($V1055),$A1055&amp;"|"&amp;$V1055,"")</f>
        <v/>
      </c>
      <c r="AA1055" s="27">
        <f>IF(ISNUMBER($W1055),$A1055&amp;"|"&amp;$W1055,"")</f>
        <v/>
      </c>
      <c r="AB1055" s="27">
        <f>IF(ISNUMBER($F1055),$A1055&amp;"|"&amp;$F1055,"")</f>
        <v/>
      </c>
      <c r="AC1055" s="27">
        <f>IF(ISNUMBER($P1055),COUNTIFS($A$14:$A$1213,$A1055,$P$14:$P$1213,"&gt;"&amp;$P1055)+(COUNTIFS($A$14:$A$1213,$A1055,$P$14:$P$1213,"="&amp;$P1055)+1)/2,"")</f>
        <v/>
      </c>
      <c r="AD1055" s="27">
        <f>IF(ISNUMBER($Q1055),COUNTIFS($A$14:$A$1213,$A1055,$Q$14:$Q$1213,"&gt;"&amp;$Q1055)+(COUNTIFS($A$14:$A$1213,$A1055,$Q$14:$Q$1213,"="&amp;$Q1055)+1)/2,"")</f>
        <v/>
      </c>
      <c r="AE1055" s="27">
        <f>IF(ISNUMBER($R1055),COUNTIFS($A$14:$A$1213,$A1055,$R$14:$R$1213,"&gt;"&amp;$R1055)+(COUNTIFS($A$14:$A$1213,$A1055,$R$14:$R$1213,"="&amp;$R1055)+1)/2,"")</f>
        <v/>
      </c>
      <c r="AF1055" s="27">
        <f>IF(ISNUMBER($S1055),COUNTIFS($A$14:$A$1213,$A1055,$S$14:$S$1213,"&gt;"&amp;$S1055)+(COUNTIFS($A$14:$A$1213,$A1055,$S$14:$S$1213,"="&amp;$S1055)+1)/2,"")</f>
        <v/>
      </c>
      <c r="AG1055" s="27">
        <f>IF(ISNUMBER($T1055),COUNTIFS($A$14:$A$1213,$A1055,$T$14:$T$1213,"&gt;"&amp;$T1055)+(COUNTIFS($A$14:$A$1213,$A1055,$T$14:$T$1213,"="&amp;$T1055)+1)/2,"")</f>
        <v/>
      </c>
      <c r="AH1055" s="27">
        <f>IF(COUNT($AC1055:$AG1055)&lt;2,"",IF(MAX($AC1055:$AG1055)=MIN($AC1055:$AG1055),0,1))</f>
        <v/>
      </c>
      <c r="AI1055" s="27">
        <f>IF($A1055="","",IF(COUNTIF($A$14:$A1055,$A1055)=1,COUNTIF($AI$13:AI1054,"&gt;0")+1,""))</f>
        <v/>
      </c>
      <c r="AO1055" s="27">
        <f>IF($A1055="","",IF(AND(COUNTIFS($A$14:$A$1213,$A1055,$F$14:$F$1213,"&gt;=0")=2,IFERROR(INDEX($M$14:$M$313,MATCH($A1055,$H$14:$H$313,0)),"Yes")&lt;&gt;"Yes"),1,0))</f>
        <v/>
      </c>
    </row>
    <row r="1056">
      <c r="A1056" s="19">
        <f>IF('Enter messages'!A1056="","",'Enter messages'!A1056)</f>
        <v/>
      </c>
      <c r="B1056" s="20">
        <f>IF('Enter messages'!B1056="","",'Enter messages'!B1056)</f>
        <v/>
      </c>
      <c r="C1056" s="21">
        <f>IFERROR(AVERAGE(P1056:T1056),"")</f>
        <v/>
      </c>
      <c r="D1056" s="29" t="n"/>
      <c r="E1056" s="29" t="n"/>
      <c r="F1056" s="30">
        <f>IF(AND(ISNUMBER($D1056),ISNUMBER($E1056),$E1056&gt;0,$D1056&lt;=$E1056),$D1056/$E1056,"")</f>
        <v/>
      </c>
      <c r="P1056" s="26" t="n"/>
      <c r="Q1056" s="26" t="n"/>
      <c r="R1056" s="26" t="n"/>
      <c r="S1056" s="26" t="n"/>
      <c r="T1056" s="26" t="n"/>
      <c r="V1056" s="27">
        <f>IF(ISNUMBER($C1056),COUNTIFS($A$14:$A$1213,$A1056,$C$14:$C$1213,"&gt;"&amp;$C1056)+(COUNTIFS($A$14:$A$1213,$A1056,$C$14:$C$1213,"="&amp;$C1056)+1)/2,"")</f>
        <v/>
      </c>
      <c r="W1056" s="27">
        <f>IF(ISNUMBER($F1056),COUNTIFS($A$14:$A$1213,$A1056,$F$14:$F$1213,"&gt;"&amp;$F1056)+(COUNTIFS($A$14:$A$1213,$A1056,$F$14:$F$1213,"="&amp;$F1056)+1)/2,"")</f>
        <v/>
      </c>
      <c r="X1056" s="27">
        <f>IF(OR(NOT(ISNUMBER($V1056)),$AO1056=1),"",$V1056-(COUNTIFS($A$14:$A$1213,$A1056,$C$14:$C$1213,"&gt;=0")+1)/2)</f>
        <v/>
      </c>
      <c r="Y1056" s="27">
        <f>IF(OR(NOT(ISNUMBER($W1056)),$AO1056=1),"",$W1056-(COUNTIFS($A$14:$A$1213,$A1056,$F$14:$F$1213,"&gt;=0")+1)/2)</f>
        <v/>
      </c>
      <c r="Z1056" s="27">
        <f>IF(ISNUMBER($V1056),$A1056&amp;"|"&amp;$V1056,"")</f>
        <v/>
      </c>
      <c r="AA1056" s="27">
        <f>IF(ISNUMBER($W1056),$A1056&amp;"|"&amp;$W1056,"")</f>
        <v/>
      </c>
      <c r="AB1056" s="27">
        <f>IF(ISNUMBER($F1056),$A1056&amp;"|"&amp;$F1056,"")</f>
        <v/>
      </c>
      <c r="AC1056" s="27">
        <f>IF(ISNUMBER($P1056),COUNTIFS($A$14:$A$1213,$A1056,$P$14:$P$1213,"&gt;"&amp;$P1056)+(COUNTIFS($A$14:$A$1213,$A1056,$P$14:$P$1213,"="&amp;$P1056)+1)/2,"")</f>
        <v/>
      </c>
      <c r="AD1056" s="27">
        <f>IF(ISNUMBER($Q1056),COUNTIFS($A$14:$A$1213,$A1056,$Q$14:$Q$1213,"&gt;"&amp;$Q1056)+(COUNTIFS($A$14:$A$1213,$A1056,$Q$14:$Q$1213,"="&amp;$Q1056)+1)/2,"")</f>
        <v/>
      </c>
      <c r="AE1056" s="27">
        <f>IF(ISNUMBER($R1056),COUNTIFS($A$14:$A$1213,$A1056,$R$14:$R$1213,"&gt;"&amp;$R1056)+(COUNTIFS($A$14:$A$1213,$A1056,$R$14:$R$1213,"="&amp;$R1056)+1)/2,"")</f>
        <v/>
      </c>
      <c r="AF1056" s="27">
        <f>IF(ISNUMBER($S1056),COUNTIFS($A$14:$A$1213,$A1056,$S$14:$S$1213,"&gt;"&amp;$S1056)+(COUNTIFS($A$14:$A$1213,$A1056,$S$14:$S$1213,"="&amp;$S1056)+1)/2,"")</f>
        <v/>
      </c>
      <c r="AG1056" s="27">
        <f>IF(ISNUMBER($T1056),COUNTIFS($A$14:$A$1213,$A1056,$T$14:$T$1213,"&gt;"&amp;$T1056)+(COUNTIFS($A$14:$A$1213,$A1056,$T$14:$T$1213,"="&amp;$T1056)+1)/2,"")</f>
        <v/>
      </c>
      <c r="AH1056" s="27">
        <f>IF(COUNT($AC1056:$AG1056)&lt;2,"",IF(MAX($AC1056:$AG1056)=MIN($AC1056:$AG1056),0,1))</f>
        <v/>
      </c>
      <c r="AI1056" s="27">
        <f>IF($A1056="","",IF(COUNTIF($A$14:$A1056,$A1056)=1,COUNTIF($AI$13:AI1055,"&gt;0")+1,""))</f>
        <v/>
      </c>
      <c r="AO1056" s="27">
        <f>IF($A1056="","",IF(AND(COUNTIFS($A$14:$A$1213,$A1056,$F$14:$F$1213,"&gt;=0")=2,IFERROR(INDEX($M$14:$M$313,MATCH($A1056,$H$14:$H$313,0)),"Yes")&lt;&gt;"Yes"),1,0))</f>
        <v/>
      </c>
    </row>
    <row r="1057">
      <c r="A1057" s="19">
        <f>IF('Enter messages'!A1057="","",'Enter messages'!A1057)</f>
        <v/>
      </c>
      <c r="B1057" s="20">
        <f>IF('Enter messages'!B1057="","",'Enter messages'!B1057)</f>
        <v/>
      </c>
      <c r="C1057" s="21">
        <f>IFERROR(AVERAGE(P1057:T1057),"")</f>
        <v/>
      </c>
      <c r="D1057" s="29" t="n"/>
      <c r="E1057" s="29" t="n"/>
      <c r="F1057" s="30">
        <f>IF(AND(ISNUMBER($D1057),ISNUMBER($E1057),$E1057&gt;0,$D1057&lt;=$E1057),$D1057/$E1057,"")</f>
        <v/>
      </c>
      <c r="P1057" s="26" t="n"/>
      <c r="Q1057" s="26" t="n"/>
      <c r="R1057" s="26" t="n"/>
      <c r="S1057" s="26" t="n"/>
      <c r="T1057" s="26" t="n"/>
      <c r="V1057" s="27">
        <f>IF(ISNUMBER($C1057),COUNTIFS($A$14:$A$1213,$A1057,$C$14:$C$1213,"&gt;"&amp;$C1057)+(COUNTIFS($A$14:$A$1213,$A1057,$C$14:$C$1213,"="&amp;$C1057)+1)/2,"")</f>
        <v/>
      </c>
      <c r="W1057" s="27">
        <f>IF(ISNUMBER($F1057),COUNTIFS($A$14:$A$1213,$A1057,$F$14:$F$1213,"&gt;"&amp;$F1057)+(COUNTIFS($A$14:$A$1213,$A1057,$F$14:$F$1213,"="&amp;$F1057)+1)/2,"")</f>
        <v/>
      </c>
      <c r="X1057" s="27">
        <f>IF(OR(NOT(ISNUMBER($V1057)),$AO1057=1),"",$V1057-(COUNTIFS($A$14:$A$1213,$A1057,$C$14:$C$1213,"&gt;=0")+1)/2)</f>
        <v/>
      </c>
      <c r="Y1057" s="27">
        <f>IF(OR(NOT(ISNUMBER($W1057)),$AO1057=1),"",$W1057-(COUNTIFS($A$14:$A$1213,$A1057,$F$14:$F$1213,"&gt;=0")+1)/2)</f>
        <v/>
      </c>
      <c r="Z1057" s="27">
        <f>IF(ISNUMBER($V1057),$A1057&amp;"|"&amp;$V1057,"")</f>
        <v/>
      </c>
      <c r="AA1057" s="27">
        <f>IF(ISNUMBER($W1057),$A1057&amp;"|"&amp;$W1057,"")</f>
        <v/>
      </c>
      <c r="AB1057" s="27">
        <f>IF(ISNUMBER($F1057),$A1057&amp;"|"&amp;$F1057,"")</f>
        <v/>
      </c>
      <c r="AC1057" s="27">
        <f>IF(ISNUMBER($P1057),COUNTIFS($A$14:$A$1213,$A1057,$P$14:$P$1213,"&gt;"&amp;$P1057)+(COUNTIFS($A$14:$A$1213,$A1057,$P$14:$P$1213,"="&amp;$P1057)+1)/2,"")</f>
        <v/>
      </c>
      <c r="AD1057" s="27">
        <f>IF(ISNUMBER($Q1057),COUNTIFS($A$14:$A$1213,$A1057,$Q$14:$Q$1213,"&gt;"&amp;$Q1057)+(COUNTIFS($A$14:$A$1213,$A1057,$Q$14:$Q$1213,"="&amp;$Q1057)+1)/2,"")</f>
        <v/>
      </c>
      <c r="AE1057" s="27">
        <f>IF(ISNUMBER($R1057),COUNTIFS($A$14:$A$1213,$A1057,$R$14:$R$1213,"&gt;"&amp;$R1057)+(COUNTIFS($A$14:$A$1213,$A1057,$R$14:$R$1213,"="&amp;$R1057)+1)/2,"")</f>
        <v/>
      </c>
      <c r="AF1057" s="27">
        <f>IF(ISNUMBER($S1057),COUNTIFS($A$14:$A$1213,$A1057,$S$14:$S$1213,"&gt;"&amp;$S1057)+(COUNTIFS($A$14:$A$1213,$A1057,$S$14:$S$1213,"="&amp;$S1057)+1)/2,"")</f>
        <v/>
      </c>
      <c r="AG1057" s="27">
        <f>IF(ISNUMBER($T1057),COUNTIFS($A$14:$A$1213,$A1057,$T$14:$T$1213,"&gt;"&amp;$T1057)+(COUNTIFS($A$14:$A$1213,$A1057,$T$14:$T$1213,"="&amp;$T1057)+1)/2,"")</f>
        <v/>
      </c>
      <c r="AH1057" s="27">
        <f>IF(COUNT($AC1057:$AG1057)&lt;2,"",IF(MAX($AC1057:$AG1057)=MIN($AC1057:$AG1057),0,1))</f>
        <v/>
      </c>
      <c r="AI1057" s="27">
        <f>IF($A1057="","",IF(COUNTIF($A$14:$A1057,$A1057)=1,COUNTIF($AI$13:AI1056,"&gt;0")+1,""))</f>
        <v/>
      </c>
      <c r="AO1057" s="27">
        <f>IF($A1057="","",IF(AND(COUNTIFS($A$14:$A$1213,$A1057,$F$14:$F$1213,"&gt;=0")=2,IFERROR(INDEX($M$14:$M$313,MATCH($A1057,$H$14:$H$313,0)),"Yes")&lt;&gt;"Yes"),1,0))</f>
        <v/>
      </c>
    </row>
    <row r="1058">
      <c r="A1058" s="19">
        <f>IF('Enter messages'!A1058="","",'Enter messages'!A1058)</f>
        <v/>
      </c>
      <c r="B1058" s="20">
        <f>IF('Enter messages'!B1058="","",'Enter messages'!B1058)</f>
        <v/>
      </c>
      <c r="C1058" s="21">
        <f>IFERROR(AVERAGE(P1058:T1058),"")</f>
        <v/>
      </c>
      <c r="D1058" s="29" t="n"/>
      <c r="E1058" s="29" t="n"/>
      <c r="F1058" s="30">
        <f>IF(AND(ISNUMBER($D1058),ISNUMBER($E1058),$E1058&gt;0,$D1058&lt;=$E1058),$D1058/$E1058,"")</f>
        <v/>
      </c>
      <c r="P1058" s="26" t="n"/>
      <c r="Q1058" s="26" t="n"/>
      <c r="R1058" s="26" t="n"/>
      <c r="S1058" s="26" t="n"/>
      <c r="T1058" s="26" t="n"/>
      <c r="V1058" s="27">
        <f>IF(ISNUMBER($C1058),COUNTIFS($A$14:$A$1213,$A1058,$C$14:$C$1213,"&gt;"&amp;$C1058)+(COUNTIFS($A$14:$A$1213,$A1058,$C$14:$C$1213,"="&amp;$C1058)+1)/2,"")</f>
        <v/>
      </c>
      <c r="W1058" s="27">
        <f>IF(ISNUMBER($F1058),COUNTIFS($A$14:$A$1213,$A1058,$F$14:$F$1213,"&gt;"&amp;$F1058)+(COUNTIFS($A$14:$A$1213,$A1058,$F$14:$F$1213,"="&amp;$F1058)+1)/2,"")</f>
        <v/>
      </c>
      <c r="X1058" s="27">
        <f>IF(OR(NOT(ISNUMBER($V1058)),$AO1058=1),"",$V1058-(COUNTIFS($A$14:$A$1213,$A1058,$C$14:$C$1213,"&gt;=0")+1)/2)</f>
        <v/>
      </c>
      <c r="Y1058" s="27">
        <f>IF(OR(NOT(ISNUMBER($W1058)),$AO1058=1),"",$W1058-(COUNTIFS($A$14:$A$1213,$A1058,$F$14:$F$1213,"&gt;=0")+1)/2)</f>
        <v/>
      </c>
      <c r="Z1058" s="27">
        <f>IF(ISNUMBER($V1058),$A1058&amp;"|"&amp;$V1058,"")</f>
        <v/>
      </c>
      <c r="AA1058" s="27">
        <f>IF(ISNUMBER($W1058),$A1058&amp;"|"&amp;$W1058,"")</f>
        <v/>
      </c>
      <c r="AB1058" s="27">
        <f>IF(ISNUMBER($F1058),$A1058&amp;"|"&amp;$F1058,"")</f>
        <v/>
      </c>
      <c r="AC1058" s="27">
        <f>IF(ISNUMBER($P1058),COUNTIFS($A$14:$A$1213,$A1058,$P$14:$P$1213,"&gt;"&amp;$P1058)+(COUNTIFS($A$14:$A$1213,$A1058,$P$14:$P$1213,"="&amp;$P1058)+1)/2,"")</f>
        <v/>
      </c>
      <c r="AD1058" s="27">
        <f>IF(ISNUMBER($Q1058),COUNTIFS($A$14:$A$1213,$A1058,$Q$14:$Q$1213,"&gt;"&amp;$Q1058)+(COUNTIFS($A$14:$A$1213,$A1058,$Q$14:$Q$1213,"="&amp;$Q1058)+1)/2,"")</f>
        <v/>
      </c>
      <c r="AE1058" s="27">
        <f>IF(ISNUMBER($R1058),COUNTIFS($A$14:$A$1213,$A1058,$R$14:$R$1213,"&gt;"&amp;$R1058)+(COUNTIFS($A$14:$A$1213,$A1058,$R$14:$R$1213,"="&amp;$R1058)+1)/2,"")</f>
        <v/>
      </c>
      <c r="AF1058" s="27">
        <f>IF(ISNUMBER($S1058),COUNTIFS($A$14:$A$1213,$A1058,$S$14:$S$1213,"&gt;"&amp;$S1058)+(COUNTIFS($A$14:$A$1213,$A1058,$S$14:$S$1213,"="&amp;$S1058)+1)/2,"")</f>
        <v/>
      </c>
      <c r="AG1058" s="27">
        <f>IF(ISNUMBER($T1058),COUNTIFS($A$14:$A$1213,$A1058,$T$14:$T$1213,"&gt;"&amp;$T1058)+(COUNTIFS($A$14:$A$1213,$A1058,$T$14:$T$1213,"="&amp;$T1058)+1)/2,"")</f>
        <v/>
      </c>
      <c r="AH1058" s="27">
        <f>IF(COUNT($AC1058:$AG1058)&lt;2,"",IF(MAX($AC1058:$AG1058)=MIN($AC1058:$AG1058),0,1))</f>
        <v/>
      </c>
      <c r="AI1058" s="27">
        <f>IF($A1058="","",IF(COUNTIF($A$14:$A1058,$A1058)=1,COUNTIF($AI$13:AI1057,"&gt;0")+1,""))</f>
        <v/>
      </c>
      <c r="AO1058" s="27">
        <f>IF($A1058="","",IF(AND(COUNTIFS($A$14:$A$1213,$A1058,$F$14:$F$1213,"&gt;=0")=2,IFERROR(INDEX($M$14:$M$313,MATCH($A1058,$H$14:$H$313,0)),"Yes")&lt;&gt;"Yes"),1,0))</f>
        <v/>
      </c>
    </row>
    <row r="1059">
      <c r="A1059" s="19">
        <f>IF('Enter messages'!A1059="","",'Enter messages'!A1059)</f>
        <v/>
      </c>
      <c r="B1059" s="20">
        <f>IF('Enter messages'!B1059="","",'Enter messages'!B1059)</f>
        <v/>
      </c>
      <c r="C1059" s="21">
        <f>IFERROR(AVERAGE(P1059:T1059),"")</f>
        <v/>
      </c>
      <c r="D1059" s="29" t="n"/>
      <c r="E1059" s="29" t="n"/>
      <c r="F1059" s="30">
        <f>IF(AND(ISNUMBER($D1059),ISNUMBER($E1059),$E1059&gt;0,$D1059&lt;=$E1059),$D1059/$E1059,"")</f>
        <v/>
      </c>
      <c r="P1059" s="26" t="n"/>
      <c r="Q1059" s="26" t="n"/>
      <c r="R1059" s="26" t="n"/>
      <c r="S1059" s="26" t="n"/>
      <c r="T1059" s="26" t="n"/>
      <c r="V1059" s="27">
        <f>IF(ISNUMBER($C1059),COUNTIFS($A$14:$A$1213,$A1059,$C$14:$C$1213,"&gt;"&amp;$C1059)+(COUNTIFS($A$14:$A$1213,$A1059,$C$14:$C$1213,"="&amp;$C1059)+1)/2,"")</f>
        <v/>
      </c>
      <c r="W1059" s="27">
        <f>IF(ISNUMBER($F1059),COUNTIFS($A$14:$A$1213,$A1059,$F$14:$F$1213,"&gt;"&amp;$F1059)+(COUNTIFS($A$14:$A$1213,$A1059,$F$14:$F$1213,"="&amp;$F1059)+1)/2,"")</f>
        <v/>
      </c>
      <c r="X1059" s="27">
        <f>IF(OR(NOT(ISNUMBER($V1059)),$AO1059=1),"",$V1059-(COUNTIFS($A$14:$A$1213,$A1059,$C$14:$C$1213,"&gt;=0")+1)/2)</f>
        <v/>
      </c>
      <c r="Y1059" s="27">
        <f>IF(OR(NOT(ISNUMBER($W1059)),$AO1059=1),"",$W1059-(COUNTIFS($A$14:$A$1213,$A1059,$F$14:$F$1213,"&gt;=0")+1)/2)</f>
        <v/>
      </c>
      <c r="Z1059" s="27">
        <f>IF(ISNUMBER($V1059),$A1059&amp;"|"&amp;$V1059,"")</f>
        <v/>
      </c>
      <c r="AA1059" s="27">
        <f>IF(ISNUMBER($W1059),$A1059&amp;"|"&amp;$W1059,"")</f>
        <v/>
      </c>
      <c r="AB1059" s="27">
        <f>IF(ISNUMBER($F1059),$A1059&amp;"|"&amp;$F1059,"")</f>
        <v/>
      </c>
      <c r="AC1059" s="27">
        <f>IF(ISNUMBER($P1059),COUNTIFS($A$14:$A$1213,$A1059,$P$14:$P$1213,"&gt;"&amp;$P1059)+(COUNTIFS($A$14:$A$1213,$A1059,$P$14:$P$1213,"="&amp;$P1059)+1)/2,"")</f>
        <v/>
      </c>
      <c r="AD1059" s="27">
        <f>IF(ISNUMBER($Q1059),COUNTIFS($A$14:$A$1213,$A1059,$Q$14:$Q$1213,"&gt;"&amp;$Q1059)+(COUNTIFS($A$14:$A$1213,$A1059,$Q$14:$Q$1213,"="&amp;$Q1059)+1)/2,"")</f>
        <v/>
      </c>
      <c r="AE1059" s="27">
        <f>IF(ISNUMBER($R1059),COUNTIFS($A$14:$A$1213,$A1059,$R$14:$R$1213,"&gt;"&amp;$R1059)+(COUNTIFS($A$14:$A$1213,$A1059,$R$14:$R$1213,"="&amp;$R1059)+1)/2,"")</f>
        <v/>
      </c>
      <c r="AF1059" s="27">
        <f>IF(ISNUMBER($S1059),COUNTIFS($A$14:$A$1213,$A1059,$S$14:$S$1213,"&gt;"&amp;$S1059)+(COUNTIFS($A$14:$A$1213,$A1059,$S$14:$S$1213,"="&amp;$S1059)+1)/2,"")</f>
        <v/>
      </c>
      <c r="AG1059" s="27">
        <f>IF(ISNUMBER($T1059),COUNTIFS($A$14:$A$1213,$A1059,$T$14:$T$1213,"&gt;"&amp;$T1059)+(COUNTIFS($A$14:$A$1213,$A1059,$T$14:$T$1213,"="&amp;$T1059)+1)/2,"")</f>
        <v/>
      </c>
      <c r="AH1059" s="27">
        <f>IF(COUNT($AC1059:$AG1059)&lt;2,"",IF(MAX($AC1059:$AG1059)=MIN($AC1059:$AG1059),0,1))</f>
        <v/>
      </c>
      <c r="AI1059" s="27">
        <f>IF($A1059="","",IF(COUNTIF($A$14:$A1059,$A1059)=1,COUNTIF($AI$13:AI1058,"&gt;0")+1,""))</f>
        <v/>
      </c>
      <c r="AO1059" s="27">
        <f>IF($A1059="","",IF(AND(COUNTIFS($A$14:$A$1213,$A1059,$F$14:$F$1213,"&gt;=0")=2,IFERROR(INDEX($M$14:$M$313,MATCH($A1059,$H$14:$H$313,0)),"Yes")&lt;&gt;"Yes"),1,0))</f>
        <v/>
      </c>
    </row>
    <row r="1060">
      <c r="A1060" s="19">
        <f>IF('Enter messages'!A1060="","",'Enter messages'!A1060)</f>
        <v/>
      </c>
      <c r="B1060" s="20">
        <f>IF('Enter messages'!B1060="","",'Enter messages'!B1060)</f>
        <v/>
      </c>
      <c r="C1060" s="21">
        <f>IFERROR(AVERAGE(P1060:T1060),"")</f>
        <v/>
      </c>
      <c r="D1060" s="29" t="n"/>
      <c r="E1060" s="29" t="n"/>
      <c r="F1060" s="30">
        <f>IF(AND(ISNUMBER($D1060),ISNUMBER($E1060),$E1060&gt;0,$D1060&lt;=$E1060),$D1060/$E1060,"")</f>
        <v/>
      </c>
      <c r="P1060" s="26" t="n"/>
      <c r="Q1060" s="26" t="n"/>
      <c r="R1060" s="26" t="n"/>
      <c r="S1060" s="26" t="n"/>
      <c r="T1060" s="26" t="n"/>
      <c r="V1060" s="27">
        <f>IF(ISNUMBER($C1060),COUNTIFS($A$14:$A$1213,$A1060,$C$14:$C$1213,"&gt;"&amp;$C1060)+(COUNTIFS($A$14:$A$1213,$A1060,$C$14:$C$1213,"="&amp;$C1060)+1)/2,"")</f>
        <v/>
      </c>
      <c r="W1060" s="27">
        <f>IF(ISNUMBER($F1060),COUNTIFS($A$14:$A$1213,$A1060,$F$14:$F$1213,"&gt;"&amp;$F1060)+(COUNTIFS($A$14:$A$1213,$A1060,$F$14:$F$1213,"="&amp;$F1060)+1)/2,"")</f>
        <v/>
      </c>
      <c r="X1060" s="27">
        <f>IF(OR(NOT(ISNUMBER($V1060)),$AO1060=1),"",$V1060-(COUNTIFS($A$14:$A$1213,$A1060,$C$14:$C$1213,"&gt;=0")+1)/2)</f>
        <v/>
      </c>
      <c r="Y1060" s="27">
        <f>IF(OR(NOT(ISNUMBER($W1060)),$AO1060=1),"",$W1060-(COUNTIFS($A$14:$A$1213,$A1060,$F$14:$F$1213,"&gt;=0")+1)/2)</f>
        <v/>
      </c>
      <c r="Z1060" s="27">
        <f>IF(ISNUMBER($V1060),$A1060&amp;"|"&amp;$V1060,"")</f>
        <v/>
      </c>
      <c r="AA1060" s="27">
        <f>IF(ISNUMBER($W1060),$A1060&amp;"|"&amp;$W1060,"")</f>
        <v/>
      </c>
      <c r="AB1060" s="27">
        <f>IF(ISNUMBER($F1060),$A1060&amp;"|"&amp;$F1060,"")</f>
        <v/>
      </c>
      <c r="AC1060" s="27">
        <f>IF(ISNUMBER($P1060),COUNTIFS($A$14:$A$1213,$A1060,$P$14:$P$1213,"&gt;"&amp;$P1060)+(COUNTIFS($A$14:$A$1213,$A1060,$P$14:$P$1213,"="&amp;$P1060)+1)/2,"")</f>
        <v/>
      </c>
      <c r="AD1060" s="27">
        <f>IF(ISNUMBER($Q1060),COUNTIFS($A$14:$A$1213,$A1060,$Q$14:$Q$1213,"&gt;"&amp;$Q1060)+(COUNTIFS($A$14:$A$1213,$A1060,$Q$14:$Q$1213,"="&amp;$Q1060)+1)/2,"")</f>
        <v/>
      </c>
      <c r="AE1060" s="27">
        <f>IF(ISNUMBER($R1060),COUNTIFS($A$14:$A$1213,$A1060,$R$14:$R$1213,"&gt;"&amp;$R1060)+(COUNTIFS($A$14:$A$1213,$A1060,$R$14:$R$1213,"="&amp;$R1060)+1)/2,"")</f>
        <v/>
      </c>
      <c r="AF1060" s="27">
        <f>IF(ISNUMBER($S1060),COUNTIFS($A$14:$A$1213,$A1060,$S$14:$S$1213,"&gt;"&amp;$S1060)+(COUNTIFS($A$14:$A$1213,$A1060,$S$14:$S$1213,"="&amp;$S1060)+1)/2,"")</f>
        <v/>
      </c>
      <c r="AG1060" s="27">
        <f>IF(ISNUMBER($T1060),COUNTIFS($A$14:$A$1213,$A1060,$T$14:$T$1213,"&gt;"&amp;$T1060)+(COUNTIFS($A$14:$A$1213,$A1060,$T$14:$T$1213,"="&amp;$T1060)+1)/2,"")</f>
        <v/>
      </c>
      <c r="AH1060" s="27">
        <f>IF(COUNT($AC1060:$AG1060)&lt;2,"",IF(MAX($AC1060:$AG1060)=MIN($AC1060:$AG1060),0,1))</f>
        <v/>
      </c>
      <c r="AI1060" s="27">
        <f>IF($A1060="","",IF(COUNTIF($A$14:$A1060,$A1060)=1,COUNTIF($AI$13:AI1059,"&gt;0")+1,""))</f>
        <v/>
      </c>
      <c r="AO1060" s="27">
        <f>IF($A1060="","",IF(AND(COUNTIFS($A$14:$A$1213,$A1060,$F$14:$F$1213,"&gt;=0")=2,IFERROR(INDEX($M$14:$M$313,MATCH($A1060,$H$14:$H$313,0)),"Yes")&lt;&gt;"Yes"),1,0))</f>
        <v/>
      </c>
    </row>
    <row r="1061">
      <c r="A1061" s="19">
        <f>IF('Enter messages'!A1061="","",'Enter messages'!A1061)</f>
        <v/>
      </c>
      <c r="B1061" s="20">
        <f>IF('Enter messages'!B1061="","",'Enter messages'!B1061)</f>
        <v/>
      </c>
      <c r="C1061" s="21">
        <f>IFERROR(AVERAGE(P1061:T1061),"")</f>
        <v/>
      </c>
      <c r="D1061" s="29" t="n"/>
      <c r="E1061" s="29" t="n"/>
      <c r="F1061" s="30">
        <f>IF(AND(ISNUMBER($D1061),ISNUMBER($E1061),$E1061&gt;0,$D1061&lt;=$E1061),$D1061/$E1061,"")</f>
        <v/>
      </c>
      <c r="P1061" s="26" t="n"/>
      <c r="Q1061" s="26" t="n"/>
      <c r="R1061" s="26" t="n"/>
      <c r="S1061" s="26" t="n"/>
      <c r="T1061" s="26" t="n"/>
      <c r="V1061" s="27">
        <f>IF(ISNUMBER($C1061),COUNTIFS($A$14:$A$1213,$A1061,$C$14:$C$1213,"&gt;"&amp;$C1061)+(COUNTIFS($A$14:$A$1213,$A1061,$C$14:$C$1213,"="&amp;$C1061)+1)/2,"")</f>
        <v/>
      </c>
      <c r="W1061" s="27">
        <f>IF(ISNUMBER($F1061),COUNTIFS($A$14:$A$1213,$A1061,$F$14:$F$1213,"&gt;"&amp;$F1061)+(COUNTIFS($A$14:$A$1213,$A1061,$F$14:$F$1213,"="&amp;$F1061)+1)/2,"")</f>
        <v/>
      </c>
      <c r="X1061" s="27">
        <f>IF(OR(NOT(ISNUMBER($V1061)),$AO1061=1),"",$V1061-(COUNTIFS($A$14:$A$1213,$A1061,$C$14:$C$1213,"&gt;=0")+1)/2)</f>
        <v/>
      </c>
      <c r="Y1061" s="27">
        <f>IF(OR(NOT(ISNUMBER($W1061)),$AO1061=1),"",$W1061-(COUNTIFS($A$14:$A$1213,$A1061,$F$14:$F$1213,"&gt;=0")+1)/2)</f>
        <v/>
      </c>
      <c r="Z1061" s="27">
        <f>IF(ISNUMBER($V1061),$A1061&amp;"|"&amp;$V1061,"")</f>
        <v/>
      </c>
      <c r="AA1061" s="27">
        <f>IF(ISNUMBER($W1061),$A1061&amp;"|"&amp;$W1061,"")</f>
        <v/>
      </c>
      <c r="AB1061" s="27">
        <f>IF(ISNUMBER($F1061),$A1061&amp;"|"&amp;$F1061,"")</f>
        <v/>
      </c>
      <c r="AC1061" s="27">
        <f>IF(ISNUMBER($P1061),COUNTIFS($A$14:$A$1213,$A1061,$P$14:$P$1213,"&gt;"&amp;$P1061)+(COUNTIFS($A$14:$A$1213,$A1061,$P$14:$P$1213,"="&amp;$P1061)+1)/2,"")</f>
        <v/>
      </c>
      <c r="AD1061" s="27">
        <f>IF(ISNUMBER($Q1061),COUNTIFS($A$14:$A$1213,$A1061,$Q$14:$Q$1213,"&gt;"&amp;$Q1061)+(COUNTIFS($A$14:$A$1213,$A1061,$Q$14:$Q$1213,"="&amp;$Q1061)+1)/2,"")</f>
        <v/>
      </c>
      <c r="AE1061" s="27">
        <f>IF(ISNUMBER($R1061),COUNTIFS($A$14:$A$1213,$A1061,$R$14:$R$1213,"&gt;"&amp;$R1061)+(COUNTIFS($A$14:$A$1213,$A1061,$R$14:$R$1213,"="&amp;$R1061)+1)/2,"")</f>
        <v/>
      </c>
      <c r="AF1061" s="27">
        <f>IF(ISNUMBER($S1061),COUNTIFS($A$14:$A$1213,$A1061,$S$14:$S$1213,"&gt;"&amp;$S1061)+(COUNTIFS($A$14:$A$1213,$A1061,$S$14:$S$1213,"="&amp;$S1061)+1)/2,"")</f>
        <v/>
      </c>
      <c r="AG1061" s="27">
        <f>IF(ISNUMBER($T1061),COUNTIFS($A$14:$A$1213,$A1061,$T$14:$T$1213,"&gt;"&amp;$T1061)+(COUNTIFS($A$14:$A$1213,$A1061,$T$14:$T$1213,"="&amp;$T1061)+1)/2,"")</f>
        <v/>
      </c>
      <c r="AH1061" s="27">
        <f>IF(COUNT($AC1061:$AG1061)&lt;2,"",IF(MAX($AC1061:$AG1061)=MIN($AC1061:$AG1061),0,1))</f>
        <v/>
      </c>
      <c r="AI1061" s="27">
        <f>IF($A1061="","",IF(COUNTIF($A$14:$A1061,$A1061)=1,COUNTIF($AI$13:AI1060,"&gt;0")+1,""))</f>
        <v/>
      </c>
      <c r="AO1061" s="27">
        <f>IF($A1061="","",IF(AND(COUNTIFS($A$14:$A$1213,$A1061,$F$14:$F$1213,"&gt;=0")=2,IFERROR(INDEX($M$14:$M$313,MATCH($A1061,$H$14:$H$313,0)),"Yes")&lt;&gt;"Yes"),1,0))</f>
        <v/>
      </c>
    </row>
    <row r="1062">
      <c r="A1062" s="19">
        <f>IF('Enter messages'!A1062="","",'Enter messages'!A1062)</f>
        <v/>
      </c>
      <c r="B1062" s="20">
        <f>IF('Enter messages'!B1062="","",'Enter messages'!B1062)</f>
        <v/>
      </c>
      <c r="C1062" s="21">
        <f>IFERROR(AVERAGE(P1062:T1062),"")</f>
        <v/>
      </c>
      <c r="D1062" s="29" t="n"/>
      <c r="E1062" s="29" t="n"/>
      <c r="F1062" s="30">
        <f>IF(AND(ISNUMBER($D1062),ISNUMBER($E1062),$E1062&gt;0,$D1062&lt;=$E1062),$D1062/$E1062,"")</f>
        <v/>
      </c>
      <c r="P1062" s="26" t="n"/>
      <c r="Q1062" s="26" t="n"/>
      <c r="R1062" s="26" t="n"/>
      <c r="S1062" s="26" t="n"/>
      <c r="T1062" s="26" t="n"/>
      <c r="V1062" s="27">
        <f>IF(ISNUMBER($C1062),COUNTIFS($A$14:$A$1213,$A1062,$C$14:$C$1213,"&gt;"&amp;$C1062)+(COUNTIFS($A$14:$A$1213,$A1062,$C$14:$C$1213,"="&amp;$C1062)+1)/2,"")</f>
        <v/>
      </c>
      <c r="W1062" s="27">
        <f>IF(ISNUMBER($F1062),COUNTIFS($A$14:$A$1213,$A1062,$F$14:$F$1213,"&gt;"&amp;$F1062)+(COUNTIFS($A$14:$A$1213,$A1062,$F$14:$F$1213,"="&amp;$F1062)+1)/2,"")</f>
        <v/>
      </c>
      <c r="X1062" s="27">
        <f>IF(OR(NOT(ISNUMBER($V1062)),$AO1062=1),"",$V1062-(COUNTIFS($A$14:$A$1213,$A1062,$C$14:$C$1213,"&gt;=0")+1)/2)</f>
        <v/>
      </c>
      <c r="Y1062" s="27">
        <f>IF(OR(NOT(ISNUMBER($W1062)),$AO1062=1),"",$W1062-(COUNTIFS($A$14:$A$1213,$A1062,$F$14:$F$1213,"&gt;=0")+1)/2)</f>
        <v/>
      </c>
      <c r="Z1062" s="27">
        <f>IF(ISNUMBER($V1062),$A1062&amp;"|"&amp;$V1062,"")</f>
        <v/>
      </c>
      <c r="AA1062" s="27">
        <f>IF(ISNUMBER($W1062),$A1062&amp;"|"&amp;$W1062,"")</f>
        <v/>
      </c>
      <c r="AB1062" s="27">
        <f>IF(ISNUMBER($F1062),$A1062&amp;"|"&amp;$F1062,"")</f>
        <v/>
      </c>
      <c r="AC1062" s="27">
        <f>IF(ISNUMBER($P1062),COUNTIFS($A$14:$A$1213,$A1062,$P$14:$P$1213,"&gt;"&amp;$P1062)+(COUNTIFS($A$14:$A$1213,$A1062,$P$14:$P$1213,"="&amp;$P1062)+1)/2,"")</f>
        <v/>
      </c>
      <c r="AD1062" s="27">
        <f>IF(ISNUMBER($Q1062),COUNTIFS($A$14:$A$1213,$A1062,$Q$14:$Q$1213,"&gt;"&amp;$Q1062)+(COUNTIFS($A$14:$A$1213,$A1062,$Q$14:$Q$1213,"="&amp;$Q1062)+1)/2,"")</f>
        <v/>
      </c>
      <c r="AE1062" s="27">
        <f>IF(ISNUMBER($R1062),COUNTIFS($A$14:$A$1213,$A1062,$R$14:$R$1213,"&gt;"&amp;$R1062)+(COUNTIFS($A$14:$A$1213,$A1062,$R$14:$R$1213,"="&amp;$R1062)+1)/2,"")</f>
        <v/>
      </c>
      <c r="AF1062" s="27">
        <f>IF(ISNUMBER($S1062),COUNTIFS($A$14:$A$1213,$A1062,$S$14:$S$1213,"&gt;"&amp;$S1062)+(COUNTIFS($A$14:$A$1213,$A1062,$S$14:$S$1213,"="&amp;$S1062)+1)/2,"")</f>
        <v/>
      </c>
      <c r="AG1062" s="27">
        <f>IF(ISNUMBER($T1062),COUNTIFS($A$14:$A$1213,$A1062,$T$14:$T$1213,"&gt;"&amp;$T1062)+(COUNTIFS($A$14:$A$1213,$A1062,$T$14:$T$1213,"="&amp;$T1062)+1)/2,"")</f>
        <v/>
      </c>
      <c r="AH1062" s="27">
        <f>IF(COUNT($AC1062:$AG1062)&lt;2,"",IF(MAX($AC1062:$AG1062)=MIN($AC1062:$AG1062),0,1))</f>
        <v/>
      </c>
      <c r="AI1062" s="27">
        <f>IF($A1062="","",IF(COUNTIF($A$14:$A1062,$A1062)=1,COUNTIF($AI$13:AI1061,"&gt;0")+1,""))</f>
        <v/>
      </c>
      <c r="AO1062" s="27">
        <f>IF($A1062="","",IF(AND(COUNTIFS($A$14:$A$1213,$A1062,$F$14:$F$1213,"&gt;=0")=2,IFERROR(INDEX($M$14:$M$313,MATCH($A1062,$H$14:$H$313,0)),"Yes")&lt;&gt;"Yes"),1,0))</f>
        <v/>
      </c>
    </row>
    <row r="1063">
      <c r="A1063" s="19">
        <f>IF('Enter messages'!A1063="","",'Enter messages'!A1063)</f>
        <v/>
      </c>
      <c r="B1063" s="20">
        <f>IF('Enter messages'!B1063="","",'Enter messages'!B1063)</f>
        <v/>
      </c>
      <c r="C1063" s="21">
        <f>IFERROR(AVERAGE(P1063:T1063),"")</f>
        <v/>
      </c>
      <c r="D1063" s="29" t="n"/>
      <c r="E1063" s="29" t="n"/>
      <c r="F1063" s="30">
        <f>IF(AND(ISNUMBER($D1063),ISNUMBER($E1063),$E1063&gt;0,$D1063&lt;=$E1063),$D1063/$E1063,"")</f>
        <v/>
      </c>
      <c r="P1063" s="26" t="n"/>
      <c r="Q1063" s="26" t="n"/>
      <c r="R1063" s="26" t="n"/>
      <c r="S1063" s="26" t="n"/>
      <c r="T1063" s="26" t="n"/>
      <c r="V1063" s="27">
        <f>IF(ISNUMBER($C1063),COUNTIFS($A$14:$A$1213,$A1063,$C$14:$C$1213,"&gt;"&amp;$C1063)+(COUNTIFS($A$14:$A$1213,$A1063,$C$14:$C$1213,"="&amp;$C1063)+1)/2,"")</f>
        <v/>
      </c>
      <c r="W1063" s="27">
        <f>IF(ISNUMBER($F1063),COUNTIFS($A$14:$A$1213,$A1063,$F$14:$F$1213,"&gt;"&amp;$F1063)+(COUNTIFS($A$14:$A$1213,$A1063,$F$14:$F$1213,"="&amp;$F1063)+1)/2,"")</f>
        <v/>
      </c>
      <c r="X1063" s="27">
        <f>IF(OR(NOT(ISNUMBER($V1063)),$AO1063=1),"",$V1063-(COUNTIFS($A$14:$A$1213,$A1063,$C$14:$C$1213,"&gt;=0")+1)/2)</f>
        <v/>
      </c>
      <c r="Y1063" s="27">
        <f>IF(OR(NOT(ISNUMBER($W1063)),$AO1063=1),"",$W1063-(COUNTIFS($A$14:$A$1213,$A1063,$F$14:$F$1213,"&gt;=0")+1)/2)</f>
        <v/>
      </c>
      <c r="Z1063" s="27">
        <f>IF(ISNUMBER($V1063),$A1063&amp;"|"&amp;$V1063,"")</f>
        <v/>
      </c>
      <c r="AA1063" s="27">
        <f>IF(ISNUMBER($W1063),$A1063&amp;"|"&amp;$W1063,"")</f>
        <v/>
      </c>
      <c r="AB1063" s="27">
        <f>IF(ISNUMBER($F1063),$A1063&amp;"|"&amp;$F1063,"")</f>
        <v/>
      </c>
      <c r="AC1063" s="27">
        <f>IF(ISNUMBER($P1063),COUNTIFS($A$14:$A$1213,$A1063,$P$14:$P$1213,"&gt;"&amp;$P1063)+(COUNTIFS($A$14:$A$1213,$A1063,$P$14:$P$1213,"="&amp;$P1063)+1)/2,"")</f>
        <v/>
      </c>
      <c r="AD1063" s="27">
        <f>IF(ISNUMBER($Q1063),COUNTIFS($A$14:$A$1213,$A1063,$Q$14:$Q$1213,"&gt;"&amp;$Q1063)+(COUNTIFS($A$14:$A$1213,$A1063,$Q$14:$Q$1213,"="&amp;$Q1063)+1)/2,"")</f>
        <v/>
      </c>
      <c r="AE1063" s="27">
        <f>IF(ISNUMBER($R1063),COUNTIFS($A$14:$A$1213,$A1063,$R$14:$R$1213,"&gt;"&amp;$R1063)+(COUNTIFS($A$14:$A$1213,$A1063,$R$14:$R$1213,"="&amp;$R1063)+1)/2,"")</f>
        <v/>
      </c>
      <c r="AF1063" s="27">
        <f>IF(ISNUMBER($S1063),COUNTIFS($A$14:$A$1213,$A1063,$S$14:$S$1213,"&gt;"&amp;$S1063)+(COUNTIFS($A$14:$A$1213,$A1063,$S$14:$S$1213,"="&amp;$S1063)+1)/2,"")</f>
        <v/>
      </c>
      <c r="AG1063" s="27">
        <f>IF(ISNUMBER($T1063),COUNTIFS($A$14:$A$1213,$A1063,$T$14:$T$1213,"&gt;"&amp;$T1063)+(COUNTIFS($A$14:$A$1213,$A1063,$T$14:$T$1213,"="&amp;$T1063)+1)/2,"")</f>
        <v/>
      </c>
      <c r="AH1063" s="27">
        <f>IF(COUNT($AC1063:$AG1063)&lt;2,"",IF(MAX($AC1063:$AG1063)=MIN($AC1063:$AG1063),0,1))</f>
        <v/>
      </c>
      <c r="AI1063" s="27">
        <f>IF($A1063="","",IF(COUNTIF($A$14:$A1063,$A1063)=1,COUNTIF($AI$13:AI1062,"&gt;0")+1,""))</f>
        <v/>
      </c>
      <c r="AO1063" s="27">
        <f>IF($A1063="","",IF(AND(COUNTIFS($A$14:$A$1213,$A1063,$F$14:$F$1213,"&gt;=0")=2,IFERROR(INDEX($M$14:$M$313,MATCH($A1063,$H$14:$H$313,0)),"Yes")&lt;&gt;"Yes"),1,0))</f>
        <v/>
      </c>
    </row>
    <row r="1064">
      <c r="A1064" s="19">
        <f>IF('Enter messages'!A1064="","",'Enter messages'!A1064)</f>
        <v/>
      </c>
      <c r="B1064" s="20">
        <f>IF('Enter messages'!B1064="","",'Enter messages'!B1064)</f>
        <v/>
      </c>
      <c r="C1064" s="21">
        <f>IFERROR(AVERAGE(P1064:T1064),"")</f>
        <v/>
      </c>
      <c r="D1064" s="29" t="n"/>
      <c r="E1064" s="29" t="n"/>
      <c r="F1064" s="30">
        <f>IF(AND(ISNUMBER($D1064),ISNUMBER($E1064),$E1064&gt;0,$D1064&lt;=$E1064),$D1064/$E1064,"")</f>
        <v/>
      </c>
      <c r="P1064" s="26" t="n"/>
      <c r="Q1064" s="26" t="n"/>
      <c r="R1064" s="26" t="n"/>
      <c r="S1064" s="26" t="n"/>
      <c r="T1064" s="26" t="n"/>
      <c r="V1064" s="27">
        <f>IF(ISNUMBER($C1064),COUNTIFS($A$14:$A$1213,$A1064,$C$14:$C$1213,"&gt;"&amp;$C1064)+(COUNTIFS($A$14:$A$1213,$A1064,$C$14:$C$1213,"="&amp;$C1064)+1)/2,"")</f>
        <v/>
      </c>
      <c r="W1064" s="27">
        <f>IF(ISNUMBER($F1064),COUNTIFS($A$14:$A$1213,$A1064,$F$14:$F$1213,"&gt;"&amp;$F1064)+(COUNTIFS($A$14:$A$1213,$A1064,$F$14:$F$1213,"="&amp;$F1064)+1)/2,"")</f>
        <v/>
      </c>
      <c r="X1064" s="27">
        <f>IF(OR(NOT(ISNUMBER($V1064)),$AO1064=1),"",$V1064-(COUNTIFS($A$14:$A$1213,$A1064,$C$14:$C$1213,"&gt;=0")+1)/2)</f>
        <v/>
      </c>
      <c r="Y1064" s="27">
        <f>IF(OR(NOT(ISNUMBER($W1064)),$AO1064=1),"",$W1064-(COUNTIFS($A$14:$A$1213,$A1064,$F$14:$F$1213,"&gt;=0")+1)/2)</f>
        <v/>
      </c>
      <c r="Z1064" s="27">
        <f>IF(ISNUMBER($V1064),$A1064&amp;"|"&amp;$V1064,"")</f>
        <v/>
      </c>
      <c r="AA1064" s="27">
        <f>IF(ISNUMBER($W1064),$A1064&amp;"|"&amp;$W1064,"")</f>
        <v/>
      </c>
      <c r="AB1064" s="27">
        <f>IF(ISNUMBER($F1064),$A1064&amp;"|"&amp;$F1064,"")</f>
        <v/>
      </c>
      <c r="AC1064" s="27">
        <f>IF(ISNUMBER($P1064),COUNTIFS($A$14:$A$1213,$A1064,$P$14:$P$1213,"&gt;"&amp;$P1064)+(COUNTIFS($A$14:$A$1213,$A1064,$P$14:$P$1213,"="&amp;$P1064)+1)/2,"")</f>
        <v/>
      </c>
      <c r="AD1064" s="27">
        <f>IF(ISNUMBER($Q1064),COUNTIFS($A$14:$A$1213,$A1064,$Q$14:$Q$1213,"&gt;"&amp;$Q1064)+(COUNTIFS($A$14:$A$1213,$A1064,$Q$14:$Q$1213,"="&amp;$Q1064)+1)/2,"")</f>
        <v/>
      </c>
      <c r="AE1064" s="27">
        <f>IF(ISNUMBER($R1064),COUNTIFS($A$14:$A$1213,$A1064,$R$14:$R$1213,"&gt;"&amp;$R1064)+(COUNTIFS($A$14:$A$1213,$A1064,$R$14:$R$1213,"="&amp;$R1064)+1)/2,"")</f>
        <v/>
      </c>
      <c r="AF1064" s="27">
        <f>IF(ISNUMBER($S1064),COUNTIFS($A$14:$A$1213,$A1064,$S$14:$S$1213,"&gt;"&amp;$S1064)+(COUNTIFS($A$14:$A$1213,$A1064,$S$14:$S$1213,"="&amp;$S1064)+1)/2,"")</f>
        <v/>
      </c>
      <c r="AG1064" s="27">
        <f>IF(ISNUMBER($T1064),COUNTIFS($A$14:$A$1213,$A1064,$T$14:$T$1213,"&gt;"&amp;$T1064)+(COUNTIFS($A$14:$A$1213,$A1064,$T$14:$T$1213,"="&amp;$T1064)+1)/2,"")</f>
        <v/>
      </c>
      <c r="AH1064" s="27">
        <f>IF(COUNT($AC1064:$AG1064)&lt;2,"",IF(MAX($AC1064:$AG1064)=MIN($AC1064:$AG1064),0,1))</f>
        <v/>
      </c>
      <c r="AI1064" s="27">
        <f>IF($A1064="","",IF(COUNTIF($A$14:$A1064,$A1064)=1,COUNTIF($AI$13:AI1063,"&gt;0")+1,""))</f>
        <v/>
      </c>
      <c r="AO1064" s="27">
        <f>IF($A1064="","",IF(AND(COUNTIFS($A$14:$A$1213,$A1064,$F$14:$F$1213,"&gt;=0")=2,IFERROR(INDEX($M$14:$M$313,MATCH($A1064,$H$14:$H$313,0)),"Yes")&lt;&gt;"Yes"),1,0))</f>
        <v/>
      </c>
    </row>
    <row r="1065">
      <c r="A1065" s="19">
        <f>IF('Enter messages'!A1065="","",'Enter messages'!A1065)</f>
        <v/>
      </c>
      <c r="B1065" s="20">
        <f>IF('Enter messages'!B1065="","",'Enter messages'!B1065)</f>
        <v/>
      </c>
      <c r="C1065" s="21">
        <f>IFERROR(AVERAGE(P1065:T1065),"")</f>
        <v/>
      </c>
      <c r="D1065" s="29" t="n"/>
      <c r="E1065" s="29" t="n"/>
      <c r="F1065" s="30">
        <f>IF(AND(ISNUMBER($D1065),ISNUMBER($E1065),$E1065&gt;0,$D1065&lt;=$E1065),$D1065/$E1065,"")</f>
        <v/>
      </c>
      <c r="P1065" s="26" t="n"/>
      <c r="Q1065" s="26" t="n"/>
      <c r="R1065" s="26" t="n"/>
      <c r="S1065" s="26" t="n"/>
      <c r="T1065" s="26" t="n"/>
      <c r="V1065" s="27">
        <f>IF(ISNUMBER($C1065),COUNTIFS($A$14:$A$1213,$A1065,$C$14:$C$1213,"&gt;"&amp;$C1065)+(COUNTIFS($A$14:$A$1213,$A1065,$C$14:$C$1213,"="&amp;$C1065)+1)/2,"")</f>
        <v/>
      </c>
      <c r="W1065" s="27">
        <f>IF(ISNUMBER($F1065),COUNTIFS($A$14:$A$1213,$A1065,$F$14:$F$1213,"&gt;"&amp;$F1065)+(COUNTIFS($A$14:$A$1213,$A1065,$F$14:$F$1213,"="&amp;$F1065)+1)/2,"")</f>
        <v/>
      </c>
      <c r="X1065" s="27">
        <f>IF(OR(NOT(ISNUMBER($V1065)),$AO1065=1),"",$V1065-(COUNTIFS($A$14:$A$1213,$A1065,$C$14:$C$1213,"&gt;=0")+1)/2)</f>
        <v/>
      </c>
      <c r="Y1065" s="27">
        <f>IF(OR(NOT(ISNUMBER($W1065)),$AO1065=1),"",$W1065-(COUNTIFS($A$14:$A$1213,$A1065,$F$14:$F$1213,"&gt;=0")+1)/2)</f>
        <v/>
      </c>
      <c r="Z1065" s="27">
        <f>IF(ISNUMBER($V1065),$A1065&amp;"|"&amp;$V1065,"")</f>
        <v/>
      </c>
      <c r="AA1065" s="27">
        <f>IF(ISNUMBER($W1065),$A1065&amp;"|"&amp;$W1065,"")</f>
        <v/>
      </c>
      <c r="AB1065" s="27">
        <f>IF(ISNUMBER($F1065),$A1065&amp;"|"&amp;$F1065,"")</f>
        <v/>
      </c>
      <c r="AC1065" s="27">
        <f>IF(ISNUMBER($P1065),COUNTIFS($A$14:$A$1213,$A1065,$P$14:$P$1213,"&gt;"&amp;$P1065)+(COUNTIFS($A$14:$A$1213,$A1065,$P$14:$P$1213,"="&amp;$P1065)+1)/2,"")</f>
        <v/>
      </c>
      <c r="AD1065" s="27">
        <f>IF(ISNUMBER($Q1065),COUNTIFS($A$14:$A$1213,$A1065,$Q$14:$Q$1213,"&gt;"&amp;$Q1065)+(COUNTIFS($A$14:$A$1213,$A1065,$Q$14:$Q$1213,"="&amp;$Q1065)+1)/2,"")</f>
        <v/>
      </c>
      <c r="AE1065" s="27">
        <f>IF(ISNUMBER($R1065),COUNTIFS($A$14:$A$1213,$A1065,$R$14:$R$1213,"&gt;"&amp;$R1065)+(COUNTIFS($A$14:$A$1213,$A1065,$R$14:$R$1213,"="&amp;$R1065)+1)/2,"")</f>
        <v/>
      </c>
      <c r="AF1065" s="27">
        <f>IF(ISNUMBER($S1065),COUNTIFS($A$14:$A$1213,$A1065,$S$14:$S$1213,"&gt;"&amp;$S1065)+(COUNTIFS($A$14:$A$1213,$A1065,$S$14:$S$1213,"="&amp;$S1065)+1)/2,"")</f>
        <v/>
      </c>
      <c r="AG1065" s="27">
        <f>IF(ISNUMBER($T1065),COUNTIFS($A$14:$A$1213,$A1065,$T$14:$T$1213,"&gt;"&amp;$T1065)+(COUNTIFS($A$14:$A$1213,$A1065,$T$14:$T$1213,"="&amp;$T1065)+1)/2,"")</f>
        <v/>
      </c>
      <c r="AH1065" s="27">
        <f>IF(COUNT($AC1065:$AG1065)&lt;2,"",IF(MAX($AC1065:$AG1065)=MIN($AC1065:$AG1065),0,1))</f>
        <v/>
      </c>
      <c r="AI1065" s="27">
        <f>IF($A1065="","",IF(COUNTIF($A$14:$A1065,$A1065)=1,COUNTIF($AI$13:AI1064,"&gt;0")+1,""))</f>
        <v/>
      </c>
      <c r="AO1065" s="27">
        <f>IF($A1065="","",IF(AND(COUNTIFS($A$14:$A$1213,$A1065,$F$14:$F$1213,"&gt;=0")=2,IFERROR(INDEX($M$14:$M$313,MATCH($A1065,$H$14:$H$313,0)),"Yes")&lt;&gt;"Yes"),1,0))</f>
        <v/>
      </c>
    </row>
    <row r="1066">
      <c r="A1066" s="19">
        <f>IF('Enter messages'!A1066="","",'Enter messages'!A1066)</f>
        <v/>
      </c>
      <c r="B1066" s="20">
        <f>IF('Enter messages'!B1066="","",'Enter messages'!B1066)</f>
        <v/>
      </c>
      <c r="C1066" s="21">
        <f>IFERROR(AVERAGE(P1066:T1066),"")</f>
        <v/>
      </c>
      <c r="D1066" s="29" t="n"/>
      <c r="E1066" s="29" t="n"/>
      <c r="F1066" s="30">
        <f>IF(AND(ISNUMBER($D1066),ISNUMBER($E1066),$E1066&gt;0,$D1066&lt;=$E1066),$D1066/$E1066,"")</f>
        <v/>
      </c>
      <c r="P1066" s="26" t="n"/>
      <c r="Q1066" s="26" t="n"/>
      <c r="R1066" s="26" t="n"/>
      <c r="S1066" s="26" t="n"/>
      <c r="T1066" s="26" t="n"/>
      <c r="V1066" s="27">
        <f>IF(ISNUMBER($C1066),COUNTIFS($A$14:$A$1213,$A1066,$C$14:$C$1213,"&gt;"&amp;$C1066)+(COUNTIFS($A$14:$A$1213,$A1066,$C$14:$C$1213,"="&amp;$C1066)+1)/2,"")</f>
        <v/>
      </c>
      <c r="W1066" s="27">
        <f>IF(ISNUMBER($F1066),COUNTIFS($A$14:$A$1213,$A1066,$F$14:$F$1213,"&gt;"&amp;$F1066)+(COUNTIFS($A$14:$A$1213,$A1066,$F$14:$F$1213,"="&amp;$F1066)+1)/2,"")</f>
        <v/>
      </c>
      <c r="X1066" s="27">
        <f>IF(OR(NOT(ISNUMBER($V1066)),$AO1066=1),"",$V1066-(COUNTIFS($A$14:$A$1213,$A1066,$C$14:$C$1213,"&gt;=0")+1)/2)</f>
        <v/>
      </c>
      <c r="Y1066" s="27">
        <f>IF(OR(NOT(ISNUMBER($W1066)),$AO1066=1),"",$W1066-(COUNTIFS($A$14:$A$1213,$A1066,$F$14:$F$1213,"&gt;=0")+1)/2)</f>
        <v/>
      </c>
      <c r="Z1066" s="27">
        <f>IF(ISNUMBER($V1066),$A1066&amp;"|"&amp;$V1066,"")</f>
        <v/>
      </c>
      <c r="AA1066" s="27">
        <f>IF(ISNUMBER($W1066),$A1066&amp;"|"&amp;$W1066,"")</f>
        <v/>
      </c>
      <c r="AB1066" s="27">
        <f>IF(ISNUMBER($F1066),$A1066&amp;"|"&amp;$F1066,"")</f>
        <v/>
      </c>
      <c r="AC1066" s="27">
        <f>IF(ISNUMBER($P1066),COUNTIFS($A$14:$A$1213,$A1066,$P$14:$P$1213,"&gt;"&amp;$P1066)+(COUNTIFS($A$14:$A$1213,$A1066,$P$14:$P$1213,"="&amp;$P1066)+1)/2,"")</f>
        <v/>
      </c>
      <c r="AD1066" s="27">
        <f>IF(ISNUMBER($Q1066),COUNTIFS($A$14:$A$1213,$A1066,$Q$14:$Q$1213,"&gt;"&amp;$Q1066)+(COUNTIFS($A$14:$A$1213,$A1066,$Q$14:$Q$1213,"="&amp;$Q1066)+1)/2,"")</f>
        <v/>
      </c>
      <c r="AE1066" s="27">
        <f>IF(ISNUMBER($R1066),COUNTIFS($A$14:$A$1213,$A1066,$R$14:$R$1213,"&gt;"&amp;$R1066)+(COUNTIFS($A$14:$A$1213,$A1066,$R$14:$R$1213,"="&amp;$R1066)+1)/2,"")</f>
        <v/>
      </c>
      <c r="AF1066" s="27">
        <f>IF(ISNUMBER($S1066),COUNTIFS($A$14:$A$1213,$A1066,$S$14:$S$1213,"&gt;"&amp;$S1066)+(COUNTIFS($A$14:$A$1213,$A1066,$S$14:$S$1213,"="&amp;$S1066)+1)/2,"")</f>
        <v/>
      </c>
      <c r="AG1066" s="27">
        <f>IF(ISNUMBER($T1066),COUNTIFS($A$14:$A$1213,$A1066,$T$14:$T$1213,"&gt;"&amp;$T1066)+(COUNTIFS($A$14:$A$1213,$A1066,$T$14:$T$1213,"="&amp;$T1066)+1)/2,"")</f>
        <v/>
      </c>
      <c r="AH1066" s="27">
        <f>IF(COUNT($AC1066:$AG1066)&lt;2,"",IF(MAX($AC1066:$AG1066)=MIN($AC1066:$AG1066),0,1))</f>
        <v/>
      </c>
      <c r="AI1066" s="27">
        <f>IF($A1066="","",IF(COUNTIF($A$14:$A1066,$A1066)=1,COUNTIF($AI$13:AI1065,"&gt;0")+1,""))</f>
        <v/>
      </c>
      <c r="AO1066" s="27">
        <f>IF($A1066="","",IF(AND(COUNTIFS($A$14:$A$1213,$A1066,$F$14:$F$1213,"&gt;=0")=2,IFERROR(INDEX($M$14:$M$313,MATCH($A1066,$H$14:$H$313,0)),"Yes")&lt;&gt;"Yes"),1,0))</f>
        <v/>
      </c>
    </row>
    <row r="1067">
      <c r="A1067" s="19">
        <f>IF('Enter messages'!A1067="","",'Enter messages'!A1067)</f>
        <v/>
      </c>
      <c r="B1067" s="20">
        <f>IF('Enter messages'!B1067="","",'Enter messages'!B1067)</f>
        <v/>
      </c>
      <c r="C1067" s="21">
        <f>IFERROR(AVERAGE(P1067:T1067),"")</f>
        <v/>
      </c>
      <c r="D1067" s="29" t="n"/>
      <c r="E1067" s="29" t="n"/>
      <c r="F1067" s="30">
        <f>IF(AND(ISNUMBER($D1067),ISNUMBER($E1067),$E1067&gt;0,$D1067&lt;=$E1067),$D1067/$E1067,"")</f>
        <v/>
      </c>
      <c r="P1067" s="26" t="n"/>
      <c r="Q1067" s="26" t="n"/>
      <c r="R1067" s="26" t="n"/>
      <c r="S1067" s="26" t="n"/>
      <c r="T1067" s="26" t="n"/>
      <c r="V1067" s="27">
        <f>IF(ISNUMBER($C1067),COUNTIFS($A$14:$A$1213,$A1067,$C$14:$C$1213,"&gt;"&amp;$C1067)+(COUNTIFS($A$14:$A$1213,$A1067,$C$14:$C$1213,"="&amp;$C1067)+1)/2,"")</f>
        <v/>
      </c>
      <c r="W1067" s="27">
        <f>IF(ISNUMBER($F1067),COUNTIFS($A$14:$A$1213,$A1067,$F$14:$F$1213,"&gt;"&amp;$F1067)+(COUNTIFS($A$14:$A$1213,$A1067,$F$14:$F$1213,"="&amp;$F1067)+1)/2,"")</f>
        <v/>
      </c>
      <c r="X1067" s="27">
        <f>IF(OR(NOT(ISNUMBER($V1067)),$AO1067=1),"",$V1067-(COUNTIFS($A$14:$A$1213,$A1067,$C$14:$C$1213,"&gt;=0")+1)/2)</f>
        <v/>
      </c>
      <c r="Y1067" s="27">
        <f>IF(OR(NOT(ISNUMBER($W1067)),$AO1067=1),"",$W1067-(COUNTIFS($A$14:$A$1213,$A1067,$F$14:$F$1213,"&gt;=0")+1)/2)</f>
        <v/>
      </c>
      <c r="Z1067" s="27">
        <f>IF(ISNUMBER($V1067),$A1067&amp;"|"&amp;$V1067,"")</f>
        <v/>
      </c>
      <c r="AA1067" s="27">
        <f>IF(ISNUMBER($W1067),$A1067&amp;"|"&amp;$W1067,"")</f>
        <v/>
      </c>
      <c r="AB1067" s="27">
        <f>IF(ISNUMBER($F1067),$A1067&amp;"|"&amp;$F1067,"")</f>
        <v/>
      </c>
      <c r="AC1067" s="27">
        <f>IF(ISNUMBER($P1067),COUNTIFS($A$14:$A$1213,$A1067,$P$14:$P$1213,"&gt;"&amp;$P1067)+(COUNTIFS($A$14:$A$1213,$A1067,$P$14:$P$1213,"="&amp;$P1067)+1)/2,"")</f>
        <v/>
      </c>
      <c r="AD1067" s="27">
        <f>IF(ISNUMBER($Q1067),COUNTIFS($A$14:$A$1213,$A1067,$Q$14:$Q$1213,"&gt;"&amp;$Q1067)+(COUNTIFS($A$14:$A$1213,$A1067,$Q$14:$Q$1213,"="&amp;$Q1067)+1)/2,"")</f>
        <v/>
      </c>
      <c r="AE1067" s="27">
        <f>IF(ISNUMBER($R1067),COUNTIFS($A$14:$A$1213,$A1067,$R$14:$R$1213,"&gt;"&amp;$R1067)+(COUNTIFS($A$14:$A$1213,$A1067,$R$14:$R$1213,"="&amp;$R1067)+1)/2,"")</f>
        <v/>
      </c>
      <c r="AF1067" s="27">
        <f>IF(ISNUMBER($S1067),COUNTIFS($A$14:$A$1213,$A1067,$S$14:$S$1213,"&gt;"&amp;$S1067)+(COUNTIFS($A$14:$A$1213,$A1067,$S$14:$S$1213,"="&amp;$S1067)+1)/2,"")</f>
        <v/>
      </c>
      <c r="AG1067" s="27">
        <f>IF(ISNUMBER($T1067),COUNTIFS($A$14:$A$1213,$A1067,$T$14:$T$1213,"&gt;"&amp;$T1067)+(COUNTIFS($A$14:$A$1213,$A1067,$T$14:$T$1213,"="&amp;$T1067)+1)/2,"")</f>
        <v/>
      </c>
      <c r="AH1067" s="27">
        <f>IF(COUNT($AC1067:$AG1067)&lt;2,"",IF(MAX($AC1067:$AG1067)=MIN($AC1067:$AG1067),0,1))</f>
        <v/>
      </c>
      <c r="AI1067" s="27">
        <f>IF($A1067="","",IF(COUNTIF($A$14:$A1067,$A1067)=1,COUNTIF($AI$13:AI1066,"&gt;0")+1,""))</f>
        <v/>
      </c>
      <c r="AO1067" s="27">
        <f>IF($A1067="","",IF(AND(COUNTIFS($A$14:$A$1213,$A1067,$F$14:$F$1213,"&gt;=0")=2,IFERROR(INDEX($M$14:$M$313,MATCH($A1067,$H$14:$H$313,0)),"Yes")&lt;&gt;"Yes"),1,0))</f>
        <v/>
      </c>
    </row>
    <row r="1068">
      <c r="A1068" s="19">
        <f>IF('Enter messages'!A1068="","",'Enter messages'!A1068)</f>
        <v/>
      </c>
      <c r="B1068" s="20">
        <f>IF('Enter messages'!B1068="","",'Enter messages'!B1068)</f>
        <v/>
      </c>
      <c r="C1068" s="21">
        <f>IFERROR(AVERAGE(P1068:T1068),"")</f>
        <v/>
      </c>
      <c r="D1068" s="29" t="n"/>
      <c r="E1068" s="29" t="n"/>
      <c r="F1068" s="30">
        <f>IF(AND(ISNUMBER($D1068),ISNUMBER($E1068),$E1068&gt;0,$D1068&lt;=$E1068),$D1068/$E1068,"")</f>
        <v/>
      </c>
      <c r="P1068" s="26" t="n"/>
      <c r="Q1068" s="26" t="n"/>
      <c r="R1068" s="26" t="n"/>
      <c r="S1068" s="26" t="n"/>
      <c r="T1068" s="26" t="n"/>
      <c r="V1068" s="27">
        <f>IF(ISNUMBER($C1068),COUNTIFS($A$14:$A$1213,$A1068,$C$14:$C$1213,"&gt;"&amp;$C1068)+(COUNTIFS($A$14:$A$1213,$A1068,$C$14:$C$1213,"="&amp;$C1068)+1)/2,"")</f>
        <v/>
      </c>
      <c r="W1068" s="27">
        <f>IF(ISNUMBER($F1068),COUNTIFS($A$14:$A$1213,$A1068,$F$14:$F$1213,"&gt;"&amp;$F1068)+(COUNTIFS($A$14:$A$1213,$A1068,$F$14:$F$1213,"="&amp;$F1068)+1)/2,"")</f>
        <v/>
      </c>
      <c r="X1068" s="27">
        <f>IF(OR(NOT(ISNUMBER($V1068)),$AO1068=1),"",$V1068-(COUNTIFS($A$14:$A$1213,$A1068,$C$14:$C$1213,"&gt;=0")+1)/2)</f>
        <v/>
      </c>
      <c r="Y1068" s="27">
        <f>IF(OR(NOT(ISNUMBER($W1068)),$AO1068=1),"",$W1068-(COUNTIFS($A$14:$A$1213,$A1068,$F$14:$F$1213,"&gt;=0")+1)/2)</f>
        <v/>
      </c>
      <c r="Z1068" s="27">
        <f>IF(ISNUMBER($V1068),$A1068&amp;"|"&amp;$V1068,"")</f>
        <v/>
      </c>
      <c r="AA1068" s="27">
        <f>IF(ISNUMBER($W1068),$A1068&amp;"|"&amp;$W1068,"")</f>
        <v/>
      </c>
      <c r="AB1068" s="27">
        <f>IF(ISNUMBER($F1068),$A1068&amp;"|"&amp;$F1068,"")</f>
        <v/>
      </c>
      <c r="AC1068" s="27">
        <f>IF(ISNUMBER($P1068),COUNTIFS($A$14:$A$1213,$A1068,$P$14:$P$1213,"&gt;"&amp;$P1068)+(COUNTIFS($A$14:$A$1213,$A1068,$P$14:$P$1213,"="&amp;$P1068)+1)/2,"")</f>
        <v/>
      </c>
      <c r="AD1068" s="27">
        <f>IF(ISNUMBER($Q1068),COUNTIFS($A$14:$A$1213,$A1068,$Q$14:$Q$1213,"&gt;"&amp;$Q1068)+(COUNTIFS($A$14:$A$1213,$A1068,$Q$14:$Q$1213,"="&amp;$Q1068)+1)/2,"")</f>
        <v/>
      </c>
      <c r="AE1068" s="27">
        <f>IF(ISNUMBER($R1068),COUNTIFS($A$14:$A$1213,$A1068,$R$14:$R$1213,"&gt;"&amp;$R1068)+(COUNTIFS($A$14:$A$1213,$A1068,$R$14:$R$1213,"="&amp;$R1068)+1)/2,"")</f>
        <v/>
      </c>
      <c r="AF1068" s="27">
        <f>IF(ISNUMBER($S1068),COUNTIFS($A$14:$A$1213,$A1068,$S$14:$S$1213,"&gt;"&amp;$S1068)+(COUNTIFS($A$14:$A$1213,$A1068,$S$14:$S$1213,"="&amp;$S1068)+1)/2,"")</f>
        <v/>
      </c>
      <c r="AG1068" s="27">
        <f>IF(ISNUMBER($T1068),COUNTIFS($A$14:$A$1213,$A1068,$T$14:$T$1213,"&gt;"&amp;$T1068)+(COUNTIFS($A$14:$A$1213,$A1068,$T$14:$T$1213,"="&amp;$T1068)+1)/2,"")</f>
        <v/>
      </c>
      <c r="AH1068" s="27">
        <f>IF(COUNT($AC1068:$AG1068)&lt;2,"",IF(MAX($AC1068:$AG1068)=MIN($AC1068:$AG1068),0,1))</f>
        <v/>
      </c>
      <c r="AI1068" s="27">
        <f>IF($A1068="","",IF(COUNTIF($A$14:$A1068,$A1068)=1,COUNTIF($AI$13:AI1067,"&gt;0")+1,""))</f>
        <v/>
      </c>
      <c r="AO1068" s="27">
        <f>IF($A1068="","",IF(AND(COUNTIFS($A$14:$A$1213,$A1068,$F$14:$F$1213,"&gt;=0")=2,IFERROR(INDEX($M$14:$M$313,MATCH($A1068,$H$14:$H$313,0)),"Yes")&lt;&gt;"Yes"),1,0))</f>
        <v/>
      </c>
    </row>
    <row r="1069">
      <c r="A1069" s="19">
        <f>IF('Enter messages'!A1069="","",'Enter messages'!A1069)</f>
        <v/>
      </c>
      <c r="B1069" s="20">
        <f>IF('Enter messages'!B1069="","",'Enter messages'!B1069)</f>
        <v/>
      </c>
      <c r="C1069" s="21">
        <f>IFERROR(AVERAGE(P1069:T1069),"")</f>
        <v/>
      </c>
      <c r="D1069" s="29" t="n"/>
      <c r="E1069" s="29" t="n"/>
      <c r="F1069" s="30">
        <f>IF(AND(ISNUMBER($D1069),ISNUMBER($E1069),$E1069&gt;0,$D1069&lt;=$E1069),$D1069/$E1069,"")</f>
        <v/>
      </c>
      <c r="P1069" s="26" t="n"/>
      <c r="Q1069" s="26" t="n"/>
      <c r="R1069" s="26" t="n"/>
      <c r="S1069" s="26" t="n"/>
      <c r="T1069" s="26" t="n"/>
      <c r="V1069" s="27">
        <f>IF(ISNUMBER($C1069),COUNTIFS($A$14:$A$1213,$A1069,$C$14:$C$1213,"&gt;"&amp;$C1069)+(COUNTIFS($A$14:$A$1213,$A1069,$C$14:$C$1213,"="&amp;$C1069)+1)/2,"")</f>
        <v/>
      </c>
      <c r="W1069" s="27">
        <f>IF(ISNUMBER($F1069),COUNTIFS($A$14:$A$1213,$A1069,$F$14:$F$1213,"&gt;"&amp;$F1069)+(COUNTIFS($A$14:$A$1213,$A1069,$F$14:$F$1213,"="&amp;$F1069)+1)/2,"")</f>
        <v/>
      </c>
      <c r="X1069" s="27">
        <f>IF(OR(NOT(ISNUMBER($V1069)),$AO1069=1),"",$V1069-(COUNTIFS($A$14:$A$1213,$A1069,$C$14:$C$1213,"&gt;=0")+1)/2)</f>
        <v/>
      </c>
      <c r="Y1069" s="27">
        <f>IF(OR(NOT(ISNUMBER($W1069)),$AO1069=1),"",$W1069-(COUNTIFS($A$14:$A$1213,$A1069,$F$14:$F$1213,"&gt;=0")+1)/2)</f>
        <v/>
      </c>
      <c r="Z1069" s="27">
        <f>IF(ISNUMBER($V1069),$A1069&amp;"|"&amp;$V1069,"")</f>
        <v/>
      </c>
      <c r="AA1069" s="27">
        <f>IF(ISNUMBER($W1069),$A1069&amp;"|"&amp;$W1069,"")</f>
        <v/>
      </c>
      <c r="AB1069" s="27">
        <f>IF(ISNUMBER($F1069),$A1069&amp;"|"&amp;$F1069,"")</f>
        <v/>
      </c>
      <c r="AC1069" s="27">
        <f>IF(ISNUMBER($P1069),COUNTIFS($A$14:$A$1213,$A1069,$P$14:$P$1213,"&gt;"&amp;$P1069)+(COUNTIFS($A$14:$A$1213,$A1069,$P$14:$P$1213,"="&amp;$P1069)+1)/2,"")</f>
        <v/>
      </c>
      <c r="AD1069" s="27">
        <f>IF(ISNUMBER($Q1069),COUNTIFS($A$14:$A$1213,$A1069,$Q$14:$Q$1213,"&gt;"&amp;$Q1069)+(COUNTIFS($A$14:$A$1213,$A1069,$Q$14:$Q$1213,"="&amp;$Q1069)+1)/2,"")</f>
        <v/>
      </c>
      <c r="AE1069" s="27">
        <f>IF(ISNUMBER($R1069),COUNTIFS($A$14:$A$1213,$A1069,$R$14:$R$1213,"&gt;"&amp;$R1069)+(COUNTIFS($A$14:$A$1213,$A1069,$R$14:$R$1213,"="&amp;$R1069)+1)/2,"")</f>
        <v/>
      </c>
      <c r="AF1069" s="27">
        <f>IF(ISNUMBER($S1069),COUNTIFS($A$14:$A$1213,$A1069,$S$14:$S$1213,"&gt;"&amp;$S1069)+(COUNTIFS($A$14:$A$1213,$A1069,$S$14:$S$1213,"="&amp;$S1069)+1)/2,"")</f>
        <v/>
      </c>
      <c r="AG1069" s="27">
        <f>IF(ISNUMBER($T1069),COUNTIFS($A$14:$A$1213,$A1069,$T$14:$T$1213,"&gt;"&amp;$T1069)+(COUNTIFS($A$14:$A$1213,$A1069,$T$14:$T$1213,"="&amp;$T1069)+1)/2,"")</f>
        <v/>
      </c>
      <c r="AH1069" s="27">
        <f>IF(COUNT($AC1069:$AG1069)&lt;2,"",IF(MAX($AC1069:$AG1069)=MIN($AC1069:$AG1069),0,1))</f>
        <v/>
      </c>
      <c r="AI1069" s="27">
        <f>IF($A1069="","",IF(COUNTIF($A$14:$A1069,$A1069)=1,COUNTIF($AI$13:AI1068,"&gt;0")+1,""))</f>
        <v/>
      </c>
      <c r="AO1069" s="27">
        <f>IF($A1069="","",IF(AND(COUNTIFS($A$14:$A$1213,$A1069,$F$14:$F$1213,"&gt;=0")=2,IFERROR(INDEX($M$14:$M$313,MATCH($A1069,$H$14:$H$313,0)),"Yes")&lt;&gt;"Yes"),1,0))</f>
        <v/>
      </c>
    </row>
    <row r="1070">
      <c r="A1070" s="19">
        <f>IF('Enter messages'!A1070="","",'Enter messages'!A1070)</f>
        <v/>
      </c>
      <c r="B1070" s="20">
        <f>IF('Enter messages'!B1070="","",'Enter messages'!B1070)</f>
        <v/>
      </c>
      <c r="C1070" s="21">
        <f>IFERROR(AVERAGE(P1070:T1070),"")</f>
        <v/>
      </c>
      <c r="D1070" s="29" t="n"/>
      <c r="E1070" s="29" t="n"/>
      <c r="F1070" s="30">
        <f>IF(AND(ISNUMBER($D1070),ISNUMBER($E1070),$E1070&gt;0,$D1070&lt;=$E1070),$D1070/$E1070,"")</f>
        <v/>
      </c>
      <c r="P1070" s="26" t="n"/>
      <c r="Q1070" s="26" t="n"/>
      <c r="R1070" s="26" t="n"/>
      <c r="S1070" s="26" t="n"/>
      <c r="T1070" s="26" t="n"/>
      <c r="V1070" s="27">
        <f>IF(ISNUMBER($C1070),COUNTIFS($A$14:$A$1213,$A1070,$C$14:$C$1213,"&gt;"&amp;$C1070)+(COUNTIFS($A$14:$A$1213,$A1070,$C$14:$C$1213,"="&amp;$C1070)+1)/2,"")</f>
        <v/>
      </c>
      <c r="W1070" s="27">
        <f>IF(ISNUMBER($F1070),COUNTIFS($A$14:$A$1213,$A1070,$F$14:$F$1213,"&gt;"&amp;$F1070)+(COUNTIFS($A$14:$A$1213,$A1070,$F$14:$F$1213,"="&amp;$F1070)+1)/2,"")</f>
        <v/>
      </c>
      <c r="X1070" s="27">
        <f>IF(OR(NOT(ISNUMBER($V1070)),$AO1070=1),"",$V1070-(COUNTIFS($A$14:$A$1213,$A1070,$C$14:$C$1213,"&gt;=0")+1)/2)</f>
        <v/>
      </c>
      <c r="Y1070" s="27">
        <f>IF(OR(NOT(ISNUMBER($W1070)),$AO1070=1),"",$W1070-(COUNTIFS($A$14:$A$1213,$A1070,$F$14:$F$1213,"&gt;=0")+1)/2)</f>
        <v/>
      </c>
      <c r="Z1070" s="27">
        <f>IF(ISNUMBER($V1070),$A1070&amp;"|"&amp;$V1070,"")</f>
        <v/>
      </c>
      <c r="AA1070" s="27">
        <f>IF(ISNUMBER($W1070),$A1070&amp;"|"&amp;$W1070,"")</f>
        <v/>
      </c>
      <c r="AB1070" s="27">
        <f>IF(ISNUMBER($F1070),$A1070&amp;"|"&amp;$F1070,"")</f>
        <v/>
      </c>
      <c r="AC1070" s="27">
        <f>IF(ISNUMBER($P1070),COUNTIFS($A$14:$A$1213,$A1070,$P$14:$P$1213,"&gt;"&amp;$P1070)+(COUNTIFS($A$14:$A$1213,$A1070,$P$14:$P$1213,"="&amp;$P1070)+1)/2,"")</f>
        <v/>
      </c>
      <c r="AD1070" s="27">
        <f>IF(ISNUMBER($Q1070),COUNTIFS($A$14:$A$1213,$A1070,$Q$14:$Q$1213,"&gt;"&amp;$Q1070)+(COUNTIFS($A$14:$A$1213,$A1070,$Q$14:$Q$1213,"="&amp;$Q1070)+1)/2,"")</f>
        <v/>
      </c>
      <c r="AE1070" s="27">
        <f>IF(ISNUMBER($R1070),COUNTIFS($A$14:$A$1213,$A1070,$R$14:$R$1213,"&gt;"&amp;$R1070)+(COUNTIFS($A$14:$A$1213,$A1070,$R$14:$R$1213,"="&amp;$R1070)+1)/2,"")</f>
        <v/>
      </c>
      <c r="AF1070" s="27">
        <f>IF(ISNUMBER($S1070),COUNTIFS($A$14:$A$1213,$A1070,$S$14:$S$1213,"&gt;"&amp;$S1070)+(COUNTIFS($A$14:$A$1213,$A1070,$S$14:$S$1213,"="&amp;$S1070)+1)/2,"")</f>
        <v/>
      </c>
      <c r="AG1070" s="27">
        <f>IF(ISNUMBER($T1070),COUNTIFS($A$14:$A$1213,$A1070,$T$14:$T$1213,"&gt;"&amp;$T1070)+(COUNTIFS($A$14:$A$1213,$A1070,$T$14:$T$1213,"="&amp;$T1070)+1)/2,"")</f>
        <v/>
      </c>
      <c r="AH1070" s="27">
        <f>IF(COUNT($AC1070:$AG1070)&lt;2,"",IF(MAX($AC1070:$AG1070)=MIN($AC1070:$AG1070),0,1))</f>
        <v/>
      </c>
      <c r="AI1070" s="27">
        <f>IF($A1070="","",IF(COUNTIF($A$14:$A1070,$A1070)=1,COUNTIF($AI$13:AI1069,"&gt;0")+1,""))</f>
        <v/>
      </c>
      <c r="AO1070" s="27">
        <f>IF($A1070="","",IF(AND(COUNTIFS($A$14:$A$1213,$A1070,$F$14:$F$1213,"&gt;=0")=2,IFERROR(INDEX($M$14:$M$313,MATCH($A1070,$H$14:$H$313,0)),"Yes")&lt;&gt;"Yes"),1,0))</f>
        <v/>
      </c>
    </row>
    <row r="1071">
      <c r="A1071" s="19">
        <f>IF('Enter messages'!A1071="","",'Enter messages'!A1071)</f>
        <v/>
      </c>
      <c r="B1071" s="20">
        <f>IF('Enter messages'!B1071="","",'Enter messages'!B1071)</f>
        <v/>
      </c>
      <c r="C1071" s="21">
        <f>IFERROR(AVERAGE(P1071:T1071),"")</f>
        <v/>
      </c>
      <c r="D1071" s="29" t="n"/>
      <c r="E1071" s="29" t="n"/>
      <c r="F1071" s="30">
        <f>IF(AND(ISNUMBER($D1071),ISNUMBER($E1071),$E1071&gt;0,$D1071&lt;=$E1071),$D1071/$E1071,"")</f>
        <v/>
      </c>
      <c r="P1071" s="26" t="n"/>
      <c r="Q1071" s="26" t="n"/>
      <c r="R1071" s="26" t="n"/>
      <c r="S1071" s="26" t="n"/>
      <c r="T1071" s="26" t="n"/>
      <c r="V1071" s="27">
        <f>IF(ISNUMBER($C1071),COUNTIFS($A$14:$A$1213,$A1071,$C$14:$C$1213,"&gt;"&amp;$C1071)+(COUNTIFS($A$14:$A$1213,$A1071,$C$14:$C$1213,"="&amp;$C1071)+1)/2,"")</f>
        <v/>
      </c>
      <c r="W1071" s="27">
        <f>IF(ISNUMBER($F1071),COUNTIFS($A$14:$A$1213,$A1071,$F$14:$F$1213,"&gt;"&amp;$F1071)+(COUNTIFS($A$14:$A$1213,$A1071,$F$14:$F$1213,"="&amp;$F1071)+1)/2,"")</f>
        <v/>
      </c>
      <c r="X1071" s="27">
        <f>IF(OR(NOT(ISNUMBER($V1071)),$AO1071=1),"",$V1071-(COUNTIFS($A$14:$A$1213,$A1071,$C$14:$C$1213,"&gt;=0")+1)/2)</f>
        <v/>
      </c>
      <c r="Y1071" s="27">
        <f>IF(OR(NOT(ISNUMBER($W1071)),$AO1071=1),"",$W1071-(COUNTIFS($A$14:$A$1213,$A1071,$F$14:$F$1213,"&gt;=0")+1)/2)</f>
        <v/>
      </c>
      <c r="Z1071" s="27">
        <f>IF(ISNUMBER($V1071),$A1071&amp;"|"&amp;$V1071,"")</f>
        <v/>
      </c>
      <c r="AA1071" s="27">
        <f>IF(ISNUMBER($W1071),$A1071&amp;"|"&amp;$W1071,"")</f>
        <v/>
      </c>
      <c r="AB1071" s="27">
        <f>IF(ISNUMBER($F1071),$A1071&amp;"|"&amp;$F1071,"")</f>
        <v/>
      </c>
      <c r="AC1071" s="27">
        <f>IF(ISNUMBER($P1071),COUNTIFS($A$14:$A$1213,$A1071,$P$14:$P$1213,"&gt;"&amp;$P1071)+(COUNTIFS($A$14:$A$1213,$A1071,$P$14:$P$1213,"="&amp;$P1071)+1)/2,"")</f>
        <v/>
      </c>
      <c r="AD1071" s="27">
        <f>IF(ISNUMBER($Q1071),COUNTIFS($A$14:$A$1213,$A1071,$Q$14:$Q$1213,"&gt;"&amp;$Q1071)+(COUNTIFS($A$14:$A$1213,$A1071,$Q$14:$Q$1213,"="&amp;$Q1071)+1)/2,"")</f>
        <v/>
      </c>
      <c r="AE1071" s="27">
        <f>IF(ISNUMBER($R1071),COUNTIFS($A$14:$A$1213,$A1071,$R$14:$R$1213,"&gt;"&amp;$R1071)+(COUNTIFS($A$14:$A$1213,$A1071,$R$14:$R$1213,"="&amp;$R1071)+1)/2,"")</f>
        <v/>
      </c>
      <c r="AF1071" s="27">
        <f>IF(ISNUMBER($S1071),COUNTIFS($A$14:$A$1213,$A1071,$S$14:$S$1213,"&gt;"&amp;$S1071)+(COUNTIFS($A$14:$A$1213,$A1071,$S$14:$S$1213,"="&amp;$S1071)+1)/2,"")</f>
        <v/>
      </c>
      <c r="AG1071" s="27">
        <f>IF(ISNUMBER($T1071),COUNTIFS($A$14:$A$1213,$A1071,$T$14:$T$1213,"&gt;"&amp;$T1071)+(COUNTIFS($A$14:$A$1213,$A1071,$T$14:$T$1213,"="&amp;$T1071)+1)/2,"")</f>
        <v/>
      </c>
      <c r="AH1071" s="27">
        <f>IF(COUNT($AC1071:$AG1071)&lt;2,"",IF(MAX($AC1071:$AG1071)=MIN($AC1071:$AG1071),0,1))</f>
        <v/>
      </c>
      <c r="AI1071" s="27">
        <f>IF($A1071="","",IF(COUNTIF($A$14:$A1071,$A1071)=1,COUNTIF($AI$13:AI1070,"&gt;0")+1,""))</f>
        <v/>
      </c>
      <c r="AO1071" s="27">
        <f>IF($A1071="","",IF(AND(COUNTIFS($A$14:$A$1213,$A1071,$F$14:$F$1213,"&gt;=0")=2,IFERROR(INDEX($M$14:$M$313,MATCH($A1071,$H$14:$H$313,0)),"Yes")&lt;&gt;"Yes"),1,0))</f>
        <v/>
      </c>
    </row>
    <row r="1072">
      <c r="A1072" s="19">
        <f>IF('Enter messages'!A1072="","",'Enter messages'!A1072)</f>
        <v/>
      </c>
      <c r="B1072" s="20">
        <f>IF('Enter messages'!B1072="","",'Enter messages'!B1072)</f>
        <v/>
      </c>
      <c r="C1072" s="21">
        <f>IFERROR(AVERAGE(P1072:T1072),"")</f>
        <v/>
      </c>
      <c r="D1072" s="29" t="n"/>
      <c r="E1072" s="29" t="n"/>
      <c r="F1072" s="30">
        <f>IF(AND(ISNUMBER($D1072),ISNUMBER($E1072),$E1072&gt;0,$D1072&lt;=$E1072),$D1072/$E1072,"")</f>
        <v/>
      </c>
      <c r="P1072" s="26" t="n"/>
      <c r="Q1072" s="26" t="n"/>
      <c r="R1072" s="26" t="n"/>
      <c r="S1072" s="26" t="n"/>
      <c r="T1072" s="26" t="n"/>
      <c r="V1072" s="27">
        <f>IF(ISNUMBER($C1072),COUNTIFS($A$14:$A$1213,$A1072,$C$14:$C$1213,"&gt;"&amp;$C1072)+(COUNTIFS($A$14:$A$1213,$A1072,$C$14:$C$1213,"="&amp;$C1072)+1)/2,"")</f>
        <v/>
      </c>
      <c r="W1072" s="27">
        <f>IF(ISNUMBER($F1072),COUNTIFS($A$14:$A$1213,$A1072,$F$14:$F$1213,"&gt;"&amp;$F1072)+(COUNTIFS($A$14:$A$1213,$A1072,$F$14:$F$1213,"="&amp;$F1072)+1)/2,"")</f>
        <v/>
      </c>
      <c r="X1072" s="27">
        <f>IF(OR(NOT(ISNUMBER($V1072)),$AO1072=1),"",$V1072-(COUNTIFS($A$14:$A$1213,$A1072,$C$14:$C$1213,"&gt;=0")+1)/2)</f>
        <v/>
      </c>
      <c r="Y1072" s="27">
        <f>IF(OR(NOT(ISNUMBER($W1072)),$AO1072=1),"",$W1072-(COUNTIFS($A$14:$A$1213,$A1072,$F$14:$F$1213,"&gt;=0")+1)/2)</f>
        <v/>
      </c>
      <c r="Z1072" s="27">
        <f>IF(ISNUMBER($V1072),$A1072&amp;"|"&amp;$V1072,"")</f>
        <v/>
      </c>
      <c r="AA1072" s="27">
        <f>IF(ISNUMBER($W1072),$A1072&amp;"|"&amp;$W1072,"")</f>
        <v/>
      </c>
      <c r="AB1072" s="27">
        <f>IF(ISNUMBER($F1072),$A1072&amp;"|"&amp;$F1072,"")</f>
        <v/>
      </c>
      <c r="AC1072" s="27">
        <f>IF(ISNUMBER($P1072),COUNTIFS($A$14:$A$1213,$A1072,$P$14:$P$1213,"&gt;"&amp;$P1072)+(COUNTIFS($A$14:$A$1213,$A1072,$P$14:$P$1213,"="&amp;$P1072)+1)/2,"")</f>
        <v/>
      </c>
      <c r="AD1072" s="27">
        <f>IF(ISNUMBER($Q1072),COUNTIFS($A$14:$A$1213,$A1072,$Q$14:$Q$1213,"&gt;"&amp;$Q1072)+(COUNTIFS($A$14:$A$1213,$A1072,$Q$14:$Q$1213,"="&amp;$Q1072)+1)/2,"")</f>
        <v/>
      </c>
      <c r="AE1072" s="27">
        <f>IF(ISNUMBER($R1072),COUNTIFS($A$14:$A$1213,$A1072,$R$14:$R$1213,"&gt;"&amp;$R1072)+(COUNTIFS($A$14:$A$1213,$A1072,$R$14:$R$1213,"="&amp;$R1072)+1)/2,"")</f>
        <v/>
      </c>
      <c r="AF1072" s="27">
        <f>IF(ISNUMBER($S1072),COUNTIFS($A$14:$A$1213,$A1072,$S$14:$S$1213,"&gt;"&amp;$S1072)+(COUNTIFS($A$14:$A$1213,$A1072,$S$14:$S$1213,"="&amp;$S1072)+1)/2,"")</f>
        <v/>
      </c>
      <c r="AG1072" s="27">
        <f>IF(ISNUMBER($T1072),COUNTIFS($A$14:$A$1213,$A1072,$T$14:$T$1213,"&gt;"&amp;$T1072)+(COUNTIFS($A$14:$A$1213,$A1072,$T$14:$T$1213,"="&amp;$T1072)+1)/2,"")</f>
        <v/>
      </c>
      <c r="AH1072" s="27">
        <f>IF(COUNT($AC1072:$AG1072)&lt;2,"",IF(MAX($AC1072:$AG1072)=MIN($AC1072:$AG1072),0,1))</f>
        <v/>
      </c>
      <c r="AI1072" s="27">
        <f>IF($A1072="","",IF(COUNTIF($A$14:$A1072,$A1072)=1,COUNTIF($AI$13:AI1071,"&gt;0")+1,""))</f>
        <v/>
      </c>
      <c r="AO1072" s="27">
        <f>IF($A1072="","",IF(AND(COUNTIFS($A$14:$A$1213,$A1072,$F$14:$F$1213,"&gt;=0")=2,IFERROR(INDEX($M$14:$M$313,MATCH($A1072,$H$14:$H$313,0)),"Yes")&lt;&gt;"Yes"),1,0))</f>
        <v/>
      </c>
    </row>
    <row r="1073">
      <c r="A1073" s="19">
        <f>IF('Enter messages'!A1073="","",'Enter messages'!A1073)</f>
        <v/>
      </c>
      <c r="B1073" s="20">
        <f>IF('Enter messages'!B1073="","",'Enter messages'!B1073)</f>
        <v/>
      </c>
      <c r="C1073" s="21">
        <f>IFERROR(AVERAGE(P1073:T1073),"")</f>
        <v/>
      </c>
      <c r="D1073" s="29" t="n"/>
      <c r="E1073" s="29" t="n"/>
      <c r="F1073" s="30">
        <f>IF(AND(ISNUMBER($D1073),ISNUMBER($E1073),$E1073&gt;0,$D1073&lt;=$E1073),$D1073/$E1073,"")</f>
        <v/>
      </c>
      <c r="P1073" s="26" t="n"/>
      <c r="Q1073" s="26" t="n"/>
      <c r="R1073" s="26" t="n"/>
      <c r="S1073" s="26" t="n"/>
      <c r="T1073" s="26" t="n"/>
      <c r="V1073" s="27">
        <f>IF(ISNUMBER($C1073),COUNTIFS($A$14:$A$1213,$A1073,$C$14:$C$1213,"&gt;"&amp;$C1073)+(COUNTIFS($A$14:$A$1213,$A1073,$C$14:$C$1213,"="&amp;$C1073)+1)/2,"")</f>
        <v/>
      </c>
      <c r="W1073" s="27">
        <f>IF(ISNUMBER($F1073),COUNTIFS($A$14:$A$1213,$A1073,$F$14:$F$1213,"&gt;"&amp;$F1073)+(COUNTIFS($A$14:$A$1213,$A1073,$F$14:$F$1213,"="&amp;$F1073)+1)/2,"")</f>
        <v/>
      </c>
      <c r="X1073" s="27">
        <f>IF(OR(NOT(ISNUMBER($V1073)),$AO1073=1),"",$V1073-(COUNTIFS($A$14:$A$1213,$A1073,$C$14:$C$1213,"&gt;=0")+1)/2)</f>
        <v/>
      </c>
      <c r="Y1073" s="27">
        <f>IF(OR(NOT(ISNUMBER($W1073)),$AO1073=1),"",$W1073-(COUNTIFS($A$14:$A$1213,$A1073,$F$14:$F$1213,"&gt;=0")+1)/2)</f>
        <v/>
      </c>
      <c r="Z1073" s="27">
        <f>IF(ISNUMBER($V1073),$A1073&amp;"|"&amp;$V1073,"")</f>
        <v/>
      </c>
      <c r="AA1073" s="27">
        <f>IF(ISNUMBER($W1073),$A1073&amp;"|"&amp;$W1073,"")</f>
        <v/>
      </c>
      <c r="AB1073" s="27">
        <f>IF(ISNUMBER($F1073),$A1073&amp;"|"&amp;$F1073,"")</f>
        <v/>
      </c>
      <c r="AC1073" s="27">
        <f>IF(ISNUMBER($P1073),COUNTIFS($A$14:$A$1213,$A1073,$P$14:$P$1213,"&gt;"&amp;$P1073)+(COUNTIFS($A$14:$A$1213,$A1073,$P$14:$P$1213,"="&amp;$P1073)+1)/2,"")</f>
        <v/>
      </c>
      <c r="AD1073" s="27">
        <f>IF(ISNUMBER($Q1073),COUNTIFS($A$14:$A$1213,$A1073,$Q$14:$Q$1213,"&gt;"&amp;$Q1073)+(COUNTIFS($A$14:$A$1213,$A1073,$Q$14:$Q$1213,"="&amp;$Q1073)+1)/2,"")</f>
        <v/>
      </c>
      <c r="AE1073" s="27">
        <f>IF(ISNUMBER($R1073),COUNTIFS($A$14:$A$1213,$A1073,$R$14:$R$1213,"&gt;"&amp;$R1073)+(COUNTIFS($A$14:$A$1213,$A1073,$R$14:$R$1213,"="&amp;$R1073)+1)/2,"")</f>
        <v/>
      </c>
      <c r="AF1073" s="27">
        <f>IF(ISNUMBER($S1073),COUNTIFS($A$14:$A$1213,$A1073,$S$14:$S$1213,"&gt;"&amp;$S1073)+(COUNTIFS($A$14:$A$1213,$A1073,$S$14:$S$1213,"="&amp;$S1073)+1)/2,"")</f>
        <v/>
      </c>
      <c r="AG1073" s="27">
        <f>IF(ISNUMBER($T1073),COUNTIFS($A$14:$A$1213,$A1073,$T$14:$T$1213,"&gt;"&amp;$T1073)+(COUNTIFS($A$14:$A$1213,$A1073,$T$14:$T$1213,"="&amp;$T1073)+1)/2,"")</f>
        <v/>
      </c>
      <c r="AH1073" s="27">
        <f>IF(COUNT($AC1073:$AG1073)&lt;2,"",IF(MAX($AC1073:$AG1073)=MIN($AC1073:$AG1073),0,1))</f>
        <v/>
      </c>
      <c r="AI1073" s="27">
        <f>IF($A1073="","",IF(COUNTIF($A$14:$A1073,$A1073)=1,COUNTIF($AI$13:AI1072,"&gt;0")+1,""))</f>
        <v/>
      </c>
      <c r="AO1073" s="27">
        <f>IF($A1073="","",IF(AND(COUNTIFS($A$14:$A$1213,$A1073,$F$14:$F$1213,"&gt;=0")=2,IFERROR(INDEX($M$14:$M$313,MATCH($A1073,$H$14:$H$313,0)),"Yes")&lt;&gt;"Yes"),1,0))</f>
        <v/>
      </c>
    </row>
    <row r="1074">
      <c r="A1074" s="19">
        <f>IF('Enter messages'!A1074="","",'Enter messages'!A1074)</f>
        <v/>
      </c>
      <c r="B1074" s="20">
        <f>IF('Enter messages'!B1074="","",'Enter messages'!B1074)</f>
        <v/>
      </c>
      <c r="C1074" s="21">
        <f>IFERROR(AVERAGE(P1074:T1074),"")</f>
        <v/>
      </c>
      <c r="D1074" s="29" t="n"/>
      <c r="E1074" s="29" t="n"/>
      <c r="F1074" s="30">
        <f>IF(AND(ISNUMBER($D1074),ISNUMBER($E1074),$E1074&gt;0,$D1074&lt;=$E1074),$D1074/$E1074,"")</f>
        <v/>
      </c>
      <c r="P1074" s="26" t="n"/>
      <c r="Q1074" s="26" t="n"/>
      <c r="R1074" s="26" t="n"/>
      <c r="S1074" s="26" t="n"/>
      <c r="T1074" s="26" t="n"/>
      <c r="V1074" s="27">
        <f>IF(ISNUMBER($C1074),COUNTIFS($A$14:$A$1213,$A1074,$C$14:$C$1213,"&gt;"&amp;$C1074)+(COUNTIFS($A$14:$A$1213,$A1074,$C$14:$C$1213,"="&amp;$C1074)+1)/2,"")</f>
        <v/>
      </c>
      <c r="W1074" s="27">
        <f>IF(ISNUMBER($F1074),COUNTIFS($A$14:$A$1213,$A1074,$F$14:$F$1213,"&gt;"&amp;$F1074)+(COUNTIFS($A$14:$A$1213,$A1074,$F$14:$F$1213,"="&amp;$F1074)+1)/2,"")</f>
        <v/>
      </c>
      <c r="X1074" s="27">
        <f>IF(OR(NOT(ISNUMBER($V1074)),$AO1074=1),"",$V1074-(COUNTIFS($A$14:$A$1213,$A1074,$C$14:$C$1213,"&gt;=0")+1)/2)</f>
        <v/>
      </c>
      <c r="Y1074" s="27">
        <f>IF(OR(NOT(ISNUMBER($W1074)),$AO1074=1),"",$W1074-(COUNTIFS($A$14:$A$1213,$A1074,$F$14:$F$1213,"&gt;=0")+1)/2)</f>
        <v/>
      </c>
      <c r="Z1074" s="27">
        <f>IF(ISNUMBER($V1074),$A1074&amp;"|"&amp;$V1074,"")</f>
        <v/>
      </c>
      <c r="AA1074" s="27">
        <f>IF(ISNUMBER($W1074),$A1074&amp;"|"&amp;$W1074,"")</f>
        <v/>
      </c>
      <c r="AB1074" s="27">
        <f>IF(ISNUMBER($F1074),$A1074&amp;"|"&amp;$F1074,"")</f>
        <v/>
      </c>
      <c r="AC1074" s="27">
        <f>IF(ISNUMBER($P1074),COUNTIFS($A$14:$A$1213,$A1074,$P$14:$P$1213,"&gt;"&amp;$P1074)+(COUNTIFS($A$14:$A$1213,$A1074,$P$14:$P$1213,"="&amp;$P1074)+1)/2,"")</f>
        <v/>
      </c>
      <c r="AD1074" s="27">
        <f>IF(ISNUMBER($Q1074),COUNTIFS($A$14:$A$1213,$A1074,$Q$14:$Q$1213,"&gt;"&amp;$Q1074)+(COUNTIFS($A$14:$A$1213,$A1074,$Q$14:$Q$1213,"="&amp;$Q1074)+1)/2,"")</f>
        <v/>
      </c>
      <c r="AE1074" s="27">
        <f>IF(ISNUMBER($R1074),COUNTIFS($A$14:$A$1213,$A1074,$R$14:$R$1213,"&gt;"&amp;$R1074)+(COUNTIFS($A$14:$A$1213,$A1074,$R$14:$R$1213,"="&amp;$R1074)+1)/2,"")</f>
        <v/>
      </c>
      <c r="AF1074" s="27">
        <f>IF(ISNUMBER($S1074),COUNTIFS($A$14:$A$1213,$A1074,$S$14:$S$1213,"&gt;"&amp;$S1074)+(COUNTIFS($A$14:$A$1213,$A1074,$S$14:$S$1213,"="&amp;$S1074)+1)/2,"")</f>
        <v/>
      </c>
      <c r="AG1074" s="27">
        <f>IF(ISNUMBER($T1074),COUNTIFS($A$14:$A$1213,$A1074,$T$14:$T$1213,"&gt;"&amp;$T1074)+(COUNTIFS($A$14:$A$1213,$A1074,$T$14:$T$1213,"="&amp;$T1074)+1)/2,"")</f>
        <v/>
      </c>
      <c r="AH1074" s="27">
        <f>IF(COUNT($AC1074:$AG1074)&lt;2,"",IF(MAX($AC1074:$AG1074)=MIN($AC1074:$AG1074),0,1))</f>
        <v/>
      </c>
      <c r="AI1074" s="27">
        <f>IF($A1074="","",IF(COUNTIF($A$14:$A1074,$A1074)=1,COUNTIF($AI$13:AI1073,"&gt;0")+1,""))</f>
        <v/>
      </c>
      <c r="AO1074" s="27">
        <f>IF($A1074="","",IF(AND(COUNTIFS($A$14:$A$1213,$A1074,$F$14:$F$1213,"&gt;=0")=2,IFERROR(INDEX($M$14:$M$313,MATCH($A1074,$H$14:$H$313,0)),"Yes")&lt;&gt;"Yes"),1,0))</f>
        <v/>
      </c>
    </row>
    <row r="1075">
      <c r="A1075" s="19">
        <f>IF('Enter messages'!A1075="","",'Enter messages'!A1075)</f>
        <v/>
      </c>
      <c r="B1075" s="20">
        <f>IF('Enter messages'!B1075="","",'Enter messages'!B1075)</f>
        <v/>
      </c>
      <c r="C1075" s="21">
        <f>IFERROR(AVERAGE(P1075:T1075),"")</f>
        <v/>
      </c>
      <c r="D1075" s="29" t="n"/>
      <c r="E1075" s="29" t="n"/>
      <c r="F1075" s="30">
        <f>IF(AND(ISNUMBER($D1075),ISNUMBER($E1075),$E1075&gt;0,$D1075&lt;=$E1075),$D1075/$E1075,"")</f>
        <v/>
      </c>
      <c r="P1075" s="26" t="n"/>
      <c r="Q1075" s="26" t="n"/>
      <c r="R1075" s="26" t="n"/>
      <c r="S1075" s="26" t="n"/>
      <c r="T1075" s="26" t="n"/>
      <c r="V1075" s="27">
        <f>IF(ISNUMBER($C1075),COUNTIFS($A$14:$A$1213,$A1075,$C$14:$C$1213,"&gt;"&amp;$C1075)+(COUNTIFS($A$14:$A$1213,$A1075,$C$14:$C$1213,"="&amp;$C1075)+1)/2,"")</f>
        <v/>
      </c>
      <c r="W1075" s="27">
        <f>IF(ISNUMBER($F1075),COUNTIFS($A$14:$A$1213,$A1075,$F$14:$F$1213,"&gt;"&amp;$F1075)+(COUNTIFS($A$14:$A$1213,$A1075,$F$14:$F$1213,"="&amp;$F1075)+1)/2,"")</f>
        <v/>
      </c>
      <c r="X1075" s="27">
        <f>IF(OR(NOT(ISNUMBER($V1075)),$AO1075=1),"",$V1075-(COUNTIFS($A$14:$A$1213,$A1075,$C$14:$C$1213,"&gt;=0")+1)/2)</f>
        <v/>
      </c>
      <c r="Y1075" s="27">
        <f>IF(OR(NOT(ISNUMBER($W1075)),$AO1075=1),"",$W1075-(COUNTIFS($A$14:$A$1213,$A1075,$F$14:$F$1213,"&gt;=0")+1)/2)</f>
        <v/>
      </c>
      <c r="Z1075" s="27">
        <f>IF(ISNUMBER($V1075),$A1075&amp;"|"&amp;$V1075,"")</f>
        <v/>
      </c>
      <c r="AA1075" s="27">
        <f>IF(ISNUMBER($W1075),$A1075&amp;"|"&amp;$W1075,"")</f>
        <v/>
      </c>
      <c r="AB1075" s="27">
        <f>IF(ISNUMBER($F1075),$A1075&amp;"|"&amp;$F1075,"")</f>
        <v/>
      </c>
      <c r="AC1075" s="27">
        <f>IF(ISNUMBER($P1075),COUNTIFS($A$14:$A$1213,$A1075,$P$14:$P$1213,"&gt;"&amp;$P1075)+(COUNTIFS($A$14:$A$1213,$A1075,$P$14:$P$1213,"="&amp;$P1075)+1)/2,"")</f>
        <v/>
      </c>
      <c r="AD1075" s="27">
        <f>IF(ISNUMBER($Q1075),COUNTIFS($A$14:$A$1213,$A1075,$Q$14:$Q$1213,"&gt;"&amp;$Q1075)+(COUNTIFS($A$14:$A$1213,$A1075,$Q$14:$Q$1213,"="&amp;$Q1075)+1)/2,"")</f>
        <v/>
      </c>
      <c r="AE1075" s="27">
        <f>IF(ISNUMBER($R1075),COUNTIFS($A$14:$A$1213,$A1075,$R$14:$R$1213,"&gt;"&amp;$R1075)+(COUNTIFS($A$14:$A$1213,$A1075,$R$14:$R$1213,"="&amp;$R1075)+1)/2,"")</f>
        <v/>
      </c>
      <c r="AF1075" s="27">
        <f>IF(ISNUMBER($S1075),COUNTIFS($A$14:$A$1213,$A1075,$S$14:$S$1213,"&gt;"&amp;$S1075)+(COUNTIFS($A$14:$A$1213,$A1075,$S$14:$S$1213,"="&amp;$S1075)+1)/2,"")</f>
        <v/>
      </c>
      <c r="AG1075" s="27">
        <f>IF(ISNUMBER($T1075),COUNTIFS($A$14:$A$1213,$A1075,$T$14:$T$1213,"&gt;"&amp;$T1075)+(COUNTIFS($A$14:$A$1213,$A1075,$T$14:$T$1213,"="&amp;$T1075)+1)/2,"")</f>
        <v/>
      </c>
      <c r="AH1075" s="27">
        <f>IF(COUNT($AC1075:$AG1075)&lt;2,"",IF(MAX($AC1075:$AG1075)=MIN($AC1075:$AG1075),0,1))</f>
        <v/>
      </c>
      <c r="AI1075" s="27">
        <f>IF($A1075="","",IF(COUNTIF($A$14:$A1075,$A1075)=1,COUNTIF($AI$13:AI1074,"&gt;0")+1,""))</f>
        <v/>
      </c>
      <c r="AO1075" s="27">
        <f>IF($A1075="","",IF(AND(COUNTIFS($A$14:$A$1213,$A1075,$F$14:$F$1213,"&gt;=0")=2,IFERROR(INDEX($M$14:$M$313,MATCH($A1075,$H$14:$H$313,0)),"Yes")&lt;&gt;"Yes"),1,0))</f>
        <v/>
      </c>
    </row>
    <row r="1076">
      <c r="A1076" s="19">
        <f>IF('Enter messages'!A1076="","",'Enter messages'!A1076)</f>
        <v/>
      </c>
      <c r="B1076" s="20">
        <f>IF('Enter messages'!B1076="","",'Enter messages'!B1076)</f>
        <v/>
      </c>
      <c r="C1076" s="21">
        <f>IFERROR(AVERAGE(P1076:T1076),"")</f>
        <v/>
      </c>
      <c r="D1076" s="29" t="n"/>
      <c r="E1076" s="29" t="n"/>
      <c r="F1076" s="30">
        <f>IF(AND(ISNUMBER($D1076),ISNUMBER($E1076),$E1076&gt;0,$D1076&lt;=$E1076),$D1076/$E1076,"")</f>
        <v/>
      </c>
      <c r="P1076" s="26" t="n"/>
      <c r="Q1076" s="26" t="n"/>
      <c r="R1076" s="26" t="n"/>
      <c r="S1076" s="26" t="n"/>
      <c r="T1076" s="26" t="n"/>
      <c r="V1076" s="27">
        <f>IF(ISNUMBER($C1076),COUNTIFS($A$14:$A$1213,$A1076,$C$14:$C$1213,"&gt;"&amp;$C1076)+(COUNTIFS($A$14:$A$1213,$A1076,$C$14:$C$1213,"="&amp;$C1076)+1)/2,"")</f>
        <v/>
      </c>
      <c r="W1076" s="27">
        <f>IF(ISNUMBER($F1076),COUNTIFS($A$14:$A$1213,$A1076,$F$14:$F$1213,"&gt;"&amp;$F1076)+(COUNTIFS($A$14:$A$1213,$A1076,$F$14:$F$1213,"="&amp;$F1076)+1)/2,"")</f>
        <v/>
      </c>
      <c r="X1076" s="27">
        <f>IF(OR(NOT(ISNUMBER($V1076)),$AO1076=1),"",$V1076-(COUNTIFS($A$14:$A$1213,$A1076,$C$14:$C$1213,"&gt;=0")+1)/2)</f>
        <v/>
      </c>
      <c r="Y1076" s="27">
        <f>IF(OR(NOT(ISNUMBER($W1076)),$AO1076=1),"",$W1076-(COUNTIFS($A$14:$A$1213,$A1076,$F$14:$F$1213,"&gt;=0")+1)/2)</f>
        <v/>
      </c>
      <c r="Z1076" s="27">
        <f>IF(ISNUMBER($V1076),$A1076&amp;"|"&amp;$V1076,"")</f>
        <v/>
      </c>
      <c r="AA1076" s="27">
        <f>IF(ISNUMBER($W1076),$A1076&amp;"|"&amp;$W1076,"")</f>
        <v/>
      </c>
      <c r="AB1076" s="27">
        <f>IF(ISNUMBER($F1076),$A1076&amp;"|"&amp;$F1076,"")</f>
        <v/>
      </c>
      <c r="AC1076" s="27">
        <f>IF(ISNUMBER($P1076),COUNTIFS($A$14:$A$1213,$A1076,$P$14:$P$1213,"&gt;"&amp;$P1076)+(COUNTIFS($A$14:$A$1213,$A1076,$P$14:$P$1213,"="&amp;$P1076)+1)/2,"")</f>
        <v/>
      </c>
      <c r="AD1076" s="27">
        <f>IF(ISNUMBER($Q1076),COUNTIFS($A$14:$A$1213,$A1076,$Q$14:$Q$1213,"&gt;"&amp;$Q1076)+(COUNTIFS($A$14:$A$1213,$A1076,$Q$14:$Q$1213,"="&amp;$Q1076)+1)/2,"")</f>
        <v/>
      </c>
      <c r="AE1076" s="27">
        <f>IF(ISNUMBER($R1076),COUNTIFS($A$14:$A$1213,$A1076,$R$14:$R$1213,"&gt;"&amp;$R1076)+(COUNTIFS($A$14:$A$1213,$A1076,$R$14:$R$1213,"="&amp;$R1076)+1)/2,"")</f>
        <v/>
      </c>
      <c r="AF1076" s="27">
        <f>IF(ISNUMBER($S1076),COUNTIFS($A$14:$A$1213,$A1076,$S$14:$S$1213,"&gt;"&amp;$S1076)+(COUNTIFS($A$14:$A$1213,$A1076,$S$14:$S$1213,"="&amp;$S1076)+1)/2,"")</f>
        <v/>
      </c>
      <c r="AG1076" s="27">
        <f>IF(ISNUMBER($T1076),COUNTIFS($A$14:$A$1213,$A1076,$T$14:$T$1213,"&gt;"&amp;$T1076)+(COUNTIFS($A$14:$A$1213,$A1076,$T$14:$T$1213,"="&amp;$T1076)+1)/2,"")</f>
        <v/>
      </c>
      <c r="AH1076" s="27">
        <f>IF(COUNT($AC1076:$AG1076)&lt;2,"",IF(MAX($AC1076:$AG1076)=MIN($AC1076:$AG1076),0,1))</f>
        <v/>
      </c>
      <c r="AI1076" s="27">
        <f>IF($A1076="","",IF(COUNTIF($A$14:$A1076,$A1076)=1,COUNTIF($AI$13:AI1075,"&gt;0")+1,""))</f>
        <v/>
      </c>
      <c r="AO1076" s="27">
        <f>IF($A1076="","",IF(AND(COUNTIFS($A$14:$A$1213,$A1076,$F$14:$F$1213,"&gt;=0")=2,IFERROR(INDEX($M$14:$M$313,MATCH($A1076,$H$14:$H$313,0)),"Yes")&lt;&gt;"Yes"),1,0))</f>
        <v/>
      </c>
    </row>
    <row r="1077">
      <c r="A1077" s="19">
        <f>IF('Enter messages'!A1077="","",'Enter messages'!A1077)</f>
        <v/>
      </c>
      <c r="B1077" s="20">
        <f>IF('Enter messages'!B1077="","",'Enter messages'!B1077)</f>
        <v/>
      </c>
      <c r="C1077" s="21">
        <f>IFERROR(AVERAGE(P1077:T1077),"")</f>
        <v/>
      </c>
      <c r="D1077" s="29" t="n"/>
      <c r="E1077" s="29" t="n"/>
      <c r="F1077" s="30">
        <f>IF(AND(ISNUMBER($D1077),ISNUMBER($E1077),$E1077&gt;0,$D1077&lt;=$E1077),$D1077/$E1077,"")</f>
        <v/>
      </c>
      <c r="P1077" s="26" t="n"/>
      <c r="Q1077" s="26" t="n"/>
      <c r="R1077" s="26" t="n"/>
      <c r="S1077" s="26" t="n"/>
      <c r="T1077" s="26" t="n"/>
      <c r="V1077" s="27">
        <f>IF(ISNUMBER($C1077),COUNTIFS($A$14:$A$1213,$A1077,$C$14:$C$1213,"&gt;"&amp;$C1077)+(COUNTIFS($A$14:$A$1213,$A1077,$C$14:$C$1213,"="&amp;$C1077)+1)/2,"")</f>
        <v/>
      </c>
      <c r="W1077" s="27">
        <f>IF(ISNUMBER($F1077),COUNTIFS($A$14:$A$1213,$A1077,$F$14:$F$1213,"&gt;"&amp;$F1077)+(COUNTIFS($A$14:$A$1213,$A1077,$F$14:$F$1213,"="&amp;$F1077)+1)/2,"")</f>
        <v/>
      </c>
      <c r="X1077" s="27">
        <f>IF(OR(NOT(ISNUMBER($V1077)),$AO1077=1),"",$V1077-(COUNTIFS($A$14:$A$1213,$A1077,$C$14:$C$1213,"&gt;=0")+1)/2)</f>
        <v/>
      </c>
      <c r="Y1077" s="27">
        <f>IF(OR(NOT(ISNUMBER($W1077)),$AO1077=1),"",$W1077-(COUNTIFS($A$14:$A$1213,$A1077,$F$14:$F$1213,"&gt;=0")+1)/2)</f>
        <v/>
      </c>
      <c r="Z1077" s="27">
        <f>IF(ISNUMBER($V1077),$A1077&amp;"|"&amp;$V1077,"")</f>
        <v/>
      </c>
      <c r="AA1077" s="27">
        <f>IF(ISNUMBER($W1077),$A1077&amp;"|"&amp;$W1077,"")</f>
        <v/>
      </c>
      <c r="AB1077" s="27">
        <f>IF(ISNUMBER($F1077),$A1077&amp;"|"&amp;$F1077,"")</f>
        <v/>
      </c>
      <c r="AC1077" s="27">
        <f>IF(ISNUMBER($P1077),COUNTIFS($A$14:$A$1213,$A1077,$P$14:$P$1213,"&gt;"&amp;$P1077)+(COUNTIFS($A$14:$A$1213,$A1077,$P$14:$P$1213,"="&amp;$P1077)+1)/2,"")</f>
        <v/>
      </c>
      <c r="AD1077" s="27">
        <f>IF(ISNUMBER($Q1077),COUNTIFS($A$14:$A$1213,$A1077,$Q$14:$Q$1213,"&gt;"&amp;$Q1077)+(COUNTIFS($A$14:$A$1213,$A1077,$Q$14:$Q$1213,"="&amp;$Q1077)+1)/2,"")</f>
        <v/>
      </c>
      <c r="AE1077" s="27">
        <f>IF(ISNUMBER($R1077),COUNTIFS($A$14:$A$1213,$A1077,$R$14:$R$1213,"&gt;"&amp;$R1077)+(COUNTIFS($A$14:$A$1213,$A1077,$R$14:$R$1213,"="&amp;$R1077)+1)/2,"")</f>
        <v/>
      </c>
      <c r="AF1077" s="27">
        <f>IF(ISNUMBER($S1077),COUNTIFS($A$14:$A$1213,$A1077,$S$14:$S$1213,"&gt;"&amp;$S1077)+(COUNTIFS($A$14:$A$1213,$A1077,$S$14:$S$1213,"="&amp;$S1077)+1)/2,"")</f>
        <v/>
      </c>
      <c r="AG1077" s="27">
        <f>IF(ISNUMBER($T1077),COUNTIFS($A$14:$A$1213,$A1077,$T$14:$T$1213,"&gt;"&amp;$T1077)+(COUNTIFS($A$14:$A$1213,$A1077,$T$14:$T$1213,"="&amp;$T1077)+1)/2,"")</f>
        <v/>
      </c>
      <c r="AH1077" s="27">
        <f>IF(COUNT($AC1077:$AG1077)&lt;2,"",IF(MAX($AC1077:$AG1077)=MIN($AC1077:$AG1077),0,1))</f>
        <v/>
      </c>
      <c r="AI1077" s="27">
        <f>IF($A1077="","",IF(COUNTIF($A$14:$A1077,$A1077)=1,COUNTIF($AI$13:AI1076,"&gt;0")+1,""))</f>
        <v/>
      </c>
      <c r="AO1077" s="27">
        <f>IF($A1077="","",IF(AND(COUNTIFS($A$14:$A$1213,$A1077,$F$14:$F$1213,"&gt;=0")=2,IFERROR(INDEX($M$14:$M$313,MATCH($A1077,$H$14:$H$313,0)),"Yes")&lt;&gt;"Yes"),1,0))</f>
        <v/>
      </c>
    </row>
    <row r="1078">
      <c r="A1078" s="19">
        <f>IF('Enter messages'!A1078="","",'Enter messages'!A1078)</f>
        <v/>
      </c>
      <c r="B1078" s="20">
        <f>IF('Enter messages'!B1078="","",'Enter messages'!B1078)</f>
        <v/>
      </c>
      <c r="C1078" s="21">
        <f>IFERROR(AVERAGE(P1078:T1078),"")</f>
        <v/>
      </c>
      <c r="D1078" s="29" t="n"/>
      <c r="E1078" s="29" t="n"/>
      <c r="F1078" s="30">
        <f>IF(AND(ISNUMBER($D1078),ISNUMBER($E1078),$E1078&gt;0,$D1078&lt;=$E1078),$D1078/$E1078,"")</f>
        <v/>
      </c>
      <c r="P1078" s="26" t="n"/>
      <c r="Q1078" s="26" t="n"/>
      <c r="R1078" s="26" t="n"/>
      <c r="S1078" s="26" t="n"/>
      <c r="T1078" s="26" t="n"/>
      <c r="V1078" s="27">
        <f>IF(ISNUMBER($C1078),COUNTIFS($A$14:$A$1213,$A1078,$C$14:$C$1213,"&gt;"&amp;$C1078)+(COUNTIFS($A$14:$A$1213,$A1078,$C$14:$C$1213,"="&amp;$C1078)+1)/2,"")</f>
        <v/>
      </c>
      <c r="W1078" s="27">
        <f>IF(ISNUMBER($F1078),COUNTIFS($A$14:$A$1213,$A1078,$F$14:$F$1213,"&gt;"&amp;$F1078)+(COUNTIFS($A$14:$A$1213,$A1078,$F$14:$F$1213,"="&amp;$F1078)+1)/2,"")</f>
        <v/>
      </c>
      <c r="X1078" s="27">
        <f>IF(OR(NOT(ISNUMBER($V1078)),$AO1078=1),"",$V1078-(COUNTIFS($A$14:$A$1213,$A1078,$C$14:$C$1213,"&gt;=0")+1)/2)</f>
        <v/>
      </c>
      <c r="Y1078" s="27">
        <f>IF(OR(NOT(ISNUMBER($W1078)),$AO1078=1),"",$W1078-(COUNTIFS($A$14:$A$1213,$A1078,$F$14:$F$1213,"&gt;=0")+1)/2)</f>
        <v/>
      </c>
      <c r="Z1078" s="27">
        <f>IF(ISNUMBER($V1078),$A1078&amp;"|"&amp;$V1078,"")</f>
        <v/>
      </c>
      <c r="AA1078" s="27">
        <f>IF(ISNUMBER($W1078),$A1078&amp;"|"&amp;$W1078,"")</f>
        <v/>
      </c>
      <c r="AB1078" s="27">
        <f>IF(ISNUMBER($F1078),$A1078&amp;"|"&amp;$F1078,"")</f>
        <v/>
      </c>
      <c r="AC1078" s="27">
        <f>IF(ISNUMBER($P1078),COUNTIFS($A$14:$A$1213,$A1078,$P$14:$P$1213,"&gt;"&amp;$P1078)+(COUNTIFS($A$14:$A$1213,$A1078,$P$14:$P$1213,"="&amp;$P1078)+1)/2,"")</f>
        <v/>
      </c>
      <c r="AD1078" s="27">
        <f>IF(ISNUMBER($Q1078),COUNTIFS($A$14:$A$1213,$A1078,$Q$14:$Q$1213,"&gt;"&amp;$Q1078)+(COUNTIFS($A$14:$A$1213,$A1078,$Q$14:$Q$1213,"="&amp;$Q1078)+1)/2,"")</f>
        <v/>
      </c>
      <c r="AE1078" s="27">
        <f>IF(ISNUMBER($R1078),COUNTIFS($A$14:$A$1213,$A1078,$R$14:$R$1213,"&gt;"&amp;$R1078)+(COUNTIFS($A$14:$A$1213,$A1078,$R$14:$R$1213,"="&amp;$R1078)+1)/2,"")</f>
        <v/>
      </c>
      <c r="AF1078" s="27">
        <f>IF(ISNUMBER($S1078),COUNTIFS($A$14:$A$1213,$A1078,$S$14:$S$1213,"&gt;"&amp;$S1078)+(COUNTIFS($A$14:$A$1213,$A1078,$S$14:$S$1213,"="&amp;$S1078)+1)/2,"")</f>
        <v/>
      </c>
      <c r="AG1078" s="27">
        <f>IF(ISNUMBER($T1078),COUNTIFS($A$14:$A$1213,$A1078,$T$14:$T$1213,"&gt;"&amp;$T1078)+(COUNTIFS($A$14:$A$1213,$A1078,$T$14:$T$1213,"="&amp;$T1078)+1)/2,"")</f>
        <v/>
      </c>
      <c r="AH1078" s="27">
        <f>IF(COUNT($AC1078:$AG1078)&lt;2,"",IF(MAX($AC1078:$AG1078)=MIN($AC1078:$AG1078),0,1))</f>
        <v/>
      </c>
      <c r="AI1078" s="27">
        <f>IF($A1078="","",IF(COUNTIF($A$14:$A1078,$A1078)=1,COUNTIF($AI$13:AI1077,"&gt;0")+1,""))</f>
        <v/>
      </c>
      <c r="AO1078" s="27">
        <f>IF($A1078="","",IF(AND(COUNTIFS($A$14:$A$1213,$A1078,$F$14:$F$1213,"&gt;=0")=2,IFERROR(INDEX($M$14:$M$313,MATCH($A1078,$H$14:$H$313,0)),"Yes")&lt;&gt;"Yes"),1,0))</f>
        <v/>
      </c>
    </row>
    <row r="1079">
      <c r="A1079" s="19">
        <f>IF('Enter messages'!A1079="","",'Enter messages'!A1079)</f>
        <v/>
      </c>
      <c r="B1079" s="20">
        <f>IF('Enter messages'!B1079="","",'Enter messages'!B1079)</f>
        <v/>
      </c>
      <c r="C1079" s="21">
        <f>IFERROR(AVERAGE(P1079:T1079),"")</f>
        <v/>
      </c>
      <c r="D1079" s="29" t="n"/>
      <c r="E1079" s="29" t="n"/>
      <c r="F1079" s="30">
        <f>IF(AND(ISNUMBER($D1079),ISNUMBER($E1079),$E1079&gt;0,$D1079&lt;=$E1079),$D1079/$E1079,"")</f>
        <v/>
      </c>
      <c r="P1079" s="26" t="n"/>
      <c r="Q1079" s="26" t="n"/>
      <c r="R1079" s="26" t="n"/>
      <c r="S1079" s="26" t="n"/>
      <c r="T1079" s="26" t="n"/>
      <c r="V1079" s="27">
        <f>IF(ISNUMBER($C1079),COUNTIFS($A$14:$A$1213,$A1079,$C$14:$C$1213,"&gt;"&amp;$C1079)+(COUNTIFS($A$14:$A$1213,$A1079,$C$14:$C$1213,"="&amp;$C1079)+1)/2,"")</f>
        <v/>
      </c>
      <c r="W1079" s="27">
        <f>IF(ISNUMBER($F1079),COUNTIFS($A$14:$A$1213,$A1079,$F$14:$F$1213,"&gt;"&amp;$F1079)+(COUNTIFS($A$14:$A$1213,$A1079,$F$14:$F$1213,"="&amp;$F1079)+1)/2,"")</f>
        <v/>
      </c>
      <c r="X1079" s="27">
        <f>IF(OR(NOT(ISNUMBER($V1079)),$AO1079=1),"",$V1079-(COUNTIFS($A$14:$A$1213,$A1079,$C$14:$C$1213,"&gt;=0")+1)/2)</f>
        <v/>
      </c>
      <c r="Y1079" s="27">
        <f>IF(OR(NOT(ISNUMBER($W1079)),$AO1079=1),"",$W1079-(COUNTIFS($A$14:$A$1213,$A1079,$F$14:$F$1213,"&gt;=0")+1)/2)</f>
        <v/>
      </c>
      <c r="Z1079" s="27">
        <f>IF(ISNUMBER($V1079),$A1079&amp;"|"&amp;$V1079,"")</f>
        <v/>
      </c>
      <c r="AA1079" s="27">
        <f>IF(ISNUMBER($W1079),$A1079&amp;"|"&amp;$W1079,"")</f>
        <v/>
      </c>
      <c r="AB1079" s="27">
        <f>IF(ISNUMBER($F1079),$A1079&amp;"|"&amp;$F1079,"")</f>
        <v/>
      </c>
      <c r="AC1079" s="27">
        <f>IF(ISNUMBER($P1079),COUNTIFS($A$14:$A$1213,$A1079,$P$14:$P$1213,"&gt;"&amp;$P1079)+(COUNTIFS($A$14:$A$1213,$A1079,$P$14:$P$1213,"="&amp;$P1079)+1)/2,"")</f>
        <v/>
      </c>
      <c r="AD1079" s="27">
        <f>IF(ISNUMBER($Q1079),COUNTIFS($A$14:$A$1213,$A1079,$Q$14:$Q$1213,"&gt;"&amp;$Q1079)+(COUNTIFS($A$14:$A$1213,$A1079,$Q$14:$Q$1213,"="&amp;$Q1079)+1)/2,"")</f>
        <v/>
      </c>
      <c r="AE1079" s="27">
        <f>IF(ISNUMBER($R1079),COUNTIFS($A$14:$A$1213,$A1079,$R$14:$R$1213,"&gt;"&amp;$R1079)+(COUNTIFS($A$14:$A$1213,$A1079,$R$14:$R$1213,"="&amp;$R1079)+1)/2,"")</f>
        <v/>
      </c>
      <c r="AF1079" s="27">
        <f>IF(ISNUMBER($S1079),COUNTIFS($A$14:$A$1213,$A1079,$S$14:$S$1213,"&gt;"&amp;$S1079)+(COUNTIFS($A$14:$A$1213,$A1079,$S$14:$S$1213,"="&amp;$S1079)+1)/2,"")</f>
        <v/>
      </c>
      <c r="AG1079" s="27">
        <f>IF(ISNUMBER($T1079),COUNTIFS($A$14:$A$1213,$A1079,$T$14:$T$1213,"&gt;"&amp;$T1079)+(COUNTIFS($A$14:$A$1213,$A1079,$T$14:$T$1213,"="&amp;$T1079)+1)/2,"")</f>
        <v/>
      </c>
      <c r="AH1079" s="27">
        <f>IF(COUNT($AC1079:$AG1079)&lt;2,"",IF(MAX($AC1079:$AG1079)=MIN($AC1079:$AG1079),0,1))</f>
        <v/>
      </c>
      <c r="AI1079" s="27">
        <f>IF($A1079="","",IF(COUNTIF($A$14:$A1079,$A1079)=1,COUNTIF($AI$13:AI1078,"&gt;0")+1,""))</f>
        <v/>
      </c>
      <c r="AO1079" s="27">
        <f>IF($A1079="","",IF(AND(COUNTIFS($A$14:$A$1213,$A1079,$F$14:$F$1213,"&gt;=0")=2,IFERROR(INDEX($M$14:$M$313,MATCH($A1079,$H$14:$H$313,0)),"Yes")&lt;&gt;"Yes"),1,0))</f>
        <v/>
      </c>
    </row>
    <row r="1080">
      <c r="A1080" s="19">
        <f>IF('Enter messages'!A1080="","",'Enter messages'!A1080)</f>
        <v/>
      </c>
      <c r="B1080" s="20">
        <f>IF('Enter messages'!B1080="","",'Enter messages'!B1080)</f>
        <v/>
      </c>
      <c r="C1080" s="21">
        <f>IFERROR(AVERAGE(P1080:T1080),"")</f>
        <v/>
      </c>
      <c r="D1080" s="29" t="n"/>
      <c r="E1080" s="29" t="n"/>
      <c r="F1080" s="30">
        <f>IF(AND(ISNUMBER($D1080),ISNUMBER($E1080),$E1080&gt;0,$D1080&lt;=$E1080),$D1080/$E1080,"")</f>
        <v/>
      </c>
      <c r="P1080" s="26" t="n"/>
      <c r="Q1080" s="26" t="n"/>
      <c r="R1080" s="26" t="n"/>
      <c r="S1080" s="26" t="n"/>
      <c r="T1080" s="26" t="n"/>
      <c r="V1080" s="27">
        <f>IF(ISNUMBER($C1080),COUNTIFS($A$14:$A$1213,$A1080,$C$14:$C$1213,"&gt;"&amp;$C1080)+(COUNTIFS($A$14:$A$1213,$A1080,$C$14:$C$1213,"="&amp;$C1080)+1)/2,"")</f>
        <v/>
      </c>
      <c r="W1080" s="27">
        <f>IF(ISNUMBER($F1080),COUNTIFS($A$14:$A$1213,$A1080,$F$14:$F$1213,"&gt;"&amp;$F1080)+(COUNTIFS($A$14:$A$1213,$A1080,$F$14:$F$1213,"="&amp;$F1080)+1)/2,"")</f>
        <v/>
      </c>
      <c r="X1080" s="27">
        <f>IF(OR(NOT(ISNUMBER($V1080)),$AO1080=1),"",$V1080-(COUNTIFS($A$14:$A$1213,$A1080,$C$14:$C$1213,"&gt;=0")+1)/2)</f>
        <v/>
      </c>
      <c r="Y1080" s="27">
        <f>IF(OR(NOT(ISNUMBER($W1080)),$AO1080=1),"",$W1080-(COUNTIFS($A$14:$A$1213,$A1080,$F$14:$F$1213,"&gt;=0")+1)/2)</f>
        <v/>
      </c>
      <c r="Z1080" s="27">
        <f>IF(ISNUMBER($V1080),$A1080&amp;"|"&amp;$V1080,"")</f>
        <v/>
      </c>
      <c r="AA1080" s="27">
        <f>IF(ISNUMBER($W1080),$A1080&amp;"|"&amp;$W1080,"")</f>
        <v/>
      </c>
      <c r="AB1080" s="27">
        <f>IF(ISNUMBER($F1080),$A1080&amp;"|"&amp;$F1080,"")</f>
        <v/>
      </c>
      <c r="AC1080" s="27">
        <f>IF(ISNUMBER($P1080),COUNTIFS($A$14:$A$1213,$A1080,$P$14:$P$1213,"&gt;"&amp;$P1080)+(COUNTIFS($A$14:$A$1213,$A1080,$P$14:$P$1213,"="&amp;$P1080)+1)/2,"")</f>
        <v/>
      </c>
      <c r="AD1080" s="27">
        <f>IF(ISNUMBER($Q1080),COUNTIFS($A$14:$A$1213,$A1080,$Q$14:$Q$1213,"&gt;"&amp;$Q1080)+(COUNTIFS($A$14:$A$1213,$A1080,$Q$14:$Q$1213,"="&amp;$Q1080)+1)/2,"")</f>
        <v/>
      </c>
      <c r="AE1080" s="27">
        <f>IF(ISNUMBER($R1080),COUNTIFS($A$14:$A$1213,$A1080,$R$14:$R$1213,"&gt;"&amp;$R1080)+(COUNTIFS($A$14:$A$1213,$A1080,$R$14:$R$1213,"="&amp;$R1080)+1)/2,"")</f>
        <v/>
      </c>
      <c r="AF1080" s="27">
        <f>IF(ISNUMBER($S1080),COUNTIFS($A$14:$A$1213,$A1080,$S$14:$S$1213,"&gt;"&amp;$S1080)+(COUNTIFS($A$14:$A$1213,$A1080,$S$14:$S$1213,"="&amp;$S1080)+1)/2,"")</f>
        <v/>
      </c>
      <c r="AG1080" s="27">
        <f>IF(ISNUMBER($T1080),COUNTIFS($A$14:$A$1213,$A1080,$T$14:$T$1213,"&gt;"&amp;$T1080)+(COUNTIFS($A$14:$A$1213,$A1080,$T$14:$T$1213,"="&amp;$T1080)+1)/2,"")</f>
        <v/>
      </c>
      <c r="AH1080" s="27">
        <f>IF(COUNT($AC1080:$AG1080)&lt;2,"",IF(MAX($AC1080:$AG1080)=MIN($AC1080:$AG1080),0,1))</f>
        <v/>
      </c>
      <c r="AI1080" s="27">
        <f>IF($A1080="","",IF(COUNTIF($A$14:$A1080,$A1080)=1,COUNTIF($AI$13:AI1079,"&gt;0")+1,""))</f>
        <v/>
      </c>
      <c r="AO1080" s="27">
        <f>IF($A1080="","",IF(AND(COUNTIFS($A$14:$A$1213,$A1080,$F$14:$F$1213,"&gt;=0")=2,IFERROR(INDEX($M$14:$M$313,MATCH($A1080,$H$14:$H$313,0)),"Yes")&lt;&gt;"Yes"),1,0))</f>
        <v/>
      </c>
    </row>
    <row r="1081">
      <c r="A1081" s="19">
        <f>IF('Enter messages'!A1081="","",'Enter messages'!A1081)</f>
        <v/>
      </c>
      <c r="B1081" s="20">
        <f>IF('Enter messages'!B1081="","",'Enter messages'!B1081)</f>
        <v/>
      </c>
      <c r="C1081" s="21">
        <f>IFERROR(AVERAGE(P1081:T1081),"")</f>
        <v/>
      </c>
      <c r="D1081" s="29" t="n"/>
      <c r="E1081" s="29" t="n"/>
      <c r="F1081" s="30">
        <f>IF(AND(ISNUMBER($D1081),ISNUMBER($E1081),$E1081&gt;0,$D1081&lt;=$E1081),$D1081/$E1081,"")</f>
        <v/>
      </c>
      <c r="P1081" s="26" t="n"/>
      <c r="Q1081" s="26" t="n"/>
      <c r="R1081" s="26" t="n"/>
      <c r="S1081" s="26" t="n"/>
      <c r="T1081" s="26" t="n"/>
      <c r="V1081" s="27">
        <f>IF(ISNUMBER($C1081),COUNTIFS($A$14:$A$1213,$A1081,$C$14:$C$1213,"&gt;"&amp;$C1081)+(COUNTIFS($A$14:$A$1213,$A1081,$C$14:$C$1213,"="&amp;$C1081)+1)/2,"")</f>
        <v/>
      </c>
      <c r="W1081" s="27">
        <f>IF(ISNUMBER($F1081),COUNTIFS($A$14:$A$1213,$A1081,$F$14:$F$1213,"&gt;"&amp;$F1081)+(COUNTIFS($A$14:$A$1213,$A1081,$F$14:$F$1213,"="&amp;$F1081)+1)/2,"")</f>
        <v/>
      </c>
      <c r="X1081" s="27">
        <f>IF(OR(NOT(ISNUMBER($V1081)),$AO1081=1),"",$V1081-(COUNTIFS($A$14:$A$1213,$A1081,$C$14:$C$1213,"&gt;=0")+1)/2)</f>
        <v/>
      </c>
      <c r="Y1081" s="27">
        <f>IF(OR(NOT(ISNUMBER($W1081)),$AO1081=1),"",$W1081-(COUNTIFS($A$14:$A$1213,$A1081,$F$14:$F$1213,"&gt;=0")+1)/2)</f>
        <v/>
      </c>
      <c r="Z1081" s="27">
        <f>IF(ISNUMBER($V1081),$A1081&amp;"|"&amp;$V1081,"")</f>
        <v/>
      </c>
      <c r="AA1081" s="27">
        <f>IF(ISNUMBER($W1081),$A1081&amp;"|"&amp;$W1081,"")</f>
        <v/>
      </c>
      <c r="AB1081" s="27">
        <f>IF(ISNUMBER($F1081),$A1081&amp;"|"&amp;$F1081,"")</f>
        <v/>
      </c>
      <c r="AC1081" s="27">
        <f>IF(ISNUMBER($P1081),COUNTIFS($A$14:$A$1213,$A1081,$P$14:$P$1213,"&gt;"&amp;$P1081)+(COUNTIFS($A$14:$A$1213,$A1081,$P$14:$P$1213,"="&amp;$P1081)+1)/2,"")</f>
        <v/>
      </c>
      <c r="AD1081" s="27">
        <f>IF(ISNUMBER($Q1081),COUNTIFS($A$14:$A$1213,$A1081,$Q$14:$Q$1213,"&gt;"&amp;$Q1081)+(COUNTIFS($A$14:$A$1213,$A1081,$Q$14:$Q$1213,"="&amp;$Q1081)+1)/2,"")</f>
        <v/>
      </c>
      <c r="AE1081" s="27">
        <f>IF(ISNUMBER($R1081),COUNTIFS($A$14:$A$1213,$A1081,$R$14:$R$1213,"&gt;"&amp;$R1081)+(COUNTIFS($A$14:$A$1213,$A1081,$R$14:$R$1213,"="&amp;$R1081)+1)/2,"")</f>
        <v/>
      </c>
      <c r="AF1081" s="27">
        <f>IF(ISNUMBER($S1081),COUNTIFS($A$14:$A$1213,$A1081,$S$14:$S$1213,"&gt;"&amp;$S1081)+(COUNTIFS($A$14:$A$1213,$A1081,$S$14:$S$1213,"="&amp;$S1081)+1)/2,"")</f>
        <v/>
      </c>
      <c r="AG1081" s="27">
        <f>IF(ISNUMBER($T1081),COUNTIFS($A$14:$A$1213,$A1081,$T$14:$T$1213,"&gt;"&amp;$T1081)+(COUNTIFS($A$14:$A$1213,$A1081,$T$14:$T$1213,"="&amp;$T1081)+1)/2,"")</f>
        <v/>
      </c>
      <c r="AH1081" s="27">
        <f>IF(COUNT($AC1081:$AG1081)&lt;2,"",IF(MAX($AC1081:$AG1081)=MIN($AC1081:$AG1081),0,1))</f>
        <v/>
      </c>
      <c r="AI1081" s="27">
        <f>IF($A1081="","",IF(COUNTIF($A$14:$A1081,$A1081)=1,COUNTIF($AI$13:AI1080,"&gt;0")+1,""))</f>
        <v/>
      </c>
      <c r="AO1081" s="27">
        <f>IF($A1081="","",IF(AND(COUNTIFS($A$14:$A$1213,$A1081,$F$14:$F$1213,"&gt;=0")=2,IFERROR(INDEX($M$14:$M$313,MATCH($A1081,$H$14:$H$313,0)),"Yes")&lt;&gt;"Yes"),1,0))</f>
        <v/>
      </c>
    </row>
    <row r="1082">
      <c r="A1082" s="19">
        <f>IF('Enter messages'!A1082="","",'Enter messages'!A1082)</f>
        <v/>
      </c>
      <c r="B1082" s="20">
        <f>IF('Enter messages'!B1082="","",'Enter messages'!B1082)</f>
        <v/>
      </c>
      <c r="C1082" s="21">
        <f>IFERROR(AVERAGE(P1082:T1082),"")</f>
        <v/>
      </c>
      <c r="D1082" s="29" t="n"/>
      <c r="E1082" s="29" t="n"/>
      <c r="F1082" s="30">
        <f>IF(AND(ISNUMBER($D1082),ISNUMBER($E1082),$E1082&gt;0,$D1082&lt;=$E1082),$D1082/$E1082,"")</f>
        <v/>
      </c>
      <c r="P1082" s="26" t="n"/>
      <c r="Q1082" s="26" t="n"/>
      <c r="R1082" s="26" t="n"/>
      <c r="S1082" s="26" t="n"/>
      <c r="T1082" s="26" t="n"/>
      <c r="V1082" s="27">
        <f>IF(ISNUMBER($C1082),COUNTIFS($A$14:$A$1213,$A1082,$C$14:$C$1213,"&gt;"&amp;$C1082)+(COUNTIFS($A$14:$A$1213,$A1082,$C$14:$C$1213,"="&amp;$C1082)+1)/2,"")</f>
        <v/>
      </c>
      <c r="W1082" s="27">
        <f>IF(ISNUMBER($F1082),COUNTIFS($A$14:$A$1213,$A1082,$F$14:$F$1213,"&gt;"&amp;$F1082)+(COUNTIFS($A$14:$A$1213,$A1082,$F$14:$F$1213,"="&amp;$F1082)+1)/2,"")</f>
        <v/>
      </c>
      <c r="X1082" s="27">
        <f>IF(OR(NOT(ISNUMBER($V1082)),$AO1082=1),"",$V1082-(COUNTIFS($A$14:$A$1213,$A1082,$C$14:$C$1213,"&gt;=0")+1)/2)</f>
        <v/>
      </c>
      <c r="Y1082" s="27">
        <f>IF(OR(NOT(ISNUMBER($W1082)),$AO1082=1),"",$W1082-(COUNTIFS($A$14:$A$1213,$A1082,$F$14:$F$1213,"&gt;=0")+1)/2)</f>
        <v/>
      </c>
      <c r="Z1082" s="27">
        <f>IF(ISNUMBER($V1082),$A1082&amp;"|"&amp;$V1082,"")</f>
        <v/>
      </c>
      <c r="AA1082" s="27">
        <f>IF(ISNUMBER($W1082),$A1082&amp;"|"&amp;$W1082,"")</f>
        <v/>
      </c>
      <c r="AB1082" s="27">
        <f>IF(ISNUMBER($F1082),$A1082&amp;"|"&amp;$F1082,"")</f>
        <v/>
      </c>
      <c r="AC1082" s="27">
        <f>IF(ISNUMBER($P1082),COUNTIFS($A$14:$A$1213,$A1082,$P$14:$P$1213,"&gt;"&amp;$P1082)+(COUNTIFS($A$14:$A$1213,$A1082,$P$14:$P$1213,"="&amp;$P1082)+1)/2,"")</f>
        <v/>
      </c>
      <c r="AD1082" s="27">
        <f>IF(ISNUMBER($Q1082),COUNTIFS($A$14:$A$1213,$A1082,$Q$14:$Q$1213,"&gt;"&amp;$Q1082)+(COUNTIFS($A$14:$A$1213,$A1082,$Q$14:$Q$1213,"="&amp;$Q1082)+1)/2,"")</f>
        <v/>
      </c>
      <c r="AE1082" s="27">
        <f>IF(ISNUMBER($R1082),COUNTIFS($A$14:$A$1213,$A1082,$R$14:$R$1213,"&gt;"&amp;$R1082)+(COUNTIFS($A$14:$A$1213,$A1082,$R$14:$R$1213,"="&amp;$R1082)+1)/2,"")</f>
        <v/>
      </c>
      <c r="AF1082" s="27">
        <f>IF(ISNUMBER($S1082),COUNTIFS($A$14:$A$1213,$A1082,$S$14:$S$1213,"&gt;"&amp;$S1082)+(COUNTIFS($A$14:$A$1213,$A1082,$S$14:$S$1213,"="&amp;$S1082)+1)/2,"")</f>
        <v/>
      </c>
      <c r="AG1082" s="27">
        <f>IF(ISNUMBER($T1082),COUNTIFS($A$14:$A$1213,$A1082,$T$14:$T$1213,"&gt;"&amp;$T1082)+(COUNTIFS($A$14:$A$1213,$A1082,$T$14:$T$1213,"="&amp;$T1082)+1)/2,"")</f>
        <v/>
      </c>
      <c r="AH1082" s="27">
        <f>IF(COUNT($AC1082:$AG1082)&lt;2,"",IF(MAX($AC1082:$AG1082)=MIN($AC1082:$AG1082),0,1))</f>
        <v/>
      </c>
      <c r="AI1082" s="27">
        <f>IF($A1082="","",IF(COUNTIF($A$14:$A1082,$A1082)=1,COUNTIF($AI$13:AI1081,"&gt;0")+1,""))</f>
        <v/>
      </c>
      <c r="AO1082" s="27">
        <f>IF($A1082="","",IF(AND(COUNTIFS($A$14:$A$1213,$A1082,$F$14:$F$1213,"&gt;=0")=2,IFERROR(INDEX($M$14:$M$313,MATCH($A1082,$H$14:$H$313,0)),"Yes")&lt;&gt;"Yes"),1,0))</f>
        <v/>
      </c>
    </row>
    <row r="1083">
      <c r="A1083" s="19">
        <f>IF('Enter messages'!A1083="","",'Enter messages'!A1083)</f>
        <v/>
      </c>
      <c r="B1083" s="20">
        <f>IF('Enter messages'!B1083="","",'Enter messages'!B1083)</f>
        <v/>
      </c>
      <c r="C1083" s="21">
        <f>IFERROR(AVERAGE(P1083:T1083),"")</f>
        <v/>
      </c>
      <c r="D1083" s="29" t="n"/>
      <c r="E1083" s="29" t="n"/>
      <c r="F1083" s="30">
        <f>IF(AND(ISNUMBER($D1083),ISNUMBER($E1083),$E1083&gt;0,$D1083&lt;=$E1083),$D1083/$E1083,"")</f>
        <v/>
      </c>
      <c r="P1083" s="26" t="n"/>
      <c r="Q1083" s="26" t="n"/>
      <c r="R1083" s="26" t="n"/>
      <c r="S1083" s="26" t="n"/>
      <c r="T1083" s="26" t="n"/>
      <c r="V1083" s="27">
        <f>IF(ISNUMBER($C1083),COUNTIFS($A$14:$A$1213,$A1083,$C$14:$C$1213,"&gt;"&amp;$C1083)+(COUNTIFS($A$14:$A$1213,$A1083,$C$14:$C$1213,"="&amp;$C1083)+1)/2,"")</f>
        <v/>
      </c>
      <c r="W1083" s="27">
        <f>IF(ISNUMBER($F1083),COUNTIFS($A$14:$A$1213,$A1083,$F$14:$F$1213,"&gt;"&amp;$F1083)+(COUNTIFS($A$14:$A$1213,$A1083,$F$14:$F$1213,"="&amp;$F1083)+1)/2,"")</f>
        <v/>
      </c>
      <c r="X1083" s="27">
        <f>IF(OR(NOT(ISNUMBER($V1083)),$AO1083=1),"",$V1083-(COUNTIFS($A$14:$A$1213,$A1083,$C$14:$C$1213,"&gt;=0")+1)/2)</f>
        <v/>
      </c>
      <c r="Y1083" s="27">
        <f>IF(OR(NOT(ISNUMBER($W1083)),$AO1083=1),"",$W1083-(COUNTIFS($A$14:$A$1213,$A1083,$F$14:$F$1213,"&gt;=0")+1)/2)</f>
        <v/>
      </c>
      <c r="Z1083" s="27">
        <f>IF(ISNUMBER($V1083),$A1083&amp;"|"&amp;$V1083,"")</f>
        <v/>
      </c>
      <c r="AA1083" s="27">
        <f>IF(ISNUMBER($W1083),$A1083&amp;"|"&amp;$W1083,"")</f>
        <v/>
      </c>
      <c r="AB1083" s="27">
        <f>IF(ISNUMBER($F1083),$A1083&amp;"|"&amp;$F1083,"")</f>
        <v/>
      </c>
      <c r="AC1083" s="27">
        <f>IF(ISNUMBER($P1083),COUNTIFS($A$14:$A$1213,$A1083,$P$14:$P$1213,"&gt;"&amp;$P1083)+(COUNTIFS($A$14:$A$1213,$A1083,$P$14:$P$1213,"="&amp;$P1083)+1)/2,"")</f>
        <v/>
      </c>
      <c r="AD1083" s="27">
        <f>IF(ISNUMBER($Q1083),COUNTIFS($A$14:$A$1213,$A1083,$Q$14:$Q$1213,"&gt;"&amp;$Q1083)+(COUNTIFS($A$14:$A$1213,$A1083,$Q$14:$Q$1213,"="&amp;$Q1083)+1)/2,"")</f>
        <v/>
      </c>
      <c r="AE1083" s="27">
        <f>IF(ISNUMBER($R1083),COUNTIFS($A$14:$A$1213,$A1083,$R$14:$R$1213,"&gt;"&amp;$R1083)+(COUNTIFS($A$14:$A$1213,$A1083,$R$14:$R$1213,"="&amp;$R1083)+1)/2,"")</f>
        <v/>
      </c>
      <c r="AF1083" s="27">
        <f>IF(ISNUMBER($S1083),COUNTIFS($A$14:$A$1213,$A1083,$S$14:$S$1213,"&gt;"&amp;$S1083)+(COUNTIFS($A$14:$A$1213,$A1083,$S$14:$S$1213,"="&amp;$S1083)+1)/2,"")</f>
        <v/>
      </c>
      <c r="AG1083" s="27">
        <f>IF(ISNUMBER($T1083),COUNTIFS($A$14:$A$1213,$A1083,$T$14:$T$1213,"&gt;"&amp;$T1083)+(COUNTIFS($A$14:$A$1213,$A1083,$T$14:$T$1213,"="&amp;$T1083)+1)/2,"")</f>
        <v/>
      </c>
      <c r="AH1083" s="27">
        <f>IF(COUNT($AC1083:$AG1083)&lt;2,"",IF(MAX($AC1083:$AG1083)=MIN($AC1083:$AG1083),0,1))</f>
        <v/>
      </c>
      <c r="AI1083" s="27">
        <f>IF($A1083="","",IF(COUNTIF($A$14:$A1083,$A1083)=1,COUNTIF($AI$13:AI1082,"&gt;0")+1,""))</f>
        <v/>
      </c>
      <c r="AO1083" s="27">
        <f>IF($A1083="","",IF(AND(COUNTIFS($A$14:$A$1213,$A1083,$F$14:$F$1213,"&gt;=0")=2,IFERROR(INDEX($M$14:$M$313,MATCH($A1083,$H$14:$H$313,0)),"Yes")&lt;&gt;"Yes"),1,0))</f>
        <v/>
      </c>
    </row>
    <row r="1084">
      <c r="A1084" s="19">
        <f>IF('Enter messages'!A1084="","",'Enter messages'!A1084)</f>
        <v/>
      </c>
      <c r="B1084" s="20">
        <f>IF('Enter messages'!B1084="","",'Enter messages'!B1084)</f>
        <v/>
      </c>
      <c r="C1084" s="21">
        <f>IFERROR(AVERAGE(P1084:T1084),"")</f>
        <v/>
      </c>
      <c r="D1084" s="29" t="n"/>
      <c r="E1084" s="29" t="n"/>
      <c r="F1084" s="30">
        <f>IF(AND(ISNUMBER($D1084),ISNUMBER($E1084),$E1084&gt;0,$D1084&lt;=$E1084),$D1084/$E1084,"")</f>
        <v/>
      </c>
      <c r="P1084" s="26" t="n"/>
      <c r="Q1084" s="26" t="n"/>
      <c r="R1084" s="26" t="n"/>
      <c r="S1084" s="26" t="n"/>
      <c r="T1084" s="26" t="n"/>
      <c r="V1084" s="27">
        <f>IF(ISNUMBER($C1084),COUNTIFS($A$14:$A$1213,$A1084,$C$14:$C$1213,"&gt;"&amp;$C1084)+(COUNTIFS($A$14:$A$1213,$A1084,$C$14:$C$1213,"="&amp;$C1084)+1)/2,"")</f>
        <v/>
      </c>
      <c r="W1084" s="27">
        <f>IF(ISNUMBER($F1084),COUNTIFS($A$14:$A$1213,$A1084,$F$14:$F$1213,"&gt;"&amp;$F1084)+(COUNTIFS($A$14:$A$1213,$A1084,$F$14:$F$1213,"="&amp;$F1084)+1)/2,"")</f>
        <v/>
      </c>
      <c r="X1084" s="27">
        <f>IF(OR(NOT(ISNUMBER($V1084)),$AO1084=1),"",$V1084-(COUNTIFS($A$14:$A$1213,$A1084,$C$14:$C$1213,"&gt;=0")+1)/2)</f>
        <v/>
      </c>
      <c r="Y1084" s="27">
        <f>IF(OR(NOT(ISNUMBER($W1084)),$AO1084=1),"",$W1084-(COUNTIFS($A$14:$A$1213,$A1084,$F$14:$F$1213,"&gt;=0")+1)/2)</f>
        <v/>
      </c>
      <c r="Z1084" s="27">
        <f>IF(ISNUMBER($V1084),$A1084&amp;"|"&amp;$V1084,"")</f>
        <v/>
      </c>
      <c r="AA1084" s="27">
        <f>IF(ISNUMBER($W1084),$A1084&amp;"|"&amp;$W1084,"")</f>
        <v/>
      </c>
      <c r="AB1084" s="27">
        <f>IF(ISNUMBER($F1084),$A1084&amp;"|"&amp;$F1084,"")</f>
        <v/>
      </c>
      <c r="AC1084" s="27">
        <f>IF(ISNUMBER($P1084),COUNTIFS($A$14:$A$1213,$A1084,$P$14:$P$1213,"&gt;"&amp;$P1084)+(COUNTIFS($A$14:$A$1213,$A1084,$P$14:$P$1213,"="&amp;$P1084)+1)/2,"")</f>
        <v/>
      </c>
      <c r="AD1084" s="27">
        <f>IF(ISNUMBER($Q1084),COUNTIFS($A$14:$A$1213,$A1084,$Q$14:$Q$1213,"&gt;"&amp;$Q1084)+(COUNTIFS($A$14:$A$1213,$A1084,$Q$14:$Q$1213,"="&amp;$Q1084)+1)/2,"")</f>
        <v/>
      </c>
      <c r="AE1084" s="27">
        <f>IF(ISNUMBER($R1084),COUNTIFS($A$14:$A$1213,$A1084,$R$14:$R$1213,"&gt;"&amp;$R1084)+(COUNTIFS($A$14:$A$1213,$A1084,$R$14:$R$1213,"="&amp;$R1084)+1)/2,"")</f>
        <v/>
      </c>
      <c r="AF1084" s="27">
        <f>IF(ISNUMBER($S1084),COUNTIFS($A$14:$A$1213,$A1084,$S$14:$S$1213,"&gt;"&amp;$S1084)+(COUNTIFS($A$14:$A$1213,$A1084,$S$14:$S$1213,"="&amp;$S1084)+1)/2,"")</f>
        <v/>
      </c>
      <c r="AG1084" s="27">
        <f>IF(ISNUMBER($T1084),COUNTIFS($A$14:$A$1213,$A1084,$T$14:$T$1213,"&gt;"&amp;$T1084)+(COUNTIFS($A$14:$A$1213,$A1084,$T$14:$T$1213,"="&amp;$T1084)+1)/2,"")</f>
        <v/>
      </c>
      <c r="AH1084" s="27">
        <f>IF(COUNT($AC1084:$AG1084)&lt;2,"",IF(MAX($AC1084:$AG1084)=MIN($AC1084:$AG1084),0,1))</f>
        <v/>
      </c>
      <c r="AI1084" s="27">
        <f>IF($A1084="","",IF(COUNTIF($A$14:$A1084,$A1084)=1,COUNTIF($AI$13:AI1083,"&gt;0")+1,""))</f>
        <v/>
      </c>
      <c r="AO1084" s="27">
        <f>IF($A1084="","",IF(AND(COUNTIFS($A$14:$A$1213,$A1084,$F$14:$F$1213,"&gt;=0")=2,IFERROR(INDEX($M$14:$M$313,MATCH($A1084,$H$14:$H$313,0)),"Yes")&lt;&gt;"Yes"),1,0))</f>
        <v/>
      </c>
    </row>
    <row r="1085">
      <c r="A1085" s="19">
        <f>IF('Enter messages'!A1085="","",'Enter messages'!A1085)</f>
        <v/>
      </c>
      <c r="B1085" s="20">
        <f>IF('Enter messages'!B1085="","",'Enter messages'!B1085)</f>
        <v/>
      </c>
      <c r="C1085" s="21">
        <f>IFERROR(AVERAGE(P1085:T1085),"")</f>
        <v/>
      </c>
      <c r="D1085" s="29" t="n"/>
      <c r="E1085" s="29" t="n"/>
      <c r="F1085" s="30">
        <f>IF(AND(ISNUMBER($D1085),ISNUMBER($E1085),$E1085&gt;0,$D1085&lt;=$E1085),$D1085/$E1085,"")</f>
        <v/>
      </c>
      <c r="P1085" s="26" t="n"/>
      <c r="Q1085" s="26" t="n"/>
      <c r="R1085" s="26" t="n"/>
      <c r="S1085" s="26" t="n"/>
      <c r="T1085" s="26" t="n"/>
      <c r="V1085" s="27">
        <f>IF(ISNUMBER($C1085),COUNTIFS($A$14:$A$1213,$A1085,$C$14:$C$1213,"&gt;"&amp;$C1085)+(COUNTIFS($A$14:$A$1213,$A1085,$C$14:$C$1213,"="&amp;$C1085)+1)/2,"")</f>
        <v/>
      </c>
      <c r="W1085" s="27">
        <f>IF(ISNUMBER($F1085),COUNTIFS($A$14:$A$1213,$A1085,$F$14:$F$1213,"&gt;"&amp;$F1085)+(COUNTIFS($A$14:$A$1213,$A1085,$F$14:$F$1213,"="&amp;$F1085)+1)/2,"")</f>
        <v/>
      </c>
      <c r="X1085" s="27">
        <f>IF(OR(NOT(ISNUMBER($V1085)),$AO1085=1),"",$V1085-(COUNTIFS($A$14:$A$1213,$A1085,$C$14:$C$1213,"&gt;=0")+1)/2)</f>
        <v/>
      </c>
      <c r="Y1085" s="27">
        <f>IF(OR(NOT(ISNUMBER($W1085)),$AO1085=1),"",$W1085-(COUNTIFS($A$14:$A$1213,$A1085,$F$14:$F$1213,"&gt;=0")+1)/2)</f>
        <v/>
      </c>
      <c r="Z1085" s="27">
        <f>IF(ISNUMBER($V1085),$A1085&amp;"|"&amp;$V1085,"")</f>
        <v/>
      </c>
      <c r="AA1085" s="27">
        <f>IF(ISNUMBER($W1085),$A1085&amp;"|"&amp;$W1085,"")</f>
        <v/>
      </c>
      <c r="AB1085" s="27">
        <f>IF(ISNUMBER($F1085),$A1085&amp;"|"&amp;$F1085,"")</f>
        <v/>
      </c>
      <c r="AC1085" s="27">
        <f>IF(ISNUMBER($P1085),COUNTIFS($A$14:$A$1213,$A1085,$P$14:$P$1213,"&gt;"&amp;$P1085)+(COUNTIFS($A$14:$A$1213,$A1085,$P$14:$P$1213,"="&amp;$P1085)+1)/2,"")</f>
        <v/>
      </c>
      <c r="AD1085" s="27">
        <f>IF(ISNUMBER($Q1085),COUNTIFS($A$14:$A$1213,$A1085,$Q$14:$Q$1213,"&gt;"&amp;$Q1085)+(COUNTIFS($A$14:$A$1213,$A1085,$Q$14:$Q$1213,"="&amp;$Q1085)+1)/2,"")</f>
        <v/>
      </c>
      <c r="AE1085" s="27">
        <f>IF(ISNUMBER($R1085),COUNTIFS($A$14:$A$1213,$A1085,$R$14:$R$1213,"&gt;"&amp;$R1085)+(COUNTIFS($A$14:$A$1213,$A1085,$R$14:$R$1213,"="&amp;$R1085)+1)/2,"")</f>
        <v/>
      </c>
      <c r="AF1085" s="27">
        <f>IF(ISNUMBER($S1085),COUNTIFS($A$14:$A$1213,$A1085,$S$14:$S$1213,"&gt;"&amp;$S1085)+(COUNTIFS($A$14:$A$1213,$A1085,$S$14:$S$1213,"="&amp;$S1085)+1)/2,"")</f>
        <v/>
      </c>
      <c r="AG1085" s="27">
        <f>IF(ISNUMBER($T1085),COUNTIFS($A$14:$A$1213,$A1085,$T$14:$T$1213,"&gt;"&amp;$T1085)+(COUNTIFS($A$14:$A$1213,$A1085,$T$14:$T$1213,"="&amp;$T1085)+1)/2,"")</f>
        <v/>
      </c>
      <c r="AH1085" s="27">
        <f>IF(COUNT($AC1085:$AG1085)&lt;2,"",IF(MAX($AC1085:$AG1085)=MIN($AC1085:$AG1085),0,1))</f>
        <v/>
      </c>
      <c r="AI1085" s="27">
        <f>IF($A1085="","",IF(COUNTIF($A$14:$A1085,$A1085)=1,COUNTIF($AI$13:AI1084,"&gt;0")+1,""))</f>
        <v/>
      </c>
      <c r="AO1085" s="27">
        <f>IF($A1085="","",IF(AND(COUNTIFS($A$14:$A$1213,$A1085,$F$14:$F$1213,"&gt;=0")=2,IFERROR(INDEX($M$14:$M$313,MATCH($A1085,$H$14:$H$313,0)),"Yes")&lt;&gt;"Yes"),1,0))</f>
        <v/>
      </c>
    </row>
    <row r="1086">
      <c r="A1086" s="19">
        <f>IF('Enter messages'!A1086="","",'Enter messages'!A1086)</f>
        <v/>
      </c>
      <c r="B1086" s="20">
        <f>IF('Enter messages'!B1086="","",'Enter messages'!B1086)</f>
        <v/>
      </c>
      <c r="C1086" s="21">
        <f>IFERROR(AVERAGE(P1086:T1086),"")</f>
        <v/>
      </c>
      <c r="D1086" s="29" t="n"/>
      <c r="E1086" s="29" t="n"/>
      <c r="F1086" s="30">
        <f>IF(AND(ISNUMBER($D1086),ISNUMBER($E1086),$E1086&gt;0,$D1086&lt;=$E1086),$D1086/$E1086,"")</f>
        <v/>
      </c>
      <c r="P1086" s="26" t="n"/>
      <c r="Q1086" s="26" t="n"/>
      <c r="R1086" s="26" t="n"/>
      <c r="S1086" s="26" t="n"/>
      <c r="T1086" s="26" t="n"/>
      <c r="V1086" s="27">
        <f>IF(ISNUMBER($C1086),COUNTIFS($A$14:$A$1213,$A1086,$C$14:$C$1213,"&gt;"&amp;$C1086)+(COUNTIFS($A$14:$A$1213,$A1086,$C$14:$C$1213,"="&amp;$C1086)+1)/2,"")</f>
        <v/>
      </c>
      <c r="W1086" s="27">
        <f>IF(ISNUMBER($F1086),COUNTIFS($A$14:$A$1213,$A1086,$F$14:$F$1213,"&gt;"&amp;$F1086)+(COUNTIFS($A$14:$A$1213,$A1086,$F$14:$F$1213,"="&amp;$F1086)+1)/2,"")</f>
        <v/>
      </c>
      <c r="X1086" s="27">
        <f>IF(OR(NOT(ISNUMBER($V1086)),$AO1086=1),"",$V1086-(COUNTIFS($A$14:$A$1213,$A1086,$C$14:$C$1213,"&gt;=0")+1)/2)</f>
        <v/>
      </c>
      <c r="Y1086" s="27">
        <f>IF(OR(NOT(ISNUMBER($W1086)),$AO1086=1),"",$W1086-(COUNTIFS($A$14:$A$1213,$A1086,$F$14:$F$1213,"&gt;=0")+1)/2)</f>
        <v/>
      </c>
      <c r="Z1086" s="27">
        <f>IF(ISNUMBER($V1086),$A1086&amp;"|"&amp;$V1086,"")</f>
        <v/>
      </c>
      <c r="AA1086" s="27">
        <f>IF(ISNUMBER($W1086),$A1086&amp;"|"&amp;$W1086,"")</f>
        <v/>
      </c>
      <c r="AB1086" s="27">
        <f>IF(ISNUMBER($F1086),$A1086&amp;"|"&amp;$F1086,"")</f>
        <v/>
      </c>
      <c r="AC1086" s="27">
        <f>IF(ISNUMBER($P1086),COUNTIFS($A$14:$A$1213,$A1086,$P$14:$P$1213,"&gt;"&amp;$P1086)+(COUNTIFS($A$14:$A$1213,$A1086,$P$14:$P$1213,"="&amp;$P1086)+1)/2,"")</f>
        <v/>
      </c>
      <c r="AD1086" s="27">
        <f>IF(ISNUMBER($Q1086),COUNTIFS($A$14:$A$1213,$A1086,$Q$14:$Q$1213,"&gt;"&amp;$Q1086)+(COUNTIFS($A$14:$A$1213,$A1086,$Q$14:$Q$1213,"="&amp;$Q1086)+1)/2,"")</f>
        <v/>
      </c>
      <c r="AE1086" s="27">
        <f>IF(ISNUMBER($R1086),COUNTIFS($A$14:$A$1213,$A1086,$R$14:$R$1213,"&gt;"&amp;$R1086)+(COUNTIFS($A$14:$A$1213,$A1086,$R$14:$R$1213,"="&amp;$R1086)+1)/2,"")</f>
        <v/>
      </c>
      <c r="AF1086" s="27">
        <f>IF(ISNUMBER($S1086),COUNTIFS($A$14:$A$1213,$A1086,$S$14:$S$1213,"&gt;"&amp;$S1086)+(COUNTIFS($A$14:$A$1213,$A1086,$S$14:$S$1213,"="&amp;$S1086)+1)/2,"")</f>
        <v/>
      </c>
      <c r="AG1086" s="27">
        <f>IF(ISNUMBER($T1086),COUNTIFS($A$14:$A$1213,$A1086,$T$14:$T$1213,"&gt;"&amp;$T1086)+(COUNTIFS($A$14:$A$1213,$A1086,$T$14:$T$1213,"="&amp;$T1086)+1)/2,"")</f>
        <v/>
      </c>
      <c r="AH1086" s="27">
        <f>IF(COUNT($AC1086:$AG1086)&lt;2,"",IF(MAX($AC1086:$AG1086)=MIN($AC1086:$AG1086),0,1))</f>
        <v/>
      </c>
      <c r="AI1086" s="27">
        <f>IF($A1086="","",IF(COUNTIF($A$14:$A1086,$A1086)=1,COUNTIF($AI$13:AI1085,"&gt;0")+1,""))</f>
        <v/>
      </c>
      <c r="AO1086" s="27">
        <f>IF($A1086="","",IF(AND(COUNTIFS($A$14:$A$1213,$A1086,$F$14:$F$1213,"&gt;=0")=2,IFERROR(INDEX($M$14:$M$313,MATCH($A1086,$H$14:$H$313,0)),"Yes")&lt;&gt;"Yes"),1,0))</f>
        <v/>
      </c>
    </row>
    <row r="1087">
      <c r="A1087" s="19">
        <f>IF('Enter messages'!A1087="","",'Enter messages'!A1087)</f>
        <v/>
      </c>
      <c r="B1087" s="20">
        <f>IF('Enter messages'!B1087="","",'Enter messages'!B1087)</f>
        <v/>
      </c>
      <c r="C1087" s="21">
        <f>IFERROR(AVERAGE(P1087:T1087),"")</f>
        <v/>
      </c>
      <c r="D1087" s="29" t="n"/>
      <c r="E1087" s="29" t="n"/>
      <c r="F1087" s="30">
        <f>IF(AND(ISNUMBER($D1087),ISNUMBER($E1087),$E1087&gt;0,$D1087&lt;=$E1087),$D1087/$E1087,"")</f>
        <v/>
      </c>
      <c r="P1087" s="26" t="n"/>
      <c r="Q1087" s="26" t="n"/>
      <c r="R1087" s="26" t="n"/>
      <c r="S1087" s="26" t="n"/>
      <c r="T1087" s="26" t="n"/>
      <c r="V1087" s="27">
        <f>IF(ISNUMBER($C1087),COUNTIFS($A$14:$A$1213,$A1087,$C$14:$C$1213,"&gt;"&amp;$C1087)+(COUNTIFS($A$14:$A$1213,$A1087,$C$14:$C$1213,"="&amp;$C1087)+1)/2,"")</f>
        <v/>
      </c>
      <c r="W1087" s="27">
        <f>IF(ISNUMBER($F1087),COUNTIFS($A$14:$A$1213,$A1087,$F$14:$F$1213,"&gt;"&amp;$F1087)+(COUNTIFS($A$14:$A$1213,$A1087,$F$14:$F$1213,"="&amp;$F1087)+1)/2,"")</f>
        <v/>
      </c>
      <c r="X1087" s="27">
        <f>IF(OR(NOT(ISNUMBER($V1087)),$AO1087=1),"",$V1087-(COUNTIFS($A$14:$A$1213,$A1087,$C$14:$C$1213,"&gt;=0")+1)/2)</f>
        <v/>
      </c>
      <c r="Y1087" s="27">
        <f>IF(OR(NOT(ISNUMBER($W1087)),$AO1087=1),"",$W1087-(COUNTIFS($A$14:$A$1213,$A1087,$F$14:$F$1213,"&gt;=0")+1)/2)</f>
        <v/>
      </c>
      <c r="Z1087" s="27">
        <f>IF(ISNUMBER($V1087),$A1087&amp;"|"&amp;$V1087,"")</f>
        <v/>
      </c>
      <c r="AA1087" s="27">
        <f>IF(ISNUMBER($W1087),$A1087&amp;"|"&amp;$W1087,"")</f>
        <v/>
      </c>
      <c r="AB1087" s="27">
        <f>IF(ISNUMBER($F1087),$A1087&amp;"|"&amp;$F1087,"")</f>
        <v/>
      </c>
      <c r="AC1087" s="27">
        <f>IF(ISNUMBER($P1087),COUNTIFS($A$14:$A$1213,$A1087,$P$14:$P$1213,"&gt;"&amp;$P1087)+(COUNTIFS($A$14:$A$1213,$A1087,$P$14:$P$1213,"="&amp;$P1087)+1)/2,"")</f>
        <v/>
      </c>
      <c r="AD1087" s="27">
        <f>IF(ISNUMBER($Q1087),COUNTIFS($A$14:$A$1213,$A1087,$Q$14:$Q$1213,"&gt;"&amp;$Q1087)+(COUNTIFS($A$14:$A$1213,$A1087,$Q$14:$Q$1213,"="&amp;$Q1087)+1)/2,"")</f>
        <v/>
      </c>
      <c r="AE1087" s="27">
        <f>IF(ISNUMBER($R1087),COUNTIFS($A$14:$A$1213,$A1087,$R$14:$R$1213,"&gt;"&amp;$R1087)+(COUNTIFS($A$14:$A$1213,$A1087,$R$14:$R$1213,"="&amp;$R1087)+1)/2,"")</f>
        <v/>
      </c>
      <c r="AF1087" s="27">
        <f>IF(ISNUMBER($S1087),COUNTIFS($A$14:$A$1213,$A1087,$S$14:$S$1213,"&gt;"&amp;$S1087)+(COUNTIFS($A$14:$A$1213,$A1087,$S$14:$S$1213,"="&amp;$S1087)+1)/2,"")</f>
        <v/>
      </c>
      <c r="AG1087" s="27">
        <f>IF(ISNUMBER($T1087),COUNTIFS($A$14:$A$1213,$A1087,$T$14:$T$1213,"&gt;"&amp;$T1087)+(COUNTIFS($A$14:$A$1213,$A1087,$T$14:$T$1213,"="&amp;$T1087)+1)/2,"")</f>
        <v/>
      </c>
      <c r="AH1087" s="27">
        <f>IF(COUNT($AC1087:$AG1087)&lt;2,"",IF(MAX($AC1087:$AG1087)=MIN($AC1087:$AG1087),0,1))</f>
        <v/>
      </c>
      <c r="AI1087" s="27">
        <f>IF($A1087="","",IF(COUNTIF($A$14:$A1087,$A1087)=1,COUNTIF($AI$13:AI1086,"&gt;0")+1,""))</f>
        <v/>
      </c>
      <c r="AO1087" s="27">
        <f>IF($A1087="","",IF(AND(COUNTIFS($A$14:$A$1213,$A1087,$F$14:$F$1213,"&gt;=0")=2,IFERROR(INDEX($M$14:$M$313,MATCH($A1087,$H$14:$H$313,0)),"Yes")&lt;&gt;"Yes"),1,0))</f>
        <v/>
      </c>
    </row>
    <row r="1088">
      <c r="A1088" s="19">
        <f>IF('Enter messages'!A1088="","",'Enter messages'!A1088)</f>
        <v/>
      </c>
      <c r="B1088" s="20">
        <f>IF('Enter messages'!B1088="","",'Enter messages'!B1088)</f>
        <v/>
      </c>
      <c r="C1088" s="21">
        <f>IFERROR(AVERAGE(P1088:T1088),"")</f>
        <v/>
      </c>
      <c r="D1088" s="29" t="n"/>
      <c r="E1088" s="29" t="n"/>
      <c r="F1088" s="30">
        <f>IF(AND(ISNUMBER($D1088),ISNUMBER($E1088),$E1088&gt;0,$D1088&lt;=$E1088),$D1088/$E1088,"")</f>
        <v/>
      </c>
      <c r="P1088" s="26" t="n"/>
      <c r="Q1088" s="26" t="n"/>
      <c r="R1088" s="26" t="n"/>
      <c r="S1088" s="26" t="n"/>
      <c r="T1088" s="26" t="n"/>
      <c r="V1088" s="27">
        <f>IF(ISNUMBER($C1088),COUNTIFS($A$14:$A$1213,$A1088,$C$14:$C$1213,"&gt;"&amp;$C1088)+(COUNTIFS($A$14:$A$1213,$A1088,$C$14:$C$1213,"="&amp;$C1088)+1)/2,"")</f>
        <v/>
      </c>
      <c r="W1088" s="27">
        <f>IF(ISNUMBER($F1088),COUNTIFS($A$14:$A$1213,$A1088,$F$14:$F$1213,"&gt;"&amp;$F1088)+(COUNTIFS($A$14:$A$1213,$A1088,$F$14:$F$1213,"="&amp;$F1088)+1)/2,"")</f>
        <v/>
      </c>
      <c r="X1088" s="27">
        <f>IF(OR(NOT(ISNUMBER($V1088)),$AO1088=1),"",$V1088-(COUNTIFS($A$14:$A$1213,$A1088,$C$14:$C$1213,"&gt;=0")+1)/2)</f>
        <v/>
      </c>
      <c r="Y1088" s="27">
        <f>IF(OR(NOT(ISNUMBER($W1088)),$AO1088=1),"",$W1088-(COUNTIFS($A$14:$A$1213,$A1088,$F$14:$F$1213,"&gt;=0")+1)/2)</f>
        <v/>
      </c>
      <c r="Z1088" s="27">
        <f>IF(ISNUMBER($V1088),$A1088&amp;"|"&amp;$V1088,"")</f>
        <v/>
      </c>
      <c r="AA1088" s="27">
        <f>IF(ISNUMBER($W1088),$A1088&amp;"|"&amp;$W1088,"")</f>
        <v/>
      </c>
      <c r="AB1088" s="27">
        <f>IF(ISNUMBER($F1088),$A1088&amp;"|"&amp;$F1088,"")</f>
        <v/>
      </c>
      <c r="AC1088" s="27">
        <f>IF(ISNUMBER($P1088),COUNTIFS($A$14:$A$1213,$A1088,$P$14:$P$1213,"&gt;"&amp;$P1088)+(COUNTIFS($A$14:$A$1213,$A1088,$P$14:$P$1213,"="&amp;$P1088)+1)/2,"")</f>
        <v/>
      </c>
      <c r="AD1088" s="27">
        <f>IF(ISNUMBER($Q1088),COUNTIFS($A$14:$A$1213,$A1088,$Q$14:$Q$1213,"&gt;"&amp;$Q1088)+(COUNTIFS($A$14:$A$1213,$A1088,$Q$14:$Q$1213,"="&amp;$Q1088)+1)/2,"")</f>
        <v/>
      </c>
      <c r="AE1088" s="27">
        <f>IF(ISNUMBER($R1088),COUNTIFS($A$14:$A$1213,$A1088,$R$14:$R$1213,"&gt;"&amp;$R1088)+(COUNTIFS($A$14:$A$1213,$A1088,$R$14:$R$1213,"="&amp;$R1088)+1)/2,"")</f>
        <v/>
      </c>
      <c r="AF1088" s="27">
        <f>IF(ISNUMBER($S1088),COUNTIFS($A$14:$A$1213,$A1088,$S$14:$S$1213,"&gt;"&amp;$S1088)+(COUNTIFS($A$14:$A$1213,$A1088,$S$14:$S$1213,"="&amp;$S1088)+1)/2,"")</f>
        <v/>
      </c>
      <c r="AG1088" s="27">
        <f>IF(ISNUMBER($T1088),COUNTIFS($A$14:$A$1213,$A1088,$T$14:$T$1213,"&gt;"&amp;$T1088)+(COUNTIFS($A$14:$A$1213,$A1088,$T$14:$T$1213,"="&amp;$T1088)+1)/2,"")</f>
        <v/>
      </c>
      <c r="AH1088" s="27">
        <f>IF(COUNT($AC1088:$AG1088)&lt;2,"",IF(MAX($AC1088:$AG1088)=MIN($AC1088:$AG1088),0,1))</f>
        <v/>
      </c>
      <c r="AI1088" s="27">
        <f>IF($A1088="","",IF(COUNTIF($A$14:$A1088,$A1088)=1,COUNTIF($AI$13:AI1087,"&gt;0")+1,""))</f>
        <v/>
      </c>
      <c r="AO1088" s="27">
        <f>IF($A1088="","",IF(AND(COUNTIFS($A$14:$A$1213,$A1088,$F$14:$F$1213,"&gt;=0")=2,IFERROR(INDEX($M$14:$M$313,MATCH($A1088,$H$14:$H$313,0)),"Yes")&lt;&gt;"Yes"),1,0))</f>
        <v/>
      </c>
    </row>
    <row r="1089">
      <c r="A1089" s="19">
        <f>IF('Enter messages'!A1089="","",'Enter messages'!A1089)</f>
        <v/>
      </c>
      <c r="B1089" s="20">
        <f>IF('Enter messages'!B1089="","",'Enter messages'!B1089)</f>
        <v/>
      </c>
      <c r="C1089" s="21">
        <f>IFERROR(AVERAGE(P1089:T1089),"")</f>
        <v/>
      </c>
      <c r="D1089" s="29" t="n"/>
      <c r="E1089" s="29" t="n"/>
      <c r="F1089" s="30">
        <f>IF(AND(ISNUMBER($D1089),ISNUMBER($E1089),$E1089&gt;0,$D1089&lt;=$E1089),$D1089/$E1089,"")</f>
        <v/>
      </c>
      <c r="P1089" s="26" t="n"/>
      <c r="Q1089" s="26" t="n"/>
      <c r="R1089" s="26" t="n"/>
      <c r="S1089" s="26" t="n"/>
      <c r="T1089" s="26" t="n"/>
      <c r="V1089" s="27">
        <f>IF(ISNUMBER($C1089),COUNTIFS($A$14:$A$1213,$A1089,$C$14:$C$1213,"&gt;"&amp;$C1089)+(COUNTIFS($A$14:$A$1213,$A1089,$C$14:$C$1213,"="&amp;$C1089)+1)/2,"")</f>
        <v/>
      </c>
      <c r="W1089" s="27">
        <f>IF(ISNUMBER($F1089),COUNTIFS($A$14:$A$1213,$A1089,$F$14:$F$1213,"&gt;"&amp;$F1089)+(COUNTIFS($A$14:$A$1213,$A1089,$F$14:$F$1213,"="&amp;$F1089)+1)/2,"")</f>
        <v/>
      </c>
      <c r="X1089" s="27">
        <f>IF(OR(NOT(ISNUMBER($V1089)),$AO1089=1),"",$V1089-(COUNTIFS($A$14:$A$1213,$A1089,$C$14:$C$1213,"&gt;=0")+1)/2)</f>
        <v/>
      </c>
      <c r="Y1089" s="27">
        <f>IF(OR(NOT(ISNUMBER($W1089)),$AO1089=1),"",$W1089-(COUNTIFS($A$14:$A$1213,$A1089,$F$14:$F$1213,"&gt;=0")+1)/2)</f>
        <v/>
      </c>
      <c r="Z1089" s="27">
        <f>IF(ISNUMBER($V1089),$A1089&amp;"|"&amp;$V1089,"")</f>
        <v/>
      </c>
      <c r="AA1089" s="27">
        <f>IF(ISNUMBER($W1089),$A1089&amp;"|"&amp;$W1089,"")</f>
        <v/>
      </c>
      <c r="AB1089" s="27">
        <f>IF(ISNUMBER($F1089),$A1089&amp;"|"&amp;$F1089,"")</f>
        <v/>
      </c>
      <c r="AC1089" s="27">
        <f>IF(ISNUMBER($P1089),COUNTIFS($A$14:$A$1213,$A1089,$P$14:$P$1213,"&gt;"&amp;$P1089)+(COUNTIFS($A$14:$A$1213,$A1089,$P$14:$P$1213,"="&amp;$P1089)+1)/2,"")</f>
        <v/>
      </c>
      <c r="AD1089" s="27">
        <f>IF(ISNUMBER($Q1089),COUNTIFS($A$14:$A$1213,$A1089,$Q$14:$Q$1213,"&gt;"&amp;$Q1089)+(COUNTIFS($A$14:$A$1213,$A1089,$Q$14:$Q$1213,"="&amp;$Q1089)+1)/2,"")</f>
        <v/>
      </c>
      <c r="AE1089" s="27">
        <f>IF(ISNUMBER($R1089),COUNTIFS($A$14:$A$1213,$A1089,$R$14:$R$1213,"&gt;"&amp;$R1089)+(COUNTIFS($A$14:$A$1213,$A1089,$R$14:$R$1213,"="&amp;$R1089)+1)/2,"")</f>
        <v/>
      </c>
      <c r="AF1089" s="27">
        <f>IF(ISNUMBER($S1089),COUNTIFS($A$14:$A$1213,$A1089,$S$14:$S$1213,"&gt;"&amp;$S1089)+(COUNTIFS($A$14:$A$1213,$A1089,$S$14:$S$1213,"="&amp;$S1089)+1)/2,"")</f>
        <v/>
      </c>
      <c r="AG1089" s="27">
        <f>IF(ISNUMBER($T1089),COUNTIFS($A$14:$A$1213,$A1089,$T$14:$T$1213,"&gt;"&amp;$T1089)+(COUNTIFS($A$14:$A$1213,$A1089,$T$14:$T$1213,"="&amp;$T1089)+1)/2,"")</f>
        <v/>
      </c>
      <c r="AH1089" s="27">
        <f>IF(COUNT($AC1089:$AG1089)&lt;2,"",IF(MAX($AC1089:$AG1089)=MIN($AC1089:$AG1089),0,1))</f>
        <v/>
      </c>
      <c r="AI1089" s="27">
        <f>IF($A1089="","",IF(COUNTIF($A$14:$A1089,$A1089)=1,COUNTIF($AI$13:AI1088,"&gt;0")+1,""))</f>
        <v/>
      </c>
      <c r="AO1089" s="27">
        <f>IF($A1089="","",IF(AND(COUNTIFS($A$14:$A$1213,$A1089,$F$14:$F$1213,"&gt;=0")=2,IFERROR(INDEX($M$14:$M$313,MATCH($A1089,$H$14:$H$313,0)),"Yes")&lt;&gt;"Yes"),1,0))</f>
        <v/>
      </c>
    </row>
    <row r="1090">
      <c r="A1090" s="19">
        <f>IF('Enter messages'!A1090="","",'Enter messages'!A1090)</f>
        <v/>
      </c>
      <c r="B1090" s="20">
        <f>IF('Enter messages'!B1090="","",'Enter messages'!B1090)</f>
        <v/>
      </c>
      <c r="C1090" s="21">
        <f>IFERROR(AVERAGE(P1090:T1090),"")</f>
        <v/>
      </c>
      <c r="D1090" s="29" t="n"/>
      <c r="E1090" s="29" t="n"/>
      <c r="F1090" s="30">
        <f>IF(AND(ISNUMBER($D1090),ISNUMBER($E1090),$E1090&gt;0,$D1090&lt;=$E1090),$D1090/$E1090,"")</f>
        <v/>
      </c>
      <c r="P1090" s="26" t="n"/>
      <c r="Q1090" s="26" t="n"/>
      <c r="R1090" s="26" t="n"/>
      <c r="S1090" s="26" t="n"/>
      <c r="T1090" s="26" t="n"/>
      <c r="V1090" s="27">
        <f>IF(ISNUMBER($C1090),COUNTIFS($A$14:$A$1213,$A1090,$C$14:$C$1213,"&gt;"&amp;$C1090)+(COUNTIFS($A$14:$A$1213,$A1090,$C$14:$C$1213,"="&amp;$C1090)+1)/2,"")</f>
        <v/>
      </c>
      <c r="W1090" s="27">
        <f>IF(ISNUMBER($F1090),COUNTIFS($A$14:$A$1213,$A1090,$F$14:$F$1213,"&gt;"&amp;$F1090)+(COUNTIFS($A$14:$A$1213,$A1090,$F$14:$F$1213,"="&amp;$F1090)+1)/2,"")</f>
        <v/>
      </c>
      <c r="X1090" s="27">
        <f>IF(OR(NOT(ISNUMBER($V1090)),$AO1090=1),"",$V1090-(COUNTIFS($A$14:$A$1213,$A1090,$C$14:$C$1213,"&gt;=0")+1)/2)</f>
        <v/>
      </c>
      <c r="Y1090" s="27">
        <f>IF(OR(NOT(ISNUMBER($W1090)),$AO1090=1),"",$W1090-(COUNTIFS($A$14:$A$1213,$A1090,$F$14:$F$1213,"&gt;=0")+1)/2)</f>
        <v/>
      </c>
      <c r="Z1090" s="27">
        <f>IF(ISNUMBER($V1090),$A1090&amp;"|"&amp;$V1090,"")</f>
        <v/>
      </c>
      <c r="AA1090" s="27">
        <f>IF(ISNUMBER($W1090),$A1090&amp;"|"&amp;$W1090,"")</f>
        <v/>
      </c>
      <c r="AB1090" s="27">
        <f>IF(ISNUMBER($F1090),$A1090&amp;"|"&amp;$F1090,"")</f>
        <v/>
      </c>
      <c r="AC1090" s="27">
        <f>IF(ISNUMBER($P1090),COUNTIFS($A$14:$A$1213,$A1090,$P$14:$P$1213,"&gt;"&amp;$P1090)+(COUNTIFS($A$14:$A$1213,$A1090,$P$14:$P$1213,"="&amp;$P1090)+1)/2,"")</f>
        <v/>
      </c>
      <c r="AD1090" s="27">
        <f>IF(ISNUMBER($Q1090),COUNTIFS($A$14:$A$1213,$A1090,$Q$14:$Q$1213,"&gt;"&amp;$Q1090)+(COUNTIFS($A$14:$A$1213,$A1090,$Q$14:$Q$1213,"="&amp;$Q1090)+1)/2,"")</f>
        <v/>
      </c>
      <c r="AE1090" s="27">
        <f>IF(ISNUMBER($R1090),COUNTIFS($A$14:$A$1213,$A1090,$R$14:$R$1213,"&gt;"&amp;$R1090)+(COUNTIFS($A$14:$A$1213,$A1090,$R$14:$R$1213,"="&amp;$R1090)+1)/2,"")</f>
        <v/>
      </c>
      <c r="AF1090" s="27">
        <f>IF(ISNUMBER($S1090),COUNTIFS($A$14:$A$1213,$A1090,$S$14:$S$1213,"&gt;"&amp;$S1090)+(COUNTIFS($A$14:$A$1213,$A1090,$S$14:$S$1213,"="&amp;$S1090)+1)/2,"")</f>
        <v/>
      </c>
      <c r="AG1090" s="27">
        <f>IF(ISNUMBER($T1090),COUNTIFS($A$14:$A$1213,$A1090,$T$14:$T$1213,"&gt;"&amp;$T1090)+(COUNTIFS($A$14:$A$1213,$A1090,$T$14:$T$1213,"="&amp;$T1090)+1)/2,"")</f>
        <v/>
      </c>
      <c r="AH1090" s="27">
        <f>IF(COUNT($AC1090:$AG1090)&lt;2,"",IF(MAX($AC1090:$AG1090)=MIN($AC1090:$AG1090),0,1))</f>
        <v/>
      </c>
      <c r="AI1090" s="27">
        <f>IF($A1090="","",IF(COUNTIF($A$14:$A1090,$A1090)=1,COUNTIF($AI$13:AI1089,"&gt;0")+1,""))</f>
        <v/>
      </c>
      <c r="AO1090" s="27">
        <f>IF($A1090="","",IF(AND(COUNTIFS($A$14:$A$1213,$A1090,$F$14:$F$1213,"&gt;=0")=2,IFERROR(INDEX($M$14:$M$313,MATCH($A1090,$H$14:$H$313,0)),"Yes")&lt;&gt;"Yes"),1,0))</f>
        <v/>
      </c>
    </row>
    <row r="1091">
      <c r="A1091" s="19">
        <f>IF('Enter messages'!A1091="","",'Enter messages'!A1091)</f>
        <v/>
      </c>
      <c r="B1091" s="20">
        <f>IF('Enter messages'!B1091="","",'Enter messages'!B1091)</f>
        <v/>
      </c>
      <c r="C1091" s="21">
        <f>IFERROR(AVERAGE(P1091:T1091),"")</f>
        <v/>
      </c>
      <c r="D1091" s="29" t="n"/>
      <c r="E1091" s="29" t="n"/>
      <c r="F1091" s="30">
        <f>IF(AND(ISNUMBER($D1091),ISNUMBER($E1091),$E1091&gt;0,$D1091&lt;=$E1091),$D1091/$E1091,"")</f>
        <v/>
      </c>
      <c r="P1091" s="26" t="n"/>
      <c r="Q1091" s="26" t="n"/>
      <c r="R1091" s="26" t="n"/>
      <c r="S1091" s="26" t="n"/>
      <c r="T1091" s="26" t="n"/>
      <c r="V1091" s="27">
        <f>IF(ISNUMBER($C1091),COUNTIFS($A$14:$A$1213,$A1091,$C$14:$C$1213,"&gt;"&amp;$C1091)+(COUNTIFS($A$14:$A$1213,$A1091,$C$14:$C$1213,"="&amp;$C1091)+1)/2,"")</f>
        <v/>
      </c>
      <c r="W1091" s="27">
        <f>IF(ISNUMBER($F1091),COUNTIFS($A$14:$A$1213,$A1091,$F$14:$F$1213,"&gt;"&amp;$F1091)+(COUNTIFS($A$14:$A$1213,$A1091,$F$14:$F$1213,"="&amp;$F1091)+1)/2,"")</f>
        <v/>
      </c>
      <c r="X1091" s="27">
        <f>IF(OR(NOT(ISNUMBER($V1091)),$AO1091=1),"",$V1091-(COUNTIFS($A$14:$A$1213,$A1091,$C$14:$C$1213,"&gt;=0")+1)/2)</f>
        <v/>
      </c>
      <c r="Y1091" s="27">
        <f>IF(OR(NOT(ISNUMBER($W1091)),$AO1091=1),"",$W1091-(COUNTIFS($A$14:$A$1213,$A1091,$F$14:$F$1213,"&gt;=0")+1)/2)</f>
        <v/>
      </c>
      <c r="Z1091" s="27">
        <f>IF(ISNUMBER($V1091),$A1091&amp;"|"&amp;$V1091,"")</f>
        <v/>
      </c>
      <c r="AA1091" s="27">
        <f>IF(ISNUMBER($W1091),$A1091&amp;"|"&amp;$W1091,"")</f>
        <v/>
      </c>
      <c r="AB1091" s="27">
        <f>IF(ISNUMBER($F1091),$A1091&amp;"|"&amp;$F1091,"")</f>
        <v/>
      </c>
      <c r="AC1091" s="27">
        <f>IF(ISNUMBER($P1091),COUNTIFS($A$14:$A$1213,$A1091,$P$14:$P$1213,"&gt;"&amp;$P1091)+(COUNTIFS($A$14:$A$1213,$A1091,$P$14:$P$1213,"="&amp;$P1091)+1)/2,"")</f>
        <v/>
      </c>
      <c r="AD1091" s="27">
        <f>IF(ISNUMBER($Q1091),COUNTIFS($A$14:$A$1213,$A1091,$Q$14:$Q$1213,"&gt;"&amp;$Q1091)+(COUNTIFS($A$14:$A$1213,$A1091,$Q$14:$Q$1213,"="&amp;$Q1091)+1)/2,"")</f>
        <v/>
      </c>
      <c r="AE1091" s="27">
        <f>IF(ISNUMBER($R1091),COUNTIFS($A$14:$A$1213,$A1091,$R$14:$R$1213,"&gt;"&amp;$R1091)+(COUNTIFS($A$14:$A$1213,$A1091,$R$14:$R$1213,"="&amp;$R1091)+1)/2,"")</f>
        <v/>
      </c>
      <c r="AF1091" s="27">
        <f>IF(ISNUMBER($S1091),COUNTIFS($A$14:$A$1213,$A1091,$S$14:$S$1213,"&gt;"&amp;$S1091)+(COUNTIFS($A$14:$A$1213,$A1091,$S$14:$S$1213,"="&amp;$S1091)+1)/2,"")</f>
        <v/>
      </c>
      <c r="AG1091" s="27">
        <f>IF(ISNUMBER($T1091),COUNTIFS($A$14:$A$1213,$A1091,$T$14:$T$1213,"&gt;"&amp;$T1091)+(COUNTIFS($A$14:$A$1213,$A1091,$T$14:$T$1213,"="&amp;$T1091)+1)/2,"")</f>
        <v/>
      </c>
      <c r="AH1091" s="27">
        <f>IF(COUNT($AC1091:$AG1091)&lt;2,"",IF(MAX($AC1091:$AG1091)=MIN($AC1091:$AG1091),0,1))</f>
        <v/>
      </c>
      <c r="AI1091" s="27">
        <f>IF($A1091="","",IF(COUNTIF($A$14:$A1091,$A1091)=1,COUNTIF($AI$13:AI1090,"&gt;0")+1,""))</f>
        <v/>
      </c>
      <c r="AO1091" s="27">
        <f>IF($A1091="","",IF(AND(COUNTIFS($A$14:$A$1213,$A1091,$F$14:$F$1213,"&gt;=0")=2,IFERROR(INDEX($M$14:$M$313,MATCH($A1091,$H$14:$H$313,0)),"Yes")&lt;&gt;"Yes"),1,0))</f>
        <v/>
      </c>
    </row>
    <row r="1092">
      <c r="A1092" s="19">
        <f>IF('Enter messages'!A1092="","",'Enter messages'!A1092)</f>
        <v/>
      </c>
      <c r="B1092" s="20">
        <f>IF('Enter messages'!B1092="","",'Enter messages'!B1092)</f>
        <v/>
      </c>
      <c r="C1092" s="21">
        <f>IFERROR(AVERAGE(P1092:T1092),"")</f>
        <v/>
      </c>
      <c r="D1092" s="29" t="n"/>
      <c r="E1092" s="29" t="n"/>
      <c r="F1092" s="30">
        <f>IF(AND(ISNUMBER($D1092),ISNUMBER($E1092),$E1092&gt;0,$D1092&lt;=$E1092),$D1092/$E1092,"")</f>
        <v/>
      </c>
      <c r="P1092" s="26" t="n"/>
      <c r="Q1092" s="26" t="n"/>
      <c r="R1092" s="26" t="n"/>
      <c r="S1092" s="26" t="n"/>
      <c r="T1092" s="26" t="n"/>
      <c r="V1092" s="27">
        <f>IF(ISNUMBER($C1092),COUNTIFS($A$14:$A$1213,$A1092,$C$14:$C$1213,"&gt;"&amp;$C1092)+(COUNTIFS($A$14:$A$1213,$A1092,$C$14:$C$1213,"="&amp;$C1092)+1)/2,"")</f>
        <v/>
      </c>
      <c r="W1092" s="27">
        <f>IF(ISNUMBER($F1092),COUNTIFS($A$14:$A$1213,$A1092,$F$14:$F$1213,"&gt;"&amp;$F1092)+(COUNTIFS($A$14:$A$1213,$A1092,$F$14:$F$1213,"="&amp;$F1092)+1)/2,"")</f>
        <v/>
      </c>
      <c r="X1092" s="27">
        <f>IF(OR(NOT(ISNUMBER($V1092)),$AO1092=1),"",$V1092-(COUNTIFS($A$14:$A$1213,$A1092,$C$14:$C$1213,"&gt;=0")+1)/2)</f>
        <v/>
      </c>
      <c r="Y1092" s="27">
        <f>IF(OR(NOT(ISNUMBER($W1092)),$AO1092=1),"",$W1092-(COUNTIFS($A$14:$A$1213,$A1092,$F$14:$F$1213,"&gt;=0")+1)/2)</f>
        <v/>
      </c>
      <c r="Z1092" s="27">
        <f>IF(ISNUMBER($V1092),$A1092&amp;"|"&amp;$V1092,"")</f>
        <v/>
      </c>
      <c r="AA1092" s="27">
        <f>IF(ISNUMBER($W1092),$A1092&amp;"|"&amp;$W1092,"")</f>
        <v/>
      </c>
      <c r="AB1092" s="27">
        <f>IF(ISNUMBER($F1092),$A1092&amp;"|"&amp;$F1092,"")</f>
        <v/>
      </c>
      <c r="AC1092" s="27">
        <f>IF(ISNUMBER($P1092),COUNTIFS($A$14:$A$1213,$A1092,$P$14:$P$1213,"&gt;"&amp;$P1092)+(COUNTIFS($A$14:$A$1213,$A1092,$P$14:$P$1213,"="&amp;$P1092)+1)/2,"")</f>
        <v/>
      </c>
      <c r="AD1092" s="27">
        <f>IF(ISNUMBER($Q1092),COUNTIFS($A$14:$A$1213,$A1092,$Q$14:$Q$1213,"&gt;"&amp;$Q1092)+(COUNTIFS($A$14:$A$1213,$A1092,$Q$14:$Q$1213,"="&amp;$Q1092)+1)/2,"")</f>
        <v/>
      </c>
      <c r="AE1092" s="27">
        <f>IF(ISNUMBER($R1092),COUNTIFS($A$14:$A$1213,$A1092,$R$14:$R$1213,"&gt;"&amp;$R1092)+(COUNTIFS($A$14:$A$1213,$A1092,$R$14:$R$1213,"="&amp;$R1092)+1)/2,"")</f>
        <v/>
      </c>
      <c r="AF1092" s="27">
        <f>IF(ISNUMBER($S1092),COUNTIFS($A$14:$A$1213,$A1092,$S$14:$S$1213,"&gt;"&amp;$S1092)+(COUNTIFS($A$14:$A$1213,$A1092,$S$14:$S$1213,"="&amp;$S1092)+1)/2,"")</f>
        <v/>
      </c>
      <c r="AG1092" s="27">
        <f>IF(ISNUMBER($T1092),COUNTIFS($A$14:$A$1213,$A1092,$T$14:$T$1213,"&gt;"&amp;$T1092)+(COUNTIFS($A$14:$A$1213,$A1092,$T$14:$T$1213,"="&amp;$T1092)+1)/2,"")</f>
        <v/>
      </c>
      <c r="AH1092" s="27">
        <f>IF(COUNT($AC1092:$AG1092)&lt;2,"",IF(MAX($AC1092:$AG1092)=MIN($AC1092:$AG1092),0,1))</f>
        <v/>
      </c>
      <c r="AI1092" s="27">
        <f>IF($A1092="","",IF(COUNTIF($A$14:$A1092,$A1092)=1,COUNTIF($AI$13:AI1091,"&gt;0")+1,""))</f>
        <v/>
      </c>
      <c r="AO1092" s="27">
        <f>IF($A1092="","",IF(AND(COUNTIFS($A$14:$A$1213,$A1092,$F$14:$F$1213,"&gt;=0")=2,IFERROR(INDEX($M$14:$M$313,MATCH($A1092,$H$14:$H$313,0)),"Yes")&lt;&gt;"Yes"),1,0))</f>
        <v/>
      </c>
    </row>
    <row r="1093">
      <c r="A1093" s="19">
        <f>IF('Enter messages'!A1093="","",'Enter messages'!A1093)</f>
        <v/>
      </c>
      <c r="B1093" s="20">
        <f>IF('Enter messages'!B1093="","",'Enter messages'!B1093)</f>
        <v/>
      </c>
      <c r="C1093" s="21">
        <f>IFERROR(AVERAGE(P1093:T1093),"")</f>
        <v/>
      </c>
      <c r="D1093" s="29" t="n"/>
      <c r="E1093" s="29" t="n"/>
      <c r="F1093" s="30">
        <f>IF(AND(ISNUMBER($D1093),ISNUMBER($E1093),$E1093&gt;0,$D1093&lt;=$E1093),$D1093/$E1093,"")</f>
        <v/>
      </c>
      <c r="P1093" s="26" t="n"/>
      <c r="Q1093" s="26" t="n"/>
      <c r="R1093" s="26" t="n"/>
      <c r="S1093" s="26" t="n"/>
      <c r="T1093" s="26" t="n"/>
      <c r="V1093" s="27">
        <f>IF(ISNUMBER($C1093),COUNTIFS($A$14:$A$1213,$A1093,$C$14:$C$1213,"&gt;"&amp;$C1093)+(COUNTIFS($A$14:$A$1213,$A1093,$C$14:$C$1213,"="&amp;$C1093)+1)/2,"")</f>
        <v/>
      </c>
      <c r="W1093" s="27">
        <f>IF(ISNUMBER($F1093),COUNTIFS($A$14:$A$1213,$A1093,$F$14:$F$1213,"&gt;"&amp;$F1093)+(COUNTIFS($A$14:$A$1213,$A1093,$F$14:$F$1213,"="&amp;$F1093)+1)/2,"")</f>
        <v/>
      </c>
      <c r="X1093" s="27">
        <f>IF(OR(NOT(ISNUMBER($V1093)),$AO1093=1),"",$V1093-(COUNTIFS($A$14:$A$1213,$A1093,$C$14:$C$1213,"&gt;=0")+1)/2)</f>
        <v/>
      </c>
      <c r="Y1093" s="27">
        <f>IF(OR(NOT(ISNUMBER($W1093)),$AO1093=1),"",$W1093-(COUNTIFS($A$14:$A$1213,$A1093,$F$14:$F$1213,"&gt;=0")+1)/2)</f>
        <v/>
      </c>
      <c r="Z1093" s="27">
        <f>IF(ISNUMBER($V1093),$A1093&amp;"|"&amp;$V1093,"")</f>
        <v/>
      </c>
      <c r="AA1093" s="27">
        <f>IF(ISNUMBER($W1093),$A1093&amp;"|"&amp;$W1093,"")</f>
        <v/>
      </c>
      <c r="AB1093" s="27">
        <f>IF(ISNUMBER($F1093),$A1093&amp;"|"&amp;$F1093,"")</f>
        <v/>
      </c>
      <c r="AC1093" s="27">
        <f>IF(ISNUMBER($P1093),COUNTIFS($A$14:$A$1213,$A1093,$P$14:$P$1213,"&gt;"&amp;$P1093)+(COUNTIFS($A$14:$A$1213,$A1093,$P$14:$P$1213,"="&amp;$P1093)+1)/2,"")</f>
        <v/>
      </c>
      <c r="AD1093" s="27">
        <f>IF(ISNUMBER($Q1093),COUNTIFS($A$14:$A$1213,$A1093,$Q$14:$Q$1213,"&gt;"&amp;$Q1093)+(COUNTIFS($A$14:$A$1213,$A1093,$Q$14:$Q$1213,"="&amp;$Q1093)+1)/2,"")</f>
        <v/>
      </c>
      <c r="AE1093" s="27">
        <f>IF(ISNUMBER($R1093),COUNTIFS($A$14:$A$1213,$A1093,$R$14:$R$1213,"&gt;"&amp;$R1093)+(COUNTIFS($A$14:$A$1213,$A1093,$R$14:$R$1213,"="&amp;$R1093)+1)/2,"")</f>
        <v/>
      </c>
      <c r="AF1093" s="27">
        <f>IF(ISNUMBER($S1093),COUNTIFS($A$14:$A$1213,$A1093,$S$14:$S$1213,"&gt;"&amp;$S1093)+(COUNTIFS($A$14:$A$1213,$A1093,$S$14:$S$1213,"="&amp;$S1093)+1)/2,"")</f>
        <v/>
      </c>
      <c r="AG1093" s="27">
        <f>IF(ISNUMBER($T1093),COUNTIFS($A$14:$A$1213,$A1093,$T$14:$T$1213,"&gt;"&amp;$T1093)+(COUNTIFS($A$14:$A$1213,$A1093,$T$14:$T$1213,"="&amp;$T1093)+1)/2,"")</f>
        <v/>
      </c>
      <c r="AH1093" s="27">
        <f>IF(COUNT($AC1093:$AG1093)&lt;2,"",IF(MAX($AC1093:$AG1093)=MIN($AC1093:$AG1093),0,1))</f>
        <v/>
      </c>
      <c r="AI1093" s="27">
        <f>IF($A1093="","",IF(COUNTIF($A$14:$A1093,$A1093)=1,COUNTIF($AI$13:AI1092,"&gt;0")+1,""))</f>
        <v/>
      </c>
      <c r="AO1093" s="27">
        <f>IF($A1093="","",IF(AND(COUNTIFS($A$14:$A$1213,$A1093,$F$14:$F$1213,"&gt;=0")=2,IFERROR(INDEX($M$14:$M$313,MATCH($A1093,$H$14:$H$313,0)),"Yes")&lt;&gt;"Yes"),1,0))</f>
        <v/>
      </c>
    </row>
    <row r="1094">
      <c r="A1094" s="19">
        <f>IF('Enter messages'!A1094="","",'Enter messages'!A1094)</f>
        <v/>
      </c>
      <c r="B1094" s="20">
        <f>IF('Enter messages'!B1094="","",'Enter messages'!B1094)</f>
        <v/>
      </c>
      <c r="C1094" s="21">
        <f>IFERROR(AVERAGE(P1094:T1094),"")</f>
        <v/>
      </c>
      <c r="D1094" s="29" t="n"/>
      <c r="E1094" s="29" t="n"/>
      <c r="F1094" s="30">
        <f>IF(AND(ISNUMBER($D1094),ISNUMBER($E1094),$E1094&gt;0,$D1094&lt;=$E1094),$D1094/$E1094,"")</f>
        <v/>
      </c>
      <c r="P1094" s="26" t="n"/>
      <c r="Q1094" s="26" t="n"/>
      <c r="R1094" s="26" t="n"/>
      <c r="S1094" s="26" t="n"/>
      <c r="T1094" s="26" t="n"/>
      <c r="V1094" s="27">
        <f>IF(ISNUMBER($C1094),COUNTIFS($A$14:$A$1213,$A1094,$C$14:$C$1213,"&gt;"&amp;$C1094)+(COUNTIFS($A$14:$A$1213,$A1094,$C$14:$C$1213,"="&amp;$C1094)+1)/2,"")</f>
        <v/>
      </c>
      <c r="W1094" s="27">
        <f>IF(ISNUMBER($F1094),COUNTIFS($A$14:$A$1213,$A1094,$F$14:$F$1213,"&gt;"&amp;$F1094)+(COUNTIFS($A$14:$A$1213,$A1094,$F$14:$F$1213,"="&amp;$F1094)+1)/2,"")</f>
        <v/>
      </c>
      <c r="X1094" s="27">
        <f>IF(OR(NOT(ISNUMBER($V1094)),$AO1094=1),"",$V1094-(COUNTIFS($A$14:$A$1213,$A1094,$C$14:$C$1213,"&gt;=0")+1)/2)</f>
        <v/>
      </c>
      <c r="Y1094" s="27">
        <f>IF(OR(NOT(ISNUMBER($W1094)),$AO1094=1),"",$W1094-(COUNTIFS($A$14:$A$1213,$A1094,$F$14:$F$1213,"&gt;=0")+1)/2)</f>
        <v/>
      </c>
      <c r="Z1094" s="27">
        <f>IF(ISNUMBER($V1094),$A1094&amp;"|"&amp;$V1094,"")</f>
        <v/>
      </c>
      <c r="AA1094" s="27">
        <f>IF(ISNUMBER($W1094),$A1094&amp;"|"&amp;$W1094,"")</f>
        <v/>
      </c>
      <c r="AB1094" s="27">
        <f>IF(ISNUMBER($F1094),$A1094&amp;"|"&amp;$F1094,"")</f>
        <v/>
      </c>
      <c r="AC1094" s="27">
        <f>IF(ISNUMBER($P1094),COUNTIFS($A$14:$A$1213,$A1094,$P$14:$P$1213,"&gt;"&amp;$P1094)+(COUNTIFS($A$14:$A$1213,$A1094,$P$14:$P$1213,"="&amp;$P1094)+1)/2,"")</f>
        <v/>
      </c>
      <c r="AD1094" s="27">
        <f>IF(ISNUMBER($Q1094),COUNTIFS($A$14:$A$1213,$A1094,$Q$14:$Q$1213,"&gt;"&amp;$Q1094)+(COUNTIFS($A$14:$A$1213,$A1094,$Q$14:$Q$1213,"="&amp;$Q1094)+1)/2,"")</f>
        <v/>
      </c>
      <c r="AE1094" s="27">
        <f>IF(ISNUMBER($R1094),COUNTIFS($A$14:$A$1213,$A1094,$R$14:$R$1213,"&gt;"&amp;$R1094)+(COUNTIFS($A$14:$A$1213,$A1094,$R$14:$R$1213,"="&amp;$R1094)+1)/2,"")</f>
        <v/>
      </c>
      <c r="AF1094" s="27">
        <f>IF(ISNUMBER($S1094),COUNTIFS($A$14:$A$1213,$A1094,$S$14:$S$1213,"&gt;"&amp;$S1094)+(COUNTIFS($A$14:$A$1213,$A1094,$S$14:$S$1213,"="&amp;$S1094)+1)/2,"")</f>
        <v/>
      </c>
      <c r="AG1094" s="27">
        <f>IF(ISNUMBER($T1094),COUNTIFS($A$14:$A$1213,$A1094,$T$14:$T$1213,"&gt;"&amp;$T1094)+(COUNTIFS($A$14:$A$1213,$A1094,$T$14:$T$1213,"="&amp;$T1094)+1)/2,"")</f>
        <v/>
      </c>
      <c r="AH1094" s="27">
        <f>IF(COUNT($AC1094:$AG1094)&lt;2,"",IF(MAX($AC1094:$AG1094)=MIN($AC1094:$AG1094),0,1))</f>
        <v/>
      </c>
      <c r="AI1094" s="27">
        <f>IF($A1094="","",IF(COUNTIF($A$14:$A1094,$A1094)=1,COUNTIF($AI$13:AI1093,"&gt;0")+1,""))</f>
        <v/>
      </c>
      <c r="AO1094" s="27">
        <f>IF($A1094="","",IF(AND(COUNTIFS($A$14:$A$1213,$A1094,$F$14:$F$1213,"&gt;=0")=2,IFERROR(INDEX($M$14:$M$313,MATCH($A1094,$H$14:$H$313,0)),"Yes")&lt;&gt;"Yes"),1,0))</f>
        <v/>
      </c>
    </row>
    <row r="1095">
      <c r="A1095" s="19">
        <f>IF('Enter messages'!A1095="","",'Enter messages'!A1095)</f>
        <v/>
      </c>
      <c r="B1095" s="20">
        <f>IF('Enter messages'!B1095="","",'Enter messages'!B1095)</f>
        <v/>
      </c>
      <c r="C1095" s="21">
        <f>IFERROR(AVERAGE(P1095:T1095),"")</f>
        <v/>
      </c>
      <c r="D1095" s="29" t="n"/>
      <c r="E1095" s="29" t="n"/>
      <c r="F1095" s="30">
        <f>IF(AND(ISNUMBER($D1095),ISNUMBER($E1095),$E1095&gt;0,$D1095&lt;=$E1095),$D1095/$E1095,"")</f>
        <v/>
      </c>
      <c r="P1095" s="26" t="n"/>
      <c r="Q1095" s="26" t="n"/>
      <c r="R1095" s="26" t="n"/>
      <c r="S1095" s="26" t="n"/>
      <c r="T1095" s="26" t="n"/>
      <c r="V1095" s="27">
        <f>IF(ISNUMBER($C1095),COUNTIFS($A$14:$A$1213,$A1095,$C$14:$C$1213,"&gt;"&amp;$C1095)+(COUNTIFS($A$14:$A$1213,$A1095,$C$14:$C$1213,"="&amp;$C1095)+1)/2,"")</f>
        <v/>
      </c>
      <c r="W1095" s="27">
        <f>IF(ISNUMBER($F1095),COUNTIFS($A$14:$A$1213,$A1095,$F$14:$F$1213,"&gt;"&amp;$F1095)+(COUNTIFS($A$14:$A$1213,$A1095,$F$14:$F$1213,"="&amp;$F1095)+1)/2,"")</f>
        <v/>
      </c>
      <c r="X1095" s="27">
        <f>IF(OR(NOT(ISNUMBER($V1095)),$AO1095=1),"",$V1095-(COUNTIFS($A$14:$A$1213,$A1095,$C$14:$C$1213,"&gt;=0")+1)/2)</f>
        <v/>
      </c>
      <c r="Y1095" s="27">
        <f>IF(OR(NOT(ISNUMBER($W1095)),$AO1095=1),"",$W1095-(COUNTIFS($A$14:$A$1213,$A1095,$F$14:$F$1213,"&gt;=0")+1)/2)</f>
        <v/>
      </c>
      <c r="Z1095" s="27">
        <f>IF(ISNUMBER($V1095),$A1095&amp;"|"&amp;$V1095,"")</f>
        <v/>
      </c>
      <c r="AA1095" s="27">
        <f>IF(ISNUMBER($W1095),$A1095&amp;"|"&amp;$W1095,"")</f>
        <v/>
      </c>
      <c r="AB1095" s="27">
        <f>IF(ISNUMBER($F1095),$A1095&amp;"|"&amp;$F1095,"")</f>
        <v/>
      </c>
      <c r="AC1095" s="27">
        <f>IF(ISNUMBER($P1095),COUNTIFS($A$14:$A$1213,$A1095,$P$14:$P$1213,"&gt;"&amp;$P1095)+(COUNTIFS($A$14:$A$1213,$A1095,$P$14:$P$1213,"="&amp;$P1095)+1)/2,"")</f>
        <v/>
      </c>
      <c r="AD1095" s="27">
        <f>IF(ISNUMBER($Q1095),COUNTIFS($A$14:$A$1213,$A1095,$Q$14:$Q$1213,"&gt;"&amp;$Q1095)+(COUNTIFS($A$14:$A$1213,$A1095,$Q$14:$Q$1213,"="&amp;$Q1095)+1)/2,"")</f>
        <v/>
      </c>
      <c r="AE1095" s="27">
        <f>IF(ISNUMBER($R1095),COUNTIFS($A$14:$A$1213,$A1095,$R$14:$R$1213,"&gt;"&amp;$R1095)+(COUNTIFS($A$14:$A$1213,$A1095,$R$14:$R$1213,"="&amp;$R1095)+1)/2,"")</f>
        <v/>
      </c>
      <c r="AF1095" s="27">
        <f>IF(ISNUMBER($S1095),COUNTIFS($A$14:$A$1213,$A1095,$S$14:$S$1213,"&gt;"&amp;$S1095)+(COUNTIFS($A$14:$A$1213,$A1095,$S$14:$S$1213,"="&amp;$S1095)+1)/2,"")</f>
        <v/>
      </c>
      <c r="AG1095" s="27">
        <f>IF(ISNUMBER($T1095),COUNTIFS($A$14:$A$1213,$A1095,$T$14:$T$1213,"&gt;"&amp;$T1095)+(COUNTIFS($A$14:$A$1213,$A1095,$T$14:$T$1213,"="&amp;$T1095)+1)/2,"")</f>
        <v/>
      </c>
      <c r="AH1095" s="27">
        <f>IF(COUNT($AC1095:$AG1095)&lt;2,"",IF(MAX($AC1095:$AG1095)=MIN($AC1095:$AG1095),0,1))</f>
        <v/>
      </c>
      <c r="AI1095" s="27">
        <f>IF($A1095="","",IF(COUNTIF($A$14:$A1095,$A1095)=1,COUNTIF($AI$13:AI1094,"&gt;0")+1,""))</f>
        <v/>
      </c>
      <c r="AO1095" s="27">
        <f>IF($A1095="","",IF(AND(COUNTIFS($A$14:$A$1213,$A1095,$F$14:$F$1213,"&gt;=0")=2,IFERROR(INDEX($M$14:$M$313,MATCH($A1095,$H$14:$H$313,0)),"Yes")&lt;&gt;"Yes"),1,0))</f>
        <v/>
      </c>
    </row>
    <row r="1096">
      <c r="A1096" s="19">
        <f>IF('Enter messages'!A1096="","",'Enter messages'!A1096)</f>
        <v/>
      </c>
      <c r="B1096" s="20">
        <f>IF('Enter messages'!B1096="","",'Enter messages'!B1096)</f>
        <v/>
      </c>
      <c r="C1096" s="21">
        <f>IFERROR(AVERAGE(P1096:T1096),"")</f>
        <v/>
      </c>
      <c r="D1096" s="29" t="n"/>
      <c r="E1096" s="29" t="n"/>
      <c r="F1096" s="30">
        <f>IF(AND(ISNUMBER($D1096),ISNUMBER($E1096),$E1096&gt;0,$D1096&lt;=$E1096),$D1096/$E1096,"")</f>
        <v/>
      </c>
      <c r="P1096" s="26" t="n"/>
      <c r="Q1096" s="26" t="n"/>
      <c r="R1096" s="26" t="n"/>
      <c r="S1096" s="26" t="n"/>
      <c r="T1096" s="26" t="n"/>
      <c r="V1096" s="27">
        <f>IF(ISNUMBER($C1096),COUNTIFS($A$14:$A$1213,$A1096,$C$14:$C$1213,"&gt;"&amp;$C1096)+(COUNTIFS($A$14:$A$1213,$A1096,$C$14:$C$1213,"="&amp;$C1096)+1)/2,"")</f>
        <v/>
      </c>
      <c r="W1096" s="27">
        <f>IF(ISNUMBER($F1096),COUNTIFS($A$14:$A$1213,$A1096,$F$14:$F$1213,"&gt;"&amp;$F1096)+(COUNTIFS($A$14:$A$1213,$A1096,$F$14:$F$1213,"="&amp;$F1096)+1)/2,"")</f>
        <v/>
      </c>
      <c r="X1096" s="27">
        <f>IF(OR(NOT(ISNUMBER($V1096)),$AO1096=1),"",$V1096-(COUNTIFS($A$14:$A$1213,$A1096,$C$14:$C$1213,"&gt;=0")+1)/2)</f>
        <v/>
      </c>
      <c r="Y1096" s="27">
        <f>IF(OR(NOT(ISNUMBER($W1096)),$AO1096=1),"",$W1096-(COUNTIFS($A$14:$A$1213,$A1096,$F$14:$F$1213,"&gt;=0")+1)/2)</f>
        <v/>
      </c>
      <c r="Z1096" s="27">
        <f>IF(ISNUMBER($V1096),$A1096&amp;"|"&amp;$V1096,"")</f>
        <v/>
      </c>
      <c r="AA1096" s="27">
        <f>IF(ISNUMBER($W1096),$A1096&amp;"|"&amp;$W1096,"")</f>
        <v/>
      </c>
      <c r="AB1096" s="27">
        <f>IF(ISNUMBER($F1096),$A1096&amp;"|"&amp;$F1096,"")</f>
        <v/>
      </c>
      <c r="AC1096" s="27">
        <f>IF(ISNUMBER($P1096),COUNTIFS($A$14:$A$1213,$A1096,$P$14:$P$1213,"&gt;"&amp;$P1096)+(COUNTIFS($A$14:$A$1213,$A1096,$P$14:$P$1213,"="&amp;$P1096)+1)/2,"")</f>
        <v/>
      </c>
      <c r="AD1096" s="27">
        <f>IF(ISNUMBER($Q1096),COUNTIFS($A$14:$A$1213,$A1096,$Q$14:$Q$1213,"&gt;"&amp;$Q1096)+(COUNTIFS($A$14:$A$1213,$A1096,$Q$14:$Q$1213,"="&amp;$Q1096)+1)/2,"")</f>
        <v/>
      </c>
      <c r="AE1096" s="27">
        <f>IF(ISNUMBER($R1096),COUNTIFS($A$14:$A$1213,$A1096,$R$14:$R$1213,"&gt;"&amp;$R1096)+(COUNTIFS($A$14:$A$1213,$A1096,$R$14:$R$1213,"="&amp;$R1096)+1)/2,"")</f>
        <v/>
      </c>
      <c r="AF1096" s="27">
        <f>IF(ISNUMBER($S1096),COUNTIFS($A$14:$A$1213,$A1096,$S$14:$S$1213,"&gt;"&amp;$S1096)+(COUNTIFS($A$14:$A$1213,$A1096,$S$14:$S$1213,"="&amp;$S1096)+1)/2,"")</f>
        <v/>
      </c>
      <c r="AG1096" s="27">
        <f>IF(ISNUMBER($T1096),COUNTIFS($A$14:$A$1213,$A1096,$T$14:$T$1213,"&gt;"&amp;$T1096)+(COUNTIFS($A$14:$A$1213,$A1096,$T$14:$T$1213,"="&amp;$T1096)+1)/2,"")</f>
        <v/>
      </c>
      <c r="AH1096" s="27">
        <f>IF(COUNT($AC1096:$AG1096)&lt;2,"",IF(MAX($AC1096:$AG1096)=MIN($AC1096:$AG1096),0,1))</f>
        <v/>
      </c>
      <c r="AI1096" s="27">
        <f>IF($A1096="","",IF(COUNTIF($A$14:$A1096,$A1096)=1,COUNTIF($AI$13:AI1095,"&gt;0")+1,""))</f>
        <v/>
      </c>
      <c r="AO1096" s="27">
        <f>IF($A1096="","",IF(AND(COUNTIFS($A$14:$A$1213,$A1096,$F$14:$F$1213,"&gt;=0")=2,IFERROR(INDEX($M$14:$M$313,MATCH($A1096,$H$14:$H$313,0)),"Yes")&lt;&gt;"Yes"),1,0))</f>
        <v/>
      </c>
    </row>
    <row r="1097">
      <c r="A1097" s="19">
        <f>IF('Enter messages'!A1097="","",'Enter messages'!A1097)</f>
        <v/>
      </c>
      <c r="B1097" s="20">
        <f>IF('Enter messages'!B1097="","",'Enter messages'!B1097)</f>
        <v/>
      </c>
      <c r="C1097" s="21">
        <f>IFERROR(AVERAGE(P1097:T1097),"")</f>
        <v/>
      </c>
      <c r="D1097" s="29" t="n"/>
      <c r="E1097" s="29" t="n"/>
      <c r="F1097" s="30">
        <f>IF(AND(ISNUMBER($D1097),ISNUMBER($E1097),$E1097&gt;0,$D1097&lt;=$E1097),$D1097/$E1097,"")</f>
        <v/>
      </c>
      <c r="P1097" s="26" t="n"/>
      <c r="Q1097" s="26" t="n"/>
      <c r="R1097" s="26" t="n"/>
      <c r="S1097" s="26" t="n"/>
      <c r="T1097" s="26" t="n"/>
      <c r="V1097" s="27">
        <f>IF(ISNUMBER($C1097),COUNTIFS($A$14:$A$1213,$A1097,$C$14:$C$1213,"&gt;"&amp;$C1097)+(COUNTIFS($A$14:$A$1213,$A1097,$C$14:$C$1213,"="&amp;$C1097)+1)/2,"")</f>
        <v/>
      </c>
      <c r="W1097" s="27">
        <f>IF(ISNUMBER($F1097),COUNTIFS($A$14:$A$1213,$A1097,$F$14:$F$1213,"&gt;"&amp;$F1097)+(COUNTIFS($A$14:$A$1213,$A1097,$F$14:$F$1213,"="&amp;$F1097)+1)/2,"")</f>
        <v/>
      </c>
      <c r="X1097" s="27">
        <f>IF(OR(NOT(ISNUMBER($V1097)),$AO1097=1),"",$V1097-(COUNTIFS($A$14:$A$1213,$A1097,$C$14:$C$1213,"&gt;=0")+1)/2)</f>
        <v/>
      </c>
      <c r="Y1097" s="27">
        <f>IF(OR(NOT(ISNUMBER($W1097)),$AO1097=1),"",$W1097-(COUNTIFS($A$14:$A$1213,$A1097,$F$14:$F$1213,"&gt;=0")+1)/2)</f>
        <v/>
      </c>
      <c r="Z1097" s="27">
        <f>IF(ISNUMBER($V1097),$A1097&amp;"|"&amp;$V1097,"")</f>
        <v/>
      </c>
      <c r="AA1097" s="27">
        <f>IF(ISNUMBER($W1097),$A1097&amp;"|"&amp;$W1097,"")</f>
        <v/>
      </c>
      <c r="AB1097" s="27">
        <f>IF(ISNUMBER($F1097),$A1097&amp;"|"&amp;$F1097,"")</f>
        <v/>
      </c>
      <c r="AC1097" s="27">
        <f>IF(ISNUMBER($P1097),COUNTIFS($A$14:$A$1213,$A1097,$P$14:$P$1213,"&gt;"&amp;$P1097)+(COUNTIFS($A$14:$A$1213,$A1097,$P$14:$P$1213,"="&amp;$P1097)+1)/2,"")</f>
        <v/>
      </c>
      <c r="AD1097" s="27">
        <f>IF(ISNUMBER($Q1097),COUNTIFS($A$14:$A$1213,$A1097,$Q$14:$Q$1213,"&gt;"&amp;$Q1097)+(COUNTIFS($A$14:$A$1213,$A1097,$Q$14:$Q$1213,"="&amp;$Q1097)+1)/2,"")</f>
        <v/>
      </c>
      <c r="AE1097" s="27">
        <f>IF(ISNUMBER($R1097),COUNTIFS($A$14:$A$1213,$A1097,$R$14:$R$1213,"&gt;"&amp;$R1097)+(COUNTIFS($A$14:$A$1213,$A1097,$R$14:$R$1213,"="&amp;$R1097)+1)/2,"")</f>
        <v/>
      </c>
      <c r="AF1097" s="27">
        <f>IF(ISNUMBER($S1097),COUNTIFS($A$14:$A$1213,$A1097,$S$14:$S$1213,"&gt;"&amp;$S1097)+(COUNTIFS($A$14:$A$1213,$A1097,$S$14:$S$1213,"="&amp;$S1097)+1)/2,"")</f>
        <v/>
      </c>
      <c r="AG1097" s="27">
        <f>IF(ISNUMBER($T1097),COUNTIFS($A$14:$A$1213,$A1097,$T$14:$T$1213,"&gt;"&amp;$T1097)+(COUNTIFS($A$14:$A$1213,$A1097,$T$14:$T$1213,"="&amp;$T1097)+1)/2,"")</f>
        <v/>
      </c>
      <c r="AH1097" s="27">
        <f>IF(COUNT($AC1097:$AG1097)&lt;2,"",IF(MAX($AC1097:$AG1097)=MIN($AC1097:$AG1097),0,1))</f>
        <v/>
      </c>
      <c r="AI1097" s="27">
        <f>IF($A1097="","",IF(COUNTIF($A$14:$A1097,$A1097)=1,COUNTIF($AI$13:AI1096,"&gt;0")+1,""))</f>
        <v/>
      </c>
      <c r="AO1097" s="27">
        <f>IF($A1097="","",IF(AND(COUNTIFS($A$14:$A$1213,$A1097,$F$14:$F$1213,"&gt;=0")=2,IFERROR(INDEX($M$14:$M$313,MATCH($A1097,$H$14:$H$313,0)),"Yes")&lt;&gt;"Yes"),1,0))</f>
        <v/>
      </c>
    </row>
    <row r="1098">
      <c r="A1098" s="19">
        <f>IF('Enter messages'!A1098="","",'Enter messages'!A1098)</f>
        <v/>
      </c>
      <c r="B1098" s="20">
        <f>IF('Enter messages'!B1098="","",'Enter messages'!B1098)</f>
        <v/>
      </c>
      <c r="C1098" s="21">
        <f>IFERROR(AVERAGE(P1098:T1098),"")</f>
        <v/>
      </c>
      <c r="D1098" s="29" t="n"/>
      <c r="E1098" s="29" t="n"/>
      <c r="F1098" s="30">
        <f>IF(AND(ISNUMBER($D1098),ISNUMBER($E1098),$E1098&gt;0,$D1098&lt;=$E1098),$D1098/$E1098,"")</f>
        <v/>
      </c>
      <c r="P1098" s="26" t="n"/>
      <c r="Q1098" s="26" t="n"/>
      <c r="R1098" s="26" t="n"/>
      <c r="S1098" s="26" t="n"/>
      <c r="T1098" s="26" t="n"/>
      <c r="V1098" s="27">
        <f>IF(ISNUMBER($C1098),COUNTIFS($A$14:$A$1213,$A1098,$C$14:$C$1213,"&gt;"&amp;$C1098)+(COUNTIFS($A$14:$A$1213,$A1098,$C$14:$C$1213,"="&amp;$C1098)+1)/2,"")</f>
        <v/>
      </c>
      <c r="W1098" s="27">
        <f>IF(ISNUMBER($F1098),COUNTIFS($A$14:$A$1213,$A1098,$F$14:$F$1213,"&gt;"&amp;$F1098)+(COUNTIFS($A$14:$A$1213,$A1098,$F$14:$F$1213,"="&amp;$F1098)+1)/2,"")</f>
        <v/>
      </c>
      <c r="X1098" s="27">
        <f>IF(OR(NOT(ISNUMBER($V1098)),$AO1098=1),"",$V1098-(COUNTIFS($A$14:$A$1213,$A1098,$C$14:$C$1213,"&gt;=0")+1)/2)</f>
        <v/>
      </c>
      <c r="Y1098" s="27">
        <f>IF(OR(NOT(ISNUMBER($W1098)),$AO1098=1),"",$W1098-(COUNTIFS($A$14:$A$1213,$A1098,$F$14:$F$1213,"&gt;=0")+1)/2)</f>
        <v/>
      </c>
      <c r="Z1098" s="27">
        <f>IF(ISNUMBER($V1098),$A1098&amp;"|"&amp;$V1098,"")</f>
        <v/>
      </c>
      <c r="AA1098" s="27">
        <f>IF(ISNUMBER($W1098),$A1098&amp;"|"&amp;$W1098,"")</f>
        <v/>
      </c>
      <c r="AB1098" s="27">
        <f>IF(ISNUMBER($F1098),$A1098&amp;"|"&amp;$F1098,"")</f>
        <v/>
      </c>
      <c r="AC1098" s="27">
        <f>IF(ISNUMBER($P1098),COUNTIFS($A$14:$A$1213,$A1098,$P$14:$P$1213,"&gt;"&amp;$P1098)+(COUNTIFS($A$14:$A$1213,$A1098,$P$14:$P$1213,"="&amp;$P1098)+1)/2,"")</f>
        <v/>
      </c>
      <c r="AD1098" s="27">
        <f>IF(ISNUMBER($Q1098),COUNTIFS($A$14:$A$1213,$A1098,$Q$14:$Q$1213,"&gt;"&amp;$Q1098)+(COUNTIFS($A$14:$A$1213,$A1098,$Q$14:$Q$1213,"="&amp;$Q1098)+1)/2,"")</f>
        <v/>
      </c>
      <c r="AE1098" s="27">
        <f>IF(ISNUMBER($R1098),COUNTIFS($A$14:$A$1213,$A1098,$R$14:$R$1213,"&gt;"&amp;$R1098)+(COUNTIFS($A$14:$A$1213,$A1098,$R$14:$R$1213,"="&amp;$R1098)+1)/2,"")</f>
        <v/>
      </c>
      <c r="AF1098" s="27">
        <f>IF(ISNUMBER($S1098),COUNTIFS($A$14:$A$1213,$A1098,$S$14:$S$1213,"&gt;"&amp;$S1098)+(COUNTIFS($A$14:$A$1213,$A1098,$S$14:$S$1213,"="&amp;$S1098)+1)/2,"")</f>
        <v/>
      </c>
      <c r="AG1098" s="27">
        <f>IF(ISNUMBER($T1098),COUNTIFS($A$14:$A$1213,$A1098,$T$14:$T$1213,"&gt;"&amp;$T1098)+(COUNTIFS($A$14:$A$1213,$A1098,$T$14:$T$1213,"="&amp;$T1098)+1)/2,"")</f>
        <v/>
      </c>
      <c r="AH1098" s="27">
        <f>IF(COUNT($AC1098:$AG1098)&lt;2,"",IF(MAX($AC1098:$AG1098)=MIN($AC1098:$AG1098),0,1))</f>
        <v/>
      </c>
      <c r="AI1098" s="27">
        <f>IF($A1098="","",IF(COUNTIF($A$14:$A1098,$A1098)=1,COUNTIF($AI$13:AI1097,"&gt;0")+1,""))</f>
        <v/>
      </c>
      <c r="AO1098" s="27">
        <f>IF($A1098="","",IF(AND(COUNTIFS($A$14:$A$1213,$A1098,$F$14:$F$1213,"&gt;=0")=2,IFERROR(INDEX($M$14:$M$313,MATCH($A1098,$H$14:$H$313,0)),"Yes")&lt;&gt;"Yes"),1,0))</f>
        <v/>
      </c>
    </row>
    <row r="1099">
      <c r="A1099" s="19">
        <f>IF('Enter messages'!A1099="","",'Enter messages'!A1099)</f>
        <v/>
      </c>
      <c r="B1099" s="20">
        <f>IF('Enter messages'!B1099="","",'Enter messages'!B1099)</f>
        <v/>
      </c>
      <c r="C1099" s="21">
        <f>IFERROR(AVERAGE(P1099:T1099),"")</f>
        <v/>
      </c>
      <c r="D1099" s="29" t="n"/>
      <c r="E1099" s="29" t="n"/>
      <c r="F1099" s="30">
        <f>IF(AND(ISNUMBER($D1099),ISNUMBER($E1099),$E1099&gt;0,$D1099&lt;=$E1099),$D1099/$E1099,"")</f>
        <v/>
      </c>
      <c r="P1099" s="26" t="n"/>
      <c r="Q1099" s="26" t="n"/>
      <c r="R1099" s="26" t="n"/>
      <c r="S1099" s="26" t="n"/>
      <c r="T1099" s="26" t="n"/>
      <c r="V1099" s="27">
        <f>IF(ISNUMBER($C1099),COUNTIFS($A$14:$A$1213,$A1099,$C$14:$C$1213,"&gt;"&amp;$C1099)+(COUNTIFS($A$14:$A$1213,$A1099,$C$14:$C$1213,"="&amp;$C1099)+1)/2,"")</f>
        <v/>
      </c>
      <c r="W1099" s="27">
        <f>IF(ISNUMBER($F1099),COUNTIFS($A$14:$A$1213,$A1099,$F$14:$F$1213,"&gt;"&amp;$F1099)+(COUNTIFS($A$14:$A$1213,$A1099,$F$14:$F$1213,"="&amp;$F1099)+1)/2,"")</f>
        <v/>
      </c>
      <c r="X1099" s="27">
        <f>IF(OR(NOT(ISNUMBER($V1099)),$AO1099=1),"",$V1099-(COUNTIFS($A$14:$A$1213,$A1099,$C$14:$C$1213,"&gt;=0")+1)/2)</f>
        <v/>
      </c>
      <c r="Y1099" s="27">
        <f>IF(OR(NOT(ISNUMBER($W1099)),$AO1099=1),"",$W1099-(COUNTIFS($A$14:$A$1213,$A1099,$F$14:$F$1213,"&gt;=0")+1)/2)</f>
        <v/>
      </c>
      <c r="Z1099" s="27">
        <f>IF(ISNUMBER($V1099),$A1099&amp;"|"&amp;$V1099,"")</f>
        <v/>
      </c>
      <c r="AA1099" s="27">
        <f>IF(ISNUMBER($W1099),$A1099&amp;"|"&amp;$W1099,"")</f>
        <v/>
      </c>
      <c r="AB1099" s="27">
        <f>IF(ISNUMBER($F1099),$A1099&amp;"|"&amp;$F1099,"")</f>
        <v/>
      </c>
      <c r="AC1099" s="27">
        <f>IF(ISNUMBER($P1099),COUNTIFS($A$14:$A$1213,$A1099,$P$14:$P$1213,"&gt;"&amp;$P1099)+(COUNTIFS($A$14:$A$1213,$A1099,$P$14:$P$1213,"="&amp;$P1099)+1)/2,"")</f>
        <v/>
      </c>
      <c r="AD1099" s="27">
        <f>IF(ISNUMBER($Q1099),COUNTIFS($A$14:$A$1213,$A1099,$Q$14:$Q$1213,"&gt;"&amp;$Q1099)+(COUNTIFS($A$14:$A$1213,$A1099,$Q$14:$Q$1213,"="&amp;$Q1099)+1)/2,"")</f>
        <v/>
      </c>
      <c r="AE1099" s="27">
        <f>IF(ISNUMBER($R1099),COUNTIFS($A$14:$A$1213,$A1099,$R$14:$R$1213,"&gt;"&amp;$R1099)+(COUNTIFS($A$14:$A$1213,$A1099,$R$14:$R$1213,"="&amp;$R1099)+1)/2,"")</f>
        <v/>
      </c>
      <c r="AF1099" s="27">
        <f>IF(ISNUMBER($S1099),COUNTIFS($A$14:$A$1213,$A1099,$S$14:$S$1213,"&gt;"&amp;$S1099)+(COUNTIFS($A$14:$A$1213,$A1099,$S$14:$S$1213,"="&amp;$S1099)+1)/2,"")</f>
        <v/>
      </c>
      <c r="AG1099" s="27">
        <f>IF(ISNUMBER($T1099),COUNTIFS($A$14:$A$1213,$A1099,$T$14:$T$1213,"&gt;"&amp;$T1099)+(COUNTIFS($A$14:$A$1213,$A1099,$T$14:$T$1213,"="&amp;$T1099)+1)/2,"")</f>
        <v/>
      </c>
      <c r="AH1099" s="27">
        <f>IF(COUNT($AC1099:$AG1099)&lt;2,"",IF(MAX($AC1099:$AG1099)=MIN($AC1099:$AG1099),0,1))</f>
        <v/>
      </c>
      <c r="AI1099" s="27">
        <f>IF($A1099="","",IF(COUNTIF($A$14:$A1099,$A1099)=1,COUNTIF($AI$13:AI1098,"&gt;0")+1,""))</f>
        <v/>
      </c>
      <c r="AO1099" s="27">
        <f>IF($A1099="","",IF(AND(COUNTIFS($A$14:$A$1213,$A1099,$F$14:$F$1213,"&gt;=0")=2,IFERROR(INDEX($M$14:$M$313,MATCH($A1099,$H$14:$H$313,0)),"Yes")&lt;&gt;"Yes"),1,0))</f>
        <v/>
      </c>
    </row>
    <row r="1100">
      <c r="A1100" s="19">
        <f>IF('Enter messages'!A1100="","",'Enter messages'!A1100)</f>
        <v/>
      </c>
      <c r="B1100" s="20">
        <f>IF('Enter messages'!B1100="","",'Enter messages'!B1100)</f>
        <v/>
      </c>
      <c r="C1100" s="21">
        <f>IFERROR(AVERAGE(P1100:T1100),"")</f>
        <v/>
      </c>
      <c r="D1100" s="29" t="n"/>
      <c r="E1100" s="29" t="n"/>
      <c r="F1100" s="30">
        <f>IF(AND(ISNUMBER($D1100),ISNUMBER($E1100),$E1100&gt;0,$D1100&lt;=$E1100),$D1100/$E1100,"")</f>
        <v/>
      </c>
      <c r="P1100" s="26" t="n"/>
      <c r="Q1100" s="26" t="n"/>
      <c r="R1100" s="26" t="n"/>
      <c r="S1100" s="26" t="n"/>
      <c r="T1100" s="26" t="n"/>
      <c r="V1100" s="27">
        <f>IF(ISNUMBER($C1100),COUNTIFS($A$14:$A$1213,$A1100,$C$14:$C$1213,"&gt;"&amp;$C1100)+(COUNTIFS($A$14:$A$1213,$A1100,$C$14:$C$1213,"="&amp;$C1100)+1)/2,"")</f>
        <v/>
      </c>
      <c r="W1100" s="27">
        <f>IF(ISNUMBER($F1100),COUNTIFS($A$14:$A$1213,$A1100,$F$14:$F$1213,"&gt;"&amp;$F1100)+(COUNTIFS($A$14:$A$1213,$A1100,$F$14:$F$1213,"="&amp;$F1100)+1)/2,"")</f>
        <v/>
      </c>
      <c r="X1100" s="27">
        <f>IF(OR(NOT(ISNUMBER($V1100)),$AO1100=1),"",$V1100-(COUNTIFS($A$14:$A$1213,$A1100,$C$14:$C$1213,"&gt;=0")+1)/2)</f>
        <v/>
      </c>
      <c r="Y1100" s="27">
        <f>IF(OR(NOT(ISNUMBER($W1100)),$AO1100=1),"",$W1100-(COUNTIFS($A$14:$A$1213,$A1100,$F$14:$F$1213,"&gt;=0")+1)/2)</f>
        <v/>
      </c>
      <c r="Z1100" s="27">
        <f>IF(ISNUMBER($V1100),$A1100&amp;"|"&amp;$V1100,"")</f>
        <v/>
      </c>
      <c r="AA1100" s="27">
        <f>IF(ISNUMBER($W1100),$A1100&amp;"|"&amp;$W1100,"")</f>
        <v/>
      </c>
      <c r="AB1100" s="27">
        <f>IF(ISNUMBER($F1100),$A1100&amp;"|"&amp;$F1100,"")</f>
        <v/>
      </c>
      <c r="AC1100" s="27">
        <f>IF(ISNUMBER($P1100),COUNTIFS($A$14:$A$1213,$A1100,$P$14:$P$1213,"&gt;"&amp;$P1100)+(COUNTIFS($A$14:$A$1213,$A1100,$P$14:$P$1213,"="&amp;$P1100)+1)/2,"")</f>
        <v/>
      </c>
      <c r="AD1100" s="27">
        <f>IF(ISNUMBER($Q1100),COUNTIFS($A$14:$A$1213,$A1100,$Q$14:$Q$1213,"&gt;"&amp;$Q1100)+(COUNTIFS($A$14:$A$1213,$A1100,$Q$14:$Q$1213,"="&amp;$Q1100)+1)/2,"")</f>
        <v/>
      </c>
      <c r="AE1100" s="27">
        <f>IF(ISNUMBER($R1100),COUNTIFS($A$14:$A$1213,$A1100,$R$14:$R$1213,"&gt;"&amp;$R1100)+(COUNTIFS($A$14:$A$1213,$A1100,$R$14:$R$1213,"="&amp;$R1100)+1)/2,"")</f>
        <v/>
      </c>
      <c r="AF1100" s="27">
        <f>IF(ISNUMBER($S1100),COUNTIFS($A$14:$A$1213,$A1100,$S$14:$S$1213,"&gt;"&amp;$S1100)+(COUNTIFS($A$14:$A$1213,$A1100,$S$14:$S$1213,"="&amp;$S1100)+1)/2,"")</f>
        <v/>
      </c>
      <c r="AG1100" s="27">
        <f>IF(ISNUMBER($T1100),COUNTIFS($A$14:$A$1213,$A1100,$T$14:$T$1213,"&gt;"&amp;$T1100)+(COUNTIFS($A$14:$A$1213,$A1100,$T$14:$T$1213,"="&amp;$T1100)+1)/2,"")</f>
        <v/>
      </c>
      <c r="AH1100" s="27">
        <f>IF(COUNT($AC1100:$AG1100)&lt;2,"",IF(MAX($AC1100:$AG1100)=MIN($AC1100:$AG1100),0,1))</f>
        <v/>
      </c>
      <c r="AI1100" s="27">
        <f>IF($A1100="","",IF(COUNTIF($A$14:$A1100,$A1100)=1,COUNTIF($AI$13:AI1099,"&gt;0")+1,""))</f>
        <v/>
      </c>
      <c r="AO1100" s="27">
        <f>IF($A1100="","",IF(AND(COUNTIFS($A$14:$A$1213,$A1100,$F$14:$F$1213,"&gt;=0")=2,IFERROR(INDEX($M$14:$M$313,MATCH($A1100,$H$14:$H$313,0)),"Yes")&lt;&gt;"Yes"),1,0))</f>
        <v/>
      </c>
    </row>
    <row r="1101">
      <c r="A1101" s="19">
        <f>IF('Enter messages'!A1101="","",'Enter messages'!A1101)</f>
        <v/>
      </c>
      <c r="B1101" s="20">
        <f>IF('Enter messages'!B1101="","",'Enter messages'!B1101)</f>
        <v/>
      </c>
      <c r="C1101" s="21">
        <f>IFERROR(AVERAGE(P1101:T1101),"")</f>
        <v/>
      </c>
      <c r="D1101" s="29" t="n"/>
      <c r="E1101" s="29" t="n"/>
      <c r="F1101" s="30">
        <f>IF(AND(ISNUMBER($D1101),ISNUMBER($E1101),$E1101&gt;0,$D1101&lt;=$E1101),$D1101/$E1101,"")</f>
        <v/>
      </c>
      <c r="P1101" s="26" t="n"/>
      <c r="Q1101" s="26" t="n"/>
      <c r="R1101" s="26" t="n"/>
      <c r="S1101" s="26" t="n"/>
      <c r="T1101" s="26" t="n"/>
      <c r="V1101" s="27">
        <f>IF(ISNUMBER($C1101),COUNTIFS($A$14:$A$1213,$A1101,$C$14:$C$1213,"&gt;"&amp;$C1101)+(COUNTIFS($A$14:$A$1213,$A1101,$C$14:$C$1213,"="&amp;$C1101)+1)/2,"")</f>
        <v/>
      </c>
      <c r="W1101" s="27">
        <f>IF(ISNUMBER($F1101),COUNTIFS($A$14:$A$1213,$A1101,$F$14:$F$1213,"&gt;"&amp;$F1101)+(COUNTIFS($A$14:$A$1213,$A1101,$F$14:$F$1213,"="&amp;$F1101)+1)/2,"")</f>
        <v/>
      </c>
      <c r="X1101" s="27">
        <f>IF(OR(NOT(ISNUMBER($V1101)),$AO1101=1),"",$V1101-(COUNTIFS($A$14:$A$1213,$A1101,$C$14:$C$1213,"&gt;=0")+1)/2)</f>
        <v/>
      </c>
      <c r="Y1101" s="27">
        <f>IF(OR(NOT(ISNUMBER($W1101)),$AO1101=1),"",$W1101-(COUNTIFS($A$14:$A$1213,$A1101,$F$14:$F$1213,"&gt;=0")+1)/2)</f>
        <v/>
      </c>
      <c r="Z1101" s="27">
        <f>IF(ISNUMBER($V1101),$A1101&amp;"|"&amp;$V1101,"")</f>
        <v/>
      </c>
      <c r="AA1101" s="27">
        <f>IF(ISNUMBER($W1101),$A1101&amp;"|"&amp;$W1101,"")</f>
        <v/>
      </c>
      <c r="AB1101" s="27">
        <f>IF(ISNUMBER($F1101),$A1101&amp;"|"&amp;$F1101,"")</f>
        <v/>
      </c>
      <c r="AC1101" s="27">
        <f>IF(ISNUMBER($P1101),COUNTIFS($A$14:$A$1213,$A1101,$P$14:$P$1213,"&gt;"&amp;$P1101)+(COUNTIFS($A$14:$A$1213,$A1101,$P$14:$P$1213,"="&amp;$P1101)+1)/2,"")</f>
        <v/>
      </c>
      <c r="AD1101" s="27">
        <f>IF(ISNUMBER($Q1101),COUNTIFS($A$14:$A$1213,$A1101,$Q$14:$Q$1213,"&gt;"&amp;$Q1101)+(COUNTIFS($A$14:$A$1213,$A1101,$Q$14:$Q$1213,"="&amp;$Q1101)+1)/2,"")</f>
        <v/>
      </c>
      <c r="AE1101" s="27">
        <f>IF(ISNUMBER($R1101),COUNTIFS($A$14:$A$1213,$A1101,$R$14:$R$1213,"&gt;"&amp;$R1101)+(COUNTIFS($A$14:$A$1213,$A1101,$R$14:$R$1213,"="&amp;$R1101)+1)/2,"")</f>
        <v/>
      </c>
      <c r="AF1101" s="27">
        <f>IF(ISNUMBER($S1101),COUNTIFS($A$14:$A$1213,$A1101,$S$14:$S$1213,"&gt;"&amp;$S1101)+(COUNTIFS($A$14:$A$1213,$A1101,$S$14:$S$1213,"="&amp;$S1101)+1)/2,"")</f>
        <v/>
      </c>
      <c r="AG1101" s="27">
        <f>IF(ISNUMBER($T1101),COUNTIFS($A$14:$A$1213,$A1101,$T$14:$T$1213,"&gt;"&amp;$T1101)+(COUNTIFS($A$14:$A$1213,$A1101,$T$14:$T$1213,"="&amp;$T1101)+1)/2,"")</f>
        <v/>
      </c>
      <c r="AH1101" s="27">
        <f>IF(COUNT($AC1101:$AG1101)&lt;2,"",IF(MAX($AC1101:$AG1101)=MIN($AC1101:$AG1101),0,1))</f>
        <v/>
      </c>
      <c r="AI1101" s="27">
        <f>IF($A1101="","",IF(COUNTIF($A$14:$A1101,$A1101)=1,COUNTIF($AI$13:AI1100,"&gt;0")+1,""))</f>
        <v/>
      </c>
      <c r="AO1101" s="27">
        <f>IF($A1101="","",IF(AND(COUNTIFS($A$14:$A$1213,$A1101,$F$14:$F$1213,"&gt;=0")=2,IFERROR(INDEX($M$14:$M$313,MATCH($A1101,$H$14:$H$313,0)),"Yes")&lt;&gt;"Yes"),1,0))</f>
        <v/>
      </c>
    </row>
    <row r="1102">
      <c r="A1102" s="19">
        <f>IF('Enter messages'!A1102="","",'Enter messages'!A1102)</f>
        <v/>
      </c>
      <c r="B1102" s="20">
        <f>IF('Enter messages'!B1102="","",'Enter messages'!B1102)</f>
        <v/>
      </c>
      <c r="C1102" s="21">
        <f>IFERROR(AVERAGE(P1102:T1102),"")</f>
        <v/>
      </c>
      <c r="D1102" s="29" t="n"/>
      <c r="E1102" s="29" t="n"/>
      <c r="F1102" s="30">
        <f>IF(AND(ISNUMBER($D1102),ISNUMBER($E1102),$E1102&gt;0,$D1102&lt;=$E1102),$D1102/$E1102,"")</f>
        <v/>
      </c>
      <c r="P1102" s="26" t="n"/>
      <c r="Q1102" s="26" t="n"/>
      <c r="R1102" s="26" t="n"/>
      <c r="S1102" s="26" t="n"/>
      <c r="T1102" s="26" t="n"/>
      <c r="V1102" s="27">
        <f>IF(ISNUMBER($C1102),COUNTIFS($A$14:$A$1213,$A1102,$C$14:$C$1213,"&gt;"&amp;$C1102)+(COUNTIFS($A$14:$A$1213,$A1102,$C$14:$C$1213,"="&amp;$C1102)+1)/2,"")</f>
        <v/>
      </c>
      <c r="W1102" s="27">
        <f>IF(ISNUMBER($F1102),COUNTIFS($A$14:$A$1213,$A1102,$F$14:$F$1213,"&gt;"&amp;$F1102)+(COUNTIFS($A$14:$A$1213,$A1102,$F$14:$F$1213,"="&amp;$F1102)+1)/2,"")</f>
        <v/>
      </c>
      <c r="X1102" s="27">
        <f>IF(OR(NOT(ISNUMBER($V1102)),$AO1102=1),"",$V1102-(COUNTIFS($A$14:$A$1213,$A1102,$C$14:$C$1213,"&gt;=0")+1)/2)</f>
        <v/>
      </c>
      <c r="Y1102" s="27">
        <f>IF(OR(NOT(ISNUMBER($W1102)),$AO1102=1),"",$W1102-(COUNTIFS($A$14:$A$1213,$A1102,$F$14:$F$1213,"&gt;=0")+1)/2)</f>
        <v/>
      </c>
      <c r="Z1102" s="27">
        <f>IF(ISNUMBER($V1102),$A1102&amp;"|"&amp;$V1102,"")</f>
        <v/>
      </c>
      <c r="AA1102" s="27">
        <f>IF(ISNUMBER($W1102),$A1102&amp;"|"&amp;$W1102,"")</f>
        <v/>
      </c>
      <c r="AB1102" s="27">
        <f>IF(ISNUMBER($F1102),$A1102&amp;"|"&amp;$F1102,"")</f>
        <v/>
      </c>
      <c r="AC1102" s="27">
        <f>IF(ISNUMBER($P1102),COUNTIFS($A$14:$A$1213,$A1102,$P$14:$P$1213,"&gt;"&amp;$P1102)+(COUNTIFS($A$14:$A$1213,$A1102,$P$14:$P$1213,"="&amp;$P1102)+1)/2,"")</f>
        <v/>
      </c>
      <c r="AD1102" s="27">
        <f>IF(ISNUMBER($Q1102),COUNTIFS($A$14:$A$1213,$A1102,$Q$14:$Q$1213,"&gt;"&amp;$Q1102)+(COUNTIFS($A$14:$A$1213,$A1102,$Q$14:$Q$1213,"="&amp;$Q1102)+1)/2,"")</f>
        <v/>
      </c>
      <c r="AE1102" s="27">
        <f>IF(ISNUMBER($R1102),COUNTIFS($A$14:$A$1213,$A1102,$R$14:$R$1213,"&gt;"&amp;$R1102)+(COUNTIFS($A$14:$A$1213,$A1102,$R$14:$R$1213,"="&amp;$R1102)+1)/2,"")</f>
        <v/>
      </c>
      <c r="AF1102" s="27">
        <f>IF(ISNUMBER($S1102),COUNTIFS($A$14:$A$1213,$A1102,$S$14:$S$1213,"&gt;"&amp;$S1102)+(COUNTIFS($A$14:$A$1213,$A1102,$S$14:$S$1213,"="&amp;$S1102)+1)/2,"")</f>
        <v/>
      </c>
      <c r="AG1102" s="27">
        <f>IF(ISNUMBER($T1102),COUNTIFS($A$14:$A$1213,$A1102,$T$14:$T$1213,"&gt;"&amp;$T1102)+(COUNTIFS($A$14:$A$1213,$A1102,$T$14:$T$1213,"="&amp;$T1102)+1)/2,"")</f>
        <v/>
      </c>
      <c r="AH1102" s="27">
        <f>IF(COUNT($AC1102:$AG1102)&lt;2,"",IF(MAX($AC1102:$AG1102)=MIN($AC1102:$AG1102),0,1))</f>
        <v/>
      </c>
      <c r="AI1102" s="27">
        <f>IF($A1102="","",IF(COUNTIF($A$14:$A1102,$A1102)=1,COUNTIF($AI$13:AI1101,"&gt;0")+1,""))</f>
        <v/>
      </c>
      <c r="AO1102" s="27">
        <f>IF($A1102="","",IF(AND(COUNTIFS($A$14:$A$1213,$A1102,$F$14:$F$1213,"&gt;=0")=2,IFERROR(INDEX($M$14:$M$313,MATCH($A1102,$H$14:$H$313,0)),"Yes")&lt;&gt;"Yes"),1,0))</f>
        <v/>
      </c>
    </row>
    <row r="1103">
      <c r="A1103" s="19">
        <f>IF('Enter messages'!A1103="","",'Enter messages'!A1103)</f>
        <v/>
      </c>
      <c r="B1103" s="20">
        <f>IF('Enter messages'!B1103="","",'Enter messages'!B1103)</f>
        <v/>
      </c>
      <c r="C1103" s="21">
        <f>IFERROR(AVERAGE(P1103:T1103),"")</f>
        <v/>
      </c>
      <c r="D1103" s="29" t="n"/>
      <c r="E1103" s="29" t="n"/>
      <c r="F1103" s="30">
        <f>IF(AND(ISNUMBER($D1103),ISNUMBER($E1103),$E1103&gt;0,$D1103&lt;=$E1103),$D1103/$E1103,"")</f>
        <v/>
      </c>
      <c r="P1103" s="26" t="n"/>
      <c r="Q1103" s="26" t="n"/>
      <c r="R1103" s="26" t="n"/>
      <c r="S1103" s="26" t="n"/>
      <c r="T1103" s="26" t="n"/>
      <c r="V1103" s="27">
        <f>IF(ISNUMBER($C1103),COUNTIFS($A$14:$A$1213,$A1103,$C$14:$C$1213,"&gt;"&amp;$C1103)+(COUNTIFS($A$14:$A$1213,$A1103,$C$14:$C$1213,"="&amp;$C1103)+1)/2,"")</f>
        <v/>
      </c>
      <c r="W1103" s="27">
        <f>IF(ISNUMBER($F1103),COUNTIFS($A$14:$A$1213,$A1103,$F$14:$F$1213,"&gt;"&amp;$F1103)+(COUNTIFS($A$14:$A$1213,$A1103,$F$14:$F$1213,"="&amp;$F1103)+1)/2,"")</f>
        <v/>
      </c>
      <c r="X1103" s="27">
        <f>IF(OR(NOT(ISNUMBER($V1103)),$AO1103=1),"",$V1103-(COUNTIFS($A$14:$A$1213,$A1103,$C$14:$C$1213,"&gt;=0")+1)/2)</f>
        <v/>
      </c>
      <c r="Y1103" s="27">
        <f>IF(OR(NOT(ISNUMBER($W1103)),$AO1103=1),"",$W1103-(COUNTIFS($A$14:$A$1213,$A1103,$F$14:$F$1213,"&gt;=0")+1)/2)</f>
        <v/>
      </c>
      <c r="Z1103" s="27">
        <f>IF(ISNUMBER($V1103),$A1103&amp;"|"&amp;$V1103,"")</f>
        <v/>
      </c>
      <c r="AA1103" s="27">
        <f>IF(ISNUMBER($W1103),$A1103&amp;"|"&amp;$W1103,"")</f>
        <v/>
      </c>
      <c r="AB1103" s="27">
        <f>IF(ISNUMBER($F1103),$A1103&amp;"|"&amp;$F1103,"")</f>
        <v/>
      </c>
      <c r="AC1103" s="27">
        <f>IF(ISNUMBER($P1103),COUNTIFS($A$14:$A$1213,$A1103,$P$14:$P$1213,"&gt;"&amp;$P1103)+(COUNTIFS($A$14:$A$1213,$A1103,$P$14:$P$1213,"="&amp;$P1103)+1)/2,"")</f>
        <v/>
      </c>
      <c r="AD1103" s="27">
        <f>IF(ISNUMBER($Q1103),COUNTIFS($A$14:$A$1213,$A1103,$Q$14:$Q$1213,"&gt;"&amp;$Q1103)+(COUNTIFS($A$14:$A$1213,$A1103,$Q$14:$Q$1213,"="&amp;$Q1103)+1)/2,"")</f>
        <v/>
      </c>
      <c r="AE1103" s="27">
        <f>IF(ISNUMBER($R1103),COUNTIFS($A$14:$A$1213,$A1103,$R$14:$R$1213,"&gt;"&amp;$R1103)+(COUNTIFS($A$14:$A$1213,$A1103,$R$14:$R$1213,"="&amp;$R1103)+1)/2,"")</f>
        <v/>
      </c>
      <c r="AF1103" s="27">
        <f>IF(ISNUMBER($S1103),COUNTIFS($A$14:$A$1213,$A1103,$S$14:$S$1213,"&gt;"&amp;$S1103)+(COUNTIFS($A$14:$A$1213,$A1103,$S$14:$S$1213,"="&amp;$S1103)+1)/2,"")</f>
        <v/>
      </c>
      <c r="AG1103" s="27">
        <f>IF(ISNUMBER($T1103),COUNTIFS($A$14:$A$1213,$A1103,$T$14:$T$1213,"&gt;"&amp;$T1103)+(COUNTIFS($A$14:$A$1213,$A1103,$T$14:$T$1213,"="&amp;$T1103)+1)/2,"")</f>
        <v/>
      </c>
      <c r="AH1103" s="27">
        <f>IF(COUNT($AC1103:$AG1103)&lt;2,"",IF(MAX($AC1103:$AG1103)=MIN($AC1103:$AG1103),0,1))</f>
        <v/>
      </c>
      <c r="AI1103" s="27">
        <f>IF($A1103="","",IF(COUNTIF($A$14:$A1103,$A1103)=1,COUNTIF($AI$13:AI1102,"&gt;0")+1,""))</f>
        <v/>
      </c>
      <c r="AO1103" s="27">
        <f>IF($A1103="","",IF(AND(COUNTIFS($A$14:$A$1213,$A1103,$F$14:$F$1213,"&gt;=0")=2,IFERROR(INDEX($M$14:$M$313,MATCH($A1103,$H$14:$H$313,0)),"Yes")&lt;&gt;"Yes"),1,0))</f>
        <v/>
      </c>
    </row>
    <row r="1104">
      <c r="A1104" s="19">
        <f>IF('Enter messages'!A1104="","",'Enter messages'!A1104)</f>
        <v/>
      </c>
      <c r="B1104" s="20">
        <f>IF('Enter messages'!B1104="","",'Enter messages'!B1104)</f>
        <v/>
      </c>
      <c r="C1104" s="21">
        <f>IFERROR(AVERAGE(P1104:T1104),"")</f>
        <v/>
      </c>
      <c r="D1104" s="29" t="n"/>
      <c r="E1104" s="29" t="n"/>
      <c r="F1104" s="30">
        <f>IF(AND(ISNUMBER($D1104),ISNUMBER($E1104),$E1104&gt;0,$D1104&lt;=$E1104),$D1104/$E1104,"")</f>
        <v/>
      </c>
      <c r="P1104" s="26" t="n"/>
      <c r="Q1104" s="26" t="n"/>
      <c r="R1104" s="26" t="n"/>
      <c r="S1104" s="26" t="n"/>
      <c r="T1104" s="26" t="n"/>
      <c r="V1104" s="27">
        <f>IF(ISNUMBER($C1104),COUNTIFS($A$14:$A$1213,$A1104,$C$14:$C$1213,"&gt;"&amp;$C1104)+(COUNTIFS($A$14:$A$1213,$A1104,$C$14:$C$1213,"="&amp;$C1104)+1)/2,"")</f>
        <v/>
      </c>
      <c r="W1104" s="27">
        <f>IF(ISNUMBER($F1104),COUNTIFS($A$14:$A$1213,$A1104,$F$14:$F$1213,"&gt;"&amp;$F1104)+(COUNTIFS($A$14:$A$1213,$A1104,$F$14:$F$1213,"="&amp;$F1104)+1)/2,"")</f>
        <v/>
      </c>
      <c r="X1104" s="27">
        <f>IF(OR(NOT(ISNUMBER($V1104)),$AO1104=1),"",$V1104-(COUNTIFS($A$14:$A$1213,$A1104,$C$14:$C$1213,"&gt;=0")+1)/2)</f>
        <v/>
      </c>
      <c r="Y1104" s="27">
        <f>IF(OR(NOT(ISNUMBER($W1104)),$AO1104=1),"",$W1104-(COUNTIFS($A$14:$A$1213,$A1104,$F$14:$F$1213,"&gt;=0")+1)/2)</f>
        <v/>
      </c>
      <c r="Z1104" s="27">
        <f>IF(ISNUMBER($V1104),$A1104&amp;"|"&amp;$V1104,"")</f>
        <v/>
      </c>
      <c r="AA1104" s="27">
        <f>IF(ISNUMBER($W1104),$A1104&amp;"|"&amp;$W1104,"")</f>
        <v/>
      </c>
      <c r="AB1104" s="27">
        <f>IF(ISNUMBER($F1104),$A1104&amp;"|"&amp;$F1104,"")</f>
        <v/>
      </c>
      <c r="AC1104" s="27">
        <f>IF(ISNUMBER($P1104),COUNTIFS($A$14:$A$1213,$A1104,$P$14:$P$1213,"&gt;"&amp;$P1104)+(COUNTIFS($A$14:$A$1213,$A1104,$P$14:$P$1213,"="&amp;$P1104)+1)/2,"")</f>
        <v/>
      </c>
      <c r="AD1104" s="27">
        <f>IF(ISNUMBER($Q1104),COUNTIFS($A$14:$A$1213,$A1104,$Q$14:$Q$1213,"&gt;"&amp;$Q1104)+(COUNTIFS($A$14:$A$1213,$A1104,$Q$14:$Q$1213,"="&amp;$Q1104)+1)/2,"")</f>
        <v/>
      </c>
      <c r="AE1104" s="27">
        <f>IF(ISNUMBER($R1104),COUNTIFS($A$14:$A$1213,$A1104,$R$14:$R$1213,"&gt;"&amp;$R1104)+(COUNTIFS($A$14:$A$1213,$A1104,$R$14:$R$1213,"="&amp;$R1104)+1)/2,"")</f>
        <v/>
      </c>
      <c r="AF1104" s="27">
        <f>IF(ISNUMBER($S1104),COUNTIFS($A$14:$A$1213,$A1104,$S$14:$S$1213,"&gt;"&amp;$S1104)+(COUNTIFS($A$14:$A$1213,$A1104,$S$14:$S$1213,"="&amp;$S1104)+1)/2,"")</f>
        <v/>
      </c>
      <c r="AG1104" s="27">
        <f>IF(ISNUMBER($T1104),COUNTIFS($A$14:$A$1213,$A1104,$T$14:$T$1213,"&gt;"&amp;$T1104)+(COUNTIFS($A$14:$A$1213,$A1104,$T$14:$T$1213,"="&amp;$T1104)+1)/2,"")</f>
        <v/>
      </c>
      <c r="AH1104" s="27">
        <f>IF(COUNT($AC1104:$AG1104)&lt;2,"",IF(MAX($AC1104:$AG1104)=MIN($AC1104:$AG1104),0,1))</f>
        <v/>
      </c>
      <c r="AI1104" s="27">
        <f>IF($A1104="","",IF(COUNTIF($A$14:$A1104,$A1104)=1,COUNTIF($AI$13:AI1103,"&gt;0")+1,""))</f>
        <v/>
      </c>
      <c r="AO1104" s="27">
        <f>IF($A1104="","",IF(AND(COUNTIFS($A$14:$A$1213,$A1104,$F$14:$F$1213,"&gt;=0")=2,IFERROR(INDEX($M$14:$M$313,MATCH($A1104,$H$14:$H$313,0)),"Yes")&lt;&gt;"Yes"),1,0))</f>
        <v/>
      </c>
    </row>
    <row r="1105">
      <c r="A1105" s="19">
        <f>IF('Enter messages'!A1105="","",'Enter messages'!A1105)</f>
        <v/>
      </c>
      <c r="B1105" s="20">
        <f>IF('Enter messages'!B1105="","",'Enter messages'!B1105)</f>
        <v/>
      </c>
      <c r="C1105" s="21">
        <f>IFERROR(AVERAGE(P1105:T1105),"")</f>
        <v/>
      </c>
      <c r="D1105" s="29" t="n"/>
      <c r="E1105" s="29" t="n"/>
      <c r="F1105" s="30">
        <f>IF(AND(ISNUMBER($D1105),ISNUMBER($E1105),$E1105&gt;0,$D1105&lt;=$E1105),$D1105/$E1105,"")</f>
        <v/>
      </c>
      <c r="P1105" s="26" t="n"/>
      <c r="Q1105" s="26" t="n"/>
      <c r="R1105" s="26" t="n"/>
      <c r="S1105" s="26" t="n"/>
      <c r="T1105" s="26" t="n"/>
      <c r="V1105" s="27">
        <f>IF(ISNUMBER($C1105),COUNTIFS($A$14:$A$1213,$A1105,$C$14:$C$1213,"&gt;"&amp;$C1105)+(COUNTIFS($A$14:$A$1213,$A1105,$C$14:$C$1213,"="&amp;$C1105)+1)/2,"")</f>
        <v/>
      </c>
      <c r="W1105" s="27">
        <f>IF(ISNUMBER($F1105),COUNTIFS($A$14:$A$1213,$A1105,$F$14:$F$1213,"&gt;"&amp;$F1105)+(COUNTIFS($A$14:$A$1213,$A1105,$F$14:$F$1213,"="&amp;$F1105)+1)/2,"")</f>
        <v/>
      </c>
      <c r="X1105" s="27">
        <f>IF(OR(NOT(ISNUMBER($V1105)),$AO1105=1),"",$V1105-(COUNTIFS($A$14:$A$1213,$A1105,$C$14:$C$1213,"&gt;=0")+1)/2)</f>
        <v/>
      </c>
      <c r="Y1105" s="27">
        <f>IF(OR(NOT(ISNUMBER($W1105)),$AO1105=1),"",$W1105-(COUNTIFS($A$14:$A$1213,$A1105,$F$14:$F$1213,"&gt;=0")+1)/2)</f>
        <v/>
      </c>
      <c r="Z1105" s="27">
        <f>IF(ISNUMBER($V1105),$A1105&amp;"|"&amp;$V1105,"")</f>
        <v/>
      </c>
      <c r="AA1105" s="27">
        <f>IF(ISNUMBER($W1105),$A1105&amp;"|"&amp;$W1105,"")</f>
        <v/>
      </c>
      <c r="AB1105" s="27">
        <f>IF(ISNUMBER($F1105),$A1105&amp;"|"&amp;$F1105,"")</f>
        <v/>
      </c>
      <c r="AC1105" s="27">
        <f>IF(ISNUMBER($P1105),COUNTIFS($A$14:$A$1213,$A1105,$P$14:$P$1213,"&gt;"&amp;$P1105)+(COUNTIFS($A$14:$A$1213,$A1105,$P$14:$P$1213,"="&amp;$P1105)+1)/2,"")</f>
        <v/>
      </c>
      <c r="AD1105" s="27">
        <f>IF(ISNUMBER($Q1105),COUNTIFS($A$14:$A$1213,$A1105,$Q$14:$Q$1213,"&gt;"&amp;$Q1105)+(COUNTIFS($A$14:$A$1213,$A1105,$Q$14:$Q$1213,"="&amp;$Q1105)+1)/2,"")</f>
        <v/>
      </c>
      <c r="AE1105" s="27">
        <f>IF(ISNUMBER($R1105),COUNTIFS($A$14:$A$1213,$A1105,$R$14:$R$1213,"&gt;"&amp;$R1105)+(COUNTIFS($A$14:$A$1213,$A1105,$R$14:$R$1213,"="&amp;$R1105)+1)/2,"")</f>
        <v/>
      </c>
      <c r="AF1105" s="27">
        <f>IF(ISNUMBER($S1105),COUNTIFS($A$14:$A$1213,$A1105,$S$14:$S$1213,"&gt;"&amp;$S1105)+(COUNTIFS($A$14:$A$1213,$A1105,$S$14:$S$1213,"="&amp;$S1105)+1)/2,"")</f>
        <v/>
      </c>
      <c r="AG1105" s="27">
        <f>IF(ISNUMBER($T1105),COUNTIFS($A$14:$A$1213,$A1105,$T$14:$T$1213,"&gt;"&amp;$T1105)+(COUNTIFS($A$14:$A$1213,$A1105,$T$14:$T$1213,"="&amp;$T1105)+1)/2,"")</f>
        <v/>
      </c>
      <c r="AH1105" s="27">
        <f>IF(COUNT($AC1105:$AG1105)&lt;2,"",IF(MAX($AC1105:$AG1105)=MIN($AC1105:$AG1105),0,1))</f>
        <v/>
      </c>
      <c r="AI1105" s="27">
        <f>IF($A1105="","",IF(COUNTIF($A$14:$A1105,$A1105)=1,COUNTIF($AI$13:AI1104,"&gt;0")+1,""))</f>
        <v/>
      </c>
      <c r="AO1105" s="27">
        <f>IF($A1105="","",IF(AND(COUNTIFS($A$14:$A$1213,$A1105,$F$14:$F$1213,"&gt;=0")=2,IFERROR(INDEX($M$14:$M$313,MATCH($A1105,$H$14:$H$313,0)),"Yes")&lt;&gt;"Yes"),1,0))</f>
        <v/>
      </c>
    </row>
    <row r="1106">
      <c r="A1106" s="19">
        <f>IF('Enter messages'!A1106="","",'Enter messages'!A1106)</f>
        <v/>
      </c>
      <c r="B1106" s="20">
        <f>IF('Enter messages'!B1106="","",'Enter messages'!B1106)</f>
        <v/>
      </c>
      <c r="C1106" s="21">
        <f>IFERROR(AVERAGE(P1106:T1106),"")</f>
        <v/>
      </c>
      <c r="D1106" s="29" t="n"/>
      <c r="E1106" s="29" t="n"/>
      <c r="F1106" s="30">
        <f>IF(AND(ISNUMBER($D1106),ISNUMBER($E1106),$E1106&gt;0,$D1106&lt;=$E1106),$D1106/$E1106,"")</f>
        <v/>
      </c>
      <c r="P1106" s="26" t="n"/>
      <c r="Q1106" s="26" t="n"/>
      <c r="R1106" s="26" t="n"/>
      <c r="S1106" s="26" t="n"/>
      <c r="T1106" s="26" t="n"/>
      <c r="V1106" s="27">
        <f>IF(ISNUMBER($C1106),COUNTIFS($A$14:$A$1213,$A1106,$C$14:$C$1213,"&gt;"&amp;$C1106)+(COUNTIFS($A$14:$A$1213,$A1106,$C$14:$C$1213,"="&amp;$C1106)+1)/2,"")</f>
        <v/>
      </c>
      <c r="W1106" s="27">
        <f>IF(ISNUMBER($F1106),COUNTIFS($A$14:$A$1213,$A1106,$F$14:$F$1213,"&gt;"&amp;$F1106)+(COUNTIFS($A$14:$A$1213,$A1106,$F$14:$F$1213,"="&amp;$F1106)+1)/2,"")</f>
        <v/>
      </c>
      <c r="X1106" s="27">
        <f>IF(OR(NOT(ISNUMBER($V1106)),$AO1106=1),"",$V1106-(COUNTIFS($A$14:$A$1213,$A1106,$C$14:$C$1213,"&gt;=0")+1)/2)</f>
        <v/>
      </c>
      <c r="Y1106" s="27">
        <f>IF(OR(NOT(ISNUMBER($W1106)),$AO1106=1),"",$W1106-(COUNTIFS($A$14:$A$1213,$A1106,$F$14:$F$1213,"&gt;=0")+1)/2)</f>
        <v/>
      </c>
      <c r="Z1106" s="27">
        <f>IF(ISNUMBER($V1106),$A1106&amp;"|"&amp;$V1106,"")</f>
        <v/>
      </c>
      <c r="AA1106" s="27">
        <f>IF(ISNUMBER($W1106),$A1106&amp;"|"&amp;$W1106,"")</f>
        <v/>
      </c>
      <c r="AB1106" s="27">
        <f>IF(ISNUMBER($F1106),$A1106&amp;"|"&amp;$F1106,"")</f>
        <v/>
      </c>
      <c r="AC1106" s="27">
        <f>IF(ISNUMBER($P1106),COUNTIFS($A$14:$A$1213,$A1106,$P$14:$P$1213,"&gt;"&amp;$P1106)+(COUNTIFS($A$14:$A$1213,$A1106,$P$14:$P$1213,"="&amp;$P1106)+1)/2,"")</f>
        <v/>
      </c>
      <c r="AD1106" s="27">
        <f>IF(ISNUMBER($Q1106),COUNTIFS($A$14:$A$1213,$A1106,$Q$14:$Q$1213,"&gt;"&amp;$Q1106)+(COUNTIFS($A$14:$A$1213,$A1106,$Q$14:$Q$1213,"="&amp;$Q1106)+1)/2,"")</f>
        <v/>
      </c>
      <c r="AE1106" s="27">
        <f>IF(ISNUMBER($R1106),COUNTIFS($A$14:$A$1213,$A1106,$R$14:$R$1213,"&gt;"&amp;$R1106)+(COUNTIFS($A$14:$A$1213,$A1106,$R$14:$R$1213,"="&amp;$R1106)+1)/2,"")</f>
        <v/>
      </c>
      <c r="AF1106" s="27">
        <f>IF(ISNUMBER($S1106),COUNTIFS($A$14:$A$1213,$A1106,$S$14:$S$1213,"&gt;"&amp;$S1106)+(COUNTIFS($A$14:$A$1213,$A1106,$S$14:$S$1213,"="&amp;$S1106)+1)/2,"")</f>
        <v/>
      </c>
      <c r="AG1106" s="27">
        <f>IF(ISNUMBER($T1106),COUNTIFS($A$14:$A$1213,$A1106,$T$14:$T$1213,"&gt;"&amp;$T1106)+(COUNTIFS($A$14:$A$1213,$A1106,$T$14:$T$1213,"="&amp;$T1106)+1)/2,"")</f>
        <v/>
      </c>
      <c r="AH1106" s="27">
        <f>IF(COUNT($AC1106:$AG1106)&lt;2,"",IF(MAX($AC1106:$AG1106)=MIN($AC1106:$AG1106),0,1))</f>
        <v/>
      </c>
      <c r="AI1106" s="27">
        <f>IF($A1106="","",IF(COUNTIF($A$14:$A1106,$A1106)=1,COUNTIF($AI$13:AI1105,"&gt;0")+1,""))</f>
        <v/>
      </c>
      <c r="AO1106" s="27">
        <f>IF($A1106="","",IF(AND(COUNTIFS($A$14:$A$1213,$A1106,$F$14:$F$1213,"&gt;=0")=2,IFERROR(INDEX($M$14:$M$313,MATCH($A1106,$H$14:$H$313,0)),"Yes")&lt;&gt;"Yes"),1,0))</f>
        <v/>
      </c>
    </row>
    <row r="1107">
      <c r="A1107" s="19">
        <f>IF('Enter messages'!A1107="","",'Enter messages'!A1107)</f>
        <v/>
      </c>
      <c r="B1107" s="20">
        <f>IF('Enter messages'!B1107="","",'Enter messages'!B1107)</f>
        <v/>
      </c>
      <c r="C1107" s="21">
        <f>IFERROR(AVERAGE(P1107:T1107),"")</f>
        <v/>
      </c>
      <c r="D1107" s="29" t="n"/>
      <c r="E1107" s="29" t="n"/>
      <c r="F1107" s="30">
        <f>IF(AND(ISNUMBER($D1107),ISNUMBER($E1107),$E1107&gt;0,$D1107&lt;=$E1107),$D1107/$E1107,"")</f>
        <v/>
      </c>
      <c r="P1107" s="26" t="n"/>
      <c r="Q1107" s="26" t="n"/>
      <c r="R1107" s="26" t="n"/>
      <c r="S1107" s="26" t="n"/>
      <c r="T1107" s="26" t="n"/>
      <c r="V1107" s="27">
        <f>IF(ISNUMBER($C1107),COUNTIFS($A$14:$A$1213,$A1107,$C$14:$C$1213,"&gt;"&amp;$C1107)+(COUNTIFS($A$14:$A$1213,$A1107,$C$14:$C$1213,"="&amp;$C1107)+1)/2,"")</f>
        <v/>
      </c>
      <c r="W1107" s="27">
        <f>IF(ISNUMBER($F1107),COUNTIFS($A$14:$A$1213,$A1107,$F$14:$F$1213,"&gt;"&amp;$F1107)+(COUNTIFS($A$14:$A$1213,$A1107,$F$14:$F$1213,"="&amp;$F1107)+1)/2,"")</f>
        <v/>
      </c>
      <c r="X1107" s="27">
        <f>IF(OR(NOT(ISNUMBER($V1107)),$AO1107=1),"",$V1107-(COUNTIFS($A$14:$A$1213,$A1107,$C$14:$C$1213,"&gt;=0")+1)/2)</f>
        <v/>
      </c>
      <c r="Y1107" s="27">
        <f>IF(OR(NOT(ISNUMBER($W1107)),$AO1107=1),"",$W1107-(COUNTIFS($A$14:$A$1213,$A1107,$F$14:$F$1213,"&gt;=0")+1)/2)</f>
        <v/>
      </c>
      <c r="Z1107" s="27">
        <f>IF(ISNUMBER($V1107),$A1107&amp;"|"&amp;$V1107,"")</f>
        <v/>
      </c>
      <c r="AA1107" s="27">
        <f>IF(ISNUMBER($W1107),$A1107&amp;"|"&amp;$W1107,"")</f>
        <v/>
      </c>
      <c r="AB1107" s="27">
        <f>IF(ISNUMBER($F1107),$A1107&amp;"|"&amp;$F1107,"")</f>
        <v/>
      </c>
      <c r="AC1107" s="27">
        <f>IF(ISNUMBER($P1107),COUNTIFS($A$14:$A$1213,$A1107,$P$14:$P$1213,"&gt;"&amp;$P1107)+(COUNTIFS($A$14:$A$1213,$A1107,$P$14:$P$1213,"="&amp;$P1107)+1)/2,"")</f>
        <v/>
      </c>
      <c r="AD1107" s="27">
        <f>IF(ISNUMBER($Q1107),COUNTIFS($A$14:$A$1213,$A1107,$Q$14:$Q$1213,"&gt;"&amp;$Q1107)+(COUNTIFS($A$14:$A$1213,$A1107,$Q$14:$Q$1213,"="&amp;$Q1107)+1)/2,"")</f>
        <v/>
      </c>
      <c r="AE1107" s="27">
        <f>IF(ISNUMBER($R1107),COUNTIFS($A$14:$A$1213,$A1107,$R$14:$R$1213,"&gt;"&amp;$R1107)+(COUNTIFS($A$14:$A$1213,$A1107,$R$14:$R$1213,"="&amp;$R1107)+1)/2,"")</f>
        <v/>
      </c>
      <c r="AF1107" s="27">
        <f>IF(ISNUMBER($S1107),COUNTIFS($A$14:$A$1213,$A1107,$S$14:$S$1213,"&gt;"&amp;$S1107)+(COUNTIFS($A$14:$A$1213,$A1107,$S$14:$S$1213,"="&amp;$S1107)+1)/2,"")</f>
        <v/>
      </c>
      <c r="AG1107" s="27">
        <f>IF(ISNUMBER($T1107),COUNTIFS($A$14:$A$1213,$A1107,$T$14:$T$1213,"&gt;"&amp;$T1107)+(COUNTIFS($A$14:$A$1213,$A1107,$T$14:$T$1213,"="&amp;$T1107)+1)/2,"")</f>
        <v/>
      </c>
      <c r="AH1107" s="27">
        <f>IF(COUNT($AC1107:$AG1107)&lt;2,"",IF(MAX($AC1107:$AG1107)=MIN($AC1107:$AG1107),0,1))</f>
        <v/>
      </c>
      <c r="AI1107" s="27">
        <f>IF($A1107="","",IF(COUNTIF($A$14:$A1107,$A1107)=1,COUNTIF($AI$13:AI1106,"&gt;0")+1,""))</f>
        <v/>
      </c>
      <c r="AO1107" s="27">
        <f>IF($A1107="","",IF(AND(COUNTIFS($A$14:$A$1213,$A1107,$F$14:$F$1213,"&gt;=0")=2,IFERROR(INDEX($M$14:$M$313,MATCH($A1107,$H$14:$H$313,0)),"Yes")&lt;&gt;"Yes"),1,0))</f>
        <v/>
      </c>
    </row>
    <row r="1108">
      <c r="A1108" s="19">
        <f>IF('Enter messages'!A1108="","",'Enter messages'!A1108)</f>
        <v/>
      </c>
      <c r="B1108" s="20">
        <f>IF('Enter messages'!B1108="","",'Enter messages'!B1108)</f>
        <v/>
      </c>
      <c r="C1108" s="21">
        <f>IFERROR(AVERAGE(P1108:T1108),"")</f>
        <v/>
      </c>
      <c r="D1108" s="29" t="n"/>
      <c r="E1108" s="29" t="n"/>
      <c r="F1108" s="30">
        <f>IF(AND(ISNUMBER($D1108),ISNUMBER($E1108),$E1108&gt;0,$D1108&lt;=$E1108),$D1108/$E1108,"")</f>
        <v/>
      </c>
      <c r="P1108" s="26" t="n"/>
      <c r="Q1108" s="26" t="n"/>
      <c r="R1108" s="26" t="n"/>
      <c r="S1108" s="26" t="n"/>
      <c r="T1108" s="26" t="n"/>
      <c r="V1108" s="27">
        <f>IF(ISNUMBER($C1108),COUNTIFS($A$14:$A$1213,$A1108,$C$14:$C$1213,"&gt;"&amp;$C1108)+(COUNTIFS($A$14:$A$1213,$A1108,$C$14:$C$1213,"="&amp;$C1108)+1)/2,"")</f>
        <v/>
      </c>
      <c r="W1108" s="27">
        <f>IF(ISNUMBER($F1108),COUNTIFS($A$14:$A$1213,$A1108,$F$14:$F$1213,"&gt;"&amp;$F1108)+(COUNTIFS($A$14:$A$1213,$A1108,$F$14:$F$1213,"="&amp;$F1108)+1)/2,"")</f>
        <v/>
      </c>
      <c r="X1108" s="27">
        <f>IF(OR(NOT(ISNUMBER($V1108)),$AO1108=1),"",$V1108-(COUNTIFS($A$14:$A$1213,$A1108,$C$14:$C$1213,"&gt;=0")+1)/2)</f>
        <v/>
      </c>
      <c r="Y1108" s="27">
        <f>IF(OR(NOT(ISNUMBER($W1108)),$AO1108=1),"",$W1108-(COUNTIFS($A$14:$A$1213,$A1108,$F$14:$F$1213,"&gt;=0")+1)/2)</f>
        <v/>
      </c>
      <c r="Z1108" s="27">
        <f>IF(ISNUMBER($V1108),$A1108&amp;"|"&amp;$V1108,"")</f>
        <v/>
      </c>
      <c r="AA1108" s="27">
        <f>IF(ISNUMBER($W1108),$A1108&amp;"|"&amp;$W1108,"")</f>
        <v/>
      </c>
      <c r="AB1108" s="27">
        <f>IF(ISNUMBER($F1108),$A1108&amp;"|"&amp;$F1108,"")</f>
        <v/>
      </c>
      <c r="AC1108" s="27">
        <f>IF(ISNUMBER($P1108),COUNTIFS($A$14:$A$1213,$A1108,$P$14:$P$1213,"&gt;"&amp;$P1108)+(COUNTIFS($A$14:$A$1213,$A1108,$P$14:$P$1213,"="&amp;$P1108)+1)/2,"")</f>
        <v/>
      </c>
      <c r="AD1108" s="27">
        <f>IF(ISNUMBER($Q1108),COUNTIFS($A$14:$A$1213,$A1108,$Q$14:$Q$1213,"&gt;"&amp;$Q1108)+(COUNTIFS($A$14:$A$1213,$A1108,$Q$14:$Q$1213,"="&amp;$Q1108)+1)/2,"")</f>
        <v/>
      </c>
      <c r="AE1108" s="27">
        <f>IF(ISNUMBER($R1108),COUNTIFS($A$14:$A$1213,$A1108,$R$14:$R$1213,"&gt;"&amp;$R1108)+(COUNTIFS($A$14:$A$1213,$A1108,$R$14:$R$1213,"="&amp;$R1108)+1)/2,"")</f>
        <v/>
      </c>
      <c r="AF1108" s="27">
        <f>IF(ISNUMBER($S1108),COUNTIFS($A$14:$A$1213,$A1108,$S$14:$S$1213,"&gt;"&amp;$S1108)+(COUNTIFS($A$14:$A$1213,$A1108,$S$14:$S$1213,"="&amp;$S1108)+1)/2,"")</f>
        <v/>
      </c>
      <c r="AG1108" s="27">
        <f>IF(ISNUMBER($T1108),COUNTIFS($A$14:$A$1213,$A1108,$T$14:$T$1213,"&gt;"&amp;$T1108)+(COUNTIFS($A$14:$A$1213,$A1108,$T$14:$T$1213,"="&amp;$T1108)+1)/2,"")</f>
        <v/>
      </c>
      <c r="AH1108" s="27">
        <f>IF(COUNT($AC1108:$AG1108)&lt;2,"",IF(MAX($AC1108:$AG1108)=MIN($AC1108:$AG1108),0,1))</f>
        <v/>
      </c>
      <c r="AI1108" s="27">
        <f>IF($A1108="","",IF(COUNTIF($A$14:$A1108,$A1108)=1,COUNTIF($AI$13:AI1107,"&gt;0")+1,""))</f>
        <v/>
      </c>
      <c r="AO1108" s="27">
        <f>IF($A1108="","",IF(AND(COUNTIFS($A$14:$A$1213,$A1108,$F$14:$F$1213,"&gt;=0")=2,IFERROR(INDEX($M$14:$M$313,MATCH($A1108,$H$14:$H$313,0)),"Yes")&lt;&gt;"Yes"),1,0))</f>
        <v/>
      </c>
    </row>
    <row r="1109">
      <c r="A1109" s="19">
        <f>IF('Enter messages'!A1109="","",'Enter messages'!A1109)</f>
        <v/>
      </c>
      <c r="B1109" s="20">
        <f>IF('Enter messages'!B1109="","",'Enter messages'!B1109)</f>
        <v/>
      </c>
      <c r="C1109" s="21">
        <f>IFERROR(AVERAGE(P1109:T1109),"")</f>
        <v/>
      </c>
      <c r="D1109" s="29" t="n"/>
      <c r="E1109" s="29" t="n"/>
      <c r="F1109" s="30">
        <f>IF(AND(ISNUMBER($D1109),ISNUMBER($E1109),$E1109&gt;0,$D1109&lt;=$E1109),$D1109/$E1109,"")</f>
        <v/>
      </c>
      <c r="P1109" s="26" t="n"/>
      <c r="Q1109" s="26" t="n"/>
      <c r="R1109" s="26" t="n"/>
      <c r="S1109" s="26" t="n"/>
      <c r="T1109" s="26" t="n"/>
      <c r="V1109" s="27">
        <f>IF(ISNUMBER($C1109),COUNTIFS($A$14:$A$1213,$A1109,$C$14:$C$1213,"&gt;"&amp;$C1109)+(COUNTIFS($A$14:$A$1213,$A1109,$C$14:$C$1213,"="&amp;$C1109)+1)/2,"")</f>
        <v/>
      </c>
      <c r="W1109" s="27">
        <f>IF(ISNUMBER($F1109),COUNTIFS($A$14:$A$1213,$A1109,$F$14:$F$1213,"&gt;"&amp;$F1109)+(COUNTIFS($A$14:$A$1213,$A1109,$F$14:$F$1213,"="&amp;$F1109)+1)/2,"")</f>
        <v/>
      </c>
      <c r="X1109" s="27">
        <f>IF(OR(NOT(ISNUMBER($V1109)),$AO1109=1),"",$V1109-(COUNTIFS($A$14:$A$1213,$A1109,$C$14:$C$1213,"&gt;=0")+1)/2)</f>
        <v/>
      </c>
      <c r="Y1109" s="27">
        <f>IF(OR(NOT(ISNUMBER($W1109)),$AO1109=1),"",$W1109-(COUNTIFS($A$14:$A$1213,$A1109,$F$14:$F$1213,"&gt;=0")+1)/2)</f>
        <v/>
      </c>
      <c r="Z1109" s="27">
        <f>IF(ISNUMBER($V1109),$A1109&amp;"|"&amp;$V1109,"")</f>
        <v/>
      </c>
      <c r="AA1109" s="27">
        <f>IF(ISNUMBER($W1109),$A1109&amp;"|"&amp;$W1109,"")</f>
        <v/>
      </c>
      <c r="AB1109" s="27">
        <f>IF(ISNUMBER($F1109),$A1109&amp;"|"&amp;$F1109,"")</f>
        <v/>
      </c>
      <c r="AC1109" s="27">
        <f>IF(ISNUMBER($P1109),COUNTIFS($A$14:$A$1213,$A1109,$P$14:$P$1213,"&gt;"&amp;$P1109)+(COUNTIFS($A$14:$A$1213,$A1109,$P$14:$P$1213,"="&amp;$P1109)+1)/2,"")</f>
        <v/>
      </c>
      <c r="AD1109" s="27">
        <f>IF(ISNUMBER($Q1109),COUNTIFS($A$14:$A$1213,$A1109,$Q$14:$Q$1213,"&gt;"&amp;$Q1109)+(COUNTIFS($A$14:$A$1213,$A1109,$Q$14:$Q$1213,"="&amp;$Q1109)+1)/2,"")</f>
        <v/>
      </c>
      <c r="AE1109" s="27">
        <f>IF(ISNUMBER($R1109),COUNTIFS($A$14:$A$1213,$A1109,$R$14:$R$1213,"&gt;"&amp;$R1109)+(COUNTIFS($A$14:$A$1213,$A1109,$R$14:$R$1213,"="&amp;$R1109)+1)/2,"")</f>
        <v/>
      </c>
      <c r="AF1109" s="27">
        <f>IF(ISNUMBER($S1109),COUNTIFS($A$14:$A$1213,$A1109,$S$14:$S$1213,"&gt;"&amp;$S1109)+(COUNTIFS($A$14:$A$1213,$A1109,$S$14:$S$1213,"="&amp;$S1109)+1)/2,"")</f>
        <v/>
      </c>
      <c r="AG1109" s="27">
        <f>IF(ISNUMBER($T1109),COUNTIFS($A$14:$A$1213,$A1109,$T$14:$T$1213,"&gt;"&amp;$T1109)+(COUNTIFS($A$14:$A$1213,$A1109,$T$14:$T$1213,"="&amp;$T1109)+1)/2,"")</f>
        <v/>
      </c>
      <c r="AH1109" s="27">
        <f>IF(COUNT($AC1109:$AG1109)&lt;2,"",IF(MAX($AC1109:$AG1109)=MIN($AC1109:$AG1109),0,1))</f>
        <v/>
      </c>
      <c r="AI1109" s="27">
        <f>IF($A1109="","",IF(COUNTIF($A$14:$A1109,$A1109)=1,COUNTIF($AI$13:AI1108,"&gt;0")+1,""))</f>
        <v/>
      </c>
      <c r="AO1109" s="27">
        <f>IF($A1109="","",IF(AND(COUNTIFS($A$14:$A$1213,$A1109,$F$14:$F$1213,"&gt;=0")=2,IFERROR(INDEX($M$14:$M$313,MATCH($A1109,$H$14:$H$313,0)),"Yes")&lt;&gt;"Yes"),1,0))</f>
        <v/>
      </c>
    </row>
    <row r="1110">
      <c r="A1110" s="19">
        <f>IF('Enter messages'!A1110="","",'Enter messages'!A1110)</f>
        <v/>
      </c>
      <c r="B1110" s="20">
        <f>IF('Enter messages'!B1110="","",'Enter messages'!B1110)</f>
        <v/>
      </c>
      <c r="C1110" s="21">
        <f>IFERROR(AVERAGE(P1110:T1110),"")</f>
        <v/>
      </c>
      <c r="D1110" s="29" t="n"/>
      <c r="E1110" s="29" t="n"/>
      <c r="F1110" s="30">
        <f>IF(AND(ISNUMBER($D1110),ISNUMBER($E1110),$E1110&gt;0,$D1110&lt;=$E1110),$D1110/$E1110,"")</f>
        <v/>
      </c>
      <c r="P1110" s="26" t="n"/>
      <c r="Q1110" s="26" t="n"/>
      <c r="R1110" s="26" t="n"/>
      <c r="S1110" s="26" t="n"/>
      <c r="T1110" s="26" t="n"/>
      <c r="V1110" s="27">
        <f>IF(ISNUMBER($C1110),COUNTIFS($A$14:$A$1213,$A1110,$C$14:$C$1213,"&gt;"&amp;$C1110)+(COUNTIFS($A$14:$A$1213,$A1110,$C$14:$C$1213,"="&amp;$C1110)+1)/2,"")</f>
        <v/>
      </c>
      <c r="W1110" s="27">
        <f>IF(ISNUMBER($F1110),COUNTIFS($A$14:$A$1213,$A1110,$F$14:$F$1213,"&gt;"&amp;$F1110)+(COUNTIFS($A$14:$A$1213,$A1110,$F$14:$F$1213,"="&amp;$F1110)+1)/2,"")</f>
        <v/>
      </c>
      <c r="X1110" s="27">
        <f>IF(OR(NOT(ISNUMBER($V1110)),$AO1110=1),"",$V1110-(COUNTIFS($A$14:$A$1213,$A1110,$C$14:$C$1213,"&gt;=0")+1)/2)</f>
        <v/>
      </c>
      <c r="Y1110" s="27">
        <f>IF(OR(NOT(ISNUMBER($W1110)),$AO1110=1),"",$W1110-(COUNTIFS($A$14:$A$1213,$A1110,$F$14:$F$1213,"&gt;=0")+1)/2)</f>
        <v/>
      </c>
      <c r="Z1110" s="27">
        <f>IF(ISNUMBER($V1110),$A1110&amp;"|"&amp;$V1110,"")</f>
        <v/>
      </c>
      <c r="AA1110" s="27">
        <f>IF(ISNUMBER($W1110),$A1110&amp;"|"&amp;$W1110,"")</f>
        <v/>
      </c>
      <c r="AB1110" s="27">
        <f>IF(ISNUMBER($F1110),$A1110&amp;"|"&amp;$F1110,"")</f>
        <v/>
      </c>
      <c r="AC1110" s="27">
        <f>IF(ISNUMBER($P1110),COUNTIFS($A$14:$A$1213,$A1110,$P$14:$P$1213,"&gt;"&amp;$P1110)+(COUNTIFS($A$14:$A$1213,$A1110,$P$14:$P$1213,"="&amp;$P1110)+1)/2,"")</f>
        <v/>
      </c>
      <c r="AD1110" s="27">
        <f>IF(ISNUMBER($Q1110),COUNTIFS($A$14:$A$1213,$A1110,$Q$14:$Q$1213,"&gt;"&amp;$Q1110)+(COUNTIFS($A$14:$A$1213,$A1110,$Q$14:$Q$1213,"="&amp;$Q1110)+1)/2,"")</f>
        <v/>
      </c>
      <c r="AE1110" s="27">
        <f>IF(ISNUMBER($R1110),COUNTIFS($A$14:$A$1213,$A1110,$R$14:$R$1213,"&gt;"&amp;$R1110)+(COUNTIFS($A$14:$A$1213,$A1110,$R$14:$R$1213,"="&amp;$R1110)+1)/2,"")</f>
        <v/>
      </c>
      <c r="AF1110" s="27">
        <f>IF(ISNUMBER($S1110),COUNTIFS($A$14:$A$1213,$A1110,$S$14:$S$1213,"&gt;"&amp;$S1110)+(COUNTIFS($A$14:$A$1213,$A1110,$S$14:$S$1213,"="&amp;$S1110)+1)/2,"")</f>
        <v/>
      </c>
      <c r="AG1110" s="27">
        <f>IF(ISNUMBER($T1110),COUNTIFS($A$14:$A$1213,$A1110,$T$14:$T$1213,"&gt;"&amp;$T1110)+(COUNTIFS($A$14:$A$1213,$A1110,$T$14:$T$1213,"="&amp;$T1110)+1)/2,"")</f>
        <v/>
      </c>
      <c r="AH1110" s="27">
        <f>IF(COUNT($AC1110:$AG1110)&lt;2,"",IF(MAX($AC1110:$AG1110)=MIN($AC1110:$AG1110),0,1))</f>
        <v/>
      </c>
      <c r="AI1110" s="27">
        <f>IF($A1110="","",IF(COUNTIF($A$14:$A1110,$A1110)=1,COUNTIF($AI$13:AI1109,"&gt;0")+1,""))</f>
        <v/>
      </c>
      <c r="AO1110" s="27">
        <f>IF($A1110="","",IF(AND(COUNTIFS($A$14:$A$1213,$A1110,$F$14:$F$1213,"&gt;=0")=2,IFERROR(INDEX($M$14:$M$313,MATCH($A1110,$H$14:$H$313,0)),"Yes")&lt;&gt;"Yes"),1,0))</f>
        <v/>
      </c>
    </row>
    <row r="1111">
      <c r="A1111" s="19">
        <f>IF('Enter messages'!A1111="","",'Enter messages'!A1111)</f>
        <v/>
      </c>
      <c r="B1111" s="20">
        <f>IF('Enter messages'!B1111="","",'Enter messages'!B1111)</f>
        <v/>
      </c>
      <c r="C1111" s="21">
        <f>IFERROR(AVERAGE(P1111:T1111),"")</f>
        <v/>
      </c>
      <c r="D1111" s="29" t="n"/>
      <c r="E1111" s="29" t="n"/>
      <c r="F1111" s="30">
        <f>IF(AND(ISNUMBER($D1111),ISNUMBER($E1111),$E1111&gt;0,$D1111&lt;=$E1111),$D1111/$E1111,"")</f>
        <v/>
      </c>
      <c r="P1111" s="26" t="n"/>
      <c r="Q1111" s="26" t="n"/>
      <c r="R1111" s="26" t="n"/>
      <c r="S1111" s="26" t="n"/>
      <c r="T1111" s="26" t="n"/>
      <c r="V1111" s="27">
        <f>IF(ISNUMBER($C1111),COUNTIFS($A$14:$A$1213,$A1111,$C$14:$C$1213,"&gt;"&amp;$C1111)+(COUNTIFS($A$14:$A$1213,$A1111,$C$14:$C$1213,"="&amp;$C1111)+1)/2,"")</f>
        <v/>
      </c>
      <c r="W1111" s="27">
        <f>IF(ISNUMBER($F1111),COUNTIFS($A$14:$A$1213,$A1111,$F$14:$F$1213,"&gt;"&amp;$F1111)+(COUNTIFS($A$14:$A$1213,$A1111,$F$14:$F$1213,"="&amp;$F1111)+1)/2,"")</f>
        <v/>
      </c>
      <c r="X1111" s="27">
        <f>IF(OR(NOT(ISNUMBER($V1111)),$AO1111=1),"",$V1111-(COUNTIFS($A$14:$A$1213,$A1111,$C$14:$C$1213,"&gt;=0")+1)/2)</f>
        <v/>
      </c>
      <c r="Y1111" s="27">
        <f>IF(OR(NOT(ISNUMBER($W1111)),$AO1111=1),"",$W1111-(COUNTIFS($A$14:$A$1213,$A1111,$F$14:$F$1213,"&gt;=0")+1)/2)</f>
        <v/>
      </c>
      <c r="Z1111" s="27">
        <f>IF(ISNUMBER($V1111),$A1111&amp;"|"&amp;$V1111,"")</f>
        <v/>
      </c>
      <c r="AA1111" s="27">
        <f>IF(ISNUMBER($W1111),$A1111&amp;"|"&amp;$W1111,"")</f>
        <v/>
      </c>
      <c r="AB1111" s="27">
        <f>IF(ISNUMBER($F1111),$A1111&amp;"|"&amp;$F1111,"")</f>
        <v/>
      </c>
      <c r="AC1111" s="27">
        <f>IF(ISNUMBER($P1111),COUNTIFS($A$14:$A$1213,$A1111,$P$14:$P$1213,"&gt;"&amp;$P1111)+(COUNTIFS($A$14:$A$1213,$A1111,$P$14:$P$1213,"="&amp;$P1111)+1)/2,"")</f>
        <v/>
      </c>
      <c r="AD1111" s="27">
        <f>IF(ISNUMBER($Q1111),COUNTIFS($A$14:$A$1213,$A1111,$Q$14:$Q$1213,"&gt;"&amp;$Q1111)+(COUNTIFS($A$14:$A$1213,$A1111,$Q$14:$Q$1213,"="&amp;$Q1111)+1)/2,"")</f>
        <v/>
      </c>
      <c r="AE1111" s="27">
        <f>IF(ISNUMBER($R1111),COUNTIFS($A$14:$A$1213,$A1111,$R$14:$R$1213,"&gt;"&amp;$R1111)+(COUNTIFS($A$14:$A$1213,$A1111,$R$14:$R$1213,"="&amp;$R1111)+1)/2,"")</f>
        <v/>
      </c>
      <c r="AF1111" s="27">
        <f>IF(ISNUMBER($S1111),COUNTIFS($A$14:$A$1213,$A1111,$S$14:$S$1213,"&gt;"&amp;$S1111)+(COUNTIFS($A$14:$A$1213,$A1111,$S$14:$S$1213,"="&amp;$S1111)+1)/2,"")</f>
        <v/>
      </c>
      <c r="AG1111" s="27">
        <f>IF(ISNUMBER($T1111),COUNTIFS($A$14:$A$1213,$A1111,$T$14:$T$1213,"&gt;"&amp;$T1111)+(COUNTIFS($A$14:$A$1213,$A1111,$T$14:$T$1213,"="&amp;$T1111)+1)/2,"")</f>
        <v/>
      </c>
      <c r="AH1111" s="27">
        <f>IF(COUNT($AC1111:$AG1111)&lt;2,"",IF(MAX($AC1111:$AG1111)=MIN($AC1111:$AG1111),0,1))</f>
        <v/>
      </c>
      <c r="AI1111" s="27">
        <f>IF($A1111="","",IF(COUNTIF($A$14:$A1111,$A1111)=1,COUNTIF($AI$13:AI1110,"&gt;0")+1,""))</f>
        <v/>
      </c>
      <c r="AO1111" s="27">
        <f>IF($A1111="","",IF(AND(COUNTIFS($A$14:$A$1213,$A1111,$F$14:$F$1213,"&gt;=0")=2,IFERROR(INDEX($M$14:$M$313,MATCH($A1111,$H$14:$H$313,0)),"Yes")&lt;&gt;"Yes"),1,0))</f>
        <v/>
      </c>
    </row>
    <row r="1112">
      <c r="A1112" s="19">
        <f>IF('Enter messages'!A1112="","",'Enter messages'!A1112)</f>
        <v/>
      </c>
      <c r="B1112" s="20">
        <f>IF('Enter messages'!B1112="","",'Enter messages'!B1112)</f>
        <v/>
      </c>
      <c r="C1112" s="21">
        <f>IFERROR(AVERAGE(P1112:T1112),"")</f>
        <v/>
      </c>
      <c r="D1112" s="29" t="n"/>
      <c r="E1112" s="29" t="n"/>
      <c r="F1112" s="30">
        <f>IF(AND(ISNUMBER($D1112),ISNUMBER($E1112),$E1112&gt;0,$D1112&lt;=$E1112),$D1112/$E1112,"")</f>
        <v/>
      </c>
      <c r="P1112" s="26" t="n"/>
      <c r="Q1112" s="26" t="n"/>
      <c r="R1112" s="26" t="n"/>
      <c r="S1112" s="26" t="n"/>
      <c r="T1112" s="26" t="n"/>
      <c r="V1112" s="27">
        <f>IF(ISNUMBER($C1112),COUNTIFS($A$14:$A$1213,$A1112,$C$14:$C$1213,"&gt;"&amp;$C1112)+(COUNTIFS($A$14:$A$1213,$A1112,$C$14:$C$1213,"="&amp;$C1112)+1)/2,"")</f>
        <v/>
      </c>
      <c r="W1112" s="27">
        <f>IF(ISNUMBER($F1112),COUNTIFS($A$14:$A$1213,$A1112,$F$14:$F$1213,"&gt;"&amp;$F1112)+(COUNTIFS($A$14:$A$1213,$A1112,$F$14:$F$1213,"="&amp;$F1112)+1)/2,"")</f>
        <v/>
      </c>
      <c r="X1112" s="27">
        <f>IF(OR(NOT(ISNUMBER($V1112)),$AO1112=1),"",$V1112-(COUNTIFS($A$14:$A$1213,$A1112,$C$14:$C$1213,"&gt;=0")+1)/2)</f>
        <v/>
      </c>
      <c r="Y1112" s="27">
        <f>IF(OR(NOT(ISNUMBER($W1112)),$AO1112=1),"",$W1112-(COUNTIFS($A$14:$A$1213,$A1112,$F$14:$F$1213,"&gt;=0")+1)/2)</f>
        <v/>
      </c>
      <c r="Z1112" s="27">
        <f>IF(ISNUMBER($V1112),$A1112&amp;"|"&amp;$V1112,"")</f>
        <v/>
      </c>
      <c r="AA1112" s="27">
        <f>IF(ISNUMBER($W1112),$A1112&amp;"|"&amp;$W1112,"")</f>
        <v/>
      </c>
      <c r="AB1112" s="27">
        <f>IF(ISNUMBER($F1112),$A1112&amp;"|"&amp;$F1112,"")</f>
        <v/>
      </c>
      <c r="AC1112" s="27">
        <f>IF(ISNUMBER($P1112),COUNTIFS($A$14:$A$1213,$A1112,$P$14:$P$1213,"&gt;"&amp;$P1112)+(COUNTIFS($A$14:$A$1213,$A1112,$P$14:$P$1213,"="&amp;$P1112)+1)/2,"")</f>
        <v/>
      </c>
      <c r="AD1112" s="27">
        <f>IF(ISNUMBER($Q1112),COUNTIFS($A$14:$A$1213,$A1112,$Q$14:$Q$1213,"&gt;"&amp;$Q1112)+(COUNTIFS($A$14:$A$1213,$A1112,$Q$14:$Q$1213,"="&amp;$Q1112)+1)/2,"")</f>
        <v/>
      </c>
      <c r="AE1112" s="27">
        <f>IF(ISNUMBER($R1112),COUNTIFS($A$14:$A$1213,$A1112,$R$14:$R$1213,"&gt;"&amp;$R1112)+(COUNTIFS($A$14:$A$1213,$A1112,$R$14:$R$1213,"="&amp;$R1112)+1)/2,"")</f>
        <v/>
      </c>
      <c r="AF1112" s="27">
        <f>IF(ISNUMBER($S1112),COUNTIFS($A$14:$A$1213,$A1112,$S$14:$S$1213,"&gt;"&amp;$S1112)+(COUNTIFS($A$14:$A$1213,$A1112,$S$14:$S$1213,"="&amp;$S1112)+1)/2,"")</f>
        <v/>
      </c>
      <c r="AG1112" s="27">
        <f>IF(ISNUMBER($T1112),COUNTIFS($A$14:$A$1213,$A1112,$T$14:$T$1213,"&gt;"&amp;$T1112)+(COUNTIFS($A$14:$A$1213,$A1112,$T$14:$T$1213,"="&amp;$T1112)+1)/2,"")</f>
        <v/>
      </c>
      <c r="AH1112" s="27">
        <f>IF(COUNT($AC1112:$AG1112)&lt;2,"",IF(MAX($AC1112:$AG1112)=MIN($AC1112:$AG1112),0,1))</f>
        <v/>
      </c>
      <c r="AI1112" s="27">
        <f>IF($A1112="","",IF(COUNTIF($A$14:$A1112,$A1112)=1,COUNTIF($AI$13:AI1111,"&gt;0")+1,""))</f>
        <v/>
      </c>
      <c r="AO1112" s="27">
        <f>IF($A1112="","",IF(AND(COUNTIFS($A$14:$A$1213,$A1112,$F$14:$F$1213,"&gt;=0")=2,IFERROR(INDEX($M$14:$M$313,MATCH($A1112,$H$14:$H$313,0)),"Yes")&lt;&gt;"Yes"),1,0))</f>
        <v/>
      </c>
    </row>
    <row r="1113">
      <c r="A1113" s="19">
        <f>IF('Enter messages'!A1113="","",'Enter messages'!A1113)</f>
        <v/>
      </c>
      <c r="B1113" s="20">
        <f>IF('Enter messages'!B1113="","",'Enter messages'!B1113)</f>
        <v/>
      </c>
      <c r="C1113" s="21">
        <f>IFERROR(AVERAGE(P1113:T1113),"")</f>
        <v/>
      </c>
      <c r="D1113" s="29" t="n"/>
      <c r="E1113" s="29" t="n"/>
      <c r="F1113" s="30">
        <f>IF(AND(ISNUMBER($D1113),ISNUMBER($E1113),$E1113&gt;0,$D1113&lt;=$E1113),$D1113/$E1113,"")</f>
        <v/>
      </c>
      <c r="P1113" s="26" t="n"/>
      <c r="Q1113" s="26" t="n"/>
      <c r="R1113" s="26" t="n"/>
      <c r="S1113" s="26" t="n"/>
      <c r="T1113" s="26" t="n"/>
      <c r="V1113" s="27">
        <f>IF(ISNUMBER($C1113),COUNTIFS($A$14:$A$1213,$A1113,$C$14:$C$1213,"&gt;"&amp;$C1113)+(COUNTIFS($A$14:$A$1213,$A1113,$C$14:$C$1213,"="&amp;$C1113)+1)/2,"")</f>
        <v/>
      </c>
      <c r="W1113" s="27">
        <f>IF(ISNUMBER($F1113),COUNTIFS($A$14:$A$1213,$A1113,$F$14:$F$1213,"&gt;"&amp;$F1113)+(COUNTIFS($A$14:$A$1213,$A1113,$F$14:$F$1213,"="&amp;$F1113)+1)/2,"")</f>
        <v/>
      </c>
      <c r="X1113" s="27">
        <f>IF(OR(NOT(ISNUMBER($V1113)),$AO1113=1),"",$V1113-(COUNTIFS($A$14:$A$1213,$A1113,$C$14:$C$1213,"&gt;=0")+1)/2)</f>
        <v/>
      </c>
      <c r="Y1113" s="27">
        <f>IF(OR(NOT(ISNUMBER($W1113)),$AO1113=1),"",$W1113-(COUNTIFS($A$14:$A$1213,$A1113,$F$14:$F$1213,"&gt;=0")+1)/2)</f>
        <v/>
      </c>
      <c r="Z1113" s="27">
        <f>IF(ISNUMBER($V1113),$A1113&amp;"|"&amp;$V1113,"")</f>
        <v/>
      </c>
      <c r="AA1113" s="27">
        <f>IF(ISNUMBER($W1113),$A1113&amp;"|"&amp;$W1113,"")</f>
        <v/>
      </c>
      <c r="AB1113" s="27">
        <f>IF(ISNUMBER($F1113),$A1113&amp;"|"&amp;$F1113,"")</f>
        <v/>
      </c>
      <c r="AC1113" s="27">
        <f>IF(ISNUMBER($P1113),COUNTIFS($A$14:$A$1213,$A1113,$P$14:$P$1213,"&gt;"&amp;$P1113)+(COUNTIFS($A$14:$A$1213,$A1113,$P$14:$P$1213,"="&amp;$P1113)+1)/2,"")</f>
        <v/>
      </c>
      <c r="AD1113" s="27">
        <f>IF(ISNUMBER($Q1113),COUNTIFS($A$14:$A$1213,$A1113,$Q$14:$Q$1213,"&gt;"&amp;$Q1113)+(COUNTIFS($A$14:$A$1213,$A1113,$Q$14:$Q$1213,"="&amp;$Q1113)+1)/2,"")</f>
        <v/>
      </c>
      <c r="AE1113" s="27">
        <f>IF(ISNUMBER($R1113),COUNTIFS($A$14:$A$1213,$A1113,$R$14:$R$1213,"&gt;"&amp;$R1113)+(COUNTIFS($A$14:$A$1213,$A1113,$R$14:$R$1213,"="&amp;$R1113)+1)/2,"")</f>
        <v/>
      </c>
      <c r="AF1113" s="27">
        <f>IF(ISNUMBER($S1113),COUNTIFS($A$14:$A$1213,$A1113,$S$14:$S$1213,"&gt;"&amp;$S1113)+(COUNTIFS($A$14:$A$1213,$A1113,$S$14:$S$1213,"="&amp;$S1113)+1)/2,"")</f>
        <v/>
      </c>
      <c r="AG1113" s="27">
        <f>IF(ISNUMBER($T1113),COUNTIFS($A$14:$A$1213,$A1113,$T$14:$T$1213,"&gt;"&amp;$T1113)+(COUNTIFS($A$14:$A$1213,$A1113,$T$14:$T$1213,"="&amp;$T1113)+1)/2,"")</f>
        <v/>
      </c>
      <c r="AH1113" s="27">
        <f>IF(COUNT($AC1113:$AG1113)&lt;2,"",IF(MAX($AC1113:$AG1113)=MIN($AC1113:$AG1113),0,1))</f>
        <v/>
      </c>
      <c r="AI1113" s="27">
        <f>IF($A1113="","",IF(COUNTIF($A$14:$A1113,$A1113)=1,COUNTIF($AI$13:AI1112,"&gt;0")+1,""))</f>
        <v/>
      </c>
      <c r="AO1113" s="27">
        <f>IF($A1113="","",IF(AND(COUNTIFS($A$14:$A$1213,$A1113,$F$14:$F$1213,"&gt;=0")=2,IFERROR(INDEX($M$14:$M$313,MATCH($A1113,$H$14:$H$313,0)),"Yes")&lt;&gt;"Yes"),1,0))</f>
        <v/>
      </c>
    </row>
    <row r="1114">
      <c r="A1114" s="19">
        <f>IF('Enter messages'!A1114="","",'Enter messages'!A1114)</f>
        <v/>
      </c>
      <c r="B1114" s="20">
        <f>IF('Enter messages'!B1114="","",'Enter messages'!B1114)</f>
        <v/>
      </c>
      <c r="C1114" s="21">
        <f>IFERROR(AVERAGE(P1114:T1114),"")</f>
        <v/>
      </c>
      <c r="D1114" s="29" t="n"/>
      <c r="E1114" s="29" t="n"/>
      <c r="F1114" s="30">
        <f>IF(AND(ISNUMBER($D1114),ISNUMBER($E1114),$E1114&gt;0,$D1114&lt;=$E1114),$D1114/$E1114,"")</f>
        <v/>
      </c>
      <c r="P1114" s="26" t="n"/>
      <c r="Q1114" s="26" t="n"/>
      <c r="R1114" s="26" t="n"/>
      <c r="S1114" s="26" t="n"/>
      <c r="T1114" s="26" t="n"/>
      <c r="V1114" s="27">
        <f>IF(ISNUMBER($C1114),COUNTIFS($A$14:$A$1213,$A1114,$C$14:$C$1213,"&gt;"&amp;$C1114)+(COUNTIFS($A$14:$A$1213,$A1114,$C$14:$C$1213,"="&amp;$C1114)+1)/2,"")</f>
        <v/>
      </c>
      <c r="W1114" s="27">
        <f>IF(ISNUMBER($F1114),COUNTIFS($A$14:$A$1213,$A1114,$F$14:$F$1213,"&gt;"&amp;$F1114)+(COUNTIFS($A$14:$A$1213,$A1114,$F$14:$F$1213,"="&amp;$F1114)+1)/2,"")</f>
        <v/>
      </c>
      <c r="X1114" s="27">
        <f>IF(OR(NOT(ISNUMBER($V1114)),$AO1114=1),"",$V1114-(COUNTIFS($A$14:$A$1213,$A1114,$C$14:$C$1213,"&gt;=0")+1)/2)</f>
        <v/>
      </c>
      <c r="Y1114" s="27">
        <f>IF(OR(NOT(ISNUMBER($W1114)),$AO1114=1),"",$W1114-(COUNTIFS($A$14:$A$1213,$A1114,$F$14:$F$1213,"&gt;=0")+1)/2)</f>
        <v/>
      </c>
      <c r="Z1114" s="27">
        <f>IF(ISNUMBER($V1114),$A1114&amp;"|"&amp;$V1114,"")</f>
        <v/>
      </c>
      <c r="AA1114" s="27">
        <f>IF(ISNUMBER($W1114),$A1114&amp;"|"&amp;$W1114,"")</f>
        <v/>
      </c>
      <c r="AB1114" s="27">
        <f>IF(ISNUMBER($F1114),$A1114&amp;"|"&amp;$F1114,"")</f>
        <v/>
      </c>
      <c r="AC1114" s="27">
        <f>IF(ISNUMBER($P1114),COUNTIFS($A$14:$A$1213,$A1114,$P$14:$P$1213,"&gt;"&amp;$P1114)+(COUNTIFS($A$14:$A$1213,$A1114,$P$14:$P$1213,"="&amp;$P1114)+1)/2,"")</f>
        <v/>
      </c>
      <c r="AD1114" s="27">
        <f>IF(ISNUMBER($Q1114),COUNTIFS($A$14:$A$1213,$A1114,$Q$14:$Q$1213,"&gt;"&amp;$Q1114)+(COUNTIFS($A$14:$A$1213,$A1114,$Q$14:$Q$1213,"="&amp;$Q1114)+1)/2,"")</f>
        <v/>
      </c>
      <c r="AE1114" s="27">
        <f>IF(ISNUMBER($R1114),COUNTIFS($A$14:$A$1213,$A1114,$R$14:$R$1213,"&gt;"&amp;$R1114)+(COUNTIFS($A$14:$A$1213,$A1114,$R$14:$R$1213,"="&amp;$R1114)+1)/2,"")</f>
        <v/>
      </c>
      <c r="AF1114" s="27">
        <f>IF(ISNUMBER($S1114),COUNTIFS($A$14:$A$1213,$A1114,$S$14:$S$1213,"&gt;"&amp;$S1114)+(COUNTIFS($A$14:$A$1213,$A1114,$S$14:$S$1213,"="&amp;$S1114)+1)/2,"")</f>
        <v/>
      </c>
      <c r="AG1114" s="27">
        <f>IF(ISNUMBER($T1114),COUNTIFS($A$14:$A$1213,$A1114,$T$14:$T$1213,"&gt;"&amp;$T1114)+(COUNTIFS($A$14:$A$1213,$A1114,$T$14:$T$1213,"="&amp;$T1114)+1)/2,"")</f>
        <v/>
      </c>
      <c r="AH1114" s="27">
        <f>IF(COUNT($AC1114:$AG1114)&lt;2,"",IF(MAX($AC1114:$AG1114)=MIN($AC1114:$AG1114),0,1))</f>
        <v/>
      </c>
      <c r="AI1114" s="27">
        <f>IF($A1114="","",IF(COUNTIF($A$14:$A1114,$A1114)=1,COUNTIF($AI$13:AI1113,"&gt;0")+1,""))</f>
        <v/>
      </c>
      <c r="AO1114" s="27">
        <f>IF($A1114="","",IF(AND(COUNTIFS($A$14:$A$1213,$A1114,$F$14:$F$1213,"&gt;=0")=2,IFERROR(INDEX($M$14:$M$313,MATCH($A1114,$H$14:$H$313,0)),"Yes")&lt;&gt;"Yes"),1,0))</f>
        <v/>
      </c>
    </row>
    <row r="1115">
      <c r="A1115" s="19">
        <f>IF('Enter messages'!A1115="","",'Enter messages'!A1115)</f>
        <v/>
      </c>
      <c r="B1115" s="20">
        <f>IF('Enter messages'!B1115="","",'Enter messages'!B1115)</f>
        <v/>
      </c>
      <c r="C1115" s="21">
        <f>IFERROR(AVERAGE(P1115:T1115),"")</f>
        <v/>
      </c>
      <c r="D1115" s="29" t="n"/>
      <c r="E1115" s="29" t="n"/>
      <c r="F1115" s="30">
        <f>IF(AND(ISNUMBER($D1115),ISNUMBER($E1115),$E1115&gt;0,$D1115&lt;=$E1115),$D1115/$E1115,"")</f>
        <v/>
      </c>
      <c r="P1115" s="26" t="n"/>
      <c r="Q1115" s="26" t="n"/>
      <c r="R1115" s="26" t="n"/>
      <c r="S1115" s="26" t="n"/>
      <c r="T1115" s="26" t="n"/>
      <c r="V1115" s="27">
        <f>IF(ISNUMBER($C1115),COUNTIFS($A$14:$A$1213,$A1115,$C$14:$C$1213,"&gt;"&amp;$C1115)+(COUNTIFS($A$14:$A$1213,$A1115,$C$14:$C$1213,"="&amp;$C1115)+1)/2,"")</f>
        <v/>
      </c>
      <c r="W1115" s="27">
        <f>IF(ISNUMBER($F1115),COUNTIFS($A$14:$A$1213,$A1115,$F$14:$F$1213,"&gt;"&amp;$F1115)+(COUNTIFS($A$14:$A$1213,$A1115,$F$14:$F$1213,"="&amp;$F1115)+1)/2,"")</f>
        <v/>
      </c>
      <c r="X1115" s="27">
        <f>IF(OR(NOT(ISNUMBER($V1115)),$AO1115=1),"",$V1115-(COUNTIFS($A$14:$A$1213,$A1115,$C$14:$C$1213,"&gt;=0")+1)/2)</f>
        <v/>
      </c>
      <c r="Y1115" s="27">
        <f>IF(OR(NOT(ISNUMBER($W1115)),$AO1115=1),"",$W1115-(COUNTIFS($A$14:$A$1213,$A1115,$F$14:$F$1213,"&gt;=0")+1)/2)</f>
        <v/>
      </c>
      <c r="Z1115" s="27">
        <f>IF(ISNUMBER($V1115),$A1115&amp;"|"&amp;$V1115,"")</f>
        <v/>
      </c>
      <c r="AA1115" s="27">
        <f>IF(ISNUMBER($W1115),$A1115&amp;"|"&amp;$W1115,"")</f>
        <v/>
      </c>
      <c r="AB1115" s="27">
        <f>IF(ISNUMBER($F1115),$A1115&amp;"|"&amp;$F1115,"")</f>
        <v/>
      </c>
      <c r="AC1115" s="27">
        <f>IF(ISNUMBER($P1115),COUNTIFS($A$14:$A$1213,$A1115,$P$14:$P$1213,"&gt;"&amp;$P1115)+(COUNTIFS($A$14:$A$1213,$A1115,$P$14:$P$1213,"="&amp;$P1115)+1)/2,"")</f>
        <v/>
      </c>
      <c r="AD1115" s="27">
        <f>IF(ISNUMBER($Q1115),COUNTIFS($A$14:$A$1213,$A1115,$Q$14:$Q$1213,"&gt;"&amp;$Q1115)+(COUNTIFS($A$14:$A$1213,$A1115,$Q$14:$Q$1213,"="&amp;$Q1115)+1)/2,"")</f>
        <v/>
      </c>
      <c r="AE1115" s="27">
        <f>IF(ISNUMBER($R1115),COUNTIFS($A$14:$A$1213,$A1115,$R$14:$R$1213,"&gt;"&amp;$R1115)+(COUNTIFS($A$14:$A$1213,$A1115,$R$14:$R$1213,"="&amp;$R1115)+1)/2,"")</f>
        <v/>
      </c>
      <c r="AF1115" s="27">
        <f>IF(ISNUMBER($S1115),COUNTIFS($A$14:$A$1213,$A1115,$S$14:$S$1213,"&gt;"&amp;$S1115)+(COUNTIFS($A$14:$A$1213,$A1115,$S$14:$S$1213,"="&amp;$S1115)+1)/2,"")</f>
        <v/>
      </c>
      <c r="AG1115" s="27">
        <f>IF(ISNUMBER($T1115),COUNTIFS($A$14:$A$1213,$A1115,$T$14:$T$1213,"&gt;"&amp;$T1115)+(COUNTIFS($A$14:$A$1213,$A1115,$T$14:$T$1213,"="&amp;$T1115)+1)/2,"")</f>
        <v/>
      </c>
      <c r="AH1115" s="27">
        <f>IF(COUNT($AC1115:$AG1115)&lt;2,"",IF(MAX($AC1115:$AG1115)=MIN($AC1115:$AG1115),0,1))</f>
        <v/>
      </c>
      <c r="AI1115" s="27">
        <f>IF($A1115="","",IF(COUNTIF($A$14:$A1115,$A1115)=1,COUNTIF($AI$13:AI1114,"&gt;0")+1,""))</f>
        <v/>
      </c>
      <c r="AO1115" s="27">
        <f>IF($A1115="","",IF(AND(COUNTIFS($A$14:$A$1213,$A1115,$F$14:$F$1213,"&gt;=0")=2,IFERROR(INDEX($M$14:$M$313,MATCH($A1115,$H$14:$H$313,0)),"Yes")&lt;&gt;"Yes"),1,0))</f>
        <v/>
      </c>
    </row>
    <row r="1116">
      <c r="A1116" s="19">
        <f>IF('Enter messages'!A1116="","",'Enter messages'!A1116)</f>
        <v/>
      </c>
      <c r="B1116" s="20">
        <f>IF('Enter messages'!B1116="","",'Enter messages'!B1116)</f>
        <v/>
      </c>
      <c r="C1116" s="21">
        <f>IFERROR(AVERAGE(P1116:T1116),"")</f>
        <v/>
      </c>
      <c r="D1116" s="29" t="n"/>
      <c r="E1116" s="29" t="n"/>
      <c r="F1116" s="30">
        <f>IF(AND(ISNUMBER($D1116),ISNUMBER($E1116),$E1116&gt;0,$D1116&lt;=$E1116),$D1116/$E1116,"")</f>
        <v/>
      </c>
      <c r="P1116" s="26" t="n"/>
      <c r="Q1116" s="26" t="n"/>
      <c r="R1116" s="26" t="n"/>
      <c r="S1116" s="26" t="n"/>
      <c r="T1116" s="26" t="n"/>
      <c r="V1116" s="27">
        <f>IF(ISNUMBER($C1116),COUNTIFS($A$14:$A$1213,$A1116,$C$14:$C$1213,"&gt;"&amp;$C1116)+(COUNTIFS($A$14:$A$1213,$A1116,$C$14:$C$1213,"="&amp;$C1116)+1)/2,"")</f>
        <v/>
      </c>
      <c r="W1116" s="27">
        <f>IF(ISNUMBER($F1116),COUNTIFS($A$14:$A$1213,$A1116,$F$14:$F$1213,"&gt;"&amp;$F1116)+(COUNTIFS($A$14:$A$1213,$A1116,$F$14:$F$1213,"="&amp;$F1116)+1)/2,"")</f>
        <v/>
      </c>
      <c r="X1116" s="27">
        <f>IF(OR(NOT(ISNUMBER($V1116)),$AO1116=1),"",$V1116-(COUNTIFS($A$14:$A$1213,$A1116,$C$14:$C$1213,"&gt;=0")+1)/2)</f>
        <v/>
      </c>
      <c r="Y1116" s="27">
        <f>IF(OR(NOT(ISNUMBER($W1116)),$AO1116=1),"",$W1116-(COUNTIFS($A$14:$A$1213,$A1116,$F$14:$F$1213,"&gt;=0")+1)/2)</f>
        <v/>
      </c>
      <c r="Z1116" s="27">
        <f>IF(ISNUMBER($V1116),$A1116&amp;"|"&amp;$V1116,"")</f>
        <v/>
      </c>
      <c r="AA1116" s="27">
        <f>IF(ISNUMBER($W1116),$A1116&amp;"|"&amp;$W1116,"")</f>
        <v/>
      </c>
      <c r="AB1116" s="27">
        <f>IF(ISNUMBER($F1116),$A1116&amp;"|"&amp;$F1116,"")</f>
        <v/>
      </c>
      <c r="AC1116" s="27">
        <f>IF(ISNUMBER($P1116),COUNTIFS($A$14:$A$1213,$A1116,$P$14:$P$1213,"&gt;"&amp;$P1116)+(COUNTIFS($A$14:$A$1213,$A1116,$P$14:$P$1213,"="&amp;$P1116)+1)/2,"")</f>
        <v/>
      </c>
      <c r="AD1116" s="27">
        <f>IF(ISNUMBER($Q1116),COUNTIFS($A$14:$A$1213,$A1116,$Q$14:$Q$1213,"&gt;"&amp;$Q1116)+(COUNTIFS($A$14:$A$1213,$A1116,$Q$14:$Q$1213,"="&amp;$Q1116)+1)/2,"")</f>
        <v/>
      </c>
      <c r="AE1116" s="27">
        <f>IF(ISNUMBER($R1116),COUNTIFS($A$14:$A$1213,$A1116,$R$14:$R$1213,"&gt;"&amp;$R1116)+(COUNTIFS($A$14:$A$1213,$A1116,$R$14:$R$1213,"="&amp;$R1116)+1)/2,"")</f>
        <v/>
      </c>
      <c r="AF1116" s="27">
        <f>IF(ISNUMBER($S1116),COUNTIFS($A$14:$A$1213,$A1116,$S$14:$S$1213,"&gt;"&amp;$S1116)+(COUNTIFS($A$14:$A$1213,$A1116,$S$14:$S$1213,"="&amp;$S1116)+1)/2,"")</f>
        <v/>
      </c>
      <c r="AG1116" s="27">
        <f>IF(ISNUMBER($T1116),COUNTIFS($A$14:$A$1213,$A1116,$T$14:$T$1213,"&gt;"&amp;$T1116)+(COUNTIFS($A$14:$A$1213,$A1116,$T$14:$T$1213,"="&amp;$T1116)+1)/2,"")</f>
        <v/>
      </c>
      <c r="AH1116" s="27">
        <f>IF(COUNT($AC1116:$AG1116)&lt;2,"",IF(MAX($AC1116:$AG1116)=MIN($AC1116:$AG1116),0,1))</f>
        <v/>
      </c>
      <c r="AI1116" s="27">
        <f>IF($A1116="","",IF(COUNTIF($A$14:$A1116,$A1116)=1,COUNTIF($AI$13:AI1115,"&gt;0")+1,""))</f>
        <v/>
      </c>
      <c r="AO1116" s="27">
        <f>IF($A1116="","",IF(AND(COUNTIFS($A$14:$A$1213,$A1116,$F$14:$F$1213,"&gt;=0")=2,IFERROR(INDEX($M$14:$M$313,MATCH($A1116,$H$14:$H$313,0)),"Yes")&lt;&gt;"Yes"),1,0))</f>
        <v/>
      </c>
    </row>
    <row r="1117">
      <c r="A1117" s="19">
        <f>IF('Enter messages'!A1117="","",'Enter messages'!A1117)</f>
        <v/>
      </c>
      <c r="B1117" s="20">
        <f>IF('Enter messages'!B1117="","",'Enter messages'!B1117)</f>
        <v/>
      </c>
      <c r="C1117" s="21">
        <f>IFERROR(AVERAGE(P1117:T1117),"")</f>
        <v/>
      </c>
      <c r="D1117" s="29" t="n"/>
      <c r="E1117" s="29" t="n"/>
      <c r="F1117" s="30">
        <f>IF(AND(ISNUMBER($D1117),ISNUMBER($E1117),$E1117&gt;0,$D1117&lt;=$E1117),$D1117/$E1117,"")</f>
        <v/>
      </c>
      <c r="P1117" s="26" t="n"/>
      <c r="Q1117" s="26" t="n"/>
      <c r="R1117" s="26" t="n"/>
      <c r="S1117" s="26" t="n"/>
      <c r="T1117" s="26" t="n"/>
      <c r="V1117" s="27">
        <f>IF(ISNUMBER($C1117),COUNTIFS($A$14:$A$1213,$A1117,$C$14:$C$1213,"&gt;"&amp;$C1117)+(COUNTIFS($A$14:$A$1213,$A1117,$C$14:$C$1213,"="&amp;$C1117)+1)/2,"")</f>
        <v/>
      </c>
      <c r="W1117" s="27">
        <f>IF(ISNUMBER($F1117),COUNTIFS($A$14:$A$1213,$A1117,$F$14:$F$1213,"&gt;"&amp;$F1117)+(COUNTIFS($A$14:$A$1213,$A1117,$F$14:$F$1213,"="&amp;$F1117)+1)/2,"")</f>
        <v/>
      </c>
      <c r="X1117" s="27">
        <f>IF(OR(NOT(ISNUMBER($V1117)),$AO1117=1),"",$V1117-(COUNTIFS($A$14:$A$1213,$A1117,$C$14:$C$1213,"&gt;=0")+1)/2)</f>
        <v/>
      </c>
      <c r="Y1117" s="27">
        <f>IF(OR(NOT(ISNUMBER($W1117)),$AO1117=1),"",$W1117-(COUNTIFS($A$14:$A$1213,$A1117,$F$14:$F$1213,"&gt;=0")+1)/2)</f>
        <v/>
      </c>
      <c r="Z1117" s="27">
        <f>IF(ISNUMBER($V1117),$A1117&amp;"|"&amp;$V1117,"")</f>
        <v/>
      </c>
      <c r="AA1117" s="27">
        <f>IF(ISNUMBER($W1117),$A1117&amp;"|"&amp;$W1117,"")</f>
        <v/>
      </c>
      <c r="AB1117" s="27">
        <f>IF(ISNUMBER($F1117),$A1117&amp;"|"&amp;$F1117,"")</f>
        <v/>
      </c>
      <c r="AC1117" s="27">
        <f>IF(ISNUMBER($P1117),COUNTIFS($A$14:$A$1213,$A1117,$P$14:$P$1213,"&gt;"&amp;$P1117)+(COUNTIFS($A$14:$A$1213,$A1117,$P$14:$P$1213,"="&amp;$P1117)+1)/2,"")</f>
        <v/>
      </c>
      <c r="AD1117" s="27">
        <f>IF(ISNUMBER($Q1117),COUNTIFS($A$14:$A$1213,$A1117,$Q$14:$Q$1213,"&gt;"&amp;$Q1117)+(COUNTIFS($A$14:$A$1213,$A1117,$Q$14:$Q$1213,"="&amp;$Q1117)+1)/2,"")</f>
        <v/>
      </c>
      <c r="AE1117" s="27">
        <f>IF(ISNUMBER($R1117),COUNTIFS($A$14:$A$1213,$A1117,$R$14:$R$1213,"&gt;"&amp;$R1117)+(COUNTIFS($A$14:$A$1213,$A1117,$R$14:$R$1213,"="&amp;$R1117)+1)/2,"")</f>
        <v/>
      </c>
      <c r="AF1117" s="27">
        <f>IF(ISNUMBER($S1117),COUNTIFS($A$14:$A$1213,$A1117,$S$14:$S$1213,"&gt;"&amp;$S1117)+(COUNTIFS($A$14:$A$1213,$A1117,$S$14:$S$1213,"="&amp;$S1117)+1)/2,"")</f>
        <v/>
      </c>
      <c r="AG1117" s="27">
        <f>IF(ISNUMBER($T1117),COUNTIFS($A$14:$A$1213,$A1117,$T$14:$T$1213,"&gt;"&amp;$T1117)+(COUNTIFS($A$14:$A$1213,$A1117,$T$14:$T$1213,"="&amp;$T1117)+1)/2,"")</f>
        <v/>
      </c>
      <c r="AH1117" s="27">
        <f>IF(COUNT($AC1117:$AG1117)&lt;2,"",IF(MAX($AC1117:$AG1117)=MIN($AC1117:$AG1117),0,1))</f>
        <v/>
      </c>
      <c r="AI1117" s="27">
        <f>IF($A1117="","",IF(COUNTIF($A$14:$A1117,$A1117)=1,COUNTIF($AI$13:AI1116,"&gt;0")+1,""))</f>
        <v/>
      </c>
      <c r="AO1117" s="27">
        <f>IF($A1117="","",IF(AND(COUNTIFS($A$14:$A$1213,$A1117,$F$14:$F$1213,"&gt;=0")=2,IFERROR(INDEX($M$14:$M$313,MATCH($A1117,$H$14:$H$313,0)),"Yes")&lt;&gt;"Yes"),1,0))</f>
        <v/>
      </c>
    </row>
    <row r="1118">
      <c r="A1118" s="19">
        <f>IF('Enter messages'!A1118="","",'Enter messages'!A1118)</f>
        <v/>
      </c>
      <c r="B1118" s="20">
        <f>IF('Enter messages'!B1118="","",'Enter messages'!B1118)</f>
        <v/>
      </c>
      <c r="C1118" s="21">
        <f>IFERROR(AVERAGE(P1118:T1118),"")</f>
        <v/>
      </c>
      <c r="D1118" s="29" t="n"/>
      <c r="E1118" s="29" t="n"/>
      <c r="F1118" s="30">
        <f>IF(AND(ISNUMBER($D1118),ISNUMBER($E1118),$E1118&gt;0,$D1118&lt;=$E1118),$D1118/$E1118,"")</f>
        <v/>
      </c>
      <c r="P1118" s="26" t="n"/>
      <c r="Q1118" s="26" t="n"/>
      <c r="R1118" s="26" t="n"/>
      <c r="S1118" s="26" t="n"/>
      <c r="T1118" s="26" t="n"/>
      <c r="V1118" s="27">
        <f>IF(ISNUMBER($C1118),COUNTIFS($A$14:$A$1213,$A1118,$C$14:$C$1213,"&gt;"&amp;$C1118)+(COUNTIFS($A$14:$A$1213,$A1118,$C$14:$C$1213,"="&amp;$C1118)+1)/2,"")</f>
        <v/>
      </c>
      <c r="W1118" s="27">
        <f>IF(ISNUMBER($F1118),COUNTIFS($A$14:$A$1213,$A1118,$F$14:$F$1213,"&gt;"&amp;$F1118)+(COUNTIFS($A$14:$A$1213,$A1118,$F$14:$F$1213,"="&amp;$F1118)+1)/2,"")</f>
        <v/>
      </c>
      <c r="X1118" s="27">
        <f>IF(OR(NOT(ISNUMBER($V1118)),$AO1118=1),"",$V1118-(COUNTIFS($A$14:$A$1213,$A1118,$C$14:$C$1213,"&gt;=0")+1)/2)</f>
        <v/>
      </c>
      <c r="Y1118" s="27">
        <f>IF(OR(NOT(ISNUMBER($W1118)),$AO1118=1),"",$W1118-(COUNTIFS($A$14:$A$1213,$A1118,$F$14:$F$1213,"&gt;=0")+1)/2)</f>
        <v/>
      </c>
      <c r="Z1118" s="27">
        <f>IF(ISNUMBER($V1118),$A1118&amp;"|"&amp;$V1118,"")</f>
        <v/>
      </c>
      <c r="AA1118" s="27">
        <f>IF(ISNUMBER($W1118),$A1118&amp;"|"&amp;$W1118,"")</f>
        <v/>
      </c>
      <c r="AB1118" s="27">
        <f>IF(ISNUMBER($F1118),$A1118&amp;"|"&amp;$F1118,"")</f>
        <v/>
      </c>
      <c r="AC1118" s="27">
        <f>IF(ISNUMBER($P1118),COUNTIFS($A$14:$A$1213,$A1118,$P$14:$P$1213,"&gt;"&amp;$P1118)+(COUNTIFS($A$14:$A$1213,$A1118,$P$14:$P$1213,"="&amp;$P1118)+1)/2,"")</f>
        <v/>
      </c>
      <c r="AD1118" s="27">
        <f>IF(ISNUMBER($Q1118),COUNTIFS($A$14:$A$1213,$A1118,$Q$14:$Q$1213,"&gt;"&amp;$Q1118)+(COUNTIFS($A$14:$A$1213,$A1118,$Q$14:$Q$1213,"="&amp;$Q1118)+1)/2,"")</f>
        <v/>
      </c>
      <c r="AE1118" s="27">
        <f>IF(ISNUMBER($R1118),COUNTIFS($A$14:$A$1213,$A1118,$R$14:$R$1213,"&gt;"&amp;$R1118)+(COUNTIFS($A$14:$A$1213,$A1118,$R$14:$R$1213,"="&amp;$R1118)+1)/2,"")</f>
        <v/>
      </c>
      <c r="AF1118" s="27">
        <f>IF(ISNUMBER($S1118),COUNTIFS($A$14:$A$1213,$A1118,$S$14:$S$1213,"&gt;"&amp;$S1118)+(COUNTIFS($A$14:$A$1213,$A1118,$S$14:$S$1213,"="&amp;$S1118)+1)/2,"")</f>
        <v/>
      </c>
      <c r="AG1118" s="27">
        <f>IF(ISNUMBER($T1118),COUNTIFS($A$14:$A$1213,$A1118,$T$14:$T$1213,"&gt;"&amp;$T1118)+(COUNTIFS($A$14:$A$1213,$A1118,$T$14:$T$1213,"="&amp;$T1118)+1)/2,"")</f>
        <v/>
      </c>
      <c r="AH1118" s="27">
        <f>IF(COUNT($AC1118:$AG1118)&lt;2,"",IF(MAX($AC1118:$AG1118)=MIN($AC1118:$AG1118),0,1))</f>
        <v/>
      </c>
      <c r="AI1118" s="27">
        <f>IF($A1118="","",IF(COUNTIF($A$14:$A1118,$A1118)=1,COUNTIF($AI$13:AI1117,"&gt;0")+1,""))</f>
        <v/>
      </c>
      <c r="AO1118" s="27">
        <f>IF($A1118="","",IF(AND(COUNTIFS($A$14:$A$1213,$A1118,$F$14:$F$1213,"&gt;=0")=2,IFERROR(INDEX($M$14:$M$313,MATCH($A1118,$H$14:$H$313,0)),"Yes")&lt;&gt;"Yes"),1,0))</f>
        <v/>
      </c>
    </row>
    <row r="1119">
      <c r="A1119" s="19">
        <f>IF('Enter messages'!A1119="","",'Enter messages'!A1119)</f>
        <v/>
      </c>
      <c r="B1119" s="20">
        <f>IF('Enter messages'!B1119="","",'Enter messages'!B1119)</f>
        <v/>
      </c>
      <c r="C1119" s="21">
        <f>IFERROR(AVERAGE(P1119:T1119),"")</f>
        <v/>
      </c>
      <c r="D1119" s="29" t="n"/>
      <c r="E1119" s="29" t="n"/>
      <c r="F1119" s="30">
        <f>IF(AND(ISNUMBER($D1119),ISNUMBER($E1119),$E1119&gt;0,$D1119&lt;=$E1119),$D1119/$E1119,"")</f>
        <v/>
      </c>
      <c r="P1119" s="26" t="n"/>
      <c r="Q1119" s="26" t="n"/>
      <c r="R1119" s="26" t="n"/>
      <c r="S1119" s="26" t="n"/>
      <c r="T1119" s="26" t="n"/>
      <c r="V1119" s="27">
        <f>IF(ISNUMBER($C1119),COUNTIFS($A$14:$A$1213,$A1119,$C$14:$C$1213,"&gt;"&amp;$C1119)+(COUNTIFS($A$14:$A$1213,$A1119,$C$14:$C$1213,"="&amp;$C1119)+1)/2,"")</f>
        <v/>
      </c>
      <c r="W1119" s="27">
        <f>IF(ISNUMBER($F1119),COUNTIFS($A$14:$A$1213,$A1119,$F$14:$F$1213,"&gt;"&amp;$F1119)+(COUNTIFS($A$14:$A$1213,$A1119,$F$14:$F$1213,"="&amp;$F1119)+1)/2,"")</f>
        <v/>
      </c>
      <c r="X1119" s="27">
        <f>IF(OR(NOT(ISNUMBER($V1119)),$AO1119=1),"",$V1119-(COUNTIFS($A$14:$A$1213,$A1119,$C$14:$C$1213,"&gt;=0")+1)/2)</f>
        <v/>
      </c>
      <c r="Y1119" s="27">
        <f>IF(OR(NOT(ISNUMBER($W1119)),$AO1119=1),"",$W1119-(COUNTIFS($A$14:$A$1213,$A1119,$F$14:$F$1213,"&gt;=0")+1)/2)</f>
        <v/>
      </c>
      <c r="Z1119" s="27">
        <f>IF(ISNUMBER($V1119),$A1119&amp;"|"&amp;$V1119,"")</f>
        <v/>
      </c>
      <c r="AA1119" s="27">
        <f>IF(ISNUMBER($W1119),$A1119&amp;"|"&amp;$W1119,"")</f>
        <v/>
      </c>
      <c r="AB1119" s="27">
        <f>IF(ISNUMBER($F1119),$A1119&amp;"|"&amp;$F1119,"")</f>
        <v/>
      </c>
      <c r="AC1119" s="27">
        <f>IF(ISNUMBER($P1119),COUNTIFS($A$14:$A$1213,$A1119,$P$14:$P$1213,"&gt;"&amp;$P1119)+(COUNTIFS($A$14:$A$1213,$A1119,$P$14:$P$1213,"="&amp;$P1119)+1)/2,"")</f>
        <v/>
      </c>
      <c r="AD1119" s="27">
        <f>IF(ISNUMBER($Q1119),COUNTIFS($A$14:$A$1213,$A1119,$Q$14:$Q$1213,"&gt;"&amp;$Q1119)+(COUNTIFS($A$14:$A$1213,$A1119,$Q$14:$Q$1213,"="&amp;$Q1119)+1)/2,"")</f>
        <v/>
      </c>
      <c r="AE1119" s="27">
        <f>IF(ISNUMBER($R1119),COUNTIFS($A$14:$A$1213,$A1119,$R$14:$R$1213,"&gt;"&amp;$R1119)+(COUNTIFS($A$14:$A$1213,$A1119,$R$14:$R$1213,"="&amp;$R1119)+1)/2,"")</f>
        <v/>
      </c>
      <c r="AF1119" s="27">
        <f>IF(ISNUMBER($S1119),COUNTIFS($A$14:$A$1213,$A1119,$S$14:$S$1213,"&gt;"&amp;$S1119)+(COUNTIFS($A$14:$A$1213,$A1119,$S$14:$S$1213,"="&amp;$S1119)+1)/2,"")</f>
        <v/>
      </c>
      <c r="AG1119" s="27">
        <f>IF(ISNUMBER($T1119),COUNTIFS($A$14:$A$1213,$A1119,$T$14:$T$1213,"&gt;"&amp;$T1119)+(COUNTIFS($A$14:$A$1213,$A1119,$T$14:$T$1213,"="&amp;$T1119)+1)/2,"")</f>
        <v/>
      </c>
      <c r="AH1119" s="27">
        <f>IF(COUNT($AC1119:$AG1119)&lt;2,"",IF(MAX($AC1119:$AG1119)=MIN($AC1119:$AG1119),0,1))</f>
        <v/>
      </c>
      <c r="AI1119" s="27">
        <f>IF($A1119="","",IF(COUNTIF($A$14:$A1119,$A1119)=1,COUNTIF($AI$13:AI1118,"&gt;0")+1,""))</f>
        <v/>
      </c>
      <c r="AO1119" s="27">
        <f>IF($A1119="","",IF(AND(COUNTIFS($A$14:$A$1213,$A1119,$F$14:$F$1213,"&gt;=0")=2,IFERROR(INDEX($M$14:$M$313,MATCH($A1119,$H$14:$H$313,0)),"Yes")&lt;&gt;"Yes"),1,0))</f>
        <v/>
      </c>
    </row>
    <row r="1120">
      <c r="A1120" s="19">
        <f>IF('Enter messages'!A1120="","",'Enter messages'!A1120)</f>
        <v/>
      </c>
      <c r="B1120" s="20">
        <f>IF('Enter messages'!B1120="","",'Enter messages'!B1120)</f>
        <v/>
      </c>
      <c r="C1120" s="21">
        <f>IFERROR(AVERAGE(P1120:T1120),"")</f>
        <v/>
      </c>
      <c r="D1120" s="29" t="n"/>
      <c r="E1120" s="29" t="n"/>
      <c r="F1120" s="30">
        <f>IF(AND(ISNUMBER($D1120),ISNUMBER($E1120),$E1120&gt;0,$D1120&lt;=$E1120),$D1120/$E1120,"")</f>
        <v/>
      </c>
      <c r="P1120" s="26" t="n"/>
      <c r="Q1120" s="26" t="n"/>
      <c r="R1120" s="26" t="n"/>
      <c r="S1120" s="26" t="n"/>
      <c r="T1120" s="26" t="n"/>
      <c r="V1120" s="27">
        <f>IF(ISNUMBER($C1120),COUNTIFS($A$14:$A$1213,$A1120,$C$14:$C$1213,"&gt;"&amp;$C1120)+(COUNTIFS($A$14:$A$1213,$A1120,$C$14:$C$1213,"="&amp;$C1120)+1)/2,"")</f>
        <v/>
      </c>
      <c r="W1120" s="27">
        <f>IF(ISNUMBER($F1120),COUNTIFS($A$14:$A$1213,$A1120,$F$14:$F$1213,"&gt;"&amp;$F1120)+(COUNTIFS($A$14:$A$1213,$A1120,$F$14:$F$1213,"="&amp;$F1120)+1)/2,"")</f>
        <v/>
      </c>
      <c r="X1120" s="27">
        <f>IF(OR(NOT(ISNUMBER($V1120)),$AO1120=1),"",$V1120-(COUNTIFS($A$14:$A$1213,$A1120,$C$14:$C$1213,"&gt;=0")+1)/2)</f>
        <v/>
      </c>
      <c r="Y1120" s="27">
        <f>IF(OR(NOT(ISNUMBER($W1120)),$AO1120=1),"",$W1120-(COUNTIFS($A$14:$A$1213,$A1120,$F$14:$F$1213,"&gt;=0")+1)/2)</f>
        <v/>
      </c>
      <c r="Z1120" s="27">
        <f>IF(ISNUMBER($V1120),$A1120&amp;"|"&amp;$V1120,"")</f>
        <v/>
      </c>
      <c r="AA1120" s="27">
        <f>IF(ISNUMBER($W1120),$A1120&amp;"|"&amp;$W1120,"")</f>
        <v/>
      </c>
      <c r="AB1120" s="27">
        <f>IF(ISNUMBER($F1120),$A1120&amp;"|"&amp;$F1120,"")</f>
        <v/>
      </c>
      <c r="AC1120" s="27">
        <f>IF(ISNUMBER($P1120),COUNTIFS($A$14:$A$1213,$A1120,$P$14:$P$1213,"&gt;"&amp;$P1120)+(COUNTIFS($A$14:$A$1213,$A1120,$P$14:$P$1213,"="&amp;$P1120)+1)/2,"")</f>
        <v/>
      </c>
      <c r="AD1120" s="27">
        <f>IF(ISNUMBER($Q1120),COUNTIFS($A$14:$A$1213,$A1120,$Q$14:$Q$1213,"&gt;"&amp;$Q1120)+(COUNTIFS($A$14:$A$1213,$A1120,$Q$14:$Q$1213,"="&amp;$Q1120)+1)/2,"")</f>
        <v/>
      </c>
      <c r="AE1120" s="27">
        <f>IF(ISNUMBER($R1120),COUNTIFS($A$14:$A$1213,$A1120,$R$14:$R$1213,"&gt;"&amp;$R1120)+(COUNTIFS($A$14:$A$1213,$A1120,$R$14:$R$1213,"="&amp;$R1120)+1)/2,"")</f>
        <v/>
      </c>
      <c r="AF1120" s="27">
        <f>IF(ISNUMBER($S1120),COUNTIFS($A$14:$A$1213,$A1120,$S$14:$S$1213,"&gt;"&amp;$S1120)+(COUNTIFS($A$14:$A$1213,$A1120,$S$14:$S$1213,"="&amp;$S1120)+1)/2,"")</f>
        <v/>
      </c>
      <c r="AG1120" s="27">
        <f>IF(ISNUMBER($T1120),COUNTIFS($A$14:$A$1213,$A1120,$T$14:$T$1213,"&gt;"&amp;$T1120)+(COUNTIFS($A$14:$A$1213,$A1120,$T$14:$T$1213,"="&amp;$T1120)+1)/2,"")</f>
        <v/>
      </c>
      <c r="AH1120" s="27">
        <f>IF(COUNT($AC1120:$AG1120)&lt;2,"",IF(MAX($AC1120:$AG1120)=MIN($AC1120:$AG1120),0,1))</f>
        <v/>
      </c>
      <c r="AI1120" s="27">
        <f>IF($A1120="","",IF(COUNTIF($A$14:$A1120,$A1120)=1,COUNTIF($AI$13:AI1119,"&gt;0")+1,""))</f>
        <v/>
      </c>
      <c r="AO1120" s="27">
        <f>IF($A1120="","",IF(AND(COUNTIFS($A$14:$A$1213,$A1120,$F$14:$F$1213,"&gt;=0")=2,IFERROR(INDEX($M$14:$M$313,MATCH($A1120,$H$14:$H$313,0)),"Yes")&lt;&gt;"Yes"),1,0))</f>
        <v/>
      </c>
    </row>
    <row r="1121">
      <c r="A1121" s="19">
        <f>IF('Enter messages'!A1121="","",'Enter messages'!A1121)</f>
        <v/>
      </c>
      <c r="B1121" s="20">
        <f>IF('Enter messages'!B1121="","",'Enter messages'!B1121)</f>
        <v/>
      </c>
      <c r="C1121" s="21">
        <f>IFERROR(AVERAGE(P1121:T1121),"")</f>
        <v/>
      </c>
      <c r="D1121" s="29" t="n"/>
      <c r="E1121" s="29" t="n"/>
      <c r="F1121" s="30">
        <f>IF(AND(ISNUMBER($D1121),ISNUMBER($E1121),$E1121&gt;0,$D1121&lt;=$E1121),$D1121/$E1121,"")</f>
        <v/>
      </c>
      <c r="P1121" s="26" t="n"/>
      <c r="Q1121" s="26" t="n"/>
      <c r="R1121" s="26" t="n"/>
      <c r="S1121" s="26" t="n"/>
      <c r="T1121" s="26" t="n"/>
      <c r="V1121" s="27">
        <f>IF(ISNUMBER($C1121),COUNTIFS($A$14:$A$1213,$A1121,$C$14:$C$1213,"&gt;"&amp;$C1121)+(COUNTIFS($A$14:$A$1213,$A1121,$C$14:$C$1213,"="&amp;$C1121)+1)/2,"")</f>
        <v/>
      </c>
      <c r="W1121" s="27">
        <f>IF(ISNUMBER($F1121),COUNTIFS($A$14:$A$1213,$A1121,$F$14:$F$1213,"&gt;"&amp;$F1121)+(COUNTIFS($A$14:$A$1213,$A1121,$F$14:$F$1213,"="&amp;$F1121)+1)/2,"")</f>
        <v/>
      </c>
      <c r="X1121" s="27">
        <f>IF(OR(NOT(ISNUMBER($V1121)),$AO1121=1),"",$V1121-(COUNTIFS($A$14:$A$1213,$A1121,$C$14:$C$1213,"&gt;=0")+1)/2)</f>
        <v/>
      </c>
      <c r="Y1121" s="27">
        <f>IF(OR(NOT(ISNUMBER($W1121)),$AO1121=1),"",$W1121-(COUNTIFS($A$14:$A$1213,$A1121,$F$14:$F$1213,"&gt;=0")+1)/2)</f>
        <v/>
      </c>
      <c r="Z1121" s="27">
        <f>IF(ISNUMBER($V1121),$A1121&amp;"|"&amp;$V1121,"")</f>
        <v/>
      </c>
      <c r="AA1121" s="27">
        <f>IF(ISNUMBER($W1121),$A1121&amp;"|"&amp;$W1121,"")</f>
        <v/>
      </c>
      <c r="AB1121" s="27">
        <f>IF(ISNUMBER($F1121),$A1121&amp;"|"&amp;$F1121,"")</f>
        <v/>
      </c>
      <c r="AC1121" s="27">
        <f>IF(ISNUMBER($P1121),COUNTIFS($A$14:$A$1213,$A1121,$P$14:$P$1213,"&gt;"&amp;$P1121)+(COUNTIFS($A$14:$A$1213,$A1121,$P$14:$P$1213,"="&amp;$P1121)+1)/2,"")</f>
        <v/>
      </c>
      <c r="AD1121" s="27">
        <f>IF(ISNUMBER($Q1121),COUNTIFS($A$14:$A$1213,$A1121,$Q$14:$Q$1213,"&gt;"&amp;$Q1121)+(COUNTIFS($A$14:$A$1213,$A1121,$Q$14:$Q$1213,"="&amp;$Q1121)+1)/2,"")</f>
        <v/>
      </c>
      <c r="AE1121" s="27">
        <f>IF(ISNUMBER($R1121),COUNTIFS($A$14:$A$1213,$A1121,$R$14:$R$1213,"&gt;"&amp;$R1121)+(COUNTIFS($A$14:$A$1213,$A1121,$R$14:$R$1213,"="&amp;$R1121)+1)/2,"")</f>
        <v/>
      </c>
      <c r="AF1121" s="27">
        <f>IF(ISNUMBER($S1121),COUNTIFS($A$14:$A$1213,$A1121,$S$14:$S$1213,"&gt;"&amp;$S1121)+(COUNTIFS($A$14:$A$1213,$A1121,$S$14:$S$1213,"="&amp;$S1121)+1)/2,"")</f>
        <v/>
      </c>
      <c r="AG1121" s="27">
        <f>IF(ISNUMBER($T1121),COUNTIFS($A$14:$A$1213,$A1121,$T$14:$T$1213,"&gt;"&amp;$T1121)+(COUNTIFS($A$14:$A$1213,$A1121,$T$14:$T$1213,"="&amp;$T1121)+1)/2,"")</f>
        <v/>
      </c>
      <c r="AH1121" s="27">
        <f>IF(COUNT($AC1121:$AG1121)&lt;2,"",IF(MAX($AC1121:$AG1121)=MIN($AC1121:$AG1121),0,1))</f>
        <v/>
      </c>
      <c r="AI1121" s="27">
        <f>IF($A1121="","",IF(COUNTIF($A$14:$A1121,$A1121)=1,COUNTIF($AI$13:AI1120,"&gt;0")+1,""))</f>
        <v/>
      </c>
      <c r="AO1121" s="27">
        <f>IF($A1121="","",IF(AND(COUNTIFS($A$14:$A$1213,$A1121,$F$14:$F$1213,"&gt;=0")=2,IFERROR(INDEX($M$14:$M$313,MATCH($A1121,$H$14:$H$313,0)),"Yes")&lt;&gt;"Yes"),1,0))</f>
        <v/>
      </c>
    </row>
    <row r="1122">
      <c r="A1122" s="19">
        <f>IF('Enter messages'!A1122="","",'Enter messages'!A1122)</f>
        <v/>
      </c>
      <c r="B1122" s="20">
        <f>IF('Enter messages'!B1122="","",'Enter messages'!B1122)</f>
        <v/>
      </c>
      <c r="C1122" s="21">
        <f>IFERROR(AVERAGE(P1122:T1122),"")</f>
        <v/>
      </c>
      <c r="D1122" s="29" t="n"/>
      <c r="E1122" s="29" t="n"/>
      <c r="F1122" s="30">
        <f>IF(AND(ISNUMBER($D1122),ISNUMBER($E1122),$E1122&gt;0,$D1122&lt;=$E1122),$D1122/$E1122,"")</f>
        <v/>
      </c>
      <c r="P1122" s="26" t="n"/>
      <c r="Q1122" s="26" t="n"/>
      <c r="R1122" s="26" t="n"/>
      <c r="S1122" s="26" t="n"/>
      <c r="T1122" s="26" t="n"/>
      <c r="V1122" s="27">
        <f>IF(ISNUMBER($C1122),COUNTIFS($A$14:$A$1213,$A1122,$C$14:$C$1213,"&gt;"&amp;$C1122)+(COUNTIFS($A$14:$A$1213,$A1122,$C$14:$C$1213,"="&amp;$C1122)+1)/2,"")</f>
        <v/>
      </c>
      <c r="W1122" s="27">
        <f>IF(ISNUMBER($F1122),COUNTIFS($A$14:$A$1213,$A1122,$F$14:$F$1213,"&gt;"&amp;$F1122)+(COUNTIFS($A$14:$A$1213,$A1122,$F$14:$F$1213,"="&amp;$F1122)+1)/2,"")</f>
        <v/>
      </c>
      <c r="X1122" s="27">
        <f>IF(OR(NOT(ISNUMBER($V1122)),$AO1122=1),"",$V1122-(COUNTIFS($A$14:$A$1213,$A1122,$C$14:$C$1213,"&gt;=0")+1)/2)</f>
        <v/>
      </c>
      <c r="Y1122" s="27">
        <f>IF(OR(NOT(ISNUMBER($W1122)),$AO1122=1),"",$W1122-(COUNTIFS($A$14:$A$1213,$A1122,$F$14:$F$1213,"&gt;=0")+1)/2)</f>
        <v/>
      </c>
      <c r="Z1122" s="27">
        <f>IF(ISNUMBER($V1122),$A1122&amp;"|"&amp;$V1122,"")</f>
        <v/>
      </c>
      <c r="AA1122" s="27">
        <f>IF(ISNUMBER($W1122),$A1122&amp;"|"&amp;$W1122,"")</f>
        <v/>
      </c>
      <c r="AB1122" s="27">
        <f>IF(ISNUMBER($F1122),$A1122&amp;"|"&amp;$F1122,"")</f>
        <v/>
      </c>
      <c r="AC1122" s="27">
        <f>IF(ISNUMBER($P1122),COUNTIFS($A$14:$A$1213,$A1122,$P$14:$P$1213,"&gt;"&amp;$P1122)+(COUNTIFS($A$14:$A$1213,$A1122,$P$14:$P$1213,"="&amp;$P1122)+1)/2,"")</f>
        <v/>
      </c>
      <c r="AD1122" s="27">
        <f>IF(ISNUMBER($Q1122),COUNTIFS($A$14:$A$1213,$A1122,$Q$14:$Q$1213,"&gt;"&amp;$Q1122)+(COUNTIFS($A$14:$A$1213,$A1122,$Q$14:$Q$1213,"="&amp;$Q1122)+1)/2,"")</f>
        <v/>
      </c>
      <c r="AE1122" s="27">
        <f>IF(ISNUMBER($R1122),COUNTIFS($A$14:$A$1213,$A1122,$R$14:$R$1213,"&gt;"&amp;$R1122)+(COUNTIFS($A$14:$A$1213,$A1122,$R$14:$R$1213,"="&amp;$R1122)+1)/2,"")</f>
        <v/>
      </c>
      <c r="AF1122" s="27">
        <f>IF(ISNUMBER($S1122),COUNTIFS($A$14:$A$1213,$A1122,$S$14:$S$1213,"&gt;"&amp;$S1122)+(COUNTIFS($A$14:$A$1213,$A1122,$S$14:$S$1213,"="&amp;$S1122)+1)/2,"")</f>
        <v/>
      </c>
      <c r="AG1122" s="27">
        <f>IF(ISNUMBER($T1122),COUNTIFS($A$14:$A$1213,$A1122,$T$14:$T$1213,"&gt;"&amp;$T1122)+(COUNTIFS($A$14:$A$1213,$A1122,$T$14:$T$1213,"="&amp;$T1122)+1)/2,"")</f>
        <v/>
      </c>
      <c r="AH1122" s="27">
        <f>IF(COUNT($AC1122:$AG1122)&lt;2,"",IF(MAX($AC1122:$AG1122)=MIN($AC1122:$AG1122),0,1))</f>
        <v/>
      </c>
      <c r="AI1122" s="27">
        <f>IF($A1122="","",IF(COUNTIF($A$14:$A1122,$A1122)=1,COUNTIF($AI$13:AI1121,"&gt;0")+1,""))</f>
        <v/>
      </c>
      <c r="AO1122" s="27">
        <f>IF($A1122="","",IF(AND(COUNTIFS($A$14:$A$1213,$A1122,$F$14:$F$1213,"&gt;=0")=2,IFERROR(INDEX($M$14:$M$313,MATCH($A1122,$H$14:$H$313,0)),"Yes")&lt;&gt;"Yes"),1,0))</f>
        <v/>
      </c>
    </row>
    <row r="1123">
      <c r="A1123" s="19">
        <f>IF('Enter messages'!A1123="","",'Enter messages'!A1123)</f>
        <v/>
      </c>
      <c r="B1123" s="20">
        <f>IF('Enter messages'!B1123="","",'Enter messages'!B1123)</f>
        <v/>
      </c>
      <c r="C1123" s="21">
        <f>IFERROR(AVERAGE(P1123:T1123),"")</f>
        <v/>
      </c>
      <c r="D1123" s="29" t="n"/>
      <c r="E1123" s="29" t="n"/>
      <c r="F1123" s="30">
        <f>IF(AND(ISNUMBER($D1123),ISNUMBER($E1123),$E1123&gt;0,$D1123&lt;=$E1123),$D1123/$E1123,"")</f>
        <v/>
      </c>
      <c r="P1123" s="26" t="n"/>
      <c r="Q1123" s="26" t="n"/>
      <c r="R1123" s="26" t="n"/>
      <c r="S1123" s="26" t="n"/>
      <c r="T1123" s="26" t="n"/>
      <c r="V1123" s="27">
        <f>IF(ISNUMBER($C1123),COUNTIFS($A$14:$A$1213,$A1123,$C$14:$C$1213,"&gt;"&amp;$C1123)+(COUNTIFS($A$14:$A$1213,$A1123,$C$14:$C$1213,"="&amp;$C1123)+1)/2,"")</f>
        <v/>
      </c>
      <c r="W1123" s="27">
        <f>IF(ISNUMBER($F1123),COUNTIFS($A$14:$A$1213,$A1123,$F$14:$F$1213,"&gt;"&amp;$F1123)+(COUNTIFS($A$14:$A$1213,$A1123,$F$14:$F$1213,"="&amp;$F1123)+1)/2,"")</f>
        <v/>
      </c>
      <c r="X1123" s="27">
        <f>IF(OR(NOT(ISNUMBER($V1123)),$AO1123=1),"",$V1123-(COUNTIFS($A$14:$A$1213,$A1123,$C$14:$C$1213,"&gt;=0")+1)/2)</f>
        <v/>
      </c>
      <c r="Y1123" s="27">
        <f>IF(OR(NOT(ISNUMBER($W1123)),$AO1123=1),"",$W1123-(COUNTIFS($A$14:$A$1213,$A1123,$F$14:$F$1213,"&gt;=0")+1)/2)</f>
        <v/>
      </c>
      <c r="Z1123" s="27">
        <f>IF(ISNUMBER($V1123),$A1123&amp;"|"&amp;$V1123,"")</f>
        <v/>
      </c>
      <c r="AA1123" s="27">
        <f>IF(ISNUMBER($W1123),$A1123&amp;"|"&amp;$W1123,"")</f>
        <v/>
      </c>
      <c r="AB1123" s="27">
        <f>IF(ISNUMBER($F1123),$A1123&amp;"|"&amp;$F1123,"")</f>
        <v/>
      </c>
      <c r="AC1123" s="27">
        <f>IF(ISNUMBER($P1123),COUNTIFS($A$14:$A$1213,$A1123,$P$14:$P$1213,"&gt;"&amp;$P1123)+(COUNTIFS($A$14:$A$1213,$A1123,$P$14:$P$1213,"="&amp;$P1123)+1)/2,"")</f>
        <v/>
      </c>
      <c r="AD1123" s="27">
        <f>IF(ISNUMBER($Q1123),COUNTIFS($A$14:$A$1213,$A1123,$Q$14:$Q$1213,"&gt;"&amp;$Q1123)+(COUNTIFS($A$14:$A$1213,$A1123,$Q$14:$Q$1213,"="&amp;$Q1123)+1)/2,"")</f>
        <v/>
      </c>
      <c r="AE1123" s="27">
        <f>IF(ISNUMBER($R1123),COUNTIFS($A$14:$A$1213,$A1123,$R$14:$R$1213,"&gt;"&amp;$R1123)+(COUNTIFS($A$14:$A$1213,$A1123,$R$14:$R$1213,"="&amp;$R1123)+1)/2,"")</f>
        <v/>
      </c>
      <c r="AF1123" s="27">
        <f>IF(ISNUMBER($S1123),COUNTIFS($A$14:$A$1213,$A1123,$S$14:$S$1213,"&gt;"&amp;$S1123)+(COUNTIFS($A$14:$A$1213,$A1123,$S$14:$S$1213,"="&amp;$S1123)+1)/2,"")</f>
        <v/>
      </c>
      <c r="AG1123" s="27">
        <f>IF(ISNUMBER($T1123),COUNTIFS($A$14:$A$1213,$A1123,$T$14:$T$1213,"&gt;"&amp;$T1123)+(COUNTIFS($A$14:$A$1213,$A1123,$T$14:$T$1213,"="&amp;$T1123)+1)/2,"")</f>
        <v/>
      </c>
      <c r="AH1123" s="27">
        <f>IF(COUNT($AC1123:$AG1123)&lt;2,"",IF(MAX($AC1123:$AG1123)=MIN($AC1123:$AG1123),0,1))</f>
        <v/>
      </c>
      <c r="AI1123" s="27">
        <f>IF($A1123="","",IF(COUNTIF($A$14:$A1123,$A1123)=1,COUNTIF($AI$13:AI1122,"&gt;0")+1,""))</f>
        <v/>
      </c>
      <c r="AO1123" s="27">
        <f>IF($A1123="","",IF(AND(COUNTIFS($A$14:$A$1213,$A1123,$F$14:$F$1213,"&gt;=0")=2,IFERROR(INDEX($M$14:$M$313,MATCH($A1123,$H$14:$H$313,0)),"Yes")&lt;&gt;"Yes"),1,0))</f>
        <v/>
      </c>
    </row>
    <row r="1124">
      <c r="A1124" s="19">
        <f>IF('Enter messages'!A1124="","",'Enter messages'!A1124)</f>
        <v/>
      </c>
      <c r="B1124" s="20">
        <f>IF('Enter messages'!B1124="","",'Enter messages'!B1124)</f>
        <v/>
      </c>
      <c r="C1124" s="21">
        <f>IFERROR(AVERAGE(P1124:T1124),"")</f>
        <v/>
      </c>
      <c r="D1124" s="29" t="n"/>
      <c r="E1124" s="29" t="n"/>
      <c r="F1124" s="30">
        <f>IF(AND(ISNUMBER($D1124),ISNUMBER($E1124),$E1124&gt;0,$D1124&lt;=$E1124),$D1124/$E1124,"")</f>
        <v/>
      </c>
      <c r="P1124" s="26" t="n"/>
      <c r="Q1124" s="26" t="n"/>
      <c r="R1124" s="26" t="n"/>
      <c r="S1124" s="26" t="n"/>
      <c r="T1124" s="26" t="n"/>
      <c r="V1124" s="27">
        <f>IF(ISNUMBER($C1124),COUNTIFS($A$14:$A$1213,$A1124,$C$14:$C$1213,"&gt;"&amp;$C1124)+(COUNTIFS($A$14:$A$1213,$A1124,$C$14:$C$1213,"="&amp;$C1124)+1)/2,"")</f>
        <v/>
      </c>
      <c r="W1124" s="27">
        <f>IF(ISNUMBER($F1124),COUNTIFS($A$14:$A$1213,$A1124,$F$14:$F$1213,"&gt;"&amp;$F1124)+(COUNTIFS($A$14:$A$1213,$A1124,$F$14:$F$1213,"="&amp;$F1124)+1)/2,"")</f>
        <v/>
      </c>
      <c r="X1124" s="27">
        <f>IF(OR(NOT(ISNUMBER($V1124)),$AO1124=1),"",$V1124-(COUNTIFS($A$14:$A$1213,$A1124,$C$14:$C$1213,"&gt;=0")+1)/2)</f>
        <v/>
      </c>
      <c r="Y1124" s="27">
        <f>IF(OR(NOT(ISNUMBER($W1124)),$AO1124=1),"",$W1124-(COUNTIFS($A$14:$A$1213,$A1124,$F$14:$F$1213,"&gt;=0")+1)/2)</f>
        <v/>
      </c>
      <c r="Z1124" s="27">
        <f>IF(ISNUMBER($V1124),$A1124&amp;"|"&amp;$V1124,"")</f>
        <v/>
      </c>
      <c r="AA1124" s="27">
        <f>IF(ISNUMBER($W1124),$A1124&amp;"|"&amp;$W1124,"")</f>
        <v/>
      </c>
      <c r="AB1124" s="27">
        <f>IF(ISNUMBER($F1124),$A1124&amp;"|"&amp;$F1124,"")</f>
        <v/>
      </c>
      <c r="AC1124" s="27">
        <f>IF(ISNUMBER($P1124),COUNTIFS($A$14:$A$1213,$A1124,$P$14:$P$1213,"&gt;"&amp;$P1124)+(COUNTIFS($A$14:$A$1213,$A1124,$P$14:$P$1213,"="&amp;$P1124)+1)/2,"")</f>
        <v/>
      </c>
      <c r="AD1124" s="27">
        <f>IF(ISNUMBER($Q1124),COUNTIFS($A$14:$A$1213,$A1124,$Q$14:$Q$1213,"&gt;"&amp;$Q1124)+(COUNTIFS($A$14:$A$1213,$A1124,$Q$14:$Q$1213,"="&amp;$Q1124)+1)/2,"")</f>
        <v/>
      </c>
      <c r="AE1124" s="27">
        <f>IF(ISNUMBER($R1124),COUNTIFS($A$14:$A$1213,$A1124,$R$14:$R$1213,"&gt;"&amp;$R1124)+(COUNTIFS($A$14:$A$1213,$A1124,$R$14:$R$1213,"="&amp;$R1124)+1)/2,"")</f>
        <v/>
      </c>
      <c r="AF1124" s="27">
        <f>IF(ISNUMBER($S1124),COUNTIFS($A$14:$A$1213,$A1124,$S$14:$S$1213,"&gt;"&amp;$S1124)+(COUNTIFS($A$14:$A$1213,$A1124,$S$14:$S$1213,"="&amp;$S1124)+1)/2,"")</f>
        <v/>
      </c>
      <c r="AG1124" s="27">
        <f>IF(ISNUMBER($T1124),COUNTIFS($A$14:$A$1213,$A1124,$T$14:$T$1213,"&gt;"&amp;$T1124)+(COUNTIFS($A$14:$A$1213,$A1124,$T$14:$T$1213,"="&amp;$T1124)+1)/2,"")</f>
        <v/>
      </c>
      <c r="AH1124" s="27">
        <f>IF(COUNT($AC1124:$AG1124)&lt;2,"",IF(MAX($AC1124:$AG1124)=MIN($AC1124:$AG1124),0,1))</f>
        <v/>
      </c>
      <c r="AI1124" s="27">
        <f>IF($A1124="","",IF(COUNTIF($A$14:$A1124,$A1124)=1,COUNTIF($AI$13:AI1123,"&gt;0")+1,""))</f>
        <v/>
      </c>
      <c r="AO1124" s="27">
        <f>IF($A1124="","",IF(AND(COUNTIFS($A$14:$A$1213,$A1124,$F$14:$F$1213,"&gt;=0")=2,IFERROR(INDEX($M$14:$M$313,MATCH($A1124,$H$14:$H$313,0)),"Yes")&lt;&gt;"Yes"),1,0))</f>
        <v/>
      </c>
    </row>
    <row r="1125">
      <c r="A1125" s="19">
        <f>IF('Enter messages'!A1125="","",'Enter messages'!A1125)</f>
        <v/>
      </c>
      <c r="B1125" s="20">
        <f>IF('Enter messages'!B1125="","",'Enter messages'!B1125)</f>
        <v/>
      </c>
      <c r="C1125" s="21">
        <f>IFERROR(AVERAGE(P1125:T1125),"")</f>
        <v/>
      </c>
      <c r="D1125" s="29" t="n"/>
      <c r="E1125" s="29" t="n"/>
      <c r="F1125" s="30">
        <f>IF(AND(ISNUMBER($D1125),ISNUMBER($E1125),$E1125&gt;0,$D1125&lt;=$E1125),$D1125/$E1125,"")</f>
        <v/>
      </c>
      <c r="P1125" s="26" t="n"/>
      <c r="Q1125" s="26" t="n"/>
      <c r="R1125" s="26" t="n"/>
      <c r="S1125" s="26" t="n"/>
      <c r="T1125" s="26" t="n"/>
      <c r="V1125" s="27">
        <f>IF(ISNUMBER($C1125),COUNTIFS($A$14:$A$1213,$A1125,$C$14:$C$1213,"&gt;"&amp;$C1125)+(COUNTIFS($A$14:$A$1213,$A1125,$C$14:$C$1213,"="&amp;$C1125)+1)/2,"")</f>
        <v/>
      </c>
      <c r="W1125" s="27">
        <f>IF(ISNUMBER($F1125),COUNTIFS($A$14:$A$1213,$A1125,$F$14:$F$1213,"&gt;"&amp;$F1125)+(COUNTIFS($A$14:$A$1213,$A1125,$F$14:$F$1213,"="&amp;$F1125)+1)/2,"")</f>
        <v/>
      </c>
      <c r="X1125" s="27">
        <f>IF(OR(NOT(ISNUMBER($V1125)),$AO1125=1),"",$V1125-(COUNTIFS($A$14:$A$1213,$A1125,$C$14:$C$1213,"&gt;=0")+1)/2)</f>
        <v/>
      </c>
      <c r="Y1125" s="27">
        <f>IF(OR(NOT(ISNUMBER($W1125)),$AO1125=1),"",$W1125-(COUNTIFS($A$14:$A$1213,$A1125,$F$14:$F$1213,"&gt;=0")+1)/2)</f>
        <v/>
      </c>
      <c r="Z1125" s="27">
        <f>IF(ISNUMBER($V1125),$A1125&amp;"|"&amp;$V1125,"")</f>
        <v/>
      </c>
      <c r="AA1125" s="27">
        <f>IF(ISNUMBER($W1125),$A1125&amp;"|"&amp;$W1125,"")</f>
        <v/>
      </c>
      <c r="AB1125" s="27">
        <f>IF(ISNUMBER($F1125),$A1125&amp;"|"&amp;$F1125,"")</f>
        <v/>
      </c>
      <c r="AC1125" s="27">
        <f>IF(ISNUMBER($P1125),COUNTIFS($A$14:$A$1213,$A1125,$P$14:$P$1213,"&gt;"&amp;$P1125)+(COUNTIFS($A$14:$A$1213,$A1125,$P$14:$P$1213,"="&amp;$P1125)+1)/2,"")</f>
        <v/>
      </c>
      <c r="AD1125" s="27">
        <f>IF(ISNUMBER($Q1125),COUNTIFS($A$14:$A$1213,$A1125,$Q$14:$Q$1213,"&gt;"&amp;$Q1125)+(COUNTIFS($A$14:$A$1213,$A1125,$Q$14:$Q$1213,"="&amp;$Q1125)+1)/2,"")</f>
        <v/>
      </c>
      <c r="AE1125" s="27">
        <f>IF(ISNUMBER($R1125),COUNTIFS($A$14:$A$1213,$A1125,$R$14:$R$1213,"&gt;"&amp;$R1125)+(COUNTIFS($A$14:$A$1213,$A1125,$R$14:$R$1213,"="&amp;$R1125)+1)/2,"")</f>
        <v/>
      </c>
      <c r="AF1125" s="27">
        <f>IF(ISNUMBER($S1125),COUNTIFS($A$14:$A$1213,$A1125,$S$14:$S$1213,"&gt;"&amp;$S1125)+(COUNTIFS($A$14:$A$1213,$A1125,$S$14:$S$1213,"="&amp;$S1125)+1)/2,"")</f>
        <v/>
      </c>
      <c r="AG1125" s="27">
        <f>IF(ISNUMBER($T1125),COUNTIFS($A$14:$A$1213,$A1125,$T$14:$T$1213,"&gt;"&amp;$T1125)+(COUNTIFS($A$14:$A$1213,$A1125,$T$14:$T$1213,"="&amp;$T1125)+1)/2,"")</f>
        <v/>
      </c>
      <c r="AH1125" s="27">
        <f>IF(COUNT($AC1125:$AG1125)&lt;2,"",IF(MAX($AC1125:$AG1125)=MIN($AC1125:$AG1125),0,1))</f>
        <v/>
      </c>
      <c r="AI1125" s="27">
        <f>IF($A1125="","",IF(COUNTIF($A$14:$A1125,$A1125)=1,COUNTIF($AI$13:AI1124,"&gt;0")+1,""))</f>
        <v/>
      </c>
      <c r="AO1125" s="27">
        <f>IF($A1125="","",IF(AND(COUNTIFS($A$14:$A$1213,$A1125,$F$14:$F$1213,"&gt;=0")=2,IFERROR(INDEX($M$14:$M$313,MATCH($A1125,$H$14:$H$313,0)),"Yes")&lt;&gt;"Yes"),1,0))</f>
        <v/>
      </c>
    </row>
    <row r="1126">
      <c r="A1126" s="19">
        <f>IF('Enter messages'!A1126="","",'Enter messages'!A1126)</f>
        <v/>
      </c>
      <c r="B1126" s="20">
        <f>IF('Enter messages'!B1126="","",'Enter messages'!B1126)</f>
        <v/>
      </c>
      <c r="C1126" s="21">
        <f>IFERROR(AVERAGE(P1126:T1126),"")</f>
        <v/>
      </c>
      <c r="D1126" s="29" t="n"/>
      <c r="E1126" s="29" t="n"/>
      <c r="F1126" s="30">
        <f>IF(AND(ISNUMBER($D1126),ISNUMBER($E1126),$E1126&gt;0,$D1126&lt;=$E1126),$D1126/$E1126,"")</f>
        <v/>
      </c>
      <c r="P1126" s="26" t="n"/>
      <c r="Q1126" s="26" t="n"/>
      <c r="R1126" s="26" t="n"/>
      <c r="S1126" s="26" t="n"/>
      <c r="T1126" s="26" t="n"/>
      <c r="V1126" s="27">
        <f>IF(ISNUMBER($C1126),COUNTIFS($A$14:$A$1213,$A1126,$C$14:$C$1213,"&gt;"&amp;$C1126)+(COUNTIFS($A$14:$A$1213,$A1126,$C$14:$C$1213,"="&amp;$C1126)+1)/2,"")</f>
        <v/>
      </c>
      <c r="W1126" s="27">
        <f>IF(ISNUMBER($F1126),COUNTIFS($A$14:$A$1213,$A1126,$F$14:$F$1213,"&gt;"&amp;$F1126)+(COUNTIFS($A$14:$A$1213,$A1126,$F$14:$F$1213,"="&amp;$F1126)+1)/2,"")</f>
        <v/>
      </c>
      <c r="X1126" s="27">
        <f>IF(OR(NOT(ISNUMBER($V1126)),$AO1126=1),"",$V1126-(COUNTIFS($A$14:$A$1213,$A1126,$C$14:$C$1213,"&gt;=0")+1)/2)</f>
        <v/>
      </c>
      <c r="Y1126" s="27">
        <f>IF(OR(NOT(ISNUMBER($W1126)),$AO1126=1),"",$W1126-(COUNTIFS($A$14:$A$1213,$A1126,$F$14:$F$1213,"&gt;=0")+1)/2)</f>
        <v/>
      </c>
      <c r="Z1126" s="27">
        <f>IF(ISNUMBER($V1126),$A1126&amp;"|"&amp;$V1126,"")</f>
        <v/>
      </c>
      <c r="AA1126" s="27">
        <f>IF(ISNUMBER($W1126),$A1126&amp;"|"&amp;$W1126,"")</f>
        <v/>
      </c>
      <c r="AB1126" s="27">
        <f>IF(ISNUMBER($F1126),$A1126&amp;"|"&amp;$F1126,"")</f>
        <v/>
      </c>
      <c r="AC1126" s="27">
        <f>IF(ISNUMBER($P1126),COUNTIFS($A$14:$A$1213,$A1126,$P$14:$P$1213,"&gt;"&amp;$P1126)+(COUNTIFS($A$14:$A$1213,$A1126,$P$14:$P$1213,"="&amp;$P1126)+1)/2,"")</f>
        <v/>
      </c>
      <c r="AD1126" s="27">
        <f>IF(ISNUMBER($Q1126),COUNTIFS($A$14:$A$1213,$A1126,$Q$14:$Q$1213,"&gt;"&amp;$Q1126)+(COUNTIFS($A$14:$A$1213,$A1126,$Q$14:$Q$1213,"="&amp;$Q1126)+1)/2,"")</f>
        <v/>
      </c>
      <c r="AE1126" s="27">
        <f>IF(ISNUMBER($R1126),COUNTIFS($A$14:$A$1213,$A1126,$R$14:$R$1213,"&gt;"&amp;$R1126)+(COUNTIFS($A$14:$A$1213,$A1126,$R$14:$R$1213,"="&amp;$R1126)+1)/2,"")</f>
        <v/>
      </c>
      <c r="AF1126" s="27">
        <f>IF(ISNUMBER($S1126),COUNTIFS($A$14:$A$1213,$A1126,$S$14:$S$1213,"&gt;"&amp;$S1126)+(COUNTIFS($A$14:$A$1213,$A1126,$S$14:$S$1213,"="&amp;$S1126)+1)/2,"")</f>
        <v/>
      </c>
      <c r="AG1126" s="27">
        <f>IF(ISNUMBER($T1126),COUNTIFS($A$14:$A$1213,$A1126,$T$14:$T$1213,"&gt;"&amp;$T1126)+(COUNTIFS($A$14:$A$1213,$A1126,$T$14:$T$1213,"="&amp;$T1126)+1)/2,"")</f>
        <v/>
      </c>
      <c r="AH1126" s="27">
        <f>IF(COUNT($AC1126:$AG1126)&lt;2,"",IF(MAX($AC1126:$AG1126)=MIN($AC1126:$AG1126),0,1))</f>
        <v/>
      </c>
      <c r="AI1126" s="27">
        <f>IF($A1126="","",IF(COUNTIF($A$14:$A1126,$A1126)=1,COUNTIF($AI$13:AI1125,"&gt;0")+1,""))</f>
        <v/>
      </c>
      <c r="AO1126" s="27">
        <f>IF($A1126="","",IF(AND(COUNTIFS($A$14:$A$1213,$A1126,$F$14:$F$1213,"&gt;=0")=2,IFERROR(INDEX($M$14:$M$313,MATCH($A1126,$H$14:$H$313,0)),"Yes")&lt;&gt;"Yes"),1,0))</f>
        <v/>
      </c>
    </row>
    <row r="1127">
      <c r="A1127" s="19">
        <f>IF('Enter messages'!A1127="","",'Enter messages'!A1127)</f>
        <v/>
      </c>
      <c r="B1127" s="20">
        <f>IF('Enter messages'!B1127="","",'Enter messages'!B1127)</f>
        <v/>
      </c>
      <c r="C1127" s="21">
        <f>IFERROR(AVERAGE(P1127:T1127),"")</f>
        <v/>
      </c>
      <c r="D1127" s="29" t="n"/>
      <c r="E1127" s="29" t="n"/>
      <c r="F1127" s="30">
        <f>IF(AND(ISNUMBER($D1127),ISNUMBER($E1127),$E1127&gt;0,$D1127&lt;=$E1127),$D1127/$E1127,"")</f>
        <v/>
      </c>
      <c r="P1127" s="26" t="n"/>
      <c r="Q1127" s="26" t="n"/>
      <c r="R1127" s="26" t="n"/>
      <c r="S1127" s="26" t="n"/>
      <c r="T1127" s="26" t="n"/>
      <c r="V1127" s="27">
        <f>IF(ISNUMBER($C1127),COUNTIFS($A$14:$A$1213,$A1127,$C$14:$C$1213,"&gt;"&amp;$C1127)+(COUNTIFS($A$14:$A$1213,$A1127,$C$14:$C$1213,"="&amp;$C1127)+1)/2,"")</f>
        <v/>
      </c>
      <c r="W1127" s="27">
        <f>IF(ISNUMBER($F1127),COUNTIFS($A$14:$A$1213,$A1127,$F$14:$F$1213,"&gt;"&amp;$F1127)+(COUNTIFS($A$14:$A$1213,$A1127,$F$14:$F$1213,"="&amp;$F1127)+1)/2,"")</f>
        <v/>
      </c>
      <c r="X1127" s="27">
        <f>IF(OR(NOT(ISNUMBER($V1127)),$AO1127=1),"",$V1127-(COUNTIFS($A$14:$A$1213,$A1127,$C$14:$C$1213,"&gt;=0")+1)/2)</f>
        <v/>
      </c>
      <c r="Y1127" s="27">
        <f>IF(OR(NOT(ISNUMBER($W1127)),$AO1127=1),"",$W1127-(COUNTIFS($A$14:$A$1213,$A1127,$F$14:$F$1213,"&gt;=0")+1)/2)</f>
        <v/>
      </c>
      <c r="Z1127" s="27">
        <f>IF(ISNUMBER($V1127),$A1127&amp;"|"&amp;$V1127,"")</f>
        <v/>
      </c>
      <c r="AA1127" s="27">
        <f>IF(ISNUMBER($W1127),$A1127&amp;"|"&amp;$W1127,"")</f>
        <v/>
      </c>
      <c r="AB1127" s="27">
        <f>IF(ISNUMBER($F1127),$A1127&amp;"|"&amp;$F1127,"")</f>
        <v/>
      </c>
      <c r="AC1127" s="27">
        <f>IF(ISNUMBER($P1127),COUNTIFS($A$14:$A$1213,$A1127,$P$14:$P$1213,"&gt;"&amp;$P1127)+(COUNTIFS($A$14:$A$1213,$A1127,$P$14:$P$1213,"="&amp;$P1127)+1)/2,"")</f>
        <v/>
      </c>
      <c r="AD1127" s="27">
        <f>IF(ISNUMBER($Q1127),COUNTIFS($A$14:$A$1213,$A1127,$Q$14:$Q$1213,"&gt;"&amp;$Q1127)+(COUNTIFS($A$14:$A$1213,$A1127,$Q$14:$Q$1213,"="&amp;$Q1127)+1)/2,"")</f>
        <v/>
      </c>
      <c r="AE1127" s="27">
        <f>IF(ISNUMBER($R1127),COUNTIFS($A$14:$A$1213,$A1127,$R$14:$R$1213,"&gt;"&amp;$R1127)+(COUNTIFS($A$14:$A$1213,$A1127,$R$14:$R$1213,"="&amp;$R1127)+1)/2,"")</f>
        <v/>
      </c>
      <c r="AF1127" s="27">
        <f>IF(ISNUMBER($S1127),COUNTIFS($A$14:$A$1213,$A1127,$S$14:$S$1213,"&gt;"&amp;$S1127)+(COUNTIFS($A$14:$A$1213,$A1127,$S$14:$S$1213,"="&amp;$S1127)+1)/2,"")</f>
        <v/>
      </c>
      <c r="AG1127" s="27">
        <f>IF(ISNUMBER($T1127),COUNTIFS($A$14:$A$1213,$A1127,$T$14:$T$1213,"&gt;"&amp;$T1127)+(COUNTIFS($A$14:$A$1213,$A1127,$T$14:$T$1213,"="&amp;$T1127)+1)/2,"")</f>
        <v/>
      </c>
      <c r="AH1127" s="27">
        <f>IF(COUNT($AC1127:$AG1127)&lt;2,"",IF(MAX($AC1127:$AG1127)=MIN($AC1127:$AG1127),0,1))</f>
        <v/>
      </c>
      <c r="AI1127" s="27">
        <f>IF($A1127="","",IF(COUNTIF($A$14:$A1127,$A1127)=1,COUNTIF($AI$13:AI1126,"&gt;0")+1,""))</f>
        <v/>
      </c>
      <c r="AO1127" s="27">
        <f>IF($A1127="","",IF(AND(COUNTIFS($A$14:$A$1213,$A1127,$F$14:$F$1213,"&gt;=0")=2,IFERROR(INDEX($M$14:$M$313,MATCH($A1127,$H$14:$H$313,0)),"Yes")&lt;&gt;"Yes"),1,0))</f>
        <v/>
      </c>
    </row>
    <row r="1128">
      <c r="A1128" s="19">
        <f>IF('Enter messages'!A1128="","",'Enter messages'!A1128)</f>
        <v/>
      </c>
      <c r="B1128" s="20">
        <f>IF('Enter messages'!B1128="","",'Enter messages'!B1128)</f>
        <v/>
      </c>
      <c r="C1128" s="21">
        <f>IFERROR(AVERAGE(P1128:T1128),"")</f>
        <v/>
      </c>
      <c r="D1128" s="29" t="n"/>
      <c r="E1128" s="29" t="n"/>
      <c r="F1128" s="30">
        <f>IF(AND(ISNUMBER($D1128),ISNUMBER($E1128),$E1128&gt;0,$D1128&lt;=$E1128),$D1128/$E1128,"")</f>
        <v/>
      </c>
      <c r="P1128" s="26" t="n"/>
      <c r="Q1128" s="26" t="n"/>
      <c r="R1128" s="26" t="n"/>
      <c r="S1128" s="26" t="n"/>
      <c r="T1128" s="26" t="n"/>
      <c r="V1128" s="27">
        <f>IF(ISNUMBER($C1128),COUNTIFS($A$14:$A$1213,$A1128,$C$14:$C$1213,"&gt;"&amp;$C1128)+(COUNTIFS($A$14:$A$1213,$A1128,$C$14:$C$1213,"="&amp;$C1128)+1)/2,"")</f>
        <v/>
      </c>
      <c r="W1128" s="27">
        <f>IF(ISNUMBER($F1128),COUNTIFS($A$14:$A$1213,$A1128,$F$14:$F$1213,"&gt;"&amp;$F1128)+(COUNTIFS($A$14:$A$1213,$A1128,$F$14:$F$1213,"="&amp;$F1128)+1)/2,"")</f>
        <v/>
      </c>
      <c r="X1128" s="27">
        <f>IF(OR(NOT(ISNUMBER($V1128)),$AO1128=1),"",$V1128-(COUNTIFS($A$14:$A$1213,$A1128,$C$14:$C$1213,"&gt;=0")+1)/2)</f>
        <v/>
      </c>
      <c r="Y1128" s="27">
        <f>IF(OR(NOT(ISNUMBER($W1128)),$AO1128=1),"",$W1128-(COUNTIFS($A$14:$A$1213,$A1128,$F$14:$F$1213,"&gt;=0")+1)/2)</f>
        <v/>
      </c>
      <c r="Z1128" s="27">
        <f>IF(ISNUMBER($V1128),$A1128&amp;"|"&amp;$V1128,"")</f>
        <v/>
      </c>
      <c r="AA1128" s="27">
        <f>IF(ISNUMBER($W1128),$A1128&amp;"|"&amp;$W1128,"")</f>
        <v/>
      </c>
      <c r="AB1128" s="27">
        <f>IF(ISNUMBER($F1128),$A1128&amp;"|"&amp;$F1128,"")</f>
        <v/>
      </c>
      <c r="AC1128" s="27">
        <f>IF(ISNUMBER($P1128),COUNTIFS($A$14:$A$1213,$A1128,$P$14:$P$1213,"&gt;"&amp;$P1128)+(COUNTIFS($A$14:$A$1213,$A1128,$P$14:$P$1213,"="&amp;$P1128)+1)/2,"")</f>
        <v/>
      </c>
      <c r="AD1128" s="27">
        <f>IF(ISNUMBER($Q1128),COUNTIFS($A$14:$A$1213,$A1128,$Q$14:$Q$1213,"&gt;"&amp;$Q1128)+(COUNTIFS($A$14:$A$1213,$A1128,$Q$14:$Q$1213,"="&amp;$Q1128)+1)/2,"")</f>
        <v/>
      </c>
      <c r="AE1128" s="27">
        <f>IF(ISNUMBER($R1128),COUNTIFS($A$14:$A$1213,$A1128,$R$14:$R$1213,"&gt;"&amp;$R1128)+(COUNTIFS($A$14:$A$1213,$A1128,$R$14:$R$1213,"="&amp;$R1128)+1)/2,"")</f>
        <v/>
      </c>
      <c r="AF1128" s="27">
        <f>IF(ISNUMBER($S1128),COUNTIFS($A$14:$A$1213,$A1128,$S$14:$S$1213,"&gt;"&amp;$S1128)+(COUNTIFS($A$14:$A$1213,$A1128,$S$14:$S$1213,"="&amp;$S1128)+1)/2,"")</f>
        <v/>
      </c>
      <c r="AG1128" s="27">
        <f>IF(ISNUMBER($T1128),COUNTIFS($A$14:$A$1213,$A1128,$T$14:$T$1213,"&gt;"&amp;$T1128)+(COUNTIFS($A$14:$A$1213,$A1128,$T$14:$T$1213,"="&amp;$T1128)+1)/2,"")</f>
        <v/>
      </c>
      <c r="AH1128" s="27">
        <f>IF(COUNT($AC1128:$AG1128)&lt;2,"",IF(MAX($AC1128:$AG1128)=MIN($AC1128:$AG1128),0,1))</f>
        <v/>
      </c>
      <c r="AI1128" s="27">
        <f>IF($A1128="","",IF(COUNTIF($A$14:$A1128,$A1128)=1,COUNTIF($AI$13:AI1127,"&gt;0")+1,""))</f>
        <v/>
      </c>
      <c r="AO1128" s="27">
        <f>IF($A1128="","",IF(AND(COUNTIFS($A$14:$A$1213,$A1128,$F$14:$F$1213,"&gt;=0")=2,IFERROR(INDEX($M$14:$M$313,MATCH($A1128,$H$14:$H$313,0)),"Yes")&lt;&gt;"Yes"),1,0))</f>
        <v/>
      </c>
    </row>
    <row r="1129">
      <c r="A1129" s="19">
        <f>IF('Enter messages'!A1129="","",'Enter messages'!A1129)</f>
        <v/>
      </c>
      <c r="B1129" s="20">
        <f>IF('Enter messages'!B1129="","",'Enter messages'!B1129)</f>
        <v/>
      </c>
      <c r="C1129" s="21">
        <f>IFERROR(AVERAGE(P1129:T1129),"")</f>
        <v/>
      </c>
      <c r="D1129" s="29" t="n"/>
      <c r="E1129" s="29" t="n"/>
      <c r="F1129" s="30">
        <f>IF(AND(ISNUMBER($D1129),ISNUMBER($E1129),$E1129&gt;0,$D1129&lt;=$E1129),$D1129/$E1129,"")</f>
        <v/>
      </c>
      <c r="P1129" s="26" t="n"/>
      <c r="Q1129" s="26" t="n"/>
      <c r="R1129" s="26" t="n"/>
      <c r="S1129" s="26" t="n"/>
      <c r="T1129" s="26" t="n"/>
      <c r="V1129" s="27">
        <f>IF(ISNUMBER($C1129),COUNTIFS($A$14:$A$1213,$A1129,$C$14:$C$1213,"&gt;"&amp;$C1129)+(COUNTIFS($A$14:$A$1213,$A1129,$C$14:$C$1213,"="&amp;$C1129)+1)/2,"")</f>
        <v/>
      </c>
      <c r="W1129" s="27">
        <f>IF(ISNUMBER($F1129),COUNTIFS($A$14:$A$1213,$A1129,$F$14:$F$1213,"&gt;"&amp;$F1129)+(COUNTIFS($A$14:$A$1213,$A1129,$F$14:$F$1213,"="&amp;$F1129)+1)/2,"")</f>
        <v/>
      </c>
      <c r="X1129" s="27">
        <f>IF(OR(NOT(ISNUMBER($V1129)),$AO1129=1),"",$V1129-(COUNTIFS($A$14:$A$1213,$A1129,$C$14:$C$1213,"&gt;=0")+1)/2)</f>
        <v/>
      </c>
      <c r="Y1129" s="27">
        <f>IF(OR(NOT(ISNUMBER($W1129)),$AO1129=1),"",$W1129-(COUNTIFS($A$14:$A$1213,$A1129,$F$14:$F$1213,"&gt;=0")+1)/2)</f>
        <v/>
      </c>
      <c r="Z1129" s="27">
        <f>IF(ISNUMBER($V1129),$A1129&amp;"|"&amp;$V1129,"")</f>
        <v/>
      </c>
      <c r="AA1129" s="27">
        <f>IF(ISNUMBER($W1129),$A1129&amp;"|"&amp;$W1129,"")</f>
        <v/>
      </c>
      <c r="AB1129" s="27">
        <f>IF(ISNUMBER($F1129),$A1129&amp;"|"&amp;$F1129,"")</f>
        <v/>
      </c>
      <c r="AC1129" s="27">
        <f>IF(ISNUMBER($P1129),COUNTIFS($A$14:$A$1213,$A1129,$P$14:$P$1213,"&gt;"&amp;$P1129)+(COUNTIFS($A$14:$A$1213,$A1129,$P$14:$P$1213,"="&amp;$P1129)+1)/2,"")</f>
        <v/>
      </c>
      <c r="AD1129" s="27">
        <f>IF(ISNUMBER($Q1129),COUNTIFS($A$14:$A$1213,$A1129,$Q$14:$Q$1213,"&gt;"&amp;$Q1129)+(COUNTIFS($A$14:$A$1213,$A1129,$Q$14:$Q$1213,"="&amp;$Q1129)+1)/2,"")</f>
        <v/>
      </c>
      <c r="AE1129" s="27">
        <f>IF(ISNUMBER($R1129),COUNTIFS($A$14:$A$1213,$A1129,$R$14:$R$1213,"&gt;"&amp;$R1129)+(COUNTIFS($A$14:$A$1213,$A1129,$R$14:$R$1213,"="&amp;$R1129)+1)/2,"")</f>
        <v/>
      </c>
      <c r="AF1129" s="27">
        <f>IF(ISNUMBER($S1129),COUNTIFS($A$14:$A$1213,$A1129,$S$14:$S$1213,"&gt;"&amp;$S1129)+(COUNTIFS($A$14:$A$1213,$A1129,$S$14:$S$1213,"="&amp;$S1129)+1)/2,"")</f>
        <v/>
      </c>
      <c r="AG1129" s="27">
        <f>IF(ISNUMBER($T1129),COUNTIFS($A$14:$A$1213,$A1129,$T$14:$T$1213,"&gt;"&amp;$T1129)+(COUNTIFS($A$14:$A$1213,$A1129,$T$14:$T$1213,"="&amp;$T1129)+1)/2,"")</f>
        <v/>
      </c>
      <c r="AH1129" s="27">
        <f>IF(COUNT($AC1129:$AG1129)&lt;2,"",IF(MAX($AC1129:$AG1129)=MIN($AC1129:$AG1129),0,1))</f>
        <v/>
      </c>
      <c r="AI1129" s="27">
        <f>IF($A1129="","",IF(COUNTIF($A$14:$A1129,$A1129)=1,COUNTIF($AI$13:AI1128,"&gt;0")+1,""))</f>
        <v/>
      </c>
      <c r="AO1129" s="27">
        <f>IF($A1129="","",IF(AND(COUNTIFS($A$14:$A$1213,$A1129,$F$14:$F$1213,"&gt;=0")=2,IFERROR(INDEX($M$14:$M$313,MATCH($A1129,$H$14:$H$313,0)),"Yes")&lt;&gt;"Yes"),1,0))</f>
        <v/>
      </c>
    </row>
    <row r="1130">
      <c r="A1130" s="19">
        <f>IF('Enter messages'!A1130="","",'Enter messages'!A1130)</f>
        <v/>
      </c>
      <c r="B1130" s="20">
        <f>IF('Enter messages'!B1130="","",'Enter messages'!B1130)</f>
        <v/>
      </c>
      <c r="C1130" s="21">
        <f>IFERROR(AVERAGE(P1130:T1130),"")</f>
        <v/>
      </c>
      <c r="D1130" s="29" t="n"/>
      <c r="E1130" s="29" t="n"/>
      <c r="F1130" s="30">
        <f>IF(AND(ISNUMBER($D1130),ISNUMBER($E1130),$E1130&gt;0,$D1130&lt;=$E1130),$D1130/$E1130,"")</f>
        <v/>
      </c>
      <c r="P1130" s="26" t="n"/>
      <c r="Q1130" s="26" t="n"/>
      <c r="R1130" s="26" t="n"/>
      <c r="S1130" s="26" t="n"/>
      <c r="T1130" s="26" t="n"/>
      <c r="V1130" s="27">
        <f>IF(ISNUMBER($C1130),COUNTIFS($A$14:$A$1213,$A1130,$C$14:$C$1213,"&gt;"&amp;$C1130)+(COUNTIFS($A$14:$A$1213,$A1130,$C$14:$C$1213,"="&amp;$C1130)+1)/2,"")</f>
        <v/>
      </c>
      <c r="W1130" s="27">
        <f>IF(ISNUMBER($F1130),COUNTIFS($A$14:$A$1213,$A1130,$F$14:$F$1213,"&gt;"&amp;$F1130)+(COUNTIFS($A$14:$A$1213,$A1130,$F$14:$F$1213,"="&amp;$F1130)+1)/2,"")</f>
        <v/>
      </c>
      <c r="X1130" s="27">
        <f>IF(OR(NOT(ISNUMBER($V1130)),$AO1130=1),"",$V1130-(COUNTIFS($A$14:$A$1213,$A1130,$C$14:$C$1213,"&gt;=0")+1)/2)</f>
        <v/>
      </c>
      <c r="Y1130" s="27">
        <f>IF(OR(NOT(ISNUMBER($W1130)),$AO1130=1),"",$W1130-(COUNTIFS($A$14:$A$1213,$A1130,$F$14:$F$1213,"&gt;=0")+1)/2)</f>
        <v/>
      </c>
      <c r="Z1130" s="27">
        <f>IF(ISNUMBER($V1130),$A1130&amp;"|"&amp;$V1130,"")</f>
        <v/>
      </c>
      <c r="AA1130" s="27">
        <f>IF(ISNUMBER($W1130),$A1130&amp;"|"&amp;$W1130,"")</f>
        <v/>
      </c>
      <c r="AB1130" s="27">
        <f>IF(ISNUMBER($F1130),$A1130&amp;"|"&amp;$F1130,"")</f>
        <v/>
      </c>
      <c r="AC1130" s="27">
        <f>IF(ISNUMBER($P1130),COUNTIFS($A$14:$A$1213,$A1130,$P$14:$P$1213,"&gt;"&amp;$P1130)+(COUNTIFS($A$14:$A$1213,$A1130,$P$14:$P$1213,"="&amp;$P1130)+1)/2,"")</f>
        <v/>
      </c>
      <c r="AD1130" s="27">
        <f>IF(ISNUMBER($Q1130),COUNTIFS($A$14:$A$1213,$A1130,$Q$14:$Q$1213,"&gt;"&amp;$Q1130)+(COUNTIFS($A$14:$A$1213,$A1130,$Q$14:$Q$1213,"="&amp;$Q1130)+1)/2,"")</f>
        <v/>
      </c>
      <c r="AE1130" s="27">
        <f>IF(ISNUMBER($R1130),COUNTIFS($A$14:$A$1213,$A1130,$R$14:$R$1213,"&gt;"&amp;$R1130)+(COUNTIFS($A$14:$A$1213,$A1130,$R$14:$R$1213,"="&amp;$R1130)+1)/2,"")</f>
        <v/>
      </c>
      <c r="AF1130" s="27">
        <f>IF(ISNUMBER($S1130),COUNTIFS($A$14:$A$1213,$A1130,$S$14:$S$1213,"&gt;"&amp;$S1130)+(COUNTIFS($A$14:$A$1213,$A1130,$S$14:$S$1213,"="&amp;$S1130)+1)/2,"")</f>
        <v/>
      </c>
      <c r="AG1130" s="27">
        <f>IF(ISNUMBER($T1130),COUNTIFS($A$14:$A$1213,$A1130,$T$14:$T$1213,"&gt;"&amp;$T1130)+(COUNTIFS($A$14:$A$1213,$A1130,$T$14:$T$1213,"="&amp;$T1130)+1)/2,"")</f>
        <v/>
      </c>
      <c r="AH1130" s="27">
        <f>IF(COUNT($AC1130:$AG1130)&lt;2,"",IF(MAX($AC1130:$AG1130)=MIN($AC1130:$AG1130),0,1))</f>
        <v/>
      </c>
      <c r="AI1130" s="27">
        <f>IF($A1130="","",IF(COUNTIF($A$14:$A1130,$A1130)=1,COUNTIF($AI$13:AI1129,"&gt;0")+1,""))</f>
        <v/>
      </c>
      <c r="AO1130" s="27">
        <f>IF($A1130="","",IF(AND(COUNTIFS($A$14:$A$1213,$A1130,$F$14:$F$1213,"&gt;=0")=2,IFERROR(INDEX($M$14:$M$313,MATCH($A1130,$H$14:$H$313,0)),"Yes")&lt;&gt;"Yes"),1,0))</f>
        <v/>
      </c>
    </row>
    <row r="1131">
      <c r="A1131" s="19">
        <f>IF('Enter messages'!A1131="","",'Enter messages'!A1131)</f>
        <v/>
      </c>
      <c r="B1131" s="20">
        <f>IF('Enter messages'!B1131="","",'Enter messages'!B1131)</f>
        <v/>
      </c>
      <c r="C1131" s="21">
        <f>IFERROR(AVERAGE(P1131:T1131),"")</f>
        <v/>
      </c>
      <c r="D1131" s="29" t="n"/>
      <c r="E1131" s="29" t="n"/>
      <c r="F1131" s="30">
        <f>IF(AND(ISNUMBER($D1131),ISNUMBER($E1131),$E1131&gt;0,$D1131&lt;=$E1131),$D1131/$E1131,"")</f>
        <v/>
      </c>
      <c r="P1131" s="26" t="n"/>
      <c r="Q1131" s="26" t="n"/>
      <c r="R1131" s="26" t="n"/>
      <c r="S1131" s="26" t="n"/>
      <c r="T1131" s="26" t="n"/>
      <c r="V1131" s="27">
        <f>IF(ISNUMBER($C1131),COUNTIFS($A$14:$A$1213,$A1131,$C$14:$C$1213,"&gt;"&amp;$C1131)+(COUNTIFS($A$14:$A$1213,$A1131,$C$14:$C$1213,"="&amp;$C1131)+1)/2,"")</f>
        <v/>
      </c>
      <c r="W1131" s="27">
        <f>IF(ISNUMBER($F1131),COUNTIFS($A$14:$A$1213,$A1131,$F$14:$F$1213,"&gt;"&amp;$F1131)+(COUNTIFS($A$14:$A$1213,$A1131,$F$14:$F$1213,"="&amp;$F1131)+1)/2,"")</f>
        <v/>
      </c>
      <c r="X1131" s="27">
        <f>IF(OR(NOT(ISNUMBER($V1131)),$AO1131=1),"",$V1131-(COUNTIFS($A$14:$A$1213,$A1131,$C$14:$C$1213,"&gt;=0")+1)/2)</f>
        <v/>
      </c>
      <c r="Y1131" s="27">
        <f>IF(OR(NOT(ISNUMBER($W1131)),$AO1131=1),"",$W1131-(COUNTIFS($A$14:$A$1213,$A1131,$F$14:$F$1213,"&gt;=0")+1)/2)</f>
        <v/>
      </c>
      <c r="Z1131" s="27">
        <f>IF(ISNUMBER($V1131),$A1131&amp;"|"&amp;$V1131,"")</f>
        <v/>
      </c>
      <c r="AA1131" s="27">
        <f>IF(ISNUMBER($W1131),$A1131&amp;"|"&amp;$W1131,"")</f>
        <v/>
      </c>
      <c r="AB1131" s="27">
        <f>IF(ISNUMBER($F1131),$A1131&amp;"|"&amp;$F1131,"")</f>
        <v/>
      </c>
      <c r="AC1131" s="27">
        <f>IF(ISNUMBER($P1131),COUNTIFS($A$14:$A$1213,$A1131,$P$14:$P$1213,"&gt;"&amp;$P1131)+(COUNTIFS($A$14:$A$1213,$A1131,$P$14:$P$1213,"="&amp;$P1131)+1)/2,"")</f>
        <v/>
      </c>
      <c r="AD1131" s="27">
        <f>IF(ISNUMBER($Q1131),COUNTIFS($A$14:$A$1213,$A1131,$Q$14:$Q$1213,"&gt;"&amp;$Q1131)+(COUNTIFS($A$14:$A$1213,$A1131,$Q$14:$Q$1213,"="&amp;$Q1131)+1)/2,"")</f>
        <v/>
      </c>
      <c r="AE1131" s="27">
        <f>IF(ISNUMBER($R1131),COUNTIFS($A$14:$A$1213,$A1131,$R$14:$R$1213,"&gt;"&amp;$R1131)+(COUNTIFS($A$14:$A$1213,$A1131,$R$14:$R$1213,"="&amp;$R1131)+1)/2,"")</f>
        <v/>
      </c>
      <c r="AF1131" s="27">
        <f>IF(ISNUMBER($S1131),COUNTIFS($A$14:$A$1213,$A1131,$S$14:$S$1213,"&gt;"&amp;$S1131)+(COUNTIFS($A$14:$A$1213,$A1131,$S$14:$S$1213,"="&amp;$S1131)+1)/2,"")</f>
        <v/>
      </c>
      <c r="AG1131" s="27">
        <f>IF(ISNUMBER($T1131),COUNTIFS($A$14:$A$1213,$A1131,$T$14:$T$1213,"&gt;"&amp;$T1131)+(COUNTIFS($A$14:$A$1213,$A1131,$T$14:$T$1213,"="&amp;$T1131)+1)/2,"")</f>
        <v/>
      </c>
      <c r="AH1131" s="27">
        <f>IF(COUNT($AC1131:$AG1131)&lt;2,"",IF(MAX($AC1131:$AG1131)=MIN($AC1131:$AG1131),0,1))</f>
        <v/>
      </c>
      <c r="AI1131" s="27">
        <f>IF($A1131="","",IF(COUNTIF($A$14:$A1131,$A1131)=1,COUNTIF($AI$13:AI1130,"&gt;0")+1,""))</f>
        <v/>
      </c>
      <c r="AO1131" s="27">
        <f>IF($A1131="","",IF(AND(COUNTIFS($A$14:$A$1213,$A1131,$F$14:$F$1213,"&gt;=0")=2,IFERROR(INDEX($M$14:$M$313,MATCH($A1131,$H$14:$H$313,0)),"Yes")&lt;&gt;"Yes"),1,0))</f>
        <v/>
      </c>
    </row>
    <row r="1132">
      <c r="A1132" s="19">
        <f>IF('Enter messages'!A1132="","",'Enter messages'!A1132)</f>
        <v/>
      </c>
      <c r="B1132" s="20">
        <f>IF('Enter messages'!B1132="","",'Enter messages'!B1132)</f>
        <v/>
      </c>
      <c r="C1132" s="21">
        <f>IFERROR(AVERAGE(P1132:T1132),"")</f>
        <v/>
      </c>
      <c r="D1132" s="29" t="n"/>
      <c r="E1132" s="29" t="n"/>
      <c r="F1132" s="30">
        <f>IF(AND(ISNUMBER($D1132),ISNUMBER($E1132),$E1132&gt;0,$D1132&lt;=$E1132),$D1132/$E1132,"")</f>
        <v/>
      </c>
      <c r="P1132" s="26" t="n"/>
      <c r="Q1132" s="26" t="n"/>
      <c r="R1132" s="26" t="n"/>
      <c r="S1132" s="26" t="n"/>
      <c r="T1132" s="26" t="n"/>
      <c r="V1132" s="27">
        <f>IF(ISNUMBER($C1132),COUNTIFS($A$14:$A$1213,$A1132,$C$14:$C$1213,"&gt;"&amp;$C1132)+(COUNTIFS($A$14:$A$1213,$A1132,$C$14:$C$1213,"="&amp;$C1132)+1)/2,"")</f>
        <v/>
      </c>
      <c r="W1132" s="27">
        <f>IF(ISNUMBER($F1132),COUNTIFS($A$14:$A$1213,$A1132,$F$14:$F$1213,"&gt;"&amp;$F1132)+(COUNTIFS($A$14:$A$1213,$A1132,$F$14:$F$1213,"="&amp;$F1132)+1)/2,"")</f>
        <v/>
      </c>
      <c r="X1132" s="27">
        <f>IF(OR(NOT(ISNUMBER($V1132)),$AO1132=1),"",$V1132-(COUNTIFS($A$14:$A$1213,$A1132,$C$14:$C$1213,"&gt;=0")+1)/2)</f>
        <v/>
      </c>
      <c r="Y1132" s="27">
        <f>IF(OR(NOT(ISNUMBER($W1132)),$AO1132=1),"",$W1132-(COUNTIFS($A$14:$A$1213,$A1132,$F$14:$F$1213,"&gt;=0")+1)/2)</f>
        <v/>
      </c>
      <c r="Z1132" s="27">
        <f>IF(ISNUMBER($V1132),$A1132&amp;"|"&amp;$V1132,"")</f>
        <v/>
      </c>
      <c r="AA1132" s="27">
        <f>IF(ISNUMBER($W1132),$A1132&amp;"|"&amp;$W1132,"")</f>
        <v/>
      </c>
      <c r="AB1132" s="27">
        <f>IF(ISNUMBER($F1132),$A1132&amp;"|"&amp;$F1132,"")</f>
        <v/>
      </c>
      <c r="AC1132" s="27">
        <f>IF(ISNUMBER($P1132),COUNTIFS($A$14:$A$1213,$A1132,$P$14:$P$1213,"&gt;"&amp;$P1132)+(COUNTIFS($A$14:$A$1213,$A1132,$P$14:$P$1213,"="&amp;$P1132)+1)/2,"")</f>
        <v/>
      </c>
      <c r="AD1132" s="27">
        <f>IF(ISNUMBER($Q1132),COUNTIFS($A$14:$A$1213,$A1132,$Q$14:$Q$1213,"&gt;"&amp;$Q1132)+(COUNTIFS($A$14:$A$1213,$A1132,$Q$14:$Q$1213,"="&amp;$Q1132)+1)/2,"")</f>
        <v/>
      </c>
      <c r="AE1132" s="27">
        <f>IF(ISNUMBER($R1132),COUNTIFS($A$14:$A$1213,$A1132,$R$14:$R$1213,"&gt;"&amp;$R1132)+(COUNTIFS($A$14:$A$1213,$A1132,$R$14:$R$1213,"="&amp;$R1132)+1)/2,"")</f>
        <v/>
      </c>
      <c r="AF1132" s="27">
        <f>IF(ISNUMBER($S1132),COUNTIFS($A$14:$A$1213,$A1132,$S$14:$S$1213,"&gt;"&amp;$S1132)+(COUNTIFS($A$14:$A$1213,$A1132,$S$14:$S$1213,"="&amp;$S1132)+1)/2,"")</f>
        <v/>
      </c>
      <c r="AG1132" s="27">
        <f>IF(ISNUMBER($T1132),COUNTIFS($A$14:$A$1213,$A1132,$T$14:$T$1213,"&gt;"&amp;$T1132)+(COUNTIFS($A$14:$A$1213,$A1132,$T$14:$T$1213,"="&amp;$T1132)+1)/2,"")</f>
        <v/>
      </c>
      <c r="AH1132" s="27">
        <f>IF(COUNT($AC1132:$AG1132)&lt;2,"",IF(MAX($AC1132:$AG1132)=MIN($AC1132:$AG1132),0,1))</f>
        <v/>
      </c>
      <c r="AI1132" s="27">
        <f>IF($A1132="","",IF(COUNTIF($A$14:$A1132,$A1132)=1,COUNTIF($AI$13:AI1131,"&gt;0")+1,""))</f>
        <v/>
      </c>
      <c r="AO1132" s="27">
        <f>IF($A1132="","",IF(AND(COUNTIFS($A$14:$A$1213,$A1132,$F$14:$F$1213,"&gt;=0")=2,IFERROR(INDEX($M$14:$M$313,MATCH($A1132,$H$14:$H$313,0)),"Yes")&lt;&gt;"Yes"),1,0))</f>
        <v/>
      </c>
    </row>
    <row r="1133">
      <c r="A1133" s="19">
        <f>IF('Enter messages'!A1133="","",'Enter messages'!A1133)</f>
        <v/>
      </c>
      <c r="B1133" s="20">
        <f>IF('Enter messages'!B1133="","",'Enter messages'!B1133)</f>
        <v/>
      </c>
      <c r="C1133" s="21">
        <f>IFERROR(AVERAGE(P1133:T1133),"")</f>
        <v/>
      </c>
      <c r="D1133" s="29" t="n"/>
      <c r="E1133" s="29" t="n"/>
      <c r="F1133" s="30">
        <f>IF(AND(ISNUMBER($D1133),ISNUMBER($E1133),$E1133&gt;0,$D1133&lt;=$E1133),$D1133/$E1133,"")</f>
        <v/>
      </c>
      <c r="P1133" s="26" t="n"/>
      <c r="Q1133" s="26" t="n"/>
      <c r="R1133" s="26" t="n"/>
      <c r="S1133" s="26" t="n"/>
      <c r="T1133" s="26" t="n"/>
      <c r="V1133" s="27">
        <f>IF(ISNUMBER($C1133),COUNTIFS($A$14:$A$1213,$A1133,$C$14:$C$1213,"&gt;"&amp;$C1133)+(COUNTIFS($A$14:$A$1213,$A1133,$C$14:$C$1213,"="&amp;$C1133)+1)/2,"")</f>
        <v/>
      </c>
      <c r="W1133" s="27">
        <f>IF(ISNUMBER($F1133),COUNTIFS($A$14:$A$1213,$A1133,$F$14:$F$1213,"&gt;"&amp;$F1133)+(COUNTIFS($A$14:$A$1213,$A1133,$F$14:$F$1213,"="&amp;$F1133)+1)/2,"")</f>
        <v/>
      </c>
      <c r="X1133" s="27">
        <f>IF(OR(NOT(ISNUMBER($V1133)),$AO1133=1),"",$V1133-(COUNTIFS($A$14:$A$1213,$A1133,$C$14:$C$1213,"&gt;=0")+1)/2)</f>
        <v/>
      </c>
      <c r="Y1133" s="27">
        <f>IF(OR(NOT(ISNUMBER($W1133)),$AO1133=1),"",$W1133-(COUNTIFS($A$14:$A$1213,$A1133,$F$14:$F$1213,"&gt;=0")+1)/2)</f>
        <v/>
      </c>
      <c r="Z1133" s="27">
        <f>IF(ISNUMBER($V1133),$A1133&amp;"|"&amp;$V1133,"")</f>
        <v/>
      </c>
      <c r="AA1133" s="27">
        <f>IF(ISNUMBER($W1133),$A1133&amp;"|"&amp;$W1133,"")</f>
        <v/>
      </c>
      <c r="AB1133" s="27">
        <f>IF(ISNUMBER($F1133),$A1133&amp;"|"&amp;$F1133,"")</f>
        <v/>
      </c>
      <c r="AC1133" s="27">
        <f>IF(ISNUMBER($P1133),COUNTIFS($A$14:$A$1213,$A1133,$P$14:$P$1213,"&gt;"&amp;$P1133)+(COUNTIFS($A$14:$A$1213,$A1133,$P$14:$P$1213,"="&amp;$P1133)+1)/2,"")</f>
        <v/>
      </c>
      <c r="AD1133" s="27">
        <f>IF(ISNUMBER($Q1133),COUNTIFS($A$14:$A$1213,$A1133,$Q$14:$Q$1213,"&gt;"&amp;$Q1133)+(COUNTIFS($A$14:$A$1213,$A1133,$Q$14:$Q$1213,"="&amp;$Q1133)+1)/2,"")</f>
        <v/>
      </c>
      <c r="AE1133" s="27">
        <f>IF(ISNUMBER($R1133),COUNTIFS($A$14:$A$1213,$A1133,$R$14:$R$1213,"&gt;"&amp;$R1133)+(COUNTIFS($A$14:$A$1213,$A1133,$R$14:$R$1213,"="&amp;$R1133)+1)/2,"")</f>
        <v/>
      </c>
      <c r="AF1133" s="27">
        <f>IF(ISNUMBER($S1133),COUNTIFS($A$14:$A$1213,$A1133,$S$14:$S$1213,"&gt;"&amp;$S1133)+(COUNTIFS($A$14:$A$1213,$A1133,$S$14:$S$1213,"="&amp;$S1133)+1)/2,"")</f>
        <v/>
      </c>
      <c r="AG1133" s="27">
        <f>IF(ISNUMBER($T1133),COUNTIFS($A$14:$A$1213,$A1133,$T$14:$T$1213,"&gt;"&amp;$T1133)+(COUNTIFS($A$14:$A$1213,$A1133,$T$14:$T$1213,"="&amp;$T1133)+1)/2,"")</f>
        <v/>
      </c>
      <c r="AH1133" s="27">
        <f>IF(COUNT($AC1133:$AG1133)&lt;2,"",IF(MAX($AC1133:$AG1133)=MIN($AC1133:$AG1133),0,1))</f>
        <v/>
      </c>
      <c r="AI1133" s="27">
        <f>IF($A1133="","",IF(COUNTIF($A$14:$A1133,$A1133)=1,COUNTIF($AI$13:AI1132,"&gt;0")+1,""))</f>
        <v/>
      </c>
      <c r="AO1133" s="27">
        <f>IF($A1133="","",IF(AND(COUNTIFS($A$14:$A$1213,$A1133,$F$14:$F$1213,"&gt;=0")=2,IFERROR(INDEX($M$14:$M$313,MATCH($A1133,$H$14:$H$313,0)),"Yes")&lt;&gt;"Yes"),1,0))</f>
        <v/>
      </c>
    </row>
    <row r="1134">
      <c r="A1134" s="19">
        <f>IF('Enter messages'!A1134="","",'Enter messages'!A1134)</f>
        <v/>
      </c>
      <c r="B1134" s="20">
        <f>IF('Enter messages'!B1134="","",'Enter messages'!B1134)</f>
        <v/>
      </c>
      <c r="C1134" s="21">
        <f>IFERROR(AVERAGE(P1134:T1134),"")</f>
        <v/>
      </c>
      <c r="D1134" s="29" t="n"/>
      <c r="E1134" s="29" t="n"/>
      <c r="F1134" s="30">
        <f>IF(AND(ISNUMBER($D1134),ISNUMBER($E1134),$E1134&gt;0,$D1134&lt;=$E1134),$D1134/$E1134,"")</f>
        <v/>
      </c>
      <c r="P1134" s="26" t="n"/>
      <c r="Q1134" s="26" t="n"/>
      <c r="R1134" s="26" t="n"/>
      <c r="S1134" s="26" t="n"/>
      <c r="T1134" s="26" t="n"/>
      <c r="V1134" s="27">
        <f>IF(ISNUMBER($C1134),COUNTIFS($A$14:$A$1213,$A1134,$C$14:$C$1213,"&gt;"&amp;$C1134)+(COUNTIFS($A$14:$A$1213,$A1134,$C$14:$C$1213,"="&amp;$C1134)+1)/2,"")</f>
        <v/>
      </c>
      <c r="W1134" s="27">
        <f>IF(ISNUMBER($F1134),COUNTIFS($A$14:$A$1213,$A1134,$F$14:$F$1213,"&gt;"&amp;$F1134)+(COUNTIFS($A$14:$A$1213,$A1134,$F$14:$F$1213,"="&amp;$F1134)+1)/2,"")</f>
        <v/>
      </c>
      <c r="X1134" s="27">
        <f>IF(OR(NOT(ISNUMBER($V1134)),$AO1134=1),"",$V1134-(COUNTIFS($A$14:$A$1213,$A1134,$C$14:$C$1213,"&gt;=0")+1)/2)</f>
        <v/>
      </c>
      <c r="Y1134" s="27">
        <f>IF(OR(NOT(ISNUMBER($W1134)),$AO1134=1),"",$W1134-(COUNTIFS($A$14:$A$1213,$A1134,$F$14:$F$1213,"&gt;=0")+1)/2)</f>
        <v/>
      </c>
      <c r="Z1134" s="27">
        <f>IF(ISNUMBER($V1134),$A1134&amp;"|"&amp;$V1134,"")</f>
        <v/>
      </c>
      <c r="AA1134" s="27">
        <f>IF(ISNUMBER($W1134),$A1134&amp;"|"&amp;$W1134,"")</f>
        <v/>
      </c>
      <c r="AB1134" s="27">
        <f>IF(ISNUMBER($F1134),$A1134&amp;"|"&amp;$F1134,"")</f>
        <v/>
      </c>
      <c r="AC1134" s="27">
        <f>IF(ISNUMBER($P1134),COUNTIFS($A$14:$A$1213,$A1134,$P$14:$P$1213,"&gt;"&amp;$P1134)+(COUNTIFS($A$14:$A$1213,$A1134,$P$14:$P$1213,"="&amp;$P1134)+1)/2,"")</f>
        <v/>
      </c>
      <c r="AD1134" s="27">
        <f>IF(ISNUMBER($Q1134),COUNTIFS($A$14:$A$1213,$A1134,$Q$14:$Q$1213,"&gt;"&amp;$Q1134)+(COUNTIFS($A$14:$A$1213,$A1134,$Q$14:$Q$1213,"="&amp;$Q1134)+1)/2,"")</f>
        <v/>
      </c>
      <c r="AE1134" s="27">
        <f>IF(ISNUMBER($R1134),COUNTIFS($A$14:$A$1213,$A1134,$R$14:$R$1213,"&gt;"&amp;$R1134)+(COUNTIFS($A$14:$A$1213,$A1134,$R$14:$R$1213,"="&amp;$R1134)+1)/2,"")</f>
        <v/>
      </c>
      <c r="AF1134" s="27">
        <f>IF(ISNUMBER($S1134),COUNTIFS($A$14:$A$1213,$A1134,$S$14:$S$1213,"&gt;"&amp;$S1134)+(COUNTIFS($A$14:$A$1213,$A1134,$S$14:$S$1213,"="&amp;$S1134)+1)/2,"")</f>
        <v/>
      </c>
      <c r="AG1134" s="27">
        <f>IF(ISNUMBER($T1134),COUNTIFS($A$14:$A$1213,$A1134,$T$14:$T$1213,"&gt;"&amp;$T1134)+(COUNTIFS($A$14:$A$1213,$A1134,$T$14:$T$1213,"="&amp;$T1134)+1)/2,"")</f>
        <v/>
      </c>
      <c r="AH1134" s="27">
        <f>IF(COUNT($AC1134:$AG1134)&lt;2,"",IF(MAX($AC1134:$AG1134)=MIN($AC1134:$AG1134),0,1))</f>
        <v/>
      </c>
      <c r="AI1134" s="27">
        <f>IF($A1134="","",IF(COUNTIF($A$14:$A1134,$A1134)=1,COUNTIF($AI$13:AI1133,"&gt;0")+1,""))</f>
        <v/>
      </c>
      <c r="AO1134" s="27">
        <f>IF($A1134="","",IF(AND(COUNTIFS($A$14:$A$1213,$A1134,$F$14:$F$1213,"&gt;=0")=2,IFERROR(INDEX($M$14:$M$313,MATCH($A1134,$H$14:$H$313,0)),"Yes")&lt;&gt;"Yes"),1,0))</f>
        <v/>
      </c>
    </row>
    <row r="1135">
      <c r="A1135" s="19">
        <f>IF('Enter messages'!A1135="","",'Enter messages'!A1135)</f>
        <v/>
      </c>
      <c r="B1135" s="20">
        <f>IF('Enter messages'!B1135="","",'Enter messages'!B1135)</f>
        <v/>
      </c>
      <c r="C1135" s="21">
        <f>IFERROR(AVERAGE(P1135:T1135),"")</f>
        <v/>
      </c>
      <c r="D1135" s="29" t="n"/>
      <c r="E1135" s="29" t="n"/>
      <c r="F1135" s="30">
        <f>IF(AND(ISNUMBER($D1135),ISNUMBER($E1135),$E1135&gt;0,$D1135&lt;=$E1135),$D1135/$E1135,"")</f>
        <v/>
      </c>
      <c r="P1135" s="26" t="n"/>
      <c r="Q1135" s="26" t="n"/>
      <c r="R1135" s="26" t="n"/>
      <c r="S1135" s="26" t="n"/>
      <c r="T1135" s="26" t="n"/>
      <c r="V1135" s="27">
        <f>IF(ISNUMBER($C1135),COUNTIFS($A$14:$A$1213,$A1135,$C$14:$C$1213,"&gt;"&amp;$C1135)+(COUNTIFS($A$14:$A$1213,$A1135,$C$14:$C$1213,"="&amp;$C1135)+1)/2,"")</f>
        <v/>
      </c>
      <c r="W1135" s="27">
        <f>IF(ISNUMBER($F1135),COUNTIFS($A$14:$A$1213,$A1135,$F$14:$F$1213,"&gt;"&amp;$F1135)+(COUNTIFS($A$14:$A$1213,$A1135,$F$14:$F$1213,"="&amp;$F1135)+1)/2,"")</f>
        <v/>
      </c>
      <c r="X1135" s="27">
        <f>IF(OR(NOT(ISNUMBER($V1135)),$AO1135=1),"",$V1135-(COUNTIFS($A$14:$A$1213,$A1135,$C$14:$C$1213,"&gt;=0")+1)/2)</f>
        <v/>
      </c>
      <c r="Y1135" s="27">
        <f>IF(OR(NOT(ISNUMBER($W1135)),$AO1135=1),"",$W1135-(COUNTIFS($A$14:$A$1213,$A1135,$F$14:$F$1213,"&gt;=0")+1)/2)</f>
        <v/>
      </c>
      <c r="Z1135" s="27">
        <f>IF(ISNUMBER($V1135),$A1135&amp;"|"&amp;$V1135,"")</f>
        <v/>
      </c>
      <c r="AA1135" s="27">
        <f>IF(ISNUMBER($W1135),$A1135&amp;"|"&amp;$W1135,"")</f>
        <v/>
      </c>
      <c r="AB1135" s="27">
        <f>IF(ISNUMBER($F1135),$A1135&amp;"|"&amp;$F1135,"")</f>
        <v/>
      </c>
      <c r="AC1135" s="27">
        <f>IF(ISNUMBER($P1135),COUNTIFS($A$14:$A$1213,$A1135,$P$14:$P$1213,"&gt;"&amp;$P1135)+(COUNTIFS($A$14:$A$1213,$A1135,$P$14:$P$1213,"="&amp;$P1135)+1)/2,"")</f>
        <v/>
      </c>
      <c r="AD1135" s="27">
        <f>IF(ISNUMBER($Q1135),COUNTIFS($A$14:$A$1213,$A1135,$Q$14:$Q$1213,"&gt;"&amp;$Q1135)+(COUNTIFS($A$14:$A$1213,$A1135,$Q$14:$Q$1213,"="&amp;$Q1135)+1)/2,"")</f>
        <v/>
      </c>
      <c r="AE1135" s="27">
        <f>IF(ISNUMBER($R1135),COUNTIFS($A$14:$A$1213,$A1135,$R$14:$R$1213,"&gt;"&amp;$R1135)+(COUNTIFS($A$14:$A$1213,$A1135,$R$14:$R$1213,"="&amp;$R1135)+1)/2,"")</f>
        <v/>
      </c>
      <c r="AF1135" s="27">
        <f>IF(ISNUMBER($S1135),COUNTIFS($A$14:$A$1213,$A1135,$S$14:$S$1213,"&gt;"&amp;$S1135)+(COUNTIFS($A$14:$A$1213,$A1135,$S$14:$S$1213,"="&amp;$S1135)+1)/2,"")</f>
        <v/>
      </c>
      <c r="AG1135" s="27">
        <f>IF(ISNUMBER($T1135),COUNTIFS($A$14:$A$1213,$A1135,$T$14:$T$1213,"&gt;"&amp;$T1135)+(COUNTIFS($A$14:$A$1213,$A1135,$T$14:$T$1213,"="&amp;$T1135)+1)/2,"")</f>
        <v/>
      </c>
      <c r="AH1135" s="27">
        <f>IF(COUNT($AC1135:$AG1135)&lt;2,"",IF(MAX($AC1135:$AG1135)=MIN($AC1135:$AG1135),0,1))</f>
        <v/>
      </c>
      <c r="AI1135" s="27">
        <f>IF($A1135="","",IF(COUNTIF($A$14:$A1135,$A1135)=1,COUNTIF($AI$13:AI1134,"&gt;0")+1,""))</f>
        <v/>
      </c>
      <c r="AO1135" s="27">
        <f>IF($A1135="","",IF(AND(COUNTIFS($A$14:$A$1213,$A1135,$F$14:$F$1213,"&gt;=0")=2,IFERROR(INDEX($M$14:$M$313,MATCH($A1135,$H$14:$H$313,0)),"Yes")&lt;&gt;"Yes"),1,0))</f>
        <v/>
      </c>
    </row>
    <row r="1136">
      <c r="A1136" s="19">
        <f>IF('Enter messages'!A1136="","",'Enter messages'!A1136)</f>
        <v/>
      </c>
      <c r="B1136" s="20">
        <f>IF('Enter messages'!B1136="","",'Enter messages'!B1136)</f>
        <v/>
      </c>
      <c r="C1136" s="21">
        <f>IFERROR(AVERAGE(P1136:T1136),"")</f>
        <v/>
      </c>
      <c r="D1136" s="29" t="n"/>
      <c r="E1136" s="29" t="n"/>
      <c r="F1136" s="30">
        <f>IF(AND(ISNUMBER($D1136),ISNUMBER($E1136),$E1136&gt;0,$D1136&lt;=$E1136),$D1136/$E1136,"")</f>
        <v/>
      </c>
      <c r="P1136" s="26" t="n"/>
      <c r="Q1136" s="26" t="n"/>
      <c r="R1136" s="26" t="n"/>
      <c r="S1136" s="26" t="n"/>
      <c r="T1136" s="26" t="n"/>
      <c r="V1136" s="27">
        <f>IF(ISNUMBER($C1136),COUNTIFS($A$14:$A$1213,$A1136,$C$14:$C$1213,"&gt;"&amp;$C1136)+(COUNTIFS($A$14:$A$1213,$A1136,$C$14:$C$1213,"="&amp;$C1136)+1)/2,"")</f>
        <v/>
      </c>
      <c r="W1136" s="27">
        <f>IF(ISNUMBER($F1136),COUNTIFS($A$14:$A$1213,$A1136,$F$14:$F$1213,"&gt;"&amp;$F1136)+(COUNTIFS($A$14:$A$1213,$A1136,$F$14:$F$1213,"="&amp;$F1136)+1)/2,"")</f>
        <v/>
      </c>
      <c r="X1136" s="27">
        <f>IF(OR(NOT(ISNUMBER($V1136)),$AO1136=1),"",$V1136-(COUNTIFS($A$14:$A$1213,$A1136,$C$14:$C$1213,"&gt;=0")+1)/2)</f>
        <v/>
      </c>
      <c r="Y1136" s="27">
        <f>IF(OR(NOT(ISNUMBER($W1136)),$AO1136=1),"",$W1136-(COUNTIFS($A$14:$A$1213,$A1136,$F$14:$F$1213,"&gt;=0")+1)/2)</f>
        <v/>
      </c>
      <c r="Z1136" s="27">
        <f>IF(ISNUMBER($V1136),$A1136&amp;"|"&amp;$V1136,"")</f>
        <v/>
      </c>
      <c r="AA1136" s="27">
        <f>IF(ISNUMBER($W1136),$A1136&amp;"|"&amp;$W1136,"")</f>
        <v/>
      </c>
      <c r="AB1136" s="27">
        <f>IF(ISNUMBER($F1136),$A1136&amp;"|"&amp;$F1136,"")</f>
        <v/>
      </c>
      <c r="AC1136" s="27">
        <f>IF(ISNUMBER($P1136),COUNTIFS($A$14:$A$1213,$A1136,$P$14:$P$1213,"&gt;"&amp;$P1136)+(COUNTIFS($A$14:$A$1213,$A1136,$P$14:$P$1213,"="&amp;$P1136)+1)/2,"")</f>
        <v/>
      </c>
      <c r="AD1136" s="27">
        <f>IF(ISNUMBER($Q1136),COUNTIFS($A$14:$A$1213,$A1136,$Q$14:$Q$1213,"&gt;"&amp;$Q1136)+(COUNTIFS($A$14:$A$1213,$A1136,$Q$14:$Q$1213,"="&amp;$Q1136)+1)/2,"")</f>
        <v/>
      </c>
      <c r="AE1136" s="27">
        <f>IF(ISNUMBER($R1136),COUNTIFS($A$14:$A$1213,$A1136,$R$14:$R$1213,"&gt;"&amp;$R1136)+(COUNTIFS($A$14:$A$1213,$A1136,$R$14:$R$1213,"="&amp;$R1136)+1)/2,"")</f>
        <v/>
      </c>
      <c r="AF1136" s="27">
        <f>IF(ISNUMBER($S1136),COUNTIFS($A$14:$A$1213,$A1136,$S$14:$S$1213,"&gt;"&amp;$S1136)+(COUNTIFS($A$14:$A$1213,$A1136,$S$14:$S$1213,"="&amp;$S1136)+1)/2,"")</f>
        <v/>
      </c>
      <c r="AG1136" s="27">
        <f>IF(ISNUMBER($T1136),COUNTIFS($A$14:$A$1213,$A1136,$T$14:$T$1213,"&gt;"&amp;$T1136)+(COUNTIFS($A$14:$A$1213,$A1136,$T$14:$T$1213,"="&amp;$T1136)+1)/2,"")</f>
        <v/>
      </c>
      <c r="AH1136" s="27">
        <f>IF(COUNT($AC1136:$AG1136)&lt;2,"",IF(MAX($AC1136:$AG1136)=MIN($AC1136:$AG1136),0,1))</f>
        <v/>
      </c>
      <c r="AI1136" s="27">
        <f>IF($A1136="","",IF(COUNTIF($A$14:$A1136,$A1136)=1,COUNTIF($AI$13:AI1135,"&gt;0")+1,""))</f>
        <v/>
      </c>
      <c r="AO1136" s="27">
        <f>IF($A1136="","",IF(AND(COUNTIFS($A$14:$A$1213,$A1136,$F$14:$F$1213,"&gt;=0")=2,IFERROR(INDEX($M$14:$M$313,MATCH($A1136,$H$14:$H$313,0)),"Yes")&lt;&gt;"Yes"),1,0))</f>
        <v/>
      </c>
    </row>
    <row r="1137">
      <c r="A1137" s="19">
        <f>IF('Enter messages'!A1137="","",'Enter messages'!A1137)</f>
        <v/>
      </c>
      <c r="B1137" s="20">
        <f>IF('Enter messages'!B1137="","",'Enter messages'!B1137)</f>
        <v/>
      </c>
      <c r="C1137" s="21">
        <f>IFERROR(AVERAGE(P1137:T1137),"")</f>
        <v/>
      </c>
      <c r="D1137" s="29" t="n"/>
      <c r="E1137" s="29" t="n"/>
      <c r="F1137" s="30">
        <f>IF(AND(ISNUMBER($D1137),ISNUMBER($E1137),$E1137&gt;0,$D1137&lt;=$E1137),$D1137/$E1137,"")</f>
        <v/>
      </c>
      <c r="P1137" s="26" t="n"/>
      <c r="Q1137" s="26" t="n"/>
      <c r="R1137" s="26" t="n"/>
      <c r="S1137" s="26" t="n"/>
      <c r="T1137" s="26" t="n"/>
      <c r="V1137" s="27">
        <f>IF(ISNUMBER($C1137),COUNTIFS($A$14:$A$1213,$A1137,$C$14:$C$1213,"&gt;"&amp;$C1137)+(COUNTIFS($A$14:$A$1213,$A1137,$C$14:$C$1213,"="&amp;$C1137)+1)/2,"")</f>
        <v/>
      </c>
      <c r="W1137" s="27">
        <f>IF(ISNUMBER($F1137),COUNTIFS($A$14:$A$1213,$A1137,$F$14:$F$1213,"&gt;"&amp;$F1137)+(COUNTIFS($A$14:$A$1213,$A1137,$F$14:$F$1213,"="&amp;$F1137)+1)/2,"")</f>
        <v/>
      </c>
      <c r="X1137" s="27">
        <f>IF(OR(NOT(ISNUMBER($V1137)),$AO1137=1),"",$V1137-(COUNTIFS($A$14:$A$1213,$A1137,$C$14:$C$1213,"&gt;=0")+1)/2)</f>
        <v/>
      </c>
      <c r="Y1137" s="27">
        <f>IF(OR(NOT(ISNUMBER($W1137)),$AO1137=1),"",$W1137-(COUNTIFS($A$14:$A$1213,$A1137,$F$14:$F$1213,"&gt;=0")+1)/2)</f>
        <v/>
      </c>
      <c r="Z1137" s="27">
        <f>IF(ISNUMBER($V1137),$A1137&amp;"|"&amp;$V1137,"")</f>
        <v/>
      </c>
      <c r="AA1137" s="27">
        <f>IF(ISNUMBER($W1137),$A1137&amp;"|"&amp;$W1137,"")</f>
        <v/>
      </c>
      <c r="AB1137" s="27">
        <f>IF(ISNUMBER($F1137),$A1137&amp;"|"&amp;$F1137,"")</f>
        <v/>
      </c>
      <c r="AC1137" s="27">
        <f>IF(ISNUMBER($P1137),COUNTIFS($A$14:$A$1213,$A1137,$P$14:$P$1213,"&gt;"&amp;$P1137)+(COUNTIFS($A$14:$A$1213,$A1137,$P$14:$P$1213,"="&amp;$P1137)+1)/2,"")</f>
        <v/>
      </c>
      <c r="AD1137" s="27">
        <f>IF(ISNUMBER($Q1137),COUNTIFS($A$14:$A$1213,$A1137,$Q$14:$Q$1213,"&gt;"&amp;$Q1137)+(COUNTIFS($A$14:$A$1213,$A1137,$Q$14:$Q$1213,"="&amp;$Q1137)+1)/2,"")</f>
        <v/>
      </c>
      <c r="AE1137" s="27">
        <f>IF(ISNUMBER($R1137),COUNTIFS($A$14:$A$1213,$A1137,$R$14:$R$1213,"&gt;"&amp;$R1137)+(COUNTIFS($A$14:$A$1213,$A1137,$R$14:$R$1213,"="&amp;$R1137)+1)/2,"")</f>
        <v/>
      </c>
      <c r="AF1137" s="27">
        <f>IF(ISNUMBER($S1137),COUNTIFS($A$14:$A$1213,$A1137,$S$14:$S$1213,"&gt;"&amp;$S1137)+(COUNTIFS($A$14:$A$1213,$A1137,$S$14:$S$1213,"="&amp;$S1137)+1)/2,"")</f>
        <v/>
      </c>
      <c r="AG1137" s="27">
        <f>IF(ISNUMBER($T1137),COUNTIFS($A$14:$A$1213,$A1137,$T$14:$T$1213,"&gt;"&amp;$T1137)+(COUNTIFS($A$14:$A$1213,$A1137,$T$14:$T$1213,"="&amp;$T1137)+1)/2,"")</f>
        <v/>
      </c>
      <c r="AH1137" s="27">
        <f>IF(COUNT($AC1137:$AG1137)&lt;2,"",IF(MAX($AC1137:$AG1137)=MIN($AC1137:$AG1137),0,1))</f>
        <v/>
      </c>
      <c r="AI1137" s="27">
        <f>IF($A1137="","",IF(COUNTIF($A$14:$A1137,$A1137)=1,COUNTIF($AI$13:AI1136,"&gt;0")+1,""))</f>
        <v/>
      </c>
      <c r="AO1137" s="27">
        <f>IF($A1137="","",IF(AND(COUNTIFS($A$14:$A$1213,$A1137,$F$14:$F$1213,"&gt;=0")=2,IFERROR(INDEX($M$14:$M$313,MATCH($A1137,$H$14:$H$313,0)),"Yes")&lt;&gt;"Yes"),1,0))</f>
        <v/>
      </c>
    </row>
    <row r="1138">
      <c r="A1138" s="19">
        <f>IF('Enter messages'!A1138="","",'Enter messages'!A1138)</f>
        <v/>
      </c>
      <c r="B1138" s="20">
        <f>IF('Enter messages'!B1138="","",'Enter messages'!B1138)</f>
        <v/>
      </c>
      <c r="C1138" s="21">
        <f>IFERROR(AVERAGE(P1138:T1138),"")</f>
        <v/>
      </c>
      <c r="D1138" s="29" t="n"/>
      <c r="E1138" s="29" t="n"/>
      <c r="F1138" s="30">
        <f>IF(AND(ISNUMBER($D1138),ISNUMBER($E1138),$E1138&gt;0,$D1138&lt;=$E1138),$D1138/$E1138,"")</f>
        <v/>
      </c>
      <c r="P1138" s="26" t="n"/>
      <c r="Q1138" s="26" t="n"/>
      <c r="R1138" s="26" t="n"/>
      <c r="S1138" s="26" t="n"/>
      <c r="T1138" s="26" t="n"/>
      <c r="V1138" s="27">
        <f>IF(ISNUMBER($C1138),COUNTIFS($A$14:$A$1213,$A1138,$C$14:$C$1213,"&gt;"&amp;$C1138)+(COUNTIFS($A$14:$A$1213,$A1138,$C$14:$C$1213,"="&amp;$C1138)+1)/2,"")</f>
        <v/>
      </c>
      <c r="W1138" s="27">
        <f>IF(ISNUMBER($F1138),COUNTIFS($A$14:$A$1213,$A1138,$F$14:$F$1213,"&gt;"&amp;$F1138)+(COUNTIFS($A$14:$A$1213,$A1138,$F$14:$F$1213,"="&amp;$F1138)+1)/2,"")</f>
        <v/>
      </c>
      <c r="X1138" s="27">
        <f>IF(OR(NOT(ISNUMBER($V1138)),$AO1138=1),"",$V1138-(COUNTIFS($A$14:$A$1213,$A1138,$C$14:$C$1213,"&gt;=0")+1)/2)</f>
        <v/>
      </c>
      <c r="Y1138" s="27">
        <f>IF(OR(NOT(ISNUMBER($W1138)),$AO1138=1),"",$W1138-(COUNTIFS($A$14:$A$1213,$A1138,$F$14:$F$1213,"&gt;=0")+1)/2)</f>
        <v/>
      </c>
      <c r="Z1138" s="27">
        <f>IF(ISNUMBER($V1138),$A1138&amp;"|"&amp;$V1138,"")</f>
        <v/>
      </c>
      <c r="AA1138" s="27">
        <f>IF(ISNUMBER($W1138),$A1138&amp;"|"&amp;$W1138,"")</f>
        <v/>
      </c>
      <c r="AB1138" s="27">
        <f>IF(ISNUMBER($F1138),$A1138&amp;"|"&amp;$F1138,"")</f>
        <v/>
      </c>
      <c r="AC1138" s="27">
        <f>IF(ISNUMBER($P1138),COUNTIFS($A$14:$A$1213,$A1138,$P$14:$P$1213,"&gt;"&amp;$P1138)+(COUNTIFS($A$14:$A$1213,$A1138,$P$14:$P$1213,"="&amp;$P1138)+1)/2,"")</f>
        <v/>
      </c>
      <c r="AD1138" s="27">
        <f>IF(ISNUMBER($Q1138),COUNTIFS($A$14:$A$1213,$A1138,$Q$14:$Q$1213,"&gt;"&amp;$Q1138)+(COUNTIFS($A$14:$A$1213,$A1138,$Q$14:$Q$1213,"="&amp;$Q1138)+1)/2,"")</f>
        <v/>
      </c>
      <c r="AE1138" s="27">
        <f>IF(ISNUMBER($R1138),COUNTIFS($A$14:$A$1213,$A1138,$R$14:$R$1213,"&gt;"&amp;$R1138)+(COUNTIFS($A$14:$A$1213,$A1138,$R$14:$R$1213,"="&amp;$R1138)+1)/2,"")</f>
        <v/>
      </c>
      <c r="AF1138" s="27">
        <f>IF(ISNUMBER($S1138),COUNTIFS($A$14:$A$1213,$A1138,$S$14:$S$1213,"&gt;"&amp;$S1138)+(COUNTIFS($A$14:$A$1213,$A1138,$S$14:$S$1213,"="&amp;$S1138)+1)/2,"")</f>
        <v/>
      </c>
      <c r="AG1138" s="27">
        <f>IF(ISNUMBER($T1138),COUNTIFS($A$14:$A$1213,$A1138,$T$14:$T$1213,"&gt;"&amp;$T1138)+(COUNTIFS($A$14:$A$1213,$A1138,$T$14:$T$1213,"="&amp;$T1138)+1)/2,"")</f>
        <v/>
      </c>
      <c r="AH1138" s="27">
        <f>IF(COUNT($AC1138:$AG1138)&lt;2,"",IF(MAX($AC1138:$AG1138)=MIN($AC1138:$AG1138),0,1))</f>
        <v/>
      </c>
      <c r="AI1138" s="27">
        <f>IF($A1138="","",IF(COUNTIF($A$14:$A1138,$A1138)=1,COUNTIF($AI$13:AI1137,"&gt;0")+1,""))</f>
        <v/>
      </c>
      <c r="AO1138" s="27">
        <f>IF($A1138="","",IF(AND(COUNTIFS($A$14:$A$1213,$A1138,$F$14:$F$1213,"&gt;=0")=2,IFERROR(INDEX($M$14:$M$313,MATCH($A1138,$H$14:$H$313,0)),"Yes")&lt;&gt;"Yes"),1,0))</f>
        <v/>
      </c>
    </row>
    <row r="1139">
      <c r="A1139" s="19">
        <f>IF('Enter messages'!A1139="","",'Enter messages'!A1139)</f>
        <v/>
      </c>
      <c r="B1139" s="20">
        <f>IF('Enter messages'!B1139="","",'Enter messages'!B1139)</f>
        <v/>
      </c>
      <c r="C1139" s="21">
        <f>IFERROR(AVERAGE(P1139:T1139),"")</f>
        <v/>
      </c>
      <c r="D1139" s="29" t="n"/>
      <c r="E1139" s="29" t="n"/>
      <c r="F1139" s="30">
        <f>IF(AND(ISNUMBER($D1139),ISNUMBER($E1139),$E1139&gt;0,$D1139&lt;=$E1139),$D1139/$E1139,"")</f>
        <v/>
      </c>
      <c r="P1139" s="26" t="n"/>
      <c r="Q1139" s="26" t="n"/>
      <c r="R1139" s="26" t="n"/>
      <c r="S1139" s="26" t="n"/>
      <c r="T1139" s="26" t="n"/>
      <c r="V1139" s="27">
        <f>IF(ISNUMBER($C1139),COUNTIFS($A$14:$A$1213,$A1139,$C$14:$C$1213,"&gt;"&amp;$C1139)+(COUNTIFS($A$14:$A$1213,$A1139,$C$14:$C$1213,"="&amp;$C1139)+1)/2,"")</f>
        <v/>
      </c>
      <c r="W1139" s="27">
        <f>IF(ISNUMBER($F1139),COUNTIFS($A$14:$A$1213,$A1139,$F$14:$F$1213,"&gt;"&amp;$F1139)+(COUNTIFS($A$14:$A$1213,$A1139,$F$14:$F$1213,"="&amp;$F1139)+1)/2,"")</f>
        <v/>
      </c>
      <c r="X1139" s="27">
        <f>IF(OR(NOT(ISNUMBER($V1139)),$AO1139=1),"",$V1139-(COUNTIFS($A$14:$A$1213,$A1139,$C$14:$C$1213,"&gt;=0")+1)/2)</f>
        <v/>
      </c>
      <c r="Y1139" s="27">
        <f>IF(OR(NOT(ISNUMBER($W1139)),$AO1139=1),"",$W1139-(COUNTIFS($A$14:$A$1213,$A1139,$F$14:$F$1213,"&gt;=0")+1)/2)</f>
        <v/>
      </c>
      <c r="Z1139" s="27">
        <f>IF(ISNUMBER($V1139),$A1139&amp;"|"&amp;$V1139,"")</f>
        <v/>
      </c>
      <c r="AA1139" s="27">
        <f>IF(ISNUMBER($W1139),$A1139&amp;"|"&amp;$W1139,"")</f>
        <v/>
      </c>
      <c r="AB1139" s="27">
        <f>IF(ISNUMBER($F1139),$A1139&amp;"|"&amp;$F1139,"")</f>
        <v/>
      </c>
      <c r="AC1139" s="27">
        <f>IF(ISNUMBER($P1139),COUNTIFS($A$14:$A$1213,$A1139,$P$14:$P$1213,"&gt;"&amp;$P1139)+(COUNTIFS($A$14:$A$1213,$A1139,$P$14:$P$1213,"="&amp;$P1139)+1)/2,"")</f>
        <v/>
      </c>
      <c r="AD1139" s="27">
        <f>IF(ISNUMBER($Q1139),COUNTIFS($A$14:$A$1213,$A1139,$Q$14:$Q$1213,"&gt;"&amp;$Q1139)+(COUNTIFS($A$14:$A$1213,$A1139,$Q$14:$Q$1213,"="&amp;$Q1139)+1)/2,"")</f>
        <v/>
      </c>
      <c r="AE1139" s="27">
        <f>IF(ISNUMBER($R1139),COUNTIFS($A$14:$A$1213,$A1139,$R$14:$R$1213,"&gt;"&amp;$R1139)+(COUNTIFS($A$14:$A$1213,$A1139,$R$14:$R$1213,"="&amp;$R1139)+1)/2,"")</f>
        <v/>
      </c>
      <c r="AF1139" s="27">
        <f>IF(ISNUMBER($S1139),COUNTIFS($A$14:$A$1213,$A1139,$S$14:$S$1213,"&gt;"&amp;$S1139)+(COUNTIFS($A$14:$A$1213,$A1139,$S$14:$S$1213,"="&amp;$S1139)+1)/2,"")</f>
        <v/>
      </c>
      <c r="AG1139" s="27">
        <f>IF(ISNUMBER($T1139),COUNTIFS($A$14:$A$1213,$A1139,$T$14:$T$1213,"&gt;"&amp;$T1139)+(COUNTIFS($A$14:$A$1213,$A1139,$T$14:$T$1213,"="&amp;$T1139)+1)/2,"")</f>
        <v/>
      </c>
      <c r="AH1139" s="27">
        <f>IF(COUNT($AC1139:$AG1139)&lt;2,"",IF(MAX($AC1139:$AG1139)=MIN($AC1139:$AG1139),0,1))</f>
        <v/>
      </c>
      <c r="AI1139" s="27">
        <f>IF($A1139="","",IF(COUNTIF($A$14:$A1139,$A1139)=1,COUNTIF($AI$13:AI1138,"&gt;0")+1,""))</f>
        <v/>
      </c>
      <c r="AO1139" s="27">
        <f>IF($A1139="","",IF(AND(COUNTIFS($A$14:$A$1213,$A1139,$F$14:$F$1213,"&gt;=0")=2,IFERROR(INDEX($M$14:$M$313,MATCH($A1139,$H$14:$H$313,0)),"Yes")&lt;&gt;"Yes"),1,0))</f>
        <v/>
      </c>
    </row>
    <row r="1140">
      <c r="A1140" s="19">
        <f>IF('Enter messages'!A1140="","",'Enter messages'!A1140)</f>
        <v/>
      </c>
      <c r="B1140" s="20">
        <f>IF('Enter messages'!B1140="","",'Enter messages'!B1140)</f>
        <v/>
      </c>
      <c r="C1140" s="21">
        <f>IFERROR(AVERAGE(P1140:T1140),"")</f>
        <v/>
      </c>
      <c r="D1140" s="29" t="n"/>
      <c r="E1140" s="29" t="n"/>
      <c r="F1140" s="30">
        <f>IF(AND(ISNUMBER($D1140),ISNUMBER($E1140),$E1140&gt;0,$D1140&lt;=$E1140),$D1140/$E1140,"")</f>
        <v/>
      </c>
      <c r="P1140" s="26" t="n"/>
      <c r="Q1140" s="26" t="n"/>
      <c r="R1140" s="26" t="n"/>
      <c r="S1140" s="26" t="n"/>
      <c r="T1140" s="26" t="n"/>
      <c r="V1140" s="27">
        <f>IF(ISNUMBER($C1140),COUNTIFS($A$14:$A$1213,$A1140,$C$14:$C$1213,"&gt;"&amp;$C1140)+(COUNTIFS($A$14:$A$1213,$A1140,$C$14:$C$1213,"="&amp;$C1140)+1)/2,"")</f>
        <v/>
      </c>
      <c r="W1140" s="27">
        <f>IF(ISNUMBER($F1140),COUNTIFS($A$14:$A$1213,$A1140,$F$14:$F$1213,"&gt;"&amp;$F1140)+(COUNTIFS($A$14:$A$1213,$A1140,$F$14:$F$1213,"="&amp;$F1140)+1)/2,"")</f>
        <v/>
      </c>
      <c r="X1140" s="27">
        <f>IF(OR(NOT(ISNUMBER($V1140)),$AO1140=1),"",$V1140-(COUNTIFS($A$14:$A$1213,$A1140,$C$14:$C$1213,"&gt;=0")+1)/2)</f>
        <v/>
      </c>
      <c r="Y1140" s="27">
        <f>IF(OR(NOT(ISNUMBER($W1140)),$AO1140=1),"",$W1140-(COUNTIFS($A$14:$A$1213,$A1140,$F$14:$F$1213,"&gt;=0")+1)/2)</f>
        <v/>
      </c>
      <c r="Z1140" s="27">
        <f>IF(ISNUMBER($V1140),$A1140&amp;"|"&amp;$V1140,"")</f>
        <v/>
      </c>
      <c r="AA1140" s="27">
        <f>IF(ISNUMBER($W1140),$A1140&amp;"|"&amp;$W1140,"")</f>
        <v/>
      </c>
      <c r="AB1140" s="27">
        <f>IF(ISNUMBER($F1140),$A1140&amp;"|"&amp;$F1140,"")</f>
        <v/>
      </c>
      <c r="AC1140" s="27">
        <f>IF(ISNUMBER($P1140),COUNTIFS($A$14:$A$1213,$A1140,$P$14:$P$1213,"&gt;"&amp;$P1140)+(COUNTIFS($A$14:$A$1213,$A1140,$P$14:$P$1213,"="&amp;$P1140)+1)/2,"")</f>
        <v/>
      </c>
      <c r="AD1140" s="27">
        <f>IF(ISNUMBER($Q1140),COUNTIFS($A$14:$A$1213,$A1140,$Q$14:$Q$1213,"&gt;"&amp;$Q1140)+(COUNTIFS($A$14:$A$1213,$A1140,$Q$14:$Q$1213,"="&amp;$Q1140)+1)/2,"")</f>
        <v/>
      </c>
      <c r="AE1140" s="27">
        <f>IF(ISNUMBER($R1140),COUNTIFS($A$14:$A$1213,$A1140,$R$14:$R$1213,"&gt;"&amp;$R1140)+(COUNTIFS($A$14:$A$1213,$A1140,$R$14:$R$1213,"="&amp;$R1140)+1)/2,"")</f>
        <v/>
      </c>
      <c r="AF1140" s="27">
        <f>IF(ISNUMBER($S1140),COUNTIFS($A$14:$A$1213,$A1140,$S$14:$S$1213,"&gt;"&amp;$S1140)+(COUNTIFS($A$14:$A$1213,$A1140,$S$14:$S$1213,"="&amp;$S1140)+1)/2,"")</f>
        <v/>
      </c>
      <c r="AG1140" s="27">
        <f>IF(ISNUMBER($T1140),COUNTIFS($A$14:$A$1213,$A1140,$T$14:$T$1213,"&gt;"&amp;$T1140)+(COUNTIFS($A$14:$A$1213,$A1140,$T$14:$T$1213,"="&amp;$T1140)+1)/2,"")</f>
        <v/>
      </c>
      <c r="AH1140" s="27">
        <f>IF(COUNT($AC1140:$AG1140)&lt;2,"",IF(MAX($AC1140:$AG1140)=MIN($AC1140:$AG1140),0,1))</f>
        <v/>
      </c>
      <c r="AI1140" s="27">
        <f>IF($A1140="","",IF(COUNTIF($A$14:$A1140,$A1140)=1,COUNTIF($AI$13:AI1139,"&gt;0")+1,""))</f>
        <v/>
      </c>
      <c r="AO1140" s="27">
        <f>IF($A1140="","",IF(AND(COUNTIFS($A$14:$A$1213,$A1140,$F$14:$F$1213,"&gt;=0")=2,IFERROR(INDEX($M$14:$M$313,MATCH($A1140,$H$14:$H$313,0)),"Yes")&lt;&gt;"Yes"),1,0))</f>
        <v/>
      </c>
    </row>
    <row r="1141">
      <c r="A1141" s="19">
        <f>IF('Enter messages'!A1141="","",'Enter messages'!A1141)</f>
        <v/>
      </c>
      <c r="B1141" s="20">
        <f>IF('Enter messages'!B1141="","",'Enter messages'!B1141)</f>
        <v/>
      </c>
      <c r="C1141" s="21">
        <f>IFERROR(AVERAGE(P1141:T1141),"")</f>
        <v/>
      </c>
      <c r="D1141" s="29" t="n"/>
      <c r="E1141" s="29" t="n"/>
      <c r="F1141" s="30">
        <f>IF(AND(ISNUMBER($D1141),ISNUMBER($E1141),$E1141&gt;0,$D1141&lt;=$E1141),$D1141/$E1141,"")</f>
        <v/>
      </c>
      <c r="P1141" s="26" t="n"/>
      <c r="Q1141" s="26" t="n"/>
      <c r="R1141" s="26" t="n"/>
      <c r="S1141" s="26" t="n"/>
      <c r="T1141" s="26" t="n"/>
      <c r="V1141" s="27">
        <f>IF(ISNUMBER($C1141),COUNTIFS($A$14:$A$1213,$A1141,$C$14:$C$1213,"&gt;"&amp;$C1141)+(COUNTIFS($A$14:$A$1213,$A1141,$C$14:$C$1213,"="&amp;$C1141)+1)/2,"")</f>
        <v/>
      </c>
      <c r="W1141" s="27">
        <f>IF(ISNUMBER($F1141),COUNTIFS($A$14:$A$1213,$A1141,$F$14:$F$1213,"&gt;"&amp;$F1141)+(COUNTIFS($A$14:$A$1213,$A1141,$F$14:$F$1213,"="&amp;$F1141)+1)/2,"")</f>
        <v/>
      </c>
      <c r="X1141" s="27">
        <f>IF(OR(NOT(ISNUMBER($V1141)),$AO1141=1),"",$V1141-(COUNTIFS($A$14:$A$1213,$A1141,$C$14:$C$1213,"&gt;=0")+1)/2)</f>
        <v/>
      </c>
      <c r="Y1141" s="27">
        <f>IF(OR(NOT(ISNUMBER($W1141)),$AO1141=1),"",$W1141-(COUNTIFS($A$14:$A$1213,$A1141,$F$14:$F$1213,"&gt;=0")+1)/2)</f>
        <v/>
      </c>
      <c r="Z1141" s="27">
        <f>IF(ISNUMBER($V1141),$A1141&amp;"|"&amp;$V1141,"")</f>
        <v/>
      </c>
      <c r="AA1141" s="27">
        <f>IF(ISNUMBER($W1141),$A1141&amp;"|"&amp;$W1141,"")</f>
        <v/>
      </c>
      <c r="AB1141" s="27">
        <f>IF(ISNUMBER($F1141),$A1141&amp;"|"&amp;$F1141,"")</f>
        <v/>
      </c>
      <c r="AC1141" s="27">
        <f>IF(ISNUMBER($P1141),COUNTIFS($A$14:$A$1213,$A1141,$P$14:$P$1213,"&gt;"&amp;$P1141)+(COUNTIFS($A$14:$A$1213,$A1141,$P$14:$P$1213,"="&amp;$P1141)+1)/2,"")</f>
        <v/>
      </c>
      <c r="AD1141" s="27">
        <f>IF(ISNUMBER($Q1141),COUNTIFS($A$14:$A$1213,$A1141,$Q$14:$Q$1213,"&gt;"&amp;$Q1141)+(COUNTIFS($A$14:$A$1213,$A1141,$Q$14:$Q$1213,"="&amp;$Q1141)+1)/2,"")</f>
        <v/>
      </c>
      <c r="AE1141" s="27">
        <f>IF(ISNUMBER($R1141),COUNTIFS($A$14:$A$1213,$A1141,$R$14:$R$1213,"&gt;"&amp;$R1141)+(COUNTIFS($A$14:$A$1213,$A1141,$R$14:$R$1213,"="&amp;$R1141)+1)/2,"")</f>
        <v/>
      </c>
      <c r="AF1141" s="27">
        <f>IF(ISNUMBER($S1141),COUNTIFS($A$14:$A$1213,$A1141,$S$14:$S$1213,"&gt;"&amp;$S1141)+(COUNTIFS($A$14:$A$1213,$A1141,$S$14:$S$1213,"="&amp;$S1141)+1)/2,"")</f>
        <v/>
      </c>
      <c r="AG1141" s="27">
        <f>IF(ISNUMBER($T1141),COUNTIFS($A$14:$A$1213,$A1141,$T$14:$T$1213,"&gt;"&amp;$T1141)+(COUNTIFS($A$14:$A$1213,$A1141,$T$14:$T$1213,"="&amp;$T1141)+1)/2,"")</f>
        <v/>
      </c>
      <c r="AH1141" s="27">
        <f>IF(COUNT($AC1141:$AG1141)&lt;2,"",IF(MAX($AC1141:$AG1141)=MIN($AC1141:$AG1141),0,1))</f>
        <v/>
      </c>
      <c r="AI1141" s="27">
        <f>IF($A1141="","",IF(COUNTIF($A$14:$A1141,$A1141)=1,COUNTIF($AI$13:AI1140,"&gt;0")+1,""))</f>
        <v/>
      </c>
      <c r="AO1141" s="27">
        <f>IF($A1141="","",IF(AND(COUNTIFS($A$14:$A$1213,$A1141,$F$14:$F$1213,"&gt;=0")=2,IFERROR(INDEX($M$14:$M$313,MATCH($A1141,$H$14:$H$313,0)),"Yes")&lt;&gt;"Yes"),1,0))</f>
        <v/>
      </c>
    </row>
    <row r="1142">
      <c r="A1142" s="19">
        <f>IF('Enter messages'!A1142="","",'Enter messages'!A1142)</f>
        <v/>
      </c>
      <c r="B1142" s="20">
        <f>IF('Enter messages'!B1142="","",'Enter messages'!B1142)</f>
        <v/>
      </c>
      <c r="C1142" s="21">
        <f>IFERROR(AVERAGE(P1142:T1142),"")</f>
        <v/>
      </c>
      <c r="D1142" s="29" t="n"/>
      <c r="E1142" s="29" t="n"/>
      <c r="F1142" s="30">
        <f>IF(AND(ISNUMBER($D1142),ISNUMBER($E1142),$E1142&gt;0,$D1142&lt;=$E1142),$D1142/$E1142,"")</f>
        <v/>
      </c>
      <c r="P1142" s="26" t="n"/>
      <c r="Q1142" s="26" t="n"/>
      <c r="R1142" s="26" t="n"/>
      <c r="S1142" s="26" t="n"/>
      <c r="T1142" s="26" t="n"/>
      <c r="V1142" s="27">
        <f>IF(ISNUMBER($C1142),COUNTIFS($A$14:$A$1213,$A1142,$C$14:$C$1213,"&gt;"&amp;$C1142)+(COUNTIFS($A$14:$A$1213,$A1142,$C$14:$C$1213,"="&amp;$C1142)+1)/2,"")</f>
        <v/>
      </c>
      <c r="W1142" s="27">
        <f>IF(ISNUMBER($F1142),COUNTIFS($A$14:$A$1213,$A1142,$F$14:$F$1213,"&gt;"&amp;$F1142)+(COUNTIFS($A$14:$A$1213,$A1142,$F$14:$F$1213,"="&amp;$F1142)+1)/2,"")</f>
        <v/>
      </c>
      <c r="X1142" s="27">
        <f>IF(OR(NOT(ISNUMBER($V1142)),$AO1142=1),"",$V1142-(COUNTIFS($A$14:$A$1213,$A1142,$C$14:$C$1213,"&gt;=0")+1)/2)</f>
        <v/>
      </c>
      <c r="Y1142" s="27">
        <f>IF(OR(NOT(ISNUMBER($W1142)),$AO1142=1),"",$W1142-(COUNTIFS($A$14:$A$1213,$A1142,$F$14:$F$1213,"&gt;=0")+1)/2)</f>
        <v/>
      </c>
      <c r="Z1142" s="27">
        <f>IF(ISNUMBER($V1142),$A1142&amp;"|"&amp;$V1142,"")</f>
        <v/>
      </c>
      <c r="AA1142" s="27">
        <f>IF(ISNUMBER($W1142),$A1142&amp;"|"&amp;$W1142,"")</f>
        <v/>
      </c>
      <c r="AB1142" s="27">
        <f>IF(ISNUMBER($F1142),$A1142&amp;"|"&amp;$F1142,"")</f>
        <v/>
      </c>
      <c r="AC1142" s="27">
        <f>IF(ISNUMBER($P1142),COUNTIFS($A$14:$A$1213,$A1142,$P$14:$P$1213,"&gt;"&amp;$P1142)+(COUNTIFS($A$14:$A$1213,$A1142,$P$14:$P$1213,"="&amp;$P1142)+1)/2,"")</f>
        <v/>
      </c>
      <c r="AD1142" s="27">
        <f>IF(ISNUMBER($Q1142),COUNTIFS($A$14:$A$1213,$A1142,$Q$14:$Q$1213,"&gt;"&amp;$Q1142)+(COUNTIFS($A$14:$A$1213,$A1142,$Q$14:$Q$1213,"="&amp;$Q1142)+1)/2,"")</f>
        <v/>
      </c>
      <c r="AE1142" s="27">
        <f>IF(ISNUMBER($R1142),COUNTIFS($A$14:$A$1213,$A1142,$R$14:$R$1213,"&gt;"&amp;$R1142)+(COUNTIFS($A$14:$A$1213,$A1142,$R$14:$R$1213,"="&amp;$R1142)+1)/2,"")</f>
        <v/>
      </c>
      <c r="AF1142" s="27">
        <f>IF(ISNUMBER($S1142),COUNTIFS($A$14:$A$1213,$A1142,$S$14:$S$1213,"&gt;"&amp;$S1142)+(COUNTIFS($A$14:$A$1213,$A1142,$S$14:$S$1213,"="&amp;$S1142)+1)/2,"")</f>
        <v/>
      </c>
      <c r="AG1142" s="27">
        <f>IF(ISNUMBER($T1142),COUNTIFS($A$14:$A$1213,$A1142,$T$14:$T$1213,"&gt;"&amp;$T1142)+(COUNTIFS($A$14:$A$1213,$A1142,$T$14:$T$1213,"="&amp;$T1142)+1)/2,"")</f>
        <v/>
      </c>
      <c r="AH1142" s="27">
        <f>IF(COUNT($AC1142:$AG1142)&lt;2,"",IF(MAX($AC1142:$AG1142)=MIN($AC1142:$AG1142),0,1))</f>
        <v/>
      </c>
      <c r="AI1142" s="27">
        <f>IF($A1142="","",IF(COUNTIF($A$14:$A1142,$A1142)=1,COUNTIF($AI$13:AI1141,"&gt;0")+1,""))</f>
        <v/>
      </c>
      <c r="AO1142" s="27">
        <f>IF($A1142="","",IF(AND(COUNTIFS($A$14:$A$1213,$A1142,$F$14:$F$1213,"&gt;=0")=2,IFERROR(INDEX($M$14:$M$313,MATCH($A1142,$H$14:$H$313,0)),"Yes")&lt;&gt;"Yes"),1,0))</f>
        <v/>
      </c>
    </row>
    <row r="1143">
      <c r="A1143" s="19">
        <f>IF('Enter messages'!A1143="","",'Enter messages'!A1143)</f>
        <v/>
      </c>
      <c r="B1143" s="20">
        <f>IF('Enter messages'!B1143="","",'Enter messages'!B1143)</f>
        <v/>
      </c>
      <c r="C1143" s="21">
        <f>IFERROR(AVERAGE(P1143:T1143),"")</f>
        <v/>
      </c>
      <c r="D1143" s="29" t="n"/>
      <c r="E1143" s="29" t="n"/>
      <c r="F1143" s="30">
        <f>IF(AND(ISNUMBER($D1143),ISNUMBER($E1143),$E1143&gt;0,$D1143&lt;=$E1143),$D1143/$E1143,"")</f>
        <v/>
      </c>
      <c r="P1143" s="26" t="n"/>
      <c r="Q1143" s="26" t="n"/>
      <c r="R1143" s="26" t="n"/>
      <c r="S1143" s="26" t="n"/>
      <c r="T1143" s="26" t="n"/>
      <c r="V1143" s="27">
        <f>IF(ISNUMBER($C1143),COUNTIFS($A$14:$A$1213,$A1143,$C$14:$C$1213,"&gt;"&amp;$C1143)+(COUNTIFS($A$14:$A$1213,$A1143,$C$14:$C$1213,"="&amp;$C1143)+1)/2,"")</f>
        <v/>
      </c>
      <c r="W1143" s="27">
        <f>IF(ISNUMBER($F1143),COUNTIFS($A$14:$A$1213,$A1143,$F$14:$F$1213,"&gt;"&amp;$F1143)+(COUNTIFS($A$14:$A$1213,$A1143,$F$14:$F$1213,"="&amp;$F1143)+1)/2,"")</f>
        <v/>
      </c>
      <c r="X1143" s="27">
        <f>IF(OR(NOT(ISNUMBER($V1143)),$AO1143=1),"",$V1143-(COUNTIFS($A$14:$A$1213,$A1143,$C$14:$C$1213,"&gt;=0")+1)/2)</f>
        <v/>
      </c>
      <c r="Y1143" s="27">
        <f>IF(OR(NOT(ISNUMBER($W1143)),$AO1143=1),"",$W1143-(COUNTIFS($A$14:$A$1213,$A1143,$F$14:$F$1213,"&gt;=0")+1)/2)</f>
        <v/>
      </c>
      <c r="Z1143" s="27">
        <f>IF(ISNUMBER($V1143),$A1143&amp;"|"&amp;$V1143,"")</f>
        <v/>
      </c>
      <c r="AA1143" s="27">
        <f>IF(ISNUMBER($W1143),$A1143&amp;"|"&amp;$W1143,"")</f>
        <v/>
      </c>
      <c r="AB1143" s="27">
        <f>IF(ISNUMBER($F1143),$A1143&amp;"|"&amp;$F1143,"")</f>
        <v/>
      </c>
      <c r="AC1143" s="27">
        <f>IF(ISNUMBER($P1143),COUNTIFS($A$14:$A$1213,$A1143,$P$14:$P$1213,"&gt;"&amp;$P1143)+(COUNTIFS($A$14:$A$1213,$A1143,$P$14:$P$1213,"="&amp;$P1143)+1)/2,"")</f>
        <v/>
      </c>
      <c r="AD1143" s="27">
        <f>IF(ISNUMBER($Q1143),COUNTIFS($A$14:$A$1213,$A1143,$Q$14:$Q$1213,"&gt;"&amp;$Q1143)+(COUNTIFS($A$14:$A$1213,$A1143,$Q$14:$Q$1213,"="&amp;$Q1143)+1)/2,"")</f>
        <v/>
      </c>
      <c r="AE1143" s="27">
        <f>IF(ISNUMBER($R1143),COUNTIFS($A$14:$A$1213,$A1143,$R$14:$R$1213,"&gt;"&amp;$R1143)+(COUNTIFS($A$14:$A$1213,$A1143,$R$14:$R$1213,"="&amp;$R1143)+1)/2,"")</f>
        <v/>
      </c>
      <c r="AF1143" s="27">
        <f>IF(ISNUMBER($S1143),COUNTIFS($A$14:$A$1213,$A1143,$S$14:$S$1213,"&gt;"&amp;$S1143)+(COUNTIFS($A$14:$A$1213,$A1143,$S$14:$S$1213,"="&amp;$S1143)+1)/2,"")</f>
        <v/>
      </c>
      <c r="AG1143" s="27">
        <f>IF(ISNUMBER($T1143),COUNTIFS($A$14:$A$1213,$A1143,$T$14:$T$1213,"&gt;"&amp;$T1143)+(COUNTIFS($A$14:$A$1213,$A1143,$T$14:$T$1213,"="&amp;$T1143)+1)/2,"")</f>
        <v/>
      </c>
      <c r="AH1143" s="27">
        <f>IF(COUNT($AC1143:$AG1143)&lt;2,"",IF(MAX($AC1143:$AG1143)=MIN($AC1143:$AG1143),0,1))</f>
        <v/>
      </c>
      <c r="AI1143" s="27">
        <f>IF($A1143="","",IF(COUNTIF($A$14:$A1143,$A1143)=1,COUNTIF($AI$13:AI1142,"&gt;0")+1,""))</f>
        <v/>
      </c>
      <c r="AO1143" s="27">
        <f>IF($A1143="","",IF(AND(COUNTIFS($A$14:$A$1213,$A1143,$F$14:$F$1213,"&gt;=0")=2,IFERROR(INDEX($M$14:$M$313,MATCH($A1143,$H$14:$H$313,0)),"Yes")&lt;&gt;"Yes"),1,0))</f>
        <v/>
      </c>
    </row>
    <row r="1144">
      <c r="A1144" s="19">
        <f>IF('Enter messages'!A1144="","",'Enter messages'!A1144)</f>
        <v/>
      </c>
      <c r="B1144" s="20">
        <f>IF('Enter messages'!B1144="","",'Enter messages'!B1144)</f>
        <v/>
      </c>
      <c r="C1144" s="21">
        <f>IFERROR(AVERAGE(P1144:T1144),"")</f>
        <v/>
      </c>
      <c r="D1144" s="29" t="n"/>
      <c r="E1144" s="29" t="n"/>
      <c r="F1144" s="30">
        <f>IF(AND(ISNUMBER($D1144),ISNUMBER($E1144),$E1144&gt;0,$D1144&lt;=$E1144),$D1144/$E1144,"")</f>
        <v/>
      </c>
      <c r="P1144" s="26" t="n"/>
      <c r="Q1144" s="26" t="n"/>
      <c r="R1144" s="26" t="n"/>
      <c r="S1144" s="26" t="n"/>
      <c r="T1144" s="26" t="n"/>
      <c r="V1144" s="27">
        <f>IF(ISNUMBER($C1144),COUNTIFS($A$14:$A$1213,$A1144,$C$14:$C$1213,"&gt;"&amp;$C1144)+(COUNTIFS($A$14:$A$1213,$A1144,$C$14:$C$1213,"="&amp;$C1144)+1)/2,"")</f>
        <v/>
      </c>
      <c r="W1144" s="27">
        <f>IF(ISNUMBER($F1144),COUNTIFS($A$14:$A$1213,$A1144,$F$14:$F$1213,"&gt;"&amp;$F1144)+(COUNTIFS($A$14:$A$1213,$A1144,$F$14:$F$1213,"="&amp;$F1144)+1)/2,"")</f>
        <v/>
      </c>
      <c r="X1144" s="27">
        <f>IF(OR(NOT(ISNUMBER($V1144)),$AO1144=1),"",$V1144-(COUNTIFS($A$14:$A$1213,$A1144,$C$14:$C$1213,"&gt;=0")+1)/2)</f>
        <v/>
      </c>
      <c r="Y1144" s="27">
        <f>IF(OR(NOT(ISNUMBER($W1144)),$AO1144=1),"",$W1144-(COUNTIFS($A$14:$A$1213,$A1144,$F$14:$F$1213,"&gt;=0")+1)/2)</f>
        <v/>
      </c>
      <c r="Z1144" s="27">
        <f>IF(ISNUMBER($V1144),$A1144&amp;"|"&amp;$V1144,"")</f>
        <v/>
      </c>
      <c r="AA1144" s="27">
        <f>IF(ISNUMBER($W1144),$A1144&amp;"|"&amp;$W1144,"")</f>
        <v/>
      </c>
      <c r="AB1144" s="27">
        <f>IF(ISNUMBER($F1144),$A1144&amp;"|"&amp;$F1144,"")</f>
        <v/>
      </c>
      <c r="AC1144" s="27">
        <f>IF(ISNUMBER($P1144),COUNTIFS($A$14:$A$1213,$A1144,$P$14:$P$1213,"&gt;"&amp;$P1144)+(COUNTIFS($A$14:$A$1213,$A1144,$P$14:$P$1213,"="&amp;$P1144)+1)/2,"")</f>
        <v/>
      </c>
      <c r="AD1144" s="27">
        <f>IF(ISNUMBER($Q1144),COUNTIFS($A$14:$A$1213,$A1144,$Q$14:$Q$1213,"&gt;"&amp;$Q1144)+(COUNTIFS($A$14:$A$1213,$A1144,$Q$14:$Q$1213,"="&amp;$Q1144)+1)/2,"")</f>
        <v/>
      </c>
      <c r="AE1144" s="27">
        <f>IF(ISNUMBER($R1144),COUNTIFS($A$14:$A$1213,$A1144,$R$14:$R$1213,"&gt;"&amp;$R1144)+(COUNTIFS($A$14:$A$1213,$A1144,$R$14:$R$1213,"="&amp;$R1144)+1)/2,"")</f>
        <v/>
      </c>
      <c r="AF1144" s="27">
        <f>IF(ISNUMBER($S1144),COUNTIFS($A$14:$A$1213,$A1144,$S$14:$S$1213,"&gt;"&amp;$S1144)+(COUNTIFS($A$14:$A$1213,$A1144,$S$14:$S$1213,"="&amp;$S1144)+1)/2,"")</f>
        <v/>
      </c>
      <c r="AG1144" s="27">
        <f>IF(ISNUMBER($T1144),COUNTIFS($A$14:$A$1213,$A1144,$T$14:$T$1213,"&gt;"&amp;$T1144)+(COUNTIFS($A$14:$A$1213,$A1144,$T$14:$T$1213,"="&amp;$T1144)+1)/2,"")</f>
        <v/>
      </c>
      <c r="AH1144" s="27">
        <f>IF(COUNT($AC1144:$AG1144)&lt;2,"",IF(MAX($AC1144:$AG1144)=MIN($AC1144:$AG1144),0,1))</f>
        <v/>
      </c>
      <c r="AI1144" s="27">
        <f>IF($A1144="","",IF(COUNTIF($A$14:$A1144,$A1144)=1,COUNTIF($AI$13:AI1143,"&gt;0")+1,""))</f>
        <v/>
      </c>
      <c r="AO1144" s="27">
        <f>IF($A1144="","",IF(AND(COUNTIFS($A$14:$A$1213,$A1144,$F$14:$F$1213,"&gt;=0")=2,IFERROR(INDEX($M$14:$M$313,MATCH($A1144,$H$14:$H$313,0)),"Yes")&lt;&gt;"Yes"),1,0))</f>
        <v/>
      </c>
    </row>
    <row r="1145">
      <c r="A1145" s="19">
        <f>IF('Enter messages'!A1145="","",'Enter messages'!A1145)</f>
        <v/>
      </c>
      <c r="B1145" s="20">
        <f>IF('Enter messages'!B1145="","",'Enter messages'!B1145)</f>
        <v/>
      </c>
      <c r="C1145" s="21">
        <f>IFERROR(AVERAGE(P1145:T1145),"")</f>
        <v/>
      </c>
      <c r="D1145" s="29" t="n"/>
      <c r="E1145" s="29" t="n"/>
      <c r="F1145" s="30">
        <f>IF(AND(ISNUMBER($D1145),ISNUMBER($E1145),$E1145&gt;0,$D1145&lt;=$E1145),$D1145/$E1145,"")</f>
        <v/>
      </c>
      <c r="P1145" s="26" t="n"/>
      <c r="Q1145" s="26" t="n"/>
      <c r="R1145" s="26" t="n"/>
      <c r="S1145" s="26" t="n"/>
      <c r="T1145" s="26" t="n"/>
      <c r="V1145" s="27">
        <f>IF(ISNUMBER($C1145),COUNTIFS($A$14:$A$1213,$A1145,$C$14:$C$1213,"&gt;"&amp;$C1145)+(COUNTIFS($A$14:$A$1213,$A1145,$C$14:$C$1213,"="&amp;$C1145)+1)/2,"")</f>
        <v/>
      </c>
      <c r="W1145" s="27">
        <f>IF(ISNUMBER($F1145),COUNTIFS($A$14:$A$1213,$A1145,$F$14:$F$1213,"&gt;"&amp;$F1145)+(COUNTIFS($A$14:$A$1213,$A1145,$F$14:$F$1213,"="&amp;$F1145)+1)/2,"")</f>
        <v/>
      </c>
      <c r="X1145" s="27">
        <f>IF(OR(NOT(ISNUMBER($V1145)),$AO1145=1),"",$V1145-(COUNTIFS($A$14:$A$1213,$A1145,$C$14:$C$1213,"&gt;=0")+1)/2)</f>
        <v/>
      </c>
      <c r="Y1145" s="27">
        <f>IF(OR(NOT(ISNUMBER($W1145)),$AO1145=1),"",$W1145-(COUNTIFS($A$14:$A$1213,$A1145,$F$14:$F$1213,"&gt;=0")+1)/2)</f>
        <v/>
      </c>
      <c r="Z1145" s="27">
        <f>IF(ISNUMBER($V1145),$A1145&amp;"|"&amp;$V1145,"")</f>
        <v/>
      </c>
      <c r="AA1145" s="27">
        <f>IF(ISNUMBER($W1145),$A1145&amp;"|"&amp;$W1145,"")</f>
        <v/>
      </c>
      <c r="AB1145" s="27">
        <f>IF(ISNUMBER($F1145),$A1145&amp;"|"&amp;$F1145,"")</f>
        <v/>
      </c>
      <c r="AC1145" s="27">
        <f>IF(ISNUMBER($P1145),COUNTIFS($A$14:$A$1213,$A1145,$P$14:$P$1213,"&gt;"&amp;$P1145)+(COUNTIFS($A$14:$A$1213,$A1145,$P$14:$P$1213,"="&amp;$P1145)+1)/2,"")</f>
        <v/>
      </c>
      <c r="AD1145" s="27">
        <f>IF(ISNUMBER($Q1145),COUNTIFS($A$14:$A$1213,$A1145,$Q$14:$Q$1213,"&gt;"&amp;$Q1145)+(COUNTIFS($A$14:$A$1213,$A1145,$Q$14:$Q$1213,"="&amp;$Q1145)+1)/2,"")</f>
        <v/>
      </c>
      <c r="AE1145" s="27">
        <f>IF(ISNUMBER($R1145),COUNTIFS($A$14:$A$1213,$A1145,$R$14:$R$1213,"&gt;"&amp;$R1145)+(COUNTIFS($A$14:$A$1213,$A1145,$R$14:$R$1213,"="&amp;$R1145)+1)/2,"")</f>
        <v/>
      </c>
      <c r="AF1145" s="27">
        <f>IF(ISNUMBER($S1145),COUNTIFS($A$14:$A$1213,$A1145,$S$14:$S$1213,"&gt;"&amp;$S1145)+(COUNTIFS($A$14:$A$1213,$A1145,$S$14:$S$1213,"="&amp;$S1145)+1)/2,"")</f>
        <v/>
      </c>
      <c r="AG1145" s="27">
        <f>IF(ISNUMBER($T1145),COUNTIFS($A$14:$A$1213,$A1145,$T$14:$T$1213,"&gt;"&amp;$T1145)+(COUNTIFS($A$14:$A$1213,$A1145,$T$14:$T$1213,"="&amp;$T1145)+1)/2,"")</f>
        <v/>
      </c>
      <c r="AH1145" s="27">
        <f>IF(COUNT($AC1145:$AG1145)&lt;2,"",IF(MAX($AC1145:$AG1145)=MIN($AC1145:$AG1145),0,1))</f>
        <v/>
      </c>
      <c r="AI1145" s="27">
        <f>IF($A1145="","",IF(COUNTIF($A$14:$A1145,$A1145)=1,COUNTIF($AI$13:AI1144,"&gt;0")+1,""))</f>
        <v/>
      </c>
      <c r="AO1145" s="27">
        <f>IF($A1145="","",IF(AND(COUNTIFS($A$14:$A$1213,$A1145,$F$14:$F$1213,"&gt;=0")=2,IFERROR(INDEX($M$14:$M$313,MATCH($A1145,$H$14:$H$313,0)),"Yes")&lt;&gt;"Yes"),1,0))</f>
        <v/>
      </c>
    </row>
    <row r="1146">
      <c r="A1146" s="19">
        <f>IF('Enter messages'!A1146="","",'Enter messages'!A1146)</f>
        <v/>
      </c>
      <c r="B1146" s="20">
        <f>IF('Enter messages'!B1146="","",'Enter messages'!B1146)</f>
        <v/>
      </c>
      <c r="C1146" s="21">
        <f>IFERROR(AVERAGE(P1146:T1146),"")</f>
        <v/>
      </c>
      <c r="D1146" s="29" t="n"/>
      <c r="E1146" s="29" t="n"/>
      <c r="F1146" s="30">
        <f>IF(AND(ISNUMBER($D1146),ISNUMBER($E1146),$E1146&gt;0,$D1146&lt;=$E1146),$D1146/$E1146,"")</f>
        <v/>
      </c>
      <c r="P1146" s="26" t="n"/>
      <c r="Q1146" s="26" t="n"/>
      <c r="R1146" s="26" t="n"/>
      <c r="S1146" s="26" t="n"/>
      <c r="T1146" s="26" t="n"/>
      <c r="V1146" s="27">
        <f>IF(ISNUMBER($C1146),COUNTIFS($A$14:$A$1213,$A1146,$C$14:$C$1213,"&gt;"&amp;$C1146)+(COUNTIFS($A$14:$A$1213,$A1146,$C$14:$C$1213,"="&amp;$C1146)+1)/2,"")</f>
        <v/>
      </c>
      <c r="W1146" s="27">
        <f>IF(ISNUMBER($F1146),COUNTIFS($A$14:$A$1213,$A1146,$F$14:$F$1213,"&gt;"&amp;$F1146)+(COUNTIFS($A$14:$A$1213,$A1146,$F$14:$F$1213,"="&amp;$F1146)+1)/2,"")</f>
        <v/>
      </c>
      <c r="X1146" s="27">
        <f>IF(OR(NOT(ISNUMBER($V1146)),$AO1146=1),"",$V1146-(COUNTIFS($A$14:$A$1213,$A1146,$C$14:$C$1213,"&gt;=0")+1)/2)</f>
        <v/>
      </c>
      <c r="Y1146" s="27">
        <f>IF(OR(NOT(ISNUMBER($W1146)),$AO1146=1),"",$W1146-(COUNTIFS($A$14:$A$1213,$A1146,$F$14:$F$1213,"&gt;=0")+1)/2)</f>
        <v/>
      </c>
      <c r="Z1146" s="27">
        <f>IF(ISNUMBER($V1146),$A1146&amp;"|"&amp;$V1146,"")</f>
        <v/>
      </c>
      <c r="AA1146" s="27">
        <f>IF(ISNUMBER($W1146),$A1146&amp;"|"&amp;$W1146,"")</f>
        <v/>
      </c>
      <c r="AB1146" s="27">
        <f>IF(ISNUMBER($F1146),$A1146&amp;"|"&amp;$F1146,"")</f>
        <v/>
      </c>
      <c r="AC1146" s="27">
        <f>IF(ISNUMBER($P1146),COUNTIFS($A$14:$A$1213,$A1146,$P$14:$P$1213,"&gt;"&amp;$P1146)+(COUNTIFS($A$14:$A$1213,$A1146,$P$14:$P$1213,"="&amp;$P1146)+1)/2,"")</f>
        <v/>
      </c>
      <c r="AD1146" s="27">
        <f>IF(ISNUMBER($Q1146),COUNTIFS($A$14:$A$1213,$A1146,$Q$14:$Q$1213,"&gt;"&amp;$Q1146)+(COUNTIFS($A$14:$A$1213,$A1146,$Q$14:$Q$1213,"="&amp;$Q1146)+1)/2,"")</f>
        <v/>
      </c>
      <c r="AE1146" s="27">
        <f>IF(ISNUMBER($R1146),COUNTIFS($A$14:$A$1213,$A1146,$R$14:$R$1213,"&gt;"&amp;$R1146)+(COUNTIFS($A$14:$A$1213,$A1146,$R$14:$R$1213,"="&amp;$R1146)+1)/2,"")</f>
        <v/>
      </c>
      <c r="AF1146" s="27">
        <f>IF(ISNUMBER($S1146),COUNTIFS($A$14:$A$1213,$A1146,$S$14:$S$1213,"&gt;"&amp;$S1146)+(COUNTIFS($A$14:$A$1213,$A1146,$S$14:$S$1213,"="&amp;$S1146)+1)/2,"")</f>
        <v/>
      </c>
      <c r="AG1146" s="27">
        <f>IF(ISNUMBER($T1146),COUNTIFS($A$14:$A$1213,$A1146,$T$14:$T$1213,"&gt;"&amp;$T1146)+(COUNTIFS($A$14:$A$1213,$A1146,$T$14:$T$1213,"="&amp;$T1146)+1)/2,"")</f>
        <v/>
      </c>
      <c r="AH1146" s="27">
        <f>IF(COUNT($AC1146:$AG1146)&lt;2,"",IF(MAX($AC1146:$AG1146)=MIN($AC1146:$AG1146),0,1))</f>
        <v/>
      </c>
      <c r="AI1146" s="27">
        <f>IF($A1146="","",IF(COUNTIF($A$14:$A1146,$A1146)=1,COUNTIF($AI$13:AI1145,"&gt;0")+1,""))</f>
        <v/>
      </c>
      <c r="AO1146" s="27">
        <f>IF($A1146="","",IF(AND(COUNTIFS($A$14:$A$1213,$A1146,$F$14:$F$1213,"&gt;=0")=2,IFERROR(INDEX($M$14:$M$313,MATCH($A1146,$H$14:$H$313,0)),"Yes")&lt;&gt;"Yes"),1,0))</f>
        <v/>
      </c>
    </row>
    <row r="1147">
      <c r="A1147" s="19">
        <f>IF('Enter messages'!A1147="","",'Enter messages'!A1147)</f>
        <v/>
      </c>
      <c r="B1147" s="20">
        <f>IF('Enter messages'!B1147="","",'Enter messages'!B1147)</f>
        <v/>
      </c>
      <c r="C1147" s="21">
        <f>IFERROR(AVERAGE(P1147:T1147),"")</f>
        <v/>
      </c>
      <c r="D1147" s="29" t="n"/>
      <c r="E1147" s="29" t="n"/>
      <c r="F1147" s="30">
        <f>IF(AND(ISNUMBER($D1147),ISNUMBER($E1147),$E1147&gt;0,$D1147&lt;=$E1147),$D1147/$E1147,"")</f>
        <v/>
      </c>
      <c r="P1147" s="26" t="n"/>
      <c r="Q1147" s="26" t="n"/>
      <c r="R1147" s="26" t="n"/>
      <c r="S1147" s="26" t="n"/>
      <c r="T1147" s="26" t="n"/>
      <c r="V1147" s="27">
        <f>IF(ISNUMBER($C1147),COUNTIFS($A$14:$A$1213,$A1147,$C$14:$C$1213,"&gt;"&amp;$C1147)+(COUNTIFS($A$14:$A$1213,$A1147,$C$14:$C$1213,"="&amp;$C1147)+1)/2,"")</f>
        <v/>
      </c>
      <c r="W1147" s="27">
        <f>IF(ISNUMBER($F1147),COUNTIFS($A$14:$A$1213,$A1147,$F$14:$F$1213,"&gt;"&amp;$F1147)+(COUNTIFS($A$14:$A$1213,$A1147,$F$14:$F$1213,"="&amp;$F1147)+1)/2,"")</f>
        <v/>
      </c>
      <c r="X1147" s="27">
        <f>IF(OR(NOT(ISNUMBER($V1147)),$AO1147=1),"",$V1147-(COUNTIFS($A$14:$A$1213,$A1147,$C$14:$C$1213,"&gt;=0")+1)/2)</f>
        <v/>
      </c>
      <c r="Y1147" s="27">
        <f>IF(OR(NOT(ISNUMBER($W1147)),$AO1147=1),"",$W1147-(COUNTIFS($A$14:$A$1213,$A1147,$F$14:$F$1213,"&gt;=0")+1)/2)</f>
        <v/>
      </c>
      <c r="Z1147" s="27">
        <f>IF(ISNUMBER($V1147),$A1147&amp;"|"&amp;$V1147,"")</f>
        <v/>
      </c>
      <c r="AA1147" s="27">
        <f>IF(ISNUMBER($W1147),$A1147&amp;"|"&amp;$W1147,"")</f>
        <v/>
      </c>
      <c r="AB1147" s="27">
        <f>IF(ISNUMBER($F1147),$A1147&amp;"|"&amp;$F1147,"")</f>
        <v/>
      </c>
      <c r="AC1147" s="27">
        <f>IF(ISNUMBER($P1147),COUNTIFS($A$14:$A$1213,$A1147,$P$14:$P$1213,"&gt;"&amp;$P1147)+(COUNTIFS($A$14:$A$1213,$A1147,$P$14:$P$1213,"="&amp;$P1147)+1)/2,"")</f>
        <v/>
      </c>
      <c r="AD1147" s="27">
        <f>IF(ISNUMBER($Q1147),COUNTIFS($A$14:$A$1213,$A1147,$Q$14:$Q$1213,"&gt;"&amp;$Q1147)+(COUNTIFS($A$14:$A$1213,$A1147,$Q$14:$Q$1213,"="&amp;$Q1147)+1)/2,"")</f>
        <v/>
      </c>
      <c r="AE1147" s="27">
        <f>IF(ISNUMBER($R1147),COUNTIFS($A$14:$A$1213,$A1147,$R$14:$R$1213,"&gt;"&amp;$R1147)+(COUNTIFS($A$14:$A$1213,$A1147,$R$14:$R$1213,"="&amp;$R1147)+1)/2,"")</f>
        <v/>
      </c>
      <c r="AF1147" s="27">
        <f>IF(ISNUMBER($S1147),COUNTIFS($A$14:$A$1213,$A1147,$S$14:$S$1213,"&gt;"&amp;$S1147)+(COUNTIFS($A$14:$A$1213,$A1147,$S$14:$S$1213,"="&amp;$S1147)+1)/2,"")</f>
        <v/>
      </c>
      <c r="AG1147" s="27">
        <f>IF(ISNUMBER($T1147),COUNTIFS($A$14:$A$1213,$A1147,$T$14:$T$1213,"&gt;"&amp;$T1147)+(COUNTIFS($A$14:$A$1213,$A1147,$T$14:$T$1213,"="&amp;$T1147)+1)/2,"")</f>
        <v/>
      </c>
      <c r="AH1147" s="27">
        <f>IF(COUNT($AC1147:$AG1147)&lt;2,"",IF(MAX($AC1147:$AG1147)=MIN($AC1147:$AG1147),0,1))</f>
        <v/>
      </c>
      <c r="AI1147" s="27">
        <f>IF($A1147="","",IF(COUNTIF($A$14:$A1147,$A1147)=1,COUNTIF($AI$13:AI1146,"&gt;0")+1,""))</f>
        <v/>
      </c>
      <c r="AO1147" s="27">
        <f>IF($A1147="","",IF(AND(COUNTIFS($A$14:$A$1213,$A1147,$F$14:$F$1213,"&gt;=0")=2,IFERROR(INDEX($M$14:$M$313,MATCH($A1147,$H$14:$H$313,0)),"Yes")&lt;&gt;"Yes"),1,0))</f>
        <v/>
      </c>
    </row>
    <row r="1148">
      <c r="A1148" s="19">
        <f>IF('Enter messages'!A1148="","",'Enter messages'!A1148)</f>
        <v/>
      </c>
      <c r="B1148" s="20">
        <f>IF('Enter messages'!B1148="","",'Enter messages'!B1148)</f>
        <v/>
      </c>
      <c r="C1148" s="21">
        <f>IFERROR(AVERAGE(P1148:T1148),"")</f>
        <v/>
      </c>
      <c r="D1148" s="29" t="n"/>
      <c r="E1148" s="29" t="n"/>
      <c r="F1148" s="30">
        <f>IF(AND(ISNUMBER($D1148),ISNUMBER($E1148),$E1148&gt;0,$D1148&lt;=$E1148),$D1148/$E1148,"")</f>
        <v/>
      </c>
      <c r="P1148" s="26" t="n"/>
      <c r="Q1148" s="26" t="n"/>
      <c r="R1148" s="26" t="n"/>
      <c r="S1148" s="26" t="n"/>
      <c r="T1148" s="26" t="n"/>
      <c r="V1148" s="27">
        <f>IF(ISNUMBER($C1148),COUNTIFS($A$14:$A$1213,$A1148,$C$14:$C$1213,"&gt;"&amp;$C1148)+(COUNTIFS($A$14:$A$1213,$A1148,$C$14:$C$1213,"="&amp;$C1148)+1)/2,"")</f>
        <v/>
      </c>
      <c r="W1148" s="27">
        <f>IF(ISNUMBER($F1148),COUNTIFS($A$14:$A$1213,$A1148,$F$14:$F$1213,"&gt;"&amp;$F1148)+(COUNTIFS($A$14:$A$1213,$A1148,$F$14:$F$1213,"="&amp;$F1148)+1)/2,"")</f>
        <v/>
      </c>
      <c r="X1148" s="27">
        <f>IF(OR(NOT(ISNUMBER($V1148)),$AO1148=1),"",$V1148-(COUNTIFS($A$14:$A$1213,$A1148,$C$14:$C$1213,"&gt;=0")+1)/2)</f>
        <v/>
      </c>
      <c r="Y1148" s="27">
        <f>IF(OR(NOT(ISNUMBER($W1148)),$AO1148=1),"",$W1148-(COUNTIFS($A$14:$A$1213,$A1148,$F$14:$F$1213,"&gt;=0")+1)/2)</f>
        <v/>
      </c>
      <c r="Z1148" s="27">
        <f>IF(ISNUMBER($V1148),$A1148&amp;"|"&amp;$V1148,"")</f>
        <v/>
      </c>
      <c r="AA1148" s="27">
        <f>IF(ISNUMBER($W1148),$A1148&amp;"|"&amp;$W1148,"")</f>
        <v/>
      </c>
      <c r="AB1148" s="27">
        <f>IF(ISNUMBER($F1148),$A1148&amp;"|"&amp;$F1148,"")</f>
        <v/>
      </c>
      <c r="AC1148" s="27">
        <f>IF(ISNUMBER($P1148),COUNTIFS($A$14:$A$1213,$A1148,$P$14:$P$1213,"&gt;"&amp;$P1148)+(COUNTIFS($A$14:$A$1213,$A1148,$P$14:$P$1213,"="&amp;$P1148)+1)/2,"")</f>
        <v/>
      </c>
      <c r="AD1148" s="27">
        <f>IF(ISNUMBER($Q1148),COUNTIFS($A$14:$A$1213,$A1148,$Q$14:$Q$1213,"&gt;"&amp;$Q1148)+(COUNTIFS($A$14:$A$1213,$A1148,$Q$14:$Q$1213,"="&amp;$Q1148)+1)/2,"")</f>
        <v/>
      </c>
      <c r="AE1148" s="27">
        <f>IF(ISNUMBER($R1148),COUNTIFS($A$14:$A$1213,$A1148,$R$14:$R$1213,"&gt;"&amp;$R1148)+(COUNTIFS($A$14:$A$1213,$A1148,$R$14:$R$1213,"="&amp;$R1148)+1)/2,"")</f>
        <v/>
      </c>
      <c r="AF1148" s="27">
        <f>IF(ISNUMBER($S1148),COUNTIFS($A$14:$A$1213,$A1148,$S$14:$S$1213,"&gt;"&amp;$S1148)+(COUNTIFS($A$14:$A$1213,$A1148,$S$14:$S$1213,"="&amp;$S1148)+1)/2,"")</f>
        <v/>
      </c>
      <c r="AG1148" s="27">
        <f>IF(ISNUMBER($T1148),COUNTIFS($A$14:$A$1213,$A1148,$T$14:$T$1213,"&gt;"&amp;$T1148)+(COUNTIFS($A$14:$A$1213,$A1148,$T$14:$T$1213,"="&amp;$T1148)+1)/2,"")</f>
        <v/>
      </c>
      <c r="AH1148" s="27">
        <f>IF(COUNT($AC1148:$AG1148)&lt;2,"",IF(MAX($AC1148:$AG1148)=MIN($AC1148:$AG1148),0,1))</f>
        <v/>
      </c>
      <c r="AI1148" s="27">
        <f>IF($A1148="","",IF(COUNTIF($A$14:$A1148,$A1148)=1,COUNTIF($AI$13:AI1147,"&gt;0")+1,""))</f>
        <v/>
      </c>
      <c r="AO1148" s="27">
        <f>IF($A1148="","",IF(AND(COUNTIFS($A$14:$A$1213,$A1148,$F$14:$F$1213,"&gt;=0")=2,IFERROR(INDEX($M$14:$M$313,MATCH($A1148,$H$14:$H$313,0)),"Yes")&lt;&gt;"Yes"),1,0))</f>
        <v/>
      </c>
    </row>
    <row r="1149">
      <c r="A1149" s="19">
        <f>IF('Enter messages'!A1149="","",'Enter messages'!A1149)</f>
        <v/>
      </c>
      <c r="B1149" s="20">
        <f>IF('Enter messages'!B1149="","",'Enter messages'!B1149)</f>
        <v/>
      </c>
      <c r="C1149" s="21">
        <f>IFERROR(AVERAGE(P1149:T1149),"")</f>
        <v/>
      </c>
      <c r="D1149" s="29" t="n"/>
      <c r="E1149" s="29" t="n"/>
      <c r="F1149" s="30">
        <f>IF(AND(ISNUMBER($D1149),ISNUMBER($E1149),$E1149&gt;0,$D1149&lt;=$E1149),$D1149/$E1149,"")</f>
        <v/>
      </c>
      <c r="P1149" s="26" t="n"/>
      <c r="Q1149" s="26" t="n"/>
      <c r="R1149" s="26" t="n"/>
      <c r="S1149" s="26" t="n"/>
      <c r="T1149" s="26" t="n"/>
      <c r="V1149" s="27">
        <f>IF(ISNUMBER($C1149),COUNTIFS($A$14:$A$1213,$A1149,$C$14:$C$1213,"&gt;"&amp;$C1149)+(COUNTIFS($A$14:$A$1213,$A1149,$C$14:$C$1213,"="&amp;$C1149)+1)/2,"")</f>
        <v/>
      </c>
      <c r="W1149" s="27">
        <f>IF(ISNUMBER($F1149),COUNTIFS($A$14:$A$1213,$A1149,$F$14:$F$1213,"&gt;"&amp;$F1149)+(COUNTIFS($A$14:$A$1213,$A1149,$F$14:$F$1213,"="&amp;$F1149)+1)/2,"")</f>
        <v/>
      </c>
      <c r="X1149" s="27">
        <f>IF(OR(NOT(ISNUMBER($V1149)),$AO1149=1),"",$V1149-(COUNTIFS($A$14:$A$1213,$A1149,$C$14:$C$1213,"&gt;=0")+1)/2)</f>
        <v/>
      </c>
      <c r="Y1149" s="27">
        <f>IF(OR(NOT(ISNUMBER($W1149)),$AO1149=1),"",$W1149-(COUNTIFS($A$14:$A$1213,$A1149,$F$14:$F$1213,"&gt;=0")+1)/2)</f>
        <v/>
      </c>
      <c r="Z1149" s="27">
        <f>IF(ISNUMBER($V1149),$A1149&amp;"|"&amp;$V1149,"")</f>
        <v/>
      </c>
      <c r="AA1149" s="27">
        <f>IF(ISNUMBER($W1149),$A1149&amp;"|"&amp;$W1149,"")</f>
        <v/>
      </c>
      <c r="AB1149" s="27">
        <f>IF(ISNUMBER($F1149),$A1149&amp;"|"&amp;$F1149,"")</f>
        <v/>
      </c>
      <c r="AC1149" s="27">
        <f>IF(ISNUMBER($P1149),COUNTIFS($A$14:$A$1213,$A1149,$P$14:$P$1213,"&gt;"&amp;$P1149)+(COUNTIFS($A$14:$A$1213,$A1149,$P$14:$P$1213,"="&amp;$P1149)+1)/2,"")</f>
        <v/>
      </c>
      <c r="AD1149" s="27">
        <f>IF(ISNUMBER($Q1149),COUNTIFS($A$14:$A$1213,$A1149,$Q$14:$Q$1213,"&gt;"&amp;$Q1149)+(COUNTIFS($A$14:$A$1213,$A1149,$Q$14:$Q$1213,"="&amp;$Q1149)+1)/2,"")</f>
        <v/>
      </c>
      <c r="AE1149" s="27">
        <f>IF(ISNUMBER($R1149),COUNTIFS($A$14:$A$1213,$A1149,$R$14:$R$1213,"&gt;"&amp;$R1149)+(COUNTIFS($A$14:$A$1213,$A1149,$R$14:$R$1213,"="&amp;$R1149)+1)/2,"")</f>
        <v/>
      </c>
      <c r="AF1149" s="27">
        <f>IF(ISNUMBER($S1149),COUNTIFS($A$14:$A$1213,$A1149,$S$14:$S$1213,"&gt;"&amp;$S1149)+(COUNTIFS($A$14:$A$1213,$A1149,$S$14:$S$1213,"="&amp;$S1149)+1)/2,"")</f>
        <v/>
      </c>
      <c r="AG1149" s="27">
        <f>IF(ISNUMBER($T1149),COUNTIFS($A$14:$A$1213,$A1149,$T$14:$T$1213,"&gt;"&amp;$T1149)+(COUNTIFS($A$14:$A$1213,$A1149,$T$14:$T$1213,"="&amp;$T1149)+1)/2,"")</f>
        <v/>
      </c>
      <c r="AH1149" s="27">
        <f>IF(COUNT($AC1149:$AG1149)&lt;2,"",IF(MAX($AC1149:$AG1149)=MIN($AC1149:$AG1149),0,1))</f>
        <v/>
      </c>
      <c r="AI1149" s="27">
        <f>IF($A1149="","",IF(COUNTIF($A$14:$A1149,$A1149)=1,COUNTIF($AI$13:AI1148,"&gt;0")+1,""))</f>
        <v/>
      </c>
      <c r="AO1149" s="27">
        <f>IF($A1149="","",IF(AND(COUNTIFS($A$14:$A$1213,$A1149,$F$14:$F$1213,"&gt;=0")=2,IFERROR(INDEX($M$14:$M$313,MATCH($A1149,$H$14:$H$313,0)),"Yes")&lt;&gt;"Yes"),1,0))</f>
        <v/>
      </c>
    </row>
    <row r="1150">
      <c r="A1150" s="19">
        <f>IF('Enter messages'!A1150="","",'Enter messages'!A1150)</f>
        <v/>
      </c>
      <c r="B1150" s="20">
        <f>IF('Enter messages'!B1150="","",'Enter messages'!B1150)</f>
        <v/>
      </c>
      <c r="C1150" s="21">
        <f>IFERROR(AVERAGE(P1150:T1150),"")</f>
        <v/>
      </c>
      <c r="D1150" s="29" t="n"/>
      <c r="E1150" s="29" t="n"/>
      <c r="F1150" s="30">
        <f>IF(AND(ISNUMBER($D1150),ISNUMBER($E1150),$E1150&gt;0,$D1150&lt;=$E1150),$D1150/$E1150,"")</f>
        <v/>
      </c>
      <c r="P1150" s="26" t="n"/>
      <c r="Q1150" s="26" t="n"/>
      <c r="R1150" s="26" t="n"/>
      <c r="S1150" s="26" t="n"/>
      <c r="T1150" s="26" t="n"/>
      <c r="V1150" s="27">
        <f>IF(ISNUMBER($C1150),COUNTIFS($A$14:$A$1213,$A1150,$C$14:$C$1213,"&gt;"&amp;$C1150)+(COUNTIFS($A$14:$A$1213,$A1150,$C$14:$C$1213,"="&amp;$C1150)+1)/2,"")</f>
        <v/>
      </c>
      <c r="W1150" s="27">
        <f>IF(ISNUMBER($F1150),COUNTIFS($A$14:$A$1213,$A1150,$F$14:$F$1213,"&gt;"&amp;$F1150)+(COUNTIFS($A$14:$A$1213,$A1150,$F$14:$F$1213,"="&amp;$F1150)+1)/2,"")</f>
        <v/>
      </c>
      <c r="X1150" s="27">
        <f>IF(OR(NOT(ISNUMBER($V1150)),$AO1150=1),"",$V1150-(COUNTIFS($A$14:$A$1213,$A1150,$C$14:$C$1213,"&gt;=0")+1)/2)</f>
        <v/>
      </c>
      <c r="Y1150" s="27">
        <f>IF(OR(NOT(ISNUMBER($W1150)),$AO1150=1),"",$W1150-(COUNTIFS($A$14:$A$1213,$A1150,$F$14:$F$1213,"&gt;=0")+1)/2)</f>
        <v/>
      </c>
      <c r="Z1150" s="27">
        <f>IF(ISNUMBER($V1150),$A1150&amp;"|"&amp;$V1150,"")</f>
        <v/>
      </c>
      <c r="AA1150" s="27">
        <f>IF(ISNUMBER($W1150),$A1150&amp;"|"&amp;$W1150,"")</f>
        <v/>
      </c>
      <c r="AB1150" s="27">
        <f>IF(ISNUMBER($F1150),$A1150&amp;"|"&amp;$F1150,"")</f>
        <v/>
      </c>
      <c r="AC1150" s="27">
        <f>IF(ISNUMBER($P1150),COUNTIFS($A$14:$A$1213,$A1150,$P$14:$P$1213,"&gt;"&amp;$P1150)+(COUNTIFS($A$14:$A$1213,$A1150,$P$14:$P$1213,"="&amp;$P1150)+1)/2,"")</f>
        <v/>
      </c>
      <c r="AD1150" s="27">
        <f>IF(ISNUMBER($Q1150),COUNTIFS($A$14:$A$1213,$A1150,$Q$14:$Q$1213,"&gt;"&amp;$Q1150)+(COUNTIFS($A$14:$A$1213,$A1150,$Q$14:$Q$1213,"="&amp;$Q1150)+1)/2,"")</f>
        <v/>
      </c>
      <c r="AE1150" s="27">
        <f>IF(ISNUMBER($R1150),COUNTIFS($A$14:$A$1213,$A1150,$R$14:$R$1213,"&gt;"&amp;$R1150)+(COUNTIFS($A$14:$A$1213,$A1150,$R$14:$R$1213,"="&amp;$R1150)+1)/2,"")</f>
        <v/>
      </c>
      <c r="AF1150" s="27">
        <f>IF(ISNUMBER($S1150),COUNTIFS($A$14:$A$1213,$A1150,$S$14:$S$1213,"&gt;"&amp;$S1150)+(COUNTIFS($A$14:$A$1213,$A1150,$S$14:$S$1213,"="&amp;$S1150)+1)/2,"")</f>
        <v/>
      </c>
      <c r="AG1150" s="27">
        <f>IF(ISNUMBER($T1150),COUNTIFS($A$14:$A$1213,$A1150,$T$14:$T$1213,"&gt;"&amp;$T1150)+(COUNTIFS($A$14:$A$1213,$A1150,$T$14:$T$1213,"="&amp;$T1150)+1)/2,"")</f>
        <v/>
      </c>
      <c r="AH1150" s="27">
        <f>IF(COUNT($AC1150:$AG1150)&lt;2,"",IF(MAX($AC1150:$AG1150)=MIN($AC1150:$AG1150),0,1))</f>
        <v/>
      </c>
      <c r="AI1150" s="27">
        <f>IF($A1150="","",IF(COUNTIF($A$14:$A1150,$A1150)=1,COUNTIF($AI$13:AI1149,"&gt;0")+1,""))</f>
        <v/>
      </c>
      <c r="AO1150" s="27">
        <f>IF($A1150="","",IF(AND(COUNTIFS($A$14:$A$1213,$A1150,$F$14:$F$1213,"&gt;=0")=2,IFERROR(INDEX($M$14:$M$313,MATCH($A1150,$H$14:$H$313,0)),"Yes")&lt;&gt;"Yes"),1,0))</f>
        <v/>
      </c>
    </row>
    <row r="1151">
      <c r="A1151" s="19">
        <f>IF('Enter messages'!A1151="","",'Enter messages'!A1151)</f>
        <v/>
      </c>
      <c r="B1151" s="20">
        <f>IF('Enter messages'!B1151="","",'Enter messages'!B1151)</f>
        <v/>
      </c>
      <c r="C1151" s="21">
        <f>IFERROR(AVERAGE(P1151:T1151),"")</f>
        <v/>
      </c>
      <c r="D1151" s="29" t="n"/>
      <c r="E1151" s="29" t="n"/>
      <c r="F1151" s="30">
        <f>IF(AND(ISNUMBER($D1151),ISNUMBER($E1151),$E1151&gt;0,$D1151&lt;=$E1151),$D1151/$E1151,"")</f>
        <v/>
      </c>
      <c r="P1151" s="26" t="n"/>
      <c r="Q1151" s="26" t="n"/>
      <c r="R1151" s="26" t="n"/>
      <c r="S1151" s="26" t="n"/>
      <c r="T1151" s="26" t="n"/>
      <c r="V1151" s="27">
        <f>IF(ISNUMBER($C1151),COUNTIFS($A$14:$A$1213,$A1151,$C$14:$C$1213,"&gt;"&amp;$C1151)+(COUNTIFS($A$14:$A$1213,$A1151,$C$14:$C$1213,"="&amp;$C1151)+1)/2,"")</f>
        <v/>
      </c>
      <c r="W1151" s="27">
        <f>IF(ISNUMBER($F1151),COUNTIFS($A$14:$A$1213,$A1151,$F$14:$F$1213,"&gt;"&amp;$F1151)+(COUNTIFS($A$14:$A$1213,$A1151,$F$14:$F$1213,"="&amp;$F1151)+1)/2,"")</f>
        <v/>
      </c>
      <c r="X1151" s="27">
        <f>IF(OR(NOT(ISNUMBER($V1151)),$AO1151=1),"",$V1151-(COUNTIFS($A$14:$A$1213,$A1151,$C$14:$C$1213,"&gt;=0")+1)/2)</f>
        <v/>
      </c>
      <c r="Y1151" s="27">
        <f>IF(OR(NOT(ISNUMBER($W1151)),$AO1151=1),"",$W1151-(COUNTIFS($A$14:$A$1213,$A1151,$F$14:$F$1213,"&gt;=0")+1)/2)</f>
        <v/>
      </c>
      <c r="Z1151" s="27">
        <f>IF(ISNUMBER($V1151),$A1151&amp;"|"&amp;$V1151,"")</f>
        <v/>
      </c>
      <c r="AA1151" s="27">
        <f>IF(ISNUMBER($W1151),$A1151&amp;"|"&amp;$W1151,"")</f>
        <v/>
      </c>
      <c r="AB1151" s="27">
        <f>IF(ISNUMBER($F1151),$A1151&amp;"|"&amp;$F1151,"")</f>
        <v/>
      </c>
      <c r="AC1151" s="27">
        <f>IF(ISNUMBER($P1151),COUNTIFS($A$14:$A$1213,$A1151,$P$14:$P$1213,"&gt;"&amp;$P1151)+(COUNTIFS($A$14:$A$1213,$A1151,$P$14:$P$1213,"="&amp;$P1151)+1)/2,"")</f>
        <v/>
      </c>
      <c r="AD1151" s="27">
        <f>IF(ISNUMBER($Q1151),COUNTIFS($A$14:$A$1213,$A1151,$Q$14:$Q$1213,"&gt;"&amp;$Q1151)+(COUNTIFS($A$14:$A$1213,$A1151,$Q$14:$Q$1213,"="&amp;$Q1151)+1)/2,"")</f>
        <v/>
      </c>
      <c r="AE1151" s="27">
        <f>IF(ISNUMBER($R1151),COUNTIFS($A$14:$A$1213,$A1151,$R$14:$R$1213,"&gt;"&amp;$R1151)+(COUNTIFS($A$14:$A$1213,$A1151,$R$14:$R$1213,"="&amp;$R1151)+1)/2,"")</f>
        <v/>
      </c>
      <c r="AF1151" s="27">
        <f>IF(ISNUMBER($S1151),COUNTIFS($A$14:$A$1213,$A1151,$S$14:$S$1213,"&gt;"&amp;$S1151)+(COUNTIFS($A$14:$A$1213,$A1151,$S$14:$S$1213,"="&amp;$S1151)+1)/2,"")</f>
        <v/>
      </c>
      <c r="AG1151" s="27">
        <f>IF(ISNUMBER($T1151),COUNTIFS($A$14:$A$1213,$A1151,$T$14:$T$1213,"&gt;"&amp;$T1151)+(COUNTIFS($A$14:$A$1213,$A1151,$T$14:$T$1213,"="&amp;$T1151)+1)/2,"")</f>
        <v/>
      </c>
      <c r="AH1151" s="27">
        <f>IF(COUNT($AC1151:$AG1151)&lt;2,"",IF(MAX($AC1151:$AG1151)=MIN($AC1151:$AG1151),0,1))</f>
        <v/>
      </c>
      <c r="AI1151" s="27">
        <f>IF($A1151="","",IF(COUNTIF($A$14:$A1151,$A1151)=1,COUNTIF($AI$13:AI1150,"&gt;0")+1,""))</f>
        <v/>
      </c>
      <c r="AO1151" s="27">
        <f>IF($A1151="","",IF(AND(COUNTIFS($A$14:$A$1213,$A1151,$F$14:$F$1213,"&gt;=0")=2,IFERROR(INDEX($M$14:$M$313,MATCH($A1151,$H$14:$H$313,0)),"Yes")&lt;&gt;"Yes"),1,0))</f>
        <v/>
      </c>
    </row>
    <row r="1152">
      <c r="A1152" s="19">
        <f>IF('Enter messages'!A1152="","",'Enter messages'!A1152)</f>
        <v/>
      </c>
      <c r="B1152" s="20">
        <f>IF('Enter messages'!B1152="","",'Enter messages'!B1152)</f>
        <v/>
      </c>
      <c r="C1152" s="21">
        <f>IFERROR(AVERAGE(P1152:T1152),"")</f>
        <v/>
      </c>
      <c r="D1152" s="29" t="n"/>
      <c r="E1152" s="29" t="n"/>
      <c r="F1152" s="30">
        <f>IF(AND(ISNUMBER($D1152),ISNUMBER($E1152),$E1152&gt;0,$D1152&lt;=$E1152),$D1152/$E1152,"")</f>
        <v/>
      </c>
      <c r="P1152" s="26" t="n"/>
      <c r="Q1152" s="26" t="n"/>
      <c r="R1152" s="26" t="n"/>
      <c r="S1152" s="26" t="n"/>
      <c r="T1152" s="26" t="n"/>
      <c r="V1152" s="27">
        <f>IF(ISNUMBER($C1152),COUNTIFS($A$14:$A$1213,$A1152,$C$14:$C$1213,"&gt;"&amp;$C1152)+(COUNTIFS($A$14:$A$1213,$A1152,$C$14:$C$1213,"="&amp;$C1152)+1)/2,"")</f>
        <v/>
      </c>
      <c r="W1152" s="27">
        <f>IF(ISNUMBER($F1152),COUNTIFS($A$14:$A$1213,$A1152,$F$14:$F$1213,"&gt;"&amp;$F1152)+(COUNTIFS($A$14:$A$1213,$A1152,$F$14:$F$1213,"="&amp;$F1152)+1)/2,"")</f>
        <v/>
      </c>
      <c r="X1152" s="27">
        <f>IF(OR(NOT(ISNUMBER($V1152)),$AO1152=1),"",$V1152-(COUNTIFS($A$14:$A$1213,$A1152,$C$14:$C$1213,"&gt;=0")+1)/2)</f>
        <v/>
      </c>
      <c r="Y1152" s="27">
        <f>IF(OR(NOT(ISNUMBER($W1152)),$AO1152=1),"",$W1152-(COUNTIFS($A$14:$A$1213,$A1152,$F$14:$F$1213,"&gt;=0")+1)/2)</f>
        <v/>
      </c>
      <c r="Z1152" s="27">
        <f>IF(ISNUMBER($V1152),$A1152&amp;"|"&amp;$V1152,"")</f>
        <v/>
      </c>
      <c r="AA1152" s="27">
        <f>IF(ISNUMBER($W1152),$A1152&amp;"|"&amp;$W1152,"")</f>
        <v/>
      </c>
      <c r="AB1152" s="27">
        <f>IF(ISNUMBER($F1152),$A1152&amp;"|"&amp;$F1152,"")</f>
        <v/>
      </c>
      <c r="AC1152" s="27">
        <f>IF(ISNUMBER($P1152),COUNTIFS($A$14:$A$1213,$A1152,$P$14:$P$1213,"&gt;"&amp;$P1152)+(COUNTIFS($A$14:$A$1213,$A1152,$P$14:$P$1213,"="&amp;$P1152)+1)/2,"")</f>
        <v/>
      </c>
      <c r="AD1152" s="27">
        <f>IF(ISNUMBER($Q1152),COUNTIFS($A$14:$A$1213,$A1152,$Q$14:$Q$1213,"&gt;"&amp;$Q1152)+(COUNTIFS($A$14:$A$1213,$A1152,$Q$14:$Q$1213,"="&amp;$Q1152)+1)/2,"")</f>
        <v/>
      </c>
      <c r="AE1152" s="27">
        <f>IF(ISNUMBER($R1152),COUNTIFS($A$14:$A$1213,$A1152,$R$14:$R$1213,"&gt;"&amp;$R1152)+(COUNTIFS($A$14:$A$1213,$A1152,$R$14:$R$1213,"="&amp;$R1152)+1)/2,"")</f>
        <v/>
      </c>
      <c r="AF1152" s="27">
        <f>IF(ISNUMBER($S1152),COUNTIFS($A$14:$A$1213,$A1152,$S$14:$S$1213,"&gt;"&amp;$S1152)+(COUNTIFS($A$14:$A$1213,$A1152,$S$14:$S$1213,"="&amp;$S1152)+1)/2,"")</f>
        <v/>
      </c>
      <c r="AG1152" s="27">
        <f>IF(ISNUMBER($T1152),COUNTIFS($A$14:$A$1213,$A1152,$T$14:$T$1213,"&gt;"&amp;$T1152)+(COUNTIFS($A$14:$A$1213,$A1152,$T$14:$T$1213,"="&amp;$T1152)+1)/2,"")</f>
        <v/>
      </c>
      <c r="AH1152" s="27">
        <f>IF(COUNT($AC1152:$AG1152)&lt;2,"",IF(MAX($AC1152:$AG1152)=MIN($AC1152:$AG1152),0,1))</f>
        <v/>
      </c>
      <c r="AI1152" s="27">
        <f>IF($A1152="","",IF(COUNTIF($A$14:$A1152,$A1152)=1,COUNTIF($AI$13:AI1151,"&gt;0")+1,""))</f>
        <v/>
      </c>
      <c r="AO1152" s="27">
        <f>IF($A1152="","",IF(AND(COUNTIFS($A$14:$A$1213,$A1152,$F$14:$F$1213,"&gt;=0")=2,IFERROR(INDEX($M$14:$M$313,MATCH($A1152,$H$14:$H$313,0)),"Yes")&lt;&gt;"Yes"),1,0))</f>
        <v/>
      </c>
    </row>
    <row r="1153">
      <c r="A1153" s="19">
        <f>IF('Enter messages'!A1153="","",'Enter messages'!A1153)</f>
        <v/>
      </c>
      <c r="B1153" s="20">
        <f>IF('Enter messages'!B1153="","",'Enter messages'!B1153)</f>
        <v/>
      </c>
      <c r="C1153" s="21">
        <f>IFERROR(AVERAGE(P1153:T1153),"")</f>
        <v/>
      </c>
      <c r="D1153" s="29" t="n"/>
      <c r="E1153" s="29" t="n"/>
      <c r="F1153" s="30">
        <f>IF(AND(ISNUMBER($D1153),ISNUMBER($E1153),$E1153&gt;0,$D1153&lt;=$E1153),$D1153/$E1153,"")</f>
        <v/>
      </c>
      <c r="P1153" s="26" t="n"/>
      <c r="Q1153" s="26" t="n"/>
      <c r="R1153" s="26" t="n"/>
      <c r="S1153" s="26" t="n"/>
      <c r="T1153" s="26" t="n"/>
      <c r="V1153" s="27">
        <f>IF(ISNUMBER($C1153),COUNTIFS($A$14:$A$1213,$A1153,$C$14:$C$1213,"&gt;"&amp;$C1153)+(COUNTIFS($A$14:$A$1213,$A1153,$C$14:$C$1213,"="&amp;$C1153)+1)/2,"")</f>
        <v/>
      </c>
      <c r="W1153" s="27">
        <f>IF(ISNUMBER($F1153),COUNTIFS($A$14:$A$1213,$A1153,$F$14:$F$1213,"&gt;"&amp;$F1153)+(COUNTIFS($A$14:$A$1213,$A1153,$F$14:$F$1213,"="&amp;$F1153)+1)/2,"")</f>
        <v/>
      </c>
      <c r="X1153" s="27">
        <f>IF(OR(NOT(ISNUMBER($V1153)),$AO1153=1),"",$V1153-(COUNTIFS($A$14:$A$1213,$A1153,$C$14:$C$1213,"&gt;=0")+1)/2)</f>
        <v/>
      </c>
      <c r="Y1153" s="27">
        <f>IF(OR(NOT(ISNUMBER($W1153)),$AO1153=1),"",$W1153-(COUNTIFS($A$14:$A$1213,$A1153,$F$14:$F$1213,"&gt;=0")+1)/2)</f>
        <v/>
      </c>
      <c r="Z1153" s="27">
        <f>IF(ISNUMBER($V1153),$A1153&amp;"|"&amp;$V1153,"")</f>
        <v/>
      </c>
      <c r="AA1153" s="27">
        <f>IF(ISNUMBER($W1153),$A1153&amp;"|"&amp;$W1153,"")</f>
        <v/>
      </c>
      <c r="AB1153" s="27">
        <f>IF(ISNUMBER($F1153),$A1153&amp;"|"&amp;$F1153,"")</f>
        <v/>
      </c>
      <c r="AC1153" s="27">
        <f>IF(ISNUMBER($P1153),COUNTIFS($A$14:$A$1213,$A1153,$P$14:$P$1213,"&gt;"&amp;$P1153)+(COUNTIFS($A$14:$A$1213,$A1153,$P$14:$P$1213,"="&amp;$P1153)+1)/2,"")</f>
        <v/>
      </c>
      <c r="AD1153" s="27">
        <f>IF(ISNUMBER($Q1153),COUNTIFS($A$14:$A$1213,$A1153,$Q$14:$Q$1213,"&gt;"&amp;$Q1153)+(COUNTIFS($A$14:$A$1213,$A1153,$Q$14:$Q$1213,"="&amp;$Q1153)+1)/2,"")</f>
        <v/>
      </c>
      <c r="AE1153" s="27">
        <f>IF(ISNUMBER($R1153),COUNTIFS($A$14:$A$1213,$A1153,$R$14:$R$1213,"&gt;"&amp;$R1153)+(COUNTIFS($A$14:$A$1213,$A1153,$R$14:$R$1213,"="&amp;$R1153)+1)/2,"")</f>
        <v/>
      </c>
      <c r="AF1153" s="27">
        <f>IF(ISNUMBER($S1153),COUNTIFS($A$14:$A$1213,$A1153,$S$14:$S$1213,"&gt;"&amp;$S1153)+(COUNTIFS($A$14:$A$1213,$A1153,$S$14:$S$1213,"="&amp;$S1153)+1)/2,"")</f>
        <v/>
      </c>
      <c r="AG1153" s="27">
        <f>IF(ISNUMBER($T1153),COUNTIFS($A$14:$A$1213,$A1153,$T$14:$T$1213,"&gt;"&amp;$T1153)+(COUNTIFS($A$14:$A$1213,$A1153,$T$14:$T$1213,"="&amp;$T1153)+1)/2,"")</f>
        <v/>
      </c>
      <c r="AH1153" s="27">
        <f>IF(COUNT($AC1153:$AG1153)&lt;2,"",IF(MAX($AC1153:$AG1153)=MIN($AC1153:$AG1153),0,1))</f>
        <v/>
      </c>
      <c r="AI1153" s="27">
        <f>IF($A1153="","",IF(COUNTIF($A$14:$A1153,$A1153)=1,COUNTIF($AI$13:AI1152,"&gt;0")+1,""))</f>
        <v/>
      </c>
      <c r="AO1153" s="27">
        <f>IF($A1153="","",IF(AND(COUNTIFS($A$14:$A$1213,$A1153,$F$14:$F$1213,"&gt;=0")=2,IFERROR(INDEX($M$14:$M$313,MATCH($A1153,$H$14:$H$313,0)),"Yes")&lt;&gt;"Yes"),1,0))</f>
        <v/>
      </c>
    </row>
    <row r="1154">
      <c r="A1154" s="19">
        <f>IF('Enter messages'!A1154="","",'Enter messages'!A1154)</f>
        <v/>
      </c>
      <c r="B1154" s="20">
        <f>IF('Enter messages'!B1154="","",'Enter messages'!B1154)</f>
        <v/>
      </c>
      <c r="C1154" s="21">
        <f>IFERROR(AVERAGE(P1154:T1154),"")</f>
        <v/>
      </c>
      <c r="D1154" s="29" t="n"/>
      <c r="E1154" s="29" t="n"/>
      <c r="F1154" s="30">
        <f>IF(AND(ISNUMBER($D1154),ISNUMBER($E1154),$E1154&gt;0,$D1154&lt;=$E1154),$D1154/$E1154,"")</f>
        <v/>
      </c>
      <c r="P1154" s="26" t="n"/>
      <c r="Q1154" s="26" t="n"/>
      <c r="R1154" s="26" t="n"/>
      <c r="S1154" s="26" t="n"/>
      <c r="T1154" s="26" t="n"/>
      <c r="V1154" s="27">
        <f>IF(ISNUMBER($C1154),COUNTIFS($A$14:$A$1213,$A1154,$C$14:$C$1213,"&gt;"&amp;$C1154)+(COUNTIFS($A$14:$A$1213,$A1154,$C$14:$C$1213,"="&amp;$C1154)+1)/2,"")</f>
        <v/>
      </c>
      <c r="W1154" s="27">
        <f>IF(ISNUMBER($F1154),COUNTIFS($A$14:$A$1213,$A1154,$F$14:$F$1213,"&gt;"&amp;$F1154)+(COUNTIFS($A$14:$A$1213,$A1154,$F$14:$F$1213,"="&amp;$F1154)+1)/2,"")</f>
        <v/>
      </c>
      <c r="X1154" s="27">
        <f>IF(OR(NOT(ISNUMBER($V1154)),$AO1154=1),"",$V1154-(COUNTIFS($A$14:$A$1213,$A1154,$C$14:$C$1213,"&gt;=0")+1)/2)</f>
        <v/>
      </c>
      <c r="Y1154" s="27">
        <f>IF(OR(NOT(ISNUMBER($W1154)),$AO1154=1),"",$W1154-(COUNTIFS($A$14:$A$1213,$A1154,$F$14:$F$1213,"&gt;=0")+1)/2)</f>
        <v/>
      </c>
      <c r="Z1154" s="27">
        <f>IF(ISNUMBER($V1154),$A1154&amp;"|"&amp;$V1154,"")</f>
        <v/>
      </c>
      <c r="AA1154" s="27">
        <f>IF(ISNUMBER($W1154),$A1154&amp;"|"&amp;$W1154,"")</f>
        <v/>
      </c>
      <c r="AB1154" s="27">
        <f>IF(ISNUMBER($F1154),$A1154&amp;"|"&amp;$F1154,"")</f>
        <v/>
      </c>
      <c r="AC1154" s="27">
        <f>IF(ISNUMBER($P1154),COUNTIFS($A$14:$A$1213,$A1154,$P$14:$P$1213,"&gt;"&amp;$P1154)+(COUNTIFS($A$14:$A$1213,$A1154,$P$14:$P$1213,"="&amp;$P1154)+1)/2,"")</f>
        <v/>
      </c>
      <c r="AD1154" s="27">
        <f>IF(ISNUMBER($Q1154),COUNTIFS($A$14:$A$1213,$A1154,$Q$14:$Q$1213,"&gt;"&amp;$Q1154)+(COUNTIFS($A$14:$A$1213,$A1154,$Q$14:$Q$1213,"="&amp;$Q1154)+1)/2,"")</f>
        <v/>
      </c>
      <c r="AE1154" s="27">
        <f>IF(ISNUMBER($R1154),COUNTIFS($A$14:$A$1213,$A1154,$R$14:$R$1213,"&gt;"&amp;$R1154)+(COUNTIFS($A$14:$A$1213,$A1154,$R$14:$R$1213,"="&amp;$R1154)+1)/2,"")</f>
        <v/>
      </c>
      <c r="AF1154" s="27">
        <f>IF(ISNUMBER($S1154),COUNTIFS($A$14:$A$1213,$A1154,$S$14:$S$1213,"&gt;"&amp;$S1154)+(COUNTIFS($A$14:$A$1213,$A1154,$S$14:$S$1213,"="&amp;$S1154)+1)/2,"")</f>
        <v/>
      </c>
      <c r="AG1154" s="27">
        <f>IF(ISNUMBER($T1154),COUNTIFS($A$14:$A$1213,$A1154,$T$14:$T$1213,"&gt;"&amp;$T1154)+(COUNTIFS($A$14:$A$1213,$A1154,$T$14:$T$1213,"="&amp;$T1154)+1)/2,"")</f>
        <v/>
      </c>
      <c r="AH1154" s="27">
        <f>IF(COUNT($AC1154:$AG1154)&lt;2,"",IF(MAX($AC1154:$AG1154)=MIN($AC1154:$AG1154),0,1))</f>
        <v/>
      </c>
      <c r="AI1154" s="27">
        <f>IF($A1154="","",IF(COUNTIF($A$14:$A1154,$A1154)=1,COUNTIF($AI$13:AI1153,"&gt;0")+1,""))</f>
        <v/>
      </c>
      <c r="AO1154" s="27">
        <f>IF($A1154="","",IF(AND(COUNTIFS($A$14:$A$1213,$A1154,$F$14:$F$1213,"&gt;=0")=2,IFERROR(INDEX($M$14:$M$313,MATCH($A1154,$H$14:$H$313,0)),"Yes")&lt;&gt;"Yes"),1,0))</f>
        <v/>
      </c>
    </row>
    <row r="1155">
      <c r="A1155" s="19">
        <f>IF('Enter messages'!A1155="","",'Enter messages'!A1155)</f>
        <v/>
      </c>
      <c r="B1155" s="20">
        <f>IF('Enter messages'!B1155="","",'Enter messages'!B1155)</f>
        <v/>
      </c>
      <c r="C1155" s="21">
        <f>IFERROR(AVERAGE(P1155:T1155),"")</f>
        <v/>
      </c>
      <c r="D1155" s="29" t="n"/>
      <c r="E1155" s="29" t="n"/>
      <c r="F1155" s="30">
        <f>IF(AND(ISNUMBER($D1155),ISNUMBER($E1155),$E1155&gt;0,$D1155&lt;=$E1155),$D1155/$E1155,"")</f>
        <v/>
      </c>
      <c r="P1155" s="26" t="n"/>
      <c r="Q1155" s="26" t="n"/>
      <c r="R1155" s="26" t="n"/>
      <c r="S1155" s="26" t="n"/>
      <c r="T1155" s="26" t="n"/>
      <c r="V1155" s="27">
        <f>IF(ISNUMBER($C1155),COUNTIFS($A$14:$A$1213,$A1155,$C$14:$C$1213,"&gt;"&amp;$C1155)+(COUNTIFS($A$14:$A$1213,$A1155,$C$14:$C$1213,"="&amp;$C1155)+1)/2,"")</f>
        <v/>
      </c>
      <c r="W1155" s="27">
        <f>IF(ISNUMBER($F1155),COUNTIFS($A$14:$A$1213,$A1155,$F$14:$F$1213,"&gt;"&amp;$F1155)+(COUNTIFS($A$14:$A$1213,$A1155,$F$14:$F$1213,"="&amp;$F1155)+1)/2,"")</f>
        <v/>
      </c>
      <c r="X1155" s="27">
        <f>IF(OR(NOT(ISNUMBER($V1155)),$AO1155=1),"",$V1155-(COUNTIFS($A$14:$A$1213,$A1155,$C$14:$C$1213,"&gt;=0")+1)/2)</f>
        <v/>
      </c>
      <c r="Y1155" s="27">
        <f>IF(OR(NOT(ISNUMBER($W1155)),$AO1155=1),"",$W1155-(COUNTIFS($A$14:$A$1213,$A1155,$F$14:$F$1213,"&gt;=0")+1)/2)</f>
        <v/>
      </c>
      <c r="Z1155" s="27">
        <f>IF(ISNUMBER($V1155),$A1155&amp;"|"&amp;$V1155,"")</f>
        <v/>
      </c>
      <c r="AA1155" s="27">
        <f>IF(ISNUMBER($W1155),$A1155&amp;"|"&amp;$W1155,"")</f>
        <v/>
      </c>
      <c r="AB1155" s="27">
        <f>IF(ISNUMBER($F1155),$A1155&amp;"|"&amp;$F1155,"")</f>
        <v/>
      </c>
      <c r="AC1155" s="27">
        <f>IF(ISNUMBER($P1155),COUNTIFS($A$14:$A$1213,$A1155,$P$14:$P$1213,"&gt;"&amp;$P1155)+(COUNTIFS($A$14:$A$1213,$A1155,$P$14:$P$1213,"="&amp;$P1155)+1)/2,"")</f>
        <v/>
      </c>
      <c r="AD1155" s="27">
        <f>IF(ISNUMBER($Q1155),COUNTIFS($A$14:$A$1213,$A1155,$Q$14:$Q$1213,"&gt;"&amp;$Q1155)+(COUNTIFS($A$14:$A$1213,$A1155,$Q$14:$Q$1213,"="&amp;$Q1155)+1)/2,"")</f>
        <v/>
      </c>
      <c r="AE1155" s="27">
        <f>IF(ISNUMBER($R1155),COUNTIFS($A$14:$A$1213,$A1155,$R$14:$R$1213,"&gt;"&amp;$R1155)+(COUNTIFS($A$14:$A$1213,$A1155,$R$14:$R$1213,"="&amp;$R1155)+1)/2,"")</f>
        <v/>
      </c>
      <c r="AF1155" s="27">
        <f>IF(ISNUMBER($S1155),COUNTIFS($A$14:$A$1213,$A1155,$S$14:$S$1213,"&gt;"&amp;$S1155)+(COUNTIFS($A$14:$A$1213,$A1155,$S$14:$S$1213,"="&amp;$S1155)+1)/2,"")</f>
        <v/>
      </c>
      <c r="AG1155" s="27">
        <f>IF(ISNUMBER($T1155),COUNTIFS($A$14:$A$1213,$A1155,$T$14:$T$1213,"&gt;"&amp;$T1155)+(COUNTIFS($A$14:$A$1213,$A1155,$T$14:$T$1213,"="&amp;$T1155)+1)/2,"")</f>
        <v/>
      </c>
      <c r="AH1155" s="27">
        <f>IF(COUNT($AC1155:$AG1155)&lt;2,"",IF(MAX($AC1155:$AG1155)=MIN($AC1155:$AG1155),0,1))</f>
        <v/>
      </c>
      <c r="AI1155" s="27">
        <f>IF($A1155="","",IF(COUNTIF($A$14:$A1155,$A1155)=1,COUNTIF($AI$13:AI1154,"&gt;0")+1,""))</f>
        <v/>
      </c>
      <c r="AO1155" s="27">
        <f>IF($A1155="","",IF(AND(COUNTIFS($A$14:$A$1213,$A1155,$F$14:$F$1213,"&gt;=0")=2,IFERROR(INDEX($M$14:$M$313,MATCH($A1155,$H$14:$H$313,0)),"Yes")&lt;&gt;"Yes"),1,0))</f>
        <v/>
      </c>
    </row>
    <row r="1156">
      <c r="A1156" s="19">
        <f>IF('Enter messages'!A1156="","",'Enter messages'!A1156)</f>
        <v/>
      </c>
      <c r="B1156" s="20">
        <f>IF('Enter messages'!B1156="","",'Enter messages'!B1156)</f>
        <v/>
      </c>
      <c r="C1156" s="21">
        <f>IFERROR(AVERAGE(P1156:T1156),"")</f>
        <v/>
      </c>
      <c r="D1156" s="29" t="n"/>
      <c r="E1156" s="29" t="n"/>
      <c r="F1156" s="30">
        <f>IF(AND(ISNUMBER($D1156),ISNUMBER($E1156),$E1156&gt;0,$D1156&lt;=$E1156),$D1156/$E1156,"")</f>
        <v/>
      </c>
      <c r="P1156" s="26" t="n"/>
      <c r="Q1156" s="26" t="n"/>
      <c r="R1156" s="26" t="n"/>
      <c r="S1156" s="26" t="n"/>
      <c r="T1156" s="26" t="n"/>
      <c r="V1156" s="27">
        <f>IF(ISNUMBER($C1156),COUNTIFS($A$14:$A$1213,$A1156,$C$14:$C$1213,"&gt;"&amp;$C1156)+(COUNTIFS($A$14:$A$1213,$A1156,$C$14:$C$1213,"="&amp;$C1156)+1)/2,"")</f>
        <v/>
      </c>
      <c r="W1156" s="27">
        <f>IF(ISNUMBER($F1156),COUNTIFS($A$14:$A$1213,$A1156,$F$14:$F$1213,"&gt;"&amp;$F1156)+(COUNTIFS($A$14:$A$1213,$A1156,$F$14:$F$1213,"="&amp;$F1156)+1)/2,"")</f>
        <v/>
      </c>
      <c r="X1156" s="27">
        <f>IF(OR(NOT(ISNUMBER($V1156)),$AO1156=1),"",$V1156-(COUNTIFS($A$14:$A$1213,$A1156,$C$14:$C$1213,"&gt;=0")+1)/2)</f>
        <v/>
      </c>
      <c r="Y1156" s="27">
        <f>IF(OR(NOT(ISNUMBER($W1156)),$AO1156=1),"",$W1156-(COUNTIFS($A$14:$A$1213,$A1156,$F$14:$F$1213,"&gt;=0")+1)/2)</f>
        <v/>
      </c>
      <c r="Z1156" s="27">
        <f>IF(ISNUMBER($V1156),$A1156&amp;"|"&amp;$V1156,"")</f>
        <v/>
      </c>
      <c r="AA1156" s="27">
        <f>IF(ISNUMBER($W1156),$A1156&amp;"|"&amp;$W1156,"")</f>
        <v/>
      </c>
      <c r="AB1156" s="27">
        <f>IF(ISNUMBER($F1156),$A1156&amp;"|"&amp;$F1156,"")</f>
        <v/>
      </c>
      <c r="AC1156" s="27">
        <f>IF(ISNUMBER($P1156),COUNTIFS($A$14:$A$1213,$A1156,$P$14:$P$1213,"&gt;"&amp;$P1156)+(COUNTIFS($A$14:$A$1213,$A1156,$P$14:$P$1213,"="&amp;$P1156)+1)/2,"")</f>
        <v/>
      </c>
      <c r="AD1156" s="27">
        <f>IF(ISNUMBER($Q1156),COUNTIFS($A$14:$A$1213,$A1156,$Q$14:$Q$1213,"&gt;"&amp;$Q1156)+(COUNTIFS($A$14:$A$1213,$A1156,$Q$14:$Q$1213,"="&amp;$Q1156)+1)/2,"")</f>
        <v/>
      </c>
      <c r="AE1156" s="27">
        <f>IF(ISNUMBER($R1156),COUNTIFS($A$14:$A$1213,$A1156,$R$14:$R$1213,"&gt;"&amp;$R1156)+(COUNTIFS($A$14:$A$1213,$A1156,$R$14:$R$1213,"="&amp;$R1156)+1)/2,"")</f>
        <v/>
      </c>
      <c r="AF1156" s="27">
        <f>IF(ISNUMBER($S1156),COUNTIFS($A$14:$A$1213,$A1156,$S$14:$S$1213,"&gt;"&amp;$S1156)+(COUNTIFS($A$14:$A$1213,$A1156,$S$14:$S$1213,"="&amp;$S1156)+1)/2,"")</f>
        <v/>
      </c>
      <c r="AG1156" s="27">
        <f>IF(ISNUMBER($T1156),COUNTIFS($A$14:$A$1213,$A1156,$T$14:$T$1213,"&gt;"&amp;$T1156)+(COUNTIFS($A$14:$A$1213,$A1156,$T$14:$T$1213,"="&amp;$T1156)+1)/2,"")</f>
        <v/>
      </c>
      <c r="AH1156" s="27">
        <f>IF(COUNT($AC1156:$AG1156)&lt;2,"",IF(MAX($AC1156:$AG1156)=MIN($AC1156:$AG1156),0,1))</f>
        <v/>
      </c>
      <c r="AI1156" s="27">
        <f>IF($A1156="","",IF(COUNTIF($A$14:$A1156,$A1156)=1,COUNTIF($AI$13:AI1155,"&gt;0")+1,""))</f>
        <v/>
      </c>
      <c r="AO1156" s="27">
        <f>IF($A1156="","",IF(AND(COUNTIFS($A$14:$A$1213,$A1156,$F$14:$F$1213,"&gt;=0")=2,IFERROR(INDEX($M$14:$M$313,MATCH($A1156,$H$14:$H$313,0)),"Yes")&lt;&gt;"Yes"),1,0))</f>
        <v/>
      </c>
    </row>
    <row r="1157">
      <c r="A1157" s="19">
        <f>IF('Enter messages'!A1157="","",'Enter messages'!A1157)</f>
        <v/>
      </c>
      <c r="B1157" s="20">
        <f>IF('Enter messages'!B1157="","",'Enter messages'!B1157)</f>
        <v/>
      </c>
      <c r="C1157" s="21">
        <f>IFERROR(AVERAGE(P1157:T1157),"")</f>
        <v/>
      </c>
      <c r="D1157" s="29" t="n"/>
      <c r="E1157" s="29" t="n"/>
      <c r="F1157" s="30">
        <f>IF(AND(ISNUMBER($D1157),ISNUMBER($E1157),$E1157&gt;0,$D1157&lt;=$E1157),$D1157/$E1157,"")</f>
        <v/>
      </c>
      <c r="P1157" s="26" t="n"/>
      <c r="Q1157" s="26" t="n"/>
      <c r="R1157" s="26" t="n"/>
      <c r="S1157" s="26" t="n"/>
      <c r="T1157" s="26" t="n"/>
      <c r="V1157" s="27">
        <f>IF(ISNUMBER($C1157),COUNTIFS($A$14:$A$1213,$A1157,$C$14:$C$1213,"&gt;"&amp;$C1157)+(COUNTIFS($A$14:$A$1213,$A1157,$C$14:$C$1213,"="&amp;$C1157)+1)/2,"")</f>
        <v/>
      </c>
      <c r="W1157" s="27">
        <f>IF(ISNUMBER($F1157),COUNTIFS($A$14:$A$1213,$A1157,$F$14:$F$1213,"&gt;"&amp;$F1157)+(COUNTIFS($A$14:$A$1213,$A1157,$F$14:$F$1213,"="&amp;$F1157)+1)/2,"")</f>
        <v/>
      </c>
      <c r="X1157" s="27">
        <f>IF(OR(NOT(ISNUMBER($V1157)),$AO1157=1),"",$V1157-(COUNTIFS($A$14:$A$1213,$A1157,$C$14:$C$1213,"&gt;=0")+1)/2)</f>
        <v/>
      </c>
      <c r="Y1157" s="27">
        <f>IF(OR(NOT(ISNUMBER($W1157)),$AO1157=1),"",$W1157-(COUNTIFS($A$14:$A$1213,$A1157,$F$14:$F$1213,"&gt;=0")+1)/2)</f>
        <v/>
      </c>
      <c r="Z1157" s="27">
        <f>IF(ISNUMBER($V1157),$A1157&amp;"|"&amp;$V1157,"")</f>
        <v/>
      </c>
      <c r="AA1157" s="27">
        <f>IF(ISNUMBER($W1157),$A1157&amp;"|"&amp;$W1157,"")</f>
        <v/>
      </c>
      <c r="AB1157" s="27">
        <f>IF(ISNUMBER($F1157),$A1157&amp;"|"&amp;$F1157,"")</f>
        <v/>
      </c>
      <c r="AC1157" s="27">
        <f>IF(ISNUMBER($P1157),COUNTIFS($A$14:$A$1213,$A1157,$P$14:$P$1213,"&gt;"&amp;$P1157)+(COUNTIFS($A$14:$A$1213,$A1157,$P$14:$P$1213,"="&amp;$P1157)+1)/2,"")</f>
        <v/>
      </c>
      <c r="AD1157" s="27">
        <f>IF(ISNUMBER($Q1157),COUNTIFS($A$14:$A$1213,$A1157,$Q$14:$Q$1213,"&gt;"&amp;$Q1157)+(COUNTIFS($A$14:$A$1213,$A1157,$Q$14:$Q$1213,"="&amp;$Q1157)+1)/2,"")</f>
        <v/>
      </c>
      <c r="AE1157" s="27">
        <f>IF(ISNUMBER($R1157),COUNTIFS($A$14:$A$1213,$A1157,$R$14:$R$1213,"&gt;"&amp;$R1157)+(COUNTIFS($A$14:$A$1213,$A1157,$R$14:$R$1213,"="&amp;$R1157)+1)/2,"")</f>
        <v/>
      </c>
      <c r="AF1157" s="27">
        <f>IF(ISNUMBER($S1157),COUNTIFS($A$14:$A$1213,$A1157,$S$14:$S$1213,"&gt;"&amp;$S1157)+(COUNTIFS($A$14:$A$1213,$A1157,$S$14:$S$1213,"="&amp;$S1157)+1)/2,"")</f>
        <v/>
      </c>
      <c r="AG1157" s="27">
        <f>IF(ISNUMBER($T1157),COUNTIFS($A$14:$A$1213,$A1157,$T$14:$T$1213,"&gt;"&amp;$T1157)+(COUNTIFS($A$14:$A$1213,$A1157,$T$14:$T$1213,"="&amp;$T1157)+1)/2,"")</f>
        <v/>
      </c>
      <c r="AH1157" s="27">
        <f>IF(COUNT($AC1157:$AG1157)&lt;2,"",IF(MAX($AC1157:$AG1157)=MIN($AC1157:$AG1157),0,1))</f>
        <v/>
      </c>
      <c r="AI1157" s="27">
        <f>IF($A1157="","",IF(COUNTIF($A$14:$A1157,$A1157)=1,COUNTIF($AI$13:AI1156,"&gt;0")+1,""))</f>
        <v/>
      </c>
      <c r="AO1157" s="27">
        <f>IF($A1157="","",IF(AND(COUNTIFS($A$14:$A$1213,$A1157,$F$14:$F$1213,"&gt;=0")=2,IFERROR(INDEX($M$14:$M$313,MATCH($A1157,$H$14:$H$313,0)),"Yes")&lt;&gt;"Yes"),1,0))</f>
        <v/>
      </c>
    </row>
    <row r="1158">
      <c r="A1158" s="19">
        <f>IF('Enter messages'!A1158="","",'Enter messages'!A1158)</f>
        <v/>
      </c>
      <c r="B1158" s="20">
        <f>IF('Enter messages'!B1158="","",'Enter messages'!B1158)</f>
        <v/>
      </c>
      <c r="C1158" s="21">
        <f>IFERROR(AVERAGE(P1158:T1158),"")</f>
        <v/>
      </c>
      <c r="D1158" s="29" t="n"/>
      <c r="E1158" s="29" t="n"/>
      <c r="F1158" s="30">
        <f>IF(AND(ISNUMBER($D1158),ISNUMBER($E1158),$E1158&gt;0,$D1158&lt;=$E1158),$D1158/$E1158,"")</f>
        <v/>
      </c>
      <c r="P1158" s="26" t="n"/>
      <c r="Q1158" s="26" t="n"/>
      <c r="R1158" s="26" t="n"/>
      <c r="S1158" s="26" t="n"/>
      <c r="T1158" s="26" t="n"/>
      <c r="V1158" s="27">
        <f>IF(ISNUMBER($C1158),COUNTIFS($A$14:$A$1213,$A1158,$C$14:$C$1213,"&gt;"&amp;$C1158)+(COUNTIFS($A$14:$A$1213,$A1158,$C$14:$C$1213,"="&amp;$C1158)+1)/2,"")</f>
        <v/>
      </c>
      <c r="W1158" s="27">
        <f>IF(ISNUMBER($F1158),COUNTIFS($A$14:$A$1213,$A1158,$F$14:$F$1213,"&gt;"&amp;$F1158)+(COUNTIFS($A$14:$A$1213,$A1158,$F$14:$F$1213,"="&amp;$F1158)+1)/2,"")</f>
        <v/>
      </c>
      <c r="X1158" s="27">
        <f>IF(OR(NOT(ISNUMBER($V1158)),$AO1158=1),"",$V1158-(COUNTIFS($A$14:$A$1213,$A1158,$C$14:$C$1213,"&gt;=0")+1)/2)</f>
        <v/>
      </c>
      <c r="Y1158" s="27">
        <f>IF(OR(NOT(ISNUMBER($W1158)),$AO1158=1),"",$W1158-(COUNTIFS($A$14:$A$1213,$A1158,$F$14:$F$1213,"&gt;=0")+1)/2)</f>
        <v/>
      </c>
      <c r="Z1158" s="27">
        <f>IF(ISNUMBER($V1158),$A1158&amp;"|"&amp;$V1158,"")</f>
        <v/>
      </c>
      <c r="AA1158" s="27">
        <f>IF(ISNUMBER($W1158),$A1158&amp;"|"&amp;$W1158,"")</f>
        <v/>
      </c>
      <c r="AB1158" s="27">
        <f>IF(ISNUMBER($F1158),$A1158&amp;"|"&amp;$F1158,"")</f>
        <v/>
      </c>
      <c r="AC1158" s="27">
        <f>IF(ISNUMBER($P1158),COUNTIFS($A$14:$A$1213,$A1158,$P$14:$P$1213,"&gt;"&amp;$P1158)+(COUNTIFS($A$14:$A$1213,$A1158,$P$14:$P$1213,"="&amp;$P1158)+1)/2,"")</f>
        <v/>
      </c>
      <c r="AD1158" s="27">
        <f>IF(ISNUMBER($Q1158),COUNTIFS($A$14:$A$1213,$A1158,$Q$14:$Q$1213,"&gt;"&amp;$Q1158)+(COUNTIFS($A$14:$A$1213,$A1158,$Q$14:$Q$1213,"="&amp;$Q1158)+1)/2,"")</f>
        <v/>
      </c>
      <c r="AE1158" s="27">
        <f>IF(ISNUMBER($R1158),COUNTIFS($A$14:$A$1213,$A1158,$R$14:$R$1213,"&gt;"&amp;$R1158)+(COUNTIFS($A$14:$A$1213,$A1158,$R$14:$R$1213,"="&amp;$R1158)+1)/2,"")</f>
        <v/>
      </c>
      <c r="AF1158" s="27">
        <f>IF(ISNUMBER($S1158),COUNTIFS($A$14:$A$1213,$A1158,$S$14:$S$1213,"&gt;"&amp;$S1158)+(COUNTIFS($A$14:$A$1213,$A1158,$S$14:$S$1213,"="&amp;$S1158)+1)/2,"")</f>
        <v/>
      </c>
      <c r="AG1158" s="27">
        <f>IF(ISNUMBER($T1158),COUNTIFS($A$14:$A$1213,$A1158,$T$14:$T$1213,"&gt;"&amp;$T1158)+(COUNTIFS($A$14:$A$1213,$A1158,$T$14:$T$1213,"="&amp;$T1158)+1)/2,"")</f>
        <v/>
      </c>
      <c r="AH1158" s="27">
        <f>IF(COUNT($AC1158:$AG1158)&lt;2,"",IF(MAX($AC1158:$AG1158)=MIN($AC1158:$AG1158),0,1))</f>
        <v/>
      </c>
      <c r="AI1158" s="27">
        <f>IF($A1158="","",IF(COUNTIF($A$14:$A1158,$A1158)=1,COUNTIF($AI$13:AI1157,"&gt;0")+1,""))</f>
        <v/>
      </c>
      <c r="AO1158" s="27">
        <f>IF($A1158="","",IF(AND(COUNTIFS($A$14:$A$1213,$A1158,$F$14:$F$1213,"&gt;=0")=2,IFERROR(INDEX($M$14:$M$313,MATCH($A1158,$H$14:$H$313,0)),"Yes")&lt;&gt;"Yes"),1,0))</f>
        <v/>
      </c>
    </row>
    <row r="1159">
      <c r="A1159" s="19">
        <f>IF('Enter messages'!A1159="","",'Enter messages'!A1159)</f>
        <v/>
      </c>
      <c r="B1159" s="20">
        <f>IF('Enter messages'!B1159="","",'Enter messages'!B1159)</f>
        <v/>
      </c>
      <c r="C1159" s="21">
        <f>IFERROR(AVERAGE(P1159:T1159),"")</f>
        <v/>
      </c>
      <c r="D1159" s="29" t="n"/>
      <c r="E1159" s="29" t="n"/>
      <c r="F1159" s="30">
        <f>IF(AND(ISNUMBER($D1159),ISNUMBER($E1159),$E1159&gt;0,$D1159&lt;=$E1159),$D1159/$E1159,"")</f>
        <v/>
      </c>
      <c r="P1159" s="26" t="n"/>
      <c r="Q1159" s="26" t="n"/>
      <c r="R1159" s="26" t="n"/>
      <c r="S1159" s="26" t="n"/>
      <c r="T1159" s="26" t="n"/>
      <c r="V1159" s="27">
        <f>IF(ISNUMBER($C1159),COUNTIFS($A$14:$A$1213,$A1159,$C$14:$C$1213,"&gt;"&amp;$C1159)+(COUNTIFS($A$14:$A$1213,$A1159,$C$14:$C$1213,"="&amp;$C1159)+1)/2,"")</f>
        <v/>
      </c>
      <c r="W1159" s="27">
        <f>IF(ISNUMBER($F1159),COUNTIFS($A$14:$A$1213,$A1159,$F$14:$F$1213,"&gt;"&amp;$F1159)+(COUNTIFS($A$14:$A$1213,$A1159,$F$14:$F$1213,"="&amp;$F1159)+1)/2,"")</f>
        <v/>
      </c>
      <c r="X1159" s="27">
        <f>IF(OR(NOT(ISNUMBER($V1159)),$AO1159=1),"",$V1159-(COUNTIFS($A$14:$A$1213,$A1159,$C$14:$C$1213,"&gt;=0")+1)/2)</f>
        <v/>
      </c>
      <c r="Y1159" s="27">
        <f>IF(OR(NOT(ISNUMBER($W1159)),$AO1159=1),"",$W1159-(COUNTIFS($A$14:$A$1213,$A1159,$F$14:$F$1213,"&gt;=0")+1)/2)</f>
        <v/>
      </c>
      <c r="Z1159" s="27">
        <f>IF(ISNUMBER($V1159),$A1159&amp;"|"&amp;$V1159,"")</f>
        <v/>
      </c>
      <c r="AA1159" s="27">
        <f>IF(ISNUMBER($W1159),$A1159&amp;"|"&amp;$W1159,"")</f>
        <v/>
      </c>
      <c r="AB1159" s="27">
        <f>IF(ISNUMBER($F1159),$A1159&amp;"|"&amp;$F1159,"")</f>
        <v/>
      </c>
      <c r="AC1159" s="27">
        <f>IF(ISNUMBER($P1159),COUNTIFS($A$14:$A$1213,$A1159,$P$14:$P$1213,"&gt;"&amp;$P1159)+(COUNTIFS($A$14:$A$1213,$A1159,$P$14:$P$1213,"="&amp;$P1159)+1)/2,"")</f>
        <v/>
      </c>
      <c r="AD1159" s="27">
        <f>IF(ISNUMBER($Q1159),COUNTIFS($A$14:$A$1213,$A1159,$Q$14:$Q$1213,"&gt;"&amp;$Q1159)+(COUNTIFS($A$14:$A$1213,$A1159,$Q$14:$Q$1213,"="&amp;$Q1159)+1)/2,"")</f>
        <v/>
      </c>
      <c r="AE1159" s="27">
        <f>IF(ISNUMBER($R1159),COUNTIFS($A$14:$A$1213,$A1159,$R$14:$R$1213,"&gt;"&amp;$R1159)+(COUNTIFS($A$14:$A$1213,$A1159,$R$14:$R$1213,"="&amp;$R1159)+1)/2,"")</f>
        <v/>
      </c>
      <c r="AF1159" s="27">
        <f>IF(ISNUMBER($S1159),COUNTIFS($A$14:$A$1213,$A1159,$S$14:$S$1213,"&gt;"&amp;$S1159)+(COUNTIFS($A$14:$A$1213,$A1159,$S$14:$S$1213,"="&amp;$S1159)+1)/2,"")</f>
        <v/>
      </c>
      <c r="AG1159" s="27">
        <f>IF(ISNUMBER($T1159),COUNTIFS($A$14:$A$1213,$A1159,$T$14:$T$1213,"&gt;"&amp;$T1159)+(COUNTIFS($A$14:$A$1213,$A1159,$T$14:$T$1213,"="&amp;$T1159)+1)/2,"")</f>
        <v/>
      </c>
      <c r="AH1159" s="27">
        <f>IF(COUNT($AC1159:$AG1159)&lt;2,"",IF(MAX($AC1159:$AG1159)=MIN($AC1159:$AG1159),0,1))</f>
        <v/>
      </c>
      <c r="AI1159" s="27">
        <f>IF($A1159="","",IF(COUNTIF($A$14:$A1159,$A1159)=1,COUNTIF($AI$13:AI1158,"&gt;0")+1,""))</f>
        <v/>
      </c>
      <c r="AO1159" s="27">
        <f>IF($A1159="","",IF(AND(COUNTIFS($A$14:$A$1213,$A1159,$F$14:$F$1213,"&gt;=0")=2,IFERROR(INDEX($M$14:$M$313,MATCH($A1159,$H$14:$H$313,0)),"Yes")&lt;&gt;"Yes"),1,0))</f>
        <v/>
      </c>
    </row>
    <row r="1160">
      <c r="A1160" s="19">
        <f>IF('Enter messages'!A1160="","",'Enter messages'!A1160)</f>
        <v/>
      </c>
      <c r="B1160" s="20">
        <f>IF('Enter messages'!B1160="","",'Enter messages'!B1160)</f>
        <v/>
      </c>
      <c r="C1160" s="21">
        <f>IFERROR(AVERAGE(P1160:T1160),"")</f>
        <v/>
      </c>
      <c r="D1160" s="29" t="n"/>
      <c r="E1160" s="29" t="n"/>
      <c r="F1160" s="30">
        <f>IF(AND(ISNUMBER($D1160),ISNUMBER($E1160),$E1160&gt;0,$D1160&lt;=$E1160),$D1160/$E1160,"")</f>
        <v/>
      </c>
      <c r="P1160" s="26" t="n"/>
      <c r="Q1160" s="26" t="n"/>
      <c r="R1160" s="26" t="n"/>
      <c r="S1160" s="26" t="n"/>
      <c r="T1160" s="26" t="n"/>
      <c r="V1160" s="27">
        <f>IF(ISNUMBER($C1160),COUNTIFS($A$14:$A$1213,$A1160,$C$14:$C$1213,"&gt;"&amp;$C1160)+(COUNTIFS($A$14:$A$1213,$A1160,$C$14:$C$1213,"="&amp;$C1160)+1)/2,"")</f>
        <v/>
      </c>
      <c r="W1160" s="27">
        <f>IF(ISNUMBER($F1160),COUNTIFS($A$14:$A$1213,$A1160,$F$14:$F$1213,"&gt;"&amp;$F1160)+(COUNTIFS($A$14:$A$1213,$A1160,$F$14:$F$1213,"="&amp;$F1160)+1)/2,"")</f>
        <v/>
      </c>
      <c r="X1160" s="27">
        <f>IF(OR(NOT(ISNUMBER($V1160)),$AO1160=1),"",$V1160-(COUNTIFS($A$14:$A$1213,$A1160,$C$14:$C$1213,"&gt;=0")+1)/2)</f>
        <v/>
      </c>
      <c r="Y1160" s="27">
        <f>IF(OR(NOT(ISNUMBER($W1160)),$AO1160=1),"",$W1160-(COUNTIFS($A$14:$A$1213,$A1160,$F$14:$F$1213,"&gt;=0")+1)/2)</f>
        <v/>
      </c>
      <c r="Z1160" s="27">
        <f>IF(ISNUMBER($V1160),$A1160&amp;"|"&amp;$V1160,"")</f>
        <v/>
      </c>
      <c r="AA1160" s="27">
        <f>IF(ISNUMBER($W1160),$A1160&amp;"|"&amp;$W1160,"")</f>
        <v/>
      </c>
      <c r="AB1160" s="27">
        <f>IF(ISNUMBER($F1160),$A1160&amp;"|"&amp;$F1160,"")</f>
        <v/>
      </c>
      <c r="AC1160" s="27">
        <f>IF(ISNUMBER($P1160),COUNTIFS($A$14:$A$1213,$A1160,$P$14:$P$1213,"&gt;"&amp;$P1160)+(COUNTIFS($A$14:$A$1213,$A1160,$P$14:$P$1213,"="&amp;$P1160)+1)/2,"")</f>
        <v/>
      </c>
      <c r="AD1160" s="27">
        <f>IF(ISNUMBER($Q1160),COUNTIFS($A$14:$A$1213,$A1160,$Q$14:$Q$1213,"&gt;"&amp;$Q1160)+(COUNTIFS($A$14:$A$1213,$A1160,$Q$14:$Q$1213,"="&amp;$Q1160)+1)/2,"")</f>
        <v/>
      </c>
      <c r="AE1160" s="27">
        <f>IF(ISNUMBER($R1160),COUNTIFS($A$14:$A$1213,$A1160,$R$14:$R$1213,"&gt;"&amp;$R1160)+(COUNTIFS($A$14:$A$1213,$A1160,$R$14:$R$1213,"="&amp;$R1160)+1)/2,"")</f>
        <v/>
      </c>
      <c r="AF1160" s="27">
        <f>IF(ISNUMBER($S1160),COUNTIFS($A$14:$A$1213,$A1160,$S$14:$S$1213,"&gt;"&amp;$S1160)+(COUNTIFS($A$14:$A$1213,$A1160,$S$14:$S$1213,"="&amp;$S1160)+1)/2,"")</f>
        <v/>
      </c>
      <c r="AG1160" s="27">
        <f>IF(ISNUMBER($T1160),COUNTIFS($A$14:$A$1213,$A1160,$T$14:$T$1213,"&gt;"&amp;$T1160)+(COUNTIFS($A$14:$A$1213,$A1160,$T$14:$T$1213,"="&amp;$T1160)+1)/2,"")</f>
        <v/>
      </c>
      <c r="AH1160" s="27">
        <f>IF(COUNT($AC1160:$AG1160)&lt;2,"",IF(MAX($AC1160:$AG1160)=MIN($AC1160:$AG1160),0,1))</f>
        <v/>
      </c>
      <c r="AI1160" s="27">
        <f>IF($A1160="","",IF(COUNTIF($A$14:$A1160,$A1160)=1,COUNTIF($AI$13:AI1159,"&gt;0")+1,""))</f>
        <v/>
      </c>
      <c r="AO1160" s="27">
        <f>IF($A1160="","",IF(AND(COUNTIFS($A$14:$A$1213,$A1160,$F$14:$F$1213,"&gt;=0")=2,IFERROR(INDEX($M$14:$M$313,MATCH($A1160,$H$14:$H$313,0)),"Yes")&lt;&gt;"Yes"),1,0))</f>
        <v/>
      </c>
    </row>
    <row r="1161">
      <c r="A1161" s="19">
        <f>IF('Enter messages'!A1161="","",'Enter messages'!A1161)</f>
        <v/>
      </c>
      <c r="B1161" s="20">
        <f>IF('Enter messages'!B1161="","",'Enter messages'!B1161)</f>
        <v/>
      </c>
      <c r="C1161" s="21">
        <f>IFERROR(AVERAGE(P1161:T1161),"")</f>
        <v/>
      </c>
      <c r="D1161" s="29" t="n"/>
      <c r="E1161" s="29" t="n"/>
      <c r="F1161" s="30">
        <f>IF(AND(ISNUMBER($D1161),ISNUMBER($E1161),$E1161&gt;0,$D1161&lt;=$E1161),$D1161/$E1161,"")</f>
        <v/>
      </c>
      <c r="P1161" s="26" t="n"/>
      <c r="Q1161" s="26" t="n"/>
      <c r="R1161" s="26" t="n"/>
      <c r="S1161" s="26" t="n"/>
      <c r="T1161" s="26" t="n"/>
      <c r="V1161" s="27">
        <f>IF(ISNUMBER($C1161),COUNTIFS($A$14:$A$1213,$A1161,$C$14:$C$1213,"&gt;"&amp;$C1161)+(COUNTIFS($A$14:$A$1213,$A1161,$C$14:$C$1213,"="&amp;$C1161)+1)/2,"")</f>
        <v/>
      </c>
      <c r="W1161" s="27">
        <f>IF(ISNUMBER($F1161),COUNTIFS($A$14:$A$1213,$A1161,$F$14:$F$1213,"&gt;"&amp;$F1161)+(COUNTIFS($A$14:$A$1213,$A1161,$F$14:$F$1213,"="&amp;$F1161)+1)/2,"")</f>
        <v/>
      </c>
      <c r="X1161" s="27">
        <f>IF(OR(NOT(ISNUMBER($V1161)),$AO1161=1),"",$V1161-(COUNTIFS($A$14:$A$1213,$A1161,$C$14:$C$1213,"&gt;=0")+1)/2)</f>
        <v/>
      </c>
      <c r="Y1161" s="27">
        <f>IF(OR(NOT(ISNUMBER($W1161)),$AO1161=1),"",$W1161-(COUNTIFS($A$14:$A$1213,$A1161,$F$14:$F$1213,"&gt;=0")+1)/2)</f>
        <v/>
      </c>
      <c r="Z1161" s="27">
        <f>IF(ISNUMBER($V1161),$A1161&amp;"|"&amp;$V1161,"")</f>
        <v/>
      </c>
      <c r="AA1161" s="27">
        <f>IF(ISNUMBER($W1161),$A1161&amp;"|"&amp;$W1161,"")</f>
        <v/>
      </c>
      <c r="AB1161" s="27">
        <f>IF(ISNUMBER($F1161),$A1161&amp;"|"&amp;$F1161,"")</f>
        <v/>
      </c>
      <c r="AC1161" s="27">
        <f>IF(ISNUMBER($P1161),COUNTIFS($A$14:$A$1213,$A1161,$P$14:$P$1213,"&gt;"&amp;$P1161)+(COUNTIFS($A$14:$A$1213,$A1161,$P$14:$P$1213,"="&amp;$P1161)+1)/2,"")</f>
        <v/>
      </c>
      <c r="AD1161" s="27">
        <f>IF(ISNUMBER($Q1161),COUNTIFS($A$14:$A$1213,$A1161,$Q$14:$Q$1213,"&gt;"&amp;$Q1161)+(COUNTIFS($A$14:$A$1213,$A1161,$Q$14:$Q$1213,"="&amp;$Q1161)+1)/2,"")</f>
        <v/>
      </c>
      <c r="AE1161" s="27">
        <f>IF(ISNUMBER($R1161),COUNTIFS($A$14:$A$1213,$A1161,$R$14:$R$1213,"&gt;"&amp;$R1161)+(COUNTIFS($A$14:$A$1213,$A1161,$R$14:$R$1213,"="&amp;$R1161)+1)/2,"")</f>
        <v/>
      </c>
      <c r="AF1161" s="27">
        <f>IF(ISNUMBER($S1161),COUNTIFS($A$14:$A$1213,$A1161,$S$14:$S$1213,"&gt;"&amp;$S1161)+(COUNTIFS($A$14:$A$1213,$A1161,$S$14:$S$1213,"="&amp;$S1161)+1)/2,"")</f>
        <v/>
      </c>
      <c r="AG1161" s="27">
        <f>IF(ISNUMBER($T1161),COUNTIFS($A$14:$A$1213,$A1161,$T$14:$T$1213,"&gt;"&amp;$T1161)+(COUNTIFS($A$14:$A$1213,$A1161,$T$14:$T$1213,"="&amp;$T1161)+1)/2,"")</f>
        <v/>
      </c>
      <c r="AH1161" s="27">
        <f>IF(COUNT($AC1161:$AG1161)&lt;2,"",IF(MAX($AC1161:$AG1161)=MIN($AC1161:$AG1161),0,1))</f>
        <v/>
      </c>
      <c r="AI1161" s="27">
        <f>IF($A1161="","",IF(COUNTIF($A$14:$A1161,$A1161)=1,COUNTIF($AI$13:AI1160,"&gt;0")+1,""))</f>
        <v/>
      </c>
      <c r="AO1161" s="27">
        <f>IF($A1161="","",IF(AND(COUNTIFS($A$14:$A$1213,$A1161,$F$14:$F$1213,"&gt;=0")=2,IFERROR(INDEX($M$14:$M$313,MATCH($A1161,$H$14:$H$313,0)),"Yes")&lt;&gt;"Yes"),1,0))</f>
        <v/>
      </c>
    </row>
    <row r="1162">
      <c r="A1162" s="19">
        <f>IF('Enter messages'!A1162="","",'Enter messages'!A1162)</f>
        <v/>
      </c>
      <c r="B1162" s="20">
        <f>IF('Enter messages'!B1162="","",'Enter messages'!B1162)</f>
        <v/>
      </c>
      <c r="C1162" s="21">
        <f>IFERROR(AVERAGE(P1162:T1162),"")</f>
        <v/>
      </c>
      <c r="D1162" s="29" t="n"/>
      <c r="E1162" s="29" t="n"/>
      <c r="F1162" s="30">
        <f>IF(AND(ISNUMBER($D1162),ISNUMBER($E1162),$E1162&gt;0,$D1162&lt;=$E1162),$D1162/$E1162,"")</f>
        <v/>
      </c>
      <c r="P1162" s="26" t="n"/>
      <c r="Q1162" s="26" t="n"/>
      <c r="R1162" s="26" t="n"/>
      <c r="S1162" s="26" t="n"/>
      <c r="T1162" s="26" t="n"/>
      <c r="V1162" s="27">
        <f>IF(ISNUMBER($C1162),COUNTIFS($A$14:$A$1213,$A1162,$C$14:$C$1213,"&gt;"&amp;$C1162)+(COUNTIFS($A$14:$A$1213,$A1162,$C$14:$C$1213,"="&amp;$C1162)+1)/2,"")</f>
        <v/>
      </c>
      <c r="W1162" s="27">
        <f>IF(ISNUMBER($F1162),COUNTIFS($A$14:$A$1213,$A1162,$F$14:$F$1213,"&gt;"&amp;$F1162)+(COUNTIFS($A$14:$A$1213,$A1162,$F$14:$F$1213,"="&amp;$F1162)+1)/2,"")</f>
        <v/>
      </c>
      <c r="X1162" s="27">
        <f>IF(OR(NOT(ISNUMBER($V1162)),$AO1162=1),"",$V1162-(COUNTIFS($A$14:$A$1213,$A1162,$C$14:$C$1213,"&gt;=0")+1)/2)</f>
        <v/>
      </c>
      <c r="Y1162" s="27">
        <f>IF(OR(NOT(ISNUMBER($W1162)),$AO1162=1),"",$W1162-(COUNTIFS($A$14:$A$1213,$A1162,$F$14:$F$1213,"&gt;=0")+1)/2)</f>
        <v/>
      </c>
      <c r="Z1162" s="27">
        <f>IF(ISNUMBER($V1162),$A1162&amp;"|"&amp;$V1162,"")</f>
        <v/>
      </c>
      <c r="AA1162" s="27">
        <f>IF(ISNUMBER($W1162),$A1162&amp;"|"&amp;$W1162,"")</f>
        <v/>
      </c>
      <c r="AB1162" s="27">
        <f>IF(ISNUMBER($F1162),$A1162&amp;"|"&amp;$F1162,"")</f>
        <v/>
      </c>
      <c r="AC1162" s="27">
        <f>IF(ISNUMBER($P1162),COUNTIFS($A$14:$A$1213,$A1162,$P$14:$P$1213,"&gt;"&amp;$P1162)+(COUNTIFS($A$14:$A$1213,$A1162,$P$14:$P$1213,"="&amp;$P1162)+1)/2,"")</f>
        <v/>
      </c>
      <c r="AD1162" s="27">
        <f>IF(ISNUMBER($Q1162),COUNTIFS($A$14:$A$1213,$A1162,$Q$14:$Q$1213,"&gt;"&amp;$Q1162)+(COUNTIFS($A$14:$A$1213,$A1162,$Q$14:$Q$1213,"="&amp;$Q1162)+1)/2,"")</f>
        <v/>
      </c>
      <c r="AE1162" s="27">
        <f>IF(ISNUMBER($R1162),COUNTIFS($A$14:$A$1213,$A1162,$R$14:$R$1213,"&gt;"&amp;$R1162)+(COUNTIFS($A$14:$A$1213,$A1162,$R$14:$R$1213,"="&amp;$R1162)+1)/2,"")</f>
        <v/>
      </c>
      <c r="AF1162" s="27">
        <f>IF(ISNUMBER($S1162),COUNTIFS($A$14:$A$1213,$A1162,$S$14:$S$1213,"&gt;"&amp;$S1162)+(COUNTIFS($A$14:$A$1213,$A1162,$S$14:$S$1213,"="&amp;$S1162)+1)/2,"")</f>
        <v/>
      </c>
      <c r="AG1162" s="27">
        <f>IF(ISNUMBER($T1162),COUNTIFS($A$14:$A$1213,$A1162,$T$14:$T$1213,"&gt;"&amp;$T1162)+(COUNTIFS($A$14:$A$1213,$A1162,$T$14:$T$1213,"="&amp;$T1162)+1)/2,"")</f>
        <v/>
      </c>
      <c r="AH1162" s="27">
        <f>IF(COUNT($AC1162:$AG1162)&lt;2,"",IF(MAX($AC1162:$AG1162)=MIN($AC1162:$AG1162),0,1))</f>
        <v/>
      </c>
      <c r="AI1162" s="27">
        <f>IF($A1162="","",IF(COUNTIF($A$14:$A1162,$A1162)=1,COUNTIF($AI$13:AI1161,"&gt;0")+1,""))</f>
        <v/>
      </c>
      <c r="AO1162" s="27">
        <f>IF($A1162="","",IF(AND(COUNTIFS($A$14:$A$1213,$A1162,$F$14:$F$1213,"&gt;=0")=2,IFERROR(INDEX($M$14:$M$313,MATCH($A1162,$H$14:$H$313,0)),"Yes")&lt;&gt;"Yes"),1,0))</f>
        <v/>
      </c>
    </row>
    <row r="1163">
      <c r="A1163" s="19">
        <f>IF('Enter messages'!A1163="","",'Enter messages'!A1163)</f>
        <v/>
      </c>
      <c r="B1163" s="20">
        <f>IF('Enter messages'!B1163="","",'Enter messages'!B1163)</f>
        <v/>
      </c>
      <c r="C1163" s="21">
        <f>IFERROR(AVERAGE(P1163:T1163),"")</f>
        <v/>
      </c>
      <c r="D1163" s="29" t="n"/>
      <c r="E1163" s="29" t="n"/>
      <c r="F1163" s="30">
        <f>IF(AND(ISNUMBER($D1163),ISNUMBER($E1163),$E1163&gt;0,$D1163&lt;=$E1163),$D1163/$E1163,"")</f>
        <v/>
      </c>
      <c r="P1163" s="26" t="n"/>
      <c r="Q1163" s="26" t="n"/>
      <c r="R1163" s="26" t="n"/>
      <c r="S1163" s="26" t="n"/>
      <c r="T1163" s="26" t="n"/>
      <c r="V1163" s="27">
        <f>IF(ISNUMBER($C1163),COUNTIFS($A$14:$A$1213,$A1163,$C$14:$C$1213,"&gt;"&amp;$C1163)+(COUNTIFS($A$14:$A$1213,$A1163,$C$14:$C$1213,"="&amp;$C1163)+1)/2,"")</f>
        <v/>
      </c>
      <c r="W1163" s="27">
        <f>IF(ISNUMBER($F1163),COUNTIFS($A$14:$A$1213,$A1163,$F$14:$F$1213,"&gt;"&amp;$F1163)+(COUNTIFS($A$14:$A$1213,$A1163,$F$14:$F$1213,"="&amp;$F1163)+1)/2,"")</f>
        <v/>
      </c>
      <c r="X1163" s="27">
        <f>IF(OR(NOT(ISNUMBER($V1163)),$AO1163=1),"",$V1163-(COUNTIFS($A$14:$A$1213,$A1163,$C$14:$C$1213,"&gt;=0")+1)/2)</f>
        <v/>
      </c>
      <c r="Y1163" s="27">
        <f>IF(OR(NOT(ISNUMBER($W1163)),$AO1163=1),"",$W1163-(COUNTIFS($A$14:$A$1213,$A1163,$F$14:$F$1213,"&gt;=0")+1)/2)</f>
        <v/>
      </c>
      <c r="Z1163" s="27">
        <f>IF(ISNUMBER($V1163),$A1163&amp;"|"&amp;$V1163,"")</f>
        <v/>
      </c>
      <c r="AA1163" s="27">
        <f>IF(ISNUMBER($W1163),$A1163&amp;"|"&amp;$W1163,"")</f>
        <v/>
      </c>
      <c r="AB1163" s="27">
        <f>IF(ISNUMBER($F1163),$A1163&amp;"|"&amp;$F1163,"")</f>
        <v/>
      </c>
      <c r="AC1163" s="27">
        <f>IF(ISNUMBER($P1163),COUNTIFS($A$14:$A$1213,$A1163,$P$14:$P$1213,"&gt;"&amp;$P1163)+(COUNTIFS($A$14:$A$1213,$A1163,$P$14:$P$1213,"="&amp;$P1163)+1)/2,"")</f>
        <v/>
      </c>
      <c r="AD1163" s="27">
        <f>IF(ISNUMBER($Q1163),COUNTIFS($A$14:$A$1213,$A1163,$Q$14:$Q$1213,"&gt;"&amp;$Q1163)+(COUNTIFS($A$14:$A$1213,$A1163,$Q$14:$Q$1213,"="&amp;$Q1163)+1)/2,"")</f>
        <v/>
      </c>
      <c r="AE1163" s="27">
        <f>IF(ISNUMBER($R1163),COUNTIFS($A$14:$A$1213,$A1163,$R$14:$R$1213,"&gt;"&amp;$R1163)+(COUNTIFS($A$14:$A$1213,$A1163,$R$14:$R$1213,"="&amp;$R1163)+1)/2,"")</f>
        <v/>
      </c>
      <c r="AF1163" s="27">
        <f>IF(ISNUMBER($S1163),COUNTIFS($A$14:$A$1213,$A1163,$S$14:$S$1213,"&gt;"&amp;$S1163)+(COUNTIFS($A$14:$A$1213,$A1163,$S$14:$S$1213,"="&amp;$S1163)+1)/2,"")</f>
        <v/>
      </c>
      <c r="AG1163" s="27">
        <f>IF(ISNUMBER($T1163),COUNTIFS($A$14:$A$1213,$A1163,$T$14:$T$1213,"&gt;"&amp;$T1163)+(COUNTIFS($A$14:$A$1213,$A1163,$T$14:$T$1213,"="&amp;$T1163)+1)/2,"")</f>
        <v/>
      </c>
      <c r="AH1163" s="27">
        <f>IF(COUNT($AC1163:$AG1163)&lt;2,"",IF(MAX($AC1163:$AG1163)=MIN($AC1163:$AG1163),0,1))</f>
        <v/>
      </c>
      <c r="AI1163" s="27">
        <f>IF($A1163="","",IF(COUNTIF($A$14:$A1163,$A1163)=1,COUNTIF($AI$13:AI1162,"&gt;0")+1,""))</f>
        <v/>
      </c>
      <c r="AO1163" s="27">
        <f>IF($A1163="","",IF(AND(COUNTIFS($A$14:$A$1213,$A1163,$F$14:$F$1213,"&gt;=0")=2,IFERROR(INDEX($M$14:$M$313,MATCH($A1163,$H$14:$H$313,0)),"Yes")&lt;&gt;"Yes"),1,0))</f>
        <v/>
      </c>
    </row>
    <row r="1164">
      <c r="A1164" s="19">
        <f>IF('Enter messages'!A1164="","",'Enter messages'!A1164)</f>
        <v/>
      </c>
      <c r="B1164" s="20">
        <f>IF('Enter messages'!B1164="","",'Enter messages'!B1164)</f>
        <v/>
      </c>
      <c r="C1164" s="21">
        <f>IFERROR(AVERAGE(P1164:T1164),"")</f>
        <v/>
      </c>
      <c r="D1164" s="29" t="n"/>
      <c r="E1164" s="29" t="n"/>
      <c r="F1164" s="30">
        <f>IF(AND(ISNUMBER($D1164),ISNUMBER($E1164),$E1164&gt;0,$D1164&lt;=$E1164),$D1164/$E1164,"")</f>
        <v/>
      </c>
      <c r="P1164" s="26" t="n"/>
      <c r="Q1164" s="26" t="n"/>
      <c r="R1164" s="26" t="n"/>
      <c r="S1164" s="26" t="n"/>
      <c r="T1164" s="26" t="n"/>
      <c r="V1164" s="27">
        <f>IF(ISNUMBER($C1164),COUNTIFS($A$14:$A$1213,$A1164,$C$14:$C$1213,"&gt;"&amp;$C1164)+(COUNTIFS($A$14:$A$1213,$A1164,$C$14:$C$1213,"="&amp;$C1164)+1)/2,"")</f>
        <v/>
      </c>
      <c r="W1164" s="27">
        <f>IF(ISNUMBER($F1164),COUNTIFS($A$14:$A$1213,$A1164,$F$14:$F$1213,"&gt;"&amp;$F1164)+(COUNTIFS($A$14:$A$1213,$A1164,$F$14:$F$1213,"="&amp;$F1164)+1)/2,"")</f>
        <v/>
      </c>
      <c r="X1164" s="27">
        <f>IF(OR(NOT(ISNUMBER($V1164)),$AO1164=1),"",$V1164-(COUNTIFS($A$14:$A$1213,$A1164,$C$14:$C$1213,"&gt;=0")+1)/2)</f>
        <v/>
      </c>
      <c r="Y1164" s="27">
        <f>IF(OR(NOT(ISNUMBER($W1164)),$AO1164=1),"",$W1164-(COUNTIFS($A$14:$A$1213,$A1164,$F$14:$F$1213,"&gt;=0")+1)/2)</f>
        <v/>
      </c>
      <c r="Z1164" s="27">
        <f>IF(ISNUMBER($V1164),$A1164&amp;"|"&amp;$V1164,"")</f>
        <v/>
      </c>
      <c r="AA1164" s="27">
        <f>IF(ISNUMBER($W1164),$A1164&amp;"|"&amp;$W1164,"")</f>
        <v/>
      </c>
      <c r="AB1164" s="27">
        <f>IF(ISNUMBER($F1164),$A1164&amp;"|"&amp;$F1164,"")</f>
        <v/>
      </c>
      <c r="AC1164" s="27">
        <f>IF(ISNUMBER($P1164),COUNTIFS($A$14:$A$1213,$A1164,$P$14:$P$1213,"&gt;"&amp;$P1164)+(COUNTIFS($A$14:$A$1213,$A1164,$P$14:$P$1213,"="&amp;$P1164)+1)/2,"")</f>
        <v/>
      </c>
      <c r="AD1164" s="27">
        <f>IF(ISNUMBER($Q1164),COUNTIFS($A$14:$A$1213,$A1164,$Q$14:$Q$1213,"&gt;"&amp;$Q1164)+(COUNTIFS($A$14:$A$1213,$A1164,$Q$14:$Q$1213,"="&amp;$Q1164)+1)/2,"")</f>
        <v/>
      </c>
      <c r="AE1164" s="27">
        <f>IF(ISNUMBER($R1164),COUNTIFS($A$14:$A$1213,$A1164,$R$14:$R$1213,"&gt;"&amp;$R1164)+(COUNTIFS($A$14:$A$1213,$A1164,$R$14:$R$1213,"="&amp;$R1164)+1)/2,"")</f>
        <v/>
      </c>
      <c r="AF1164" s="27">
        <f>IF(ISNUMBER($S1164),COUNTIFS($A$14:$A$1213,$A1164,$S$14:$S$1213,"&gt;"&amp;$S1164)+(COUNTIFS($A$14:$A$1213,$A1164,$S$14:$S$1213,"="&amp;$S1164)+1)/2,"")</f>
        <v/>
      </c>
      <c r="AG1164" s="27">
        <f>IF(ISNUMBER($T1164),COUNTIFS($A$14:$A$1213,$A1164,$T$14:$T$1213,"&gt;"&amp;$T1164)+(COUNTIFS($A$14:$A$1213,$A1164,$T$14:$T$1213,"="&amp;$T1164)+1)/2,"")</f>
        <v/>
      </c>
      <c r="AH1164" s="27">
        <f>IF(COUNT($AC1164:$AG1164)&lt;2,"",IF(MAX($AC1164:$AG1164)=MIN($AC1164:$AG1164),0,1))</f>
        <v/>
      </c>
      <c r="AI1164" s="27">
        <f>IF($A1164="","",IF(COUNTIF($A$14:$A1164,$A1164)=1,COUNTIF($AI$13:AI1163,"&gt;0")+1,""))</f>
        <v/>
      </c>
      <c r="AO1164" s="27">
        <f>IF($A1164="","",IF(AND(COUNTIFS($A$14:$A$1213,$A1164,$F$14:$F$1213,"&gt;=0")=2,IFERROR(INDEX($M$14:$M$313,MATCH($A1164,$H$14:$H$313,0)),"Yes")&lt;&gt;"Yes"),1,0))</f>
        <v/>
      </c>
    </row>
    <row r="1165">
      <c r="A1165" s="19">
        <f>IF('Enter messages'!A1165="","",'Enter messages'!A1165)</f>
        <v/>
      </c>
      <c r="B1165" s="20">
        <f>IF('Enter messages'!B1165="","",'Enter messages'!B1165)</f>
        <v/>
      </c>
      <c r="C1165" s="21">
        <f>IFERROR(AVERAGE(P1165:T1165),"")</f>
        <v/>
      </c>
      <c r="D1165" s="29" t="n"/>
      <c r="E1165" s="29" t="n"/>
      <c r="F1165" s="30">
        <f>IF(AND(ISNUMBER($D1165),ISNUMBER($E1165),$E1165&gt;0,$D1165&lt;=$E1165),$D1165/$E1165,"")</f>
        <v/>
      </c>
      <c r="P1165" s="26" t="n"/>
      <c r="Q1165" s="26" t="n"/>
      <c r="R1165" s="26" t="n"/>
      <c r="S1165" s="26" t="n"/>
      <c r="T1165" s="26" t="n"/>
      <c r="V1165" s="27">
        <f>IF(ISNUMBER($C1165),COUNTIFS($A$14:$A$1213,$A1165,$C$14:$C$1213,"&gt;"&amp;$C1165)+(COUNTIFS($A$14:$A$1213,$A1165,$C$14:$C$1213,"="&amp;$C1165)+1)/2,"")</f>
        <v/>
      </c>
      <c r="W1165" s="27">
        <f>IF(ISNUMBER($F1165),COUNTIFS($A$14:$A$1213,$A1165,$F$14:$F$1213,"&gt;"&amp;$F1165)+(COUNTIFS($A$14:$A$1213,$A1165,$F$14:$F$1213,"="&amp;$F1165)+1)/2,"")</f>
        <v/>
      </c>
      <c r="X1165" s="27">
        <f>IF(OR(NOT(ISNUMBER($V1165)),$AO1165=1),"",$V1165-(COUNTIFS($A$14:$A$1213,$A1165,$C$14:$C$1213,"&gt;=0")+1)/2)</f>
        <v/>
      </c>
      <c r="Y1165" s="27">
        <f>IF(OR(NOT(ISNUMBER($W1165)),$AO1165=1),"",$W1165-(COUNTIFS($A$14:$A$1213,$A1165,$F$14:$F$1213,"&gt;=0")+1)/2)</f>
        <v/>
      </c>
      <c r="Z1165" s="27">
        <f>IF(ISNUMBER($V1165),$A1165&amp;"|"&amp;$V1165,"")</f>
        <v/>
      </c>
      <c r="AA1165" s="27">
        <f>IF(ISNUMBER($W1165),$A1165&amp;"|"&amp;$W1165,"")</f>
        <v/>
      </c>
      <c r="AB1165" s="27">
        <f>IF(ISNUMBER($F1165),$A1165&amp;"|"&amp;$F1165,"")</f>
        <v/>
      </c>
      <c r="AC1165" s="27">
        <f>IF(ISNUMBER($P1165),COUNTIFS($A$14:$A$1213,$A1165,$P$14:$P$1213,"&gt;"&amp;$P1165)+(COUNTIFS($A$14:$A$1213,$A1165,$P$14:$P$1213,"="&amp;$P1165)+1)/2,"")</f>
        <v/>
      </c>
      <c r="AD1165" s="27">
        <f>IF(ISNUMBER($Q1165),COUNTIFS($A$14:$A$1213,$A1165,$Q$14:$Q$1213,"&gt;"&amp;$Q1165)+(COUNTIFS($A$14:$A$1213,$A1165,$Q$14:$Q$1213,"="&amp;$Q1165)+1)/2,"")</f>
        <v/>
      </c>
      <c r="AE1165" s="27">
        <f>IF(ISNUMBER($R1165),COUNTIFS($A$14:$A$1213,$A1165,$R$14:$R$1213,"&gt;"&amp;$R1165)+(COUNTIFS($A$14:$A$1213,$A1165,$R$14:$R$1213,"="&amp;$R1165)+1)/2,"")</f>
        <v/>
      </c>
      <c r="AF1165" s="27">
        <f>IF(ISNUMBER($S1165),COUNTIFS($A$14:$A$1213,$A1165,$S$14:$S$1213,"&gt;"&amp;$S1165)+(COUNTIFS($A$14:$A$1213,$A1165,$S$14:$S$1213,"="&amp;$S1165)+1)/2,"")</f>
        <v/>
      </c>
      <c r="AG1165" s="27">
        <f>IF(ISNUMBER($T1165),COUNTIFS($A$14:$A$1213,$A1165,$T$14:$T$1213,"&gt;"&amp;$T1165)+(COUNTIFS($A$14:$A$1213,$A1165,$T$14:$T$1213,"="&amp;$T1165)+1)/2,"")</f>
        <v/>
      </c>
      <c r="AH1165" s="27">
        <f>IF(COUNT($AC1165:$AG1165)&lt;2,"",IF(MAX($AC1165:$AG1165)=MIN($AC1165:$AG1165),0,1))</f>
        <v/>
      </c>
      <c r="AI1165" s="27">
        <f>IF($A1165="","",IF(COUNTIF($A$14:$A1165,$A1165)=1,COUNTIF($AI$13:AI1164,"&gt;0")+1,""))</f>
        <v/>
      </c>
      <c r="AO1165" s="27">
        <f>IF($A1165="","",IF(AND(COUNTIFS($A$14:$A$1213,$A1165,$F$14:$F$1213,"&gt;=0")=2,IFERROR(INDEX($M$14:$M$313,MATCH($A1165,$H$14:$H$313,0)),"Yes")&lt;&gt;"Yes"),1,0))</f>
        <v/>
      </c>
    </row>
    <row r="1166">
      <c r="A1166" s="19">
        <f>IF('Enter messages'!A1166="","",'Enter messages'!A1166)</f>
        <v/>
      </c>
      <c r="B1166" s="20">
        <f>IF('Enter messages'!B1166="","",'Enter messages'!B1166)</f>
        <v/>
      </c>
      <c r="C1166" s="21">
        <f>IFERROR(AVERAGE(P1166:T1166),"")</f>
        <v/>
      </c>
      <c r="D1166" s="29" t="n"/>
      <c r="E1166" s="29" t="n"/>
      <c r="F1166" s="30">
        <f>IF(AND(ISNUMBER($D1166),ISNUMBER($E1166),$E1166&gt;0,$D1166&lt;=$E1166),$D1166/$E1166,"")</f>
        <v/>
      </c>
      <c r="P1166" s="26" t="n"/>
      <c r="Q1166" s="26" t="n"/>
      <c r="R1166" s="26" t="n"/>
      <c r="S1166" s="26" t="n"/>
      <c r="T1166" s="26" t="n"/>
      <c r="V1166" s="27">
        <f>IF(ISNUMBER($C1166),COUNTIFS($A$14:$A$1213,$A1166,$C$14:$C$1213,"&gt;"&amp;$C1166)+(COUNTIFS($A$14:$A$1213,$A1166,$C$14:$C$1213,"="&amp;$C1166)+1)/2,"")</f>
        <v/>
      </c>
      <c r="W1166" s="27">
        <f>IF(ISNUMBER($F1166),COUNTIFS($A$14:$A$1213,$A1166,$F$14:$F$1213,"&gt;"&amp;$F1166)+(COUNTIFS($A$14:$A$1213,$A1166,$F$14:$F$1213,"="&amp;$F1166)+1)/2,"")</f>
        <v/>
      </c>
      <c r="X1166" s="27">
        <f>IF(OR(NOT(ISNUMBER($V1166)),$AO1166=1),"",$V1166-(COUNTIFS($A$14:$A$1213,$A1166,$C$14:$C$1213,"&gt;=0")+1)/2)</f>
        <v/>
      </c>
      <c r="Y1166" s="27">
        <f>IF(OR(NOT(ISNUMBER($W1166)),$AO1166=1),"",$W1166-(COUNTIFS($A$14:$A$1213,$A1166,$F$14:$F$1213,"&gt;=0")+1)/2)</f>
        <v/>
      </c>
      <c r="Z1166" s="27">
        <f>IF(ISNUMBER($V1166),$A1166&amp;"|"&amp;$V1166,"")</f>
        <v/>
      </c>
      <c r="AA1166" s="27">
        <f>IF(ISNUMBER($W1166),$A1166&amp;"|"&amp;$W1166,"")</f>
        <v/>
      </c>
      <c r="AB1166" s="27">
        <f>IF(ISNUMBER($F1166),$A1166&amp;"|"&amp;$F1166,"")</f>
        <v/>
      </c>
      <c r="AC1166" s="27">
        <f>IF(ISNUMBER($P1166),COUNTIFS($A$14:$A$1213,$A1166,$P$14:$P$1213,"&gt;"&amp;$P1166)+(COUNTIFS($A$14:$A$1213,$A1166,$P$14:$P$1213,"="&amp;$P1166)+1)/2,"")</f>
        <v/>
      </c>
      <c r="AD1166" s="27">
        <f>IF(ISNUMBER($Q1166),COUNTIFS($A$14:$A$1213,$A1166,$Q$14:$Q$1213,"&gt;"&amp;$Q1166)+(COUNTIFS($A$14:$A$1213,$A1166,$Q$14:$Q$1213,"="&amp;$Q1166)+1)/2,"")</f>
        <v/>
      </c>
      <c r="AE1166" s="27">
        <f>IF(ISNUMBER($R1166),COUNTIFS($A$14:$A$1213,$A1166,$R$14:$R$1213,"&gt;"&amp;$R1166)+(COUNTIFS($A$14:$A$1213,$A1166,$R$14:$R$1213,"="&amp;$R1166)+1)/2,"")</f>
        <v/>
      </c>
      <c r="AF1166" s="27">
        <f>IF(ISNUMBER($S1166),COUNTIFS($A$14:$A$1213,$A1166,$S$14:$S$1213,"&gt;"&amp;$S1166)+(COUNTIFS($A$14:$A$1213,$A1166,$S$14:$S$1213,"="&amp;$S1166)+1)/2,"")</f>
        <v/>
      </c>
      <c r="AG1166" s="27">
        <f>IF(ISNUMBER($T1166),COUNTIFS($A$14:$A$1213,$A1166,$T$14:$T$1213,"&gt;"&amp;$T1166)+(COUNTIFS($A$14:$A$1213,$A1166,$T$14:$T$1213,"="&amp;$T1166)+1)/2,"")</f>
        <v/>
      </c>
      <c r="AH1166" s="27">
        <f>IF(COUNT($AC1166:$AG1166)&lt;2,"",IF(MAX($AC1166:$AG1166)=MIN($AC1166:$AG1166),0,1))</f>
        <v/>
      </c>
      <c r="AI1166" s="27">
        <f>IF($A1166="","",IF(COUNTIF($A$14:$A1166,$A1166)=1,COUNTIF($AI$13:AI1165,"&gt;0")+1,""))</f>
        <v/>
      </c>
      <c r="AO1166" s="27">
        <f>IF($A1166="","",IF(AND(COUNTIFS($A$14:$A$1213,$A1166,$F$14:$F$1213,"&gt;=0")=2,IFERROR(INDEX($M$14:$M$313,MATCH($A1166,$H$14:$H$313,0)),"Yes")&lt;&gt;"Yes"),1,0))</f>
        <v/>
      </c>
    </row>
    <row r="1167">
      <c r="A1167" s="19">
        <f>IF('Enter messages'!A1167="","",'Enter messages'!A1167)</f>
        <v/>
      </c>
      <c r="B1167" s="20">
        <f>IF('Enter messages'!B1167="","",'Enter messages'!B1167)</f>
        <v/>
      </c>
      <c r="C1167" s="21">
        <f>IFERROR(AVERAGE(P1167:T1167),"")</f>
        <v/>
      </c>
      <c r="D1167" s="29" t="n"/>
      <c r="E1167" s="29" t="n"/>
      <c r="F1167" s="30">
        <f>IF(AND(ISNUMBER($D1167),ISNUMBER($E1167),$E1167&gt;0,$D1167&lt;=$E1167),$D1167/$E1167,"")</f>
        <v/>
      </c>
      <c r="P1167" s="26" t="n"/>
      <c r="Q1167" s="26" t="n"/>
      <c r="R1167" s="26" t="n"/>
      <c r="S1167" s="26" t="n"/>
      <c r="T1167" s="26" t="n"/>
      <c r="V1167" s="27">
        <f>IF(ISNUMBER($C1167),COUNTIFS($A$14:$A$1213,$A1167,$C$14:$C$1213,"&gt;"&amp;$C1167)+(COUNTIFS($A$14:$A$1213,$A1167,$C$14:$C$1213,"="&amp;$C1167)+1)/2,"")</f>
        <v/>
      </c>
      <c r="W1167" s="27">
        <f>IF(ISNUMBER($F1167),COUNTIFS($A$14:$A$1213,$A1167,$F$14:$F$1213,"&gt;"&amp;$F1167)+(COUNTIFS($A$14:$A$1213,$A1167,$F$14:$F$1213,"="&amp;$F1167)+1)/2,"")</f>
        <v/>
      </c>
      <c r="X1167" s="27">
        <f>IF(OR(NOT(ISNUMBER($V1167)),$AO1167=1),"",$V1167-(COUNTIFS($A$14:$A$1213,$A1167,$C$14:$C$1213,"&gt;=0")+1)/2)</f>
        <v/>
      </c>
      <c r="Y1167" s="27">
        <f>IF(OR(NOT(ISNUMBER($W1167)),$AO1167=1),"",$W1167-(COUNTIFS($A$14:$A$1213,$A1167,$F$14:$F$1213,"&gt;=0")+1)/2)</f>
        <v/>
      </c>
      <c r="Z1167" s="27">
        <f>IF(ISNUMBER($V1167),$A1167&amp;"|"&amp;$V1167,"")</f>
        <v/>
      </c>
      <c r="AA1167" s="27">
        <f>IF(ISNUMBER($W1167),$A1167&amp;"|"&amp;$W1167,"")</f>
        <v/>
      </c>
      <c r="AB1167" s="27">
        <f>IF(ISNUMBER($F1167),$A1167&amp;"|"&amp;$F1167,"")</f>
        <v/>
      </c>
      <c r="AC1167" s="27">
        <f>IF(ISNUMBER($P1167),COUNTIFS($A$14:$A$1213,$A1167,$P$14:$P$1213,"&gt;"&amp;$P1167)+(COUNTIFS($A$14:$A$1213,$A1167,$P$14:$P$1213,"="&amp;$P1167)+1)/2,"")</f>
        <v/>
      </c>
      <c r="AD1167" s="27">
        <f>IF(ISNUMBER($Q1167),COUNTIFS($A$14:$A$1213,$A1167,$Q$14:$Q$1213,"&gt;"&amp;$Q1167)+(COUNTIFS($A$14:$A$1213,$A1167,$Q$14:$Q$1213,"="&amp;$Q1167)+1)/2,"")</f>
        <v/>
      </c>
      <c r="AE1167" s="27">
        <f>IF(ISNUMBER($R1167),COUNTIFS($A$14:$A$1213,$A1167,$R$14:$R$1213,"&gt;"&amp;$R1167)+(COUNTIFS($A$14:$A$1213,$A1167,$R$14:$R$1213,"="&amp;$R1167)+1)/2,"")</f>
        <v/>
      </c>
      <c r="AF1167" s="27">
        <f>IF(ISNUMBER($S1167),COUNTIFS($A$14:$A$1213,$A1167,$S$14:$S$1213,"&gt;"&amp;$S1167)+(COUNTIFS($A$14:$A$1213,$A1167,$S$14:$S$1213,"="&amp;$S1167)+1)/2,"")</f>
        <v/>
      </c>
      <c r="AG1167" s="27">
        <f>IF(ISNUMBER($T1167),COUNTIFS($A$14:$A$1213,$A1167,$T$14:$T$1213,"&gt;"&amp;$T1167)+(COUNTIFS($A$14:$A$1213,$A1167,$T$14:$T$1213,"="&amp;$T1167)+1)/2,"")</f>
        <v/>
      </c>
      <c r="AH1167" s="27">
        <f>IF(COUNT($AC1167:$AG1167)&lt;2,"",IF(MAX($AC1167:$AG1167)=MIN($AC1167:$AG1167),0,1))</f>
        <v/>
      </c>
      <c r="AI1167" s="27">
        <f>IF($A1167="","",IF(COUNTIF($A$14:$A1167,$A1167)=1,COUNTIF($AI$13:AI1166,"&gt;0")+1,""))</f>
        <v/>
      </c>
      <c r="AO1167" s="27">
        <f>IF($A1167="","",IF(AND(COUNTIFS($A$14:$A$1213,$A1167,$F$14:$F$1213,"&gt;=0")=2,IFERROR(INDEX($M$14:$M$313,MATCH($A1167,$H$14:$H$313,0)),"Yes")&lt;&gt;"Yes"),1,0))</f>
        <v/>
      </c>
    </row>
    <row r="1168">
      <c r="A1168" s="19">
        <f>IF('Enter messages'!A1168="","",'Enter messages'!A1168)</f>
        <v/>
      </c>
      <c r="B1168" s="20">
        <f>IF('Enter messages'!B1168="","",'Enter messages'!B1168)</f>
        <v/>
      </c>
      <c r="C1168" s="21">
        <f>IFERROR(AVERAGE(P1168:T1168),"")</f>
        <v/>
      </c>
      <c r="D1168" s="29" t="n"/>
      <c r="E1168" s="29" t="n"/>
      <c r="F1168" s="30">
        <f>IF(AND(ISNUMBER($D1168),ISNUMBER($E1168),$E1168&gt;0,$D1168&lt;=$E1168),$D1168/$E1168,"")</f>
        <v/>
      </c>
      <c r="P1168" s="26" t="n"/>
      <c r="Q1168" s="26" t="n"/>
      <c r="R1168" s="26" t="n"/>
      <c r="S1168" s="26" t="n"/>
      <c r="T1168" s="26" t="n"/>
      <c r="V1168" s="27">
        <f>IF(ISNUMBER($C1168),COUNTIFS($A$14:$A$1213,$A1168,$C$14:$C$1213,"&gt;"&amp;$C1168)+(COUNTIFS($A$14:$A$1213,$A1168,$C$14:$C$1213,"="&amp;$C1168)+1)/2,"")</f>
        <v/>
      </c>
      <c r="W1168" s="27">
        <f>IF(ISNUMBER($F1168),COUNTIFS($A$14:$A$1213,$A1168,$F$14:$F$1213,"&gt;"&amp;$F1168)+(COUNTIFS($A$14:$A$1213,$A1168,$F$14:$F$1213,"="&amp;$F1168)+1)/2,"")</f>
        <v/>
      </c>
      <c r="X1168" s="27">
        <f>IF(OR(NOT(ISNUMBER($V1168)),$AO1168=1),"",$V1168-(COUNTIFS($A$14:$A$1213,$A1168,$C$14:$C$1213,"&gt;=0")+1)/2)</f>
        <v/>
      </c>
      <c r="Y1168" s="27">
        <f>IF(OR(NOT(ISNUMBER($W1168)),$AO1168=1),"",$W1168-(COUNTIFS($A$14:$A$1213,$A1168,$F$14:$F$1213,"&gt;=0")+1)/2)</f>
        <v/>
      </c>
      <c r="Z1168" s="27">
        <f>IF(ISNUMBER($V1168),$A1168&amp;"|"&amp;$V1168,"")</f>
        <v/>
      </c>
      <c r="AA1168" s="27">
        <f>IF(ISNUMBER($W1168),$A1168&amp;"|"&amp;$W1168,"")</f>
        <v/>
      </c>
      <c r="AB1168" s="27">
        <f>IF(ISNUMBER($F1168),$A1168&amp;"|"&amp;$F1168,"")</f>
        <v/>
      </c>
      <c r="AC1168" s="27">
        <f>IF(ISNUMBER($P1168),COUNTIFS($A$14:$A$1213,$A1168,$P$14:$P$1213,"&gt;"&amp;$P1168)+(COUNTIFS($A$14:$A$1213,$A1168,$P$14:$P$1213,"="&amp;$P1168)+1)/2,"")</f>
        <v/>
      </c>
      <c r="AD1168" s="27">
        <f>IF(ISNUMBER($Q1168),COUNTIFS($A$14:$A$1213,$A1168,$Q$14:$Q$1213,"&gt;"&amp;$Q1168)+(COUNTIFS($A$14:$A$1213,$A1168,$Q$14:$Q$1213,"="&amp;$Q1168)+1)/2,"")</f>
        <v/>
      </c>
      <c r="AE1168" s="27">
        <f>IF(ISNUMBER($R1168),COUNTIFS($A$14:$A$1213,$A1168,$R$14:$R$1213,"&gt;"&amp;$R1168)+(COUNTIFS($A$14:$A$1213,$A1168,$R$14:$R$1213,"="&amp;$R1168)+1)/2,"")</f>
        <v/>
      </c>
      <c r="AF1168" s="27">
        <f>IF(ISNUMBER($S1168),COUNTIFS($A$14:$A$1213,$A1168,$S$14:$S$1213,"&gt;"&amp;$S1168)+(COUNTIFS($A$14:$A$1213,$A1168,$S$14:$S$1213,"="&amp;$S1168)+1)/2,"")</f>
        <v/>
      </c>
      <c r="AG1168" s="27">
        <f>IF(ISNUMBER($T1168),COUNTIFS($A$14:$A$1213,$A1168,$T$14:$T$1213,"&gt;"&amp;$T1168)+(COUNTIFS($A$14:$A$1213,$A1168,$T$14:$T$1213,"="&amp;$T1168)+1)/2,"")</f>
        <v/>
      </c>
      <c r="AH1168" s="27">
        <f>IF(COUNT($AC1168:$AG1168)&lt;2,"",IF(MAX($AC1168:$AG1168)=MIN($AC1168:$AG1168),0,1))</f>
        <v/>
      </c>
      <c r="AI1168" s="27">
        <f>IF($A1168="","",IF(COUNTIF($A$14:$A1168,$A1168)=1,COUNTIF($AI$13:AI1167,"&gt;0")+1,""))</f>
        <v/>
      </c>
      <c r="AO1168" s="27">
        <f>IF($A1168="","",IF(AND(COUNTIFS($A$14:$A$1213,$A1168,$F$14:$F$1213,"&gt;=0")=2,IFERROR(INDEX($M$14:$M$313,MATCH($A1168,$H$14:$H$313,0)),"Yes")&lt;&gt;"Yes"),1,0))</f>
        <v/>
      </c>
    </row>
    <row r="1169">
      <c r="A1169" s="19">
        <f>IF('Enter messages'!A1169="","",'Enter messages'!A1169)</f>
        <v/>
      </c>
      <c r="B1169" s="20">
        <f>IF('Enter messages'!B1169="","",'Enter messages'!B1169)</f>
        <v/>
      </c>
      <c r="C1169" s="21">
        <f>IFERROR(AVERAGE(P1169:T1169),"")</f>
        <v/>
      </c>
      <c r="D1169" s="29" t="n"/>
      <c r="E1169" s="29" t="n"/>
      <c r="F1169" s="30">
        <f>IF(AND(ISNUMBER($D1169),ISNUMBER($E1169),$E1169&gt;0,$D1169&lt;=$E1169),$D1169/$E1169,"")</f>
        <v/>
      </c>
      <c r="P1169" s="26" t="n"/>
      <c r="Q1169" s="26" t="n"/>
      <c r="R1169" s="26" t="n"/>
      <c r="S1169" s="26" t="n"/>
      <c r="T1169" s="26" t="n"/>
      <c r="V1169" s="27">
        <f>IF(ISNUMBER($C1169),COUNTIFS($A$14:$A$1213,$A1169,$C$14:$C$1213,"&gt;"&amp;$C1169)+(COUNTIFS($A$14:$A$1213,$A1169,$C$14:$C$1213,"="&amp;$C1169)+1)/2,"")</f>
        <v/>
      </c>
      <c r="W1169" s="27">
        <f>IF(ISNUMBER($F1169),COUNTIFS($A$14:$A$1213,$A1169,$F$14:$F$1213,"&gt;"&amp;$F1169)+(COUNTIFS($A$14:$A$1213,$A1169,$F$14:$F$1213,"="&amp;$F1169)+1)/2,"")</f>
        <v/>
      </c>
      <c r="X1169" s="27">
        <f>IF(OR(NOT(ISNUMBER($V1169)),$AO1169=1),"",$V1169-(COUNTIFS($A$14:$A$1213,$A1169,$C$14:$C$1213,"&gt;=0")+1)/2)</f>
        <v/>
      </c>
      <c r="Y1169" s="27">
        <f>IF(OR(NOT(ISNUMBER($W1169)),$AO1169=1),"",$W1169-(COUNTIFS($A$14:$A$1213,$A1169,$F$14:$F$1213,"&gt;=0")+1)/2)</f>
        <v/>
      </c>
      <c r="Z1169" s="27">
        <f>IF(ISNUMBER($V1169),$A1169&amp;"|"&amp;$V1169,"")</f>
        <v/>
      </c>
      <c r="AA1169" s="27">
        <f>IF(ISNUMBER($W1169),$A1169&amp;"|"&amp;$W1169,"")</f>
        <v/>
      </c>
      <c r="AB1169" s="27">
        <f>IF(ISNUMBER($F1169),$A1169&amp;"|"&amp;$F1169,"")</f>
        <v/>
      </c>
      <c r="AC1169" s="27">
        <f>IF(ISNUMBER($P1169),COUNTIFS($A$14:$A$1213,$A1169,$P$14:$P$1213,"&gt;"&amp;$P1169)+(COUNTIFS($A$14:$A$1213,$A1169,$P$14:$P$1213,"="&amp;$P1169)+1)/2,"")</f>
        <v/>
      </c>
      <c r="AD1169" s="27">
        <f>IF(ISNUMBER($Q1169),COUNTIFS($A$14:$A$1213,$A1169,$Q$14:$Q$1213,"&gt;"&amp;$Q1169)+(COUNTIFS($A$14:$A$1213,$A1169,$Q$14:$Q$1213,"="&amp;$Q1169)+1)/2,"")</f>
        <v/>
      </c>
      <c r="AE1169" s="27">
        <f>IF(ISNUMBER($R1169),COUNTIFS($A$14:$A$1213,$A1169,$R$14:$R$1213,"&gt;"&amp;$R1169)+(COUNTIFS($A$14:$A$1213,$A1169,$R$14:$R$1213,"="&amp;$R1169)+1)/2,"")</f>
        <v/>
      </c>
      <c r="AF1169" s="27">
        <f>IF(ISNUMBER($S1169),COUNTIFS($A$14:$A$1213,$A1169,$S$14:$S$1213,"&gt;"&amp;$S1169)+(COUNTIFS($A$14:$A$1213,$A1169,$S$14:$S$1213,"="&amp;$S1169)+1)/2,"")</f>
        <v/>
      </c>
      <c r="AG1169" s="27">
        <f>IF(ISNUMBER($T1169),COUNTIFS($A$14:$A$1213,$A1169,$T$14:$T$1213,"&gt;"&amp;$T1169)+(COUNTIFS($A$14:$A$1213,$A1169,$T$14:$T$1213,"="&amp;$T1169)+1)/2,"")</f>
        <v/>
      </c>
      <c r="AH1169" s="27">
        <f>IF(COUNT($AC1169:$AG1169)&lt;2,"",IF(MAX($AC1169:$AG1169)=MIN($AC1169:$AG1169),0,1))</f>
        <v/>
      </c>
      <c r="AI1169" s="27">
        <f>IF($A1169="","",IF(COUNTIF($A$14:$A1169,$A1169)=1,COUNTIF($AI$13:AI1168,"&gt;0")+1,""))</f>
        <v/>
      </c>
      <c r="AO1169" s="27">
        <f>IF($A1169="","",IF(AND(COUNTIFS($A$14:$A$1213,$A1169,$F$14:$F$1213,"&gt;=0")=2,IFERROR(INDEX($M$14:$M$313,MATCH($A1169,$H$14:$H$313,0)),"Yes")&lt;&gt;"Yes"),1,0))</f>
        <v/>
      </c>
    </row>
    <row r="1170">
      <c r="A1170" s="19">
        <f>IF('Enter messages'!A1170="","",'Enter messages'!A1170)</f>
        <v/>
      </c>
      <c r="B1170" s="20">
        <f>IF('Enter messages'!B1170="","",'Enter messages'!B1170)</f>
        <v/>
      </c>
      <c r="C1170" s="21">
        <f>IFERROR(AVERAGE(P1170:T1170),"")</f>
        <v/>
      </c>
      <c r="D1170" s="29" t="n"/>
      <c r="E1170" s="29" t="n"/>
      <c r="F1170" s="30">
        <f>IF(AND(ISNUMBER($D1170),ISNUMBER($E1170),$E1170&gt;0,$D1170&lt;=$E1170),$D1170/$E1170,"")</f>
        <v/>
      </c>
      <c r="P1170" s="26" t="n"/>
      <c r="Q1170" s="26" t="n"/>
      <c r="R1170" s="26" t="n"/>
      <c r="S1170" s="26" t="n"/>
      <c r="T1170" s="26" t="n"/>
      <c r="V1170" s="27">
        <f>IF(ISNUMBER($C1170),COUNTIFS($A$14:$A$1213,$A1170,$C$14:$C$1213,"&gt;"&amp;$C1170)+(COUNTIFS($A$14:$A$1213,$A1170,$C$14:$C$1213,"="&amp;$C1170)+1)/2,"")</f>
        <v/>
      </c>
      <c r="W1170" s="27">
        <f>IF(ISNUMBER($F1170),COUNTIFS($A$14:$A$1213,$A1170,$F$14:$F$1213,"&gt;"&amp;$F1170)+(COUNTIFS($A$14:$A$1213,$A1170,$F$14:$F$1213,"="&amp;$F1170)+1)/2,"")</f>
        <v/>
      </c>
      <c r="X1170" s="27">
        <f>IF(OR(NOT(ISNUMBER($V1170)),$AO1170=1),"",$V1170-(COUNTIFS($A$14:$A$1213,$A1170,$C$14:$C$1213,"&gt;=0")+1)/2)</f>
        <v/>
      </c>
      <c r="Y1170" s="27">
        <f>IF(OR(NOT(ISNUMBER($W1170)),$AO1170=1),"",$W1170-(COUNTIFS($A$14:$A$1213,$A1170,$F$14:$F$1213,"&gt;=0")+1)/2)</f>
        <v/>
      </c>
      <c r="Z1170" s="27">
        <f>IF(ISNUMBER($V1170),$A1170&amp;"|"&amp;$V1170,"")</f>
        <v/>
      </c>
      <c r="AA1170" s="27">
        <f>IF(ISNUMBER($W1170),$A1170&amp;"|"&amp;$W1170,"")</f>
        <v/>
      </c>
      <c r="AB1170" s="27">
        <f>IF(ISNUMBER($F1170),$A1170&amp;"|"&amp;$F1170,"")</f>
        <v/>
      </c>
      <c r="AC1170" s="27">
        <f>IF(ISNUMBER($P1170),COUNTIFS($A$14:$A$1213,$A1170,$P$14:$P$1213,"&gt;"&amp;$P1170)+(COUNTIFS($A$14:$A$1213,$A1170,$P$14:$P$1213,"="&amp;$P1170)+1)/2,"")</f>
        <v/>
      </c>
      <c r="AD1170" s="27">
        <f>IF(ISNUMBER($Q1170),COUNTIFS($A$14:$A$1213,$A1170,$Q$14:$Q$1213,"&gt;"&amp;$Q1170)+(COUNTIFS($A$14:$A$1213,$A1170,$Q$14:$Q$1213,"="&amp;$Q1170)+1)/2,"")</f>
        <v/>
      </c>
      <c r="AE1170" s="27">
        <f>IF(ISNUMBER($R1170),COUNTIFS($A$14:$A$1213,$A1170,$R$14:$R$1213,"&gt;"&amp;$R1170)+(COUNTIFS($A$14:$A$1213,$A1170,$R$14:$R$1213,"="&amp;$R1170)+1)/2,"")</f>
        <v/>
      </c>
      <c r="AF1170" s="27">
        <f>IF(ISNUMBER($S1170),COUNTIFS($A$14:$A$1213,$A1170,$S$14:$S$1213,"&gt;"&amp;$S1170)+(COUNTIFS($A$14:$A$1213,$A1170,$S$14:$S$1213,"="&amp;$S1170)+1)/2,"")</f>
        <v/>
      </c>
      <c r="AG1170" s="27">
        <f>IF(ISNUMBER($T1170),COUNTIFS($A$14:$A$1213,$A1170,$T$14:$T$1213,"&gt;"&amp;$T1170)+(COUNTIFS($A$14:$A$1213,$A1170,$T$14:$T$1213,"="&amp;$T1170)+1)/2,"")</f>
        <v/>
      </c>
      <c r="AH1170" s="27">
        <f>IF(COUNT($AC1170:$AG1170)&lt;2,"",IF(MAX($AC1170:$AG1170)=MIN($AC1170:$AG1170),0,1))</f>
        <v/>
      </c>
      <c r="AI1170" s="27">
        <f>IF($A1170="","",IF(COUNTIF($A$14:$A1170,$A1170)=1,COUNTIF($AI$13:AI1169,"&gt;0")+1,""))</f>
        <v/>
      </c>
      <c r="AO1170" s="27">
        <f>IF($A1170="","",IF(AND(COUNTIFS($A$14:$A$1213,$A1170,$F$14:$F$1213,"&gt;=0")=2,IFERROR(INDEX($M$14:$M$313,MATCH($A1170,$H$14:$H$313,0)),"Yes")&lt;&gt;"Yes"),1,0))</f>
        <v/>
      </c>
    </row>
    <row r="1171">
      <c r="A1171" s="19">
        <f>IF('Enter messages'!A1171="","",'Enter messages'!A1171)</f>
        <v/>
      </c>
      <c r="B1171" s="20">
        <f>IF('Enter messages'!B1171="","",'Enter messages'!B1171)</f>
        <v/>
      </c>
      <c r="C1171" s="21">
        <f>IFERROR(AVERAGE(P1171:T1171),"")</f>
        <v/>
      </c>
      <c r="D1171" s="29" t="n"/>
      <c r="E1171" s="29" t="n"/>
      <c r="F1171" s="30">
        <f>IF(AND(ISNUMBER($D1171),ISNUMBER($E1171),$E1171&gt;0,$D1171&lt;=$E1171),$D1171/$E1171,"")</f>
        <v/>
      </c>
      <c r="P1171" s="26" t="n"/>
      <c r="Q1171" s="26" t="n"/>
      <c r="R1171" s="26" t="n"/>
      <c r="S1171" s="26" t="n"/>
      <c r="T1171" s="26" t="n"/>
      <c r="V1171" s="27">
        <f>IF(ISNUMBER($C1171),COUNTIFS($A$14:$A$1213,$A1171,$C$14:$C$1213,"&gt;"&amp;$C1171)+(COUNTIFS($A$14:$A$1213,$A1171,$C$14:$C$1213,"="&amp;$C1171)+1)/2,"")</f>
        <v/>
      </c>
      <c r="W1171" s="27">
        <f>IF(ISNUMBER($F1171),COUNTIFS($A$14:$A$1213,$A1171,$F$14:$F$1213,"&gt;"&amp;$F1171)+(COUNTIFS($A$14:$A$1213,$A1171,$F$14:$F$1213,"="&amp;$F1171)+1)/2,"")</f>
        <v/>
      </c>
      <c r="X1171" s="27">
        <f>IF(OR(NOT(ISNUMBER($V1171)),$AO1171=1),"",$V1171-(COUNTIFS($A$14:$A$1213,$A1171,$C$14:$C$1213,"&gt;=0")+1)/2)</f>
        <v/>
      </c>
      <c r="Y1171" s="27">
        <f>IF(OR(NOT(ISNUMBER($W1171)),$AO1171=1),"",$W1171-(COUNTIFS($A$14:$A$1213,$A1171,$F$14:$F$1213,"&gt;=0")+1)/2)</f>
        <v/>
      </c>
      <c r="Z1171" s="27">
        <f>IF(ISNUMBER($V1171),$A1171&amp;"|"&amp;$V1171,"")</f>
        <v/>
      </c>
      <c r="AA1171" s="27">
        <f>IF(ISNUMBER($W1171),$A1171&amp;"|"&amp;$W1171,"")</f>
        <v/>
      </c>
      <c r="AB1171" s="27">
        <f>IF(ISNUMBER($F1171),$A1171&amp;"|"&amp;$F1171,"")</f>
        <v/>
      </c>
      <c r="AC1171" s="27">
        <f>IF(ISNUMBER($P1171),COUNTIFS($A$14:$A$1213,$A1171,$P$14:$P$1213,"&gt;"&amp;$P1171)+(COUNTIFS($A$14:$A$1213,$A1171,$P$14:$P$1213,"="&amp;$P1171)+1)/2,"")</f>
        <v/>
      </c>
      <c r="AD1171" s="27">
        <f>IF(ISNUMBER($Q1171),COUNTIFS($A$14:$A$1213,$A1171,$Q$14:$Q$1213,"&gt;"&amp;$Q1171)+(COUNTIFS($A$14:$A$1213,$A1171,$Q$14:$Q$1213,"="&amp;$Q1171)+1)/2,"")</f>
        <v/>
      </c>
      <c r="AE1171" s="27">
        <f>IF(ISNUMBER($R1171),COUNTIFS($A$14:$A$1213,$A1171,$R$14:$R$1213,"&gt;"&amp;$R1171)+(COUNTIFS($A$14:$A$1213,$A1171,$R$14:$R$1213,"="&amp;$R1171)+1)/2,"")</f>
        <v/>
      </c>
      <c r="AF1171" s="27">
        <f>IF(ISNUMBER($S1171),COUNTIFS($A$14:$A$1213,$A1171,$S$14:$S$1213,"&gt;"&amp;$S1171)+(COUNTIFS($A$14:$A$1213,$A1171,$S$14:$S$1213,"="&amp;$S1171)+1)/2,"")</f>
        <v/>
      </c>
      <c r="AG1171" s="27">
        <f>IF(ISNUMBER($T1171),COUNTIFS($A$14:$A$1213,$A1171,$T$14:$T$1213,"&gt;"&amp;$T1171)+(COUNTIFS($A$14:$A$1213,$A1171,$T$14:$T$1213,"="&amp;$T1171)+1)/2,"")</f>
        <v/>
      </c>
      <c r="AH1171" s="27">
        <f>IF(COUNT($AC1171:$AG1171)&lt;2,"",IF(MAX($AC1171:$AG1171)=MIN($AC1171:$AG1171),0,1))</f>
        <v/>
      </c>
      <c r="AI1171" s="27">
        <f>IF($A1171="","",IF(COUNTIF($A$14:$A1171,$A1171)=1,COUNTIF($AI$13:AI1170,"&gt;0")+1,""))</f>
        <v/>
      </c>
      <c r="AO1171" s="27">
        <f>IF($A1171="","",IF(AND(COUNTIFS($A$14:$A$1213,$A1171,$F$14:$F$1213,"&gt;=0")=2,IFERROR(INDEX($M$14:$M$313,MATCH($A1171,$H$14:$H$313,0)),"Yes")&lt;&gt;"Yes"),1,0))</f>
        <v/>
      </c>
    </row>
    <row r="1172">
      <c r="A1172" s="19">
        <f>IF('Enter messages'!A1172="","",'Enter messages'!A1172)</f>
        <v/>
      </c>
      <c r="B1172" s="20">
        <f>IF('Enter messages'!B1172="","",'Enter messages'!B1172)</f>
        <v/>
      </c>
      <c r="C1172" s="21">
        <f>IFERROR(AVERAGE(P1172:T1172),"")</f>
        <v/>
      </c>
      <c r="D1172" s="29" t="n"/>
      <c r="E1172" s="29" t="n"/>
      <c r="F1172" s="30">
        <f>IF(AND(ISNUMBER($D1172),ISNUMBER($E1172),$E1172&gt;0,$D1172&lt;=$E1172),$D1172/$E1172,"")</f>
        <v/>
      </c>
      <c r="P1172" s="26" t="n"/>
      <c r="Q1172" s="26" t="n"/>
      <c r="R1172" s="26" t="n"/>
      <c r="S1172" s="26" t="n"/>
      <c r="T1172" s="26" t="n"/>
      <c r="V1172" s="27">
        <f>IF(ISNUMBER($C1172),COUNTIFS($A$14:$A$1213,$A1172,$C$14:$C$1213,"&gt;"&amp;$C1172)+(COUNTIFS($A$14:$A$1213,$A1172,$C$14:$C$1213,"="&amp;$C1172)+1)/2,"")</f>
        <v/>
      </c>
      <c r="W1172" s="27">
        <f>IF(ISNUMBER($F1172),COUNTIFS($A$14:$A$1213,$A1172,$F$14:$F$1213,"&gt;"&amp;$F1172)+(COUNTIFS($A$14:$A$1213,$A1172,$F$14:$F$1213,"="&amp;$F1172)+1)/2,"")</f>
        <v/>
      </c>
      <c r="X1172" s="27">
        <f>IF(OR(NOT(ISNUMBER($V1172)),$AO1172=1),"",$V1172-(COUNTIFS($A$14:$A$1213,$A1172,$C$14:$C$1213,"&gt;=0")+1)/2)</f>
        <v/>
      </c>
      <c r="Y1172" s="27">
        <f>IF(OR(NOT(ISNUMBER($W1172)),$AO1172=1),"",$W1172-(COUNTIFS($A$14:$A$1213,$A1172,$F$14:$F$1213,"&gt;=0")+1)/2)</f>
        <v/>
      </c>
      <c r="Z1172" s="27">
        <f>IF(ISNUMBER($V1172),$A1172&amp;"|"&amp;$V1172,"")</f>
        <v/>
      </c>
      <c r="AA1172" s="27">
        <f>IF(ISNUMBER($W1172),$A1172&amp;"|"&amp;$W1172,"")</f>
        <v/>
      </c>
      <c r="AB1172" s="27">
        <f>IF(ISNUMBER($F1172),$A1172&amp;"|"&amp;$F1172,"")</f>
        <v/>
      </c>
      <c r="AC1172" s="27">
        <f>IF(ISNUMBER($P1172),COUNTIFS($A$14:$A$1213,$A1172,$P$14:$P$1213,"&gt;"&amp;$P1172)+(COUNTIFS($A$14:$A$1213,$A1172,$P$14:$P$1213,"="&amp;$P1172)+1)/2,"")</f>
        <v/>
      </c>
      <c r="AD1172" s="27">
        <f>IF(ISNUMBER($Q1172),COUNTIFS($A$14:$A$1213,$A1172,$Q$14:$Q$1213,"&gt;"&amp;$Q1172)+(COUNTIFS($A$14:$A$1213,$A1172,$Q$14:$Q$1213,"="&amp;$Q1172)+1)/2,"")</f>
        <v/>
      </c>
      <c r="AE1172" s="27">
        <f>IF(ISNUMBER($R1172),COUNTIFS($A$14:$A$1213,$A1172,$R$14:$R$1213,"&gt;"&amp;$R1172)+(COUNTIFS($A$14:$A$1213,$A1172,$R$14:$R$1213,"="&amp;$R1172)+1)/2,"")</f>
        <v/>
      </c>
      <c r="AF1172" s="27">
        <f>IF(ISNUMBER($S1172),COUNTIFS($A$14:$A$1213,$A1172,$S$14:$S$1213,"&gt;"&amp;$S1172)+(COUNTIFS($A$14:$A$1213,$A1172,$S$14:$S$1213,"="&amp;$S1172)+1)/2,"")</f>
        <v/>
      </c>
      <c r="AG1172" s="27">
        <f>IF(ISNUMBER($T1172),COUNTIFS($A$14:$A$1213,$A1172,$T$14:$T$1213,"&gt;"&amp;$T1172)+(COUNTIFS($A$14:$A$1213,$A1172,$T$14:$T$1213,"="&amp;$T1172)+1)/2,"")</f>
        <v/>
      </c>
      <c r="AH1172" s="27">
        <f>IF(COUNT($AC1172:$AG1172)&lt;2,"",IF(MAX($AC1172:$AG1172)=MIN($AC1172:$AG1172),0,1))</f>
        <v/>
      </c>
      <c r="AI1172" s="27">
        <f>IF($A1172="","",IF(COUNTIF($A$14:$A1172,$A1172)=1,COUNTIF($AI$13:AI1171,"&gt;0")+1,""))</f>
        <v/>
      </c>
      <c r="AO1172" s="27">
        <f>IF($A1172="","",IF(AND(COUNTIFS($A$14:$A$1213,$A1172,$F$14:$F$1213,"&gt;=0")=2,IFERROR(INDEX($M$14:$M$313,MATCH($A1172,$H$14:$H$313,0)),"Yes")&lt;&gt;"Yes"),1,0))</f>
        <v/>
      </c>
    </row>
    <row r="1173">
      <c r="A1173" s="19">
        <f>IF('Enter messages'!A1173="","",'Enter messages'!A1173)</f>
        <v/>
      </c>
      <c r="B1173" s="20">
        <f>IF('Enter messages'!B1173="","",'Enter messages'!B1173)</f>
        <v/>
      </c>
      <c r="C1173" s="21">
        <f>IFERROR(AVERAGE(P1173:T1173),"")</f>
        <v/>
      </c>
      <c r="D1173" s="29" t="n"/>
      <c r="E1173" s="29" t="n"/>
      <c r="F1173" s="30">
        <f>IF(AND(ISNUMBER($D1173),ISNUMBER($E1173),$E1173&gt;0,$D1173&lt;=$E1173),$D1173/$E1173,"")</f>
        <v/>
      </c>
      <c r="P1173" s="26" t="n"/>
      <c r="Q1173" s="26" t="n"/>
      <c r="R1173" s="26" t="n"/>
      <c r="S1173" s="26" t="n"/>
      <c r="T1173" s="26" t="n"/>
      <c r="V1173" s="27">
        <f>IF(ISNUMBER($C1173),COUNTIFS($A$14:$A$1213,$A1173,$C$14:$C$1213,"&gt;"&amp;$C1173)+(COUNTIFS($A$14:$A$1213,$A1173,$C$14:$C$1213,"="&amp;$C1173)+1)/2,"")</f>
        <v/>
      </c>
      <c r="W1173" s="27">
        <f>IF(ISNUMBER($F1173),COUNTIFS($A$14:$A$1213,$A1173,$F$14:$F$1213,"&gt;"&amp;$F1173)+(COUNTIFS($A$14:$A$1213,$A1173,$F$14:$F$1213,"="&amp;$F1173)+1)/2,"")</f>
        <v/>
      </c>
      <c r="X1173" s="27">
        <f>IF(OR(NOT(ISNUMBER($V1173)),$AO1173=1),"",$V1173-(COUNTIFS($A$14:$A$1213,$A1173,$C$14:$C$1213,"&gt;=0")+1)/2)</f>
        <v/>
      </c>
      <c r="Y1173" s="27">
        <f>IF(OR(NOT(ISNUMBER($W1173)),$AO1173=1),"",$W1173-(COUNTIFS($A$14:$A$1213,$A1173,$F$14:$F$1213,"&gt;=0")+1)/2)</f>
        <v/>
      </c>
      <c r="Z1173" s="27">
        <f>IF(ISNUMBER($V1173),$A1173&amp;"|"&amp;$V1173,"")</f>
        <v/>
      </c>
      <c r="AA1173" s="27">
        <f>IF(ISNUMBER($W1173),$A1173&amp;"|"&amp;$W1173,"")</f>
        <v/>
      </c>
      <c r="AB1173" s="27">
        <f>IF(ISNUMBER($F1173),$A1173&amp;"|"&amp;$F1173,"")</f>
        <v/>
      </c>
      <c r="AC1173" s="27">
        <f>IF(ISNUMBER($P1173),COUNTIFS($A$14:$A$1213,$A1173,$P$14:$P$1213,"&gt;"&amp;$P1173)+(COUNTIFS($A$14:$A$1213,$A1173,$P$14:$P$1213,"="&amp;$P1173)+1)/2,"")</f>
        <v/>
      </c>
      <c r="AD1173" s="27">
        <f>IF(ISNUMBER($Q1173),COUNTIFS($A$14:$A$1213,$A1173,$Q$14:$Q$1213,"&gt;"&amp;$Q1173)+(COUNTIFS($A$14:$A$1213,$A1173,$Q$14:$Q$1213,"="&amp;$Q1173)+1)/2,"")</f>
        <v/>
      </c>
      <c r="AE1173" s="27">
        <f>IF(ISNUMBER($R1173),COUNTIFS($A$14:$A$1213,$A1173,$R$14:$R$1213,"&gt;"&amp;$R1173)+(COUNTIFS($A$14:$A$1213,$A1173,$R$14:$R$1213,"="&amp;$R1173)+1)/2,"")</f>
        <v/>
      </c>
      <c r="AF1173" s="27">
        <f>IF(ISNUMBER($S1173),COUNTIFS($A$14:$A$1213,$A1173,$S$14:$S$1213,"&gt;"&amp;$S1173)+(COUNTIFS($A$14:$A$1213,$A1173,$S$14:$S$1213,"="&amp;$S1173)+1)/2,"")</f>
        <v/>
      </c>
      <c r="AG1173" s="27">
        <f>IF(ISNUMBER($T1173),COUNTIFS($A$14:$A$1213,$A1173,$T$14:$T$1213,"&gt;"&amp;$T1173)+(COUNTIFS($A$14:$A$1213,$A1173,$T$14:$T$1213,"="&amp;$T1173)+1)/2,"")</f>
        <v/>
      </c>
      <c r="AH1173" s="27">
        <f>IF(COUNT($AC1173:$AG1173)&lt;2,"",IF(MAX($AC1173:$AG1173)=MIN($AC1173:$AG1173),0,1))</f>
        <v/>
      </c>
      <c r="AI1173" s="27">
        <f>IF($A1173="","",IF(COUNTIF($A$14:$A1173,$A1173)=1,COUNTIF($AI$13:AI1172,"&gt;0")+1,""))</f>
        <v/>
      </c>
      <c r="AO1173" s="27">
        <f>IF($A1173="","",IF(AND(COUNTIFS($A$14:$A$1213,$A1173,$F$14:$F$1213,"&gt;=0")=2,IFERROR(INDEX($M$14:$M$313,MATCH($A1173,$H$14:$H$313,0)),"Yes")&lt;&gt;"Yes"),1,0))</f>
        <v/>
      </c>
    </row>
    <row r="1174">
      <c r="A1174" s="19">
        <f>IF('Enter messages'!A1174="","",'Enter messages'!A1174)</f>
        <v/>
      </c>
      <c r="B1174" s="20">
        <f>IF('Enter messages'!B1174="","",'Enter messages'!B1174)</f>
        <v/>
      </c>
      <c r="C1174" s="21">
        <f>IFERROR(AVERAGE(P1174:T1174),"")</f>
        <v/>
      </c>
      <c r="D1174" s="29" t="n"/>
      <c r="E1174" s="29" t="n"/>
      <c r="F1174" s="30">
        <f>IF(AND(ISNUMBER($D1174),ISNUMBER($E1174),$E1174&gt;0,$D1174&lt;=$E1174),$D1174/$E1174,"")</f>
        <v/>
      </c>
      <c r="P1174" s="26" t="n"/>
      <c r="Q1174" s="26" t="n"/>
      <c r="R1174" s="26" t="n"/>
      <c r="S1174" s="26" t="n"/>
      <c r="T1174" s="26" t="n"/>
      <c r="V1174" s="27">
        <f>IF(ISNUMBER($C1174),COUNTIFS($A$14:$A$1213,$A1174,$C$14:$C$1213,"&gt;"&amp;$C1174)+(COUNTIFS($A$14:$A$1213,$A1174,$C$14:$C$1213,"="&amp;$C1174)+1)/2,"")</f>
        <v/>
      </c>
      <c r="W1174" s="27">
        <f>IF(ISNUMBER($F1174),COUNTIFS($A$14:$A$1213,$A1174,$F$14:$F$1213,"&gt;"&amp;$F1174)+(COUNTIFS($A$14:$A$1213,$A1174,$F$14:$F$1213,"="&amp;$F1174)+1)/2,"")</f>
        <v/>
      </c>
      <c r="X1174" s="27">
        <f>IF(OR(NOT(ISNUMBER($V1174)),$AO1174=1),"",$V1174-(COUNTIFS($A$14:$A$1213,$A1174,$C$14:$C$1213,"&gt;=0")+1)/2)</f>
        <v/>
      </c>
      <c r="Y1174" s="27">
        <f>IF(OR(NOT(ISNUMBER($W1174)),$AO1174=1),"",$W1174-(COUNTIFS($A$14:$A$1213,$A1174,$F$14:$F$1213,"&gt;=0")+1)/2)</f>
        <v/>
      </c>
      <c r="Z1174" s="27">
        <f>IF(ISNUMBER($V1174),$A1174&amp;"|"&amp;$V1174,"")</f>
        <v/>
      </c>
      <c r="AA1174" s="27">
        <f>IF(ISNUMBER($W1174),$A1174&amp;"|"&amp;$W1174,"")</f>
        <v/>
      </c>
      <c r="AB1174" s="27">
        <f>IF(ISNUMBER($F1174),$A1174&amp;"|"&amp;$F1174,"")</f>
        <v/>
      </c>
      <c r="AC1174" s="27">
        <f>IF(ISNUMBER($P1174),COUNTIFS($A$14:$A$1213,$A1174,$P$14:$P$1213,"&gt;"&amp;$P1174)+(COUNTIFS($A$14:$A$1213,$A1174,$P$14:$P$1213,"="&amp;$P1174)+1)/2,"")</f>
        <v/>
      </c>
      <c r="AD1174" s="27">
        <f>IF(ISNUMBER($Q1174),COUNTIFS($A$14:$A$1213,$A1174,$Q$14:$Q$1213,"&gt;"&amp;$Q1174)+(COUNTIFS($A$14:$A$1213,$A1174,$Q$14:$Q$1213,"="&amp;$Q1174)+1)/2,"")</f>
        <v/>
      </c>
      <c r="AE1174" s="27">
        <f>IF(ISNUMBER($R1174),COUNTIFS($A$14:$A$1213,$A1174,$R$14:$R$1213,"&gt;"&amp;$R1174)+(COUNTIFS($A$14:$A$1213,$A1174,$R$14:$R$1213,"="&amp;$R1174)+1)/2,"")</f>
        <v/>
      </c>
      <c r="AF1174" s="27">
        <f>IF(ISNUMBER($S1174),COUNTIFS($A$14:$A$1213,$A1174,$S$14:$S$1213,"&gt;"&amp;$S1174)+(COUNTIFS($A$14:$A$1213,$A1174,$S$14:$S$1213,"="&amp;$S1174)+1)/2,"")</f>
        <v/>
      </c>
      <c r="AG1174" s="27">
        <f>IF(ISNUMBER($T1174),COUNTIFS($A$14:$A$1213,$A1174,$T$14:$T$1213,"&gt;"&amp;$T1174)+(COUNTIFS($A$14:$A$1213,$A1174,$T$14:$T$1213,"="&amp;$T1174)+1)/2,"")</f>
        <v/>
      </c>
      <c r="AH1174" s="27">
        <f>IF(COUNT($AC1174:$AG1174)&lt;2,"",IF(MAX($AC1174:$AG1174)=MIN($AC1174:$AG1174),0,1))</f>
        <v/>
      </c>
      <c r="AI1174" s="27">
        <f>IF($A1174="","",IF(COUNTIF($A$14:$A1174,$A1174)=1,COUNTIF($AI$13:AI1173,"&gt;0")+1,""))</f>
        <v/>
      </c>
      <c r="AO1174" s="27">
        <f>IF($A1174="","",IF(AND(COUNTIFS($A$14:$A$1213,$A1174,$F$14:$F$1213,"&gt;=0")=2,IFERROR(INDEX($M$14:$M$313,MATCH($A1174,$H$14:$H$313,0)),"Yes")&lt;&gt;"Yes"),1,0))</f>
        <v/>
      </c>
    </row>
    <row r="1175">
      <c r="A1175" s="19">
        <f>IF('Enter messages'!A1175="","",'Enter messages'!A1175)</f>
        <v/>
      </c>
      <c r="B1175" s="20">
        <f>IF('Enter messages'!B1175="","",'Enter messages'!B1175)</f>
        <v/>
      </c>
      <c r="C1175" s="21">
        <f>IFERROR(AVERAGE(P1175:T1175),"")</f>
        <v/>
      </c>
      <c r="D1175" s="29" t="n"/>
      <c r="E1175" s="29" t="n"/>
      <c r="F1175" s="30">
        <f>IF(AND(ISNUMBER($D1175),ISNUMBER($E1175),$E1175&gt;0,$D1175&lt;=$E1175),$D1175/$E1175,"")</f>
        <v/>
      </c>
      <c r="P1175" s="26" t="n"/>
      <c r="Q1175" s="26" t="n"/>
      <c r="R1175" s="26" t="n"/>
      <c r="S1175" s="26" t="n"/>
      <c r="T1175" s="26" t="n"/>
      <c r="V1175" s="27">
        <f>IF(ISNUMBER($C1175),COUNTIFS($A$14:$A$1213,$A1175,$C$14:$C$1213,"&gt;"&amp;$C1175)+(COUNTIFS($A$14:$A$1213,$A1175,$C$14:$C$1213,"="&amp;$C1175)+1)/2,"")</f>
        <v/>
      </c>
      <c r="W1175" s="27">
        <f>IF(ISNUMBER($F1175),COUNTIFS($A$14:$A$1213,$A1175,$F$14:$F$1213,"&gt;"&amp;$F1175)+(COUNTIFS($A$14:$A$1213,$A1175,$F$14:$F$1213,"="&amp;$F1175)+1)/2,"")</f>
        <v/>
      </c>
      <c r="X1175" s="27">
        <f>IF(OR(NOT(ISNUMBER($V1175)),$AO1175=1),"",$V1175-(COUNTIFS($A$14:$A$1213,$A1175,$C$14:$C$1213,"&gt;=0")+1)/2)</f>
        <v/>
      </c>
      <c r="Y1175" s="27">
        <f>IF(OR(NOT(ISNUMBER($W1175)),$AO1175=1),"",$W1175-(COUNTIFS($A$14:$A$1213,$A1175,$F$14:$F$1213,"&gt;=0")+1)/2)</f>
        <v/>
      </c>
      <c r="Z1175" s="27">
        <f>IF(ISNUMBER($V1175),$A1175&amp;"|"&amp;$V1175,"")</f>
        <v/>
      </c>
      <c r="AA1175" s="27">
        <f>IF(ISNUMBER($W1175),$A1175&amp;"|"&amp;$W1175,"")</f>
        <v/>
      </c>
      <c r="AB1175" s="27">
        <f>IF(ISNUMBER($F1175),$A1175&amp;"|"&amp;$F1175,"")</f>
        <v/>
      </c>
      <c r="AC1175" s="27">
        <f>IF(ISNUMBER($P1175),COUNTIFS($A$14:$A$1213,$A1175,$P$14:$P$1213,"&gt;"&amp;$P1175)+(COUNTIFS($A$14:$A$1213,$A1175,$P$14:$P$1213,"="&amp;$P1175)+1)/2,"")</f>
        <v/>
      </c>
      <c r="AD1175" s="27">
        <f>IF(ISNUMBER($Q1175),COUNTIFS($A$14:$A$1213,$A1175,$Q$14:$Q$1213,"&gt;"&amp;$Q1175)+(COUNTIFS($A$14:$A$1213,$A1175,$Q$14:$Q$1213,"="&amp;$Q1175)+1)/2,"")</f>
        <v/>
      </c>
      <c r="AE1175" s="27">
        <f>IF(ISNUMBER($R1175),COUNTIFS($A$14:$A$1213,$A1175,$R$14:$R$1213,"&gt;"&amp;$R1175)+(COUNTIFS($A$14:$A$1213,$A1175,$R$14:$R$1213,"="&amp;$R1175)+1)/2,"")</f>
        <v/>
      </c>
      <c r="AF1175" s="27">
        <f>IF(ISNUMBER($S1175),COUNTIFS($A$14:$A$1213,$A1175,$S$14:$S$1213,"&gt;"&amp;$S1175)+(COUNTIFS($A$14:$A$1213,$A1175,$S$14:$S$1213,"="&amp;$S1175)+1)/2,"")</f>
        <v/>
      </c>
      <c r="AG1175" s="27">
        <f>IF(ISNUMBER($T1175),COUNTIFS($A$14:$A$1213,$A1175,$T$14:$T$1213,"&gt;"&amp;$T1175)+(COUNTIFS($A$14:$A$1213,$A1175,$T$14:$T$1213,"="&amp;$T1175)+1)/2,"")</f>
        <v/>
      </c>
      <c r="AH1175" s="27">
        <f>IF(COUNT($AC1175:$AG1175)&lt;2,"",IF(MAX($AC1175:$AG1175)=MIN($AC1175:$AG1175),0,1))</f>
        <v/>
      </c>
      <c r="AI1175" s="27">
        <f>IF($A1175="","",IF(COUNTIF($A$14:$A1175,$A1175)=1,COUNTIF($AI$13:AI1174,"&gt;0")+1,""))</f>
        <v/>
      </c>
      <c r="AO1175" s="27">
        <f>IF($A1175="","",IF(AND(COUNTIFS($A$14:$A$1213,$A1175,$F$14:$F$1213,"&gt;=0")=2,IFERROR(INDEX($M$14:$M$313,MATCH($A1175,$H$14:$H$313,0)),"Yes")&lt;&gt;"Yes"),1,0))</f>
        <v/>
      </c>
    </row>
    <row r="1176">
      <c r="A1176" s="19">
        <f>IF('Enter messages'!A1176="","",'Enter messages'!A1176)</f>
        <v/>
      </c>
      <c r="B1176" s="20">
        <f>IF('Enter messages'!B1176="","",'Enter messages'!B1176)</f>
        <v/>
      </c>
      <c r="C1176" s="21">
        <f>IFERROR(AVERAGE(P1176:T1176),"")</f>
        <v/>
      </c>
      <c r="D1176" s="29" t="n"/>
      <c r="E1176" s="29" t="n"/>
      <c r="F1176" s="30">
        <f>IF(AND(ISNUMBER($D1176),ISNUMBER($E1176),$E1176&gt;0,$D1176&lt;=$E1176),$D1176/$E1176,"")</f>
        <v/>
      </c>
      <c r="P1176" s="26" t="n"/>
      <c r="Q1176" s="26" t="n"/>
      <c r="R1176" s="26" t="n"/>
      <c r="S1176" s="26" t="n"/>
      <c r="T1176" s="26" t="n"/>
      <c r="V1176" s="27">
        <f>IF(ISNUMBER($C1176),COUNTIFS($A$14:$A$1213,$A1176,$C$14:$C$1213,"&gt;"&amp;$C1176)+(COUNTIFS($A$14:$A$1213,$A1176,$C$14:$C$1213,"="&amp;$C1176)+1)/2,"")</f>
        <v/>
      </c>
      <c r="W1176" s="27">
        <f>IF(ISNUMBER($F1176),COUNTIFS($A$14:$A$1213,$A1176,$F$14:$F$1213,"&gt;"&amp;$F1176)+(COUNTIFS($A$14:$A$1213,$A1176,$F$14:$F$1213,"="&amp;$F1176)+1)/2,"")</f>
        <v/>
      </c>
      <c r="X1176" s="27">
        <f>IF(OR(NOT(ISNUMBER($V1176)),$AO1176=1),"",$V1176-(COUNTIFS($A$14:$A$1213,$A1176,$C$14:$C$1213,"&gt;=0")+1)/2)</f>
        <v/>
      </c>
      <c r="Y1176" s="27">
        <f>IF(OR(NOT(ISNUMBER($W1176)),$AO1176=1),"",$W1176-(COUNTIFS($A$14:$A$1213,$A1176,$F$14:$F$1213,"&gt;=0")+1)/2)</f>
        <v/>
      </c>
      <c r="Z1176" s="27">
        <f>IF(ISNUMBER($V1176),$A1176&amp;"|"&amp;$V1176,"")</f>
        <v/>
      </c>
      <c r="AA1176" s="27">
        <f>IF(ISNUMBER($W1176),$A1176&amp;"|"&amp;$W1176,"")</f>
        <v/>
      </c>
      <c r="AB1176" s="27">
        <f>IF(ISNUMBER($F1176),$A1176&amp;"|"&amp;$F1176,"")</f>
        <v/>
      </c>
      <c r="AC1176" s="27">
        <f>IF(ISNUMBER($P1176),COUNTIFS($A$14:$A$1213,$A1176,$P$14:$P$1213,"&gt;"&amp;$P1176)+(COUNTIFS($A$14:$A$1213,$A1176,$P$14:$P$1213,"="&amp;$P1176)+1)/2,"")</f>
        <v/>
      </c>
      <c r="AD1176" s="27">
        <f>IF(ISNUMBER($Q1176),COUNTIFS($A$14:$A$1213,$A1176,$Q$14:$Q$1213,"&gt;"&amp;$Q1176)+(COUNTIFS($A$14:$A$1213,$A1176,$Q$14:$Q$1213,"="&amp;$Q1176)+1)/2,"")</f>
        <v/>
      </c>
      <c r="AE1176" s="27">
        <f>IF(ISNUMBER($R1176),COUNTIFS($A$14:$A$1213,$A1176,$R$14:$R$1213,"&gt;"&amp;$R1176)+(COUNTIFS($A$14:$A$1213,$A1176,$R$14:$R$1213,"="&amp;$R1176)+1)/2,"")</f>
        <v/>
      </c>
      <c r="AF1176" s="27">
        <f>IF(ISNUMBER($S1176),COUNTIFS($A$14:$A$1213,$A1176,$S$14:$S$1213,"&gt;"&amp;$S1176)+(COUNTIFS($A$14:$A$1213,$A1176,$S$14:$S$1213,"="&amp;$S1176)+1)/2,"")</f>
        <v/>
      </c>
      <c r="AG1176" s="27">
        <f>IF(ISNUMBER($T1176),COUNTIFS($A$14:$A$1213,$A1176,$T$14:$T$1213,"&gt;"&amp;$T1176)+(COUNTIFS($A$14:$A$1213,$A1176,$T$14:$T$1213,"="&amp;$T1176)+1)/2,"")</f>
        <v/>
      </c>
      <c r="AH1176" s="27">
        <f>IF(COUNT($AC1176:$AG1176)&lt;2,"",IF(MAX($AC1176:$AG1176)=MIN($AC1176:$AG1176),0,1))</f>
        <v/>
      </c>
      <c r="AI1176" s="27">
        <f>IF($A1176="","",IF(COUNTIF($A$14:$A1176,$A1176)=1,COUNTIF($AI$13:AI1175,"&gt;0")+1,""))</f>
        <v/>
      </c>
      <c r="AO1176" s="27">
        <f>IF($A1176="","",IF(AND(COUNTIFS($A$14:$A$1213,$A1176,$F$14:$F$1213,"&gt;=0")=2,IFERROR(INDEX($M$14:$M$313,MATCH($A1176,$H$14:$H$313,0)),"Yes")&lt;&gt;"Yes"),1,0))</f>
        <v/>
      </c>
    </row>
    <row r="1177">
      <c r="A1177" s="19">
        <f>IF('Enter messages'!A1177="","",'Enter messages'!A1177)</f>
        <v/>
      </c>
      <c r="B1177" s="20">
        <f>IF('Enter messages'!B1177="","",'Enter messages'!B1177)</f>
        <v/>
      </c>
      <c r="C1177" s="21">
        <f>IFERROR(AVERAGE(P1177:T1177),"")</f>
        <v/>
      </c>
      <c r="D1177" s="29" t="n"/>
      <c r="E1177" s="29" t="n"/>
      <c r="F1177" s="30">
        <f>IF(AND(ISNUMBER($D1177),ISNUMBER($E1177),$E1177&gt;0,$D1177&lt;=$E1177),$D1177/$E1177,"")</f>
        <v/>
      </c>
      <c r="P1177" s="26" t="n"/>
      <c r="Q1177" s="26" t="n"/>
      <c r="R1177" s="26" t="n"/>
      <c r="S1177" s="26" t="n"/>
      <c r="T1177" s="26" t="n"/>
      <c r="V1177" s="27">
        <f>IF(ISNUMBER($C1177),COUNTIFS($A$14:$A$1213,$A1177,$C$14:$C$1213,"&gt;"&amp;$C1177)+(COUNTIFS($A$14:$A$1213,$A1177,$C$14:$C$1213,"="&amp;$C1177)+1)/2,"")</f>
        <v/>
      </c>
      <c r="W1177" s="27">
        <f>IF(ISNUMBER($F1177),COUNTIFS($A$14:$A$1213,$A1177,$F$14:$F$1213,"&gt;"&amp;$F1177)+(COUNTIFS($A$14:$A$1213,$A1177,$F$14:$F$1213,"="&amp;$F1177)+1)/2,"")</f>
        <v/>
      </c>
      <c r="X1177" s="27">
        <f>IF(OR(NOT(ISNUMBER($V1177)),$AO1177=1),"",$V1177-(COUNTIFS($A$14:$A$1213,$A1177,$C$14:$C$1213,"&gt;=0")+1)/2)</f>
        <v/>
      </c>
      <c r="Y1177" s="27">
        <f>IF(OR(NOT(ISNUMBER($W1177)),$AO1177=1),"",$W1177-(COUNTIFS($A$14:$A$1213,$A1177,$F$14:$F$1213,"&gt;=0")+1)/2)</f>
        <v/>
      </c>
      <c r="Z1177" s="27">
        <f>IF(ISNUMBER($V1177),$A1177&amp;"|"&amp;$V1177,"")</f>
        <v/>
      </c>
      <c r="AA1177" s="27">
        <f>IF(ISNUMBER($W1177),$A1177&amp;"|"&amp;$W1177,"")</f>
        <v/>
      </c>
      <c r="AB1177" s="27">
        <f>IF(ISNUMBER($F1177),$A1177&amp;"|"&amp;$F1177,"")</f>
        <v/>
      </c>
      <c r="AC1177" s="27">
        <f>IF(ISNUMBER($P1177),COUNTIFS($A$14:$A$1213,$A1177,$P$14:$P$1213,"&gt;"&amp;$P1177)+(COUNTIFS($A$14:$A$1213,$A1177,$P$14:$P$1213,"="&amp;$P1177)+1)/2,"")</f>
        <v/>
      </c>
      <c r="AD1177" s="27">
        <f>IF(ISNUMBER($Q1177),COUNTIFS($A$14:$A$1213,$A1177,$Q$14:$Q$1213,"&gt;"&amp;$Q1177)+(COUNTIFS($A$14:$A$1213,$A1177,$Q$14:$Q$1213,"="&amp;$Q1177)+1)/2,"")</f>
        <v/>
      </c>
      <c r="AE1177" s="27">
        <f>IF(ISNUMBER($R1177),COUNTIFS($A$14:$A$1213,$A1177,$R$14:$R$1213,"&gt;"&amp;$R1177)+(COUNTIFS($A$14:$A$1213,$A1177,$R$14:$R$1213,"="&amp;$R1177)+1)/2,"")</f>
        <v/>
      </c>
      <c r="AF1177" s="27">
        <f>IF(ISNUMBER($S1177),COUNTIFS($A$14:$A$1213,$A1177,$S$14:$S$1213,"&gt;"&amp;$S1177)+(COUNTIFS($A$14:$A$1213,$A1177,$S$14:$S$1213,"="&amp;$S1177)+1)/2,"")</f>
        <v/>
      </c>
      <c r="AG1177" s="27">
        <f>IF(ISNUMBER($T1177),COUNTIFS($A$14:$A$1213,$A1177,$T$14:$T$1213,"&gt;"&amp;$T1177)+(COUNTIFS($A$14:$A$1213,$A1177,$T$14:$T$1213,"="&amp;$T1177)+1)/2,"")</f>
        <v/>
      </c>
      <c r="AH1177" s="27">
        <f>IF(COUNT($AC1177:$AG1177)&lt;2,"",IF(MAX($AC1177:$AG1177)=MIN($AC1177:$AG1177),0,1))</f>
        <v/>
      </c>
      <c r="AI1177" s="27">
        <f>IF($A1177="","",IF(COUNTIF($A$14:$A1177,$A1177)=1,COUNTIF($AI$13:AI1176,"&gt;0")+1,""))</f>
        <v/>
      </c>
      <c r="AO1177" s="27">
        <f>IF($A1177="","",IF(AND(COUNTIFS($A$14:$A$1213,$A1177,$F$14:$F$1213,"&gt;=0")=2,IFERROR(INDEX($M$14:$M$313,MATCH($A1177,$H$14:$H$313,0)),"Yes")&lt;&gt;"Yes"),1,0))</f>
        <v/>
      </c>
    </row>
    <row r="1178">
      <c r="A1178" s="19">
        <f>IF('Enter messages'!A1178="","",'Enter messages'!A1178)</f>
        <v/>
      </c>
      <c r="B1178" s="20">
        <f>IF('Enter messages'!B1178="","",'Enter messages'!B1178)</f>
        <v/>
      </c>
      <c r="C1178" s="21">
        <f>IFERROR(AVERAGE(P1178:T1178),"")</f>
        <v/>
      </c>
      <c r="D1178" s="29" t="n"/>
      <c r="E1178" s="29" t="n"/>
      <c r="F1178" s="30">
        <f>IF(AND(ISNUMBER($D1178),ISNUMBER($E1178),$E1178&gt;0,$D1178&lt;=$E1178),$D1178/$E1178,"")</f>
        <v/>
      </c>
      <c r="P1178" s="26" t="n"/>
      <c r="Q1178" s="26" t="n"/>
      <c r="R1178" s="26" t="n"/>
      <c r="S1178" s="26" t="n"/>
      <c r="T1178" s="26" t="n"/>
      <c r="V1178" s="27">
        <f>IF(ISNUMBER($C1178),COUNTIFS($A$14:$A$1213,$A1178,$C$14:$C$1213,"&gt;"&amp;$C1178)+(COUNTIFS($A$14:$A$1213,$A1178,$C$14:$C$1213,"="&amp;$C1178)+1)/2,"")</f>
        <v/>
      </c>
      <c r="W1178" s="27">
        <f>IF(ISNUMBER($F1178),COUNTIFS($A$14:$A$1213,$A1178,$F$14:$F$1213,"&gt;"&amp;$F1178)+(COUNTIFS($A$14:$A$1213,$A1178,$F$14:$F$1213,"="&amp;$F1178)+1)/2,"")</f>
        <v/>
      </c>
      <c r="X1178" s="27">
        <f>IF(OR(NOT(ISNUMBER($V1178)),$AO1178=1),"",$V1178-(COUNTIFS($A$14:$A$1213,$A1178,$C$14:$C$1213,"&gt;=0")+1)/2)</f>
        <v/>
      </c>
      <c r="Y1178" s="27">
        <f>IF(OR(NOT(ISNUMBER($W1178)),$AO1178=1),"",$W1178-(COUNTIFS($A$14:$A$1213,$A1178,$F$14:$F$1213,"&gt;=0")+1)/2)</f>
        <v/>
      </c>
      <c r="Z1178" s="27">
        <f>IF(ISNUMBER($V1178),$A1178&amp;"|"&amp;$V1178,"")</f>
        <v/>
      </c>
      <c r="AA1178" s="27">
        <f>IF(ISNUMBER($W1178),$A1178&amp;"|"&amp;$W1178,"")</f>
        <v/>
      </c>
      <c r="AB1178" s="27">
        <f>IF(ISNUMBER($F1178),$A1178&amp;"|"&amp;$F1178,"")</f>
        <v/>
      </c>
      <c r="AC1178" s="27">
        <f>IF(ISNUMBER($P1178),COUNTIFS($A$14:$A$1213,$A1178,$P$14:$P$1213,"&gt;"&amp;$P1178)+(COUNTIFS($A$14:$A$1213,$A1178,$P$14:$P$1213,"="&amp;$P1178)+1)/2,"")</f>
        <v/>
      </c>
      <c r="AD1178" s="27">
        <f>IF(ISNUMBER($Q1178),COUNTIFS($A$14:$A$1213,$A1178,$Q$14:$Q$1213,"&gt;"&amp;$Q1178)+(COUNTIFS($A$14:$A$1213,$A1178,$Q$14:$Q$1213,"="&amp;$Q1178)+1)/2,"")</f>
        <v/>
      </c>
      <c r="AE1178" s="27">
        <f>IF(ISNUMBER($R1178),COUNTIFS($A$14:$A$1213,$A1178,$R$14:$R$1213,"&gt;"&amp;$R1178)+(COUNTIFS($A$14:$A$1213,$A1178,$R$14:$R$1213,"="&amp;$R1178)+1)/2,"")</f>
        <v/>
      </c>
      <c r="AF1178" s="27">
        <f>IF(ISNUMBER($S1178),COUNTIFS($A$14:$A$1213,$A1178,$S$14:$S$1213,"&gt;"&amp;$S1178)+(COUNTIFS($A$14:$A$1213,$A1178,$S$14:$S$1213,"="&amp;$S1178)+1)/2,"")</f>
        <v/>
      </c>
      <c r="AG1178" s="27">
        <f>IF(ISNUMBER($T1178),COUNTIFS($A$14:$A$1213,$A1178,$T$14:$T$1213,"&gt;"&amp;$T1178)+(COUNTIFS($A$14:$A$1213,$A1178,$T$14:$T$1213,"="&amp;$T1178)+1)/2,"")</f>
        <v/>
      </c>
      <c r="AH1178" s="27">
        <f>IF(COUNT($AC1178:$AG1178)&lt;2,"",IF(MAX($AC1178:$AG1178)=MIN($AC1178:$AG1178),0,1))</f>
        <v/>
      </c>
      <c r="AI1178" s="27">
        <f>IF($A1178="","",IF(COUNTIF($A$14:$A1178,$A1178)=1,COUNTIF($AI$13:AI1177,"&gt;0")+1,""))</f>
        <v/>
      </c>
      <c r="AO1178" s="27">
        <f>IF($A1178="","",IF(AND(COUNTIFS($A$14:$A$1213,$A1178,$F$14:$F$1213,"&gt;=0")=2,IFERROR(INDEX($M$14:$M$313,MATCH($A1178,$H$14:$H$313,0)),"Yes")&lt;&gt;"Yes"),1,0))</f>
        <v/>
      </c>
    </row>
    <row r="1179">
      <c r="A1179" s="19">
        <f>IF('Enter messages'!A1179="","",'Enter messages'!A1179)</f>
        <v/>
      </c>
      <c r="B1179" s="20">
        <f>IF('Enter messages'!B1179="","",'Enter messages'!B1179)</f>
        <v/>
      </c>
      <c r="C1179" s="21">
        <f>IFERROR(AVERAGE(P1179:T1179),"")</f>
        <v/>
      </c>
      <c r="D1179" s="29" t="n"/>
      <c r="E1179" s="29" t="n"/>
      <c r="F1179" s="30">
        <f>IF(AND(ISNUMBER($D1179),ISNUMBER($E1179),$E1179&gt;0,$D1179&lt;=$E1179),$D1179/$E1179,"")</f>
        <v/>
      </c>
      <c r="P1179" s="26" t="n"/>
      <c r="Q1179" s="26" t="n"/>
      <c r="R1179" s="26" t="n"/>
      <c r="S1179" s="26" t="n"/>
      <c r="T1179" s="26" t="n"/>
      <c r="V1179" s="27">
        <f>IF(ISNUMBER($C1179),COUNTIFS($A$14:$A$1213,$A1179,$C$14:$C$1213,"&gt;"&amp;$C1179)+(COUNTIFS($A$14:$A$1213,$A1179,$C$14:$C$1213,"="&amp;$C1179)+1)/2,"")</f>
        <v/>
      </c>
      <c r="W1179" s="27">
        <f>IF(ISNUMBER($F1179),COUNTIFS($A$14:$A$1213,$A1179,$F$14:$F$1213,"&gt;"&amp;$F1179)+(COUNTIFS($A$14:$A$1213,$A1179,$F$14:$F$1213,"="&amp;$F1179)+1)/2,"")</f>
        <v/>
      </c>
      <c r="X1179" s="27">
        <f>IF(OR(NOT(ISNUMBER($V1179)),$AO1179=1),"",$V1179-(COUNTIFS($A$14:$A$1213,$A1179,$C$14:$C$1213,"&gt;=0")+1)/2)</f>
        <v/>
      </c>
      <c r="Y1179" s="27">
        <f>IF(OR(NOT(ISNUMBER($W1179)),$AO1179=1),"",$W1179-(COUNTIFS($A$14:$A$1213,$A1179,$F$14:$F$1213,"&gt;=0")+1)/2)</f>
        <v/>
      </c>
      <c r="Z1179" s="27">
        <f>IF(ISNUMBER($V1179),$A1179&amp;"|"&amp;$V1179,"")</f>
        <v/>
      </c>
      <c r="AA1179" s="27">
        <f>IF(ISNUMBER($W1179),$A1179&amp;"|"&amp;$W1179,"")</f>
        <v/>
      </c>
      <c r="AB1179" s="27">
        <f>IF(ISNUMBER($F1179),$A1179&amp;"|"&amp;$F1179,"")</f>
        <v/>
      </c>
      <c r="AC1179" s="27">
        <f>IF(ISNUMBER($P1179),COUNTIFS($A$14:$A$1213,$A1179,$P$14:$P$1213,"&gt;"&amp;$P1179)+(COUNTIFS($A$14:$A$1213,$A1179,$P$14:$P$1213,"="&amp;$P1179)+1)/2,"")</f>
        <v/>
      </c>
      <c r="AD1179" s="27">
        <f>IF(ISNUMBER($Q1179),COUNTIFS($A$14:$A$1213,$A1179,$Q$14:$Q$1213,"&gt;"&amp;$Q1179)+(COUNTIFS($A$14:$A$1213,$A1179,$Q$14:$Q$1213,"="&amp;$Q1179)+1)/2,"")</f>
        <v/>
      </c>
      <c r="AE1179" s="27">
        <f>IF(ISNUMBER($R1179),COUNTIFS($A$14:$A$1213,$A1179,$R$14:$R$1213,"&gt;"&amp;$R1179)+(COUNTIFS($A$14:$A$1213,$A1179,$R$14:$R$1213,"="&amp;$R1179)+1)/2,"")</f>
        <v/>
      </c>
      <c r="AF1179" s="27">
        <f>IF(ISNUMBER($S1179),COUNTIFS($A$14:$A$1213,$A1179,$S$14:$S$1213,"&gt;"&amp;$S1179)+(COUNTIFS($A$14:$A$1213,$A1179,$S$14:$S$1213,"="&amp;$S1179)+1)/2,"")</f>
        <v/>
      </c>
      <c r="AG1179" s="27">
        <f>IF(ISNUMBER($T1179),COUNTIFS($A$14:$A$1213,$A1179,$T$14:$T$1213,"&gt;"&amp;$T1179)+(COUNTIFS($A$14:$A$1213,$A1179,$T$14:$T$1213,"="&amp;$T1179)+1)/2,"")</f>
        <v/>
      </c>
      <c r="AH1179" s="27">
        <f>IF(COUNT($AC1179:$AG1179)&lt;2,"",IF(MAX($AC1179:$AG1179)=MIN($AC1179:$AG1179),0,1))</f>
        <v/>
      </c>
      <c r="AI1179" s="27">
        <f>IF($A1179="","",IF(COUNTIF($A$14:$A1179,$A1179)=1,COUNTIF($AI$13:AI1178,"&gt;0")+1,""))</f>
        <v/>
      </c>
      <c r="AO1179" s="27">
        <f>IF($A1179="","",IF(AND(COUNTIFS($A$14:$A$1213,$A1179,$F$14:$F$1213,"&gt;=0")=2,IFERROR(INDEX($M$14:$M$313,MATCH($A1179,$H$14:$H$313,0)),"Yes")&lt;&gt;"Yes"),1,0))</f>
        <v/>
      </c>
    </row>
    <row r="1180">
      <c r="A1180" s="19">
        <f>IF('Enter messages'!A1180="","",'Enter messages'!A1180)</f>
        <v/>
      </c>
      <c r="B1180" s="20">
        <f>IF('Enter messages'!B1180="","",'Enter messages'!B1180)</f>
        <v/>
      </c>
      <c r="C1180" s="21">
        <f>IFERROR(AVERAGE(P1180:T1180),"")</f>
        <v/>
      </c>
      <c r="D1180" s="29" t="n"/>
      <c r="E1180" s="29" t="n"/>
      <c r="F1180" s="30">
        <f>IF(AND(ISNUMBER($D1180),ISNUMBER($E1180),$E1180&gt;0,$D1180&lt;=$E1180),$D1180/$E1180,"")</f>
        <v/>
      </c>
      <c r="P1180" s="26" t="n"/>
      <c r="Q1180" s="26" t="n"/>
      <c r="R1180" s="26" t="n"/>
      <c r="S1180" s="26" t="n"/>
      <c r="T1180" s="26" t="n"/>
      <c r="V1180" s="27">
        <f>IF(ISNUMBER($C1180),COUNTIFS($A$14:$A$1213,$A1180,$C$14:$C$1213,"&gt;"&amp;$C1180)+(COUNTIFS($A$14:$A$1213,$A1180,$C$14:$C$1213,"="&amp;$C1180)+1)/2,"")</f>
        <v/>
      </c>
      <c r="W1180" s="27">
        <f>IF(ISNUMBER($F1180),COUNTIFS($A$14:$A$1213,$A1180,$F$14:$F$1213,"&gt;"&amp;$F1180)+(COUNTIFS($A$14:$A$1213,$A1180,$F$14:$F$1213,"="&amp;$F1180)+1)/2,"")</f>
        <v/>
      </c>
      <c r="X1180" s="27">
        <f>IF(OR(NOT(ISNUMBER($V1180)),$AO1180=1),"",$V1180-(COUNTIFS($A$14:$A$1213,$A1180,$C$14:$C$1213,"&gt;=0")+1)/2)</f>
        <v/>
      </c>
      <c r="Y1180" s="27">
        <f>IF(OR(NOT(ISNUMBER($W1180)),$AO1180=1),"",$W1180-(COUNTIFS($A$14:$A$1213,$A1180,$F$14:$F$1213,"&gt;=0")+1)/2)</f>
        <v/>
      </c>
      <c r="Z1180" s="27">
        <f>IF(ISNUMBER($V1180),$A1180&amp;"|"&amp;$V1180,"")</f>
        <v/>
      </c>
      <c r="AA1180" s="27">
        <f>IF(ISNUMBER($W1180),$A1180&amp;"|"&amp;$W1180,"")</f>
        <v/>
      </c>
      <c r="AB1180" s="27">
        <f>IF(ISNUMBER($F1180),$A1180&amp;"|"&amp;$F1180,"")</f>
        <v/>
      </c>
      <c r="AC1180" s="27">
        <f>IF(ISNUMBER($P1180),COUNTIFS($A$14:$A$1213,$A1180,$P$14:$P$1213,"&gt;"&amp;$P1180)+(COUNTIFS($A$14:$A$1213,$A1180,$P$14:$P$1213,"="&amp;$P1180)+1)/2,"")</f>
        <v/>
      </c>
      <c r="AD1180" s="27">
        <f>IF(ISNUMBER($Q1180),COUNTIFS($A$14:$A$1213,$A1180,$Q$14:$Q$1213,"&gt;"&amp;$Q1180)+(COUNTIFS($A$14:$A$1213,$A1180,$Q$14:$Q$1213,"="&amp;$Q1180)+1)/2,"")</f>
        <v/>
      </c>
      <c r="AE1180" s="27">
        <f>IF(ISNUMBER($R1180),COUNTIFS($A$14:$A$1213,$A1180,$R$14:$R$1213,"&gt;"&amp;$R1180)+(COUNTIFS($A$14:$A$1213,$A1180,$R$14:$R$1213,"="&amp;$R1180)+1)/2,"")</f>
        <v/>
      </c>
      <c r="AF1180" s="27">
        <f>IF(ISNUMBER($S1180),COUNTIFS($A$14:$A$1213,$A1180,$S$14:$S$1213,"&gt;"&amp;$S1180)+(COUNTIFS($A$14:$A$1213,$A1180,$S$14:$S$1213,"="&amp;$S1180)+1)/2,"")</f>
        <v/>
      </c>
      <c r="AG1180" s="27">
        <f>IF(ISNUMBER($T1180),COUNTIFS($A$14:$A$1213,$A1180,$T$14:$T$1213,"&gt;"&amp;$T1180)+(COUNTIFS($A$14:$A$1213,$A1180,$T$14:$T$1213,"="&amp;$T1180)+1)/2,"")</f>
        <v/>
      </c>
      <c r="AH1180" s="27">
        <f>IF(COUNT($AC1180:$AG1180)&lt;2,"",IF(MAX($AC1180:$AG1180)=MIN($AC1180:$AG1180),0,1))</f>
        <v/>
      </c>
      <c r="AI1180" s="27">
        <f>IF($A1180="","",IF(COUNTIF($A$14:$A1180,$A1180)=1,COUNTIF($AI$13:AI1179,"&gt;0")+1,""))</f>
        <v/>
      </c>
      <c r="AO1180" s="27">
        <f>IF($A1180="","",IF(AND(COUNTIFS($A$14:$A$1213,$A1180,$F$14:$F$1213,"&gt;=0")=2,IFERROR(INDEX($M$14:$M$313,MATCH($A1180,$H$14:$H$313,0)),"Yes")&lt;&gt;"Yes"),1,0))</f>
        <v/>
      </c>
    </row>
    <row r="1181">
      <c r="A1181" s="19">
        <f>IF('Enter messages'!A1181="","",'Enter messages'!A1181)</f>
        <v/>
      </c>
      <c r="B1181" s="20">
        <f>IF('Enter messages'!B1181="","",'Enter messages'!B1181)</f>
        <v/>
      </c>
      <c r="C1181" s="21">
        <f>IFERROR(AVERAGE(P1181:T1181),"")</f>
        <v/>
      </c>
      <c r="D1181" s="29" t="n"/>
      <c r="E1181" s="29" t="n"/>
      <c r="F1181" s="30">
        <f>IF(AND(ISNUMBER($D1181),ISNUMBER($E1181),$E1181&gt;0,$D1181&lt;=$E1181),$D1181/$E1181,"")</f>
        <v/>
      </c>
      <c r="P1181" s="26" t="n"/>
      <c r="Q1181" s="26" t="n"/>
      <c r="R1181" s="26" t="n"/>
      <c r="S1181" s="26" t="n"/>
      <c r="T1181" s="26" t="n"/>
      <c r="V1181" s="27">
        <f>IF(ISNUMBER($C1181),COUNTIFS($A$14:$A$1213,$A1181,$C$14:$C$1213,"&gt;"&amp;$C1181)+(COUNTIFS($A$14:$A$1213,$A1181,$C$14:$C$1213,"="&amp;$C1181)+1)/2,"")</f>
        <v/>
      </c>
      <c r="W1181" s="27">
        <f>IF(ISNUMBER($F1181),COUNTIFS($A$14:$A$1213,$A1181,$F$14:$F$1213,"&gt;"&amp;$F1181)+(COUNTIFS($A$14:$A$1213,$A1181,$F$14:$F$1213,"="&amp;$F1181)+1)/2,"")</f>
        <v/>
      </c>
      <c r="X1181" s="27">
        <f>IF(OR(NOT(ISNUMBER($V1181)),$AO1181=1),"",$V1181-(COUNTIFS($A$14:$A$1213,$A1181,$C$14:$C$1213,"&gt;=0")+1)/2)</f>
        <v/>
      </c>
      <c r="Y1181" s="27">
        <f>IF(OR(NOT(ISNUMBER($W1181)),$AO1181=1),"",$W1181-(COUNTIFS($A$14:$A$1213,$A1181,$F$14:$F$1213,"&gt;=0")+1)/2)</f>
        <v/>
      </c>
      <c r="Z1181" s="27">
        <f>IF(ISNUMBER($V1181),$A1181&amp;"|"&amp;$V1181,"")</f>
        <v/>
      </c>
      <c r="AA1181" s="27">
        <f>IF(ISNUMBER($W1181),$A1181&amp;"|"&amp;$W1181,"")</f>
        <v/>
      </c>
      <c r="AB1181" s="27">
        <f>IF(ISNUMBER($F1181),$A1181&amp;"|"&amp;$F1181,"")</f>
        <v/>
      </c>
      <c r="AC1181" s="27">
        <f>IF(ISNUMBER($P1181),COUNTIFS($A$14:$A$1213,$A1181,$P$14:$P$1213,"&gt;"&amp;$P1181)+(COUNTIFS($A$14:$A$1213,$A1181,$P$14:$P$1213,"="&amp;$P1181)+1)/2,"")</f>
        <v/>
      </c>
      <c r="AD1181" s="27">
        <f>IF(ISNUMBER($Q1181),COUNTIFS($A$14:$A$1213,$A1181,$Q$14:$Q$1213,"&gt;"&amp;$Q1181)+(COUNTIFS($A$14:$A$1213,$A1181,$Q$14:$Q$1213,"="&amp;$Q1181)+1)/2,"")</f>
        <v/>
      </c>
      <c r="AE1181" s="27">
        <f>IF(ISNUMBER($R1181),COUNTIFS($A$14:$A$1213,$A1181,$R$14:$R$1213,"&gt;"&amp;$R1181)+(COUNTIFS($A$14:$A$1213,$A1181,$R$14:$R$1213,"="&amp;$R1181)+1)/2,"")</f>
        <v/>
      </c>
      <c r="AF1181" s="27">
        <f>IF(ISNUMBER($S1181),COUNTIFS($A$14:$A$1213,$A1181,$S$14:$S$1213,"&gt;"&amp;$S1181)+(COUNTIFS($A$14:$A$1213,$A1181,$S$14:$S$1213,"="&amp;$S1181)+1)/2,"")</f>
        <v/>
      </c>
      <c r="AG1181" s="27">
        <f>IF(ISNUMBER($T1181),COUNTIFS($A$14:$A$1213,$A1181,$T$14:$T$1213,"&gt;"&amp;$T1181)+(COUNTIFS($A$14:$A$1213,$A1181,$T$14:$T$1213,"="&amp;$T1181)+1)/2,"")</f>
        <v/>
      </c>
      <c r="AH1181" s="27">
        <f>IF(COUNT($AC1181:$AG1181)&lt;2,"",IF(MAX($AC1181:$AG1181)=MIN($AC1181:$AG1181),0,1))</f>
        <v/>
      </c>
      <c r="AI1181" s="27">
        <f>IF($A1181="","",IF(COUNTIF($A$14:$A1181,$A1181)=1,COUNTIF($AI$13:AI1180,"&gt;0")+1,""))</f>
        <v/>
      </c>
      <c r="AO1181" s="27">
        <f>IF($A1181="","",IF(AND(COUNTIFS($A$14:$A$1213,$A1181,$F$14:$F$1213,"&gt;=0")=2,IFERROR(INDEX($M$14:$M$313,MATCH($A1181,$H$14:$H$313,0)),"Yes")&lt;&gt;"Yes"),1,0))</f>
        <v/>
      </c>
    </row>
    <row r="1182">
      <c r="A1182" s="19">
        <f>IF('Enter messages'!A1182="","",'Enter messages'!A1182)</f>
        <v/>
      </c>
      <c r="B1182" s="20">
        <f>IF('Enter messages'!B1182="","",'Enter messages'!B1182)</f>
        <v/>
      </c>
      <c r="C1182" s="21">
        <f>IFERROR(AVERAGE(P1182:T1182),"")</f>
        <v/>
      </c>
      <c r="D1182" s="29" t="n"/>
      <c r="E1182" s="29" t="n"/>
      <c r="F1182" s="30">
        <f>IF(AND(ISNUMBER($D1182),ISNUMBER($E1182),$E1182&gt;0,$D1182&lt;=$E1182),$D1182/$E1182,"")</f>
        <v/>
      </c>
      <c r="P1182" s="26" t="n"/>
      <c r="Q1182" s="26" t="n"/>
      <c r="R1182" s="26" t="n"/>
      <c r="S1182" s="26" t="n"/>
      <c r="T1182" s="26" t="n"/>
      <c r="V1182" s="27">
        <f>IF(ISNUMBER($C1182),COUNTIFS($A$14:$A$1213,$A1182,$C$14:$C$1213,"&gt;"&amp;$C1182)+(COUNTIFS($A$14:$A$1213,$A1182,$C$14:$C$1213,"="&amp;$C1182)+1)/2,"")</f>
        <v/>
      </c>
      <c r="W1182" s="27">
        <f>IF(ISNUMBER($F1182),COUNTIFS($A$14:$A$1213,$A1182,$F$14:$F$1213,"&gt;"&amp;$F1182)+(COUNTIFS($A$14:$A$1213,$A1182,$F$14:$F$1213,"="&amp;$F1182)+1)/2,"")</f>
        <v/>
      </c>
      <c r="X1182" s="27">
        <f>IF(OR(NOT(ISNUMBER($V1182)),$AO1182=1),"",$V1182-(COUNTIFS($A$14:$A$1213,$A1182,$C$14:$C$1213,"&gt;=0")+1)/2)</f>
        <v/>
      </c>
      <c r="Y1182" s="27">
        <f>IF(OR(NOT(ISNUMBER($W1182)),$AO1182=1),"",$W1182-(COUNTIFS($A$14:$A$1213,$A1182,$F$14:$F$1213,"&gt;=0")+1)/2)</f>
        <v/>
      </c>
      <c r="Z1182" s="27">
        <f>IF(ISNUMBER($V1182),$A1182&amp;"|"&amp;$V1182,"")</f>
        <v/>
      </c>
      <c r="AA1182" s="27">
        <f>IF(ISNUMBER($W1182),$A1182&amp;"|"&amp;$W1182,"")</f>
        <v/>
      </c>
      <c r="AB1182" s="27">
        <f>IF(ISNUMBER($F1182),$A1182&amp;"|"&amp;$F1182,"")</f>
        <v/>
      </c>
      <c r="AC1182" s="27">
        <f>IF(ISNUMBER($P1182),COUNTIFS($A$14:$A$1213,$A1182,$P$14:$P$1213,"&gt;"&amp;$P1182)+(COUNTIFS($A$14:$A$1213,$A1182,$P$14:$P$1213,"="&amp;$P1182)+1)/2,"")</f>
        <v/>
      </c>
      <c r="AD1182" s="27">
        <f>IF(ISNUMBER($Q1182),COUNTIFS($A$14:$A$1213,$A1182,$Q$14:$Q$1213,"&gt;"&amp;$Q1182)+(COUNTIFS($A$14:$A$1213,$A1182,$Q$14:$Q$1213,"="&amp;$Q1182)+1)/2,"")</f>
        <v/>
      </c>
      <c r="AE1182" s="27">
        <f>IF(ISNUMBER($R1182),COUNTIFS($A$14:$A$1213,$A1182,$R$14:$R$1213,"&gt;"&amp;$R1182)+(COUNTIFS($A$14:$A$1213,$A1182,$R$14:$R$1213,"="&amp;$R1182)+1)/2,"")</f>
        <v/>
      </c>
      <c r="AF1182" s="27">
        <f>IF(ISNUMBER($S1182),COUNTIFS($A$14:$A$1213,$A1182,$S$14:$S$1213,"&gt;"&amp;$S1182)+(COUNTIFS($A$14:$A$1213,$A1182,$S$14:$S$1213,"="&amp;$S1182)+1)/2,"")</f>
        <v/>
      </c>
      <c r="AG1182" s="27">
        <f>IF(ISNUMBER($T1182),COUNTIFS($A$14:$A$1213,$A1182,$T$14:$T$1213,"&gt;"&amp;$T1182)+(COUNTIFS($A$14:$A$1213,$A1182,$T$14:$T$1213,"="&amp;$T1182)+1)/2,"")</f>
        <v/>
      </c>
      <c r="AH1182" s="27">
        <f>IF(COUNT($AC1182:$AG1182)&lt;2,"",IF(MAX($AC1182:$AG1182)=MIN($AC1182:$AG1182),0,1))</f>
        <v/>
      </c>
      <c r="AI1182" s="27">
        <f>IF($A1182="","",IF(COUNTIF($A$14:$A1182,$A1182)=1,COUNTIF($AI$13:AI1181,"&gt;0")+1,""))</f>
        <v/>
      </c>
      <c r="AO1182" s="27">
        <f>IF($A1182="","",IF(AND(COUNTIFS($A$14:$A$1213,$A1182,$F$14:$F$1213,"&gt;=0")=2,IFERROR(INDEX($M$14:$M$313,MATCH($A1182,$H$14:$H$313,0)),"Yes")&lt;&gt;"Yes"),1,0))</f>
        <v/>
      </c>
    </row>
    <row r="1183">
      <c r="A1183" s="19">
        <f>IF('Enter messages'!A1183="","",'Enter messages'!A1183)</f>
        <v/>
      </c>
      <c r="B1183" s="20">
        <f>IF('Enter messages'!B1183="","",'Enter messages'!B1183)</f>
        <v/>
      </c>
      <c r="C1183" s="21">
        <f>IFERROR(AVERAGE(P1183:T1183),"")</f>
        <v/>
      </c>
      <c r="D1183" s="29" t="n"/>
      <c r="E1183" s="29" t="n"/>
      <c r="F1183" s="30">
        <f>IF(AND(ISNUMBER($D1183),ISNUMBER($E1183),$E1183&gt;0,$D1183&lt;=$E1183),$D1183/$E1183,"")</f>
        <v/>
      </c>
      <c r="P1183" s="26" t="n"/>
      <c r="Q1183" s="26" t="n"/>
      <c r="R1183" s="26" t="n"/>
      <c r="S1183" s="26" t="n"/>
      <c r="T1183" s="26" t="n"/>
      <c r="V1183" s="27">
        <f>IF(ISNUMBER($C1183),COUNTIFS($A$14:$A$1213,$A1183,$C$14:$C$1213,"&gt;"&amp;$C1183)+(COUNTIFS($A$14:$A$1213,$A1183,$C$14:$C$1213,"="&amp;$C1183)+1)/2,"")</f>
        <v/>
      </c>
      <c r="W1183" s="27">
        <f>IF(ISNUMBER($F1183),COUNTIFS($A$14:$A$1213,$A1183,$F$14:$F$1213,"&gt;"&amp;$F1183)+(COUNTIFS($A$14:$A$1213,$A1183,$F$14:$F$1213,"="&amp;$F1183)+1)/2,"")</f>
        <v/>
      </c>
      <c r="X1183" s="27">
        <f>IF(OR(NOT(ISNUMBER($V1183)),$AO1183=1),"",$V1183-(COUNTIFS($A$14:$A$1213,$A1183,$C$14:$C$1213,"&gt;=0")+1)/2)</f>
        <v/>
      </c>
      <c r="Y1183" s="27">
        <f>IF(OR(NOT(ISNUMBER($W1183)),$AO1183=1),"",$W1183-(COUNTIFS($A$14:$A$1213,$A1183,$F$14:$F$1213,"&gt;=0")+1)/2)</f>
        <v/>
      </c>
      <c r="Z1183" s="27">
        <f>IF(ISNUMBER($V1183),$A1183&amp;"|"&amp;$V1183,"")</f>
        <v/>
      </c>
      <c r="AA1183" s="27">
        <f>IF(ISNUMBER($W1183),$A1183&amp;"|"&amp;$W1183,"")</f>
        <v/>
      </c>
      <c r="AB1183" s="27">
        <f>IF(ISNUMBER($F1183),$A1183&amp;"|"&amp;$F1183,"")</f>
        <v/>
      </c>
      <c r="AC1183" s="27">
        <f>IF(ISNUMBER($P1183),COUNTIFS($A$14:$A$1213,$A1183,$P$14:$P$1213,"&gt;"&amp;$P1183)+(COUNTIFS($A$14:$A$1213,$A1183,$P$14:$P$1213,"="&amp;$P1183)+1)/2,"")</f>
        <v/>
      </c>
      <c r="AD1183" s="27">
        <f>IF(ISNUMBER($Q1183),COUNTIFS($A$14:$A$1213,$A1183,$Q$14:$Q$1213,"&gt;"&amp;$Q1183)+(COUNTIFS($A$14:$A$1213,$A1183,$Q$14:$Q$1213,"="&amp;$Q1183)+1)/2,"")</f>
        <v/>
      </c>
      <c r="AE1183" s="27">
        <f>IF(ISNUMBER($R1183),COUNTIFS($A$14:$A$1213,$A1183,$R$14:$R$1213,"&gt;"&amp;$R1183)+(COUNTIFS($A$14:$A$1213,$A1183,$R$14:$R$1213,"="&amp;$R1183)+1)/2,"")</f>
        <v/>
      </c>
      <c r="AF1183" s="27">
        <f>IF(ISNUMBER($S1183),COUNTIFS($A$14:$A$1213,$A1183,$S$14:$S$1213,"&gt;"&amp;$S1183)+(COUNTIFS($A$14:$A$1213,$A1183,$S$14:$S$1213,"="&amp;$S1183)+1)/2,"")</f>
        <v/>
      </c>
      <c r="AG1183" s="27">
        <f>IF(ISNUMBER($T1183),COUNTIFS($A$14:$A$1213,$A1183,$T$14:$T$1213,"&gt;"&amp;$T1183)+(COUNTIFS($A$14:$A$1213,$A1183,$T$14:$T$1213,"="&amp;$T1183)+1)/2,"")</f>
        <v/>
      </c>
      <c r="AH1183" s="27">
        <f>IF(COUNT($AC1183:$AG1183)&lt;2,"",IF(MAX($AC1183:$AG1183)=MIN($AC1183:$AG1183),0,1))</f>
        <v/>
      </c>
      <c r="AI1183" s="27">
        <f>IF($A1183="","",IF(COUNTIF($A$14:$A1183,$A1183)=1,COUNTIF($AI$13:AI1182,"&gt;0")+1,""))</f>
        <v/>
      </c>
      <c r="AO1183" s="27">
        <f>IF($A1183="","",IF(AND(COUNTIFS($A$14:$A$1213,$A1183,$F$14:$F$1213,"&gt;=0")=2,IFERROR(INDEX($M$14:$M$313,MATCH($A1183,$H$14:$H$313,0)),"Yes")&lt;&gt;"Yes"),1,0))</f>
        <v/>
      </c>
    </row>
    <row r="1184">
      <c r="A1184" s="19">
        <f>IF('Enter messages'!A1184="","",'Enter messages'!A1184)</f>
        <v/>
      </c>
      <c r="B1184" s="20">
        <f>IF('Enter messages'!B1184="","",'Enter messages'!B1184)</f>
        <v/>
      </c>
      <c r="C1184" s="21">
        <f>IFERROR(AVERAGE(P1184:T1184),"")</f>
        <v/>
      </c>
      <c r="D1184" s="29" t="n"/>
      <c r="E1184" s="29" t="n"/>
      <c r="F1184" s="30">
        <f>IF(AND(ISNUMBER($D1184),ISNUMBER($E1184),$E1184&gt;0,$D1184&lt;=$E1184),$D1184/$E1184,"")</f>
        <v/>
      </c>
      <c r="P1184" s="26" t="n"/>
      <c r="Q1184" s="26" t="n"/>
      <c r="R1184" s="26" t="n"/>
      <c r="S1184" s="26" t="n"/>
      <c r="T1184" s="26" t="n"/>
      <c r="V1184" s="27">
        <f>IF(ISNUMBER($C1184),COUNTIFS($A$14:$A$1213,$A1184,$C$14:$C$1213,"&gt;"&amp;$C1184)+(COUNTIFS($A$14:$A$1213,$A1184,$C$14:$C$1213,"="&amp;$C1184)+1)/2,"")</f>
        <v/>
      </c>
      <c r="W1184" s="27">
        <f>IF(ISNUMBER($F1184),COUNTIFS($A$14:$A$1213,$A1184,$F$14:$F$1213,"&gt;"&amp;$F1184)+(COUNTIFS($A$14:$A$1213,$A1184,$F$14:$F$1213,"="&amp;$F1184)+1)/2,"")</f>
        <v/>
      </c>
      <c r="X1184" s="27">
        <f>IF(OR(NOT(ISNUMBER($V1184)),$AO1184=1),"",$V1184-(COUNTIFS($A$14:$A$1213,$A1184,$C$14:$C$1213,"&gt;=0")+1)/2)</f>
        <v/>
      </c>
      <c r="Y1184" s="27">
        <f>IF(OR(NOT(ISNUMBER($W1184)),$AO1184=1),"",$W1184-(COUNTIFS($A$14:$A$1213,$A1184,$F$14:$F$1213,"&gt;=0")+1)/2)</f>
        <v/>
      </c>
      <c r="Z1184" s="27">
        <f>IF(ISNUMBER($V1184),$A1184&amp;"|"&amp;$V1184,"")</f>
        <v/>
      </c>
      <c r="AA1184" s="27">
        <f>IF(ISNUMBER($W1184),$A1184&amp;"|"&amp;$W1184,"")</f>
        <v/>
      </c>
      <c r="AB1184" s="27">
        <f>IF(ISNUMBER($F1184),$A1184&amp;"|"&amp;$F1184,"")</f>
        <v/>
      </c>
      <c r="AC1184" s="27">
        <f>IF(ISNUMBER($P1184),COUNTIFS($A$14:$A$1213,$A1184,$P$14:$P$1213,"&gt;"&amp;$P1184)+(COUNTIFS($A$14:$A$1213,$A1184,$P$14:$P$1213,"="&amp;$P1184)+1)/2,"")</f>
        <v/>
      </c>
      <c r="AD1184" s="27">
        <f>IF(ISNUMBER($Q1184),COUNTIFS($A$14:$A$1213,$A1184,$Q$14:$Q$1213,"&gt;"&amp;$Q1184)+(COUNTIFS($A$14:$A$1213,$A1184,$Q$14:$Q$1213,"="&amp;$Q1184)+1)/2,"")</f>
        <v/>
      </c>
      <c r="AE1184" s="27">
        <f>IF(ISNUMBER($R1184),COUNTIFS($A$14:$A$1213,$A1184,$R$14:$R$1213,"&gt;"&amp;$R1184)+(COUNTIFS($A$14:$A$1213,$A1184,$R$14:$R$1213,"="&amp;$R1184)+1)/2,"")</f>
        <v/>
      </c>
      <c r="AF1184" s="27">
        <f>IF(ISNUMBER($S1184),COUNTIFS($A$14:$A$1213,$A1184,$S$14:$S$1213,"&gt;"&amp;$S1184)+(COUNTIFS($A$14:$A$1213,$A1184,$S$14:$S$1213,"="&amp;$S1184)+1)/2,"")</f>
        <v/>
      </c>
      <c r="AG1184" s="27">
        <f>IF(ISNUMBER($T1184),COUNTIFS($A$14:$A$1213,$A1184,$T$14:$T$1213,"&gt;"&amp;$T1184)+(COUNTIFS($A$14:$A$1213,$A1184,$T$14:$T$1213,"="&amp;$T1184)+1)/2,"")</f>
        <v/>
      </c>
      <c r="AH1184" s="27">
        <f>IF(COUNT($AC1184:$AG1184)&lt;2,"",IF(MAX($AC1184:$AG1184)=MIN($AC1184:$AG1184),0,1))</f>
        <v/>
      </c>
      <c r="AI1184" s="27">
        <f>IF($A1184="","",IF(COUNTIF($A$14:$A1184,$A1184)=1,COUNTIF($AI$13:AI1183,"&gt;0")+1,""))</f>
        <v/>
      </c>
      <c r="AO1184" s="27">
        <f>IF($A1184="","",IF(AND(COUNTIFS($A$14:$A$1213,$A1184,$F$14:$F$1213,"&gt;=0")=2,IFERROR(INDEX($M$14:$M$313,MATCH($A1184,$H$14:$H$313,0)),"Yes")&lt;&gt;"Yes"),1,0))</f>
        <v/>
      </c>
    </row>
    <row r="1185">
      <c r="A1185" s="19">
        <f>IF('Enter messages'!A1185="","",'Enter messages'!A1185)</f>
        <v/>
      </c>
      <c r="B1185" s="20">
        <f>IF('Enter messages'!B1185="","",'Enter messages'!B1185)</f>
        <v/>
      </c>
      <c r="C1185" s="21">
        <f>IFERROR(AVERAGE(P1185:T1185),"")</f>
        <v/>
      </c>
      <c r="D1185" s="29" t="n"/>
      <c r="E1185" s="29" t="n"/>
      <c r="F1185" s="30">
        <f>IF(AND(ISNUMBER($D1185),ISNUMBER($E1185),$E1185&gt;0,$D1185&lt;=$E1185),$D1185/$E1185,"")</f>
        <v/>
      </c>
      <c r="P1185" s="26" t="n"/>
      <c r="Q1185" s="26" t="n"/>
      <c r="R1185" s="26" t="n"/>
      <c r="S1185" s="26" t="n"/>
      <c r="T1185" s="26" t="n"/>
      <c r="V1185" s="27">
        <f>IF(ISNUMBER($C1185),COUNTIFS($A$14:$A$1213,$A1185,$C$14:$C$1213,"&gt;"&amp;$C1185)+(COUNTIFS($A$14:$A$1213,$A1185,$C$14:$C$1213,"="&amp;$C1185)+1)/2,"")</f>
        <v/>
      </c>
      <c r="W1185" s="27">
        <f>IF(ISNUMBER($F1185),COUNTIFS($A$14:$A$1213,$A1185,$F$14:$F$1213,"&gt;"&amp;$F1185)+(COUNTIFS($A$14:$A$1213,$A1185,$F$14:$F$1213,"="&amp;$F1185)+1)/2,"")</f>
        <v/>
      </c>
      <c r="X1185" s="27">
        <f>IF(OR(NOT(ISNUMBER($V1185)),$AO1185=1),"",$V1185-(COUNTIFS($A$14:$A$1213,$A1185,$C$14:$C$1213,"&gt;=0")+1)/2)</f>
        <v/>
      </c>
      <c r="Y1185" s="27">
        <f>IF(OR(NOT(ISNUMBER($W1185)),$AO1185=1),"",$W1185-(COUNTIFS($A$14:$A$1213,$A1185,$F$14:$F$1213,"&gt;=0")+1)/2)</f>
        <v/>
      </c>
      <c r="Z1185" s="27">
        <f>IF(ISNUMBER($V1185),$A1185&amp;"|"&amp;$V1185,"")</f>
        <v/>
      </c>
      <c r="AA1185" s="27">
        <f>IF(ISNUMBER($W1185),$A1185&amp;"|"&amp;$W1185,"")</f>
        <v/>
      </c>
      <c r="AB1185" s="27">
        <f>IF(ISNUMBER($F1185),$A1185&amp;"|"&amp;$F1185,"")</f>
        <v/>
      </c>
      <c r="AC1185" s="27">
        <f>IF(ISNUMBER($P1185),COUNTIFS($A$14:$A$1213,$A1185,$P$14:$P$1213,"&gt;"&amp;$P1185)+(COUNTIFS($A$14:$A$1213,$A1185,$P$14:$P$1213,"="&amp;$P1185)+1)/2,"")</f>
        <v/>
      </c>
      <c r="AD1185" s="27">
        <f>IF(ISNUMBER($Q1185),COUNTIFS($A$14:$A$1213,$A1185,$Q$14:$Q$1213,"&gt;"&amp;$Q1185)+(COUNTIFS($A$14:$A$1213,$A1185,$Q$14:$Q$1213,"="&amp;$Q1185)+1)/2,"")</f>
        <v/>
      </c>
      <c r="AE1185" s="27">
        <f>IF(ISNUMBER($R1185),COUNTIFS($A$14:$A$1213,$A1185,$R$14:$R$1213,"&gt;"&amp;$R1185)+(COUNTIFS($A$14:$A$1213,$A1185,$R$14:$R$1213,"="&amp;$R1185)+1)/2,"")</f>
        <v/>
      </c>
      <c r="AF1185" s="27">
        <f>IF(ISNUMBER($S1185),COUNTIFS($A$14:$A$1213,$A1185,$S$14:$S$1213,"&gt;"&amp;$S1185)+(COUNTIFS($A$14:$A$1213,$A1185,$S$14:$S$1213,"="&amp;$S1185)+1)/2,"")</f>
        <v/>
      </c>
      <c r="AG1185" s="27">
        <f>IF(ISNUMBER($T1185),COUNTIFS($A$14:$A$1213,$A1185,$T$14:$T$1213,"&gt;"&amp;$T1185)+(COUNTIFS($A$14:$A$1213,$A1185,$T$14:$T$1213,"="&amp;$T1185)+1)/2,"")</f>
        <v/>
      </c>
      <c r="AH1185" s="27">
        <f>IF(COUNT($AC1185:$AG1185)&lt;2,"",IF(MAX($AC1185:$AG1185)=MIN($AC1185:$AG1185),0,1))</f>
        <v/>
      </c>
      <c r="AI1185" s="27">
        <f>IF($A1185="","",IF(COUNTIF($A$14:$A1185,$A1185)=1,COUNTIF($AI$13:AI1184,"&gt;0")+1,""))</f>
        <v/>
      </c>
      <c r="AO1185" s="27">
        <f>IF($A1185="","",IF(AND(COUNTIFS($A$14:$A$1213,$A1185,$F$14:$F$1213,"&gt;=0")=2,IFERROR(INDEX($M$14:$M$313,MATCH($A1185,$H$14:$H$313,0)),"Yes")&lt;&gt;"Yes"),1,0))</f>
        <v/>
      </c>
    </row>
    <row r="1186">
      <c r="A1186" s="19">
        <f>IF('Enter messages'!A1186="","",'Enter messages'!A1186)</f>
        <v/>
      </c>
      <c r="B1186" s="20">
        <f>IF('Enter messages'!B1186="","",'Enter messages'!B1186)</f>
        <v/>
      </c>
      <c r="C1186" s="21">
        <f>IFERROR(AVERAGE(P1186:T1186),"")</f>
        <v/>
      </c>
      <c r="D1186" s="29" t="n"/>
      <c r="E1186" s="29" t="n"/>
      <c r="F1186" s="30">
        <f>IF(AND(ISNUMBER($D1186),ISNUMBER($E1186),$E1186&gt;0,$D1186&lt;=$E1186),$D1186/$E1186,"")</f>
        <v/>
      </c>
      <c r="P1186" s="26" t="n"/>
      <c r="Q1186" s="26" t="n"/>
      <c r="R1186" s="26" t="n"/>
      <c r="S1186" s="26" t="n"/>
      <c r="T1186" s="26" t="n"/>
      <c r="V1186" s="27">
        <f>IF(ISNUMBER($C1186),COUNTIFS($A$14:$A$1213,$A1186,$C$14:$C$1213,"&gt;"&amp;$C1186)+(COUNTIFS($A$14:$A$1213,$A1186,$C$14:$C$1213,"="&amp;$C1186)+1)/2,"")</f>
        <v/>
      </c>
      <c r="W1186" s="27">
        <f>IF(ISNUMBER($F1186),COUNTIFS($A$14:$A$1213,$A1186,$F$14:$F$1213,"&gt;"&amp;$F1186)+(COUNTIFS($A$14:$A$1213,$A1186,$F$14:$F$1213,"="&amp;$F1186)+1)/2,"")</f>
        <v/>
      </c>
      <c r="X1186" s="27">
        <f>IF(OR(NOT(ISNUMBER($V1186)),$AO1186=1),"",$V1186-(COUNTIFS($A$14:$A$1213,$A1186,$C$14:$C$1213,"&gt;=0")+1)/2)</f>
        <v/>
      </c>
      <c r="Y1186" s="27">
        <f>IF(OR(NOT(ISNUMBER($W1186)),$AO1186=1),"",$W1186-(COUNTIFS($A$14:$A$1213,$A1186,$F$14:$F$1213,"&gt;=0")+1)/2)</f>
        <v/>
      </c>
      <c r="Z1186" s="27">
        <f>IF(ISNUMBER($V1186),$A1186&amp;"|"&amp;$V1186,"")</f>
        <v/>
      </c>
      <c r="AA1186" s="27">
        <f>IF(ISNUMBER($W1186),$A1186&amp;"|"&amp;$W1186,"")</f>
        <v/>
      </c>
      <c r="AB1186" s="27">
        <f>IF(ISNUMBER($F1186),$A1186&amp;"|"&amp;$F1186,"")</f>
        <v/>
      </c>
      <c r="AC1186" s="27">
        <f>IF(ISNUMBER($P1186),COUNTIFS($A$14:$A$1213,$A1186,$P$14:$P$1213,"&gt;"&amp;$P1186)+(COUNTIFS($A$14:$A$1213,$A1186,$P$14:$P$1213,"="&amp;$P1186)+1)/2,"")</f>
        <v/>
      </c>
      <c r="AD1186" s="27">
        <f>IF(ISNUMBER($Q1186),COUNTIFS($A$14:$A$1213,$A1186,$Q$14:$Q$1213,"&gt;"&amp;$Q1186)+(COUNTIFS($A$14:$A$1213,$A1186,$Q$14:$Q$1213,"="&amp;$Q1186)+1)/2,"")</f>
        <v/>
      </c>
      <c r="AE1186" s="27">
        <f>IF(ISNUMBER($R1186),COUNTIFS($A$14:$A$1213,$A1186,$R$14:$R$1213,"&gt;"&amp;$R1186)+(COUNTIFS($A$14:$A$1213,$A1186,$R$14:$R$1213,"="&amp;$R1186)+1)/2,"")</f>
        <v/>
      </c>
      <c r="AF1186" s="27">
        <f>IF(ISNUMBER($S1186),COUNTIFS($A$14:$A$1213,$A1186,$S$14:$S$1213,"&gt;"&amp;$S1186)+(COUNTIFS($A$14:$A$1213,$A1186,$S$14:$S$1213,"="&amp;$S1186)+1)/2,"")</f>
        <v/>
      </c>
      <c r="AG1186" s="27">
        <f>IF(ISNUMBER($T1186),COUNTIFS($A$14:$A$1213,$A1186,$T$14:$T$1213,"&gt;"&amp;$T1186)+(COUNTIFS($A$14:$A$1213,$A1186,$T$14:$T$1213,"="&amp;$T1186)+1)/2,"")</f>
        <v/>
      </c>
      <c r="AH1186" s="27">
        <f>IF(COUNT($AC1186:$AG1186)&lt;2,"",IF(MAX($AC1186:$AG1186)=MIN($AC1186:$AG1186),0,1))</f>
        <v/>
      </c>
      <c r="AI1186" s="27">
        <f>IF($A1186="","",IF(COUNTIF($A$14:$A1186,$A1186)=1,COUNTIF($AI$13:AI1185,"&gt;0")+1,""))</f>
        <v/>
      </c>
      <c r="AO1186" s="27">
        <f>IF($A1186="","",IF(AND(COUNTIFS($A$14:$A$1213,$A1186,$F$14:$F$1213,"&gt;=0")=2,IFERROR(INDEX($M$14:$M$313,MATCH($A1186,$H$14:$H$313,0)),"Yes")&lt;&gt;"Yes"),1,0))</f>
        <v/>
      </c>
    </row>
    <row r="1187">
      <c r="A1187" s="19">
        <f>IF('Enter messages'!A1187="","",'Enter messages'!A1187)</f>
        <v/>
      </c>
      <c r="B1187" s="20">
        <f>IF('Enter messages'!B1187="","",'Enter messages'!B1187)</f>
        <v/>
      </c>
      <c r="C1187" s="21">
        <f>IFERROR(AVERAGE(P1187:T1187),"")</f>
        <v/>
      </c>
      <c r="D1187" s="29" t="n"/>
      <c r="E1187" s="29" t="n"/>
      <c r="F1187" s="30">
        <f>IF(AND(ISNUMBER($D1187),ISNUMBER($E1187),$E1187&gt;0,$D1187&lt;=$E1187),$D1187/$E1187,"")</f>
        <v/>
      </c>
      <c r="P1187" s="26" t="n"/>
      <c r="Q1187" s="26" t="n"/>
      <c r="R1187" s="26" t="n"/>
      <c r="S1187" s="26" t="n"/>
      <c r="T1187" s="26" t="n"/>
      <c r="V1187" s="27">
        <f>IF(ISNUMBER($C1187),COUNTIFS($A$14:$A$1213,$A1187,$C$14:$C$1213,"&gt;"&amp;$C1187)+(COUNTIFS($A$14:$A$1213,$A1187,$C$14:$C$1213,"="&amp;$C1187)+1)/2,"")</f>
        <v/>
      </c>
      <c r="W1187" s="27">
        <f>IF(ISNUMBER($F1187),COUNTIFS($A$14:$A$1213,$A1187,$F$14:$F$1213,"&gt;"&amp;$F1187)+(COUNTIFS($A$14:$A$1213,$A1187,$F$14:$F$1213,"="&amp;$F1187)+1)/2,"")</f>
        <v/>
      </c>
      <c r="X1187" s="27">
        <f>IF(OR(NOT(ISNUMBER($V1187)),$AO1187=1),"",$V1187-(COUNTIFS($A$14:$A$1213,$A1187,$C$14:$C$1213,"&gt;=0")+1)/2)</f>
        <v/>
      </c>
      <c r="Y1187" s="27">
        <f>IF(OR(NOT(ISNUMBER($W1187)),$AO1187=1),"",$W1187-(COUNTIFS($A$14:$A$1213,$A1187,$F$14:$F$1213,"&gt;=0")+1)/2)</f>
        <v/>
      </c>
      <c r="Z1187" s="27">
        <f>IF(ISNUMBER($V1187),$A1187&amp;"|"&amp;$V1187,"")</f>
        <v/>
      </c>
      <c r="AA1187" s="27">
        <f>IF(ISNUMBER($W1187),$A1187&amp;"|"&amp;$W1187,"")</f>
        <v/>
      </c>
      <c r="AB1187" s="27">
        <f>IF(ISNUMBER($F1187),$A1187&amp;"|"&amp;$F1187,"")</f>
        <v/>
      </c>
      <c r="AC1187" s="27">
        <f>IF(ISNUMBER($P1187),COUNTIFS($A$14:$A$1213,$A1187,$P$14:$P$1213,"&gt;"&amp;$P1187)+(COUNTIFS($A$14:$A$1213,$A1187,$P$14:$P$1213,"="&amp;$P1187)+1)/2,"")</f>
        <v/>
      </c>
      <c r="AD1187" s="27">
        <f>IF(ISNUMBER($Q1187),COUNTIFS($A$14:$A$1213,$A1187,$Q$14:$Q$1213,"&gt;"&amp;$Q1187)+(COUNTIFS($A$14:$A$1213,$A1187,$Q$14:$Q$1213,"="&amp;$Q1187)+1)/2,"")</f>
        <v/>
      </c>
      <c r="AE1187" s="27">
        <f>IF(ISNUMBER($R1187),COUNTIFS($A$14:$A$1213,$A1187,$R$14:$R$1213,"&gt;"&amp;$R1187)+(COUNTIFS($A$14:$A$1213,$A1187,$R$14:$R$1213,"="&amp;$R1187)+1)/2,"")</f>
        <v/>
      </c>
      <c r="AF1187" s="27">
        <f>IF(ISNUMBER($S1187),COUNTIFS($A$14:$A$1213,$A1187,$S$14:$S$1213,"&gt;"&amp;$S1187)+(COUNTIFS($A$14:$A$1213,$A1187,$S$14:$S$1213,"="&amp;$S1187)+1)/2,"")</f>
        <v/>
      </c>
      <c r="AG1187" s="27">
        <f>IF(ISNUMBER($T1187),COUNTIFS($A$14:$A$1213,$A1187,$T$14:$T$1213,"&gt;"&amp;$T1187)+(COUNTIFS($A$14:$A$1213,$A1187,$T$14:$T$1213,"="&amp;$T1187)+1)/2,"")</f>
        <v/>
      </c>
      <c r="AH1187" s="27">
        <f>IF(COUNT($AC1187:$AG1187)&lt;2,"",IF(MAX($AC1187:$AG1187)=MIN($AC1187:$AG1187),0,1))</f>
        <v/>
      </c>
      <c r="AI1187" s="27">
        <f>IF($A1187="","",IF(COUNTIF($A$14:$A1187,$A1187)=1,COUNTIF($AI$13:AI1186,"&gt;0")+1,""))</f>
        <v/>
      </c>
      <c r="AO1187" s="27">
        <f>IF($A1187="","",IF(AND(COUNTIFS($A$14:$A$1213,$A1187,$F$14:$F$1213,"&gt;=0")=2,IFERROR(INDEX($M$14:$M$313,MATCH($A1187,$H$14:$H$313,0)),"Yes")&lt;&gt;"Yes"),1,0))</f>
        <v/>
      </c>
    </row>
    <row r="1188">
      <c r="A1188" s="19">
        <f>IF('Enter messages'!A1188="","",'Enter messages'!A1188)</f>
        <v/>
      </c>
      <c r="B1188" s="20">
        <f>IF('Enter messages'!B1188="","",'Enter messages'!B1188)</f>
        <v/>
      </c>
      <c r="C1188" s="21">
        <f>IFERROR(AVERAGE(P1188:T1188),"")</f>
        <v/>
      </c>
      <c r="D1188" s="29" t="n"/>
      <c r="E1188" s="29" t="n"/>
      <c r="F1188" s="30">
        <f>IF(AND(ISNUMBER($D1188),ISNUMBER($E1188),$E1188&gt;0,$D1188&lt;=$E1188),$D1188/$E1188,"")</f>
        <v/>
      </c>
      <c r="P1188" s="26" t="n"/>
      <c r="Q1188" s="26" t="n"/>
      <c r="R1188" s="26" t="n"/>
      <c r="S1188" s="26" t="n"/>
      <c r="T1188" s="26" t="n"/>
      <c r="V1188" s="27">
        <f>IF(ISNUMBER($C1188),COUNTIFS($A$14:$A$1213,$A1188,$C$14:$C$1213,"&gt;"&amp;$C1188)+(COUNTIFS($A$14:$A$1213,$A1188,$C$14:$C$1213,"="&amp;$C1188)+1)/2,"")</f>
        <v/>
      </c>
      <c r="W1188" s="27">
        <f>IF(ISNUMBER($F1188),COUNTIFS($A$14:$A$1213,$A1188,$F$14:$F$1213,"&gt;"&amp;$F1188)+(COUNTIFS($A$14:$A$1213,$A1188,$F$14:$F$1213,"="&amp;$F1188)+1)/2,"")</f>
        <v/>
      </c>
      <c r="X1188" s="27">
        <f>IF(OR(NOT(ISNUMBER($V1188)),$AO1188=1),"",$V1188-(COUNTIFS($A$14:$A$1213,$A1188,$C$14:$C$1213,"&gt;=0")+1)/2)</f>
        <v/>
      </c>
      <c r="Y1188" s="27">
        <f>IF(OR(NOT(ISNUMBER($W1188)),$AO1188=1),"",$W1188-(COUNTIFS($A$14:$A$1213,$A1188,$F$14:$F$1213,"&gt;=0")+1)/2)</f>
        <v/>
      </c>
      <c r="Z1188" s="27">
        <f>IF(ISNUMBER($V1188),$A1188&amp;"|"&amp;$V1188,"")</f>
        <v/>
      </c>
      <c r="AA1188" s="27">
        <f>IF(ISNUMBER($W1188),$A1188&amp;"|"&amp;$W1188,"")</f>
        <v/>
      </c>
      <c r="AB1188" s="27">
        <f>IF(ISNUMBER($F1188),$A1188&amp;"|"&amp;$F1188,"")</f>
        <v/>
      </c>
      <c r="AC1188" s="27">
        <f>IF(ISNUMBER($P1188),COUNTIFS($A$14:$A$1213,$A1188,$P$14:$P$1213,"&gt;"&amp;$P1188)+(COUNTIFS($A$14:$A$1213,$A1188,$P$14:$P$1213,"="&amp;$P1188)+1)/2,"")</f>
        <v/>
      </c>
      <c r="AD1188" s="27">
        <f>IF(ISNUMBER($Q1188),COUNTIFS($A$14:$A$1213,$A1188,$Q$14:$Q$1213,"&gt;"&amp;$Q1188)+(COUNTIFS($A$14:$A$1213,$A1188,$Q$14:$Q$1213,"="&amp;$Q1188)+1)/2,"")</f>
        <v/>
      </c>
      <c r="AE1188" s="27">
        <f>IF(ISNUMBER($R1188),COUNTIFS($A$14:$A$1213,$A1188,$R$14:$R$1213,"&gt;"&amp;$R1188)+(COUNTIFS($A$14:$A$1213,$A1188,$R$14:$R$1213,"="&amp;$R1188)+1)/2,"")</f>
        <v/>
      </c>
      <c r="AF1188" s="27">
        <f>IF(ISNUMBER($S1188),COUNTIFS($A$14:$A$1213,$A1188,$S$14:$S$1213,"&gt;"&amp;$S1188)+(COUNTIFS($A$14:$A$1213,$A1188,$S$14:$S$1213,"="&amp;$S1188)+1)/2,"")</f>
        <v/>
      </c>
      <c r="AG1188" s="27">
        <f>IF(ISNUMBER($T1188),COUNTIFS($A$14:$A$1213,$A1188,$T$14:$T$1213,"&gt;"&amp;$T1188)+(COUNTIFS($A$14:$A$1213,$A1188,$T$14:$T$1213,"="&amp;$T1188)+1)/2,"")</f>
        <v/>
      </c>
      <c r="AH1188" s="27">
        <f>IF(COUNT($AC1188:$AG1188)&lt;2,"",IF(MAX($AC1188:$AG1188)=MIN($AC1188:$AG1188),0,1))</f>
        <v/>
      </c>
      <c r="AI1188" s="27">
        <f>IF($A1188="","",IF(COUNTIF($A$14:$A1188,$A1188)=1,COUNTIF($AI$13:AI1187,"&gt;0")+1,""))</f>
        <v/>
      </c>
      <c r="AO1188" s="27">
        <f>IF($A1188="","",IF(AND(COUNTIFS($A$14:$A$1213,$A1188,$F$14:$F$1213,"&gt;=0")=2,IFERROR(INDEX($M$14:$M$313,MATCH($A1188,$H$14:$H$313,0)),"Yes")&lt;&gt;"Yes"),1,0))</f>
        <v/>
      </c>
    </row>
    <row r="1189">
      <c r="A1189" s="19">
        <f>IF('Enter messages'!A1189="","",'Enter messages'!A1189)</f>
        <v/>
      </c>
      <c r="B1189" s="20">
        <f>IF('Enter messages'!B1189="","",'Enter messages'!B1189)</f>
        <v/>
      </c>
      <c r="C1189" s="21">
        <f>IFERROR(AVERAGE(P1189:T1189),"")</f>
        <v/>
      </c>
      <c r="D1189" s="29" t="n"/>
      <c r="E1189" s="29" t="n"/>
      <c r="F1189" s="30">
        <f>IF(AND(ISNUMBER($D1189),ISNUMBER($E1189),$E1189&gt;0,$D1189&lt;=$E1189),$D1189/$E1189,"")</f>
        <v/>
      </c>
      <c r="P1189" s="26" t="n"/>
      <c r="Q1189" s="26" t="n"/>
      <c r="R1189" s="26" t="n"/>
      <c r="S1189" s="26" t="n"/>
      <c r="T1189" s="26" t="n"/>
      <c r="V1189" s="27">
        <f>IF(ISNUMBER($C1189),COUNTIFS($A$14:$A$1213,$A1189,$C$14:$C$1213,"&gt;"&amp;$C1189)+(COUNTIFS($A$14:$A$1213,$A1189,$C$14:$C$1213,"="&amp;$C1189)+1)/2,"")</f>
        <v/>
      </c>
      <c r="W1189" s="27">
        <f>IF(ISNUMBER($F1189),COUNTIFS($A$14:$A$1213,$A1189,$F$14:$F$1213,"&gt;"&amp;$F1189)+(COUNTIFS($A$14:$A$1213,$A1189,$F$14:$F$1213,"="&amp;$F1189)+1)/2,"")</f>
        <v/>
      </c>
      <c r="X1189" s="27">
        <f>IF(OR(NOT(ISNUMBER($V1189)),$AO1189=1),"",$V1189-(COUNTIFS($A$14:$A$1213,$A1189,$C$14:$C$1213,"&gt;=0")+1)/2)</f>
        <v/>
      </c>
      <c r="Y1189" s="27">
        <f>IF(OR(NOT(ISNUMBER($W1189)),$AO1189=1),"",$W1189-(COUNTIFS($A$14:$A$1213,$A1189,$F$14:$F$1213,"&gt;=0")+1)/2)</f>
        <v/>
      </c>
      <c r="Z1189" s="27">
        <f>IF(ISNUMBER($V1189),$A1189&amp;"|"&amp;$V1189,"")</f>
        <v/>
      </c>
      <c r="AA1189" s="27">
        <f>IF(ISNUMBER($W1189),$A1189&amp;"|"&amp;$W1189,"")</f>
        <v/>
      </c>
      <c r="AB1189" s="27">
        <f>IF(ISNUMBER($F1189),$A1189&amp;"|"&amp;$F1189,"")</f>
        <v/>
      </c>
      <c r="AC1189" s="27">
        <f>IF(ISNUMBER($P1189),COUNTIFS($A$14:$A$1213,$A1189,$P$14:$P$1213,"&gt;"&amp;$P1189)+(COUNTIFS($A$14:$A$1213,$A1189,$P$14:$P$1213,"="&amp;$P1189)+1)/2,"")</f>
        <v/>
      </c>
      <c r="AD1189" s="27">
        <f>IF(ISNUMBER($Q1189),COUNTIFS($A$14:$A$1213,$A1189,$Q$14:$Q$1213,"&gt;"&amp;$Q1189)+(COUNTIFS($A$14:$A$1213,$A1189,$Q$14:$Q$1213,"="&amp;$Q1189)+1)/2,"")</f>
        <v/>
      </c>
      <c r="AE1189" s="27">
        <f>IF(ISNUMBER($R1189),COUNTIFS($A$14:$A$1213,$A1189,$R$14:$R$1213,"&gt;"&amp;$R1189)+(COUNTIFS($A$14:$A$1213,$A1189,$R$14:$R$1213,"="&amp;$R1189)+1)/2,"")</f>
        <v/>
      </c>
      <c r="AF1189" s="27">
        <f>IF(ISNUMBER($S1189),COUNTIFS($A$14:$A$1213,$A1189,$S$14:$S$1213,"&gt;"&amp;$S1189)+(COUNTIFS($A$14:$A$1213,$A1189,$S$14:$S$1213,"="&amp;$S1189)+1)/2,"")</f>
        <v/>
      </c>
      <c r="AG1189" s="27">
        <f>IF(ISNUMBER($T1189),COUNTIFS($A$14:$A$1213,$A1189,$T$14:$T$1213,"&gt;"&amp;$T1189)+(COUNTIFS($A$14:$A$1213,$A1189,$T$14:$T$1213,"="&amp;$T1189)+1)/2,"")</f>
        <v/>
      </c>
      <c r="AH1189" s="27">
        <f>IF(COUNT($AC1189:$AG1189)&lt;2,"",IF(MAX($AC1189:$AG1189)=MIN($AC1189:$AG1189),0,1))</f>
        <v/>
      </c>
      <c r="AI1189" s="27">
        <f>IF($A1189="","",IF(COUNTIF($A$14:$A1189,$A1189)=1,COUNTIF($AI$13:AI1188,"&gt;0")+1,""))</f>
        <v/>
      </c>
      <c r="AO1189" s="27">
        <f>IF($A1189="","",IF(AND(COUNTIFS($A$14:$A$1213,$A1189,$F$14:$F$1213,"&gt;=0")=2,IFERROR(INDEX($M$14:$M$313,MATCH($A1189,$H$14:$H$313,0)),"Yes")&lt;&gt;"Yes"),1,0))</f>
        <v/>
      </c>
    </row>
    <row r="1190">
      <c r="A1190" s="19">
        <f>IF('Enter messages'!A1190="","",'Enter messages'!A1190)</f>
        <v/>
      </c>
      <c r="B1190" s="20">
        <f>IF('Enter messages'!B1190="","",'Enter messages'!B1190)</f>
        <v/>
      </c>
      <c r="C1190" s="21">
        <f>IFERROR(AVERAGE(P1190:T1190),"")</f>
        <v/>
      </c>
      <c r="D1190" s="29" t="n"/>
      <c r="E1190" s="29" t="n"/>
      <c r="F1190" s="30">
        <f>IF(AND(ISNUMBER($D1190),ISNUMBER($E1190),$E1190&gt;0,$D1190&lt;=$E1190),$D1190/$E1190,"")</f>
        <v/>
      </c>
      <c r="P1190" s="26" t="n"/>
      <c r="Q1190" s="26" t="n"/>
      <c r="R1190" s="26" t="n"/>
      <c r="S1190" s="26" t="n"/>
      <c r="T1190" s="26" t="n"/>
      <c r="V1190" s="27">
        <f>IF(ISNUMBER($C1190),COUNTIFS($A$14:$A$1213,$A1190,$C$14:$C$1213,"&gt;"&amp;$C1190)+(COUNTIFS($A$14:$A$1213,$A1190,$C$14:$C$1213,"="&amp;$C1190)+1)/2,"")</f>
        <v/>
      </c>
      <c r="W1190" s="27">
        <f>IF(ISNUMBER($F1190),COUNTIFS($A$14:$A$1213,$A1190,$F$14:$F$1213,"&gt;"&amp;$F1190)+(COUNTIFS($A$14:$A$1213,$A1190,$F$14:$F$1213,"="&amp;$F1190)+1)/2,"")</f>
        <v/>
      </c>
      <c r="X1190" s="27">
        <f>IF(OR(NOT(ISNUMBER($V1190)),$AO1190=1),"",$V1190-(COUNTIFS($A$14:$A$1213,$A1190,$C$14:$C$1213,"&gt;=0")+1)/2)</f>
        <v/>
      </c>
      <c r="Y1190" s="27">
        <f>IF(OR(NOT(ISNUMBER($W1190)),$AO1190=1),"",$W1190-(COUNTIFS($A$14:$A$1213,$A1190,$F$14:$F$1213,"&gt;=0")+1)/2)</f>
        <v/>
      </c>
      <c r="Z1190" s="27">
        <f>IF(ISNUMBER($V1190),$A1190&amp;"|"&amp;$V1190,"")</f>
        <v/>
      </c>
      <c r="AA1190" s="27">
        <f>IF(ISNUMBER($W1190),$A1190&amp;"|"&amp;$W1190,"")</f>
        <v/>
      </c>
      <c r="AB1190" s="27">
        <f>IF(ISNUMBER($F1190),$A1190&amp;"|"&amp;$F1190,"")</f>
        <v/>
      </c>
      <c r="AC1190" s="27">
        <f>IF(ISNUMBER($P1190),COUNTIFS($A$14:$A$1213,$A1190,$P$14:$P$1213,"&gt;"&amp;$P1190)+(COUNTIFS($A$14:$A$1213,$A1190,$P$14:$P$1213,"="&amp;$P1190)+1)/2,"")</f>
        <v/>
      </c>
      <c r="AD1190" s="27">
        <f>IF(ISNUMBER($Q1190),COUNTIFS($A$14:$A$1213,$A1190,$Q$14:$Q$1213,"&gt;"&amp;$Q1190)+(COUNTIFS($A$14:$A$1213,$A1190,$Q$14:$Q$1213,"="&amp;$Q1190)+1)/2,"")</f>
        <v/>
      </c>
      <c r="AE1190" s="27">
        <f>IF(ISNUMBER($R1190),COUNTIFS($A$14:$A$1213,$A1190,$R$14:$R$1213,"&gt;"&amp;$R1190)+(COUNTIFS($A$14:$A$1213,$A1190,$R$14:$R$1213,"="&amp;$R1190)+1)/2,"")</f>
        <v/>
      </c>
      <c r="AF1190" s="27">
        <f>IF(ISNUMBER($S1190),COUNTIFS($A$14:$A$1213,$A1190,$S$14:$S$1213,"&gt;"&amp;$S1190)+(COUNTIFS($A$14:$A$1213,$A1190,$S$14:$S$1213,"="&amp;$S1190)+1)/2,"")</f>
        <v/>
      </c>
      <c r="AG1190" s="27">
        <f>IF(ISNUMBER($T1190),COUNTIFS($A$14:$A$1213,$A1190,$T$14:$T$1213,"&gt;"&amp;$T1190)+(COUNTIFS($A$14:$A$1213,$A1190,$T$14:$T$1213,"="&amp;$T1190)+1)/2,"")</f>
        <v/>
      </c>
      <c r="AH1190" s="27">
        <f>IF(COUNT($AC1190:$AG1190)&lt;2,"",IF(MAX($AC1190:$AG1190)=MIN($AC1190:$AG1190),0,1))</f>
        <v/>
      </c>
      <c r="AI1190" s="27">
        <f>IF($A1190="","",IF(COUNTIF($A$14:$A1190,$A1190)=1,COUNTIF($AI$13:AI1189,"&gt;0")+1,""))</f>
        <v/>
      </c>
      <c r="AO1190" s="27">
        <f>IF($A1190="","",IF(AND(COUNTIFS($A$14:$A$1213,$A1190,$F$14:$F$1213,"&gt;=0")=2,IFERROR(INDEX($M$14:$M$313,MATCH($A1190,$H$14:$H$313,0)),"Yes")&lt;&gt;"Yes"),1,0))</f>
        <v/>
      </c>
    </row>
    <row r="1191">
      <c r="A1191" s="19">
        <f>IF('Enter messages'!A1191="","",'Enter messages'!A1191)</f>
        <v/>
      </c>
      <c r="B1191" s="20">
        <f>IF('Enter messages'!B1191="","",'Enter messages'!B1191)</f>
        <v/>
      </c>
      <c r="C1191" s="21">
        <f>IFERROR(AVERAGE(P1191:T1191),"")</f>
        <v/>
      </c>
      <c r="D1191" s="29" t="n"/>
      <c r="E1191" s="29" t="n"/>
      <c r="F1191" s="30">
        <f>IF(AND(ISNUMBER($D1191),ISNUMBER($E1191),$E1191&gt;0,$D1191&lt;=$E1191),$D1191/$E1191,"")</f>
        <v/>
      </c>
      <c r="P1191" s="26" t="n"/>
      <c r="Q1191" s="26" t="n"/>
      <c r="R1191" s="26" t="n"/>
      <c r="S1191" s="26" t="n"/>
      <c r="T1191" s="26" t="n"/>
      <c r="V1191" s="27">
        <f>IF(ISNUMBER($C1191),COUNTIFS($A$14:$A$1213,$A1191,$C$14:$C$1213,"&gt;"&amp;$C1191)+(COUNTIFS($A$14:$A$1213,$A1191,$C$14:$C$1213,"="&amp;$C1191)+1)/2,"")</f>
        <v/>
      </c>
      <c r="W1191" s="27">
        <f>IF(ISNUMBER($F1191),COUNTIFS($A$14:$A$1213,$A1191,$F$14:$F$1213,"&gt;"&amp;$F1191)+(COUNTIFS($A$14:$A$1213,$A1191,$F$14:$F$1213,"="&amp;$F1191)+1)/2,"")</f>
        <v/>
      </c>
      <c r="X1191" s="27">
        <f>IF(OR(NOT(ISNUMBER($V1191)),$AO1191=1),"",$V1191-(COUNTIFS($A$14:$A$1213,$A1191,$C$14:$C$1213,"&gt;=0")+1)/2)</f>
        <v/>
      </c>
      <c r="Y1191" s="27">
        <f>IF(OR(NOT(ISNUMBER($W1191)),$AO1191=1),"",$W1191-(COUNTIFS($A$14:$A$1213,$A1191,$F$14:$F$1213,"&gt;=0")+1)/2)</f>
        <v/>
      </c>
      <c r="Z1191" s="27">
        <f>IF(ISNUMBER($V1191),$A1191&amp;"|"&amp;$V1191,"")</f>
        <v/>
      </c>
      <c r="AA1191" s="27">
        <f>IF(ISNUMBER($W1191),$A1191&amp;"|"&amp;$W1191,"")</f>
        <v/>
      </c>
      <c r="AB1191" s="27">
        <f>IF(ISNUMBER($F1191),$A1191&amp;"|"&amp;$F1191,"")</f>
        <v/>
      </c>
      <c r="AC1191" s="27">
        <f>IF(ISNUMBER($P1191),COUNTIFS($A$14:$A$1213,$A1191,$P$14:$P$1213,"&gt;"&amp;$P1191)+(COUNTIFS($A$14:$A$1213,$A1191,$P$14:$P$1213,"="&amp;$P1191)+1)/2,"")</f>
        <v/>
      </c>
      <c r="AD1191" s="27">
        <f>IF(ISNUMBER($Q1191),COUNTIFS($A$14:$A$1213,$A1191,$Q$14:$Q$1213,"&gt;"&amp;$Q1191)+(COUNTIFS($A$14:$A$1213,$A1191,$Q$14:$Q$1213,"="&amp;$Q1191)+1)/2,"")</f>
        <v/>
      </c>
      <c r="AE1191" s="27">
        <f>IF(ISNUMBER($R1191),COUNTIFS($A$14:$A$1213,$A1191,$R$14:$R$1213,"&gt;"&amp;$R1191)+(COUNTIFS($A$14:$A$1213,$A1191,$R$14:$R$1213,"="&amp;$R1191)+1)/2,"")</f>
        <v/>
      </c>
      <c r="AF1191" s="27">
        <f>IF(ISNUMBER($S1191),COUNTIFS($A$14:$A$1213,$A1191,$S$14:$S$1213,"&gt;"&amp;$S1191)+(COUNTIFS($A$14:$A$1213,$A1191,$S$14:$S$1213,"="&amp;$S1191)+1)/2,"")</f>
        <v/>
      </c>
      <c r="AG1191" s="27">
        <f>IF(ISNUMBER($T1191),COUNTIFS($A$14:$A$1213,$A1191,$T$14:$T$1213,"&gt;"&amp;$T1191)+(COUNTIFS($A$14:$A$1213,$A1191,$T$14:$T$1213,"="&amp;$T1191)+1)/2,"")</f>
        <v/>
      </c>
      <c r="AH1191" s="27">
        <f>IF(COUNT($AC1191:$AG1191)&lt;2,"",IF(MAX($AC1191:$AG1191)=MIN($AC1191:$AG1191),0,1))</f>
        <v/>
      </c>
      <c r="AI1191" s="27">
        <f>IF($A1191="","",IF(COUNTIF($A$14:$A1191,$A1191)=1,COUNTIF($AI$13:AI1190,"&gt;0")+1,""))</f>
        <v/>
      </c>
      <c r="AO1191" s="27">
        <f>IF($A1191="","",IF(AND(COUNTIFS($A$14:$A$1213,$A1191,$F$14:$F$1213,"&gt;=0")=2,IFERROR(INDEX($M$14:$M$313,MATCH($A1191,$H$14:$H$313,0)),"Yes")&lt;&gt;"Yes"),1,0))</f>
        <v/>
      </c>
    </row>
    <row r="1192">
      <c r="A1192" s="19">
        <f>IF('Enter messages'!A1192="","",'Enter messages'!A1192)</f>
        <v/>
      </c>
      <c r="B1192" s="20">
        <f>IF('Enter messages'!B1192="","",'Enter messages'!B1192)</f>
        <v/>
      </c>
      <c r="C1192" s="21">
        <f>IFERROR(AVERAGE(P1192:T1192),"")</f>
        <v/>
      </c>
      <c r="D1192" s="29" t="n"/>
      <c r="E1192" s="29" t="n"/>
      <c r="F1192" s="30">
        <f>IF(AND(ISNUMBER($D1192),ISNUMBER($E1192),$E1192&gt;0,$D1192&lt;=$E1192),$D1192/$E1192,"")</f>
        <v/>
      </c>
      <c r="P1192" s="26" t="n"/>
      <c r="Q1192" s="26" t="n"/>
      <c r="R1192" s="26" t="n"/>
      <c r="S1192" s="26" t="n"/>
      <c r="T1192" s="26" t="n"/>
      <c r="V1192" s="27">
        <f>IF(ISNUMBER($C1192),COUNTIFS($A$14:$A$1213,$A1192,$C$14:$C$1213,"&gt;"&amp;$C1192)+(COUNTIFS($A$14:$A$1213,$A1192,$C$14:$C$1213,"="&amp;$C1192)+1)/2,"")</f>
        <v/>
      </c>
      <c r="W1192" s="27">
        <f>IF(ISNUMBER($F1192),COUNTIFS($A$14:$A$1213,$A1192,$F$14:$F$1213,"&gt;"&amp;$F1192)+(COUNTIFS($A$14:$A$1213,$A1192,$F$14:$F$1213,"="&amp;$F1192)+1)/2,"")</f>
        <v/>
      </c>
      <c r="X1192" s="27">
        <f>IF(OR(NOT(ISNUMBER($V1192)),$AO1192=1),"",$V1192-(COUNTIFS($A$14:$A$1213,$A1192,$C$14:$C$1213,"&gt;=0")+1)/2)</f>
        <v/>
      </c>
      <c r="Y1192" s="27">
        <f>IF(OR(NOT(ISNUMBER($W1192)),$AO1192=1),"",$W1192-(COUNTIFS($A$14:$A$1213,$A1192,$F$14:$F$1213,"&gt;=0")+1)/2)</f>
        <v/>
      </c>
      <c r="Z1192" s="27">
        <f>IF(ISNUMBER($V1192),$A1192&amp;"|"&amp;$V1192,"")</f>
        <v/>
      </c>
      <c r="AA1192" s="27">
        <f>IF(ISNUMBER($W1192),$A1192&amp;"|"&amp;$W1192,"")</f>
        <v/>
      </c>
      <c r="AB1192" s="27">
        <f>IF(ISNUMBER($F1192),$A1192&amp;"|"&amp;$F1192,"")</f>
        <v/>
      </c>
      <c r="AC1192" s="27">
        <f>IF(ISNUMBER($P1192),COUNTIFS($A$14:$A$1213,$A1192,$P$14:$P$1213,"&gt;"&amp;$P1192)+(COUNTIFS($A$14:$A$1213,$A1192,$P$14:$P$1213,"="&amp;$P1192)+1)/2,"")</f>
        <v/>
      </c>
      <c r="AD1192" s="27">
        <f>IF(ISNUMBER($Q1192),COUNTIFS($A$14:$A$1213,$A1192,$Q$14:$Q$1213,"&gt;"&amp;$Q1192)+(COUNTIFS($A$14:$A$1213,$A1192,$Q$14:$Q$1213,"="&amp;$Q1192)+1)/2,"")</f>
        <v/>
      </c>
      <c r="AE1192" s="27">
        <f>IF(ISNUMBER($R1192),COUNTIFS($A$14:$A$1213,$A1192,$R$14:$R$1213,"&gt;"&amp;$R1192)+(COUNTIFS($A$14:$A$1213,$A1192,$R$14:$R$1213,"="&amp;$R1192)+1)/2,"")</f>
        <v/>
      </c>
      <c r="AF1192" s="27">
        <f>IF(ISNUMBER($S1192),COUNTIFS($A$14:$A$1213,$A1192,$S$14:$S$1213,"&gt;"&amp;$S1192)+(COUNTIFS($A$14:$A$1213,$A1192,$S$14:$S$1213,"="&amp;$S1192)+1)/2,"")</f>
        <v/>
      </c>
      <c r="AG1192" s="27">
        <f>IF(ISNUMBER($T1192),COUNTIFS($A$14:$A$1213,$A1192,$T$14:$T$1213,"&gt;"&amp;$T1192)+(COUNTIFS($A$14:$A$1213,$A1192,$T$14:$T$1213,"="&amp;$T1192)+1)/2,"")</f>
        <v/>
      </c>
      <c r="AH1192" s="27">
        <f>IF(COUNT($AC1192:$AG1192)&lt;2,"",IF(MAX($AC1192:$AG1192)=MIN($AC1192:$AG1192),0,1))</f>
        <v/>
      </c>
      <c r="AI1192" s="27">
        <f>IF($A1192="","",IF(COUNTIF($A$14:$A1192,$A1192)=1,COUNTIF($AI$13:AI1191,"&gt;0")+1,""))</f>
        <v/>
      </c>
      <c r="AO1192" s="27">
        <f>IF($A1192="","",IF(AND(COUNTIFS($A$14:$A$1213,$A1192,$F$14:$F$1213,"&gt;=0")=2,IFERROR(INDEX($M$14:$M$313,MATCH($A1192,$H$14:$H$313,0)),"Yes")&lt;&gt;"Yes"),1,0))</f>
        <v/>
      </c>
    </row>
    <row r="1193">
      <c r="A1193" s="19">
        <f>IF('Enter messages'!A1193="","",'Enter messages'!A1193)</f>
        <v/>
      </c>
      <c r="B1193" s="20">
        <f>IF('Enter messages'!B1193="","",'Enter messages'!B1193)</f>
        <v/>
      </c>
      <c r="C1193" s="21">
        <f>IFERROR(AVERAGE(P1193:T1193),"")</f>
        <v/>
      </c>
      <c r="D1193" s="29" t="n"/>
      <c r="E1193" s="29" t="n"/>
      <c r="F1193" s="30">
        <f>IF(AND(ISNUMBER($D1193),ISNUMBER($E1193),$E1193&gt;0,$D1193&lt;=$E1193),$D1193/$E1193,"")</f>
        <v/>
      </c>
      <c r="P1193" s="26" t="n"/>
      <c r="Q1193" s="26" t="n"/>
      <c r="R1193" s="26" t="n"/>
      <c r="S1193" s="26" t="n"/>
      <c r="T1193" s="26" t="n"/>
      <c r="V1193" s="27">
        <f>IF(ISNUMBER($C1193),COUNTIFS($A$14:$A$1213,$A1193,$C$14:$C$1213,"&gt;"&amp;$C1193)+(COUNTIFS($A$14:$A$1213,$A1193,$C$14:$C$1213,"="&amp;$C1193)+1)/2,"")</f>
        <v/>
      </c>
      <c r="W1193" s="27">
        <f>IF(ISNUMBER($F1193),COUNTIFS($A$14:$A$1213,$A1193,$F$14:$F$1213,"&gt;"&amp;$F1193)+(COUNTIFS($A$14:$A$1213,$A1193,$F$14:$F$1213,"="&amp;$F1193)+1)/2,"")</f>
        <v/>
      </c>
      <c r="X1193" s="27">
        <f>IF(OR(NOT(ISNUMBER($V1193)),$AO1193=1),"",$V1193-(COUNTIFS($A$14:$A$1213,$A1193,$C$14:$C$1213,"&gt;=0")+1)/2)</f>
        <v/>
      </c>
      <c r="Y1193" s="27">
        <f>IF(OR(NOT(ISNUMBER($W1193)),$AO1193=1),"",$W1193-(COUNTIFS($A$14:$A$1213,$A1193,$F$14:$F$1213,"&gt;=0")+1)/2)</f>
        <v/>
      </c>
      <c r="Z1193" s="27">
        <f>IF(ISNUMBER($V1193),$A1193&amp;"|"&amp;$V1193,"")</f>
        <v/>
      </c>
      <c r="AA1193" s="27">
        <f>IF(ISNUMBER($W1193),$A1193&amp;"|"&amp;$W1193,"")</f>
        <v/>
      </c>
      <c r="AB1193" s="27">
        <f>IF(ISNUMBER($F1193),$A1193&amp;"|"&amp;$F1193,"")</f>
        <v/>
      </c>
      <c r="AC1193" s="27">
        <f>IF(ISNUMBER($P1193),COUNTIFS($A$14:$A$1213,$A1193,$P$14:$P$1213,"&gt;"&amp;$P1193)+(COUNTIFS($A$14:$A$1213,$A1193,$P$14:$P$1213,"="&amp;$P1193)+1)/2,"")</f>
        <v/>
      </c>
      <c r="AD1193" s="27">
        <f>IF(ISNUMBER($Q1193),COUNTIFS($A$14:$A$1213,$A1193,$Q$14:$Q$1213,"&gt;"&amp;$Q1193)+(COUNTIFS($A$14:$A$1213,$A1193,$Q$14:$Q$1213,"="&amp;$Q1193)+1)/2,"")</f>
        <v/>
      </c>
      <c r="AE1193" s="27">
        <f>IF(ISNUMBER($R1193),COUNTIFS($A$14:$A$1213,$A1193,$R$14:$R$1213,"&gt;"&amp;$R1193)+(COUNTIFS($A$14:$A$1213,$A1193,$R$14:$R$1213,"="&amp;$R1193)+1)/2,"")</f>
        <v/>
      </c>
      <c r="AF1193" s="27">
        <f>IF(ISNUMBER($S1193),COUNTIFS($A$14:$A$1213,$A1193,$S$14:$S$1213,"&gt;"&amp;$S1193)+(COUNTIFS($A$14:$A$1213,$A1193,$S$14:$S$1213,"="&amp;$S1193)+1)/2,"")</f>
        <v/>
      </c>
      <c r="AG1193" s="27">
        <f>IF(ISNUMBER($T1193),COUNTIFS($A$14:$A$1213,$A1193,$T$14:$T$1213,"&gt;"&amp;$T1193)+(COUNTIFS($A$14:$A$1213,$A1193,$T$14:$T$1213,"="&amp;$T1193)+1)/2,"")</f>
        <v/>
      </c>
      <c r="AH1193" s="27">
        <f>IF(COUNT($AC1193:$AG1193)&lt;2,"",IF(MAX($AC1193:$AG1193)=MIN($AC1193:$AG1193),0,1))</f>
        <v/>
      </c>
      <c r="AI1193" s="27">
        <f>IF($A1193="","",IF(COUNTIF($A$14:$A1193,$A1193)=1,COUNTIF($AI$13:AI1192,"&gt;0")+1,""))</f>
        <v/>
      </c>
      <c r="AO1193" s="27">
        <f>IF($A1193="","",IF(AND(COUNTIFS($A$14:$A$1213,$A1193,$F$14:$F$1213,"&gt;=0")=2,IFERROR(INDEX($M$14:$M$313,MATCH($A1193,$H$14:$H$313,0)),"Yes")&lt;&gt;"Yes"),1,0))</f>
        <v/>
      </c>
    </row>
    <row r="1194">
      <c r="A1194" s="19">
        <f>IF('Enter messages'!A1194="","",'Enter messages'!A1194)</f>
        <v/>
      </c>
      <c r="B1194" s="20">
        <f>IF('Enter messages'!B1194="","",'Enter messages'!B1194)</f>
        <v/>
      </c>
      <c r="C1194" s="21">
        <f>IFERROR(AVERAGE(P1194:T1194),"")</f>
        <v/>
      </c>
      <c r="D1194" s="29" t="n"/>
      <c r="E1194" s="29" t="n"/>
      <c r="F1194" s="30">
        <f>IF(AND(ISNUMBER($D1194),ISNUMBER($E1194),$E1194&gt;0,$D1194&lt;=$E1194),$D1194/$E1194,"")</f>
        <v/>
      </c>
      <c r="P1194" s="26" t="n"/>
      <c r="Q1194" s="26" t="n"/>
      <c r="R1194" s="26" t="n"/>
      <c r="S1194" s="26" t="n"/>
      <c r="T1194" s="26" t="n"/>
      <c r="V1194" s="27">
        <f>IF(ISNUMBER($C1194),COUNTIFS($A$14:$A$1213,$A1194,$C$14:$C$1213,"&gt;"&amp;$C1194)+(COUNTIFS($A$14:$A$1213,$A1194,$C$14:$C$1213,"="&amp;$C1194)+1)/2,"")</f>
        <v/>
      </c>
      <c r="W1194" s="27">
        <f>IF(ISNUMBER($F1194),COUNTIFS($A$14:$A$1213,$A1194,$F$14:$F$1213,"&gt;"&amp;$F1194)+(COUNTIFS($A$14:$A$1213,$A1194,$F$14:$F$1213,"="&amp;$F1194)+1)/2,"")</f>
        <v/>
      </c>
      <c r="X1194" s="27">
        <f>IF(OR(NOT(ISNUMBER($V1194)),$AO1194=1),"",$V1194-(COUNTIFS($A$14:$A$1213,$A1194,$C$14:$C$1213,"&gt;=0")+1)/2)</f>
        <v/>
      </c>
      <c r="Y1194" s="27">
        <f>IF(OR(NOT(ISNUMBER($W1194)),$AO1194=1),"",$W1194-(COUNTIFS($A$14:$A$1213,$A1194,$F$14:$F$1213,"&gt;=0")+1)/2)</f>
        <v/>
      </c>
      <c r="Z1194" s="27">
        <f>IF(ISNUMBER($V1194),$A1194&amp;"|"&amp;$V1194,"")</f>
        <v/>
      </c>
      <c r="AA1194" s="27">
        <f>IF(ISNUMBER($W1194),$A1194&amp;"|"&amp;$W1194,"")</f>
        <v/>
      </c>
      <c r="AB1194" s="27">
        <f>IF(ISNUMBER($F1194),$A1194&amp;"|"&amp;$F1194,"")</f>
        <v/>
      </c>
      <c r="AC1194" s="27">
        <f>IF(ISNUMBER($P1194),COUNTIFS($A$14:$A$1213,$A1194,$P$14:$P$1213,"&gt;"&amp;$P1194)+(COUNTIFS($A$14:$A$1213,$A1194,$P$14:$P$1213,"="&amp;$P1194)+1)/2,"")</f>
        <v/>
      </c>
      <c r="AD1194" s="27">
        <f>IF(ISNUMBER($Q1194),COUNTIFS($A$14:$A$1213,$A1194,$Q$14:$Q$1213,"&gt;"&amp;$Q1194)+(COUNTIFS($A$14:$A$1213,$A1194,$Q$14:$Q$1213,"="&amp;$Q1194)+1)/2,"")</f>
        <v/>
      </c>
      <c r="AE1194" s="27">
        <f>IF(ISNUMBER($R1194),COUNTIFS($A$14:$A$1213,$A1194,$R$14:$R$1213,"&gt;"&amp;$R1194)+(COUNTIFS($A$14:$A$1213,$A1194,$R$14:$R$1213,"="&amp;$R1194)+1)/2,"")</f>
        <v/>
      </c>
      <c r="AF1194" s="27">
        <f>IF(ISNUMBER($S1194),COUNTIFS($A$14:$A$1213,$A1194,$S$14:$S$1213,"&gt;"&amp;$S1194)+(COUNTIFS($A$14:$A$1213,$A1194,$S$14:$S$1213,"="&amp;$S1194)+1)/2,"")</f>
        <v/>
      </c>
      <c r="AG1194" s="27">
        <f>IF(ISNUMBER($T1194),COUNTIFS($A$14:$A$1213,$A1194,$T$14:$T$1213,"&gt;"&amp;$T1194)+(COUNTIFS($A$14:$A$1213,$A1194,$T$14:$T$1213,"="&amp;$T1194)+1)/2,"")</f>
        <v/>
      </c>
      <c r="AH1194" s="27">
        <f>IF(COUNT($AC1194:$AG1194)&lt;2,"",IF(MAX($AC1194:$AG1194)=MIN($AC1194:$AG1194),0,1))</f>
        <v/>
      </c>
      <c r="AI1194" s="27">
        <f>IF($A1194="","",IF(COUNTIF($A$14:$A1194,$A1194)=1,COUNTIF($AI$13:AI1193,"&gt;0")+1,""))</f>
        <v/>
      </c>
      <c r="AO1194" s="27">
        <f>IF($A1194="","",IF(AND(COUNTIFS($A$14:$A$1213,$A1194,$F$14:$F$1213,"&gt;=0")=2,IFERROR(INDEX($M$14:$M$313,MATCH($A1194,$H$14:$H$313,0)),"Yes")&lt;&gt;"Yes"),1,0))</f>
        <v/>
      </c>
    </row>
    <row r="1195">
      <c r="A1195" s="19">
        <f>IF('Enter messages'!A1195="","",'Enter messages'!A1195)</f>
        <v/>
      </c>
      <c r="B1195" s="20">
        <f>IF('Enter messages'!B1195="","",'Enter messages'!B1195)</f>
        <v/>
      </c>
      <c r="C1195" s="21">
        <f>IFERROR(AVERAGE(P1195:T1195),"")</f>
        <v/>
      </c>
      <c r="D1195" s="29" t="n"/>
      <c r="E1195" s="29" t="n"/>
      <c r="F1195" s="30">
        <f>IF(AND(ISNUMBER($D1195),ISNUMBER($E1195),$E1195&gt;0,$D1195&lt;=$E1195),$D1195/$E1195,"")</f>
        <v/>
      </c>
      <c r="P1195" s="26" t="n"/>
      <c r="Q1195" s="26" t="n"/>
      <c r="R1195" s="26" t="n"/>
      <c r="S1195" s="26" t="n"/>
      <c r="T1195" s="26" t="n"/>
      <c r="V1195" s="27">
        <f>IF(ISNUMBER($C1195),COUNTIFS($A$14:$A$1213,$A1195,$C$14:$C$1213,"&gt;"&amp;$C1195)+(COUNTIFS($A$14:$A$1213,$A1195,$C$14:$C$1213,"="&amp;$C1195)+1)/2,"")</f>
        <v/>
      </c>
      <c r="W1195" s="27">
        <f>IF(ISNUMBER($F1195),COUNTIFS($A$14:$A$1213,$A1195,$F$14:$F$1213,"&gt;"&amp;$F1195)+(COUNTIFS($A$14:$A$1213,$A1195,$F$14:$F$1213,"="&amp;$F1195)+1)/2,"")</f>
        <v/>
      </c>
      <c r="X1195" s="27">
        <f>IF(OR(NOT(ISNUMBER($V1195)),$AO1195=1),"",$V1195-(COUNTIFS($A$14:$A$1213,$A1195,$C$14:$C$1213,"&gt;=0")+1)/2)</f>
        <v/>
      </c>
      <c r="Y1195" s="27">
        <f>IF(OR(NOT(ISNUMBER($W1195)),$AO1195=1),"",$W1195-(COUNTIFS($A$14:$A$1213,$A1195,$F$14:$F$1213,"&gt;=0")+1)/2)</f>
        <v/>
      </c>
      <c r="Z1195" s="27">
        <f>IF(ISNUMBER($V1195),$A1195&amp;"|"&amp;$V1195,"")</f>
        <v/>
      </c>
      <c r="AA1195" s="27">
        <f>IF(ISNUMBER($W1195),$A1195&amp;"|"&amp;$W1195,"")</f>
        <v/>
      </c>
      <c r="AB1195" s="27">
        <f>IF(ISNUMBER($F1195),$A1195&amp;"|"&amp;$F1195,"")</f>
        <v/>
      </c>
      <c r="AC1195" s="27">
        <f>IF(ISNUMBER($P1195),COUNTIFS($A$14:$A$1213,$A1195,$P$14:$P$1213,"&gt;"&amp;$P1195)+(COUNTIFS($A$14:$A$1213,$A1195,$P$14:$P$1213,"="&amp;$P1195)+1)/2,"")</f>
        <v/>
      </c>
      <c r="AD1195" s="27">
        <f>IF(ISNUMBER($Q1195),COUNTIFS($A$14:$A$1213,$A1195,$Q$14:$Q$1213,"&gt;"&amp;$Q1195)+(COUNTIFS($A$14:$A$1213,$A1195,$Q$14:$Q$1213,"="&amp;$Q1195)+1)/2,"")</f>
        <v/>
      </c>
      <c r="AE1195" s="27">
        <f>IF(ISNUMBER($R1195),COUNTIFS($A$14:$A$1213,$A1195,$R$14:$R$1213,"&gt;"&amp;$R1195)+(COUNTIFS($A$14:$A$1213,$A1195,$R$14:$R$1213,"="&amp;$R1195)+1)/2,"")</f>
        <v/>
      </c>
      <c r="AF1195" s="27">
        <f>IF(ISNUMBER($S1195),COUNTIFS($A$14:$A$1213,$A1195,$S$14:$S$1213,"&gt;"&amp;$S1195)+(COUNTIFS($A$14:$A$1213,$A1195,$S$14:$S$1213,"="&amp;$S1195)+1)/2,"")</f>
        <v/>
      </c>
      <c r="AG1195" s="27">
        <f>IF(ISNUMBER($T1195),COUNTIFS($A$14:$A$1213,$A1195,$T$14:$T$1213,"&gt;"&amp;$T1195)+(COUNTIFS($A$14:$A$1213,$A1195,$T$14:$T$1213,"="&amp;$T1195)+1)/2,"")</f>
        <v/>
      </c>
      <c r="AH1195" s="27">
        <f>IF(COUNT($AC1195:$AG1195)&lt;2,"",IF(MAX($AC1195:$AG1195)=MIN($AC1195:$AG1195),0,1))</f>
        <v/>
      </c>
      <c r="AI1195" s="27">
        <f>IF($A1195="","",IF(COUNTIF($A$14:$A1195,$A1195)=1,COUNTIF($AI$13:AI1194,"&gt;0")+1,""))</f>
        <v/>
      </c>
      <c r="AO1195" s="27">
        <f>IF($A1195="","",IF(AND(COUNTIFS($A$14:$A$1213,$A1195,$F$14:$F$1213,"&gt;=0")=2,IFERROR(INDEX($M$14:$M$313,MATCH($A1195,$H$14:$H$313,0)),"Yes")&lt;&gt;"Yes"),1,0))</f>
        <v/>
      </c>
    </row>
    <row r="1196">
      <c r="A1196" s="19">
        <f>IF('Enter messages'!A1196="","",'Enter messages'!A1196)</f>
        <v/>
      </c>
      <c r="B1196" s="20">
        <f>IF('Enter messages'!B1196="","",'Enter messages'!B1196)</f>
        <v/>
      </c>
      <c r="C1196" s="21">
        <f>IFERROR(AVERAGE(P1196:T1196),"")</f>
        <v/>
      </c>
      <c r="D1196" s="29" t="n"/>
      <c r="E1196" s="29" t="n"/>
      <c r="F1196" s="30">
        <f>IF(AND(ISNUMBER($D1196),ISNUMBER($E1196),$E1196&gt;0,$D1196&lt;=$E1196),$D1196/$E1196,"")</f>
        <v/>
      </c>
      <c r="P1196" s="26" t="n"/>
      <c r="Q1196" s="26" t="n"/>
      <c r="R1196" s="26" t="n"/>
      <c r="S1196" s="26" t="n"/>
      <c r="T1196" s="26" t="n"/>
      <c r="V1196" s="27">
        <f>IF(ISNUMBER($C1196),COUNTIFS($A$14:$A$1213,$A1196,$C$14:$C$1213,"&gt;"&amp;$C1196)+(COUNTIFS($A$14:$A$1213,$A1196,$C$14:$C$1213,"="&amp;$C1196)+1)/2,"")</f>
        <v/>
      </c>
      <c r="W1196" s="27">
        <f>IF(ISNUMBER($F1196),COUNTIFS($A$14:$A$1213,$A1196,$F$14:$F$1213,"&gt;"&amp;$F1196)+(COUNTIFS($A$14:$A$1213,$A1196,$F$14:$F$1213,"="&amp;$F1196)+1)/2,"")</f>
        <v/>
      </c>
      <c r="X1196" s="27">
        <f>IF(OR(NOT(ISNUMBER($V1196)),$AO1196=1),"",$V1196-(COUNTIFS($A$14:$A$1213,$A1196,$C$14:$C$1213,"&gt;=0")+1)/2)</f>
        <v/>
      </c>
      <c r="Y1196" s="27">
        <f>IF(OR(NOT(ISNUMBER($W1196)),$AO1196=1),"",$W1196-(COUNTIFS($A$14:$A$1213,$A1196,$F$14:$F$1213,"&gt;=0")+1)/2)</f>
        <v/>
      </c>
      <c r="Z1196" s="27">
        <f>IF(ISNUMBER($V1196),$A1196&amp;"|"&amp;$V1196,"")</f>
        <v/>
      </c>
      <c r="AA1196" s="27">
        <f>IF(ISNUMBER($W1196),$A1196&amp;"|"&amp;$W1196,"")</f>
        <v/>
      </c>
      <c r="AB1196" s="27">
        <f>IF(ISNUMBER($F1196),$A1196&amp;"|"&amp;$F1196,"")</f>
        <v/>
      </c>
      <c r="AC1196" s="27">
        <f>IF(ISNUMBER($P1196),COUNTIFS($A$14:$A$1213,$A1196,$P$14:$P$1213,"&gt;"&amp;$P1196)+(COUNTIFS($A$14:$A$1213,$A1196,$P$14:$P$1213,"="&amp;$P1196)+1)/2,"")</f>
        <v/>
      </c>
      <c r="AD1196" s="27">
        <f>IF(ISNUMBER($Q1196),COUNTIFS($A$14:$A$1213,$A1196,$Q$14:$Q$1213,"&gt;"&amp;$Q1196)+(COUNTIFS($A$14:$A$1213,$A1196,$Q$14:$Q$1213,"="&amp;$Q1196)+1)/2,"")</f>
        <v/>
      </c>
      <c r="AE1196" s="27">
        <f>IF(ISNUMBER($R1196),COUNTIFS($A$14:$A$1213,$A1196,$R$14:$R$1213,"&gt;"&amp;$R1196)+(COUNTIFS($A$14:$A$1213,$A1196,$R$14:$R$1213,"="&amp;$R1196)+1)/2,"")</f>
        <v/>
      </c>
      <c r="AF1196" s="27">
        <f>IF(ISNUMBER($S1196),COUNTIFS($A$14:$A$1213,$A1196,$S$14:$S$1213,"&gt;"&amp;$S1196)+(COUNTIFS($A$14:$A$1213,$A1196,$S$14:$S$1213,"="&amp;$S1196)+1)/2,"")</f>
        <v/>
      </c>
      <c r="AG1196" s="27">
        <f>IF(ISNUMBER($T1196),COUNTIFS($A$14:$A$1213,$A1196,$T$14:$T$1213,"&gt;"&amp;$T1196)+(COUNTIFS($A$14:$A$1213,$A1196,$T$14:$T$1213,"="&amp;$T1196)+1)/2,"")</f>
        <v/>
      </c>
      <c r="AH1196" s="27">
        <f>IF(COUNT($AC1196:$AG1196)&lt;2,"",IF(MAX($AC1196:$AG1196)=MIN($AC1196:$AG1196),0,1))</f>
        <v/>
      </c>
      <c r="AI1196" s="27">
        <f>IF($A1196="","",IF(COUNTIF($A$14:$A1196,$A1196)=1,COUNTIF($AI$13:AI1195,"&gt;0")+1,""))</f>
        <v/>
      </c>
      <c r="AO1196" s="27">
        <f>IF($A1196="","",IF(AND(COUNTIFS($A$14:$A$1213,$A1196,$F$14:$F$1213,"&gt;=0")=2,IFERROR(INDEX($M$14:$M$313,MATCH($A1196,$H$14:$H$313,0)),"Yes")&lt;&gt;"Yes"),1,0))</f>
        <v/>
      </c>
    </row>
    <row r="1197">
      <c r="A1197" s="19">
        <f>IF('Enter messages'!A1197="","",'Enter messages'!A1197)</f>
        <v/>
      </c>
      <c r="B1197" s="20">
        <f>IF('Enter messages'!B1197="","",'Enter messages'!B1197)</f>
        <v/>
      </c>
      <c r="C1197" s="21">
        <f>IFERROR(AVERAGE(P1197:T1197),"")</f>
        <v/>
      </c>
      <c r="D1197" s="29" t="n"/>
      <c r="E1197" s="29" t="n"/>
      <c r="F1197" s="30">
        <f>IF(AND(ISNUMBER($D1197),ISNUMBER($E1197),$E1197&gt;0,$D1197&lt;=$E1197),$D1197/$E1197,"")</f>
        <v/>
      </c>
      <c r="P1197" s="26" t="n"/>
      <c r="Q1197" s="26" t="n"/>
      <c r="R1197" s="26" t="n"/>
      <c r="S1197" s="26" t="n"/>
      <c r="T1197" s="26" t="n"/>
      <c r="V1197" s="27">
        <f>IF(ISNUMBER($C1197),COUNTIFS($A$14:$A$1213,$A1197,$C$14:$C$1213,"&gt;"&amp;$C1197)+(COUNTIFS($A$14:$A$1213,$A1197,$C$14:$C$1213,"="&amp;$C1197)+1)/2,"")</f>
        <v/>
      </c>
      <c r="W1197" s="27">
        <f>IF(ISNUMBER($F1197),COUNTIFS($A$14:$A$1213,$A1197,$F$14:$F$1213,"&gt;"&amp;$F1197)+(COUNTIFS($A$14:$A$1213,$A1197,$F$14:$F$1213,"="&amp;$F1197)+1)/2,"")</f>
        <v/>
      </c>
      <c r="X1197" s="27">
        <f>IF(OR(NOT(ISNUMBER($V1197)),$AO1197=1),"",$V1197-(COUNTIFS($A$14:$A$1213,$A1197,$C$14:$C$1213,"&gt;=0")+1)/2)</f>
        <v/>
      </c>
      <c r="Y1197" s="27">
        <f>IF(OR(NOT(ISNUMBER($W1197)),$AO1197=1),"",$W1197-(COUNTIFS($A$14:$A$1213,$A1197,$F$14:$F$1213,"&gt;=0")+1)/2)</f>
        <v/>
      </c>
      <c r="Z1197" s="27">
        <f>IF(ISNUMBER($V1197),$A1197&amp;"|"&amp;$V1197,"")</f>
        <v/>
      </c>
      <c r="AA1197" s="27">
        <f>IF(ISNUMBER($W1197),$A1197&amp;"|"&amp;$W1197,"")</f>
        <v/>
      </c>
      <c r="AB1197" s="27">
        <f>IF(ISNUMBER($F1197),$A1197&amp;"|"&amp;$F1197,"")</f>
        <v/>
      </c>
      <c r="AC1197" s="27">
        <f>IF(ISNUMBER($P1197),COUNTIFS($A$14:$A$1213,$A1197,$P$14:$P$1213,"&gt;"&amp;$P1197)+(COUNTIFS($A$14:$A$1213,$A1197,$P$14:$P$1213,"="&amp;$P1197)+1)/2,"")</f>
        <v/>
      </c>
      <c r="AD1197" s="27">
        <f>IF(ISNUMBER($Q1197),COUNTIFS($A$14:$A$1213,$A1197,$Q$14:$Q$1213,"&gt;"&amp;$Q1197)+(COUNTIFS($A$14:$A$1213,$A1197,$Q$14:$Q$1213,"="&amp;$Q1197)+1)/2,"")</f>
        <v/>
      </c>
      <c r="AE1197" s="27">
        <f>IF(ISNUMBER($R1197),COUNTIFS($A$14:$A$1213,$A1197,$R$14:$R$1213,"&gt;"&amp;$R1197)+(COUNTIFS($A$14:$A$1213,$A1197,$R$14:$R$1213,"="&amp;$R1197)+1)/2,"")</f>
        <v/>
      </c>
      <c r="AF1197" s="27">
        <f>IF(ISNUMBER($S1197),COUNTIFS($A$14:$A$1213,$A1197,$S$14:$S$1213,"&gt;"&amp;$S1197)+(COUNTIFS($A$14:$A$1213,$A1197,$S$14:$S$1213,"="&amp;$S1197)+1)/2,"")</f>
        <v/>
      </c>
      <c r="AG1197" s="27">
        <f>IF(ISNUMBER($T1197),COUNTIFS($A$14:$A$1213,$A1197,$T$14:$T$1213,"&gt;"&amp;$T1197)+(COUNTIFS($A$14:$A$1213,$A1197,$T$14:$T$1213,"="&amp;$T1197)+1)/2,"")</f>
        <v/>
      </c>
      <c r="AH1197" s="27">
        <f>IF(COUNT($AC1197:$AG1197)&lt;2,"",IF(MAX($AC1197:$AG1197)=MIN($AC1197:$AG1197),0,1))</f>
        <v/>
      </c>
      <c r="AI1197" s="27">
        <f>IF($A1197="","",IF(COUNTIF($A$14:$A1197,$A1197)=1,COUNTIF($AI$13:AI1196,"&gt;0")+1,""))</f>
        <v/>
      </c>
      <c r="AO1197" s="27">
        <f>IF($A1197="","",IF(AND(COUNTIFS($A$14:$A$1213,$A1197,$F$14:$F$1213,"&gt;=0")=2,IFERROR(INDEX($M$14:$M$313,MATCH($A1197,$H$14:$H$313,0)),"Yes")&lt;&gt;"Yes"),1,0))</f>
        <v/>
      </c>
    </row>
    <row r="1198">
      <c r="A1198" s="19">
        <f>IF('Enter messages'!A1198="","",'Enter messages'!A1198)</f>
        <v/>
      </c>
      <c r="B1198" s="20">
        <f>IF('Enter messages'!B1198="","",'Enter messages'!B1198)</f>
        <v/>
      </c>
      <c r="C1198" s="21">
        <f>IFERROR(AVERAGE(P1198:T1198),"")</f>
        <v/>
      </c>
      <c r="D1198" s="29" t="n"/>
      <c r="E1198" s="29" t="n"/>
      <c r="F1198" s="30">
        <f>IF(AND(ISNUMBER($D1198),ISNUMBER($E1198),$E1198&gt;0,$D1198&lt;=$E1198),$D1198/$E1198,"")</f>
        <v/>
      </c>
      <c r="P1198" s="26" t="n"/>
      <c r="Q1198" s="26" t="n"/>
      <c r="R1198" s="26" t="n"/>
      <c r="S1198" s="26" t="n"/>
      <c r="T1198" s="26" t="n"/>
      <c r="V1198" s="27">
        <f>IF(ISNUMBER($C1198),COUNTIFS($A$14:$A$1213,$A1198,$C$14:$C$1213,"&gt;"&amp;$C1198)+(COUNTIFS($A$14:$A$1213,$A1198,$C$14:$C$1213,"="&amp;$C1198)+1)/2,"")</f>
        <v/>
      </c>
      <c r="W1198" s="27">
        <f>IF(ISNUMBER($F1198),COUNTIFS($A$14:$A$1213,$A1198,$F$14:$F$1213,"&gt;"&amp;$F1198)+(COUNTIFS($A$14:$A$1213,$A1198,$F$14:$F$1213,"="&amp;$F1198)+1)/2,"")</f>
        <v/>
      </c>
      <c r="X1198" s="27">
        <f>IF(OR(NOT(ISNUMBER($V1198)),$AO1198=1),"",$V1198-(COUNTIFS($A$14:$A$1213,$A1198,$C$14:$C$1213,"&gt;=0")+1)/2)</f>
        <v/>
      </c>
      <c r="Y1198" s="27">
        <f>IF(OR(NOT(ISNUMBER($W1198)),$AO1198=1),"",$W1198-(COUNTIFS($A$14:$A$1213,$A1198,$F$14:$F$1213,"&gt;=0")+1)/2)</f>
        <v/>
      </c>
      <c r="Z1198" s="27">
        <f>IF(ISNUMBER($V1198),$A1198&amp;"|"&amp;$V1198,"")</f>
        <v/>
      </c>
      <c r="AA1198" s="27">
        <f>IF(ISNUMBER($W1198),$A1198&amp;"|"&amp;$W1198,"")</f>
        <v/>
      </c>
      <c r="AB1198" s="27">
        <f>IF(ISNUMBER($F1198),$A1198&amp;"|"&amp;$F1198,"")</f>
        <v/>
      </c>
      <c r="AC1198" s="27">
        <f>IF(ISNUMBER($P1198),COUNTIFS($A$14:$A$1213,$A1198,$P$14:$P$1213,"&gt;"&amp;$P1198)+(COUNTIFS($A$14:$A$1213,$A1198,$P$14:$P$1213,"="&amp;$P1198)+1)/2,"")</f>
        <v/>
      </c>
      <c r="AD1198" s="27">
        <f>IF(ISNUMBER($Q1198),COUNTIFS($A$14:$A$1213,$A1198,$Q$14:$Q$1213,"&gt;"&amp;$Q1198)+(COUNTIFS($A$14:$A$1213,$A1198,$Q$14:$Q$1213,"="&amp;$Q1198)+1)/2,"")</f>
        <v/>
      </c>
      <c r="AE1198" s="27">
        <f>IF(ISNUMBER($R1198),COUNTIFS($A$14:$A$1213,$A1198,$R$14:$R$1213,"&gt;"&amp;$R1198)+(COUNTIFS($A$14:$A$1213,$A1198,$R$14:$R$1213,"="&amp;$R1198)+1)/2,"")</f>
        <v/>
      </c>
      <c r="AF1198" s="27">
        <f>IF(ISNUMBER($S1198),COUNTIFS($A$14:$A$1213,$A1198,$S$14:$S$1213,"&gt;"&amp;$S1198)+(COUNTIFS($A$14:$A$1213,$A1198,$S$14:$S$1213,"="&amp;$S1198)+1)/2,"")</f>
        <v/>
      </c>
      <c r="AG1198" s="27">
        <f>IF(ISNUMBER($T1198),COUNTIFS($A$14:$A$1213,$A1198,$T$14:$T$1213,"&gt;"&amp;$T1198)+(COUNTIFS($A$14:$A$1213,$A1198,$T$14:$T$1213,"="&amp;$T1198)+1)/2,"")</f>
        <v/>
      </c>
      <c r="AH1198" s="27">
        <f>IF(COUNT($AC1198:$AG1198)&lt;2,"",IF(MAX($AC1198:$AG1198)=MIN($AC1198:$AG1198),0,1))</f>
        <v/>
      </c>
      <c r="AI1198" s="27">
        <f>IF($A1198="","",IF(COUNTIF($A$14:$A1198,$A1198)=1,COUNTIF($AI$13:AI1197,"&gt;0")+1,""))</f>
        <v/>
      </c>
      <c r="AO1198" s="27">
        <f>IF($A1198="","",IF(AND(COUNTIFS($A$14:$A$1213,$A1198,$F$14:$F$1213,"&gt;=0")=2,IFERROR(INDEX($M$14:$M$313,MATCH($A1198,$H$14:$H$313,0)),"Yes")&lt;&gt;"Yes"),1,0))</f>
        <v/>
      </c>
    </row>
    <row r="1199">
      <c r="A1199" s="19">
        <f>IF('Enter messages'!A1199="","",'Enter messages'!A1199)</f>
        <v/>
      </c>
      <c r="B1199" s="20">
        <f>IF('Enter messages'!B1199="","",'Enter messages'!B1199)</f>
        <v/>
      </c>
      <c r="C1199" s="21">
        <f>IFERROR(AVERAGE(P1199:T1199),"")</f>
        <v/>
      </c>
      <c r="D1199" s="29" t="n"/>
      <c r="E1199" s="29" t="n"/>
      <c r="F1199" s="30">
        <f>IF(AND(ISNUMBER($D1199),ISNUMBER($E1199),$E1199&gt;0,$D1199&lt;=$E1199),$D1199/$E1199,"")</f>
        <v/>
      </c>
      <c r="P1199" s="26" t="n"/>
      <c r="Q1199" s="26" t="n"/>
      <c r="R1199" s="26" t="n"/>
      <c r="S1199" s="26" t="n"/>
      <c r="T1199" s="26" t="n"/>
      <c r="V1199" s="27">
        <f>IF(ISNUMBER($C1199),COUNTIFS($A$14:$A$1213,$A1199,$C$14:$C$1213,"&gt;"&amp;$C1199)+(COUNTIFS($A$14:$A$1213,$A1199,$C$14:$C$1213,"="&amp;$C1199)+1)/2,"")</f>
        <v/>
      </c>
      <c r="W1199" s="27">
        <f>IF(ISNUMBER($F1199),COUNTIFS($A$14:$A$1213,$A1199,$F$14:$F$1213,"&gt;"&amp;$F1199)+(COUNTIFS($A$14:$A$1213,$A1199,$F$14:$F$1213,"="&amp;$F1199)+1)/2,"")</f>
        <v/>
      </c>
      <c r="X1199" s="27">
        <f>IF(OR(NOT(ISNUMBER($V1199)),$AO1199=1),"",$V1199-(COUNTIFS($A$14:$A$1213,$A1199,$C$14:$C$1213,"&gt;=0")+1)/2)</f>
        <v/>
      </c>
      <c r="Y1199" s="27">
        <f>IF(OR(NOT(ISNUMBER($W1199)),$AO1199=1),"",$W1199-(COUNTIFS($A$14:$A$1213,$A1199,$F$14:$F$1213,"&gt;=0")+1)/2)</f>
        <v/>
      </c>
      <c r="Z1199" s="27">
        <f>IF(ISNUMBER($V1199),$A1199&amp;"|"&amp;$V1199,"")</f>
        <v/>
      </c>
      <c r="AA1199" s="27">
        <f>IF(ISNUMBER($W1199),$A1199&amp;"|"&amp;$W1199,"")</f>
        <v/>
      </c>
      <c r="AB1199" s="27">
        <f>IF(ISNUMBER($F1199),$A1199&amp;"|"&amp;$F1199,"")</f>
        <v/>
      </c>
      <c r="AC1199" s="27">
        <f>IF(ISNUMBER($P1199),COUNTIFS($A$14:$A$1213,$A1199,$P$14:$P$1213,"&gt;"&amp;$P1199)+(COUNTIFS($A$14:$A$1213,$A1199,$P$14:$P$1213,"="&amp;$P1199)+1)/2,"")</f>
        <v/>
      </c>
      <c r="AD1199" s="27">
        <f>IF(ISNUMBER($Q1199),COUNTIFS($A$14:$A$1213,$A1199,$Q$14:$Q$1213,"&gt;"&amp;$Q1199)+(COUNTIFS($A$14:$A$1213,$A1199,$Q$14:$Q$1213,"="&amp;$Q1199)+1)/2,"")</f>
        <v/>
      </c>
      <c r="AE1199" s="27">
        <f>IF(ISNUMBER($R1199),COUNTIFS($A$14:$A$1213,$A1199,$R$14:$R$1213,"&gt;"&amp;$R1199)+(COUNTIFS($A$14:$A$1213,$A1199,$R$14:$R$1213,"="&amp;$R1199)+1)/2,"")</f>
        <v/>
      </c>
      <c r="AF1199" s="27">
        <f>IF(ISNUMBER($S1199),COUNTIFS($A$14:$A$1213,$A1199,$S$14:$S$1213,"&gt;"&amp;$S1199)+(COUNTIFS($A$14:$A$1213,$A1199,$S$14:$S$1213,"="&amp;$S1199)+1)/2,"")</f>
        <v/>
      </c>
      <c r="AG1199" s="27">
        <f>IF(ISNUMBER($T1199),COUNTIFS($A$14:$A$1213,$A1199,$T$14:$T$1213,"&gt;"&amp;$T1199)+(COUNTIFS($A$14:$A$1213,$A1199,$T$14:$T$1213,"="&amp;$T1199)+1)/2,"")</f>
        <v/>
      </c>
      <c r="AH1199" s="27">
        <f>IF(COUNT($AC1199:$AG1199)&lt;2,"",IF(MAX($AC1199:$AG1199)=MIN($AC1199:$AG1199),0,1))</f>
        <v/>
      </c>
      <c r="AI1199" s="27">
        <f>IF($A1199="","",IF(COUNTIF($A$14:$A1199,$A1199)=1,COUNTIF($AI$13:AI1198,"&gt;0")+1,""))</f>
        <v/>
      </c>
      <c r="AO1199" s="27">
        <f>IF($A1199="","",IF(AND(COUNTIFS($A$14:$A$1213,$A1199,$F$14:$F$1213,"&gt;=0")=2,IFERROR(INDEX($M$14:$M$313,MATCH($A1199,$H$14:$H$313,0)),"Yes")&lt;&gt;"Yes"),1,0))</f>
        <v/>
      </c>
    </row>
    <row r="1200">
      <c r="A1200" s="19">
        <f>IF('Enter messages'!A1200="","",'Enter messages'!A1200)</f>
        <v/>
      </c>
      <c r="B1200" s="20">
        <f>IF('Enter messages'!B1200="","",'Enter messages'!B1200)</f>
        <v/>
      </c>
      <c r="C1200" s="21">
        <f>IFERROR(AVERAGE(P1200:T1200),"")</f>
        <v/>
      </c>
      <c r="D1200" s="29" t="n"/>
      <c r="E1200" s="29" t="n"/>
      <c r="F1200" s="30">
        <f>IF(AND(ISNUMBER($D1200),ISNUMBER($E1200),$E1200&gt;0,$D1200&lt;=$E1200),$D1200/$E1200,"")</f>
        <v/>
      </c>
      <c r="P1200" s="26" t="n"/>
      <c r="Q1200" s="26" t="n"/>
      <c r="R1200" s="26" t="n"/>
      <c r="S1200" s="26" t="n"/>
      <c r="T1200" s="26" t="n"/>
      <c r="V1200" s="27">
        <f>IF(ISNUMBER($C1200),COUNTIFS($A$14:$A$1213,$A1200,$C$14:$C$1213,"&gt;"&amp;$C1200)+(COUNTIFS($A$14:$A$1213,$A1200,$C$14:$C$1213,"="&amp;$C1200)+1)/2,"")</f>
        <v/>
      </c>
      <c r="W1200" s="27">
        <f>IF(ISNUMBER($F1200),COUNTIFS($A$14:$A$1213,$A1200,$F$14:$F$1213,"&gt;"&amp;$F1200)+(COUNTIFS($A$14:$A$1213,$A1200,$F$14:$F$1213,"="&amp;$F1200)+1)/2,"")</f>
        <v/>
      </c>
      <c r="X1200" s="27">
        <f>IF(OR(NOT(ISNUMBER($V1200)),$AO1200=1),"",$V1200-(COUNTIFS($A$14:$A$1213,$A1200,$C$14:$C$1213,"&gt;=0")+1)/2)</f>
        <v/>
      </c>
      <c r="Y1200" s="27">
        <f>IF(OR(NOT(ISNUMBER($W1200)),$AO1200=1),"",$W1200-(COUNTIFS($A$14:$A$1213,$A1200,$F$14:$F$1213,"&gt;=0")+1)/2)</f>
        <v/>
      </c>
      <c r="Z1200" s="27">
        <f>IF(ISNUMBER($V1200),$A1200&amp;"|"&amp;$V1200,"")</f>
        <v/>
      </c>
      <c r="AA1200" s="27">
        <f>IF(ISNUMBER($W1200),$A1200&amp;"|"&amp;$W1200,"")</f>
        <v/>
      </c>
      <c r="AB1200" s="27">
        <f>IF(ISNUMBER($F1200),$A1200&amp;"|"&amp;$F1200,"")</f>
        <v/>
      </c>
      <c r="AC1200" s="27">
        <f>IF(ISNUMBER($P1200),COUNTIFS($A$14:$A$1213,$A1200,$P$14:$P$1213,"&gt;"&amp;$P1200)+(COUNTIFS($A$14:$A$1213,$A1200,$P$14:$P$1213,"="&amp;$P1200)+1)/2,"")</f>
        <v/>
      </c>
      <c r="AD1200" s="27">
        <f>IF(ISNUMBER($Q1200),COUNTIFS($A$14:$A$1213,$A1200,$Q$14:$Q$1213,"&gt;"&amp;$Q1200)+(COUNTIFS($A$14:$A$1213,$A1200,$Q$14:$Q$1213,"="&amp;$Q1200)+1)/2,"")</f>
        <v/>
      </c>
      <c r="AE1200" s="27">
        <f>IF(ISNUMBER($R1200),COUNTIFS($A$14:$A$1213,$A1200,$R$14:$R$1213,"&gt;"&amp;$R1200)+(COUNTIFS($A$14:$A$1213,$A1200,$R$14:$R$1213,"="&amp;$R1200)+1)/2,"")</f>
        <v/>
      </c>
      <c r="AF1200" s="27">
        <f>IF(ISNUMBER($S1200),COUNTIFS($A$14:$A$1213,$A1200,$S$14:$S$1213,"&gt;"&amp;$S1200)+(COUNTIFS($A$14:$A$1213,$A1200,$S$14:$S$1213,"="&amp;$S1200)+1)/2,"")</f>
        <v/>
      </c>
      <c r="AG1200" s="27">
        <f>IF(ISNUMBER($T1200),COUNTIFS($A$14:$A$1213,$A1200,$T$14:$T$1213,"&gt;"&amp;$T1200)+(COUNTIFS($A$14:$A$1213,$A1200,$T$14:$T$1213,"="&amp;$T1200)+1)/2,"")</f>
        <v/>
      </c>
      <c r="AH1200" s="27">
        <f>IF(COUNT($AC1200:$AG1200)&lt;2,"",IF(MAX($AC1200:$AG1200)=MIN($AC1200:$AG1200),0,1))</f>
        <v/>
      </c>
      <c r="AI1200" s="27">
        <f>IF($A1200="","",IF(COUNTIF($A$14:$A1200,$A1200)=1,COUNTIF($AI$13:AI1199,"&gt;0")+1,""))</f>
        <v/>
      </c>
      <c r="AO1200" s="27">
        <f>IF($A1200="","",IF(AND(COUNTIFS($A$14:$A$1213,$A1200,$F$14:$F$1213,"&gt;=0")=2,IFERROR(INDEX($M$14:$M$313,MATCH($A1200,$H$14:$H$313,0)),"Yes")&lt;&gt;"Yes"),1,0))</f>
        <v/>
      </c>
    </row>
    <row r="1201">
      <c r="A1201" s="19">
        <f>IF('Enter messages'!A1201="","",'Enter messages'!A1201)</f>
        <v/>
      </c>
      <c r="B1201" s="20">
        <f>IF('Enter messages'!B1201="","",'Enter messages'!B1201)</f>
        <v/>
      </c>
      <c r="C1201" s="21">
        <f>IFERROR(AVERAGE(P1201:T1201),"")</f>
        <v/>
      </c>
      <c r="D1201" s="29" t="n"/>
      <c r="E1201" s="29" t="n"/>
      <c r="F1201" s="30">
        <f>IF(AND(ISNUMBER($D1201),ISNUMBER($E1201),$E1201&gt;0,$D1201&lt;=$E1201),$D1201/$E1201,"")</f>
        <v/>
      </c>
      <c r="P1201" s="26" t="n"/>
      <c r="Q1201" s="26" t="n"/>
      <c r="R1201" s="26" t="n"/>
      <c r="S1201" s="26" t="n"/>
      <c r="T1201" s="26" t="n"/>
      <c r="V1201" s="27">
        <f>IF(ISNUMBER($C1201),COUNTIFS($A$14:$A$1213,$A1201,$C$14:$C$1213,"&gt;"&amp;$C1201)+(COUNTIFS($A$14:$A$1213,$A1201,$C$14:$C$1213,"="&amp;$C1201)+1)/2,"")</f>
        <v/>
      </c>
      <c r="W1201" s="27">
        <f>IF(ISNUMBER($F1201),COUNTIFS($A$14:$A$1213,$A1201,$F$14:$F$1213,"&gt;"&amp;$F1201)+(COUNTIFS($A$14:$A$1213,$A1201,$F$14:$F$1213,"="&amp;$F1201)+1)/2,"")</f>
        <v/>
      </c>
      <c r="X1201" s="27">
        <f>IF(OR(NOT(ISNUMBER($V1201)),$AO1201=1),"",$V1201-(COUNTIFS($A$14:$A$1213,$A1201,$C$14:$C$1213,"&gt;=0")+1)/2)</f>
        <v/>
      </c>
      <c r="Y1201" s="27">
        <f>IF(OR(NOT(ISNUMBER($W1201)),$AO1201=1),"",$W1201-(COUNTIFS($A$14:$A$1213,$A1201,$F$14:$F$1213,"&gt;=0")+1)/2)</f>
        <v/>
      </c>
      <c r="Z1201" s="27">
        <f>IF(ISNUMBER($V1201),$A1201&amp;"|"&amp;$V1201,"")</f>
        <v/>
      </c>
      <c r="AA1201" s="27">
        <f>IF(ISNUMBER($W1201),$A1201&amp;"|"&amp;$W1201,"")</f>
        <v/>
      </c>
      <c r="AB1201" s="27">
        <f>IF(ISNUMBER($F1201),$A1201&amp;"|"&amp;$F1201,"")</f>
        <v/>
      </c>
      <c r="AC1201" s="27">
        <f>IF(ISNUMBER($P1201),COUNTIFS($A$14:$A$1213,$A1201,$P$14:$P$1213,"&gt;"&amp;$P1201)+(COUNTIFS($A$14:$A$1213,$A1201,$P$14:$P$1213,"="&amp;$P1201)+1)/2,"")</f>
        <v/>
      </c>
      <c r="AD1201" s="27">
        <f>IF(ISNUMBER($Q1201),COUNTIFS($A$14:$A$1213,$A1201,$Q$14:$Q$1213,"&gt;"&amp;$Q1201)+(COUNTIFS($A$14:$A$1213,$A1201,$Q$14:$Q$1213,"="&amp;$Q1201)+1)/2,"")</f>
        <v/>
      </c>
      <c r="AE1201" s="27">
        <f>IF(ISNUMBER($R1201),COUNTIFS($A$14:$A$1213,$A1201,$R$14:$R$1213,"&gt;"&amp;$R1201)+(COUNTIFS($A$14:$A$1213,$A1201,$R$14:$R$1213,"="&amp;$R1201)+1)/2,"")</f>
        <v/>
      </c>
      <c r="AF1201" s="27">
        <f>IF(ISNUMBER($S1201),COUNTIFS($A$14:$A$1213,$A1201,$S$14:$S$1213,"&gt;"&amp;$S1201)+(COUNTIFS($A$14:$A$1213,$A1201,$S$14:$S$1213,"="&amp;$S1201)+1)/2,"")</f>
        <v/>
      </c>
      <c r="AG1201" s="27">
        <f>IF(ISNUMBER($T1201),COUNTIFS($A$14:$A$1213,$A1201,$T$14:$T$1213,"&gt;"&amp;$T1201)+(COUNTIFS($A$14:$A$1213,$A1201,$T$14:$T$1213,"="&amp;$T1201)+1)/2,"")</f>
        <v/>
      </c>
      <c r="AH1201" s="27">
        <f>IF(COUNT($AC1201:$AG1201)&lt;2,"",IF(MAX($AC1201:$AG1201)=MIN($AC1201:$AG1201),0,1))</f>
        <v/>
      </c>
      <c r="AI1201" s="27">
        <f>IF($A1201="","",IF(COUNTIF($A$14:$A1201,$A1201)=1,COUNTIF($AI$13:AI1200,"&gt;0")+1,""))</f>
        <v/>
      </c>
      <c r="AO1201" s="27">
        <f>IF($A1201="","",IF(AND(COUNTIFS($A$14:$A$1213,$A1201,$F$14:$F$1213,"&gt;=0")=2,IFERROR(INDEX($M$14:$M$313,MATCH($A1201,$H$14:$H$313,0)),"Yes")&lt;&gt;"Yes"),1,0))</f>
        <v/>
      </c>
    </row>
    <row r="1202">
      <c r="A1202" s="19">
        <f>IF('Enter messages'!A1202="","",'Enter messages'!A1202)</f>
        <v/>
      </c>
      <c r="B1202" s="20">
        <f>IF('Enter messages'!B1202="","",'Enter messages'!B1202)</f>
        <v/>
      </c>
      <c r="C1202" s="21">
        <f>IFERROR(AVERAGE(P1202:T1202),"")</f>
        <v/>
      </c>
      <c r="D1202" s="29" t="n"/>
      <c r="E1202" s="29" t="n"/>
      <c r="F1202" s="30">
        <f>IF(AND(ISNUMBER($D1202),ISNUMBER($E1202),$E1202&gt;0,$D1202&lt;=$E1202),$D1202/$E1202,"")</f>
        <v/>
      </c>
      <c r="P1202" s="26" t="n"/>
      <c r="Q1202" s="26" t="n"/>
      <c r="R1202" s="26" t="n"/>
      <c r="S1202" s="26" t="n"/>
      <c r="T1202" s="26" t="n"/>
      <c r="V1202" s="27">
        <f>IF(ISNUMBER($C1202),COUNTIFS($A$14:$A$1213,$A1202,$C$14:$C$1213,"&gt;"&amp;$C1202)+(COUNTIFS($A$14:$A$1213,$A1202,$C$14:$C$1213,"="&amp;$C1202)+1)/2,"")</f>
        <v/>
      </c>
      <c r="W1202" s="27">
        <f>IF(ISNUMBER($F1202),COUNTIFS($A$14:$A$1213,$A1202,$F$14:$F$1213,"&gt;"&amp;$F1202)+(COUNTIFS($A$14:$A$1213,$A1202,$F$14:$F$1213,"="&amp;$F1202)+1)/2,"")</f>
        <v/>
      </c>
      <c r="X1202" s="27">
        <f>IF(OR(NOT(ISNUMBER($V1202)),$AO1202=1),"",$V1202-(COUNTIFS($A$14:$A$1213,$A1202,$C$14:$C$1213,"&gt;=0")+1)/2)</f>
        <v/>
      </c>
      <c r="Y1202" s="27">
        <f>IF(OR(NOT(ISNUMBER($W1202)),$AO1202=1),"",$W1202-(COUNTIFS($A$14:$A$1213,$A1202,$F$14:$F$1213,"&gt;=0")+1)/2)</f>
        <v/>
      </c>
      <c r="Z1202" s="27">
        <f>IF(ISNUMBER($V1202),$A1202&amp;"|"&amp;$V1202,"")</f>
        <v/>
      </c>
      <c r="AA1202" s="27">
        <f>IF(ISNUMBER($W1202),$A1202&amp;"|"&amp;$W1202,"")</f>
        <v/>
      </c>
      <c r="AB1202" s="27">
        <f>IF(ISNUMBER($F1202),$A1202&amp;"|"&amp;$F1202,"")</f>
        <v/>
      </c>
      <c r="AC1202" s="27">
        <f>IF(ISNUMBER($P1202),COUNTIFS($A$14:$A$1213,$A1202,$P$14:$P$1213,"&gt;"&amp;$P1202)+(COUNTIFS($A$14:$A$1213,$A1202,$P$14:$P$1213,"="&amp;$P1202)+1)/2,"")</f>
        <v/>
      </c>
      <c r="AD1202" s="27">
        <f>IF(ISNUMBER($Q1202),COUNTIFS($A$14:$A$1213,$A1202,$Q$14:$Q$1213,"&gt;"&amp;$Q1202)+(COUNTIFS($A$14:$A$1213,$A1202,$Q$14:$Q$1213,"="&amp;$Q1202)+1)/2,"")</f>
        <v/>
      </c>
      <c r="AE1202" s="27">
        <f>IF(ISNUMBER($R1202),COUNTIFS($A$14:$A$1213,$A1202,$R$14:$R$1213,"&gt;"&amp;$R1202)+(COUNTIFS($A$14:$A$1213,$A1202,$R$14:$R$1213,"="&amp;$R1202)+1)/2,"")</f>
        <v/>
      </c>
      <c r="AF1202" s="27">
        <f>IF(ISNUMBER($S1202),COUNTIFS($A$14:$A$1213,$A1202,$S$14:$S$1213,"&gt;"&amp;$S1202)+(COUNTIFS($A$14:$A$1213,$A1202,$S$14:$S$1213,"="&amp;$S1202)+1)/2,"")</f>
        <v/>
      </c>
      <c r="AG1202" s="27">
        <f>IF(ISNUMBER($T1202),COUNTIFS($A$14:$A$1213,$A1202,$T$14:$T$1213,"&gt;"&amp;$T1202)+(COUNTIFS($A$14:$A$1213,$A1202,$T$14:$T$1213,"="&amp;$T1202)+1)/2,"")</f>
        <v/>
      </c>
      <c r="AH1202" s="27">
        <f>IF(COUNT($AC1202:$AG1202)&lt;2,"",IF(MAX($AC1202:$AG1202)=MIN($AC1202:$AG1202),0,1))</f>
        <v/>
      </c>
      <c r="AI1202" s="27">
        <f>IF($A1202="","",IF(COUNTIF($A$14:$A1202,$A1202)=1,COUNTIF($AI$13:AI1201,"&gt;0")+1,""))</f>
        <v/>
      </c>
      <c r="AO1202" s="27">
        <f>IF($A1202="","",IF(AND(COUNTIFS($A$14:$A$1213,$A1202,$F$14:$F$1213,"&gt;=0")=2,IFERROR(INDEX($M$14:$M$313,MATCH($A1202,$H$14:$H$313,0)),"Yes")&lt;&gt;"Yes"),1,0))</f>
        <v/>
      </c>
    </row>
    <row r="1203">
      <c r="A1203" s="19">
        <f>IF('Enter messages'!A1203="","",'Enter messages'!A1203)</f>
        <v/>
      </c>
      <c r="B1203" s="20">
        <f>IF('Enter messages'!B1203="","",'Enter messages'!B1203)</f>
        <v/>
      </c>
      <c r="C1203" s="21">
        <f>IFERROR(AVERAGE(P1203:T1203),"")</f>
        <v/>
      </c>
      <c r="D1203" s="29" t="n"/>
      <c r="E1203" s="29" t="n"/>
      <c r="F1203" s="30">
        <f>IF(AND(ISNUMBER($D1203),ISNUMBER($E1203),$E1203&gt;0,$D1203&lt;=$E1203),$D1203/$E1203,"")</f>
        <v/>
      </c>
      <c r="P1203" s="26" t="n"/>
      <c r="Q1203" s="26" t="n"/>
      <c r="R1203" s="26" t="n"/>
      <c r="S1203" s="26" t="n"/>
      <c r="T1203" s="26" t="n"/>
      <c r="V1203" s="27">
        <f>IF(ISNUMBER($C1203),COUNTIFS($A$14:$A$1213,$A1203,$C$14:$C$1213,"&gt;"&amp;$C1203)+(COUNTIFS($A$14:$A$1213,$A1203,$C$14:$C$1213,"="&amp;$C1203)+1)/2,"")</f>
        <v/>
      </c>
      <c r="W1203" s="27">
        <f>IF(ISNUMBER($F1203),COUNTIFS($A$14:$A$1213,$A1203,$F$14:$F$1213,"&gt;"&amp;$F1203)+(COUNTIFS($A$14:$A$1213,$A1203,$F$14:$F$1213,"="&amp;$F1203)+1)/2,"")</f>
        <v/>
      </c>
      <c r="X1203" s="27">
        <f>IF(OR(NOT(ISNUMBER($V1203)),$AO1203=1),"",$V1203-(COUNTIFS($A$14:$A$1213,$A1203,$C$14:$C$1213,"&gt;=0")+1)/2)</f>
        <v/>
      </c>
      <c r="Y1203" s="27">
        <f>IF(OR(NOT(ISNUMBER($W1203)),$AO1203=1),"",$W1203-(COUNTIFS($A$14:$A$1213,$A1203,$F$14:$F$1213,"&gt;=0")+1)/2)</f>
        <v/>
      </c>
      <c r="Z1203" s="27">
        <f>IF(ISNUMBER($V1203),$A1203&amp;"|"&amp;$V1203,"")</f>
        <v/>
      </c>
      <c r="AA1203" s="27">
        <f>IF(ISNUMBER($W1203),$A1203&amp;"|"&amp;$W1203,"")</f>
        <v/>
      </c>
      <c r="AB1203" s="27">
        <f>IF(ISNUMBER($F1203),$A1203&amp;"|"&amp;$F1203,"")</f>
        <v/>
      </c>
      <c r="AC1203" s="27">
        <f>IF(ISNUMBER($P1203),COUNTIFS($A$14:$A$1213,$A1203,$P$14:$P$1213,"&gt;"&amp;$P1203)+(COUNTIFS($A$14:$A$1213,$A1203,$P$14:$P$1213,"="&amp;$P1203)+1)/2,"")</f>
        <v/>
      </c>
      <c r="AD1203" s="27">
        <f>IF(ISNUMBER($Q1203),COUNTIFS($A$14:$A$1213,$A1203,$Q$14:$Q$1213,"&gt;"&amp;$Q1203)+(COUNTIFS($A$14:$A$1213,$A1203,$Q$14:$Q$1213,"="&amp;$Q1203)+1)/2,"")</f>
        <v/>
      </c>
      <c r="AE1203" s="27">
        <f>IF(ISNUMBER($R1203),COUNTIFS($A$14:$A$1213,$A1203,$R$14:$R$1213,"&gt;"&amp;$R1203)+(COUNTIFS($A$14:$A$1213,$A1203,$R$14:$R$1213,"="&amp;$R1203)+1)/2,"")</f>
        <v/>
      </c>
      <c r="AF1203" s="27">
        <f>IF(ISNUMBER($S1203),COUNTIFS($A$14:$A$1213,$A1203,$S$14:$S$1213,"&gt;"&amp;$S1203)+(COUNTIFS($A$14:$A$1213,$A1203,$S$14:$S$1213,"="&amp;$S1203)+1)/2,"")</f>
        <v/>
      </c>
      <c r="AG1203" s="27">
        <f>IF(ISNUMBER($T1203),COUNTIFS($A$14:$A$1213,$A1203,$T$14:$T$1213,"&gt;"&amp;$T1203)+(COUNTIFS($A$14:$A$1213,$A1203,$T$14:$T$1213,"="&amp;$T1203)+1)/2,"")</f>
        <v/>
      </c>
      <c r="AH1203" s="27">
        <f>IF(COUNT($AC1203:$AG1203)&lt;2,"",IF(MAX($AC1203:$AG1203)=MIN($AC1203:$AG1203),0,1))</f>
        <v/>
      </c>
      <c r="AI1203" s="27">
        <f>IF($A1203="","",IF(COUNTIF($A$14:$A1203,$A1203)=1,COUNTIF($AI$13:AI1202,"&gt;0")+1,""))</f>
        <v/>
      </c>
      <c r="AO1203" s="27">
        <f>IF($A1203="","",IF(AND(COUNTIFS($A$14:$A$1213,$A1203,$F$14:$F$1213,"&gt;=0")=2,IFERROR(INDEX($M$14:$M$313,MATCH($A1203,$H$14:$H$313,0)),"Yes")&lt;&gt;"Yes"),1,0))</f>
        <v/>
      </c>
    </row>
    <row r="1204">
      <c r="A1204" s="19">
        <f>IF('Enter messages'!A1204="","",'Enter messages'!A1204)</f>
        <v/>
      </c>
      <c r="B1204" s="20">
        <f>IF('Enter messages'!B1204="","",'Enter messages'!B1204)</f>
        <v/>
      </c>
      <c r="C1204" s="21">
        <f>IFERROR(AVERAGE(P1204:T1204),"")</f>
        <v/>
      </c>
      <c r="D1204" s="29" t="n"/>
      <c r="E1204" s="29" t="n"/>
      <c r="F1204" s="30">
        <f>IF(AND(ISNUMBER($D1204),ISNUMBER($E1204),$E1204&gt;0,$D1204&lt;=$E1204),$D1204/$E1204,"")</f>
        <v/>
      </c>
      <c r="P1204" s="26" t="n"/>
      <c r="Q1204" s="26" t="n"/>
      <c r="R1204" s="26" t="n"/>
      <c r="S1204" s="26" t="n"/>
      <c r="T1204" s="26" t="n"/>
      <c r="V1204" s="27">
        <f>IF(ISNUMBER($C1204),COUNTIFS($A$14:$A$1213,$A1204,$C$14:$C$1213,"&gt;"&amp;$C1204)+(COUNTIFS($A$14:$A$1213,$A1204,$C$14:$C$1213,"="&amp;$C1204)+1)/2,"")</f>
        <v/>
      </c>
      <c r="W1204" s="27">
        <f>IF(ISNUMBER($F1204),COUNTIFS($A$14:$A$1213,$A1204,$F$14:$F$1213,"&gt;"&amp;$F1204)+(COUNTIFS($A$14:$A$1213,$A1204,$F$14:$F$1213,"="&amp;$F1204)+1)/2,"")</f>
        <v/>
      </c>
      <c r="X1204" s="27">
        <f>IF(OR(NOT(ISNUMBER($V1204)),$AO1204=1),"",$V1204-(COUNTIFS($A$14:$A$1213,$A1204,$C$14:$C$1213,"&gt;=0")+1)/2)</f>
        <v/>
      </c>
      <c r="Y1204" s="27">
        <f>IF(OR(NOT(ISNUMBER($W1204)),$AO1204=1),"",$W1204-(COUNTIFS($A$14:$A$1213,$A1204,$F$14:$F$1213,"&gt;=0")+1)/2)</f>
        <v/>
      </c>
      <c r="Z1204" s="27">
        <f>IF(ISNUMBER($V1204),$A1204&amp;"|"&amp;$V1204,"")</f>
        <v/>
      </c>
      <c r="AA1204" s="27">
        <f>IF(ISNUMBER($W1204),$A1204&amp;"|"&amp;$W1204,"")</f>
        <v/>
      </c>
      <c r="AB1204" s="27">
        <f>IF(ISNUMBER($F1204),$A1204&amp;"|"&amp;$F1204,"")</f>
        <v/>
      </c>
      <c r="AC1204" s="27">
        <f>IF(ISNUMBER($P1204),COUNTIFS($A$14:$A$1213,$A1204,$P$14:$P$1213,"&gt;"&amp;$P1204)+(COUNTIFS($A$14:$A$1213,$A1204,$P$14:$P$1213,"="&amp;$P1204)+1)/2,"")</f>
        <v/>
      </c>
      <c r="AD1204" s="27">
        <f>IF(ISNUMBER($Q1204),COUNTIFS($A$14:$A$1213,$A1204,$Q$14:$Q$1213,"&gt;"&amp;$Q1204)+(COUNTIFS($A$14:$A$1213,$A1204,$Q$14:$Q$1213,"="&amp;$Q1204)+1)/2,"")</f>
        <v/>
      </c>
      <c r="AE1204" s="27">
        <f>IF(ISNUMBER($R1204),COUNTIFS($A$14:$A$1213,$A1204,$R$14:$R$1213,"&gt;"&amp;$R1204)+(COUNTIFS($A$14:$A$1213,$A1204,$R$14:$R$1213,"="&amp;$R1204)+1)/2,"")</f>
        <v/>
      </c>
      <c r="AF1204" s="27">
        <f>IF(ISNUMBER($S1204),COUNTIFS($A$14:$A$1213,$A1204,$S$14:$S$1213,"&gt;"&amp;$S1204)+(COUNTIFS($A$14:$A$1213,$A1204,$S$14:$S$1213,"="&amp;$S1204)+1)/2,"")</f>
        <v/>
      </c>
      <c r="AG1204" s="27">
        <f>IF(ISNUMBER($T1204),COUNTIFS($A$14:$A$1213,$A1204,$T$14:$T$1213,"&gt;"&amp;$T1204)+(COUNTIFS($A$14:$A$1213,$A1204,$T$14:$T$1213,"="&amp;$T1204)+1)/2,"")</f>
        <v/>
      </c>
      <c r="AH1204" s="27">
        <f>IF(COUNT($AC1204:$AG1204)&lt;2,"",IF(MAX($AC1204:$AG1204)=MIN($AC1204:$AG1204),0,1))</f>
        <v/>
      </c>
      <c r="AI1204" s="27">
        <f>IF($A1204="","",IF(COUNTIF($A$14:$A1204,$A1204)=1,COUNTIF($AI$13:AI1203,"&gt;0")+1,""))</f>
        <v/>
      </c>
      <c r="AO1204" s="27">
        <f>IF($A1204="","",IF(AND(COUNTIFS($A$14:$A$1213,$A1204,$F$14:$F$1213,"&gt;=0")=2,IFERROR(INDEX($M$14:$M$313,MATCH($A1204,$H$14:$H$313,0)),"Yes")&lt;&gt;"Yes"),1,0))</f>
        <v/>
      </c>
    </row>
    <row r="1205">
      <c r="A1205" s="19">
        <f>IF('Enter messages'!A1205="","",'Enter messages'!A1205)</f>
        <v/>
      </c>
      <c r="B1205" s="20">
        <f>IF('Enter messages'!B1205="","",'Enter messages'!B1205)</f>
        <v/>
      </c>
      <c r="C1205" s="21">
        <f>IFERROR(AVERAGE(P1205:T1205),"")</f>
        <v/>
      </c>
      <c r="D1205" s="29" t="n"/>
      <c r="E1205" s="29" t="n"/>
      <c r="F1205" s="30">
        <f>IF(AND(ISNUMBER($D1205),ISNUMBER($E1205),$E1205&gt;0,$D1205&lt;=$E1205),$D1205/$E1205,"")</f>
        <v/>
      </c>
      <c r="P1205" s="26" t="n"/>
      <c r="Q1205" s="26" t="n"/>
      <c r="R1205" s="26" t="n"/>
      <c r="S1205" s="26" t="n"/>
      <c r="T1205" s="26" t="n"/>
      <c r="V1205" s="27">
        <f>IF(ISNUMBER($C1205),COUNTIFS($A$14:$A$1213,$A1205,$C$14:$C$1213,"&gt;"&amp;$C1205)+(COUNTIFS($A$14:$A$1213,$A1205,$C$14:$C$1213,"="&amp;$C1205)+1)/2,"")</f>
        <v/>
      </c>
      <c r="W1205" s="27">
        <f>IF(ISNUMBER($F1205),COUNTIFS($A$14:$A$1213,$A1205,$F$14:$F$1213,"&gt;"&amp;$F1205)+(COUNTIFS($A$14:$A$1213,$A1205,$F$14:$F$1213,"="&amp;$F1205)+1)/2,"")</f>
        <v/>
      </c>
      <c r="X1205" s="27">
        <f>IF(OR(NOT(ISNUMBER($V1205)),$AO1205=1),"",$V1205-(COUNTIFS($A$14:$A$1213,$A1205,$C$14:$C$1213,"&gt;=0")+1)/2)</f>
        <v/>
      </c>
      <c r="Y1205" s="27">
        <f>IF(OR(NOT(ISNUMBER($W1205)),$AO1205=1),"",$W1205-(COUNTIFS($A$14:$A$1213,$A1205,$F$14:$F$1213,"&gt;=0")+1)/2)</f>
        <v/>
      </c>
      <c r="Z1205" s="27">
        <f>IF(ISNUMBER($V1205),$A1205&amp;"|"&amp;$V1205,"")</f>
        <v/>
      </c>
      <c r="AA1205" s="27">
        <f>IF(ISNUMBER($W1205),$A1205&amp;"|"&amp;$W1205,"")</f>
        <v/>
      </c>
      <c r="AB1205" s="27">
        <f>IF(ISNUMBER($F1205),$A1205&amp;"|"&amp;$F1205,"")</f>
        <v/>
      </c>
      <c r="AC1205" s="27">
        <f>IF(ISNUMBER($P1205),COUNTIFS($A$14:$A$1213,$A1205,$P$14:$P$1213,"&gt;"&amp;$P1205)+(COUNTIFS($A$14:$A$1213,$A1205,$P$14:$P$1213,"="&amp;$P1205)+1)/2,"")</f>
        <v/>
      </c>
      <c r="AD1205" s="27">
        <f>IF(ISNUMBER($Q1205),COUNTIFS($A$14:$A$1213,$A1205,$Q$14:$Q$1213,"&gt;"&amp;$Q1205)+(COUNTIFS($A$14:$A$1213,$A1205,$Q$14:$Q$1213,"="&amp;$Q1205)+1)/2,"")</f>
        <v/>
      </c>
      <c r="AE1205" s="27">
        <f>IF(ISNUMBER($R1205),COUNTIFS($A$14:$A$1213,$A1205,$R$14:$R$1213,"&gt;"&amp;$R1205)+(COUNTIFS($A$14:$A$1213,$A1205,$R$14:$R$1213,"="&amp;$R1205)+1)/2,"")</f>
        <v/>
      </c>
      <c r="AF1205" s="27">
        <f>IF(ISNUMBER($S1205),COUNTIFS($A$14:$A$1213,$A1205,$S$14:$S$1213,"&gt;"&amp;$S1205)+(COUNTIFS($A$14:$A$1213,$A1205,$S$14:$S$1213,"="&amp;$S1205)+1)/2,"")</f>
        <v/>
      </c>
      <c r="AG1205" s="27">
        <f>IF(ISNUMBER($T1205),COUNTIFS($A$14:$A$1213,$A1205,$T$14:$T$1213,"&gt;"&amp;$T1205)+(COUNTIFS($A$14:$A$1213,$A1205,$T$14:$T$1213,"="&amp;$T1205)+1)/2,"")</f>
        <v/>
      </c>
      <c r="AH1205" s="27">
        <f>IF(COUNT($AC1205:$AG1205)&lt;2,"",IF(MAX($AC1205:$AG1205)=MIN($AC1205:$AG1205),0,1))</f>
        <v/>
      </c>
      <c r="AI1205" s="27">
        <f>IF($A1205="","",IF(COUNTIF($A$14:$A1205,$A1205)=1,COUNTIF($AI$13:AI1204,"&gt;0")+1,""))</f>
        <v/>
      </c>
      <c r="AO1205" s="27">
        <f>IF($A1205="","",IF(AND(COUNTIFS($A$14:$A$1213,$A1205,$F$14:$F$1213,"&gt;=0")=2,IFERROR(INDEX($M$14:$M$313,MATCH($A1205,$H$14:$H$313,0)),"Yes")&lt;&gt;"Yes"),1,0))</f>
        <v/>
      </c>
    </row>
    <row r="1206">
      <c r="A1206" s="19">
        <f>IF('Enter messages'!A1206="","",'Enter messages'!A1206)</f>
        <v/>
      </c>
      <c r="B1206" s="20">
        <f>IF('Enter messages'!B1206="","",'Enter messages'!B1206)</f>
        <v/>
      </c>
      <c r="C1206" s="21">
        <f>IFERROR(AVERAGE(P1206:T1206),"")</f>
        <v/>
      </c>
      <c r="D1206" s="29" t="n"/>
      <c r="E1206" s="29" t="n"/>
      <c r="F1206" s="30">
        <f>IF(AND(ISNUMBER($D1206),ISNUMBER($E1206),$E1206&gt;0,$D1206&lt;=$E1206),$D1206/$E1206,"")</f>
        <v/>
      </c>
      <c r="P1206" s="26" t="n"/>
      <c r="Q1206" s="26" t="n"/>
      <c r="R1206" s="26" t="n"/>
      <c r="S1206" s="26" t="n"/>
      <c r="T1206" s="26" t="n"/>
      <c r="V1206" s="27">
        <f>IF(ISNUMBER($C1206),COUNTIFS($A$14:$A$1213,$A1206,$C$14:$C$1213,"&gt;"&amp;$C1206)+(COUNTIFS($A$14:$A$1213,$A1206,$C$14:$C$1213,"="&amp;$C1206)+1)/2,"")</f>
        <v/>
      </c>
      <c r="W1206" s="27">
        <f>IF(ISNUMBER($F1206),COUNTIFS($A$14:$A$1213,$A1206,$F$14:$F$1213,"&gt;"&amp;$F1206)+(COUNTIFS($A$14:$A$1213,$A1206,$F$14:$F$1213,"="&amp;$F1206)+1)/2,"")</f>
        <v/>
      </c>
      <c r="X1206" s="27">
        <f>IF(OR(NOT(ISNUMBER($V1206)),$AO1206=1),"",$V1206-(COUNTIFS($A$14:$A$1213,$A1206,$C$14:$C$1213,"&gt;=0")+1)/2)</f>
        <v/>
      </c>
      <c r="Y1206" s="27">
        <f>IF(OR(NOT(ISNUMBER($W1206)),$AO1206=1),"",$W1206-(COUNTIFS($A$14:$A$1213,$A1206,$F$14:$F$1213,"&gt;=0")+1)/2)</f>
        <v/>
      </c>
      <c r="Z1206" s="27">
        <f>IF(ISNUMBER($V1206),$A1206&amp;"|"&amp;$V1206,"")</f>
        <v/>
      </c>
      <c r="AA1206" s="27">
        <f>IF(ISNUMBER($W1206),$A1206&amp;"|"&amp;$W1206,"")</f>
        <v/>
      </c>
      <c r="AB1206" s="27">
        <f>IF(ISNUMBER($F1206),$A1206&amp;"|"&amp;$F1206,"")</f>
        <v/>
      </c>
      <c r="AC1206" s="27">
        <f>IF(ISNUMBER($P1206),COUNTIFS($A$14:$A$1213,$A1206,$P$14:$P$1213,"&gt;"&amp;$P1206)+(COUNTIFS($A$14:$A$1213,$A1206,$P$14:$P$1213,"="&amp;$P1206)+1)/2,"")</f>
        <v/>
      </c>
      <c r="AD1206" s="27">
        <f>IF(ISNUMBER($Q1206),COUNTIFS($A$14:$A$1213,$A1206,$Q$14:$Q$1213,"&gt;"&amp;$Q1206)+(COUNTIFS($A$14:$A$1213,$A1206,$Q$14:$Q$1213,"="&amp;$Q1206)+1)/2,"")</f>
        <v/>
      </c>
      <c r="AE1206" s="27">
        <f>IF(ISNUMBER($R1206),COUNTIFS($A$14:$A$1213,$A1206,$R$14:$R$1213,"&gt;"&amp;$R1206)+(COUNTIFS($A$14:$A$1213,$A1206,$R$14:$R$1213,"="&amp;$R1206)+1)/2,"")</f>
        <v/>
      </c>
      <c r="AF1206" s="27">
        <f>IF(ISNUMBER($S1206),COUNTIFS($A$14:$A$1213,$A1206,$S$14:$S$1213,"&gt;"&amp;$S1206)+(COUNTIFS($A$14:$A$1213,$A1206,$S$14:$S$1213,"="&amp;$S1206)+1)/2,"")</f>
        <v/>
      </c>
      <c r="AG1206" s="27">
        <f>IF(ISNUMBER($T1206),COUNTIFS($A$14:$A$1213,$A1206,$T$14:$T$1213,"&gt;"&amp;$T1206)+(COUNTIFS($A$14:$A$1213,$A1206,$T$14:$T$1213,"="&amp;$T1206)+1)/2,"")</f>
        <v/>
      </c>
      <c r="AH1206" s="27">
        <f>IF(COUNT($AC1206:$AG1206)&lt;2,"",IF(MAX($AC1206:$AG1206)=MIN($AC1206:$AG1206),0,1))</f>
        <v/>
      </c>
      <c r="AI1206" s="27">
        <f>IF($A1206="","",IF(COUNTIF($A$14:$A1206,$A1206)=1,COUNTIF($AI$13:AI1205,"&gt;0")+1,""))</f>
        <v/>
      </c>
      <c r="AO1206" s="27">
        <f>IF($A1206="","",IF(AND(COUNTIFS($A$14:$A$1213,$A1206,$F$14:$F$1213,"&gt;=0")=2,IFERROR(INDEX($M$14:$M$313,MATCH($A1206,$H$14:$H$313,0)),"Yes")&lt;&gt;"Yes"),1,0))</f>
        <v/>
      </c>
    </row>
    <row r="1207">
      <c r="A1207" s="19">
        <f>IF('Enter messages'!A1207="","",'Enter messages'!A1207)</f>
        <v/>
      </c>
      <c r="B1207" s="20">
        <f>IF('Enter messages'!B1207="","",'Enter messages'!B1207)</f>
        <v/>
      </c>
      <c r="C1207" s="21">
        <f>IFERROR(AVERAGE(P1207:T1207),"")</f>
        <v/>
      </c>
      <c r="D1207" s="29" t="n"/>
      <c r="E1207" s="29" t="n"/>
      <c r="F1207" s="30">
        <f>IF(AND(ISNUMBER($D1207),ISNUMBER($E1207),$E1207&gt;0,$D1207&lt;=$E1207),$D1207/$E1207,"")</f>
        <v/>
      </c>
      <c r="P1207" s="26" t="n"/>
      <c r="Q1207" s="26" t="n"/>
      <c r="R1207" s="26" t="n"/>
      <c r="S1207" s="26" t="n"/>
      <c r="T1207" s="26" t="n"/>
      <c r="V1207" s="27">
        <f>IF(ISNUMBER($C1207),COUNTIFS($A$14:$A$1213,$A1207,$C$14:$C$1213,"&gt;"&amp;$C1207)+(COUNTIFS($A$14:$A$1213,$A1207,$C$14:$C$1213,"="&amp;$C1207)+1)/2,"")</f>
        <v/>
      </c>
      <c r="W1207" s="27">
        <f>IF(ISNUMBER($F1207),COUNTIFS($A$14:$A$1213,$A1207,$F$14:$F$1213,"&gt;"&amp;$F1207)+(COUNTIFS($A$14:$A$1213,$A1207,$F$14:$F$1213,"="&amp;$F1207)+1)/2,"")</f>
        <v/>
      </c>
      <c r="X1207" s="27">
        <f>IF(OR(NOT(ISNUMBER($V1207)),$AO1207=1),"",$V1207-(COUNTIFS($A$14:$A$1213,$A1207,$C$14:$C$1213,"&gt;=0")+1)/2)</f>
        <v/>
      </c>
      <c r="Y1207" s="27">
        <f>IF(OR(NOT(ISNUMBER($W1207)),$AO1207=1),"",$W1207-(COUNTIFS($A$14:$A$1213,$A1207,$F$14:$F$1213,"&gt;=0")+1)/2)</f>
        <v/>
      </c>
      <c r="Z1207" s="27">
        <f>IF(ISNUMBER($V1207),$A1207&amp;"|"&amp;$V1207,"")</f>
        <v/>
      </c>
      <c r="AA1207" s="27">
        <f>IF(ISNUMBER($W1207),$A1207&amp;"|"&amp;$W1207,"")</f>
        <v/>
      </c>
      <c r="AB1207" s="27">
        <f>IF(ISNUMBER($F1207),$A1207&amp;"|"&amp;$F1207,"")</f>
        <v/>
      </c>
      <c r="AC1207" s="27">
        <f>IF(ISNUMBER($P1207),COUNTIFS($A$14:$A$1213,$A1207,$P$14:$P$1213,"&gt;"&amp;$P1207)+(COUNTIFS($A$14:$A$1213,$A1207,$P$14:$P$1213,"="&amp;$P1207)+1)/2,"")</f>
        <v/>
      </c>
      <c r="AD1207" s="27">
        <f>IF(ISNUMBER($Q1207),COUNTIFS($A$14:$A$1213,$A1207,$Q$14:$Q$1213,"&gt;"&amp;$Q1207)+(COUNTIFS($A$14:$A$1213,$A1207,$Q$14:$Q$1213,"="&amp;$Q1207)+1)/2,"")</f>
        <v/>
      </c>
      <c r="AE1207" s="27">
        <f>IF(ISNUMBER($R1207),COUNTIFS($A$14:$A$1213,$A1207,$R$14:$R$1213,"&gt;"&amp;$R1207)+(COUNTIFS($A$14:$A$1213,$A1207,$R$14:$R$1213,"="&amp;$R1207)+1)/2,"")</f>
        <v/>
      </c>
      <c r="AF1207" s="27">
        <f>IF(ISNUMBER($S1207),COUNTIFS($A$14:$A$1213,$A1207,$S$14:$S$1213,"&gt;"&amp;$S1207)+(COUNTIFS($A$14:$A$1213,$A1207,$S$14:$S$1213,"="&amp;$S1207)+1)/2,"")</f>
        <v/>
      </c>
      <c r="AG1207" s="27">
        <f>IF(ISNUMBER($T1207),COUNTIFS($A$14:$A$1213,$A1207,$T$14:$T$1213,"&gt;"&amp;$T1207)+(COUNTIFS($A$14:$A$1213,$A1207,$T$14:$T$1213,"="&amp;$T1207)+1)/2,"")</f>
        <v/>
      </c>
      <c r="AH1207" s="27">
        <f>IF(COUNT($AC1207:$AG1207)&lt;2,"",IF(MAX($AC1207:$AG1207)=MIN($AC1207:$AG1207),0,1))</f>
        <v/>
      </c>
      <c r="AI1207" s="27">
        <f>IF($A1207="","",IF(COUNTIF($A$14:$A1207,$A1207)=1,COUNTIF($AI$13:AI1206,"&gt;0")+1,""))</f>
        <v/>
      </c>
      <c r="AO1207" s="27">
        <f>IF($A1207="","",IF(AND(COUNTIFS($A$14:$A$1213,$A1207,$F$14:$F$1213,"&gt;=0")=2,IFERROR(INDEX($M$14:$M$313,MATCH($A1207,$H$14:$H$313,0)),"Yes")&lt;&gt;"Yes"),1,0))</f>
        <v/>
      </c>
    </row>
    <row r="1208">
      <c r="A1208" s="19">
        <f>IF('Enter messages'!A1208="","",'Enter messages'!A1208)</f>
        <v/>
      </c>
      <c r="B1208" s="20">
        <f>IF('Enter messages'!B1208="","",'Enter messages'!B1208)</f>
        <v/>
      </c>
      <c r="C1208" s="21">
        <f>IFERROR(AVERAGE(P1208:T1208),"")</f>
        <v/>
      </c>
      <c r="D1208" s="29" t="n"/>
      <c r="E1208" s="29" t="n"/>
      <c r="F1208" s="30">
        <f>IF(AND(ISNUMBER($D1208),ISNUMBER($E1208),$E1208&gt;0,$D1208&lt;=$E1208),$D1208/$E1208,"")</f>
        <v/>
      </c>
      <c r="P1208" s="26" t="n"/>
      <c r="Q1208" s="26" t="n"/>
      <c r="R1208" s="26" t="n"/>
      <c r="S1208" s="26" t="n"/>
      <c r="T1208" s="26" t="n"/>
      <c r="V1208" s="27">
        <f>IF(ISNUMBER($C1208),COUNTIFS($A$14:$A$1213,$A1208,$C$14:$C$1213,"&gt;"&amp;$C1208)+(COUNTIFS($A$14:$A$1213,$A1208,$C$14:$C$1213,"="&amp;$C1208)+1)/2,"")</f>
        <v/>
      </c>
      <c r="W1208" s="27">
        <f>IF(ISNUMBER($F1208),COUNTIFS($A$14:$A$1213,$A1208,$F$14:$F$1213,"&gt;"&amp;$F1208)+(COUNTIFS($A$14:$A$1213,$A1208,$F$14:$F$1213,"="&amp;$F1208)+1)/2,"")</f>
        <v/>
      </c>
      <c r="X1208" s="27">
        <f>IF(OR(NOT(ISNUMBER($V1208)),$AO1208=1),"",$V1208-(COUNTIFS($A$14:$A$1213,$A1208,$C$14:$C$1213,"&gt;=0")+1)/2)</f>
        <v/>
      </c>
      <c r="Y1208" s="27">
        <f>IF(OR(NOT(ISNUMBER($W1208)),$AO1208=1),"",$W1208-(COUNTIFS($A$14:$A$1213,$A1208,$F$14:$F$1213,"&gt;=0")+1)/2)</f>
        <v/>
      </c>
      <c r="Z1208" s="27">
        <f>IF(ISNUMBER($V1208),$A1208&amp;"|"&amp;$V1208,"")</f>
        <v/>
      </c>
      <c r="AA1208" s="27">
        <f>IF(ISNUMBER($W1208),$A1208&amp;"|"&amp;$W1208,"")</f>
        <v/>
      </c>
      <c r="AB1208" s="27">
        <f>IF(ISNUMBER($F1208),$A1208&amp;"|"&amp;$F1208,"")</f>
        <v/>
      </c>
      <c r="AC1208" s="27">
        <f>IF(ISNUMBER($P1208),COUNTIFS($A$14:$A$1213,$A1208,$P$14:$P$1213,"&gt;"&amp;$P1208)+(COUNTIFS($A$14:$A$1213,$A1208,$P$14:$P$1213,"="&amp;$P1208)+1)/2,"")</f>
        <v/>
      </c>
      <c r="AD1208" s="27">
        <f>IF(ISNUMBER($Q1208),COUNTIFS($A$14:$A$1213,$A1208,$Q$14:$Q$1213,"&gt;"&amp;$Q1208)+(COUNTIFS($A$14:$A$1213,$A1208,$Q$14:$Q$1213,"="&amp;$Q1208)+1)/2,"")</f>
        <v/>
      </c>
      <c r="AE1208" s="27">
        <f>IF(ISNUMBER($R1208),COUNTIFS($A$14:$A$1213,$A1208,$R$14:$R$1213,"&gt;"&amp;$R1208)+(COUNTIFS($A$14:$A$1213,$A1208,$R$14:$R$1213,"="&amp;$R1208)+1)/2,"")</f>
        <v/>
      </c>
      <c r="AF1208" s="27">
        <f>IF(ISNUMBER($S1208),COUNTIFS($A$14:$A$1213,$A1208,$S$14:$S$1213,"&gt;"&amp;$S1208)+(COUNTIFS($A$14:$A$1213,$A1208,$S$14:$S$1213,"="&amp;$S1208)+1)/2,"")</f>
        <v/>
      </c>
      <c r="AG1208" s="27">
        <f>IF(ISNUMBER($T1208),COUNTIFS($A$14:$A$1213,$A1208,$T$14:$T$1213,"&gt;"&amp;$T1208)+(COUNTIFS($A$14:$A$1213,$A1208,$T$14:$T$1213,"="&amp;$T1208)+1)/2,"")</f>
        <v/>
      </c>
      <c r="AH1208" s="27">
        <f>IF(COUNT($AC1208:$AG1208)&lt;2,"",IF(MAX($AC1208:$AG1208)=MIN($AC1208:$AG1208),0,1))</f>
        <v/>
      </c>
      <c r="AI1208" s="27">
        <f>IF($A1208="","",IF(COUNTIF($A$14:$A1208,$A1208)=1,COUNTIF($AI$13:AI1207,"&gt;0")+1,""))</f>
        <v/>
      </c>
      <c r="AO1208" s="27">
        <f>IF($A1208="","",IF(AND(COUNTIFS($A$14:$A$1213,$A1208,$F$14:$F$1213,"&gt;=0")=2,IFERROR(INDEX($M$14:$M$313,MATCH($A1208,$H$14:$H$313,0)),"Yes")&lt;&gt;"Yes"),1,0))</f>
        <v/>
      </c>
    </row>
    <row r="1209">
      <c r="A1209" s="19">
        <f>IF('Enter messages'!A1209="","",'Enter messages'!A1209)</f>
        <v/>
      </c>
      <c r="B1209" s="20">
        <f>IF('Enter messages'!B1209="","",'Enter messages'!B1209)</f>
        <v/>
      </c>
      <c r="C1209" s="21">
        <f>IFERROR(AVERAGE(P1209:T1209),"")</f>
        <v/>
      </c>
      <c r="D1209" s="29" t="n"/>
      <c r="E1209" s="29" t="n"/>
      <c r="F1209" s="30">
        <f>IF(AND(ISNUMBER($D1209),ISNUMBER($E1209),$E1209&gt;0,$D1209&lt;=$E1209),$D1209/$E1209,"")</f>
        <v/>
      </c>
      <c r="P1209" s="26" t="n"/>
      <c r="Q1209" s="26" t="n"/>
      <c r="R1209" s="26" t="n"/>
      <c r="S1209" s="26" t="n"/>
      <c r="T1209" s="26" t="n"/>
      <c r="V1209" s="27">
        <f>IF(ISNUMBER($C1209),COUNTIFS($A$14:$A$1213,$A1209,$C$14:$C$1213,"&gt;"&amp;$C1209)+(COUNTIFS($A$14:$A$1213,$A1209,$C$14:$C$1213,"="&amp;$C1209)+1)/2,"")</f>
        <v/>
      </c>
      <c r="W1209" s="27">
        <f>IF(ISNUMBER($F1209),COUNTIFS($A$14:$A$1213,$A1209,$F$14:$F$1213,"&gt;"&amp;$F1209)+(COUNTIFS($A$14:$A$1213,$A1209,$F$14:$F$1213,"="&amp;$F1209)+1)/2,"")</f>
        <v/>
      </c>
      <c r="X1209" s="27">
        <f>IF(OR(NOT(ISNUMBER($V1209)),$AO1209=1),"",$V1209-(COUNTIFS($A$14:$A$1213,$A1209,$C$14:$C$1213,"&gt;=0")+1)/2)</f>
        <v/>
      </c>
      <c r="Y1209" s="27">
        <f>IF(OR(NOT(ISNUMBER($W1209)),$AO1209=1),"",$W1209-(COUNTIFS($A$14:$A$1213,$A1209,$F$14:$F$1213,"&gt;=0")+1)/2)</f>
        <v/>
      </c>
      <c r="Z1209" s="27">
        <f>IF(ISNUMBER($V1209),$A1209&amp;"|"&amp;$V1209,"")</f>
        <v/>
      </c>
      <c r="AA1209" s="27">
        <f>IF(ISNUMBER($W1209),$A1209&amp;"|"&amp;$W1209,"")</f>
        <v/>
      </c>
      <c r="AB1209" s="27">
        <f>IF(ISNUMBER($F1209),$A1209&amp;"|"&amp;$F1209,"")</f>
        <v/>
      </c>
      <c r="AC1209" s="27">
        <f>IF(ISNUMBER($P1209),COUNTIFS($A$14:$A$1213,$A1209,$P$14:$P$1213,"&gt;"&amp;$P1209)+(COUNTIFS($A$14:$A$1213,$A1209,$P$14:$P$1213,"="&amp;$P1209)+1)/2,"")</f>
        <v/>
      </c>
      <c r="AD1209" s="27">
        <f>IF(ISNUMBER($Q1209),COUNTIFS($A$14:$A$1213,$A1209,$Q$14:$Q$1213,"&gt;"&amp;$Q1209)+(COUNTIFS($A$14:$A$1213,$A1209,$Q$14:$Q$1213,"="&amp;$Q1209)+1)/2,"")</f>
        <v/>
      </c>
      <c r="AE1209" s="27">
        <f>IF(ISNUMBER($R1209),COUNTIFS($A$14:$A$1213,$A1209,$R$14:$R$1213,"&gt;"&amp;$R1209)+(COUNTIFS($A$14:$A$1213,$A1209,$R$14:$R$1213,"="&amp;$R1209)+1)/2,"")</f>
        <v/>
      </c>
      <c r="AF1209" s="27">
        <f>IF(ISNUMBER($S1209),COUNTIFS($A$14:$A$1213,$A1209,$S$14:$S$1213,"&gt;"&amp;$S1209)+(COUNTIFS($A$14:$A$1213,$A1209,$S$14:$S$1213,"="&amp;$S1209)+1)/2,"")</f>
        <v/>
      </c>
      <c r="AG1209" s="27">
        <f>IF(ISNUMBER($T1209),COUNTIFS($A$14:$A$1213,$A1209,$T$14:$T$1213,"&gt;"&amp;$T1209)+(COUNTIFS($A$14:$A$1213,$A1209,$T$14:$T$1213,"="&amp;$T1209)+1)/2,"")</f>
        <v/>
      </c>
      <c r="AH1209" s="27">
        <f>IF(COUNT($AC1209:$AG1209)&lt;2,"",IF(MAX($AC1209:$AG1209)=MIN($AC1209:$AG1209),0,1))</f>
        <v/>
      </c>
      <c r="AI1209" s="27">
        <f>IF($A1209="","",IF(COUNTIF($A$14:$A1209,$A1209)=1,COUNTIF($AI$13:AI1208,"&gt;0")+1,""))</f>
        <v/>
      </c>
      <c r="AO1209" s="27">
        <f>IF($A1209="","",IF(AND(COUNTIFS($A$14:$A$1213,$A1209,$F$14:$F$1213,"&gt;=0")=2,IFERROR(INDEX($M$14:$M$313,MATCH($A1209,$H$14:$H$313,0)),"Yes")&lt;&gt;"Yes"),1,0))</f>
        <v/>
      </c>
    </row>
    <row r="1210">
      <c r="A1210" s="19">
        <f>IF('Enter messages'!A1210="","",'Enter messages'!A1210)</f>
        <v/>
      </c>
      <c r="B1210" s="20">
        <f>IF('Enter messages'!B1210="","",'Enter messages'!B1210)</f>
        <v/>
      </c>
      <c r="C1210" s="21">
        <f>IFERROR(AVERAGE(P1210:T1210),"")</f>
        <v/>
      </c>
      <c r="D1210" s="29" t="n"/>
      <c r="E1210" s="29" t="n"/>
      <c r="F1210" s="30">
        <f>IF(AND(ISNUMBER($D1210),ISNUMBER($E1210),$E1210&gt;0,$D1210&lt;=$E1210),$D1210/$E1210,"")</f>
        <v/>
      </c>
      <c r="P1210" s="26" t="n"/>
      <c r="Q1210" s="26" t="n"/>
      <c r="R1210" s="26" t="n"/>
      <c r="S1210" s="26" t="n"/>
      <c r="T1210" s="26" t="n"/>
      <c r="V1210" s="27">
        <f>IF(ISNUMBER($C1210),COUNTIFS($A$14:$A$1213,$A1210,$C$14:$C$1213,"&gt;"&amp;$C1210)+(COUNTIFS($A$14:$A$1213,$A1210,$C$14:$C$1213,"="&amp;$C1210)+1)/2,"")</f>
        <v/>
      </c>
      <c r="W1210" s="27">
        <f>IF(ISNUMBER($F1210),COUNTIFS($A$14:$A$1213,$A1210,$F$14:$F$1213,"&gt;"&amp;$F1210)+(COUNTIFS($A$14:$A$1213,$A1210,$F$14:$F$1213,"="&amp;$F1210)+1)/2,"")</f>
        <v/>
      </c>
      <c r="X1210" s="27">
        <f>IF(OR(NOT(ISNUMBER($V1210)),$AO1210=1),"",$V1210-(COUNTIFS($A$14:$A$1213,$A1210,$C$14:$C$1213,"&gt;=0")+1)/2)</f>
        <v/>
      </c>
      <c r="Y1210" s="27">
        <f>IF(OR(NOT(ISNUMBER($W1210)),$AO1210=1),"",$W1210-(COUNTIFS($A$14:$A$1213,$A1210,$F$14:$F$1213,"&gt;=0")+1)/2)</f>
        <v/>
      </c>
      <c r="Z1210" s="27">
        <f>IF(ISNUMBER($V1210),$A1210&amp;"|"&amp;$V1210,"")</f>
        <v/>
      </c>
      <c r="AA1210" s="27">
        <f>IF(ISNUMBER($W1210),$A1210&amp;"|"&amp;$W1210,"")</f>
        <v/>
      </c>
      <c r="AB1210" s="27">
        <f>IF(ISNUMBER($F1210),$A1210&amp;"|"&amp;$F1210,"")</f>
        <v/>
      </c>
      <c r="AC1210" s="27">
        <f>IF(ISNUMBER($P1210),COUNTIFS($A$14:$A$1213,$A1210,$P$14:$P$1213,"&gt;"&amp;$P1210)+(COUNTIFS($A$14:$A$1213,$A1210,$P$14:$P$1213,"="&amp;$P1210)+1)/2,"")</f>
        <v/>
      </c>
      <c r="AD1210" s="27">
        <f>IF(ISNUMBER($Q1210),COUNTIFS($A$14:$A$1213,$A1210,$Q$14:$Q$1213,"&gt;"&amp;$Q1210)+(COUNTIFS($A$14:$A$1213,$A1210,$Q$14:$Q$1213,"="&amp;$Q1210)+1)/2,"")</f>
        <v/>
      </c>
      <c r="AE1210" s="27">
        <f>IF(ISNUMBER($R1210),COUNTIFS($A$14:$A$1213,$A1210,$R$14:$R$1213,"&gt;"&amp;$R1210)+(COUNTIFS($A$14:$A$1213,$A1210,$R$14:$R$1213,"="&amp;$R1210)+1)/2,"")</f>
        <v/>
      </c>
      <c r="AF1210" s="27">
        <f>IF(ISNUMBER($S1210),COUNTIFS($A$14:$A$1213,$A1210,$S$14:$S$1213,"&gt;"&amp;$S1210)+(COUNTIFS($A$14:$A$1213,$A1210,$S$14:$S$1213,"="&amp;$S1210)+1)/2,"")</f>
        <v/>
      </c>
      <c r="AG1210" s="27">
        <f>IF(ISNUMBER($T1210),COUNTIFS($A$14:$A$1213,$A1210,$T$14:$T$1213,"&gt;"&amp;$T1210)+(COUNTIFS($A$14:$A$1213,$A1210,$T$14:$T$1213,"="&amp;$T1210)+1)/2,"")</f>
        <v/>
      </c>
      <c r="AH1210" s="27">
        <f>IF(COUNT($AC1210:$AG1210)&lt;2,"",IF(MAX($AC1210:$AG1210)=MIN($AC1210:$AG1210),0,1))</f>
        <v/>
      </c>
      <c r="AI1210" s="27">
        <f>IF($A1210="","",IF(COUNTIF($A$14:$A1210,$A1210)=1,COUNTIF($AI$13:AI1209,"&gt;0")+1,""))</f>
        <v/>
      </c>
      <c r="AO1210" s="27">
        <f>IF($A1210="","",IF(AND(COUNTIFS($A$14:$A$1213,$A1210,$F$14:$F$1213,"&gt;=0")=2,IFERROR(INDEX($M$14:$M$313,MATCH($A1210,$H$14:$H$313,0)),"Yes")&lt;&gt;"Yes"),1,0))</f>
        <v/>
      </c>
    </row>
    <row r="1211">
      <c r="A1211" s="19">
        <f>IF('Enter messages'!A1211="","",'Enter messages'!A1211)</f>
        <v/>
      </c>
      <c r="B1211" s="20">
        <f>IF('Enter messages'!B1211="","",'Enter messages'!B1211)</f>
        <v/>
      </c>
      <c r="C1211" s="21">
        <f>IFERROR(AVERAGE(P1211:T1211),"")</f>
        <v/>
      </c>
      <c r="D1211" s="29" t="n"/>
      <c r="E1211" s="29" t="n"/>
      <c r="F1211" s="30">
        <f>IF(AND(ISNUMBER($D1211),ISNUMBER($E1211),$E1211&gt;0,$D1211&lt;=$E1211),$D1211/$E1211,"")</f>
        <v/>
      </c>
      <c r="P1211" s="26" t="n"/>
      <c r="Q1211" s="26" t="n"/>
      <c r="R1211" s="26" t="n"/>
      <c r="S1211" s="26" t="n"/>
      <c r="T1211" s="26" t="n"/>
      <c r="V1211" s="27">
        <f>IF(ISNUMBER($C1211),COUNTIFS($A$14:$A$1213,$A1211,$C$14:$C$1213,"&gt;"&amp;$C1211)+(COUNTIFS($A$14:$A$1213,$A1211,$C$14:$C$1213,"="&amp;$C1211)+1)/2,"")</f>
        <v/>
      </c>
      <c r="W1211" s="27">
        <f>IF(ISNUMBER($F1211),COUNTIFS($A$14:$A$1213,$A1211,$F$14:$F$1213,"&gt;"&amp;$F1211)+(COUNTIFS($A$14:$A$1213,$A1211,$F$14:$F$1213,"="&amp;$F1211)+1)/2,"")</f>
        <v/>
      </c>
      <c r="X1211" s="27">
        <f>IF(OR(NOT(ISNUMBER($V1211)),$AO1211=1),"",$V1211-(COUNTIFS($A$14:$A$1213,$A1211,$C$14:$C$1213,"&gt;=0")+1)/2)</f>
        <v/>
      </c>
      <c r="Y1211" s="27">
        <f>IF(OR(NOT(ISNUMBER($W1211)),$AO1211=1),"",$W1211-(COUNTIFS($A$14:$A$1213,$A1211,$F$14:$F$1213,"&gt;=0")+1)/2)</f>
        <v/>
      </c>
      <c r="Z1211" s="27">
        <f>IF(ISNUMBER($V1211),$A1211&amp;"|"&amp;$V1211,"")</f>
        <v/>
      </c>
      <c r="AA1211" s="27">
        <f>IF(ISNUMBER($W1211),$A1211&amp;"|"&amp;$W1211,"")</f>
        <v/>
      </c>
      <c r="AB1211" s="27">
        <f>IF(ISNUMBER($F1211),$A1211&amp;"|"&amp;$F1211,"")</f>
        <v/>
      </c>
      <c r="AC1211" s="27">
        <f>IF(ISNUMBER($P1211),COUNTIFS($A$14:$A$1213,$A1211,$P$14:$P$1213,"&gt;"&amp;$P1211)+(COUNTIFS($A$14:$A$1213,$A1211,$P$14:$P$1213,"="&amp;$P1211)+1)/2,"")</f>
        <v/>
      </c>
      <c r="AD1211" s="27">
        <f>IF(ISNUMBER($Q1211),COUNTIFS($A$14:$A$1213,$A1211,$Q$14:$Q$1213,"&gt;"&amp;$Q1211)+(COUNTIFS($A$14:$A$1213,$A1211,$Q$14:$Q$1213,"="&amp;$Q1211)+1)/2,"")</f>
        <v/>
      </c>
      <c r="AE1211" s="27">
        <f>IF(ISNUMBER($R1211),COUNTIFS($A$14:$A$1213,$A1211,$R$14:$R$1213,"&gt;"&amp;$R1211)+(COUNTIFS($A$14:$A$1213,$A1211,$R$14:$R$1213,"="&amp;$R1211)+1)/2,"")</f>
        <v/>
      </c>
      <c r="AF1211" s="27">
        <f>IF(ISNUMBER($S1211),COUNTIFS($A$14:$A$1213,$A1211,$S$14:$S$1213,"&gt;"&amp;$S1211)+(COUNTIFS($A$14:$A$1213,$A1211,$S$14:$S$1213,"="&amp;$S1211)+1)/2,"")</f>
        <v/>
      </c>
      <c r="AG1211" s="27">
        <f>IF(ISNUMBER($T1211),COUNTIFS($A$14:$A$1213,$A1211,$T$14:$T$1213,"&gt;"&amp;$T1211)+(COUNTIFS($A$14:$A$1213,$A1211,$T$14:$T$1213,"="&amp;$T1211)+1)/2,"")</f>
        <v/>
      </c>
      <c r="AH1211" s="27">
        <f>IF(COUNT($AC1211:$AG1211)&lt;2,"",IF(MAX($AC1211:$AG1211)=MIN($AC1211:$AG1211),0,1))</f>
        <v/>
      </c>
      <c r="AI1211" s="27">
        <f>IF($A1211="","",IF(COUNTIF($A$14:$A1211,$A1211)=1,COUNTIF($AI$13:AI1210,"&gt;0")+1,""))</f>
        <v/>
      </c>
      <c r="AO1211" s="27">
        <f>IF($A1211="","",IF(AND(COUNTIFS($A$14:$A$1213,$A1211,$F$14:$F$1213,"&gt;=0")=2,IFERROR(INDEX($M$14:$M$313,MATCH($A1211,$H$14:$H$313,0)),"Yes")&lt;&gt;"Yes"),1,0))</f>
        <v/>
      </c>
    </row>
    <row r="1212">
      <c r="A1212" s="19">
        <f>IF('Enter messages'!A1212="","",'Enter messages'!A1212)</f>
        <v/>
      </c>
      <c r="B1212" s="20">
        <f>IF('Enter messages'!B1212="","",'Enter messages'!B1212)</f>
        <v/>
      </c>
      <c r="C1212" s="21">
        <f>IFERROR(AVERAGE(P1212:T1212),"")</f>
        <v/>
      </c>
      <c r="D1212" s="29" t="n"/>
      <c r="E1212" s="29" t="n"/>
      <c r="F1212" s="30">
        <f>IF(AND(ISNUMBER($D1212),ISNUMBER($E1212),$E1212&gt;0,$D1212&lt;=$E1212),$D1212/$E1212,"")</f>
        <v/>
      </c>
      <c r="P1212" s="26" t="n"/>
      <c r="Q1212" s="26" t="n"/>
      <c r="R1212" s="26" t="n"/>
      <c r="S1212" s="26" t="n"/>
      <c r="T1212" s="26" t="n"/>
      <c r="V1212" s="27">
        <f>IF(ISNUMBER($C1212),COUNTIFS($A$14:$A$1213,$A1212,$C$14:$C$1213,"&gt;"&amp;$C1212)+(COUNTIFS($A$14:$A$1213,$A1212,$C$14:$C$1213,"="&amp;$C1212)+1)/2,"")</f>
        <v/>
      </c>
      <c r="W1212" s="27">
        <f>IF(ISNUMBER($F1212),COUNTIFS($A$14:$A$1213,$A1212,$F$14:$F$1213,"&gt;"&amp;$F1212)+(COUNTIFS($A$14:$A$1213,$A1212,$F$14:$F$1213,"="&amp;$F1212)+1)/2,"")</f>
        <v/>
      </c>
      <c r="X1212" s="27">
        <f>IF(OR(NOT(ISNUMBER($V1212)),$AO1212=1),"",$V1212-(COUNTIFS($A$14:$A$1213,$A1212,$C$14:$C$1213,"&gt;=0")+1)/2)</f>
        <v/>
      </c>
      <c r="Y1212" s="27">
        <f>IF(OR(NOT(ISNUMBER($W1212)),$AO1212=1),"",$W1212-(COUNTIFS($A$14:$A$1213,$A1212,$F$14:$F$1213,"&gt;=0")+1)/2)</f>
        <v/>
      </c>
      <c r="Z1212" s="27">
        <f>IF(ISNUMBER($V1212),$A1212&amp;"|"&amp;$V1212,"")</f>
        <v/>
      </c>
      <c r="AA1212" s="27">
        <f>IF(ISNUMBER($W1212),$A1212&amp;"|"&amp;$W1212,"")</f>
        <v/>
      </c>
      <c r="AB1212" s="27">
        <f>IF(ISNUMBER($F1212),$A1212&amp;"|"&amp;$F1212,"")</f>
        <v/>
      </c>
      <c r="AC1212" s="27">
        <f>IF(ISNUMBER($P1212),COUNTIFS($A$14:$A$1213,$A1212,$P$14:$P$1213,"&gt;"&amp;$P1212)+(COUNTIFS($A$14:$A$1213,$A1212,$P$14:$P$1213,"="&amp;$P1212)+1)/2,"")</f>
        <v/>
      </c>
      <c r="AD1212" s="27">
        <f>IF(ISNUMBER($Q1212),COUNTIFS($A$14:$A$1213,$A1212,$Q$14:$Q$1213,"&gt;"&amp;$Q1212)+(COUNTIFS($A$14:$A$1213,$A1212,$Q$14:$Q$1213,"="&amp;$Q1212)+1)/2,"")</f>
        <v/>
      </c>
      <c r="AE1212" s="27">
        <f>IF(ISNUMBER($R1212),COUNTIFS($A$14:$A$1213,$A1212,$R$14:$R$1213,"&gt;"&amp;$R1212)+(COUNTIFS($A$14:$A$1213,$A1212,$R$14:$R$1213,"="&amp;$R1212)+1)/2,"")</f>
        <v/>
      </c>
      <c r="AF1212" s="27">
        <f>IF(ISNUMBER($S1212),COUNTIFS($A$14:$A$1213,$A1212,$S$14:$S$1213,"&gt;"&amp;$S1212)+(COUNTIFS($A$14:$A$1213,$A1212,$S$14:$S$1213,"="&amp;$S1212)+1)/2,"")</f>
        <v/>
      </c>
      <c r="AG1212" s="27">
        <f>IF(ISNUMBER($T1212),COUNTIFS($A$14:$A$1213,$A1212,$T$14:$T$1213,"&gt;"&amp;$T1212)+(COUNTIFS($A$14:$A$1213,$A1212,$T$14:$T$1213,"="&amp;$T1212)+1)/2,"")</f>
        <v/>
      </c>
      <c r="AH1212" s="27">
        <f>IF(COUNT($AC1212:$AG1212)&lt;2,"",IF(MAX($AC1212:$AG1212)=MIN($AC1212:$AG1212),0,1))</f>
        <v/>
      </c>
      <c r="AI1212" s="27">
        <f>IF($A1212="","",IF(COUNTIF($A$14:$A1212,$A1212)=1,COUNTIF($AI$13:AI1211,"&gt;0")+1,""))</f>
        <v/>
      </c>
      <c r="AO1212" s="27">
        <f>IF($A1212="","",IF(AND(COUNTIFS($A$14:$A$1213,$A1212,$F$14:$F$1213,"&gt;=0")=2,IFERROR(INDEX($M$14:$M$313,MATCH($A1212,$H$14:$H$313,0)),"Yes")&lt;&gt;"Yes"),1,0))</f>
        <v/>
      </c>
    </row>
    <row r="1213">
      <c r="A1213" s="19">
        <f>IF('Enter messages'!A1213="","",'Enter messages'!A1213)</f>
        <v/>
      </c>
      <c r="B1213" s="20">
        <f>IF('Enter messages'!B1213="","",'Enter messages'!B1213)</f>
        <v/>
      </c>
      <c r="C1213" s="21">
        <f>IFERROR(AVERAGE(P1213:T1213),"")</f>
        <v/>
      </c>
      <c r="D1213" s="29" t="n"/>
      <c r="E1213" s="29" t="n"/>
      <c r="F1213" s="30">
        <f>IF(AND(ISNUMBER($D1213),ISNUMBER($E1213),$E1213&gt;0,$D1213&lt;=$E1213),$D1213/$E1213,"")</f>
        <v/>
      </c>
      <c r="P1213" s="26" t="n"/>
      <c r="Q1213" s="26" t="n"/>
      <c r="R1213" s="26" t="n"/>
      <c r="S1213" s="26" t="n"/>
      <c r="T1213" s="26" t="n"/>
      <c r="V1213" s="27">
        <f>IF(ISNUMBER($C1213),COUNTIFS($A$14:$A$1213,$A1213,$C$14:$C$1213,"&gt;"&amp;$C1213)+(COUNTIFS($A$14:$A$1213,$A1213,$C$14:$C$1213,"="&amp;$C1213)+1)/2,"")</f>
        <v/>
      </c>
      <c r="W1213" s="27">
        <f>IF(ISNUMBER($F1213),COUNTIFS($A$14:$A$1213,$A1213,$F$14:$F$1213,"&gt;"&amp;$F1213)+(COUNTIFS($A$14:$A$1213,$A1213,$F$14:$F$1213,"="&amp;$F1213)+1)/2,"")</f>
        <v/>
      </c>
      <c r="X1213" s="27">
        <f>IF(OR(NOT(ISNUMBER($V1213)),$AO1213=1),"",$V1213-(COUNTIFS($A$14:$A$1213,$A1213,$C$14:$C$1213,"&gt;=0")+1)/2)</f>
        <v/>
      </c>
      <c r="Y1213" s="27">
        <f>IF(OR(NOT(ISNUMBER($W1213)),$AO1213=1),"",$W1213-(COUNTIFS($A$14:$A$1213,$A1213,$F$14:$F$1213,"&gt;=0")+1)/2)</f>
        <v/>
      </c>
      <c r="Z1213" s="27">
        <f>IF(ISNUMBER($V1213),$A1213&amp;"|"&amp;$V1213,"")</f>
        <v/>
      </c>
      <c r="AA1213" s="27">
        <f>IF(ISNUMBER($W1213),$A1213&amp;"|"&amp;$W1213,"")</f>
        <v/>
      </c>
      <c r="AB1213" s="27">
        <f>IF(ISNUMBER($F1213),$A1213&amp;"|"&amp;$F1213,"")</f>
        <v/>
      </c>
      <c r="AC1213" s="27">
        <f>IF(ISNUMBER($P1213),COUNTIFS($A$14:$A$1213,$A1213,$P$14:$P$1213,"&gt;"&amp;$P1213)+(COUNTIFS($A$14:$A$1213,$A1213,$P$14:$P$1213,"="&amp;$P1213)+1)/2,"")</f>
        <v/>
      </c>
      <c r="AD1213" s="27">
        <f>IF(ISNUMBER($Q1213),COUNTIFS($A$14:$A$1213,$A1213,$Q$14:$Q$1213,"&gt;"&amp;$Q1213)+(COUNTIFS($A$14:$A$1213,$A1213,$Q$14:$Q$1213,"="&amp;$Q1213)+1)/2,"")</f>
        <v/>
      </c>
      <c r="AE1213" s="27">
        <f>IF(ISNUMBER($R1213),COUNTIFS($A$14:$A$1213,$A1213,$R$14:$R$1213,"&gt;"&amp;$R1213)+(COUNTIFS($A$14:$A$1213,$A1213,$R$14:$R$1213,"="&amp;$R1213)+1)/2,"")</f>
        <v/>
      </c>
      <c r="AF1213" s="27">
        <f>IF(ISNUMBER($S1213),COUNTIFS($A$14:$A$1213,$A1213,$S$14:$S$1213,"&gt;"&amp;$S1213)+(COUNTIFS($A$14:$A$1213,$A1213,$S$14:$S$1213,"="&amp;$S1213)+1)/2,"")</f>
        <v/>
      </c>
      <c r="AG1213" s="27">
        <f>IF(ISNUMBER($T1213),COUNTIFS($A$14:$A$1213,$A1213,$T$14:$T$1213,"&gt;"&amp;$T1213)+(COUNTIFS($A$14:$A$1213,$A1213,$T$14:$T$1213,"="&amp;$T1213)+1)/2,"")</f>
        <v/>
      </c>
      <c r="AH1213" s="27">
        <f>IF(COUNT($AC1213:$AG1213)&lt;2,"",IF(MAX($AC1213:$AG1213)=MIN($AC1213:$AG1213),0,1))</f>
        <v/>
      </c>
      <c r="AI1213" s="27">
        <f>IF($A1213="","",IF(COUNTIF($A$14:$A1213,$A1213)=1,COUNTIF($AI$13:AI1212,"&gt;0")+1,""))</f>
        <v/>
      </c>
      <c r="AO1213" s="27">
        <f>IF($A1213="","",IF(AND(COUNTIFS($A$14:$A$1213,$A1213,$F$14:$F$1213,"&gt;=0")=2,IFERROR(INDEX($M$14:$M$313,MATCH($A1213,$H$14:$H$313,0)),"Yes")&lt;&gt;"Yes"),1,0))</f>
        <v/>
      </c>
    </row>
  </sheetData>
  <mergeCells count="24">
    <mergeCell ref="C5:D5"/>
    <mergeCell ref="H3:N3"/>
    <mergeCell ref="A12:F12"/>
    <mergeCell ref="H5:N5"/>
    <mergeCell ref="H8:N8"/>
    <mergeCell ref="A7:B7"/>
    <mergeCell ref="H10:N10"/>
    <mergeCell ref="E7:G7"/>
    <mergeCell ref="P12:U12"/>
    <mergeCell ref="H1:N1"/>
    <mergeCell ref="H4:N4"/>
    <mergeCell ref="H9:N9"/>
    <mergeCell ref="A6:G6"/>
    <mergeCell ref="A5:B5"/>
    <mergeCell ref="H6:N6"/>
    <mergeCell ref="A8:B8"/>
    <mergeCell ref="C8:D8"/>
    <mergeCell ref="C7:D7"/>
    <mergeCell ref="H12:L12"/>
    <mergeCell ref="E5:G5"/>
    <mergeCell ref="A10:E10"/>
    <mergeCell ref="H2:N2"/>
    <mergeCell ref="E8:G8"/>
    <mergeCell ref="H7:N7"/>
  </mergeCells>
  <conditionalFormatting sqref="A10:E10">
    <cfRule type="expression" priority="1" dxfId="0">
      <formula>LEN($A$10)&gt;0</formula>
    </cfRule>
  </conditionalFormatting>
  <conditionalFormatting sqref="A14:A1213">
    <cfRule type="expression" priority="3" dxfId="2">
      <formula>AND($A14&lt;&gt;"",$A14=$A13)</formula>
    </cfRule>
  </conditionalFormatting>
  <conditionalFormatting sqref="A14:T1213">
    <cfRule type="expression" priority="2" dxfId="1">
      <formula>AND($A14&lt;&gt;"",$A14&lt;&gt;$A13)</formula>
    </cfRule>
  </conditionalFormatting>
  <conditionalFormatting sqref="D14:E1213">
    <cfRule type="expression" priority="4" dxfId="0">
      <formula>AND(ISNUMBER($D14),ISNUMBER($E14),$D14&gt;$E14)</formula>
    </cfRule>
  </conditionalFormatting>
  <pageMargins left="0.7" right="0.7" top="0.75" bottom="0.75" header="0.3" footer="0.3"/>
  <pageSetup orientation="landscape" fitToHeight="0"/>
  <legacyDrawing xmlns:r="http://schemas.openxmlformats.org/officeDocument/2006/relationships" r:id="anysvml"/>
</worksheet>
</file>

<file path=xl/worksheets/sheet3.xml><?xml version="1.0" encoding="utf-8"?>
<worksheet xmlns="http://schemas.openxmlformats.org/spreadsheetml/2006/main">
  <sheetPr>
    <outlinePr summaryBelow="1" summaryRight="1"/>
    <pageSetUpPr fitToPage="1"/>
  </sheetPr>
  <dimension ref="A1:AO1213"/>
  <sheetViews>
    <sheetView showGridLines="0" workbookViewId="0">
      <selection activeCell="A1" sqref="A1"/>
    </sheetView>
  </sheetViews>
  <sheetFormatPr baseColWidth="8" defaultRowHeight="15"/>
  <cols>
    <col width="20.7109375" customWidth="1" min="1" max="1"/>
    <col width="44.7109375" customWidth="1" min="2" max="2"/>
    <col width="11.7109375" customWidth="1" min="3" max="4"/>
    <col width="13.7109375" customWidth="1" min="5" max="5"/>
    <col width="11.7109375" customWidth="1" min="6" max="6"/>
    <col width="2.7109375" customWidth="1" min="7" max="7"/>
    <col width="20.7109375" customWidth="1" min="8" max="8"/>
    <col width="30.7109375" customWidth="1" min="9" max="9"/>
    <col width="10.7109375" customWidth="1" min="10" max="10"/>
    <col width="30.7109375" customWidth="1" min="11" max="11"/>
    <col width="10.7109375" customWidth="1" min="12" max="12"/>
    <col width="11.7109375" customWidth="1" min="13" max="14"/>
    <col width="2.7109375" customWidth="1" min="15" max="15"/>
    <col width="9.7109375" customWidth="1" min="16" max="20"/>
    <col width="2.7109375" customWidth="1" min="21" max="21"/>
    <col hidden="1" width="12.7109375" customWidth="1" min="22" max="41"/>
  </cols>
  <sheetData>
    <row r="1" ht="20" customHeight="1">
      <c r="A1" s="1" t="inlineStr">
        <is>
          <t>Account</t>
        </is>
      </c>
      <c r="B1" s="2" t="inlineStr">
        <is>
          <t>Example Bank · Marketing</t>
        </is>
      </c>
      <c r="H1" s="10" t="inlineStr">
        <is>
          <t>How to use this sheet</t>
        </is>
      </c>
    </row>
    <row r="2" ht="20" customHeight="1">
      <c r="A2" s="1" t="inlineStr">
        <is>
          <t>Channel</t>
        </is>
      </c>
      <c r="B2" s="2" t="inlineStr">
        <is>
          <t>Email Subject Line</t>
        </is>
      </c>
      <c r="H2" s="11" t="inlineStr">
        <is>
          <t>Columns A and B come from the “Enter messages” sheet. Edit them there, not here.</t>
        </is>
      </c>
    </row>
    <row r="3" ht="30" customHeight="1">
      <c r="A3" s="1" t="inlineStr">
        <is>
          <t>Industry</t>
        </is>
      </c>
      <c r="B3" s="2" t="inlineStr">
        <is>
          <t>Financial Services</t>
        </is>
      </c>
      <c r="H3" s="11" t="inlineStr">
        <is>
          <t>Column C is not typed in: it is the mean of that message's five runs in Table 4. The scorer is deterministic, so the five agree and the mean equals any one of them.</t>
        </is>
      </c>
    </row>
    <row r="4" ht="42" customHeight="1">
      <c r="H4" s="11" t="inlineStr">
        <is>
          <t>Table 2, columns D and E (yellow) are the only columns you fill in here — unique clicks and messages delivered (or impressions) per message. Column F divides one by the other, so the Click-Through Rate (CTR) is computed the same way for everyone. Use the same basis for every variant of a campaign and avoid open rates, which are unreliable due to auto-tracking.</t>
        </is>
      </c>
    </row>
    <row r="5" ht="42" customHeight="1">
      <c r="A5" s="6" t="inlineStr">
        <is>
          <t>Calls the winner</t>
        </is>
      </c>
      <c r="C5" s="12">
        <f>IFERROR(COUNTIFS($J$14:$J$313,"Hit",$M$14:$M$313,"Yes")/(COUNTIFS($J$14:$J$313,"Hit",$M$14:$M$313,"Yes")+COUNTIFS($J$14:$J$313,"Miss",$M$14:$M$313,"Yes")),"Fill clicks + impressions")</f>
        <v/>
      </c>
      <c r="D5" s="28" t="n"/>
      <c r="E5" s="13">
        <f>IF(COUNT($F$14:$F$1213)=0,"",COUNTIFS($J$14:$J$313,"Hit",$M$14:$M$313,"Yes")+COUNTIFS($J$14:$J$313,"Miss",$M$14:$M$313,"Yes")&amp;" of "&amp;COUNTIF($J$14:$J$313,"?*")&amp;" campaigns judged · "&amp;COUNTIF($J$14:$J$313,"Tie")&amp;" tied · "&amp;COUNTIFS($M$14:$M$313,"No",$J$14:$J$313,"&lt;&gt;Tie")&amp;" too close to call"&amp;IF(COUNTIFS($M$14:$M$313,"—",$J$14:$J$313,"&lt;&gt;Tie")&gt;0," · "&amp;COUNTIFS($M$14:$M$313,"—",$J$14:$J$313,"&lt;&gt;Tie")&amp;" without two results",""))</f>
        <v/>
      </c>
      <c r="H5" s="11" t="inlineStr">
        <is>
          <t>Campaigns are defined by the text in column A, not by fixed blocks — add as many as you like. Every rank and every per-campaign figure is bounded to the rows sharing one campaign name, so no message is ever compared with one from another campaign. Spell the name identically on every row of a campaign.</t>
        </is>
      </c>
    </row>
    <row r="6" ht="30" customHeight="1">
      <c r="A6" s="14">
        <f>"Persado performance scores for "&amp;$B$1&amp;" · "&amp;$B$2&amp;" · "&amp;$B$3</f>
        <v/>
      </c>
      <c r="H6" s="11" t="inlineStr">
        <is>
          <t>Blank rows are ignored, so nothing needs configuring for a smaller or larger set. A red warning appears above Table 2 if anything is pasted below the prepared range.</t>
        </is>
      </c>
    </row>
    <row r="7" ht="44" customHeight="1">
      <c r="A7" s="15" t="inlineStr">
        <is>
          <t>Spearman rank correlation
Ranking of messages compared pair-wise within each campaign and rank correlation computed across all campaigns (i.e. pooled)</t>
        </is>
      </c>
      <c r="C7" s="16">
        <f>IFERROR(CORREL($X$14:$X$1213,$Y$14:$Y$1213),"Fill clicks + impressions")</f>
        <v/>
      </c>
      <c r="D7" s="28" t="n"/>
      <c r="E7" s="13">
        <f>IF(NOT(ISNUMBER($C$7)),"strong ≥0.7 · moderate ≥0.4 · weak ≥0 · inverted &lt;0",IF($C$7&gt;=0.7,"strong",IF($C$7&gt;=0.4,"moderate",IF($C$7&gt;=0,"weak","inverted")))&amp;CHAR(10)&amp;"strong ≥0.7 · moderate ≥0.4 · weak ≥0 · inverted &lt;0")</f>
        <v/>
      </c>
      <c r="H7" s="11" t="inlineStr">
        <is>
          <t>Table 3 decides which campaigns carry a winner at all. It runs a two-proportion test between the campaign's two best-performing messages and reports the p-value; “No” means the top two are statistically indistinguishable, so that campaign is set aside, exactly as a tie is.</t>
        </is>
      </c>
    </row>
    <row r="8" ht="54" customHeight="1">
      <c r="A8" s="6" t="inlineStr">
        <is>
          <t>Ranking stability</t>
        </is>
      </c>
      <c r="C8" s="12">
        <f>IFERROR(COUNTIF($L$14:$L$313,"Yes")/(COUNTIF($L$14:$L$313,"Yes")+COUNTIF($L$14:$L$313,"No")),"Score 2+ runs")</f>
        <v/>
      </c>
      <c r="D8" s="28" t="n"/>
      <c r="E8" s="13">
        <f>IF(COUNT($P$14:$P$1213)=0,"",COUNTIF($L$14:$L$313,"No")&amp;" of "&amp;COUNTIF($L$14:$L$313,"?*")&amp;" campaigns unstable")</f>
        <v/>
      </c>
      <c r="H8" s="11" t="inlineStr">
        <is>
          <t>Ranking stability needs no results — it asks only whether the order within a campaign is identical in every run, so it is available immediately after scoring, and it is strict: one swapped pair anywhere fails that campaign. Neither it nor the rank correlation is filtered by the top-two test in Table 3: a campaign whose top two are close can still have a meaningful overall ordering (provided that it includes more than two messages).</t>
        </is>
      </c>
    </row>
    <row r="9" ht="30" customHeight="1">
      <c r="H9" s="11" t="inlineStr">
        <is>
          <t>Calls the winner counts a campaign as a hit when the top-scored message also has the highest CTR. A campaign is left out of both numerator and denominator when its top score or top CTR is tied, or when its two best messages are too close to separate.</t>
        </is>
      </c>
    </row>
    <row r="10" ht="18" customHeight="1">
      <c r="H10" s="11" t="inlineStr">
        <is>
          <t>Columns V–AO are working columns, hidden by default. Unhide them to audit the maths; do not delete them.</t>
        </is>
      </c>
    </row>
    <row r="12" ht="18" customHeight="1">
      <c r="A12" s="6" t="inlineStr">
        <is>
          <t>Table 2 · Messages, scores and results</t>
        </is>
      </c>
      <c r="H12" s="6" t="inlineStr">
        <is>
          <t>Table 3 · Per-campaign results</t>
        </is>
      </c>
      <c r="P12" s="6" t="inlineStr">
        <is>
          <t>Table 4 · Consistency — 5 scoring runs per message</t>
        </is>
      </c>
    </row>
    <row r="13" ht="28" customHeight="1">
      <c r="A13" s="7" t="inlineStr">
        <is>
          <t>Campaign</t>
        </is>
      </c>
      <c r="B13" s="7" t="inlineStr">
        <is>
          <t>Marketing message</t>
        </is>
      </c>
      <c r="C13" s="7" t="inlineStr">
        <is>
          <t>Persado score</t>
        </is>
      </c>
      <c r="D13" s="7" t="inlineStr">
        <is>
          <t>Unique clicks</t>
        </is>
      </c>
      <c r="E13" s="7" t="inlineStr">
        <is>
          <t>Delivered / impressions</t>
        </is>
      </c>
      <c r="F13" s="7" t="inlineStr">
        <is>
          <t>CTR</t>
        </is>
      </c>
      <c r="H13" s="17" t="inlineStr">
        <is>
          <t>Campaign</t>
        </is>
      </c>
      <c r="I13" s="17" t="inlineStr">
        <is>
          <t>Persado's top message</t>
        </is>
      </c>
      <c r="J13" s="18" t="inlineStr">
        <is>
          <t>Winner called?</t>
        </is>
      </c>
      <c r="K13" s="17" t="inlineStr">
        <is>
          <t>Highest CTR</t>
        </is>
      </c>
      <c r="L13" s="18" t="inlineStr">
        <is>
          <t>Ranking stable?</t>
        </is>
      </c>
      <c r="M13" s="18" t="inlineStr">
        <is>
          <t>Winner clear?</t>
        </is>
      </c>
      <c r="N13" s="18" t="inlineStr">
        <is>
          <t>p (top two)</t>
        </is>
      </c>
      <c r="P13" s="18" t="inlineStr">
        <is>
          <t>Run 1</t>
        </is>
      </c>
      <c r="Q13" s="18" t="inlineStr">
        <is>
          <t>Run 2</t>
        </is>
      </c>
      <c r="R13" s="18" t="inlineStr">
        <is>
          <t>Run 3</t>
        </is>
      </c>
      <c r="S13" s="18" t="inlineStr">
        <is>
          <t>Run 4</t>
        </is>
      </c>
      <c r="T13" s="18" t="inlineStr">
        <is>
          <t>Run 5</t>
        </is>
      </c>
    </row>
    <row r="14" ht="24" customHeight="1">
      <c r="A14" s="19" t="inlineStr">
        <is>
          <t>Account servicing</t>
        </is>
      </c>
      <c r="B14" s="20" t="inlineStr">
        <is>
          <t>Your February statement is ready</t>
        </is>
      </c>
      <c r="C14" s="21">
        <f>IFERROR(AVERAGE(P14:T14),"")</f>
        <v/>
      </c>
      <c r="D14" s="29" t="n">
        <v>790</v>
      </c>
      <c r="E14" s="29" t="n">
        <v>17000</v>
      </c>
      <c r="F14" s="30">
        <f>IF(AND(ISNUMBER($D14),ISNUMBER($E14),$E14&gt;0,$D14&lt;=$E14),$D14/$E14,"")</f>
        <v/>
      </c>
      <c r="H14" s="19">
        <f>IFERROR(INDEX($A$14:$A$1213,MATCH(1,$AI$14:$AI$1213,0)),"")</f>
        <v/>
      </c>
      <c r="I14" s="24">
        <f>IF($H14="","",IF(COUNTIFS($A$14:$A$1213,$H14,$C$14:$C$1213,"&gt;=0")=0,"—",IFERROR(INDEX($B$14:$B$1213,MATCH($H14&amp;"|1",$Z$14:$Z$1213,0)),"(tied)")))</f>
        <v/>
      </c>
      <c r="J14" s="25">
        <f>IF($H14="","",IF(OR(COUNTIFS($A$14:$A$1213,$H14,$C$14:$C$1213,"&gt;=0")=0,COUNTIFS($A$14:$A$1213,$H14,$F$14:$F$1213,"&gt;=0")=0),"—",IF(OR(ISERROR(MATCH($H14&amp;"|1",$Z$14:$Z$1213,0)),ISERROR(MATCH($H14&amp;"|1",$AA$14:$AA$1213,0))),"Tie",IF(MATCH($H14&amp;"|1",$Z$14:$Z$1213,0)=MATCH($H14&amp;"|1",$AA$14:$AA$1213,0),"Hit","Miss"))))</f>
        <v/>
      </c>
      <c r="K14" s="24">
        <f>IF($H14="","",IF(COUNTIFS($A$14:$A$1213,$H14,$F$14:$F$1213,"&gt;=0")=0,"—",IFERROR(INDEX($B$14:$B$1213,MATCH($H14&amp;"|1",$AA$14:$AA$1213,0)),"(tied)")))</f>
        <v/>
      </c>
      <c r="L14" s="25">
        <f>IF($H14="","",IF((--(COUNTIFS($A$14:$A$1213,$H14,$P$14:$P$1213,"&gt;=0")&gt;0)+--(COUNTIFS($A$14:$A$1213,$H14,$Q$14:$Q$1213,"&gt;=0")&gt;0)+--(COUNTIFS($A$14:$A$1213,$H14,$R$14:$R$1213,"&gt;=0")&gt;0)+--(COUNTIFS($A$14:$A$1213,$H14,$S$14:$S$1213,"&gt;=0")&gt;0)+--(COUNTIFS($A$14:$A$1213,$H14,$T$14:$T$1213,"&gt;=0")&gt;0))&lt;2,"—",IF(SUMIFS($AH$14:$AH$1213,$A$14:$A$1213,$H14)=0,"Yes","No")))</f>
        <v/>
      </c>
      <c r="M14" s="25">
        <f>IF($H14="","",IF(COUNTIFS($A$14:$A$1213,$H14,$F$14:$F$1213,"&gt;=0")&lt;2,"—",IF(COUNTIFS($A$14:$A$1213,$H14,$F$14:$F$1213,_xlfn.MAXIFS($F$14:$F$1213,$A$14:$A$1213,$H14))&gt;1,"No",IF(NOT(ISNUMBER($AN14)),"—",IF((2*(1-NORMSDIST(ABS($AN14))))&lt;0.05,"Yes","No")))))</f>
        <v/>
      </c>
      <c r="N14" s="21">
        <f>IF($H14="","",IF(NOT(ISNUMBER($AN14)),"—",IF((2*(1-NORMSDIST(ABS($AN14))))&lt;0.001,"&lt;0.001",TEXT((2*(1-NORMSDIST(ABS($AN14)))),"0.000"))))</f>
        <v/>
      </c>
      <c r="P14" s="26" t="n">
        <v>45</v>
      </c>
      <c r="Q14" s="26" t="n">
        <v>45</v>
      </c>
      <c r="R14" s="26" t="n">
        <v>45</v>
      </c>
      <c r="S14" s="26" t="n">
        <v>45</v>
      </c>
      <c r="T14" s="26" t="n">
        <v>45</v>
      </c>
      <c r="V14" s="27">
        <f>IF(ISNUMBER($C14),COUNTIFS($A$14:$A$1213,$A14,$C$14:$C$1213,"&gt;"&amp;$C14)+(COUNTIFS($A$14:$A$1213,$A14,$C$14:$C$1213,"="&amp;$C14)+1)/2,"")</f>
        <v/>
      </c>
      <c r="W14" s="27">
        <f>IF(ISNUMBER($F14),COUNTIFS($A$14:$A$1213,$A14,$F$14:$F$1213,"&gt;"&amp;$F14)+(COUNTIFS($A$14:$A$1213,$A14,$F$14:$F$1213,"="&amp;$F14)+1)/2,"")</f>
        <v/>
      </c>
      <c r="X14" s="27">
        <f>IF(OR(NOT(ISNUMBER($V14)),$AO14=1),"",$V14-(COUNTIFS($A$14:$A$1213,$A14,$C$14:$C$1213,"&gt;=0")+1)/2)</f>
        <v/>
      </c>
      <c r="Y14" s="27">
        <f>IF(OR(NOT(ISNUMBER($W14)),$AO14=1),"",$W14-(COUNTIFS($A$14:$A$1213,$A14,$F$14:$F$1213,"&gt;=0")+1)/2)</f>
        <v/>
      </c>
      <c r="Z14" s="27">
        <f>IF(ISNUMBER($V14),$A14&amp;"|"&amp;$V14,"")</f>
        <v/>
      </c>
      <c r="AA14" s="27">
        <f>IF(ISNUMBER($W14),$A14&amp;"|"&amp;$W14,"")</f>
        <v/>
      </c>
      <c r="AB14" s="27">
        <f>IF(ISNUMBER($F14),$A14&amp;"|"&amp;$F14,"")</f>
        <v/>
      </c>
      <c r="AC14" s="27">
        <f>IF(ISNUMBER($P14),COUNTIFS($A$14:$A$1213,$A14,$P$14:$P$1213,"&gt;"&amp;$P14)+(COUNTIFS($A$14:$A$1213,$A14,$P$14:$P$1213,"="&amp;$P14)+1)/2,"")</f>
        <v/>
      </c>
      <c r="AD14" s="27">
        <f>IF(ISNUMBER($Q14),COUNTIFS($A$14:$A$1213,$A14,$Q$14:$Q$1213,"&gt;"&amp;$Q14)+(COUNTIFS($A$14:$A$1213,$A14,$Q$14:$Q$1213,"="&amp;$Q14)+1)/2,"")</f>
        <v/>
      </c>
      <c r="AE14" s="27">
        <f>IF(ISNUMBER($R14),COUNTIFS($A$14:$A$1213,$A14,$R$14:$R$1213,"&gt;"&amp;$R14)+(COUNTIFS($A$14:$A$1213,$A14,$R$14:$R$1213,"="&amp;$R14)+1)/2,"")</f>
        <v/>
      </c>
      <c r="AF14" s="27">
        <f>IF(ISNUMBER($S14),COUNTIFS($A$14:$A$1213,$A14,$S$14:$S$1213,"&gt;"&amp;$S14)+(COUNTIFS($A$14:$A$1213,$A14,$S$14:$S$1213,"="&amp;$S14)+1)/2,"")</f>
        <v/>
      </c>
      <c r="AG14" s="27">
        <f>IF(ISNUMBER($T14),COUNTIFS($A$14:$A$1213,$A14,$T$14:$T$1213,"&gt;"&amp;$T14)+(COUNTIFS($A$14:$A$1213,$A14,$T$14:$T$1213,"="&amp;$T14)+1)/2,"")</f>
        <v/>
      </c>
      <c r="AH14" s="27">
        <f>IF(COUNT($AC14:$AG14)&lt;2,"",IF(MAX($AC14:$AG14)=MIN($AC14:$AG14),0,1))</f>
        <v/>
      </c>
      <c r="AI14" s="27">
        <f>IF($A14="","",IF(COUNTIF($A$14:$A14,$A14)=1,COUNTIF($AI$13:AI13,"&gt;0")+1,""))</f>
        <v/>
      </c>
      <c r="AJ14" s="27">
        <f>IF(OR($H14="",COUNTIFS($A$14:$A$1213,$H14,$F$14:$F$1213,"&gt;=0")&lt;2,COUNTIFS($A$14:$A$1213,$H14,$F$14:$F$1213,_xlfn.MAXIFS($F$14:$F$1213,$A$14:$A$1213,$H14))&gt;1),"",IFERROR(INDEX($D$14:$D$1213,MATCH($H14&amp;"|"&amp;_xlfn.MAXIFS($F$14:$F$1213,$A$14:$A$1213,$H14),$AB$14:$AB$1213,0)),""))</f>
        <v/>
      </c>
      <c r="AK14" s="27">
        <f>IF(OR($H14="",COUNTIFS($A$14:$A$1213,$H14,$F$14:$F$1213,"&gt;=0")&lt;2,COUNTIFS($A$14:$A$1213,$H14,$F$14:$F$1213,_xlfn.MAXIFS($F$14:$F$1213,$A$14:$A$1213,$H14))&gt;1),"",IFERROR(INDEX($E$14:$E$1213,MATCH($H14&amp;"|"&amp;_xlfn.MAXIFS($F$14:$F$1213,$A$14:$A$1213,$H14),$AB$14:$AB$1213,0)),""))</f>
        <v/>
      </c>
      <c r="AL14" s="27">
        <f>IF(OR($H14="",COUNTIFS($A$14:$A$1213,$H14,$F$14:$F$1213,"&gt;=0")&lt;2,COUNTIFS($A$14:$A$1213,$H14,$F$14:$F$1213,_xlfn.MAXIFS($F$14:$F$1213,$A$14:$A$1213,$H14))&gt;1),"",IFERROR(INDEX($D$14:$D$1213,MATCH($H14&amp;"|"&amp;_xlfn.MAXIFS($F$14:$F$1213,$A$14:$A$1213,$H14,$F$14:$F$1213,"&lt;"&amp;_xlfn.MAXIFS($F$14:$F$1213,$A$14:$A$1213,$H14)),$AB$14:$AB$1213,0)),""))</f>
        <v/>
      </c>
      <c r="AM14" s="27">
        <f>IF(OR($H14="",COUNTIFS($A$14:$A$1213,$H14,$F$14:$F$1213,"&gt;=0")&lt;2,COUNTIFS($A$14:$A$1213,$H14,$F$14:$F$1213,_xlfn.MAXIFS($F$14:$F$1213,$A$14:$A$1213,$H14))&gt;1),"",IFERROR(INDEX($E$14:$E$1213,MATCH($H14&amp;"|"&amp;_xlfn.MAXIFS($F$14:$F$1213,$A$14:$A$1213,$H14,$F$14:$F$1213,"&lt;"&amp;_xlfn.MAXIFS($F$14:$F$1213,$A$14:$A$1213,$H14)),$AB$14:$AB$1213,0)),""))</f>
        <v/>
      </c>
      <c r="AN14" s="27">
        <f>IF(OR(NOT(ISNUMBER($AJ14)),NOT(ISNUMBER($AL14)),$AK14=0,$AM14=0),"",IF(OR((($AJ14+$AL14)/($AK14+$AM14))&lt;=0,(($AJ14+$AL14)/($AK14+$AM14))&gt;=1),"",($AJ14/$AK14-$AL14/$AM14)/SQRT((($AJ14+$AL14)/($AK14+$AM14))*(1-(($AJ14+$AL14)/($AK14+$AM14)))*(1/$AK14+1/$AM14))))</f>
        <v/>
      </c>
      <c r="AO14" s="27">
        <f>IF($A14="","",IF(AND(COUNTIFS($A$14:$A$1213,$A14,$F$14:$F$1213,"&gt;=0")=2,IFERROR(INDEX($M$14:$M$313,MATCH($A14,$H$14:$H$313,0)),"Yes")&lt;&gt;"Yes"),1,0))</f>
        <v/>
      </c>
    </row>
    <row r="15" ht="24" customHeight="1">
      <c r="A15" s="19" t="inlineStr">
        <is>
          <t>Account servicing</t>
        </is>
      </c>
      <c r="B15" s="20" t="inlineStr">
        <is>
          <t>Your overdraft terms are changing on 1 October</t>
        </is>
      </c>
      <c r="C15" s="21">
        <f>IFERROR(AVERAGE(P15:T15),"")</f>
        <v/>
      </c>
      <c r="D15" s="29" t="n">
        <v>676</v>
      </c>
      <c r="E15" s="29" t="n">
        <v>16400</v>
      </c>
      <c r="F15" s="30">
        <f>IF(AND(ISNUMBER($D15),ISNUMBER($E15),$E15&gt;0,$D15&lt;=$E15),$D15/$E15,"")</f>
        <v/>
      </c>
      <c r="H15" s="19">
        <f>IFERROR(INDEX($A$14:$A$1213,MATCH(2,$AI$14:$AI$1213,0)),"")</f>
        <v/>
      </c>
      <c r="I15" s="24">
        <f>IF($H15="","",IF(COUNTIFS($A$14:$A$1213,$H15,$C$14:$C$1213,"&gt;=0")=0,"—",IFERROR(INDEX($B$14:$B$1213,MATCH($H15&amp;"|1",$Z$14:$Z$1213,0)),"(tied)")))</f>
        <v/>
      </c>
      <c r="J15" s="25">
        <f>IF($H15="","",IF(OR(COUNTIFS($A$14:$A$1213,$H15,$C$14:$C$1213,"&gt;=0")=0,COUNTIFS($A$14:$A$1213,$H15,$F$14:$F$1213,"&gt;=0")=0),"—",IF(OR(ISERROR(MATCH($H15&amp;"|1",$Z$14:$Z$1213,0)),ISERROR(MATCH($H15&amp;"|1",$AA$14:$AA$1213,0))),"Tie",IF(MATCH($H15&amp;"|1",$Z$14:$Z$1213,0)=MATCH($H15&amp;"|1",$AA$14:$AA$1213,0),"Hit","Miss"))))</f>
        <v/>
      </c>
      <c r="K15" s="24">
        <f>IF($H15="","",IF(COUNTIFS($A$14:$A$1213,$H15,$F$14:$F$1213,"&gt;=0")=0,"—",IFERROR(INDEX($B$14:$B$1213,MATCH($H15&amp;"|1",$AA$14:$AA$1213,0)),"(tied)")))</f>
        <v/>
      </c>
      <c r="L15" s="25">
        <f>IF($H15="","",IF((--(COUNTIFS($A$14:$A$1213,$H15,$P$14:$P$1213,"&gt;=0")&gt;0)+--(COUNTIFS($A$14:$A$1213,$H15,$Q$14:$Q$1213,"&gt;=0")&gt;0)+--(COUNTIFS($A$14:$A$1213,$H15,$R$14:$R$1213,"&gt;=0")&gt;0)+--(COUNTIFS($A$14:$A$1213,$H15,$S$14:$S$1213,"&gt;=0")&gt;0)+--(COUNTIFS($A$14:$A$1213,$H15,$T$14:$T$1213,"&gt;=0")&gt;0))&lt;2,"—",IF(SUMIFS($AH$14:$AH$1213,$A$14:$A$1213,$H15)=0,"Yes","No")))</f>
        <v/>
      </c>
      <c r="M15" s="25">
        <f>IF($H15="","",IF(COUNTIFS($A$14:$A$1213,$H15,$F$14:$F$1213,"&gt;=0")&lt;2,"—",IF(COUNTIFS($A$14:$A$1213,$H15,$F$14:$F$1213,_xlfn.MAXIFS($F$14:$F$1213,$A$14:$A$1213,$H15))&gt;1,"No",IF(NOT(ISNUMBER($AN15)),"—",IF((2*(1-NORMSDIST(ABS($AN15))))&lt;0.05,"Yes","No")))))</f>
        <v/>
      </c>
      <c r="N15" s="21">
        <f>IF($H15="","",IF(NOT(ISNUMBER($AN15)),"—",IF((2*(1-NORMSDIST(ABS($AN15))))&lt;0.001,"&lt;0.001",TEXT((2*(1-NORMSDIST(ABS($AN15)))),"0.000"))))</f>
        <v/>
      </c>
      <c r="P15" s="26" t="n">
        <v>43</v>
      </c>
      <c r="Q15" s="26" t="n">
        <v>43</v>
      </c>
      <c r="R15" s="26" t="n">
        <v>43</v>
      </c>
      <c r="S15" s="26" t="n">
        <v>43</v>
      </c>
      <c r="T15" s="26" t="n">
        <v>43</v>
      </c>
      <c r="V15" s="27">
        <f>IF(ISNUMBER($C15),COUNTIFS($A$14:$A$1213,$A15,$C$14:$C$1213,"&gt;"&amp;$C15)+(COUNTIFS($A$14:$A$1213,$A15,$C$14:$C$1213,"="&amp;$C15)+1)/2,"")</f>
        <v/>
      </c>
      <c r="W15" s="27">
        <f>IF(ISNUMBER($F15),COUNTIFS($A$14:$A$1213,$A15,$F$14:$F$1213,"&gt;"&amp;$F15)+(COUNTIFS($A$14:$A$1213,$A15,$F$14:$F$1213,"="&amp;$F15)+1)/2,"")</f>
        <v/>
      </c>
      <c r="X15" s="27">
        <f>IF(OR(NOT(ISNUMBER($V15)),$AO15=1),"",$V15-(COUNTIFS($A$14:$A$1213,$A15,$C$14:$C$1213,"&gt;=0")+1)/2)</f>
        <v/>
      </c>
      <c r="Y15" s="27">
        <f>IF(OR(NOT(ISNUMBER($W15)),$AO15=1),"",$W15-(COUNTIFS($A$14:$A$1213,$A15,$F$14:$F$1213,"&gt;=0")+1)/2)</f>
        <v/>
      </c>
      <c r="Z15" s="27">
        <f>IF(ISNUMBER($V15),$A15&amp;"|"&amp;$V15,"")</f>
        <v/>
      </c>
      <c r="AA15" s="27">
        <f>IF(ISNUMBER($W15),$A15&amp;"|"&amp;$W15,"")</f>
        <v/>
      </c>
      <c r="AB15" s="27">
        <f>IF(ISNUMBER($F15),$A15&amp;"|"&amp;$F15,"")</f>
        <v/>
      </c>
      <c r="AC15" s="27">
        <f>IF(ISNUMBER($P15),COUNTIFS($A$14:$A$1213,$A15,$P$14:$P$1213,"&gt;"&amp;$P15)+(COUNTIFS($A$14:$A$1213,$A15,$P$14:$P$1213,"="&amp;$P15)+1)/2,"")</f>
        <v/>
      </c>
      <c r="AD15" s="27">
        <f>IF(ISNUMBER($Q15),COUNTIFS($A$14:$A$1213,$A15,$Q$14:$Q$1213,"&gt;"&amp;$Q15)+(COUNTIFS($A$14:$A$1213,$A15,$Q$14:$Q$1213,"="&amp;$Q15)+1)/2,"")</f>
        <v/>
      </c>
      <c r="AE15" s="27">
        <f>IF(ISNUMBER($R15),COUNTIFS($A$14:$A$1213,$A15,$R$14:$R$1213,"&gt;"&amp;$R15)+(COUNTIFS($A$14:$A$1213,$A15,$R$14:$R$1213,"="&amp;$R15)+1)/2,"")</f>
        <v/>
      </c>
      <c r="AF15" s="27">
        <f>IF(ISNUMBER($S15),COUNTIFS($A$14:$A$1213,$A15,$S$14:$S$1213,"&gt;"&amp;$S15)+(COUNTIFS($A$14:$A$1213,$A15,$S$14:$S$1213,"="&amp;$S15)+1)/2,"")</f>
        <v/>
      </c>
      <c r="AG15" s="27">
        <f>IF(ISNUMBER($T15),COUNTIFS($A$14:$A$1213,$A15,$T$14:$T$1213,"&gt;"&amp;$T15)+(COUNTIFS($A$14:$A$1213,$A15,$T$14:$T$1213,"="&amp;$T15)+1)/2,"")</f>
        <v/>
      </c>
      <c r="AH15" s="27">
        <f>IF(COUNT($AC15:$AG15)&lt;2,"",IF(MAX($AC15:$AG15)=MIN($AC15:$AG15),0,1))</f>
        <v/>
      </c>
      <c r="AI15" s="27">
        <f>IF($A15="","",IF(COUNTIF($A$14:$A15,$A15)=1,COUNTIF($AI$13:AI14,"&gt;0")+1,""))</f>
        <v/>
      </c>
      <c r="AJ15" s="27">
        <f>IF(OR($H15="",COUNTIFS($A$14:$A$1213,$H15,$F$14:$F$1213,"&gt;=0")&lt;2,COUNTIFS($A$14:$A$1213,$H15,$F$14:$F$1213,_xlfn.MAXIFS($F$14:$F$1213,$A$14:$A$1213,$H15))&gt;1),"",IFERROR(INDEX($D$14:$D$1213,MATCH($H15&amp;"|"&amp;_xlfn.MAXIFS($F$14:$F$1213,$A$14:$A$1213,$H15),$AB$14:$AB$1213,0)),""))</f>
        <v/>
      </c>
      <c r="AK15" s="27">
        <f>IF(OR($H15="",COUNTIFS($A$14:$A$1213,$H15,$F$14:$F$1213,"&gt;=0")&lt;2,COUNTIFS($A$14:$A$1213,$H15,$F$14:$F$1213,_xlfn.MAXIFS($F$14:$F$1213,$A$14:$A$1213,$H15))&gt;1),"",IFERROR(INDEX($E$14:$E$1213,MATCH($H15&amp;"|"&amp;_xlfn.MAXIFS($F$14:$F$1213,$A$14:$A$1213,$H15),$AB$14:$AB$1213,0)),""))</f>
        <v/>
      </c>
      <c r="AL15" s="27">
        <f>IF(OR($H15="",COUNTIFS($A$14:$A$1213,$H15,$F$14:$F$1213,"&gt;=0")&lt;2,COUNTIFS($A$14:$A$1213,$H15,$F$14:$F$1213,_xlfn.MAXIFS($F$14:$F$1213,$A$14:$A$1213,$H15))&gt;1),"",IFERROR(INDEX($D$14:$D$1213,MATCH($H15&amp;"|"&amp;_xlfn.MAXIFS($F$14:$F$1213,$A$14:$A$1213,$H15,$F$14:$F$1213,"&lt;"&amp;_xlfn.MAXIFS($F$14:$F$1213,$A$14:$A$1213,$H15)),$AB$14:$AB$1213,0)),""))</f>
        <v/>
      </c>
      <c r="AM15" s="27">
        <f>IF(OR($H15="",COUNTIFS($A$14:$A$1213,$H15,$F$14:$F$1213,"&gt;=0")&lt;2,COUNTIFS($A$14:$A$1213,$H15,$F$14:$F$1213,_xlfn.MAXIFS($F$14:$F$1213,$A$14:$A$1213,$H15))&gt;1),"",IFERROR(INDEX($E$14:$E$1213,MATCH($H15&amp;"|"&amp;_xlfn.MAXIFS($F$14:$F$1213,$A$14:$A$1213,$H15,$F$14:$F$1213,"&lt;"&amp;_xlfn.MAXIFS($F$14:$F$1213,$A$14:$A$1213,$H15)),$AB$14:$AB$1213,0)),""))</f>
        <v/>
      </c>
      <c r="AN15" s="27">
        <f>IF(OR(NOT(ISNUMBER($AJ15)),NOT(ISNUMBER($AL15)),$AK15=0,$AM15=0),"",IF(OR((($AJ15+$AL15)/($AK15+$AM15))&lt;=0,(($AJ15+$AL15)/($AK15+$AM15))&gt;=1),"",($AJ15/$AK15-$AL15/$AM15)/SQRT((($AJ15+$AL15)/($AK15+$AM15))*(1-(($AJ15+$AL15)/($AK15+$AM15)))*(1/$AK15+1/$AM15))))</f>
        <v/>
      </c>
      <c r="AO15" s="27">
        <f>IF($A15="","",IF(AND(COUNTIFS($A$14:$A$1213,$A15,$F$14:$F$1213,"&gt;=0")=2,IFERROR(INDEX($M$14:$M$313,MATCH($A15,$H$14:$H$313,0)),"Yes")&lt;&gt;"Yes"),1,0))</f>
        <v/>
      </c>
    </row>
    <row r="16" ht="24" customHeight="1">
      <c r="A16" s="19" t="inlineStr">
        <is>
          <t>Acquisition &amp; switching</t>
        </is>
      </c>
      <c r="B16" s="20" t="inlineStr">
        <is>
          <t>Last chance to claim your £175 switching offer</t>
        </is>
      </c>
      <c r="C16" s="21">
        <f>IFERROR(AVERAGE(P16:T16),"")</f>
        <v/>
      </c>
      <c r="D16" s="29" t="n">
        <v>714</v>
      </c>
      <c r="E16" s="29" t="n">
        <v>19000</v>
      </c>
      <c r="F16" s="30">
        <f>IF(AND(ISNUMBER($D16),ISNUMBER($E16),$E16&gt;0,$D16&lt;=$E16),$D16/$E16,"")</f>
        <v/>
      </c>
      <c r="H16" s="19">
        <f>IFERROR(INDEX($A$14:$A$1213,MATCH(3,$AI$14:$AI$1213,0)),"")</f>
        <v/>
      </c>
      <c r="I16" s="24">
        <f>IF($H16="","",IF(COUNTIFS($A$14:$A$1213,$H16,$C$14:$C$1213,"&gt;=0")=0,"—",IFERROR(INDEX($B$14:$B$1213,MATCH($H16&amp;"|1",$Z$14:$Z$1213,0)),"(tied)")))</f>
        <v/>
      </c>
      <c r="J16" s="25">
        <f>IF($H16="","",IF(OR(COUNTIFS($A$14:$A$1213,$H16,$C$14:$C$1213,"&gt;=0")=0,COUNTIFS($A$14:$A$1213,$H16,$F$14:$F$1213,"&gt;=0")=0),"—",IF(OR(ISERROR(MATCH($H16&amp;"|1",$Z$14:$Z$1213,0)),ISERROR(MATCH($H16&amp;"|1",$AA$14:$AA$1213,0))),"Tie",IF(MATCH($H16&amp;"|1",$Z$14:$Z$1213,0)=MATCH($H16&amp;"|1",$AA$14:$AA$1213,0),"Hit","Miss"))))</f>
        <v/>
      </c>
      <c r="K16" s="24">
        <f>IF($H16="","",IF(COUNTIFS($A$14:$A$1213,$H16,$F$14:$F$1213,"&gt;=0")=0,"—",IFERROR(INDEX($B$14:$B$1213,MATCH($H16&amp;"|1",$AA$14:$AA$1213,0)),"(tied)")))</f>
        <v/>
      </c>
      <c r="L16" s="25">
        <f>IF($H16="","",IF((--(COUNTIFS($A$14:$A$1213,$H16,$P$14:$P$1213,"&gt;=0")&gt;0)+--(COUNTIFS($A$14:$A$1213,$H16,$Q$14:$Q$1213,"&gt;=0")&gt;0)+--(COUNTIFS($A$14:$A$1213,$H16,$R$14:$R$1213,"&gt;=0")&gt;0)+--(COUNTIFS($A$14:$A$1213,$H16,$S$14:$S$1213,"&gt;=0")&gt;0)+--(COUNTIFS($A$14:$A$1213,$H16,$T$14:$T$1213,"&gt;=0")&gt;0))&lt;2,"—",IF(SUMIFS($AH$14:$AH$1213,$A$14:$A$1213,$H16)=0,"Yes","No")))</f>
        <v/>
      </c>
      <c r="M16" s="25">
        <f>IF($H16="","",IF(COUNTIFS($A$14:$A$1213,$H16,$F$14:$F$1213,"&gt;=0")&lt;2,"—",IF(COUNTIFS($A$14:$A$1213,$H16,$F$14:$F$1213,_xlfn.MAXIFS($F$14:$F$1213,$A$14:$A$1213,$H16))&gt;1,"No",IF(NOT(ISNUMBER($AN16)),"—",IF((2*(1-NORMSDIST(ABS($AN16))))&lt;0.05,"Yes","No")))))</f>
        <v/>
      </c>
      <c r="N16" s="21">
        <f>IF($H16="","",IF(NOT(ISNUMBER($AN16)),"—",IF((2*(1-NORMSDIST(ABS($AN16))))&lt;0.001,"&lt;0.001",TEXT((2*(1-NORMSDIST(ABS($AN16)))),"0.000"))))</f>
        <v/>
      </c>
      <c r="P16" s="26" t="n">
        <v>34</v>
      </c>
      <c r="Q16" s="26" t="n">
        <v>34</v>
      </c>
      <c r="R16" s="26" t="n">
        <v>34</v>
      </c>
      <c r="S16" s="26" t="n">
        <v>34</v>
      </c>
      <c r="T16" s="26" t="n">
        <v>34</v>
      </c>
      <c r="V16" s="27">
        <f>IF(ISNUMBER($C16),COUNTIFS($A$14:$A$1213,$A16,$C$14:$C$1213,"&gt;"&amp;$C16)+(COUNTIFS($A$14:$A$1213,$A16,$C$14:$C$1213,"="&amp;$C16)+1)/2,"")</f>
        <v/>
      </c>
      <c r="W16" s="27">
        <f>IF(ISNUMBER($F16),COUNTIFS($A$14:$A$1213,$A16,$F$14:$F$1213,"&gt;"&amp;$F16)+(COUNTIFS($A$14:$A$1213,$A16,$F$14:$F$1213,"="&amp;$F16)+1)/2,"")</f>
        <v/>
      </c>
      <c r="X16" s="27">
        <f>IF(OR(NOT(ISNUMBER($V16)),$AO16=1),"",$V16-(COUNTIFS($A$14:$A$1213,$A16,$C$14:$C$1213,"&gt;=0")+1)/2)</f>
        <v/>
      </c>
      <c r="Y16" s="27">
        <f>IF(OR(NOT(ISNUMBER($W16)),$AO16=1),"",$W16-(COUNTIFS($A$14:$A$1213,$A16,$F$14:$F$1213,"&gt;=0")+1)/2)</f>
        <v/>
      </c>
      <c r="Z16" s="27">
        <f>IF(ISNUMBER($V16),$A16&amp;"|"&amp;$V16,"")</f>
        <v/>
      </c>
      <c r="AA16" s="27">
        <f>IF(ISNUMBER($W16),$A16&amp;"|"&amp;$W16,"")</f>
        <v/>
      </c>
      <c r="AB16" s="27">
        <f>IF(ISNUMBER($F16),$A16&amp;"|"&amp;$F16,"")</f>
        <v/>
      </c>
      <c r="AC16" s="27">
        <f>IF(ISNUMBER($P16),COUNTIFS($A$14:$A$1213,$A16,$P$14:$P$1213,"&gt;"&amp;$P16)+(COUNTIFS($A$14:$A$1213,$A16,$P$14:$P$1213,"="&amp;$P16)+1)/2,"")</f>
        <v/>
      </c>
      <c r="AD16" s="27">
        <f>IF(ISNUMBER($Q16),COUNTIFS($A$14:$A$1213,$A16,$Q$14:$Q$1213,"&gt;"&amp;$Q16)+(COUNTIFS($A$14:$A$1213,$A16,$Q$14:$Q$1213,"="&amp;$Q16)+1)/2,"")</f>
        <v/>
      </c>
      <c r="AE16" s="27">
        <f>IF(ISNUMBER($R16),COUNTIFS($A$14:$A$1213,$A16,$R$14:$R$1213,"&gt;"&amp;$R16)+(COUNTIFS($A$14:$A$1213,$A16,$R$14:$R$1213,"="&amp;$R16)+1)/2,"")</f>
        <v/>
      </c>
      <c r="AF16" s="27">
        <f>IF(ISNUMBER($S16),COUNTIFS($A$14:$A$1213,$A16,$S$14:$S$1213,"&gt;"&amp;$S16)+(COUNTIFS($A$14:$A$1213,$A16,$S$14:$S$1213,"="&amp;$S16)+1)/2,"")</f>
        <v/>
      </c>
      <c r="AG16" s="27">
        <f>IF(ISNUMBER($T16),COUNTIFS($A$14:$A$1213,$A16,$T$14:$T$1213,"&gt;"&amp;$T16)+(COUNTIFS($A$14:$A$1213,$A16,$T$14:$T$1213,"="&amp;$T16)+1)/2,"")</f>
        <v/>
      </c>
      <c r="AH16" s="27">
        <f>IF(COUNT($AC16:$AG16)&lt;2,"",IF(MAX($AC16:$AG16)=MIN($AC16:$AG16),0,1))</f>
        <v/>
      </c>
      <c r="AI16" s="27">
        <f>IF($A16="","",IF(COUNTIF($A$14:$A16,$A16)=1,COUNTIF($AI$13:AI15,"&gt;0")+1,""))</f>
        <v/>
      </c>
      <c r="AJ16" s="27">
        <f>IF(OR($H16="",COUNTIFS($A$14:$A$1213,$H16,$F$14:$F$1213,"&gt;=0")&lt;2,COUNTIFS($A$14:$A$1213,$H16,$F$14:$F$1213,_xlfn.MAXIFS($F$14:$F$1213,$A$14:$A$1213,$H16))&gt;1),"",IFERROR(INDEX($D$14:$D$1213,MATCH($H16&amp;"|"&amp;_xlfn.MAXIFS($F$14:$F$1213,$A$14:$A$1213,$H16),$AB$14:$AB$1213,0)),""))</f>
        <v/>
      </c>
      <c r="AK16" s="27">
        <f>IF(OR($H16="",COUNTIFS($A$14:$A$1213,$H16,$F$14:$F$1213,"&gt;=0")&lt;2,COUNTIFS($A$14:$A$1213,$H16,$F$14:$F$1213,_xlfn.MAXIFS($F$14:$F$1213,$A$14:$A$1213,$H16))&gt;1),"",IFERROR(INDEX($E$14:$E$1213,MATCH($H16&amp;"|"&amp;_xlfn.MAXIFS($F$14:$F$1213,$A$14:$A$1213,$H16),$AB$14:$AB$1213,0)),""))</f>
        <v/>
      </c>
      <c r="AL16" s="27">
        <f>IF(OR($H16="",COUNTIFS($A$14:$A$1213,$H16,$F$14:$F$1213,"&gt;=0")&lt;2,COUNTIFS($A$14:$A$1213,$H16,$F$14:$F$1213,_xlfn.MAXIFS($F$14:$F$1213,$A$14:$A$1213,$H16))&gt;1),"",IFERROR(INDEX($D$14:$D$1213,MATCH($H16&amp;"|"&amp;_xlfn.MAXIFS($F$14:$F$1213,$A$14:$A$1213,$H16,$F$14:$F$1213,"&lt;"&amp;_xlfn.MAXIFS($F$14:$F$1213,$A$14:$A$1213,$H16)),$AB$14:$AB$1213,0)),""))</f>
        <v/>
      </c>
      <c r="AM16" s="27">
        <f>IF(OR($H16="",COUNTIFS($A$14:$A$1213,$H16,$F$14:$F$1213,"&gt;=0")&lt;2,COUNTIFS($A$14:$A$1213,$H16,$F$14:$F$1213,_xlfn.MAXIFS($F$14:$F$1213,$A$14:$A$1213,$H16))&gt;1),"",IFERROR(INDEX($E$14:$E$1213,MATCH($H16&amp;"|"&amp;_xlfn.MAXIFS($F$14:$F$1213,$A$14:$A$1213,$H16,$F$14:$F$1213,"&lt;"&amp;_xlfn.MAXIFS($F$14:$F$1213,$A$14:$A$1213,$H16)),$AB$14:$AB$1213,0)),""))</f>
        <v/>
      </c>
      <c r="AN16" s="27">
        <f>IF(OR(NOT(ISNUMBER($AJ16)),NOT(ISNUMBER($AL16)),$AK16=0,$AM16=0),"",IF(OR((($AJ16+$AL16)/($AK16+$AM16))&lt;=0,(($AJ16+$AL16)/($AK16+$AM16))&gt;=1),"",($AJ16/$AK16-$AL16/$AM16)/SQRT((($AJ16+$AL16)/($AK16+$AM16))*(1-(($AJ16+$AL16)/($AK16+$AM16)))*(1/$AK16+1/$AM16))))</f>
        <v/>
      </c>
      <c r="AO16" s="27">
        <f>IF($A16="","",IF(AND(COUNTIFS($A$14:$A$1213,$A16,$F$14:$F$1213,"&gt;=0")=2,IFERROR(INDEX($M$14:$M$313,MATCH($A16,$H$14:$H$313,0)),"Yes")&lt;&gt;"Yes"),1,0))</f>
        <v/>
      </c>
    </row>
    <row r="17" ht="24" customHeight="1">
      <c r="A17" s="19" t="inlineStr">
        <is>
          <t>Acquisition &amp; switching</t>
        </is>
      </c>
      <c r="B17" s="20" t="inlineStr">
        <is>
          <t>You could save £200 a year by switching</t>
        </is>
      </c>
      <c r="C17" s="21">
        <f>IFERROR(AVERAGE(P17:T17),"")</f>
        <v/>
      </c>
      <c r="D17" s="29" t="n">
        <v>560</v>
      </c>
      <c r="E17" s="29" t="n">
        <v>18600</v>
      </c>
      <c r="F17" s="30">
        <f>IF(AND(ISNUMBER($D17),ISNUMBER($E17),$E17&gt;0,$D17&lt;=$E17),$D17/$E17,"")</f>
        <v/>
      </c>
      <c r="H17" s="19">
        <f>IFERROR(INDEX($A$14:$A$1213,MATCH(4,$AI$14:$AI$1213,0)),"")</f>
        <v/>
      </c>
      <c r="I17" s="24">
        <f>IF($H17="","",IF(COUNTIFS($A$14:$A$1213,$H17,$C$14:$C$1213,"&gt;=0")=0,"—",IFERROR(INDEX($B$14:$B$1213,MATCH($H17&amp;"|1",$Z$14:$Z$1213,0)),"(tied)")))</f>
        <v/>
      </c>
      <c r="J17" s="25">
        <f>IF($H17="","",IF(OR(COUNTIFS($A$14:$A$1213,$H17,$C$14:$C$1213,"&gt;=0")=0,COUNTIFS($A$14:$A$1213,$H17,$F$14:$F$1213,"&gt;=0")=0),"—",IF(OR(ISERROR(MATCH($H17&amp;"|1",$Z$14:$Z$1213,0)),ISERROR(MATCH($H17&amp;"|1",$AA$14:$AA$1213,0))),"Tie",IF(MATCH($H17&amp;"|1",$Z$14:$Z$1213,0)=MATCH($H17&amp;"|1",$AA$14:$AA$1213,0),"Hit","Miss"))))</f>
        <v/>
      </c>
      <c r="K17" s="24">
        <f>IF($H17="","",IF(COUNTIFS($A$14:$A$1213,$H17,$F$14:$F$1213,"&gt;=0")=0,"—",IFERROR(INDEX($B$14:$B$1213,MATCH($H17&amp;"|1",$AA$14:$AA$1213,0)),"(tied)")))</f>
        <v/>
      </c>
      <c r="L17" s="25">
        <f>IF($H17="","",IF((--(COUNTIFS($A$14:$A$1213,$H17,$P$14:$P$1213,"&gt;=0")&gt;0)+--(COUNTIFS($A$14:$A$1213,$H17,$Q$14:$Q$1213,"&gt;=0")&gt;0)+--(COUNTIFS($A$14:$A$1213,$H17,$R$14:$R$1213,"&gt;=0")&gt;0)+--(COUNTIFS($A$14:$A$1213,$H17,$S$14:$S$1213,"&gt;=0")&gt;0)+--(COUNTIFS($A$14:$A$1213,$H17,$T$14:$T$1213,"&gt;=0")&gt;0))&lt;2,"—",IF(SUMIFS($AH$14:$AH$1213,$A$14:$A$1213,$H17)=0,"Yes","No")))</f>
        <v/>
      </c>
      <c r="M17" s="25">
        <f>IF($H17="","",IF(COUNTIFS($A$14:$A$1213,$H17,$F$14:$F$1213,"&gt;=0")&lt;2,"—",IF(COUNTIFS($A$14:$A$1213,$H17,$F$14:$F$1213,_xlfn.MAXIFS($F$14:$F$1213,$A$14:$A$1213,$H17))&gt;1,"No",IF(NOT(ISNUMBER($AN17)),"—",IF((2*(1-NORMSDIST(ABS($AN17))))&lt;0.05,"Yes","No")))))</f>
        <v/>
      </c>
      <c r="N17" s="21">
        <f>IF($H17="","",IF(NOT(ISNUMBER($AN17)),"—",IF((2*(1-NORMSDIST(ABS($AN17))))&lt;0.001,"&lt;0.001",TEXT((2*(1-NORMSDIST(ABS($AN17)))),"0.000"))))</f>
        <v/>
      </c>
      <c r="P17" s="26" t="n">
        <v>31</v>
      </c>
      <c r="Q17" s="26" t="n">
        <v>31</v>
      </c>
      <c r="R17" s="26" t="n">
        <v>31</v>
      </c>
      <c r="S17" s="26" t="n">
        <v>31</v>
      </c>
      <c r="T17" s="26" t="n">
        <v>31</v>
      </c>
      <c r="V17" s="27">
        <f>IF(ISNUMBER($C17),COUNTIFS($A$14:$A$1213,$A17,$C$14:$C$1213,"&gt;"&amp;$C17)+(COUNTIFS($A$14:$A$1213,$A17,$C$14:$C$1213,"="&amp;$C17)+1)/2,"")</f>
        <v/>
      </c>
      <c r="W17" s="27">
        <f>IF(ISNUMBER($F17),COUNTIFS($A$14:$A$1213,$A17,$F$14:$F$1213,"&gt;"&amp;$F17)+(COUNTIFS($A$14:$A$1213,$A17,$F$14:$F$1213,"="&amp;$F17)+1)/2,"")</f>
        <v/>
      </c>
      <c r="X17" s="27">
        <f>IF(OR(NOT(ISNUMBER($V17)),$AO17=1),"",$V17-(COUNTIFS($A$14:$A$1213,$A17,$C$14:$C$1213,"&gt;=0")+1)/2)</f>
        <v/>
      </c>
      <c r="Y17" s="27">
        <f>IF(OR(NOT(ISNUMBER($W17)),$AO17=1),"",$W17-(COUNTIFS($A$14:$A$1213,$A17,$F$14:$F$1213,"&gt;=0")+1)/2)</f>
        <v/>
      </c>
      <c r="Z17" s="27">
        <f>IF(ISNUMBER($V17),$A17&amp;"|"&amp;$V17,"")</f>
        <v/>
      </c>
      <c r="AA17" s="27">
        <f>IF(ISNUMBER($W17),$A17&amp;"|"&amp;$W17,"")</f>
        <v/>
      </c>
      <c r="AB17" s="27">
        <f>IF(ISNUMBER($F17),$A17&amp;"|"&amp;$F17,"")</f>
        <v/>
      </c>
      <c r="AC17" s="27">
        <f>IF(ISNUMBER($P17),COUNTIFS($A$14:$A$1213,$A17,$P$14:$P$1213,"&gt;"&amp;$P17)+(COUNTIFS($A$14:$A$1213,$A17,$P$14:$P$1213,"="&amp;$P17)+1)/2,"")</f>
        <v/>
      </c>
      <c r="AD17" s="27">
        <f>IF(ISNUMBER($Q17),COUNTIFS($A$14:$A$1213,$A17,$Q$14:$Q$1213,"&gt;"&amp;$Q17)+(COUNTIFS($A$14:$A$1213,$A17,$Q$14:$Q$1213,"="&amp;$Q17)+1)/2,"")</f>
        <v/>
      </c>
      <c r="AE17" s="27">
        <f>IF(ISNUMBER($R17),COUNTIFS($A$14:$A$1213,$A17,$R$14:$R$1213,"&gt;"&amp;$R17)+(COUNTIFS($A$14:$A$1213,$A17,$R$14:$R$1213,"="&amp;$R17)+1)/2,"")</f>
        <v/>
      </c>
      <c r="AF17" s="27">
        <f>IF(ISNUMBER($S17),COUNTIFS($A$14:$A$1213,$A17,$S$14:$S$1213,"&gt;"&amp;$S17)+(COUNTIFS($A$14:$A$1213,$A17,$S$14:$S$1213,"="&amp;$S17)+1)/2,"")</f>
        <v/>
      </c>
      <c r="AG17" s="27">
        <f>IF(ISNUMBER($T17),COUNTIFS($A$14:$A$1213,$A17,$T$14:$T$1213,"&gt;"&amp;$T17)+(COUNTIFS($A$14:$A$1213,$A17,$T$14:$T$1213,"="&amp;$T17)+1)/2,"")</f>
        <v/>
      </c>
      <c r="AH17" s="27">
        <f>IF(COUNT($AC17:$AG17)&lt;2,"",IF(MAX($AC17:$AG17)=MIN($AC17:$AG17),0,1))</f>
        <v/>
      </c>
      <c r="AI17" s="27">
        <f>IF($A17="","",IF(COUNTIF($A$14:$A17,$A17)=1,COUNTIF($AI$13:AI16,"&gt;0")+1,""))</f>
        <v/>
      </c>
      <c r="AJ17" s="27">
        <f>IF(OR($H17="",COUNTIFS($A$14:$A$1213,$H17,$F$14:$F$1213,"&gt;=0")&lt;2,COUNTIFS($A$14:$A$1213,$H17,$F$14:$F$1213,_xlfn.MAXIFS($F$14:$F$1213,$A$14:$A$1213,$H17))&gt;1),"",IFERROR(INDEX($D$14:$D$1213,MATCH($H17&amp;"|"&amp;_xlfn.MAXIFS($F$14:$F$1213,$A$14:$A$1213,$H17),$AB$14:$AB$1213,0)),""))</f>
        <v/>
      </c>
      <c r="AK17" s="27">
        <f>IF(OR($H17="",COUNTIFS($A$14:$A$1213,$H17,$F$14:$F$1213,"&gt;=0")&lt;2,COUNTIFS($A$14:$A$1213,$H17,$F$14:$F$1213,_xlfn.MAXIFS($F$14:$F$1213,$A$14:$A$1213,$H17))&gt;1),"",IFERROR(INDEX($E$14:$E$1213,MATCH($H17&amp;"|"&amp;_xlfn.MAXIFS($F$14:$F$1213,$A$14:$A$1213,$H17),$AB$14:$AB$1213,0)),""))</f>
        <v/>
      </c>
      <c r="AL17" s="27">
        <f>IF(OR($H17="",COUNTIFS($A$14:$A$1213,$H17,$F$14:$F$1213,"&gt;=0")&lt;2,COUNTIFS($A$14:$A$1213,$H17,$F$14:$F$1213,_xlfn.MAXIFS($F$14:$F$1213,$A$14:$A$1213,$H17))&gt;1),"",IFERROR(INDEX($D$14:$D$1213,MATCH($H17&amp;"|"&amp;_xlfn.MAXIFS($F$14:$F$1213,$A$14:$A$1213,$H17,$F$14:$F$1213,"&lt;"&amp;_xlfn.MAXIFS($F$14:$F$1213,$A$14:$A$1213,$H17)),$AB$14:$AB$1213,0)),""))</f>
        <v/>
      </c>
      <c r="AM17" s="27">
        <f>IF(OR($H17="",COUNTIFS($A$14:$A$1213,$H17,$F$14:$F$1213,"&gt;=0")&lt;2,COUNTIFS($A$14:$A$1213,$H17,$F$14:$F$1213,_xlfn.MAXIFS($F$14:$F$1213,$A$14:$A$1213,$H17))&gt;1),"",IFERROR(INDEX($E$14:$E$1213,MATCH($H17&amp;"|"&amp;_xlfn.MAXIFS($F$14:$F$1213,$A$14:$A$1213,$H17,$F$14:$F$1213,"&lt;"&amp;_xlfn.MAXIFS($F$14:$F$1213,$A$14:$A$1213,$H17)),$AB$14:$AB$1213,0)),""))</f>
        <v/>
      </c>
      <c r="AN17" s="27">
        <f>IF(OR(NOT(ISNUMBER($AJ17)),NOT(ISNUMBER($AL17)),$AK17=0,$AM17=0),"",IF(OR((($AJ17+$AL17)/($AK17+$AM17))&lt;=0,(($AJ17+$AL17)/($AK17+$AM17))&gt;=1),"",($AJ17/$AK17-$AL17/$AM17)/SQRT((($AJ17+$AL17)/($AK17+$AM17))*(1-(($AJ17+$AL17)/($AK17+$AM17)))*(1/$AK17+1/$AM17))))</f>
        <v/>
      </c>
      <c r="AO17" s="27">
        <f>IF($A17="","",IF(AND(COUNTIFS($A$14:$A$1213,$A17,$F$14:$F$1213,"&gt;=0")=2,IFERROR(INDEX($M$14:$M$313,MATCH($A17,$H$14:$H$313,0)),"Yes")&lt;&gt;"Yes"),1,0))</f>
        <v/>
      </c>
    </row>
    <row r="18" ht="24" customHeight="1">
      <c r="A18" s="19" t="inlineStr">
        <is>
          <t>Acquisition &amp; switching</t>
        </is>
      </c>
      <c r="B18" s="20" t="inlineStr">
        <is>
          <t>Unlock better rates on your next mortgage</t>
        </is>
      </c>
      <c r="C18" s="21">
        <f>IFERROR(AVERAGE(P18:T18),"")</f>
        <v/>
      </c>
      <c r="D18" s="29" t="n">
        <v>439</v>
      </c>
      <c r="E18" s="29" t="n">
        <v>18200</v>
      </c>
      <c r="F18" s="30">
        <f>IF(AND(ISNUMBER($D18),ISNUMBER($E18),$E18&gt;0,$D18&lt;=$E18),$D18/$E18,"")</f>
        <v/>
      </c>
      <c r="H18" s="19">
        <f>IFERROR(INDEX($A$14:$A$1213,MATCH(5,$AI$14:$AI$1213,0)),"")</f>
        <v/>
      </c>
      <c r="I18" s="24">
        <f>IF($H18="","",IF(COUNTIFS($A$14:$A$1213,$H18,$C$14:$C$1213,"&gt;=0")=0,"—",IFERROR(INDEX($B$14:$B$1213,MATCH($H18&amp;"|1",$Z$14:$Z$1213,0)),"(tied)")))</f>
        <v/>
      </c>
      <c r="J18" s="25">
        <f>IF($H18="","",IF(OR(COUNTIFS($A$14:$A$1213,$H18,$C$14:$C$1213,"&gt;=0")=0,COUNTIFS($A$14:$A$1213,$H18,$F$14:$F$1213,"&gt;=0")=0),"—",IF(OR(ISERROR(MATCH($H18&amp;"|1",$Z$14:$Z$1213,0)),ISERROR(MATCH($H18&amp;"|1",$AA$14:$AA$1213,0))),"Tie",IF(MATCH($H18&amp;"|1",$Z$14:$Z$1213,0)=MATCH($H18&amp;"|1",$AA$14:$AA$1213,0),"Hit","Miss"))))</f>
        <v/>
      </c>
      <c r="K18" s="24">
        <f>IF($H18="","",IF(COUNTIFS($A$14:$A$1213,$H18,$F$14:$F$1213,"&gt;=0")=0,"—",IFERROR(INDEX($B$14:$B$1213,MATCH($H18&amp;"|1",$AA$14:$AA$1213,0)),"(tied)")))</f>
        <v/>
      </c>
      <c r="L18" s="25">
        <f>IF($H18="","",IF((--(COUNTIFS($A$14:$A$1213,$H18,$P$14:$P$1213,"&gt;=0")&gt;0)+--(COUNTIFS($A$14:$A$1213,$H18,$Q$14:$Q$1213,"&gt;=0")&gt;0)+--(COUNTIFS($A$14:$A$1213,$H18,$R$14:$R$1213,"&gt;=0")&gt;0)+--(COUNTIFS($A$14:$A$1213,$H18,$S$14:$S$1213,"&gt;=0")&gt;0)+--(COUNTIFS($A$14:$A$1213,$H18,$T$14:$T$1213,"&gt;=0")&gt;0))&lt;2,"—",IF(SUMIFS($AH$14:$AH$1213,$A$14:$A$1213,$H18)=0,"Yes","No")))</f>
        <v/>
      </c>
      <c r="M18" s="25">
        <f>IF($H18="","",IF(COUNTIFS($A$14:$A$1213,$H18,$F$14:$F$1213,"&gt;=0")&lt;2,"—",IF(COUNTIFS($A$14:$A$1213,$H18,$F$14:$F$1213,_xlfn.MAXIFS($F$14:$F$1213,$A$14:$A$1213,$H18))&gt;1,"No",IF(NOT(ISNUMBER($AN18)),"—",IF((2*(1-NORMSDIST(ABS($AN18))))&lt;0.05,"Yes","No")))))</f>
        <v/>
      </c>
      <c r="N18" s="21">
        <f>IF($H18="","",IF(NOT(ISNUMBER($AN18)),"—",IF((2*(1-NORMSDIST(ABS($AN18))))&lt;0.001,"&lt;0.001",TEXT((2*(1-NORMSDIST(ABS($AN18)))),"0.000"))))</f>
        <v/>
      </c>
      <c r="P18" s="26" t="n">
        <v>22</v>
      </c>
      <c r="Q18" s="26" t="n">
        <v>22</v>
      </c>
      <c r="R18" s="26" t="n">
        <v>22</v>
      </c>
      <c r="S18" s="26" t="n">
        <v>22</v>
      </c>
      <c r="T18" s="26" t="n">
        <v>22</v>
      </c>
      <c r="V18" s="27">
        <f>IF(ISNUMBER($C18),COUNTIFS($A$14:$A$1213,$A18,$C$14:$C$1213,"&gt;"&amp;$C18)+(COUNTIFS($A$14:$A$1213,$A18,$C$14:$C$1213,"="&amp;$C18)+1)/2,"")</f>
        <v/>
      </c>
      <c r="W18" s="27">
        <f>IF(ISNUMBER($F18),COUNTIFS($A$14:$A$1213,$A18,$F$14:$F$1213,"&gt;"&amp;$F18)+(COUNTIFS($A$14:$A$1213,$A18,$F$14:$F$1213,"="&amp;$F18)+1)/2,"")</f>
        <v/>
      </c>
      <c r="X18" s="27">
        <f>IF(OR(NOT(ISNUMBER($V18)),$AO18=1),"",$V18-(COUNTIFS($A$14:$A$1213,$A18,$C$14:$C$1213,"&gt;=0")+1)/2)</f>
        <v/>
      </c>
      <c r="Y18" s="27">
        <f>IF(OR(NOT(ISNUMBER($W18)),$AO18=1),"",$W18-(COUNTIFS($A$14:$A$1213,$A18,$F$14:$F$1213,"&gt;=0")+1)/2)</f>
        <v/>
      </c>
      <c r="Z18" s="27">
        <f>IF(ISNUMBER($V18),$A18&amp;"|"&amp;$V18,"")</f>
        <v/>
      </c>
      <c r="AA18" s="27">
        <f>IF(ISNUMBER($W18),$A18&amp;"|"&amp;$W18,"")</f>
        <v/>
      </c>
      <c r="AB18" s="27">
        <f>IF(ISNUMBER($F18),$A18&amp;"|"&amp;$F18,"")</f>
        <v/>
      </c>
      <c r="AC18" s="27">
        <f>IF(ISNUMBER($P18),COUNTIFS($A$14:$A$1213,$A18,$P$14:$P$1213,"&gt;"&amp;$P18)+(COUNTIFS($A$14:$A$1213,$A18,$P$14:$P$1213,"="&amp;$P18)+1)/2,"")</f>
        <v/>
      </c>
      <c r="AD18" s="27">
        <f>IF(ISNUMBER($Q18),COUNTIFS($A$14:$A$1213,$A18,$Q$14:$Q$1213,"&gt;"&amp;$Q18)+(COUNTIFS($A$14:$A$1213,$A18,$Q$14:$Q$1213,"="&amp;$Q18)+1)/2,"")</f>
        <v/>
      </c>
      <c r="AE18" s="27">
        <f>IF(ISNUMBER($R18),COUNTIFS($A$14:$A$1213,$A18,$R$14:$R$1213,"&gt;"&amp;$R18)+(COUNTIFS($A$14:$A$1213,$A18,$R$14:$R$1213,"="&amp;$R18)+1)/2,"")</f>
        <v/>
      </c>
      <c r="AF18" s="27">
        <f>IF(ISNUMBER($S18),COUNTIFS($A$14:$A$1213,$A18,$S$14:$S$1213,"&gt;"&amp;$S18)+(COUNTIFS($A$14:$A$1213,$A18,$S$14:$S$1213,"="&amp;$S18)+1)/2,"")</f>
        <v/>
      </c>
      <c r="AG18" s="27">
        <f>IF(ISNUMBER($T18),COUNTIFS($A$14:$A$1213,$A18,$T$14:$T$1213,"&gt;"&amp;$T18)+(COUNTIFS($A$14:$A$1213,$A18,$T$14:$T$1213,"="&amp;$T18)+1)/2,"")</f>
        <v/>
      </c>
      <c r="AH18" s="27">
        <f>IF(COUNT($AC18:$AG18)&lt;2,"",IF(MAX($AC18:$AG18)=MIN($AC18:$AG18),0,1))</f>
        <v/>
      </c>
      <c r="AI18" s="27">
        <f>IF($A18="","",IF(COUNTIF($A$14:$A18,$A18)=1,COUNTIF($AI$13:AI17,"&gt;0")+1,""))</f>
        <v/>
      </c>
      <c r="AJ18" s="27">
        <f>IF(OR($H18="",COUNTIFS($A$14:$A$1213,$H18,$F$14:$F$1213,"&gt;=0")&lt;2,COUNTIFS($A$14:$A$1213,$H18,$F$14:$F$1213,_xlfn.MAXIFS($F$14:$F$1213,$A$14:$A$1213,$H18))&gt;1),"",IFERROR(INDEX($D$14:$D$1213,MATCH($H18&amp;"|"&amp;_xlfn.MAXIFS($F$14:$F$1213,$A$14:$A$1213,$H18),$AB$14:$AB$1213,0)),""))</f>
        <v/>
      </c>
      <c r="AK18" s="27">
        <f>IF(OR($H18="",COUNTIFS($A$14:$A$1213,$H18,$F$14:$F$1213,"&gt;=0")&lt;2,COUNTIFS($A$14:$A$1213,$H18,$F$14:$F$1213,_xlfn.MAXIFS($F$14:$F$1213,$A$14:$A$1213,$H18))&gt;1),"",IFERROR(INDEX($E$14:$E$1213,MATCH($H18&amp;"|"&amp;_xlfn.MAXIFS($F$14:$F$1213,$A$14:$A$1213,$H18),$AB$14:$AB$1213,0)),""))</f>
        <v/>
      </c>
      <c r="AL18" s="27">
        <f>IF(OR($H18="",COUNTIFS($A$14:$A$1213,$H18,$F$14:$F$1213,"&gt;=0")&lt;2,COUNTIFS($A$14:$A$1213,$H18,$F$14:$F$1213,_xlfn.MAXIFS($F$14:$F$1213,$A$14:$A$1213,$H18))&gt;1),"",IFERROR(INDEX($D$14:$D$1213,MATCH($H18&amp;"|"&amp;_xlfn.MAXIFS($F$14:$F$1213,$A$14:$A$1213,$H18,$F$14:$F$1213,"&lt;"&amp;_xlfn.MAXIFS($F$14:$F$1213,$A$14:$A$1213,$H18)),$AB$14:$AB$1213,0)),""))</f>
        <v/>
      </c>
      <c r="AM18" s="27">
        <f>IF(OR($H18="",COUNTIFS($A$14:$A$1213,$H18,$F$14:$F$1213,"&gt;=0")&lt;2,COUNTIFS($A$14:$A$1213,$H18,$F$14:$F$1213,_xlfn.MAXIFS($F$14:$F$1213,$A$14:$A$1213,$H18))&gt;1),"",IFERROR(INDEX($E$14:$E$1213,MATCH($H18&amp;"|"&amp;_xlfn.MAXIFS($F$14:$F$1213,$A$14:$A$1213,$H18,$F$14:$F$1213,"&lt;"&amp;_xlfn.MAXIFS($F$14:$F$1213,$A$14:$A$1213,$H18)),$AB$14:$AB$1213,0)),""))</f>
        <v/>
      </c>
      <c r="AN18" s="27">
        <f>IF(OR(NOT(ISNUMBER($AJ18)),NOT(ISNUMBER($AL18)),$AK18=0,$AM18=0),"",IF(OR((($AJ18+$AL18)/($AK18+$AM18))&lt;=0,(($AJ18+$AL18)/($AK18+$AM18))&gt;=1),"",($AJ18/$AK18-$AL18/$AM18)/SQRT((($AJ18+$AL18)/($AK18+$AM18))*(1-(($AJ18+$AL18)/($AK18+$AM18)))*(1/$AK18+1/$AM18))))</f>
        <v/>
      </c>
      <c r="AO18" s="27">
        <f>IF($A18="","",IF(AND(COUNTIFS($A$14:$A$1213,$A18,$F$14:$F$1213,"&gt;=0")=2,IFERROR(INDEX($M$14:$M$313,MATCH($A18,$H$14:$H$313,0)),"Yes")&lt;&gt;"Yes"),1,0))</f>
        <v/>
      </c>
    </row>
    <row r="19" ht="24" customHeight="1">
      <c r="A19" s="19" t="inlineStr">
        <is>
          <t>Savings rates</t>
        </is>
      </c>
      <c r="B19" s="20" t="inlineStr">
        <is>
          <t>Don't miss out — 4.5% AER on your savings ends Friday</t>
        </is>
      </c>
      <c r="C19" s="21">
        <f>IFERROR(AVERAGE(P19:T19),"")</f>
        <v/>
      </c>
      <c r="D19" s="29" t="n">
        <v>605</v>
      </c>
      <c r="E19" s="29" t="n">
        <v>21000</v>
      </c>
      <c r="F19" s="30">
        <f>IF(AND(ISNUMBER($D19),ISNUMBER($E19),$E19&gt;0,$D19&lt;=$E19),$D19/$E19,"")</f>
        <v/>
      </c>
      <c r="H19" s="19">
        <f>IFERROR(INDEX($A$14:$A$1213,MATCH(6,$AI$14:$AI$1213,0)),"")</f>
        <v/>
      </c>
      <c r="I19" s="24">
        <f>IF($H19="","",IF(COUNTIFS($A$14:$A$1213,$H19,$C$14:$C$1213,"&gt;=0")=0,"—",IFERROR(INDEX($B$14:$B$1213,MATCH($H19&amp;"|1",$Z$14:$Z$1213,0)),"(tied)")))</f>
        <v/>
      </c>
      <c r="J19" s="25">
        <f>IF($H19="","",IF(OR(COUNTIFS($A$14:$A$1213,$H19,$C$14:$C$1213,"&gt;=0")=0,COUNTIFS($A$14:$A$1213,$H19,$F$14:$F$1213,"&gt;=0")=0),"—",IF(OR(ISERROR(MATCH($H19&amp;"|1",$Z$14:$Z$1213,0)),ISERROR(MATCH($H19&amp;"|1",$AA$14:$AA$1213,0))),"Tie",IF(MATCH($H19&amp;"|1",$Z$14:$Z$1213,0)=MATCH($H19&amp;"|1",$AA$14:$AA$1213,0),"Hit","Miss"))))</f>
        <v/>
      </c>
      <c r="K19" s="24">
        <f>IF($H19="","",IF(COUNTIFS($A$14:$A$1213,$H19,$F$14:$F$1213,"&gt;=0")=0,"—",IFERROR(INDEX($B$14:$B$1213,MATCH($H19&amp;"|1",$AA$14:$AA$1213,0)),"(tied)")))</f>
        <v/>
      </c>
      <c r="L19" s="25">
        <f>IF($H19="","",IF((--(COUNTIFS($A$14:$A$1213,$H19,$P$14:$P$1213,"&gt;=0")&gt;0)+--(COUNTIFS($A$14:$A$1213,$H19,$Q$14:$Q$1213,"&gt;=0")&gt;0)+--(COUNTIFS($A$14:$A$1213,$H19,$R$14:$R$1213,"&gt;=0")&gt;0)+--(COUNTIFS($A$14:$A$1213,$H19,$S$14:$S$1213,"&gt;=0")&gt;0)+--(COUNTIFS($A$14:$A$1213,$H19,$T$14:$T$1213,"&gt;=0")&gt;0))&lt;2,"—",IF(SUMIFS($AH$14:$AH$1213,$A$14:$A$1213,$H19)=0,"Yes","No")))</f>
        <v/>
      </c>
      <c r="M19" s="25">
        <f>IF($H19="","",IF(COUNTIFS($A$14:$A$1213,$H19,$F$14:$F$1213,"&gt;=0")&lt;2,"—",IF(COUNTIFS($A$14:$A$1213,$H19,$F$14:$F$1213,_xlfn.MAXIFS($F$14:$F$1213,$A$14:$A$1213,$H19))&gt;1,"No",IF(NOT(ISNUMBER($AN19)),"—",IF((2*(1-NORMSDIST(ABS($AN19))))&lt;0.05,"Yes","No")))))</f>
        <v/>
      </c>
      <c r="N19" s="21">
        <f>IF($H19="","",IF(NOT(ISNUMBER($AN19)),"—",IF((2*(1-NORMSDIST(ABS($AN19))))&lt;0.001,"&lt;0.001",TEXT((2*(1-NORMSDIST(ABS($AN19)))),"0.000"))))</f>
        <v/>
      </c>
      <c r="P19" s="26" t="n">
        <v>28</v>
      </c>
      <c r="Q19" s="26" t="n">
        <v>28</v>
      </c>
      <c r="R19" s="26" t="n">
        <v>28</v>
      </c>
      <c r="S19" s="26" t="n">
        <v>28</v>
      </c>
      <c r="T19" s="26" t="n">
        <v>28</v>
      </c>
      <c r="V19" s="27">
        <f>IF(ISNUMBER($C19),COUNTIFS($A$14:$A$1213,$A19,$C$14:$C$1213,"&gt;"&amp;$C19)+(COUNTIFS($A$14:$A$1213,$A19,$C$14:$C$1213,"="&amp;$C19)+1)/2,"")</f>
        <v/>
      </c>
      <c r="W19" s="27">
        <f>IF(ISNUMBER($F19),COUNTIFS($A$14:$A$1213,$A19,$F$14:$F$1213,"&gt;"&amp;$F19)+(COUNTIFS($A$14:$A$1213,$A19,$F$14:$F$1213,"="&amp;$F19)+1)/2,"")</f>
        <v/>
      </c>
      <c r="X19" s="27">
        <f>IF(OR(NOT(ISNUMBER($V19)),$AO19=1),"",$V19-(COUNTIFS($A$14:$A$1213,$A19,$C$14:$C$1213,"&gt;=0")+1)/2)</f>
        <v/>
      </c>
      <c r="Y19" s="27">
        <f>IF(OR(NOT(ISNUMBER($W19)),$AO19=1),"",$W19-(COUNTIFS($A$14:$A$1213,$A19,$F$14:$F$1213,"&gt;=0")+1)/2)</f>
        <v/>
      </c>
      <c r="Z19" s="27">
        <f>IF(ISNUMBER($V19),$A19&amp;"|"&amp;$V19,"")</f>
        <v/>
      </c>
      <c r="AA19" s="27">
        <f>IF(ISNUMBER($W19),$A19&amp;"|"&amp;$W19,"")</f>
        <v/>
      </c>
      <c r="AB19" s="27">
        <f>IF(ISNUMBER($F19),$A19&amp;"|"&amp;$F19,"")</f>
        <v/>
      </c>
      <c r="AC19" s="27">
        <f>IF(ISNUMBER($P19),COUNTIFS($A$14:$A$1213,$A19,$P$14:$P$1213,"&gt;"&amp;$P19)+(COUNTIFS($A$14:$A$1213,$A19,$P$14:$P$1213,"="&amp;$P19)+1)/2,"")</f>
        <v/>
      </c>
      <c r="AD19" s="27">
        <f>IF(ISNUMBER($Q19),COUNTIFS($A$14:$A$1213,$A19,$Q$14:$Q$1213,"&gt;"&amp;$Q19)+(COUNTIFS($A$14:$A$1213,$A19,$Q$14:$Q$1213,"="&amp;$Q19)+1)/2,"")</f>
        <v/>
      </c>
      <c r="AE19" s="27">
        <f>IF(ISNUMBER($R19),COUNTIFS($A$14:$A$1213,$A19,$R$14:$R$1213,"&gt;"&amp;$R19)+(COUNTIFS($A$14:$A$1213,$A19,$R$14:$R$1213,"="&amp;$R19)+1)/2,"")</f>
        <v/>
      </c>
      <c r="AF19" s="27">
        <f>IF(ISNUMBER($S19),COUNTIFS($A$14:$A$1213,$A19,$S$14:$S$1213,"&gt;"&amp;$S19)+(COUNTIFS($A$14:$A$1213,$A19,$S$14:$S$1213,"="&amp;$S19)+1)/2,"")</f>
        <v/>
      </c>
      <c r="AG19" s="27">
        <f>IF(ISNUMBER($T19),COUNTIFS($A$14:$A$1213,$A19,$T$14:$T$1213,"&gt;"&amp;$T19)+(COUNTIFS($A$14:$A$1213,$A19,$T$14:$T$1213,"="&amp;$T19)+1)/2,"")</f>
        <v/>
      </c>
      <c r="AH19" s="27">
        <f>IF(COUNT($AC19:$AG19)&lt;2,"",IF(MAX($AC19:$AG19)=MIN($AC19:$AG19),0,1))</f>
        <v/>
      </c>
      <c r="AI19" s="27">
        <f>IF($A19="","",IF(COUNTIF($A$14:$A19,$A19)=1,COUNTIF($AI$13:AI18,"&gt;0")+1,""))</f>
        <v/>
      </c>
      <c r="AJ19" s="27">
        <f>IF(OR($H19="",COUNTIFS($A$14:$A$1213,$H19,$F$14:$F$1213,"&gt;=0")&lt;2,COUNTIFS($A$14:$A$1213,$H19,$F$14:$F$1213,_xlfn.MAXIFS($F$14:$F$1213,$A$14:$A$1213,$H19))&gt;1),"",IFERROR(INDEX($D$14:$D$1213,MATCH($H19&amp;"|"&amp;_xlfn.MAXIFS($F$14:$F$1213,$A$14:$A$1213,$H19),$AB$14:$AB$1213,0)),""))</f>
        <v/>
      </c>
      <c r="AK19" s="27">
        <f>IF(OR($H19="",COUNTIFS($A$14:$A$1213,$H19,$F$14:$F$1213,"&gt;=0")&lt;2,COUNTIFS($A$14:$A$1213,$H19,$F$14:$F$1213,_xlfn.MAXIFS($F$14:$F$1213,$A$14:$A$1213,$H19))&gt;1),"",IFERROR(INDEX($E$14:$E$1213,MATCH($H19&amp;"|"&amp;_xlfn.MAXIFS($F$14:$F$1213,$A$14:$A$1213,$H19),$AB$14:$AB$1213,0)),""))</f>
        <v/>
      </c>
      <c r="AL19" s="27">
        <f>IF(OR($H19="",COUNTIFS($A$14:$A$1213,$H19,$F$14:$F$1213,"&gt;=0")&lt;2,COUNTIFS($A$14:$A$1213,$H19,$F$14:$F$1213,_xlfn.MAXIFS($F$14:$F$1213,$A$14:$A$1213,$H19))&gt;1),"",IFERROR(INDEX($D$14:$D$1213,MATCH($H19&amp;"|"&amp;_xlfn.MAXIFS($F$14:$F$1213,$A$14:$A$1213,$H19,$F$14:$F$1213,"&lt;"&amp;_xlfn.MAXIFS($F$14:$F$1213,$A$14:$A$1213,$H19)),$AB$14:$AB$1213,0)),""))</f>
        <v/>
      </c>
      <c r="AM19" s="27">
        <f>IF(OR($H19="",COUNTIFS($A$14:$A$1213,$H19,$F$14:$F$1213,"&gt;=0")&lt;2,COUNTIFS($A$14:$A$1213,$H19,$F$14:$F$1213,_xlfn.MAXIFS($F$14:$F$1213,$A$14:$A$1213,$H19))&gt;1),"",IFERROR(INDEX($E$14:$E$1213,MATCH($H19&amp;"|"&amp;_xlfn.MAXIFS($F$14:$F$1213,$A$14:$A$1213,$H19,$F$14:$F$1213,"&lt;"&amp;_xlfn.MAXIFS($F$14:$F$1213,$A$14:$A$1213,$H19)),$AB$14:$AB$1213,0)),""))</f>
        <v/>
      </c>
      <c r="AN19" s="27">
        <f>IF(OR(NOT(ISNUMBER($AJ19)),NOT(ISNUMBER($AL19)),$AK19=0,$AM19=0),"",IF(OR((($AJ19+$AL19)/($AK19+$AM19))&lt;=0,(($AJ19+$AL19)/($AK19+$AM19))&gt;=1),"",($AJ19/$AK19-$AL19/$AM19)/SQRT((($AJ19+$AL19)/($AK19+$AM19))*(1-(($AJ19+$AL19)/($AK19+$AM19)))*(1/$AK19+1/$AM19))))</f>
        <v/>
      </c>
      <c r="AO19" s="27">
        <f>IF($A19="","",IF(AND(COUNTIFS($A$14:$A$1213,$A19,$F$14:$F$1213,"&gt;=0")=2,IFERROR(INDEX($M$14:$M$313,MATCH($A19,$H$14:$H$313,0)),"Yes")&lt;&gt;"Yes"),1,0))</f>
        <v/>
      </c>
    </row>
    <row r="20" ht="24" customHeight="1">
      <c r="A20" s="19" t="inlineStr">
        <is>
          <t>Savings rates</t>
        </is>
      </c>
      <c r="B20" s="20" t="inlineStr">
        <is>
          <t>Open a savings account in under 3 minutes</t>
        </is>
      </c>
      <c r="C20" s="21">
        <f>IFERROR(AVERAGE(P20:T20),"")</f>
        <v/>
      </c>
      <c r="D20" s="29" t="n">
        <v>512</v>
      </c>
      <c r="E20" s="29" t="n">
        <v>20400</v>
      </c>
      <c r="F20" s="30">
        <f>IF(AND(ISNUMBER($D20),ISNUMBER($E20),$E20&gt;0,$D20&lt;=$E20),$D20/$E20,"")</f>
        <v/>
      </c>
      <c r="H20" s="19">
        <f>IFERROR(INDEX($A$14:$A$1213,MATCH(7,$AI$14:$AI$1213,0)),"")</f>
        <v/>
      </c>
      <c r="I20" s="24">
        <f>IF($H20="","",IF(COUNTIFS($A$14:$A$1213,$H20,$C$14:$C$1213,"&gt;=0")=0,"—",IFERROR(INDEX($B$14:$B$1213,MATCH($H20&amp;"|1",$Z$14:$Z$1213,0)),"(tied)")))</f>
        <v/>
      </c>
      <c r="J20" s="25">
        <f>IF($H20="","",IF(OR(COUNTIFS($A$14:$A$1213,$H20,$C$14:$C$1213,"&gt;=0")=0,COUNTIFS($A$14:$A$1213,$H20,$F$14:$F$1213,"&gt;=0")=0),"—",IF(OR(ISERROR(MATCH($H20&amp;"|1",$Z$14:$Z$1213,0)),ISERROR(MATCH($H20&amp;"|1",$AA$14:$AA$1213,0))),"Tie",IF(MATCH($H20&amp;"|1",$Z$14:$Z$1213,0)=MATCH($H20&amp;"|1",$AA$14:$AA$1213,0),"Hit","Miss"))))</f>
        <v/>
      </c>
      <c r="K20" s="24">
        <f>IF($H20="","",IF(COUNTIFS($A$14:$A$1213,$H20,$F$14:$F$1213,"&gt;=0")=0,"—",IFERROR(INDEX($B$14:$B$1213,MATCH($H20&amp;"|1",$AA$14:$AA$1213,0)),"(tied)")))</f>
        <v/>
      </c>
      <c r="L20" s="25">
        <f>IF($H20="","",IF((--(COUNTIFS($A$14:$A$1213,$H20,$P$14:$P$1213,"&gt;=0")&gt;0)+--(COUNTIFS($A$14:$A$1213,$H20,$Q$14:$Q$1213,"&gt;=0")&gt;0)+--(COUNTIFS($A$14:$A$1213,$H20,$R$14:$R$1213,"&gt;=0")&gt;0)+--(COUNTIFS($A$14:$A$1213,$H20,$S$14:$S$1213,"&gt;=0")&gt;0)+--(COUNTIFS($A$14:$A$1213,$H20,$T$14:$T$1213,"&gt;=0")&gt;0))&lt;2,"—",IF(SUMIFS($AH$14:$AH$1213,$A$14:$A$1213,$H20)=0,"Yes","No")))</f>
        <v/>
      </c>
      <c r="M20" s="25">
        <f>IF($H20="","",IF(COUNTIFS($A$14:$A$1213,$H20,$F$14:$F$1213,"&gt;=0")&lt;2,"—",IF(COUNTIFS($A$14:$A$1213,$H20,$F$14:$F$1213,_xlfn.MAXIFS($F$14:$F$1213,$A$14:$A$1213,$H20))&gt;1,"No",IF(NOT(ISNUMBER($AN20)),"—",IF((2*(1-NORMSDIST(ABS($AN20))))&lt;0.05,"Yes","No")))))</f>
        <v/>
      </c>
      <c r="N20" s="21">
        <f>IF($H20="","",IF(NOT(ISNUMBER($AN20)),"—",IF((2*(1-NORMSDIST(ABS($AN20))))&lt;0.001,"&lt;0.001",TEXT((2*(1-NORMSDIST(ABS($AN20)))),"0.000"))))</f>
        <v/>
      </c>
      <c r="P20" s="26" t="n">
        <v>28</v>
      </c>
      <c r="Q20" s="26" t="n">
        <v>28</v>
      </c>
      <c r="R20" s="26" t="n">
        <v>28</v>
      </c>
      <c r="S20" s="26" t="n">
        <v>28</v>
      </c>
      <c r="T20" s="26" t="n">
        <v>28</v>
      </c>
      <c r="V20" s="27">
        <f>IF(ISNUMBER($C20),COUNTIFS($A$14:$A$1213,$A20,$C$14:$C$1213,"&gt;"&amp;$C20)+(COUNTIFS($A$14:$A$1213,$A20,$C$14:$C$1213,"="&amp;$C20)+1)/2,"")</f>
        <v/>
      </c>
      <c r="W20" s="27">
        <f>IF(ISNUMBER($F20),COUNTIFS($A$14:$A$1213,$A20,$F$14:$F$1213,"&gt;"&amp;$F20)+(COUNTIFS($A$14:$A$1213,$A20,$F$14:$F$1213,"="&amp;$F20)+1)/2,"")</f>
        <v/>
      </c>
      <c r="X20" s="27">
        <f>IF(OR(NOT(ISNUMBER($V20)),$AO20=1),"",$V20-(COUNTIFS($A$14:$A$1213,$A20,$C$14:$C$1213,"&gt;=0")+1)/2)</f>
        <v/>
      </c>
      <c r="Y20" s="27">
        <f>IF(OR(NOT(ISNUMBER($W20)),$AO20=1),"",$W20-(COUNTIFS($A$14:$A$1213,$A20,$F$14:$F$1213,"&gt;=0")+1)/2)</f>
        <v/>
      </c>
      <c r="Z20" s="27">
        <f>IF(ISNUMBER($V20),$A20&amp;"|"&amp;$V20,"")</f>
        <v/>
      </c>
      <c r="AA20" s="27">
        <f>IF(ISNUMBER($W20),$A20&amp;"|"&amp;$W20,"")</f>
        <v/>
      </c>
      <c r="AB20" s="27">
        <f>IF(ISNUMBER($F20),$A20&amp;"|"&amp;$F20,"")</f>
        <v/>
      </c>
      <c r="AC20" s="27">
        <f>IF(ISNUMBER($P20),COUNTIFS($A$14:$A$1213,$A20,$P$14:$P$1213,"&gt;"&amp;$P20)+(COUNTIFS($A$14:$A$1213,$A20,$P$14:$P$1213,"="&amp;$P20)+1)/2,"")</f>
        <v/>
      </c>
      <c r="AD20" s="27">
        <f>IF(ISNUMBER($Q20),COUNTIFS($A$14:$A$1213,$A20,$Q$14:$Q$1213,"&gt;"&amp;$Q20)+(COUNTIFS($A$14:$A$1213,$A20,$Q$14:$Q$1213,"="&amp;$Q20)+1)/2,"")</f>
        <v/>
      </c>
      <c r="AE20" s="27">
        <f>IF(ISNUMBER($R20),COUNTIFS($A$14:$A$1213,$A20,$R$14:$R$1213,"&gt;"&amp;$R20)+(COUNTIFS($A$14:$A$1213,$A20,$R$14:$R$1213,"="&amp;$R20)+1)/2,"")</f>
        <v/>
      </c>
      <c r="AF20" s="27">
        <f>IF(ISNUMBER($S20),COUNTIFS($A$14:$A$1213,$A20,$S$14:$S$1213,"&gt;"&amp;$S20)+(COUNTIFS($A$14:$A$1213,$A20,$S$14:$S$1213,"="&amp;$S20)+1)/2,"")</f>
        <v/>
      </c>
      <c r="AG20" s="27">
        <f>IF(ISNUMBER($T20),COUNTIFS($A$14:$A$1213,$A20,$T$14:$T$1213,"&gt;"&amp;$T20)+(COUNTIFS($A$14:$A$1213,$A20,$T$14:$T$1213,"="&amp;$T20)+1)/2,"")</f>
        <v/>
      </c>
      <c r="AH20" s="27">
        <f>IF(COUNT($AC20:$AG20)&lt;2,"",IF(MAX($AC20:$AG20)=MIN($AC20:$AG20),0,1))</f>
        <v/>
      </c>
      <c r="AI20" s="27">
        <f>IF($A20="","",IF(COUNTIF($A$14:$A20,$A20)=1,COUNTIF($AI$13:AI19,"&gt;0")+1,""))</f>
        <v/>
      </c>
      <c r="AJ20" s="27">
        <f>IF(OR($H20="",COUNTIFS($A$14:$A$1213,$H20,$F$14:$F$1213,"&gt;=0")&lt;2,COUNTIFS($A$14:$A$1213,$H20,$F$14:$F$1213,_xlfn.MAXIFS($F$14:$F$1213,$A$14:$A$1213,$H20))&gt;1),"",IFERROR(INDEX($D$14:$D$1213,MATCH($H20&amp;"|"&amp;_xlfn.MAXIFS($F$14:$F$1213,$A$14:$A$1213,$H20),$AB$14:$AB$1213,0)),""))</f>
        <v/>
      </c>
      <c r="AK20" s="27">
        <f>IF(OR($H20="",COUNTIFS($A$14:$A$1213,$H20,$F$14:$F$1213,"&gt;=0")&lt;2,COUNTIFS($A$14:$A$1213,$H20,$F$14:$F$1213,_xlfn.MAXIFS($F$14:$F$1213,$A$14:$A$1213,$H20))&gt;1),"",IFERROR(INDEX($E$14:$E$1213,MATCH($H20&amp;"|"&amp;_xlfn.MAXIFS($F$14:$F$1213,$A$14:$A$1213,$H20),$AB$14:$AB$1213,0)),""))</f>
        <v/>
      </c>
      <c r="AL20" s="27">
        <f>IF(OR($H20="",COUNTIFS($A$14:$A$1213,$H20,$F$14:$F$1213,"&gt;=0")&lt;2,COUNTIFS($A$14:$A$1213,$H20,$F$14:$F$1213,_xlfn.MAXIFS($F$14:$F$1213,$A$14:$A$1213,$H20))&gt;1),"",IFERROR(INDEX($D$14:$D$1213,MATCH($H20&amp;"|"&amp;_xlfn.MAXIFS($F$14:$F$1213,$A$14:$A$1213,$H20,$F$14:$F$1213,"&lt;"&amp;_xlfn.MAXIFS($F$14:$F$1213,$A$14:$A$1213,$H20)),$AB$14:$AB$1213,0)),""))</f>
        <v/>
      </c>
      <c r="AM20" s="27">
        <f>IF(OR($H20="",COUNTIFS($A$14:$A$1213,$H20,$F$14:$F$1213,"&gt;=0")&lt;2,COUNTIFS($A$14:$A$1213,$H20,$F$14:$F$1213,_xlfn.MAXIFS($F$14:$F$1213,$A$14:$A$1213,$H20))&gt;1),"",IFERROR(INDEX($E$14:$E$1213,MATCH($H20&amp;"|"&amp;_xlfn.MAXIFS($F$14:$F$1213,$A$14:$A$1213,$H20,$F$14:$F$1213,"&lt;"&amp;_xlfn.MAXIFS($F$14:$F$1213,$A$14:$A$1213,$H20)),$AB$14:$AB$1213,0)),""))</f>
        <v/>
      </c>
      <c r="AN20" s="27">
        <f>IF(OR(NOT(ISNUMBER($AJ20)),NOT(ISNUMBER($AL20)),$AK20=0,$AM20=0),"",IF(OR((($AJ20+$AL20)/($AK20+$AM20))&lt;=0,(($AJ20+$AL20)/($AK20+$AM20))&gt;=1),"",($AJ20/$AK20-$AL20/$AM20)/SQRT((($AJ20+$AL20)/($AK20+$AM20))*(1-(($AJ20+$AL20)/($AK20+$AM20)))*(1/$AK20+1/$AM20))))</f>
        <v/>
      </c>
      <c r="AO20" s="27">
        <f>IF($A20="","",IF(AND(COUNTIFS($A$14:$A$1213,$A20,$F$14:$F$1213,"&gt;=0")=2,IFERROR(INDEX($M$14:$M$313,MATCH($A20,$H$14:$H$313,0)),"Yes")&lt;&gt;"Yes"),1,0))</f>
        <v/>
      </c>
    </row>
    <row r="21" ht="24" customHeight="1">
      <c r="A21" s="19" t="inlineStr">
        <is>
          <t>Savings rates</t>
        </is>
      </c>
      <c r="B21" s="20" t="inlineStr">
        <is>
          <t>Ready to make your savings work harder?</t>
        </is>
      </c>
      <c r="C21" s="21">
        <f>IFERROR(AVERAGE(P21:T21),"")</f>
        <v/>
      </c>
      <c r="D21" s="29" t="n">
        <v>392</v>
      </c>
      <c r="E21" s="29" t="n">
        <v>20000</v>
      </c>
      <c r="F21" s="30">
        <f>IF(AND(ISNUMBER($D21),ISNUMBER($E21),$E21&gt;0,$D21&lt;=$E21),$D21/$E21,"")</f>
        <v/>
      </c>
      <c r="H21" s="19">
        <f>IFERROR(INDEX($A$14:$A$1213,MATCH(8,$AI$14:$AI$1213,0)),"")</f>
        <v/>
      </c>
      <c r="I21" s="24">
        <f>IF($H21="","",IF(COUNTIFS($A$14:$A$1213,$H21,$C$14:$C$1213,"&gt;=0")=0,"—",IFERROR(INDEX($B$14:$B$1213,MATCH($H21&amp;"|1",$Z$14:$Z$1213,0)),"(tied)")))</f>
        <v/>
      </c>
      <c r="J21" s="25">
        <f>IF($H21="","",IF(OR(COUNTIFS($A$14:$A$1213,$H21,$C$14:$C$1213,"&gt;=0")=0,COUNTIFS($A$14:$A$1213,$H21,$F$14:$F$1213,"&gt;=0")=0),"—",IF(OR(ISERROR(MATCH($H21&amp;"|1",$Z$14:$Z$1213,0)),ISERROR(MATCH($H21&amp;"|1",$AA$14:$AA$1213,0))),"Tie",IF(MATCH($H21&amp;"|1",$Z$14:$Z$1213,0)=MATCH($H21&amp;"|1",$AA$14:$AA$1213,0),"Hit","Miss"))))</f>
        <v/>
      </c>
      <c r="K21" s="24">
        <f>IF($H21="","",IF(COUNTIFS($A$14:$A$1213,$H21,$F$14:$F$1213,"&gt;=0")=0,"—",IFERROR(INDEX($B$14:$B$1213,MATCH($H21&amp;"|1",$AA$14:$AA$1213,0)),"(tied)")))</f>
        <v/>
      </c>
      <c r="L21" s="25">
        <f>IF($H21="","",IF((--(COUNTIFS($A$14:$A$1213,$H21,$P$14:$P$1213,"&gt;=0")&gt;0)+--(COUNTIFS($A$14:$A$1213,$H21,$Q$14:$Q$1213,"&gt;=0")&gt;0)+--(COUNTIFS($A$14:$A$1213,$H21,$R$14:$R$1213,"&gt;=0")&gt;0)+--(COUNTIFS($A$14:$A$1213,$H21,$S$14:$S$1213,"&gt;=0")&gt;0)+--(COUNTIFS($A$14:$A$1213,$H21,$T$14:$T$1213,"&gt;=0")&gt;0))&lt;2,"—",IF(SUMIFS($AH$14:$AH$1213,$A$14:$A$1213,$H21)=0,"Yes","No")))</f>
        <v/>
      </c>
      <c r="M21" s="25">
        <f>IF($H21="","",IF(COUNTIFS($A$14:$A$1213,$H21,$F$14:$F$1213,"&gt;=0")&lt;2,"—",IF(COUNTIFS($A$14:$A$1213,$H21,$F$14:$F$1213,_xlfn.MAXIFS($F$14:$F$1213,$A$14:$A$1213,$H21))&gt;1,"No",IF(NOT(ISNUMBER($AN21)),"—",IF((2*(1-NORMSDIST(ABS($AN21))))&lt;0.05,"Yes","No")))))</f>
        <v/>
      </c>
      <c r="N21" s="21">
        <f>IF($H21="","",IF(NOT(ISNUMBER($AN21)),"—",IF((2*(1-NORMSDIST(ABS($AN21))))&lt;0.001,"&lt;0.001",TEXT((2*(1-NORMSDIST(ABS($AN21)))),"0.000"))))</f>
        <v/>
      </c>
      <c r="P21" s="26" t="n">
        <v>16</v>
      </c>
      <c r="Q21" s="26" t="n">
        <v>16</v>
      </c>
      <c r="R21" s="26" t="n">
        <v>16</v>
      </c>
      <c r="S21" s="26" t="n">
        <v>16</v>
      </c>
      <c r="T21" s="26" t="n">
        <v>16</v>
      </c>
      <c r="V21" s="27">
        <f>IF(ISNUMBER($C21),COUNTIFS($A$14:$A$1213,$A21,$C$14:$C$1213,"&gt;"&amp;$C21)+(COUNTIFS($A$14:$A$1213,$A21,$C$14:$C$1213,"="&amp;$C21)+1)/2,"")</f>
        <v/>
      </c>
      <c r="W21" s="27">
        <f>IF(ISNUMBER($F21),COUNTIFS($A$14:$A$1213,$A21,$F$14:$F$1213,"&gt;"&amp;$F21)+(COUNTIFS($A$14:$A$1213,$A21,$F$14:$F$1213,"="&amp;$F21)+1)/2,"")</f>
        <v/>
      </c>
      <c r="X21" s="27">
        <f>IF(OR(NOT(ISNUMBER($V21)),$AO21=1),"",$V21-(COUNTIFS($A$14:$A$1213,$A21,$C$14:$C$1213,"&gt;=0")+1)/2)</f>
        <v/>
      </c>
      <c r="Y21" s="27">
        <f>IF(OR(NOT(ISNUMBER($W21)),$AO21=1),"",$W21-(COUNTIFS($A$14:$A$1213,$A21,$F$14:$F$1213,"&gt;=0")+1)/2)</f>
        <v/>
      </c>
      <c r="Z21" s="27">
        <f>IF(ISNUMBER($V21),$A21&amp;"|"&amp;$V21,"")</f>
        <v/>
      </c>
      <c r="AA21" s="27">
        <f>IF(ISNUMBER($W21),$A21&amp;"|"&amp;$W21,"")</f>
        <v/>
      </c>
      <c r="AB21" s="27">
        <f>IF(ISNUMBER($F21),$A21&amp;"|"&amp;$F21,"")</f>
        <v/>
      </c>
      <c r="AC21" s="27">
        <f>IF(ISNUMBER($P21),COUNTIFS($A$14:$A$1213,$A21,$P$14:$P$1213,"&gt;"&amp;$P21)+(COUNTIFS($A$14:$A$1213,$A21,$P$14:$P$1213,"="&amp;$P21)+1)/2,"")</f>
        <v/>
      </c>
      <c r="AD21" s="27">
        <f>IF(ISNUMBER($Q21),COUNTIFS($A$14:$A$1213,$A21,$Q$14:$Q$1213,"&gt;"&amp;$Q21)+(COUNTIFS($A$14:$A$1213,$A21,$Q$14:$Q$1213,"="&amp;$Q21)+1)/2,"")</f>
        <v/>
      </c>
      <c r="AE21" s="27">
        <f>IF(ISNUMBER($R21),COUNTIFS($A$14:$A$1213,$A21,$R$14:$R$1213,"&gt;"&amp;$R21)+(COUNTIFS($A$14:$A$1213,$A21,$R$14:$R$1213,"="&amp;$R21)+1)/2,"")</f>
        <v/>
      </c>
      <c r="AF21" s="27">
        <f>IF(ISNUMBER($S21),COUNTIFS($A$14:$A$1213,$A21,$S$14:$S$1213,"&gt;"&amp;$S21)+(COUNTIFS($A$14:$A$1213,$A21,$S$14:$S$1213,"="&amp;$S21)+1)/2,"")</f>
        <v/>
      </c>
      <c r="AG21" s="27">
        <f>IF(ISNUMBER($T21),COUNTIFS($A$14:$A$1213,$A21,$T$14:$T$1213,"&gt;"&amp;$T21)+(COUNTIFS($A$14:$A$1213,$A21,$T$14:$T$1213,"="&amp;$T21)+1)/2,"")</f>
        <v/>
      </c>
      <c r="AH21" s="27">
        <f>IF(COUNT($AC21:$AG21)&lt;2,"",IF(MAX($AC21:$AG21)=MIN($AC21:$AG21),0,1))</f>
        <v/>
      </c>
      <c r="AI21" s="27">
        <f>IF($A21="","",IF(COUNTIF($A$14:$A21,$A21)=1,COUNTIF($AI$13:AI20,"&gt;0")+1,""))</f>
        <v/>
      </c>
      <c r="AJ21" s="27">
        <f>IF(OR($H21="",COUNTIFS($A$14:$A$1213,$H21,$F$14:$F$1213,"&gt;=0")&lt;2,COUNTIFS($A$14:$A$1213,$H21,$F$14:$F$1213,_xlfn.MAXIFS($F$14:$F$1213,$A$14:$A$1213,$H21))&gt;1),"",IFERROR(INDEX($D$14:$D$1213,MATCH($H21&amp;"|"&amp;_xlfn.MAXIFS($F$14:$F$1213,$A$14:$A$1213,$H21),$AB$14:$AB$1213,0)),""))</f>
        <v/>
      </c>
      <c r="AK21" s="27">
        <f>IF(OR($H21="",COUNTIFS($A$14:$A$1213,$H21,$F$14:$F$1213,"&gt;=0")&lt;2,COUNTIFS($A$14:$A$1213,$H21,$F$14:$F$1213,_xlfn.MAXIFS($F$14:$F$1213,$A$14:$A$1213,$H21))&gt;1),"",IFERROR(INDEX($E$14:$E$1213,MATCH($H21&amp;"|"&amp;_xlfn.MAXIFS($F$14:$F$1213,$A$14:$A$1213,$H21),$AB$14:$AB$1213,0)),""))</f>
        <v/>
      </c>
      <c r="AL21" s="27">
        <f>IF(OR($H21="",COUNTIFS($A$14:$A$1213,$H21,$F$14:$F$1213,"&gt;=0")&lt;2,COUNTIFS($A$14:$A$1213,$H21,$F$14:$F$1213,_xlfn.MAXIFS($F$14:$F$1213,$A$14:$A$1213,$H21))&gt;1),"",IFERROR(INDEX($D$14:$D$1213,MATCH($H21&amp;"|"&amp;_xlfn.MAXIFS($F$14:$F$1213,$A$14:$A$1213,$H21,$F$14:$F$1213,"&lt;"&amp;_xlfn.MAXIFS($F$14:$F$1213,$A$14:$A$1213,$H21)),$AB$14:$AB$1213,0)),""))</f>
        <v/>
      </c>
      <c r="AM21" s="27">
        <f>IF(OR($H21="",COUNTIFS($A$14:$A$1213,$H21,$F$14:$F$1213,"&gt;=0")&lt;2,COUNTIFS($A$14:$A$1213,$H21,$F$14:$F$1213,_xlfn.MAXIFS($F$14:$F$1213,$A$14:$A$1213,$H21))&gt;1),"",IFERROR(INDEX($E$14:$E$1213,MATCH($H21&amp;"|"&amp;_xlfn.MAXIFS($F$14:$F$1213,$A$14:$A$1213,$H21,$F$14:$F$1213,"&lt;"&amp;_xlfn.MAXIFS($F$14:$F$1213,$A$14:$A$1213,$H21)),$AB$14:$AB$1213,0)),""))</f>
        <v/>
      </c>
      <c r="AN21" s="27">
        <f>IF(OR(NOT(ISNUMBER($AJ21)),NOT(ISNUMBER($AL21)),$AK21=0,$AM21=0),"",IF(OR((($AJ21+$AL21)/($AK21+$AM21))&lt;=0,(($AJ21+$AL21)/($AK21+$AM21))&gt;=1),"",($AJ21/$AK21-$AL21/$AM21)/SQRT((($AJ21+$AL21)/($AK21+$AM21))*(1-(($AJ21+$AL21)/($AK21+$AM21)))*(1/$AK21+1/$AM21))))</f>
        <v/>
      </c>
      <c r="AO21" s="27">
        <f>IF($A21="","",IF(AND(COUNTIFS($A$14:$A$1213,$A21,$F$14:$F$1213,"&gt;=0")=2,IFERROR(INDEX($M$14:$M$313,MATCH($A21,$H$14:$H$313,0)),"Yes")&lt;&gt;"Yes"),1,0))</f>
        <v/>
      </c>
    </row>
    <row r="22" ht="24" customHeight="1">
      <c r="A22" s="19" t="inlineStr">
        <is>
          <t>Money tools &amp; security</t>
        </is>
      </c>
      <c r="B22" s="20" t="inlineStr">
        <is>
          <t>Check your credit score for free, in seconds</t>
        </is>
      </c>
      <c r="C22" s="21">
        <f>IFERROR(AVERAGE(P22:T22),"")</f>
        <v/>
      </c>
      <c r="D22" s="29" t="n">
        <v>804</v>
      </c>
      <c r="E22" s="29" t="n">
        <v>28000</v>
      </c>
      <c r="F22" s="30">
        <f>IF(AND(ISNUMBER($D22),ISNUMBER($E22),$E22&gt;0,$D22&lt;=$E22),$D22/$E22,"")</f>
        <v/>
      </c>
      <c r="H22" s="19">
        <f>IFERROR(INDEX($A$14:$A$1213,MATCH(9,$AI$14:$AI$1213,0)),"")</f>
        <v/>
      </c>
      <c r="I22" s="24">
        <f>IF($H22="","",IF(COUNTIFS($A$14:$A$1213,$H22,$C$14:$C$1213,"&gt;=0")=0,"—",IFERROR(INDEX($B$14:$B$1213,MATCH($H22&amp;"|1",$Z$14:$Z$1213,0)),"(tied)")))</f>
        <v/>
      </c>
      <c r="J22" s="25">
        <f>IF($H22="","",IF(OR(COUNTIFS($A$14:$A$1213,$H22,$C$14:$C$1213,"&gt;=0")=0,COUNTIFS($A$14:$A$1213,$H22,$F$14:$F$1213,"&gt;=0")=0),"—",IF(OR(ISERROR(MATCH($H22&amp;"|1",$Z$14:$Z$1213,0)),ISERROR(MATCH($H22&amp;"|1",$AA$14:$AA$1213,0))),"Tie",IF(MATCH($H22&amp;"|1",$Z$14:$Z$1213,0)=MATCH($H22&amp;"|1",$AA$14:$AA$1213,0),"Hit","Miss"))))</f>
        <v/>
      </c>
      <c r="K22" s="24">
        <f>IF($H22="","",IF(COUNTIFS($A$14:$A$1213,$H22,$F$14:$F$1213,"&gt;=0")=0,"—",IFERROR(INDEX($B$14:$B$1213,MATCH($H22&amp;"|1",$AA$14:$AA$1213,0)),"(tied)")))</f>
        <v/>
      </c>
      <c r="L22" s="25">
        <f>IF($H22="","",IF((--(COUNTIFS($A$14:$A$1213,$H22,$P$14:$P$1213,"&gt;=0")&gt;0)+--(COUNTIFS($A$14:$A$1213,$H22,$Q$14:$Q$1213,"&gt;=0")&gt;0)+--(COUNTIFS($A$14:$A$1213,$H22,$R$14:$R$1213,"&gt;=0")&gt;0)+--(COUNTIFS($A$14:$A$1213,$H22,$S$14:$S$1213,"&gt;=0")&gt;0)+--(COUNTIFS($A$14:$A$1213,$H22,$T$14:$T$1213,"&gt;=0")&gt;0))&lt;2,"—",IF(SUMIFS($AH$14:$AH$1213,$A$14:$A$1213,$H22)=0,"Yes","No")))</f>
        <v/>
      </c>
      <c r="M22" s="25">
        <f>IF($H22="","",IF(COUNTIFS($A$14:$A$1213,$H22,$F$14:$F$1213,"&gt;=0")&lt;2,"—",IF(COUNTIFS($A$14:$A$1213,$H22,$F$14:$F$1213,_xlfn.MAXIFS($F$14:$F$1213,$A$14:$A$1213,$H22))&gt;1,"No",IF(NOT(ISNUMBER($AN22)),"—",IF((2*(1-NORMSDIST(ABS($AN22))))&lt;0.05,"Yes","No")))))</f>
        <v/>
      </c>
      <c r="N22" s="21">
        <f>IF($H22="","",IF(NOT(ISNUMBER($AN22)),"—",IF((2*(1-NORMSDIST(ABS($AN22))))&lt;0.001,"&lt;0.001",TEXT((2*(1-NORMSDIST(ABS($AN22)))),"0.000"))))</f>
        <v/>
      </c>
      <c r="P22" s="26" t="n">
        <v>37</v>
      </c>
      <c r="Q22" s="26" t="n">
        <v>37</v>
      </c>
      <c r="R22" s="26" t="n">
        <v>37</v>
      </c>
      <c r="S22" s="26" t="n">
        <v>37</v>
      </c>
      <c r="T22" s="26" t="n">
        <v>37</v>
      </c>
      <c r="V22" s="27">
        <f>IF(ISNUMBER($C22),COUNTIFS($A$14:$A$1213,$A22,$C$14:$C$1213,"&gt;"&amp;$C22)+(COUNTIFS($A$14:$A$1213,$A22,$C$14:$C$1213,"="&amp;$C22)+1)/2,"")</f>
        <v/>
      </c>
      <c r="W22" s="27">
        <f>IF(ISNUMBER($F22),COUNTIFS($A$14:$A$1213,$A22,$F$14:$F$1213,"&gt;"&amp;$F22)+(COUNTIFS($A$14:$A$1213,$A22,$F$14:$F$1213,"="&amp;$F22)+1)/2,"")</f>
        <v/>
      </c>
      <c r="X22" s="27">
        <f>IF(OR(NOT(ISNUMBER($V22)),$AO22=1),"",$V22-(COUNTIFS($A$14:$A$1213,$A22,$C$14:$C$1213,"&gt;=0")+1)/2)</f>
        <v/>
      </c>
      <c r="Y22" s="27">
        <f>IF(OR(NOT(ISNUMBER($W22)),$AO22=1),"",$W22-(COUNTIFS($A$14:$A$1213,$A22,$F$14:$F$1213,"&gt;=0")+1)/2)</f>
        <v/>
      </c>
      <c r="Z22" s="27">
        <f>IF(ISNUMBER($V22),$A22&amp;"|"&amp;$V22,"")</f>
        <v/>
      </c>
      <c r="AA22" s="27">
        <f>IF(ISNUMBER($W22),$A22&amp;"|"&amp;$W22,"")</f>
        <v/>
      </c>
      <c r="AB22" s="27">
        <f>IF(ISNUMBER($F22),$A22&amp;"|"&amp;$F22,"")</f>
        <v/>
      </c>
      <c r="AC22" s="27">
        <f>IF(ISNUMBER($P22),COUNTIFS($A$14:$A$1213,$A22,$P$14:$P$1213,"&gt;"&amp;$P22)+(COUNTIFS($A$14:$A$1213,$A22,$P$14:$P$1213,"="&amp;$P22)+1)/2,"")</f>
        <v/>
      </c>
      <c r="AD22" s="27">
        <f>IF(ISNUMBER($Q22),COUNTIFS($A$14:$A$1213,$A22,$Q$14:$Q$1213,"&gt;"&amp;$Q22)+(COUNTIFS($A$14:$A$1213,$A22,$Q$14:$Q$1213,"="&amp;$Q22)+1)/2,"")</f>
        <v/>
      </c>
      <c r="AE22" s="27">
        <f>IF(ISNUMBER($R22),COUNTIFS($A$14:$A$1213,$A22,$R$14:$R$1213,"&gt;"&amp;$R22)+(COUNTIFS($A$14:$A$1213,$A22,$R$14:$R$1213,"="&amp;$R22)+1)/2,"")</f>
        <v/>
      </c>
      <c r="AF22" s="27">
        <f>IF(ISNUMBER($S22),COUNTIFS($A$14:$A$1213,$A22,$S$14:$S$1213,"&gt;"&amp;$S22)+(COUNTIFS($A$14:$A$1213,$A22,$S$14:$S$1213,"="&amp;$S22)+1)/2,"")</f>
        <v/>
      </c>
      <c r="AG22" s="27">
        <f>IF(ISNUMBER($T22),COUNTIFS($A$14:$A$1213,$A22,$T$14:$T$1213,"&gt;"&amp;$T22)+(COUNTIFS($A$14:$A$1213,$A22,$T$14:$T$1213,"="&amp;$T22)+1)/2,"")</f>
        <v/>
      </c>
      <c r="AH22" s="27">
        <f>IF(COUNT($AC22:$AG22)&lt;2,"",IF(MAX($AC22:$AG22)=MIN($AC22:$AG22),0,1))</f>
        <v/>
      </c>
      <c r="AI22" s="27">
        <f>IF($A22="","",IF(COUNTIF($A$14:$A22,$A22)=1,COUNTIF($AI$13:AI21,"&gt;0")+1,""))</f>
        <v/>
      </c>
      <c r="AJ22" s="27">
        <f>IF(OR($H22="",COUNTIFS($A$14:$A$1213,$H22,$F$14:$F$1213,"&gt;=0")&lt;2,COUNTIFS($A$14:$A$1213,$H22,$F$14:$F$1213,_xlfn.MAXIFS($F$14:$F$1213,$A$14:$A$1213,$H22))&gt;1),"",IFERROR(INDEX($D$14:$D$1213,MATCH($H22&amp;"|"&amp;_xlfn.MAXIFS($F$14:$F$1213,$A$14:$A$1213,$H22),$AB$14:$AB$1213,0)),""))</f>
        <v/>
      </c>
      <c r="AK22" s="27">
        <f>IF(OR($H22="",COUNTIFS($A$14:$A$1213,$H22,$F$14:$F$1213,"&gt;=0")&lt;2,COUNTIFS($A$14:$A$1213,$H22,$F$14:$F$1213,_xlfn.MAXIFS($F$14:$F$1213,$A$14:$A$1213,$H22))&gt;1),"",IFERROR(INDEX($E$14:$E$1213,MATCH($H22&amp;"|"&amp;_xlfn.MAXIFS($F$14:$F$1213,$A$14:$A$1213,$H22),$AB$14:$AB$1213,0)),""))</f>
        <v/>
      </c>
      <c r="AL22" s="27">
        <f>IF(OR($H22="",COUNTIFS($A$14:$A$1213,$H22,$F$14:$F$1213,"&gt;=0")&lt;2,COUNTIFS($A$14:$A$1213,$H22,$F$14:$F$1213,_xlfn.MAXIFS($F$14:$F$1213,$A$14:$A$1213,$H22))&gt;1),"",IFERROR(INDEX($D$14:$D$1213,MATCH($H22&amp;"|"&amp;_xlfn.MAXIFS($F$14:$F$1213,$A$14:$A$1213,$H22,$F$14:$F$1213,"&lt;"&amp;_xlfn.MAXIFS($F$14:$F$1213,$A$14:$A$1213,$H22)),$AB$14:$AB$1213,0)),""))</f>
        <v/>
      </c>
      <c r="AM22" s="27">
        <f>IF(OR($H22="",COUNTIFS($A$14:$A$1213,$H22,$F$14:$F$1213,"&gt;=0")&lt;2,COUNTIFS($A$14:$A$1213,$H22,$F$14:$F$1213,_xlfn.MAXIFS($F$14:$F$1213,$A$14:$A$1213,$H22))&gt;1),"",IFERROR(INDEX($E$14:$E$1213,MATCH($H22&amp;"|"&amp;_xlfn.MAXIFS($F$14:$F$1213,$A$14:$A$1213,$H22,$F$14:$F$1213,"&lt;"&amp;_xlfn.MAXIFS($F$14:$F$1213,$A$14:$A$1213,$H22)),$AB$14:$AB$1213,0)),""))</f>
        <v/>
      </c>
      <c r="AN22" s="27">
        <f>IF(OR(NOT(ISNUMBER($AJ22)),NOT(ISNUMBER($AL22)),$AK22=0,$AM22=0),"",IF(OR((($AJ22+$AL22)/($AK22+$AM22))&lt;=0,(($AJ22+$AL22)/($AK22+$AM22))&gt;=1),"",($AJ22/$AK22-$AL22/$AM22)/SQRT((($AJ22+$AL22)/($AK22+$AM22))*(1-(($AJ22+$AL22)/($AK22+$AM22)))*(1/$AK22+1/$AM22))))</f>
        <v/>
      </c>
      <c r="AO22" s="27">
        <f>IF($A22="","",IF(AND(COUNTIFS($A$14:$A$1213,$A22,$F$14:$F$1213,"&gt;=0")=2,IFERROR(INDEX($M$14:$M$313,MATCH($A22,$H$14:$H$313,0)),"Yes")&lt;&gt;"Yes"),1,0))</f>
        <v/>
      </c>
    </row>
    <row r="23" ht="24" customHeight="1">
      <c r="A23" s="19" t="inlineStr">
        <is>
          <t>Money tools &amp; security</t>
        </is>
      </c>
      <c r="B23" s="20" t="inlineStr">
        <is>
          <t>We've made it easier to track your spending</t>
        </is>
      </c>
      <c r="C23" s="21">
        <f>IFERROR(AVERAGE(P23:T23),"")</f>
        <v/>
      </c>
      <c r="D23" s="29" t="n">
        <v>1001</v>
      </c>
      <c r="E23" s="29" t="n">
        <v>29000</v>
      </c>
      <c r="F23" s="30">
        <f>IF(AND(ISNUMBER($D23),ISNUMBER($E23),$E23&gt;0,$D23&lt;=$E23),$D23/$E23,"")</f>
        <v/>
      </c>
      <c r="H23" s="19">
        <f>IFERROR(INDEX($A$14:$A$1213,MATCH(10,$AI$14:$AI$1213,0)),"")</f>
        <v/>
      </c>
      <c r="I23" s="24">
        <f>IF($H23="","",IF(COUNTIFS($A$14:$A$1213,$H23,$C$14:$C$1213,"&gt;=0")=0,"—",IFERROR(INDEX($B$14:$B$1213,MATCH($H23&amp;"|1",$Z$14:$Z$1213,0)),"(tied)")))</f>
        <v/>
      </c>
      <c r="J23" s="25">
        <f>IF($H23="","",IF(OR(COUNTIFS($A$14:$A$1213,$H23,$C$14:$C$1213,"&gt;=0")=0,COUNTIFS($A$14:$A$1213,$H23,$F$14:$F$1213,"&gt;=0")=0),"—",IF(OR(ISERROR(MATCH($H23&amp;"|1",$Z$14:$Z$1213,0)),ISERROR(MATCH($H23&amp;"|1",$AA$14:$AA$1213,0))),"Tie",IF(MATCH($H23&amp;"|1",$Z$14:$Z$1213,0)=MATCH($H23&amp;"|1",$AA$14:$AA$1213,0),"Hit","Miss"))))</f>
        <v/>
      </c>
      <c r="K23" s="24">
        <f>IF($H23="","",IF(COUNTIFS($A$14:$A$1213,$H23,$F$14:$F$1213,"&gt;=0")=0,"—",IFERROR(INDEX($B$14:$B$1213,MATCH($H23&amp;"|1",$AA$14:$AA$1213,0)),"(tied)")))</f>
        <v/>
      </c>
      <c r="L23" s="25">
        <f>IF($H23="","",IF((--(COUNTIFS($A$14:$A$1213,$H23,$P$14:$P$1213,"&gt;=0")&gt;0)+--(COUNTIFS($A$14:$A$1213,$H23,$Q$14:$Q$1213,"&gt;=0")&gt;0)+--(COUNTIFS($A$14:$A$1213,$H23,$R$14:$R$1213,"&gt;=0")&gt;0)+--(COUNTIFS($A$14:$A$1213,$H23,$S$14:$S$1213,"&gt;=0")&gt;0)+--(COUNTIFS($A$14:$A$1213,$H23,$T$14:$T$1213,"&gt;=0")&gt;0))&lt;2,"—",IF(SUMIFS($AH$14:$AH$1213,$A$14:$A$1213,$H23)=0,"Yes","No")))</f>
        <v/>
      </c>
      <c r="M23" s="25">
        <f>IF($H23="","",IF(COUNTIFS($A$14:$A$1213,$H23,$F$14:$F$1213,"&gt;=0")&lt;2,"—",IF(COUNTIFS($A$14:$A$1213,$H23,$F$14:$F$1213,_xlfn.MAXIFS($F$14:$F$1213,$A$14:$A$1213,$H23))&gt;1,"No",IF(NOT(ISNUMBER($AN23)),"—",IF((2*(1-NORMSDIST(ABS($AN23))))&lt;0.05,"Yes","No")))))</f>
        <v/>
      </c>
      <c r="N23" s="21">
        <f>IF($H23="","",IF(NOT(ISNUMBER($AN23)),"—",IF((2*(1-NORMSDIST(ABS($AN23))))&lt;0.001,"&lt;0.001",TEXT((2*(1-NORMSDIST(ABS($AN23)))),"0.000"))))</f>
        <v/>
      </c>
      <c r="P23" s="26" t="n">
        <v>32</v>
      </c>
      <c r="Q23" s="26" t="n">
        <v>32</v>
      </c>
      <c r="R23" s="26" t="n">
        <v>32</v>
      </c>
      <c r="S23" s="26" t="n">
        <v>32</v>
      </c>
      <c r="T23" s="26" t="n">
        <v>32</v>
      </c>
      <c r="V23" s="27">
        <f>IF(ISNUMBER($C23),COUNTIFS($A$14:$A$1213,$A23,$C$14:$C$1213,"&gt;"&amp;$C23)+(COUNTIFS($A$14:$A$1213,$A23,$C$14:$C$1213,"="&amp;$C23)+1)/2,"")</f>
        <v/>
      </c>
      <c r="W23" s="27">
        <f>IF(ISNUMBER($F23),COUNTIFS($A$14:$A$1213,$A23,$F$14:$F$1213,"&gt;"&amp;$F23)+(COUNTIFS($A$14:$A$1213,$A23,$F$14:$F$1213,"="&amp;$F23)+1)/2,"")</f>
        <v/>
      </c>
      <c r="X23" s="27">
        <f>IF(OR(NOT(ISNUMBER($V23)),$AO23=1),"",$V23-(COUNTIFS($A$14:$A$1213,$A23,$C$14:$C$1213,"&gt;=0")+1)/2)</f>
        <v/>
      </c>
      <c r="Y23" s="27">
        <f>IF(OR(NOT(ISNUMBER($W23)),$AO23=1),"",$W23-(COUNTIFS($A$14:$A$1213,$A23,$F$14:$F$1213,"&gt;=0")+1)/2)</f>
        <v/>
      </c>
      <c r="Z23" s="27">
        <f>IF(ISNUMBER($V23),$A23&amp;"|"&amp;$V23,"")</f>
        <v/>
      </c>
      <c r="AA23" s="27">
        <f>IF(ISNUMBER($W23),$A23&amp;"|"&amp;$W23,"")</f>
        <v/>
      </c>
      <c r="AB23" s="27">
        <f>IF(ISNUMBER($F23),$A23&amp;"|"&amp;$F23,"")</f>
        <v/>
      </c>
      <c r="AC23" s="27">
        <f>IF(ISNUMBER($P23),COUNTIFS($A$14:$A$1213,$A23,$P$14:$P$1213,"&gt;"&amp;$P23)+(COUNTIFS($A$14:$A$1213,$A23,$P$14:$P$1213,"="&amp;$P23)+1)/2,"")</f>
        <v/>
      </c>
      <c r="AD23" s="27">
        <f>IF(ISNUMBER($Q23),COUNTIFS($A$14:$A$1213,$A23,$Q$14:$Q$1213,"&gt;"&amp;$Q23)+(COUNTIFS($A$14:$A$1213,$A23,$Q$14:$Q$1213,"="&amp;$Q23)+1)/2,"")</f>
        <v/>
      </c>
      <c r="AE23" s="27">
        <f>IF(ISNUMBER($R23),COUNTIFS($A$14:$A$1213,$A23,$R$14:$R$1213,"&gt;"&amp;$R23)+(COUNTIFS($A$14:$A$1213,$A23,$R$14:$R$1213,"="&amp;$R23)+1)/2,"")</f>
        <v/>
      </c>
      <c r="AF23" s="27">
        <f>IF(ISNUMBER($S23),COUNTIFS($A$14:$A$1213,$A23,$S$14:$S$1213,"&gt;"&amp;$S23)+(COUNTIFS($A$14:$A$1213,$A23,$S$14:$S$1213,"="&amp;$S23)+1)/2,"")</f>
        <v/>
      </c>
      <c r="AG23" s="27">
        <f>IF(ISNUMBER($T23),COUNTIFS($A$14:$A$1213,$A23,$T$14:$T$1213,"&gt;"&amp;$T23)+(COUNTIFS($A$14:$A$1213,$A23,$T$14:$T$1213,"="&amp;$T23)+1)/2,"")</f>
        <v/>
      </c>
      <c r="AH23" s="27">
        <f>IF(COUNT($AC23:$AG23)&lt;2,"",IF(MAX($AC23:$AG23)=MIN($AC23:$AG23),0,1))</f>
        <v/>
      </c>
      <c r="AI23" s="27">
        <f>IF($A23="","",IF(COUNTIF($A$14:$A23,$A23)=1,COUNTIF($AI$13:AI22,"&gt;0")+1,""))</f>
        <v/>
      </c>
      <c r="AJ23" s="27">
        <f>IF(OR($H23="",COUNTIFS($A$14:$A$1213,$H23,$F$14:$F$1213,"&gt;=0")&lt;2,COUNTIFS($A$14:$A$1213,$H23,$F$14:$F$1213,_xlfn.MAXIFS($F$14:$F$1213,$A$14:$A$1213,$H23))&gt;1),"",IFERROR(INDEX($D$14:$D$1213,MATCH($H23&amp;"|"&amp;_xlfn.MAXIFS($F$14:$F$1213,$A$14:$A$1213,$H23),$AB$14:$AB$1213,0)),""))</f>
        <v/>
      </c>
      <c r="AK23" s="27">
        <f>IF(OR($H23="",COUNTIFS($A$14:$A$1213,$H23,$F$14:$F$1213,"&gt;=0")&lt;2,COUNTIFS($A$14:$A$1213,$H23,$F$14:$F$1213,_xlfn.MAXIFS($F$14:$F$1213,$A$14:$A$1213,$H23))&gt;1),"",IFERROR(INDEX($E$14:$E$1213,MATCH($H23&amp;"|"&amp;_xlfn.MAXIFS($F$14:$F$1213,$A$14:$A$1213,$H23),$AB$14:$AB$1213,0)),""))</f>
        <v/>
      </c>
      <c r="AL23" s="27">
        <f>IF(OR($H23="",COUNTIFS($A$14:$A$1213,$H23,$F$14:$F$1213,"&gt;=0")&lt;2,COUNTIFS($A$14:$A$1213,$H23,$F$14:$F$1213,_xlfn.MAXIFS($F$14:$F$1213,$A$14:$A$1213,$H23))&gt;1),"",IFERROR(INDEX($D$14:$D$1213,MATCH($H23&amp;"|"&amp;_xlfn.MAXIFS($F$14:$F$1213,$A$14:$A$1213,$H23,$F$14:$F$1213,"&lt;"&amp;_xlfn.MAXIFS($F$14:$F$1213,$A$14:$A$1213,$H23)),$AB$14:$AB$1213,0)),""))</f>
        <v/>
      </c>
      <c r="AM23" s="27">
        <f>IF(OR($H23="",COUNTIFS($A$14:$A$1213,$H23,$F$14:$F$1213,"&gt;=0")&lt;2,COUNTIFS($A$14:$A$1213,$H23,$F$14:$F$1213,_xlfn.MAXIFS($F$14:$F$1213,$A$14:$A$1213,$H23))&gt;1),"",IFERROR(INDEX($E$14:$E$1213,MATCH($H23&amp;"|"&amp;_xlfn.MAXIFS($F$14:$F$1213,$A$14:$A$1213,$H23,$F$14:$F$1213,"&lt;"&amp;_xlfn.MAXIFS($F$14:$F$1213,$A$14:$A$1213,$H23)),$AB$14:$AB$1213,0)),""))</f>
        <v/>
      </c>
      <c r="AN23" s="27">
        <f>IF(OR(NOT(ISNUMBER($AJ23)),NOT(ISNUMBER($AL23)),$AK23=0,$AM23=0),"",IF(OR((($AJ23+$AL23)/($AK23+$AM23))&lt;=0,(($AJ23+$AL23)/($AK23+$AM23))&gt;=1),"",($AJ23/$AK23-$AL23/$AM23)/SQRT((($AJ23+$AL23)/($AK23+$AM23))*(1-(($AJ23+$AL23)/($AK23+$AM23)))*(1/$AK23+1/$AM23))))</f>
        <v/>
      </c>
      <c r="AO23" s="27">
        <f>IF($A23="","",IF(AND(COUNTIFS($A$14:$A$1213,$A23,$F$14:$F$1213,"&gt;=0")=2,IFERROR(INDEX($M$14:$M$313,MATCH($A23,$H$14:$H$313,0)),"Yes")&lt;&gt;"Yes"),1,0))</f>
        <v/>
      </c>
    </row>
    <row r="24" ht="24" customHeight="1">
      <c r="A24" s="19" t="inlineStr">
        <is>
          <t>Money tools &amp; security</t>
        </is>
      </c>
      <c r="B24" s="20" t="inlineStr">
        <is>
          <t>Take two minutes to review your security settings</t>
        </is>
      </c>
      <c r="C24" s="21">
        <f>IFERROR(AVERAGE(P24:T24),"")</f>
        <v/>
      </c>
      <c r="D24" s="29" t="n">
        <v>842</v>
      </c>
      <c r="E24" s="29" t="n">
        <v>27000</v>
      </c>
      <c r="F24" s="30">
        <f>IF(AND(ISNUMBER($D24),ISNUMBER($E24),$E24&gt;0,$D24&lt;=$E24),$D24/$E24,"")</f>
        <v/>
      </c>
      <c r="H24" s="19">
        <f>IFERROR(INDEX($A$14:$A$1213,MATCH(11,$AI$14:$AI$1213,0)),"")</f>
        <v/>
      </c>
      <c r="I24" s="24">
        <f>IF($H24="","",IF(COUNTIFS($A$14:$A$1213,$H24,$C$14:$C$1213,"&gt;=0")=0,"—",IFERROR(INDEX($B$14:$B$1213,MATCH($H24&amp;"|1",$Z$14:$Z$1213,0)),"(tied)")))</f>
        <v/>
      </c>
      <c r="J24" s="25">
        <f>IF($H24="","",IF(OR(COUNTIFS($A$14:$A$1213,$H24,$C$14:$C$1213,"&gt;=0")=0,COUNTIFS($A$14:$A$1213,$H24,$F$14:$F$1213,"&gt;=0")=0),"—",IF(OR(ISERROR(MATCH($H24&amp;"|1",$Z$14:$Z$1213,0)),ISERROR(MATCH($H24&amp;"|1",$AA$14:$AA$1213,0))),"Tie",IF(MATCH($H24&amp;"|1",$Z$14:$Z$1213,0)=MATCH($H24&amp;"|1",$AA$14:$AA$1213,0),"Hit","Miss"))))</f>
        <v/>
      </c>
      <c r="K24" s="24">
        <f>IF($H24="","",IF(COUNTIFS($A$14:$A$1213,$H24,$F$14:$F$1213,"&gt;=0")=0,"—",IFERROR(INDEX($B$14:$B$1213,MATCH($H24&amp;"|1",$AA$14:$AA$1213,0)),"(tied)")))</f>
        <v/>
      </c>
      <c r="L24" s="25">
        <f>IF($H24="","",IF((--(COUNTIFS($A$14:$A$1213,$H24,$P$14:$P$1213,"&gt;=0")&gt;0)+--(COUNTIFS($A$14:$A$1213,$H24,$Q$14:$Q$1213,"&gt;=0")&gt;0)+--(COUNTIFS($A$14:$A$1213,$H24,$R$14:$R$1213,"&gt;=0")&gt;0)+--(COUNTIFS($A$14:$A$1213,$H24,$S$14:$S$1213,"&gt;=0")&gt;0)+--(COUNTIFS($A$14:$A$1213,$H24,$T$14:$T$1213,"&gt;=0")&gt;0))&lt;2,"—",IF(SUMIFS($AH$14:$AH$1213,$A$14:$A$1213,$H24)=0,"Yes","No")))</f>
        <v/>
      </c>
      <c r="M24" s="25">
        <f>IF($H24="","",IF(COUNTIFS($A$14:$A$1213,$H24,$F$14:$F$1213,"&gt;=0")&lt;2,"—",IF(COUNTIFS($A$14:$A$1213,$H24,$F$14:$F$1213,_xlfn.MAXIFS($F$14:$F$1213,$A$14:$A$1213,$H24))&gt;1,"No",IF(NOT(ISNUMBER($AN24)),"—",IF((2*(1-NORMSDIST(ABS($AN24))))&lt;0.05,"Yes","No")))))</f>
        <v/>
      </c>
      <c r="N24" s="21">
        <f>IF($H24="","",IF(NOT(ISNUMBER($AN24)),"—",IF((2*(1-NORMSDIST(ABS($AN24))))&lt;0.001,"&lt;0.001",TEXT((2*(1-NORMSDIST(ABS($AN24)))),"0.000"))))</f>
        <v/>
      </c>
      <c r="P24" s="26" t="n">
        <v>32</v>
      </c>
      <c r="Q24" s="26" t="n">
        <v>32</v>
      </c>
      <c r="R24" s="26" t="n">
        <v>32</v>
      </c>
      <c r="S24" s="26" t="n">
        <v>32</v>
      </c>
      <c r="T24" s="26" t="n">
        <v>32</v>
      </c>
      <c r="V24" s="27">
        <f>IF(ISNUMBER($C24),COUNTIFS($A$14:$A$1213,$A24,$C$14:$C$1213,"&gt;"&amp;$C24)+(COUNTIFS($A$14:$A$1213,$A24,$C$14:$C$1213,"="&amp;$C24)+1)/2,"")</f>
        <v/>
      </c>
      <c r="W24" s="27">
        <f>IF(ISNUMBER($F24),COUNTIFS($A$14:$A$1213,$A24,$F$14:$F$1213,"&gt;"&amp;$F24)+(COUNTIFS($A$14:$A$1213,$A24,$F$14:$F$1213,"="&amp;$F24)+1)/2,"")</f>
        <v/>
      </c>
      <c r="X24" s="27">
        <f>IF(OR(NOT(ISNUMBER($V24)),$AO24=1),"",$V24-(COUNTIFS($A$14:$A$1213,$A24,$C$14:$C$1213,"&gt;=0")+1)/2)</f>
        <v/>
      </c>
      <c r="Y24" s="27">
        <f>IF(OR(NOT(ISNUMBER($W24)),$AO24=1),"",$W24-(COUNTIFS($A$14:$A$1213,$A24,$F$14:$F$1213,"&gt;=0")+1)/2)</f>
        <v/>
      </c>
      <c r="Z24" s="27">
        <f>IF(ISNUMBER($V24),$A24&amp;"|"&amp;$V24,"")</f>
        <v/>
      </c>
      <c r="AA24" s="27">
        <f>IF(ISNUMBER($W24),$A24&amp;"|"&amp;$W24,"")</f>
        <v/>
      </c>
      <c r="AB24" s="27">
        <f>IF(ISNUMBER($F24),$A24&amp;"|"&amp;$F24,"")</f>
        <v/>
      </c>
      <c r="AC24" s="27">
        <f>IF(ISNUMBER($P24),COUNTIFS($A$14:$A$1213,$A24,$P$14:$P$1213,"&gt;"&amp;$P24)+(COUNTIFS($A$14:$A$1213,$A24,$P$14:$P$1213,"="&amp;$P24)+1)/2,"")</f>
        <v/>
      </c>
      <c r="AD24" s="27">
        <f>IF(ISNUMBER($Q24),COUNTIFS($A$14:$A$1213,$A24,$Q$14:$Q$1213,"&gt;"&amp;$Q24)+(COUNTIFS($A$14:$A$1213,$A24,$Q$14:$Q$1213,"="&amp;$Q24)+1)/2,"")</f>
        <v/>
      </c>
      <c r="AE24" s="27">
        <f>IF(ISNUMBER($R24),COUNTIFS($A$14:$A$1213,$A24,$R$14:$R$1213,"&gt;"&amp;$R24)+(COUNTIFS($A$14:$A$1213,$A24,$R$14:$R$1213,"="&amp;$R24)+1)/2,"")</f>
        <v/>
      </c>
      <c r="AF24" s="27">
        <f>IF(ISNUMBER($S24),COUNTIFS($A$14:$A$1213,$A24,$S$14:$S$1213,"&gt;"&amp;$S24)+(COUNTIFS($A$14:$A$1213,$A24,$S$14:$S$1213,"="&amp;$S24)+1)/2,"")</f>
        <v/>
      </c>
      <c r="AG24" s="27">
        <f>IF(ISNUMBER($T24),COUNTIFS($A$14:$A$1213,$A24,$T$14:$T$1213,"&gt;"&amp;$T24)+(COUNTIFS($A$14:$A$1213,$A24,$T$14:$T$1213,"="&amp;$T24)+1)/2,"")</f>
        <v/>
      </c>
      <c r="AH24" s="27">
        <f>IF(COUNT($AC24:$AG24)&lt;2,"",IF(MAX($AC24:$AG24)=MIN($AC24:$AG24),0,1))</f>
        <v/>
      </c>
      <c r="AI24" s="27">
        <f>IF($A24="","",IF(COUNTIF($A$14:$A24,$A24)=1,COUNTIF($AI$13:AI23,"&gt;0")+1,""))</f>
        <v/>
      </c>
      <c r="AJ24" s="27">
        <f>IF(OR($H24="",COUNTIFS($A$14:$A$1213,$H24,$F$14:$F$1213,"&gt;=0")&lt;2,COUNTIFS($A$14:$A$1213,$H24,$F$14:$F$1213,_xlfn.MAXIFS($F$14:$F$1213,$A$14:$A$1213,$H24))&gt;1),"",IFERROR(INDEX($D$14:$D$1213,MATCH($H24&amp;"|"&amp;_xlfn.MAXIFS($F$14:$F$1213,$A$14:$A$1213,$H24),$AB$14:$AB$1213,0)),""))</f>
        <v/>
      </c>
      <c r="AK24" s="27">
        <f>IF(OR($H24="",COUNTIFS($A$14:$A$1213,$H24,$F$14:$F$1213,"&gt;=0")&lt;2,COUNTIFS($A$14:$A$1213,$H24,$F$14:$F$1213,_xlfn.MAXIFS($F$14:$F$1213,$A$14:$A$1213,$H24))&gt;1),"",IFERROR(INDEX($E$14:$E$1213,MATCH($H24&amp;"|"&amp;_xlfn.MAXIFS($F$14:$F$1213,$A$14:$A$1213,$H24),$AB$14:$AB$1213,0)),""))</f>
        <v/>
      </c>
      <c r="AL24" s="27">
        <f>IF(OR($H24="",COUNTIFS($A$14:$A$1213,$H24,$F$14:$F$1213,"&gt;=0")&lt;2,COUNTIFS($A$14:$A$1213,$H24,$F$14:$F$1213,_xlfn.MAXIFS($F$14:$F$1213,$A$14:$A$1213,$H24))&gt;1),"",IFERROR(INDEX($D$14:$D$1213,MATCH($H24&amp;"|"&amp;_xlfn.MAXIFS($F$14:$F$1213,$A$14:$A$1213,$H24,$F$14:$F$1213,"&lt;"&amp;_xlfn.MAXIFS($F$14:$F$1213,$A$14:$A$1213,$H24)),$AB$14:$AB$1213,0)),""))</f>
        <v/>
      </c>
      <c r="AM24" s="27">
        <f>IF(OR($H24="",COUNTIFS($A$14:$A$1213,$H24,$F$14:$F$1213,"&gt;=0")&lt;2,COUNTIFS($A$14:$A$1213,$H24,$F$14:$F$1213,_xlfn.MAXIFS($F$14:$F$1213,$A$14:$A$1213,$H24))&gt;1),"",IFERROR(INDEX($E$14:$E$1213,MATCH($H24&amp;"|"&amp;_xlfn.MAXIFS($F$14:$F$1213,$A$14:$A$1213,$H24,$F$14:$F$1213,"&lt;"&amp;_xlfn.MAXIFS($F$14:$F$1213,$A$14:$A$1213,$H24)),$AB$14:$AB$1213,0)),""))</f>
        <v/>
      </c>
      <c r="AN24" s="27">
        <f>IF(OR(NOT(ISNUMBER($AJ24)),NOT(ISNUMBER($AL24)),$AK24=0,$AM24=0),"",IF(OR((($AJ24+$AL24)/($AK24+$AM24))&lt;=0,(($AJ24+$AL24)/($AK24+$AM24))&gt;=1),"",($AJ24/$AK24-$AL24/$AM24)/SQRT((($AJ24+$AL24)/($AK24+$AM24))*(1-(($AJ24+$AL24)/($AK24+$AM24)))*(1/$AK24+1/$AM24))))</f>
        <v/>
      </c>
      <c r="AO24" s="27">
        <f>IF($A24="","",IF(AND(COUNTIFS($A$14:$A$1213,$A24,$F$14:$F$1213,"&gt;=0")=2,IFERROR(INDEX($M$14:$M$313,MATCH($A24,$H$14:$H$313,0)),"Yes")&lt;&gt;"Yes"),1,0))</f>
        <v/>
      </c>
    </row>
    <row r="25" ht="24" customHeight="1">
      <c r="A25" s="19" t="inlineStr">
        <is>
          <t>Money tools &amp; security</t>
        </is>
      </c>
      <c r="B25" s="20" t="inlineStr">
        <is>
          <t>Here's what your money did this month</t>
        </is>
      </c>
      <c r="C25" s="21">
        <f>IFERROR(AVERAGE(P25:T25),"")</f>
        <v/>
      </c>
      <c r="D25" s="29" t="n">
        <v>486</v>
      </c>
      <c r="E25" s="29" t="n">
        <v>26000</v>
      </c>
      <c r="F25" s="30">
        <f>IF(AND(ISNUMBER($D25),ISNUMBER($E25),$E25&gt;0,$D25&lt;=$E25),$D25/$E25,"")</f>
        <v/>
      </c>
      <c r="H25" s="19">
        <f>IFERROR(INDEX($A$14:$A$1213,MATCH(12,$AI$14:$AI$1213,0)),"")</f>
        <v/>
      </c>
      <c r="I25" s="24">
        <f>IF($H25="","",IF(COUNTIFS($A$14:$A$1213,$H25,$C$14:$C$1213,"&gt;=0")=0,"—",IFERROR(INDEX($B$14:$B$1213,MATCH($H25&amp;"|1",$Z$14:$Z$1213,0)),"(tied)")))</f>
        <v/>
      </c>
      <c r="J25" s="25">
        <f>IF($H25="","",IF(OR(COUNTIFS($A$14:$A$1213,$H25,$C$14:$C$1213,"&gt;=0")=0,COUNTIFS($A$14:$A$1213,$H25,$F$14:$F$1213,"&gt;=0")=0),"—",IF(OR(ISERROR(MATCH($H25&amp;"|1",$Z$14:$Z$1213,0)),ISERROR(MATCH($H25&amp;"|1",$AA$14:$AA$1213,0))),"Tie",IF(MATCH($H25&amp;"|1",$Z$14:$Z$1213,0)=MATCH($H25&amp;"|1",$AA$14:$AA$1213,0),"Hit","Miss"))))</f>
        <v/>
      </c>
      <c r="K25" s="24">
        <f>IF($H25="","",IF(COUNTIFS($A$14:$A$1213,$H25,$F$14:$F$1213,"&gt;=0")=0,"—",IFERROR(INDEX($B$14:$B$1213,MATCH($H25&amp;"|1",$AA$14:$AA$1213,0)),"(tied)")))</f>
        <v/>
      </c>
      <c r="L25" s="25">
        <f>IF($H25="","",IF((--(COUNTIFS($A$14:$A$1213,$H25,$P$14:$P$1213,"&gt;=0")&gt;0)+--(COUNTIFS($A$14:$A$1213,$H25,$Q$14:$Q$1213,"&gt;=0")&gt;0)+--(COUNTIFS($A$14:$A$1213,$H25,$R$14:$R$1213,"&gt;=0")&gt;0)+--(COUNTIFS($A$14:$A$1213,$H25,$S$14:$S$1213,"&gt;=0")&gt;0)+--(COUNTIFS($A$14:$A$1213,$H25,$T$14:$T$1213,"&gt;=0")&gt;0))&lt;2,"—",IF(SUMIFS($AH$14:$AH$1213,$A$14:$A$1213,$H25)=0,"Yes","No")))</f>
        <v/>
      </c>
      <c r="M25" s="25">
        <f>IF($H25="","",IF(COUNTIFS($A$14:$A$1213,$H25,$F$14:$F$1213,"&gt;=0")&lt;2,"—",IF(COUNTIFS($A$14:$A$1213,$H25,$F$14:$F$1213,_xlfn.MAXIFS($F$14:$F$1213,$A$14:$A$1213,$H25))&gt;1,"No",IF(NOT(ISNUMBER($AN25)),"—",IF((2*(1-NORMSDIST(ABS($AN25))))&lt;0.05,"Yes","No")))))</f>
        <v/>
      </c>
      <c r="N25" s="21">
        <f>IF($H25="","",IF(NOT(ISNUMBER($AN25)),"—",IF((2*(1-NORMSDIST(ABS($AN25))))&lt;0.001,"&lt;0.001",TEXT((2*(1-NORMSDIST(ABS($AN25)))),"0.000"))))</f>
        <v/>
      </c>
      <c r="P25" s="26" t="n">
        <v>18</v>
      </c>
      <c r="Q25" s="26" t="n">
        <v>18</v>
      </c>
      <c r="R25" s="26" t="n">
        <v>18</v>
      </c>
      <c r="S25" s="26" t="n">
        <v>18</v>
      </c>
      <c r="T25" s="26" t="n">
        <v>18</v>
      </c>
      <c r="V25" s="27">
        <f>IF(ISNUMBER($C25),COUNTIFS($A$14:$A$1213,$A25,$C$14:$C$1213,"&gt;"&amp;$C25)+(COUNTIFS($A$14:$A$1213,$A25,$C$14:$C$1213,"="&amp;$C25)+1)/2,"")</f>
        <v/>
      </c>
      <c r="W25" s="27">
        <f>IF(ISNUMBER($F25),COUNTIFS($A$14:$A$1213,$A25,$F$14:$F$1213,"&gt;"&amp;$F25)+(COUNTIFS($A$14:$A$1213,$A25,$F$14:$F$1213,"="&amp;$F25)+1)/2,"")</f>
        <v/>
      </c>
      <c r="X25" s="27">
        <f>IF(OR(NOT(ISNUMBER($V25)),$AO25=1),"",$V25-(COUNTIFS($A$14:$A$1213,$A25,$C$14:$C$1213,"&gt;=0")+1)/2)</f>
        <v/>
      </c>
      <c r="Y25" s="27">
        <f>IF(OR(NOT(ISNUMBER($W25)),$AO25=1),"",$W25-(COUNTIFS($A$14:$A$1213,$A25,$F$14:$F$1213,"&gt;=0")+1)/2)</f>
        <v/>
      </c>
      <c r="Z25" s="27">
        <f>IF(ISNUMBER($V25),$A25&amp;"|"&amp;$V25,"")</f>
        <v/>
      </c>
      <c r="AA25" s="27">
        <f>IF(ISNUMBER($W25),$A25&amp;"|"&amp;$W25,"")</f>
        <v/>
      </c>
      <c r="AB25" s="27">
        <f>IF(ISNUMBER($F25),$A25&amp;"|"&amp;$F25,"")</f>
        <v/>
      </c>
      <c r="AC25" s="27">
        <f>IF(ISNUMBER($P25),COUNTIFS($A$14:$A$1213,$A25,$P$14:$P$1213,"&gt;"&amp;$P25)+(COUNTIFS($A$14:$A$1213,$A25,$P$14:$P$1213,"="&amp;$P25)+1)/2,"")</f>
        <v/>
      </c>
      <c r="AD25" s="27">
        <f>IF(ISNUMBER($Q25),COUNTIFS($A$14:$A$1213,$A25,$Q$14:$Q$1213,"&gt;"&amp;$Q25)+(COUNTIFS($A$14:$A$1213,$A25,$Q$14:$Q$1213,"="&amp;$Q25)+1)/2,"")</f>
        <v/>
      </c>
      <c r="AE25" s="27">
        <f>IF(ISNUMBER($R25),COUNTIFS($A$14:$A$1213,$A25,$R$14:$R$1213,"&gt;"&amp;$R25)+(COUNTIFS($A$14:$A$1213,$A25,$R$14:$R$1213,"="&amp;$R25)+1)/2,"")</f>
        <v/>
      </c>
      <c r="AF25" s="27">
        <f>IF(ISNUMBER($S25),COUNTIFS($A$14:$A$1213,$A25,$S$14:$S$1213,"&gt;"&amp;$S25)+(COUNTIFS($A$14:$A$1213,$A25,$S$14:$S$1213,"="&amp;$S25)+1)/2,"")</f>
        <v/>
      </c>
      <c r="AG25" s="27">
        <f>IF(ISNUMBER($T25),COUNTIFS($A$14:$A$1213,$A25,$T$14:$T$1213,"&gt;"&amp;$T25)+(COUNTIFS($A$14:$A$1213,$A25,$T$14:$T$1213,"="&amp;$T25)+1)/2,"")</f>
        <v/>
      </c>
      <c r="AH25" s="27">
        <f>IF(COUNT($AC25:$AG25)&lt;2,"",IF(MAX($AC25:$AG25)=MIN($AC25:$AG25),0,1))</f>
        <v/>
      </c>
      <c r="AI25" s="27">
        <f>IF($A25="","",IF(COUNTIF($A$14:$A25,$A25)=1,COUNTIF($AI$13:AI24,"&gt;0")+1,""))</f>
        <v/>
      </c>
      <c r="AJ25" s="27">
        <f>IF(OR($H25="",COUNTIFS($A$14:$A$1213,$H25,$F$14:$F$1213,"&gt;=0")&lt;2,COUNTIFS($A$14:$A$1213,$H25,$F$14:$F$1213,_xlfn.MAXIFS($F$14:$F$1213,$A$14:$A$1213,$H25))&gt;1),"",IFERROR(INDEX($D$14:$D$1213,MATCH($H25&amp;"|"&amp;_xlfn.MAXIFS($F$14:$F$1213,$A$14:$A$1213,$H25),$AB$14:$AB$1213,0)),""))</f>
        <v/>
      </c>
      <c r="AK25" s="27">
        <f>IF(OR($H25="",COUNTIFS($A$14:$A$1213,$H25,$F$14:$F$1213,"&gt;=0")&lt;2,COUNTIFS($A$14:$A$1213,$H25,$F$14:$F$1213,_xlfn.MAXIFS($F$14:$F$1213,$A$14:$A$1213,$H25))&gt;1),"",IFERROR(INDEX($E$14:$E$1213,MATCH($H25&amp;"|"&amp;_xlfn.MAXIFS($F$14:$F$1213,$A$14:$A$1213,$H25),$AB$14:$AB$1213,0)),""))</f>
        <v/>
      </c>
      <c r="AL25" s="27">
        <f>IF(OR($H25="",COUNTIFS($A$14:$A$1213,$H25,$F$14:$F$1213,"&gt;=0")&lt;2,COUNTIFS($A$14:$A$1213,$H25,$F$14:$F$1213,_xlfn.MAXIFS($F$14:$F$1213,$A$14:$A$1213,$H25))&gt;1),"",IFERROR(INDEX($D$14:$D$1213,MATCH($H25&amp;"|"&amp;_xlfn.MAXIFS($F$14:$F$1213,$A$14:$A$1213,$H25,$F$14:$F$1213,"&lt;"&amp;_xlfn.MAXIFS($F$14:$F$1213,$A$14:$A$1213,$H25)),$AB$14:$AB$1213,0)),""))</f>
        <v/>
      </c>
      <c r="AM25" s="27">
        <f>IF(OR($H25="",COUNTIFS($A$14:$A$1213,$H25,$F$14:$F$1213,"&gt;=0")&lt;2,COUNTIFS($A$14:$A$1213,$H25,$F$14:$F$1213,_xlfn.MAXIFS($F$14:$F$1213,$A$14:$A$1213,$H25))&gt;1),"",IFERROR(INDEX($E$14:$E$1213,MATCH($H25&amp;"|"&amp;_xlfn.MAXIFS($F$14:$F$1213,$A$14:$A$1213,$H25,$F$14:$F$1213,"&lt;"&amp;_xlfn.MAXIFS($F$14:$F$1213,$A$14:$A$1213,$H25)),$AB$14:$AB$1213,0)),""))</f>
        <v/>
      </c>
      <c r="AN25" s="27">
        <f>IF(OR(NOT(ISNUMBER($AJ25)),NOT(ISNUMBER($AL25)),$AK25=0,$AM25=0),"",IF(OR((($AJ25+$AL25)/($AK25+$AM25))&lt;=0,(($AJ25+$AL25)/($AK25+$AM25))&gt;=1),"",($AJ25/$AK25-$AL25/$AM25)/SQRT((($AJ25+$AL25)/($AK25+$AM25))*(1-(($AJ25+$AL25)/($AK25+$AM25)))*(1/$AK25+1/$AM25))))</f>
        <v/>
      </c>
      <c r="AO25" s="27">
        <f>IF($A25="","",IF(AND(COUNTIFS($A$14:$A$1213,$A25,$F$14:$F$1213,"&gt;=0")=2,IFERROR(INDEX($M$14:$M$313,MATCH($A25,$H$14:$H$313,0)),"Yes")&lt;&gt;"Yes"),1,0))</f>
        <v/>
      </c>
    </row>
    <row r="26" ht="24" customHeight="1">
      <c r="A26" s="19" t="inlineStr">
        <is>
          <t>Card upgrade</t>
        </is>
      </c>
      <c r="B26" s="20" t="inlineStr">
        <is>
          <t>Your card is due for an upgrade</t>
        </is>
      </c>
      <c r="C26" s="21">
        <f>IFERROR(AVERAGE(P26:T26),"")</f>
        <v/>
      </c>
      <c r="D26" s="29" t="n">
        <v>434</v>
      </c>
      <c r="E26" s="29" t="n">
        <v>18000</v>
      </c>
      <c r="F26" s="30">
        <f>IF(AND(ISNUMBER($D26),ISNUMBER($E26),$E26&gt;0,$D26&lt;=$E26),$D26/$E26,"")</f>
        <v/>
      </c>
      <c r="H26" s="19">
        <f>IFERROR(INDEX($A$14:$A$1213,MATCH(13,$AI$14:$AI$1213,0)),"")</f>
        <v/>
      </c>
      <c r="I26" s="24">
        <f>IF($H26="","",IF(COUNTIFS($A$14:$A$1213,$H26,$C$14:$C$1213,"&gt;=0")=0,"—",IFERROR(INDEX($B$14:$B$1213,MATCH($H26&amp;"|1",$Z$14:$Z$1213,0)),"(tied)")))</f>
        <v/>
      </c>
      <c r="J26" s="25">
        <f>IF($H26="","",IF(OR(COUNTIFS($A$14:$A$1213,$H26,$C$14:$C$1213,"&gt;=0")=0,COUNTIFS($A$14:$A$1213,$H26,$F$14:$F$1213,"&gt;=0")=0),"—",IF(OR(ISERROR(MATCH($H26&amp;"|1",$Z$14:$Z$1213,0)),ISERROR(MATCH($H26&amp;"|1",$AA$14:$AA$1213,0))),"Tie",IF(MATCH($H26&amp;"|1",$Z$14:$Z$1213,0)=MATCH($H26&amp;"|1",$AA$14:$AA$1213,0),"Hit","Miss"))))</f>
        <v/>
      </c>
      <c r="K26" s="24">
        <f>IF($H26="","",IF(COUNTIFS($A$14:$A$1213,$H26,$F$14:$F$1213,"&gt;=0")=0,"—",IFERROR(INDEX($B$14:$B$1213,MATCH($H26&amp;"|1",$AA$14:$AA$1213,0)),"(tied)")))</f>
        <v/>
      </c>
      <c r="L26" s="25">
        <f>IF($H26="","",IF((--(COUNTIFS($A$14:$A$1213,$H26,$P$14:$P$1213,"&gt;=0")&gt;0)+--(COUNTIFS($A$14:$A$1213,$H26,$Q$14:$Q$1213,"&gt;=0")&gt;0)+--(COUNTIFS($A$14:$A$1213,$H26,$R$14:$R$1213,"&gt;=0")&gt;0)+--(COUNTIFS($A$14:$A$1213,$H26,$S$14:$S$1213,"&gt;=0")&gt;0)+--(COUNTIFS($A$14:$A$1213,$H26,$T$14:$T$1213,"&gt;=0")&gt;0))&lt;2,"—",IF(SUMIFS($AH$14:$AH$1213,$A$14:$A$1213,$H26)=0,"Yes","No")))</f>
        <v/>
      </c>
      <c r="M26" s="25">
        <f>IF($H26="","",IF(COUNTIFS($A$14:$A$1213,$H26,$F$14:$F$1213,"&gt;=0")&lt;2,"—",IF(COUNTIFS($A$14:$A$1213,$H26,$F$14:$F$1213,_xlfn.MAXIFS($F$14:$F$1213,$A$14:$A$1213,$H26))&gt;1,"No",IF(NOT(ISNUMBER($AN26)),"—",IF((2*(1-NORMSDIST(ABS($AN26))))&lt;0.05,"Yes","No")))))</f>
        <v/>
      </c>
      <c r="N26" s="21">
        <f>IF($H26="","",IF(NOT(ISNUMBER($AN26)),"—",IF((2*(1-NORMSDIST(ABS($AN26))))&lt;0.001,"&lt;0.001",TEXT((2*(1-NORMSDIST(ABS($AN26)))),"0.000"))))</f>
        <v/>
      </c>
      <c r="P26" s="26" t="n">
        <v>41</v>
      </c>
      <c r="Q26" s="26" t="n">
        <v>41</v>
      </c>
      <c r="R26" s="26" t="n">
        <v>41</v>
      </c>
      <c r="S26" s="26" t="n">
        <v>41</v>
      </c>
      <c r="T26" s="26" t="n">
        <v>41</v>
      </c>
      <c r="V26" s="27">
        <f>IF(ISNUMBER($C26),COUNTIFS($A$14:$A$1213,$A26,$C$14:$C$1213,"&gt;"&amp;$C26)+(COUNTIFS($A$14:$A$1213,$A26,$C$14:$C$1213,"="&amp;$C26)+1)/2,"")</f>
        <v/>
      </c>
      <c r="W26" s="27">
        <f>IF(ISNUMBER($F26),COUNTIFS($A$14:$A$1213,$A26,$F$14:$F$1213,"&gt;"&amp;$F26)+(COUNTIFS($A$14:$A$1213,$A26,$F$14:$F$1213,"="&amp;$F26)+1)/2,"")</f>
        <v/>
      </c>
      <c r="X26" s="27">
        <f>IF(OR(NOT(ISNUMBER($V26)),$AO26=1),"",$V26-(COUNTIFS($A$14:$A$1213,$A26,$C$14:$C$1213,"&gt;=0")+1)/2)</f>
        <v/>
      </c>
      <c r="Y26" s="27">
        <f>IF(OR(NOT(ISNUMBER($W26)),$AO26=1),"",$W26-(COUNTIFS($A$14:$A$1213,$A26,$F$14:$F$1213,"&gt;=0")+1)/2)</f>
        <v/>
      </c>
      <c r="Z26" s="27">
        <f>IF(ISNUMBER($V26),$A26&amp;"|"&amp;$V26,"")</f>
        <v/>
      </c>
      <c r="AA26" s="27">
        <f>IF(ISNUMBER($W26),$A26&amp;"|"&amp;$W26,"")</f>
        <v/>
      </c>
      <c r="AB26" s="27">
        <f>IF(ISNUMBER($F26),$A26&amp;"|"&amp;$F26,"")</f>
        <v/>
      </c>
      <c r="AC26" s="27">
        <f>IF(ISNUMBER($P26),COUNTIFS($A$14:$A$1213,$A26,$P$14:$P$1213,"&gt;"&amp;$P26)+(COUNTIFS($A$14:$A$1213,$A26,$P$14:$P$1213,"="&amp;$P26)+1)/2,"")</f>
        <v/>
      </c>
      <c r="AD26" s="27">
        <f>IF(ISNUMBER($Q26),COUNTIFS($A$14:$A$1213,$A26,$Q$14:$Q$1213,"&gt;"&amp;$Q26)+(COUNTIFS($A$14:$A$1213,$A26,$Q$14:$Q$1213,"="&amp;$Q26)+1)/2,"")</f>
        <v/>
      </c>
      <c r="AE26" s="27">
        <f>IF(ISNUMBER($R26),COUNTIFS($A$14:$A$1213,$A26,$R$14:$R$1213,"&gt;"&amp;$R26)+(COUNTIFS($A$14:$A$1213,$A26,$R$14:$R$1213,"="&amp;$R26)+1)/2,"")</f>
        <v/>
      </c>
      <c r="AF26" s="27">
        <f>IF(ISNUMBER($S26),COUNTIFS($A$14:$A$1213,$A26,$S$14:$S$1213,"&gt;"&amp;$S26)+(COUNTIFS($A$14:$A$1213,$A26,$S$14:$S$1213,"="&amp;$S26)+1)/2,"")</f>
        <v/>
      </c>
      <c r="AG26" s="27">
        <f>IF(ISNUMBER($T26),COUNTIFS($A$14:$A$1213,$A26,$T$14:$T$1213,"&gt;"&amp;$T26)+(COUNTIFS($A$14:$A$1213,$A26,$T$14:$T$1213,"="&amp;$T26)+1)/2,"")</f>
        <v/>
      </c>
      <c r="AH26" s="27">
        <f>IF(COUNT($AC26:$AG26)&lt;2,"",IF(MAX($AC26:$AG26)=MIN($AC26:$AG26),0,1))</f>
        <v/>
      </c>
      <c r="AI26" s="27">
        <f>IF($A26="","",IF(COUNTIF($A$14:$A26,$A26)=1,COUNTIF($AI$13:AI25,"&gt;0")+1,""))</f>
        <v/>
      </c>
      <c r="AJ26" s="27">
        <f>IF(OR($H26="",COUNTIFS($A$14:$A$1213,$H26,$F$14:$F$1213,"&gt;=0")&lt;2,COUNTIFS($A$14:$A$1213,$H26,$F$14:$F$1213,_xlfn.MAXIFS($F$14:$F$1213,$A$14:$A$1213,$H26))&gt;1),"",IFERROR(INDEX($D$14:$D$1213,MATCH($H26&amp;"|"&amp;_xlfn.MAXIFS($F$14:$F$1213,$A$14:$A$1213,$H26),$AB$14:$AB$1213,0)),""))</f>
        <v/>
      </c>
      <c r="AK26" s="27">
        <f>IF(OR($H26="",COUNTIFS($A$14:$A$1213,$H26,$F$14:$F$1213,"&gt;=0")&lt;2,COUNTIFS($A$14:$A$1213,$H26,$F$14:$F$1213,_xlfn.MAXIFS($F$14:$F$1213,$A$14:$A$1213,$H26))&gt;1),"",IFERROR(INDEX($E$14:$E$1213,MATCH($H26&amp;"|"&amp;_xlfn.MAXIFS($F$14:$F$1213,$A$14:$A$1213,$H26),$AB$14:$AB$1213,0)),""))</f>
        <v/>
      </c>
      <c r="AL26" s="27">
        <f>IF(OR($H26="",COUNTIFS($A$14:$A$1213,$H26,$F$14:$F$1213,"&gt;=0")&lt;2,COUNTIFS($A$14:$A$1213,$H26,$F$14:$F$1213,_xlfn.MAXIFS($F$14:$F$1213,$A$14:$A$1213,$H26))&gt;1),"",IFERROR(INDEX($D$14:$D$1213,MATCH($H26&amp;"|"&amp;_xlfn.MAXIFS($F$14:$F$1213,$A$14:$A$1213,$H26,$F$14:$F$1213,"&lt;"&amp;_xlfn.MAXIFS($F$14:$F$1213,$A$14:$A$1213,$H26)),$AB$14:$AB$1213,0)),""))</f>
        <v/>
      </c>
      <c r="AM26" s="27">
        <f>IF(OR($H26="",COUNTIFS($A$14:$A$1213,$H26,$F$14:$F$1213,"&gt;=0")&lt;2,COUNTIFS($A$14:$A$1213,$H26,$F$14:$F$1213,_xlfn.MAXIFS($F$14:$F$1213,$A$14:$A$1213,$H26))&gt;1),"",IFERROR(INDEX($E$14:$E$1213,MATCH($H26&amp;"|"&amp;_xlfn.MAXIFS($F$14:$F$1213,$A$14:$A$1213,$H26,$F$14:$F$1213,"&lt;"&amp;_xlfn.MAXIFS($F$14:$F$1213,$A$14:$A$1213,$H26)),$AB$14:$AB$1213,0)),""))</f>
        <v/>
      </c>
      <c r="AN26" s="27">
        <f>IF(OR(NOT(ISNUMBER($AJ26)),NOT(ISNUMBER($AL26)),$AK26=0,$AM26=0),"",IF(OR((($AJ26+$AL26)/($AK26+$AM26))&lt;=0,(($AJ26+$AL26)/($AK26+$AM26))&gt;=1),"",($AJ26/$AK26-$AL26/$AM26)/SQRT((($AJ26+$AL26)/($AK26+$AM26))*(1-(($AJ26+$AL26)/($AK26+$AM26)))*(1/$AK26+1/$AM26))))</f>
        <v/>
      </c>
      <c r="AO26" s="27">
        <f>IF($A26="","",IF(AND(COUNTIFS($A$14:$A$1213,$A26,$F$14:$F$1213,"&gt;=0")=2,IFERROR(INDEX($M$14:$M$313,MATCH($A26,$H$14:$H$313,0)),"Yes")&lt;&gt;"Yes"),1,0))</f>
        <v/>
      </c>
    </row>
    <row r="27" ht="24" customHeight="1">
      <c r="A27" s="19" t="inlineStr">
        <is>
          <t>Card upgrade</t>
        </is>
      </c>
      <c r="B27" s="20" t="inlineStr">
        <is>
          <t>Time to move up to our premium card</t>
        </is>
      </c>
      <c r="C27" s="21">
        <f>IFERROR(AVERAGE(P27:T27),"")</f>
        <v/>
      </c>
      <c r="D27" s="29" t="n">
        <v>428</v>
      </c>
      <c r="E27" s="29" t="n">
        <v>18000</v>
      </c>
      <c r="F27" s="30">
        <f>IF(AND(ISNUMBER($D27),ISNUMBER($E27),$E27&gt;0,$D27&lt;=$E27),$D27/$E27,"")</f>
        <v/>
      </c>
      <c r="H27" s="19">
        <f>IFERROR(INDEX($A$14:$A$1213,MATCH(14,$AI$14:$AI$1213,0)),"")</f>
        <v/>
      </c>
      <c r="I27" s="24">
        <f>IF($H27="","",IF(COUNTIFS($A$14:$A$1213,$H27,$C$14:$C$1213,"&gt;=0")=0,"—",IFERROR(INDEX($B$14:$B$1213,MATCH($H27&amp;"|1",$Z$14:$Z$1213,0)),"(tied)")))</f>
        <v/>
      </c>
      <c r="J27" s="25">
        <f>IF($H27="","",IF(OR(COUNTIFS($A$14:$A$1213,$H27,$C$14:$C$1213,"&gt;=0")=0,COUNTIFS($A$14:$A$1213,$H27,$F$14:$F$1213,"&gt;=0")=0),"—",IF(OR(ISERROR(MATCH($H27&amp;"|1",$Z$14:$Z$1213,0)),ISERROR(MATCH($H27&amp;"|1",$AA$14:$AA$1213,0))),"Tie",IF(MATCH($H27&amp;"|1",$Z$14:$Z$1213,0)=MATCH($H27&amp;"|1",$AA$14:$AA$1213,0),"Hit","Miss"))))</f>
        <v/>
      </c>
      <c r="K27" s="24">
        <f>IF($H27="","",IF(COUNTIFS($A$14:$A$1213,$H27,$F$14:$F$1213,"&gt;=0")=0,"—",IFERROR(INDEX($B$14:$B$1213,MATCH($H27&amp;"|1",$AA$14:$AA$1213,0)),"(tied)")))</f>
        <v/>
      </c>
      <c r="L27" s="25">
        <f>IF($H27="","",IF((--(COUNTIFS($A$14:$A$1213,$H27,$P$14:$P$1213,"&gt;=0")&gt;0)+--(COUNTIFS($A$14:$A$1213,$H27,$Q$14:$Q$1213,"&gt;=0")&gt;0)+--(COUNTIFS($A$14:$A$1213,$H27,$R$14:$R$1213,"&gt;=0")&gt;0)+--(COUNTIFS($A$14:$A$1213,$H27,$S$14:$S$1213,"&gt;=0")&gt;0)+--(COUNTIFS($A$14:$A$1213,$H27,$T$14:$T$1213,"&gt;=0")&gt;0))&lt;2,"—",IF(SUMIFS($AH$14:$AH$1213,$A$14:$A$1213,$H27)=0,"Yes","No")))</f>
        <v/>
      </c>
      <c r="M27" s="25">
        <f>IF($H27="","",IF(COUNTIFS($A$14:$A$1213,$H27,$F$14:$F$1213,"&gt;=0")&lt;2,"—",IF(COUNTIFS($A$14:$A$1213,$H27,$F$14:$F$1213,_xlfn.MAXIFS($F$14:$F$1213,$A$14:$A$1213,$H27))&gt;1,"No",IF(NOT(ISNUMBER($AN27)),"—",IF((2*(1-NORMSDIST(ABS($AN27))))&lt;0.05,"Yes","No")))))</f>
        <v/>
      </c>
      <c r="N27" s="21">
        <f>IF($H27="","",IF(NOT(ISNUMBER($AN27)),"—",IF((2*(1-NORMSDIST(ABS($AN27))))&lt;0.001,"&lt;0.001",TEXT((2*(1-NORMSDIST(ABS($AN27)))),"0.000"))))</f>
        <v/>
      </c>
      <c r="P27" s="26" t="n">
        <v>39</v>
      </c>
      <c r="Q27" s="26" t="n">
        <v>39</v>
      </c>
      <c r="R27" s="26" t="n">
        <v>39</v>
      </c>
      <c r="S27" s="26" t="n">
        <v>39</v>
      </c>
      <c r="T27" s="26" t="n">
        <v>39</v>
      </c>
      <c r="V27" s="27">
        <f>IF(ISNUMBER($C27),COUNTIFS($A$14:$A$1213,$A27,$C$14:$C$1213,"&gt;"&amp;$C27)+(COUNTIFS($A$14:$A$1213,$A27,$C$14:$C$1213,"="&amp;$C27)+1)/2,"")</f>
        <v/>
      </c>
      <c r="W27" s="27">
        <f>IF(ISNUMBER($F27),COUNTIFS($A$14:$A$1213,$A27,$F$14:$F$1213,"&gt;"&amp;$F27)+(COUNTIFS($A$14:$A$1213,$A27,$F$14:$F$1213,"="&amp;$F27)+1)/2,"")</f>
        <v/>
      </c>
      <c r="X27" s="27">
        <f>IF(OR(NOT(ISNUMBER($V27)),$AO27=1),"",$V27-(COUNTIFS($A$14:$A$1213,$A27,$C$14:$C$1213,"&gt;=0")+1)/2)</f>
        <v/>
      </c>
      <c r="Y27" s="27">
        <f>IF(OR(NOT(ISNUMBER($W27)),$AO27=1),"",$W27-(COUNTIFS($A$14:$A$1213,$A27,$F$14:$F$1213,"&gt;=0")+1)/2)</f>
        <v/>
      </c>
      <c r="Z27" s="27">
        <f>IF(ISNUMBER($V27),$A27&amp;"|"&amp;$V27,"")</f>
        <v/>
      </c>
      <c r="AA27" s="27">
        <f>IF(ISNUMBER($W27),$A27&amp;"|"&amp;$W27,"")</f>
        <v/>
      </c>
      <c r="AB27" s="27">
        <f>IF(ISNUMBER($F27),$A27&amp;"|"&amp;$F27,"")</f>
        <v/>
      </c>
      <c r="AC27" s="27">
        <f>IF(ISNUMBER($P27),COUNTIFS($A$14:$A$1213,$A27,$P$14:$P$1213,"&gt;"&amp;$P27)+(COUNTIFS($A$14:$A$1213,$A27,$P$14:$P$1213,"="&amp;$P27)+1)/2,"")</f>
        <v/>
      </c>
      <c r="AD27" s="27">
        <f>IF(ISNUMBER($Q27),COUNTIFS($A$14:$A$1213,$A27,$Q$14:$Q$1213,"&gt;"&amp;$Q27)+(COUNTIFS($A$14:$A$1213,$A27,$Q$14:$Q$1213,"="&amp;$Q27)+1)/2,"")</f>
        <v/>
      </c>
      <c r="AE27" s="27">
        <f>IF(ISNUMBER($R27),COUNTIFS($A$14:$A$1213,$A27,$R$14:$R$1213,"&gt;"&amp;$R27)+(COUNTIFS($A$14:$A$1213,$A27,$R$14:$R$1213,"="&amp;$R27)+1)/2,"")</f>
        <v/>
      </c>
      <c r="AF27" s="27">
        <f>IF(ISNUMBER($S27),COUNTIFS($A$14:$A$1213,$A27,$S$14:$S$1213,"&gt;"&amp;$S27)+(COUNTIFS($A$14:$A$1213,$A27,$S$14:$S$1213,"="&amp;$S27)+1)/2,"")</f>
        <v/>
      </c>
      <c r="AG27" s="27">
        <f>IF(ISNUMBER($T27),COUNTIFS($A$14:$A$1213,$A27,$T$14:$T$1213,"&gt;"&amp;$T27)+(COUNTIFS($A$14:$A$1213,$A27,$T$14:$T$1213,"="&amp;$T27)+1)/2,"")</f>
        <v/>
      </c>
      <c r="AH27" s="27">
        <f>IF(COUNT($AC27:$AG27)&lt;2,"",IF(MAX($AC27:$AG27)=MIN($AC27:$AG27),0,1))</f>
        <v/>
      </c>
      <c r="AI27" s="27">
        <f>IF($A27="","",IF(COUNTIF($A$14:$A27,$A27)=1,COUNTIF($AI$13:AI26,"&gt;0")+1,""))</f>
        <v/>
      </c>
      <c r="AJ27" s="27">
        <f>IF(OR($H27="",COUNTIFS($A$14:$A$1213,$H27,$F$14:$F$1213,"&gt;=0")&lt;2,COUNTIFS($A$14:$A$1213,$H27,$F$14:$F$1213,_xlfn.MAXIFS($F$14:$F$1213,$A$14:$A$1213,$H27))&gt;1),"",IFERROR(INDEX($D$14:$D$1213,MATCH($H27&amp;"|"&amp;_xlfn.MAXIFS($F$14:$F$1213,$A$14:$A$1213,$H27),$AB$14:$AB$1213,0)),""))</f>
        <v/>
      </c>
      <c r="AK27" s="27">
        <f>IF(OR($H27="",COUNTIFS($A$14:$A$1213,$H27,$F$14:$F$1213,"&gt;=0")&lt;2,COUNTIFS($A$14:$A$1213,$H27,$F$14:$F$1213,_xlfn.MAXIFS($F$14:$F$1213,$A$14:$A$1213,$H27))&gt;1),"",IFERROR(INDEX($E$14:$E$1213,MATCH($H27&amp;"|"&amp;_xlfn.MAXIFS($F$14:$F$1213,$A$14:$A$1213,$H27),$AB$14:$AB$1213,0)),""))</f>
        <v/>
      </c>
      <c r="AL27" s="27">
        <f>IF(OR($H27="",COUNTIFS($A$14:$A$1213,$H27,$F$14:$F$1213,"&gt;=0")&lt;2,COUNTIFS($A$14:$A$1213,$H27,$F$14:$F$1213,_xlfn.MAXIFS($F$14:$F$1213,$A$14:$A$1213,$H27))&gt;1),"",IFERROR(INDEX($D$14:$D$1213,MATCH($H27&amp;"|"&amp;_xlfn.MAXIFS($F$14:$F$1213,$A$14:$A$1213,$H27,$F$14:$F$1213,"&lt;"&amp;_xlfn.MAXIFS($F$14:$F$1213,$A$14:$A$1213,$H27)),$AB$14:$AB$1213,0)),""))</f>
        <v/>
      </c>
      <c r="AM27" s="27">
        <f>IF(OR($H27="",COUNTIFS($A$14:$A$1213,$H27,$F$14:$F$1213,"&gt;=0")&lt;2,COUNTIFS($A$14:$A$1213,$H27,$F$14:$F$1213,_xlfn.MAXIFS($F$14:$F$1213,$A$14:$A$1213,$H27))&gt;1),"",IFERROR(INDEX($E$14:$E$1213,MATCH($H27&amp;"|"&amp;_xlfn.MAXIFS($F$14:$F$1213,$A$14:$A$1213,$H27,$F$14:$F$1213,"&lt;"&amp;_xlfn.MAXIFS($F$14:$F$1213,$A$14:$A$1213,$H27)),$AB$14:$AB$1213,0)),""))</f>
        <v/>
      </c>
      <c r="AN27" s="27">
        <f>IF(OR(NOT(ISNUMBER($AJ27)),NOT(ISNUMBER($AL27)),$AK27=0,$AM27=0),"",IF(OR((($AJ27+$AL27)/($AK27+$AM27))&lt;=0,(($AJ27+$AL27)/($AK27+$AM27))&gt;=1),"",($AJ27/$AK27-$AL27/$AM27)/SQRT((($AJ27+$AL27)/($AK27+$AM27))*(1-(($AJ27+$AL27)/($AK27+$AM27)))*(1/$AK27+1/$AM27))))</f>
        <v/>
      </c>
      <c r="AO27" s="27">
        <f>IF($A27="","",IF(AND(COUNTIFS($A$14:$A$1213,$A27,$F$14:$F$1213,"&gt;=0")=2,IFERROR(INDEX($M$14:$M$313,MATCH($A27,$H$14:$H$313,0)),"Yes")&lt;&gt;"Yes"),1,0))</f>
        <v/>
      </c>
    </row>
    <row r="28" ht="24" customHeight="1">
      <c r="A28" s="19" t="n"/>
      <c r="B28" s="20" t="n"/>
      <c r="C28" s="21">
        <f>IFERROR(AVERAGE(P28:T28),"")</f>
        <v/>
      </c>
      <c r="D28" s="29" t="n"/>
      <c r="E28" s="29" t="n"/>
      <c r="F28" s="30">
        <f>IF(AND(ISNUMBER($D28),ISNUMBER($E28),$E28&gt;0,$D28&lt;=$E28),$D28/$E28,"")</f>
        <v/>
      </c>
      <c r="H28" s="19">
        <f>IFERROR(INDEX($A$14:$A$1213,MATCH(15,$AI$14:$AI$1213,0)),"")</f>
        <v/>
      </c>
      <c r="I28" s="24">
        <f>IF($H28="","",IF(COUNTIFS($A$14:$A$1213,$H28,$C$14:$C$1213,"&gt;=0")=0,"—",IFERROR(INDEX($B$14:$B$1213,MATCH($H28&amp;"|1",$Z$14:$Z$1213,0)),"(tied)")))</f>
        <v/>
      </c>
      <c r="J28" s="25">
        <f>IF($H28="","",IF(OR(COUNTIFS($A$14:$A$1213,$H28,$C$14:$C$1213,"&gt;=0")=0,COUNTIFS($A$14:$A$1213,$H28,$F$14:$F$1213,"&gt;=0")=0),"—",IF(OR(ISERROR(MATCH($H28&amp;"|1",$Z$14:$Z$1213,0)),ISERROR(MATCH($H28&amp;"|1",$AA$14:$AA$1213,0))),"Tie",IF(MATCH($H28&amp;"|1",$Z$14:$Z$1213,0)=MATCH($H28&amp;"|1",$AA$14:$AA$1213,0),"Hit","Miss"))))</f>
        <v/>
      </c>
      <c r="K28" s="24">
        <f>IF($H28="","",IF(COUNTIFS($A$14:$A$1213,$H28,$F$14:$F$1213,"&gt;=0")=0,"—",IFERROR(INDEX($B$14:$B$1213,MATCH($H28&amp;"|1",$AA$14:$AA$1213,0)),"(tied)")))</f>
        <v/>
      </c>
      <c r="L28" s="25">
        <f>IF($H28="","",IF((--(COUNTIFS($A$14:$A$1213,$H28,$P$14:$P$1213,"&gt;=0")&gt;0)+--(COUNTIFS($A$14:$A$1213,$H28,$Q$14:$Q$1213,"&gt;=0")&gt;0)+--(COUNTIFS($A$14:$A$1213,$H28,$R$14:$R$1213,"&gt;=0")&gt;0)+--(COUNTIFS($A$14:$A$1213,$H28,$S$14:$S$1213,"&gt;=0")&gt;0)+--(COUNTIFS($A$14:$A$1213,$H28,$T$14:$T$1213,"&gt;=0")&gt;0))&lt;2,"—",IF(SUMIFS($AH$14:$AH$1213,$A$14:$A$1213,$H28)=0,"Yes","No")))</f>
        <v/>
      </c>
      <c r="M28" s="25">
        <f>IF($H28="","",IF(COUNTIFS($A$14:$A$1213,$H28,$F$14:$F$1213,"&gt;=0")&lt;2,"—",IF(COUNTIFS($A$14:$A$1213,$H28,$F$14:$F$1213,_xlfn.MAXIFS($F$14:$F$1213,$A$14:$A$1213,$H28))&gt;1,"No",IF(NOT(ISNUMBER($AN28)),"—",IF((2*(1-NORMSDIST(ABS($AN28))))&lt;0.05,"Yes","No")))))</f>
        <v/>
      </c>
      <c r="N28" s="21">
        <f>IF($H28="","",IF(NOT(ISNUMBER($AN28)),"—",IF((2*(1-NORMSDIST(ABS($AN28))))&lt;0.001,"&lt;0.001",TEXT((2*(1-NORMSDIST(ABS($AN28)))),"0.000"))))</f>
        <v/>
      </c>
      <c r="P28" s="26" t="n"/>
      <c r="Q28" s="26" t="n"/>
      <c r="R28" s="26" t="n"/>
      <c r="S28" s="26" t="n"/>
      <c r="T28" s="26" t="n"/>
      <c r="V28" s="27">
        <f>IF(ISNUMBER($C28),COUNTIFS($A$14:$A$1213,$A28,$C$14:$C$1213,"&gt;"&amp;$C28)+(COUNTIFS($A$14:$A$1213,$A28,$C$14:$C$1213,"="&amp;$C28)+1)/2,"")</f>
        <v/>
      </c>
      <c r="W28" s="27">
        <f>IF(ISNUMBER($F28),COUNTIFS($A$14:$A$1213,$A28,$F$14:$F$1213,"&gt;"&amp;$F28)+(COUNTIFS($A$14:$A$1213,$A28,$F$14:$F$1213,"="&amp;$F28)+1)/2,"")</f>
        <v/>
      </c>
      <c r="X28" s="27">
        <f>IF(OR(NOT(ISNUMBER($V28)),$AO28=1),"",$V28-(COUNTIFS($A$14:$A$1213,$A28,$C$14:$C$1213,"&gt;=0")+1)/2)</f>
        <v/>
      </c>
      <c r="Y28" s="27">
        <f>IF(OR(NOT(ISNUMBER($W28)),$AO28=1),"",$W28-(COUNTIFS($A$14:$A$1213,$A28,$F$14:$F$1213,"&gt;=0")+1)/2)</f>
        <v/>
      </c>
      <c r="Z28" s="27">
        <f>IF(ISNUMBER($V28),$A28&amp;"|"&amp;$V28,"")</f>
        <v/>
      </c>
      <c r="AA28" s="27">
        <f>IF(ISNUMBER($W28),$A28&amp;"|"&amp;$W28,"")</f>
        <v/>
      </c>
      <c r="AB28" s="27">
        <f>IF(ISNUMBER($F28),$A28&amp;"|"&amp;$F28,"")</f>
        <v/>
      </c>
      <c r="AC28" s="27">
        <f>IF(ISNUMBER($P28),COUNTIFS($A$14:$A$1213,$A28,$P$14:$P$1213,"&gt;"&amp;$P28)+(COUNTIFS($A$14:$A$1213,$A28,$P$14:$P$1213,"="&amp;$P28)+1)/2,"")</f>
        <v/>
      </c>
      <c r="AD28" s="27">
        <f>IF(ISNUMBER($Q28),COUNTIFS($A$14:$A$1213,$A28,$Q$14:$Q$1213,"&gt;"&amp;$Q28)+(COUNTIFS($A$14:$A$1213,$A28,$Q$14:$Q$1213,"="&amp;$Q28)+1)/2,"")</f>
        <v/>
      </c>
      <c r="AE28" s="27">
        <f>IF(ISNUMBER($R28),COUNTIFS($A$14:$A$1213,$A28,$R$14:$R$1213,"&gt;"&amp;$R28)+(COUNTIFS($A$14:$A$1213,$A28,$R$14:$R$1213,"="&amp;$R28)+1)/2,"")</f>
        <v/>
      </c>
      <c r="AF28" s="27">
        <f>IF(ISNUMBER($S28),COUNTIFS($A$14:$A$1213,$A28,$S$14:$S$1213,"&gt;"&amp;$S28)+(COUNTIFS($A$14:$A$1213,$A28,$S$14:$S$1213,"="&amp;$S28)+1)/2,"")</f>
        <v/>
      </c>
      <c r="AG28" s="27">
        <f>IF(ISNUMBER($T28),COUNTIFS($A$14:$A$1213,$A28,$T$14:$T$1213,"&gt;"&amp;$T28)+(COUNTIFS($A$14:$A$1213,$A28,$T$14:$T$1213,"="&amp;$T28)+1)/2,"")</f>
        <v/>
      </c>
      <c r="AH28" s="27">
        <f>IF(COUNT($AC28:$AG28)&lt;2,"",IF(MAX($AC28:$AG28)=MIN($AC28:$AG28),0,1))</f>
        <v/>
      </c>
      <c r="AI28" s="27">
        <f>IF($A28="","",IF(COUNTIF($A$14:$A28,$A28)=1,COUNTIF($AI$13:AI27,"&gt;0")+1,""))</f>
        <v/>
      </c>
      <c r="AJ28" s="27">
        <f>IF(OR($H28="",COUNTIFS($A$14:$A$1213,$H28,$F$14:$F$1213,"&gt;=0")&lt;2,COUNTIFS($A$14:$A$1213,$H28,$F$14:$F$1213,_xlfn.MAXIFS($F$14:$F$1213,$A$14:$A$1213,$H28))&gt;1),"",IFERROR(INDEX($D$14:$D$1213,MATCH($H28&amp;"|"&amp;_xlfn.MAXIFS($F$14:$F$1213,$A$14:$A$1213,$H28),$AB$14:$AB$1213,0)),""))</f>
        <v/>
      </c>
      <c r="AK28" s="27">
        <f>IF(OR($H28="",COUNTIFS($A$14:$A$1213,$H28,$F$14:$F$1213,"&gt;=0")&lt;2,COUNTIFS($A$14:$A$1213,$H28,$F$14:$F$1213,_xlfn.MAXIFS($F$14:$F$1213,$A$14:$A$1213,$H28))&gt;1),"",IFERROR(INDEX($E$14:$E$1213,MATCH($H28&amp;"|"&amp;_xlfn.MAXIFS($F$14:$F$1213,$A$14:$A$1213,$H28),$AB$14:$AB$1213,0)),""))</f>
        <v/>
      </c>
      <c r="AL28" s="27">
        <f>IF(OR($H28="",COUNTIFS($A$14:$A$1213,$H28,$F$14:$F$1213,"&gt;=0")&lt;2,COUNTIFS($A$14:$A$1213,$H28,$F$14:$F$1213,_xlfn.MAXIFS($F$14:$F$1213,$A$14:$A$1213,$H28))&gt;1),"",IFERROR(INDEX($D$14:$D$1213,MATCH($H28&amp;"|"&amp;_xlfn.MAXIFS($F$14:$F$1213,$A$14:$A$1213,$H28,$F$14:$F$1213,"&lt;"&amp;_xlfn.MAXIFS($F$14:$F$1213,$A$14:$A$1213,$H28)),$AB$14:$AB$1213,0)),""))</f>
        <v/>
      </c>
      <c r="AM28" s="27">
        <f>IF(OR($H28="",COUNTIFS($A$14:$A$1213,$H28,$F$14:$F$1213,"&gt;=0")&lt;2,COUNTIFS($A$14:$A$1213,$H28,$F$14:$F$1213,_xlfn.MAXIFS($F$14:$F$1213,$A$14:$A$1213,$H28))&gt;1),"",IFERROR(INDEX($E$14:$E$1213,MATCH($H28&amp;"|"&amp;_xlfn.MAXIFS($F$14:$F$1213,$A$14:$A$1213,$H28,$F$14:$F$1213,"&lt;"&amp;_xlfn.MAXIFS($F$14:$F$1213,$A$14:$A$1213,$H28)),$AB$14:$AB$1213,0)),""))</f>
        <v/>
      </c>
      <c r="AN28" s="27">
        <f>IF(OR(NOT(ISNUMBER($AJ28)),NOT(ISNUMBER($AL28)),$AK28=0,$AM28=0),"",IF(OR((($AJ28+$AL28)/($AK28+$AM28))&lt;=0,(($AJ28+$AL28)/($AK28+$AM28))&gt;=1),"",($AJ28/$AK28-$AL28/$AM28)/SQRT((($AJ28+$AL28)/($AK28+$AM28))*(1-(($AJ28+$AL28)/($AK28+$AM28)))*(1/$AK28+1/$AM28))))</f>
        <v/>
      </c>
      <c r="AO28" s="27">
        <f>IF($A28="","",IF(AND(COUNTIFS($A$14:$A$1213,$A28,$F$14:$F$1213,"&gt;=0")=2,IFERROR(INDEX($M$14:$M$313,MATCH($A28,$H$14:$H$313,0)),"Yes")&lt;&gt;"Yes"),1,0))</f>
        <v/>
      </c>
    </row>
    <row r="29" ht="24" customHeight="1">
      <c r="A29" s="19" t="n"/>
      <c r="B29" s="20" t="n"/>
      <c r="C29" s="21">
        <f>IFERROR(AVERAGE(P29:T29),"")</f>
        <v/>
      </c>
      <c r="D29" s="29" t="n"/>
      <c r="E29" s="29" t="n"/>
      <c r="F29" s="30">
        <f>IF(AND(ISNUMBER($D29),ISNUMBER($E29),$E29&gt;0,$D29&lt;=$E29),$D29/$E29,"")</f>
        <v/>
      </c>
      <c r="H29" s="19">
        <f>IFERROR(INDEX($A$14:$A$1213,MATCH(16,$AI$14:$AI$1213,0)),"")</f>
        <v/>
      </c>
      <c r="I29" s="24">
        <f>IF($H29="","",IF(COUNTIFS($A$14:$A$1213,$H29,$C$14:$C$1213,"&gt;=0")=0,"—",IFERROR(INDEX($B$14:$B$1213,MATCH($H29&amp;"|1",$Z$14:$Z$1213,0)),"(tied)")))</f>
        <v/>
      </c>
      <c r="J29" s="25">
        <f>IF($H29="","",IF(OR(COUNTIFS($A$14:$A$1213,$H29,$C$14:$C$1213,"&gt;=0")=0,COUNTIFS($A$14:$A$1213,$H29,$F$14:$F$1213,"&gt;=0")=0),"—",IF(OR(ISERROR(MATCH($H29&amp;"|1",$Z$14:$Z$1213,0)),ISERROR(MATCH($H29&amp;"|1",$AA$14:$AA$1213,0))),"Tie",IF(MATCH($H29&amp;"|1",$Z$14:$Z$1213,0)=MATCH($H29&amp;"|1",$AA$14:$AA$1213,0),"Hit","Miss"))))</f>
        <v/>
      </c>
      <c r="K29" s="24">
        <f>IF($H29="","",IF(COUNTIFS($A$14:$A$1213,$H29,$F$14:$F$1213,"&gt;=0")=0,"—",IFERROR(INDEX($B$14:$B$1213,MATCH($H29&amp;"|1",$AA$14:$AA$1213,0)),"(tied)")))</f>
        <v/>
      </c>
      <c r="L29" s="25">
        <f>IF($H29="","",IF((--(COUNTIFS($A$14:$A$1213,$H29,$P$14:$P$1213,"&gt;=0")&gt;0)+--(COUNTIFS($A$14:$A$1213,$H29,$Q$14:$Q$1213,"&gt;=0")&gt;0)+--(COUNTIFS($A$14:$A$1213,$H29,$R$14:$R$1213,"&gt;=0")&gt;0)+--(COUNTIFS($A$14:$A$1213,$H29,$S$14:$S$1213,"&gt;=0")&gt;0)+--(COUNTIFS($A$14:$A$1213,$H29,$T$14:$T$1213,"&gt;=0")&gt;0))&lt;2,"—",IF(SUMIFS($AH$14:$AH$1213,$A$14:$A$1213,$H29)=0,"Yes","No")))</f>
        <v/>
      </c>
      <c r="M29" s="25">
        <f>IF($H29="","",IF(COUNTIFS($A$14:$A$1213,$H29,$F$14:$F$1213,"&gt;=0")&lt;2,"—",IF(COUNTIFS($A$14:$A$1213,$H29,$F$14:$F$1213,_xlfn.MAXIFS($F$14:$F$1213,$A$14:$A$1213,$H29))&gt;1,"No",IF(NOT(ISNUMBER($AN29)),"—",IF((2*(1-NORMSDIST(ABS($AN29))))&lt;0.05,"Yes","No")))))</f>
        <v/>
      </c>
      <c r="N29" s="21">
        <f>IF($H29="","",IF(NOT(ISNUMBER($AN29)),"—",IF((2*(1-NORMSDIST(ABS($AN29))))&lt;0.001,"&lt;0.001",TEXT((2*(1-NORMSDIST(ABS($AN29)))),"0.000"))))</f>
        <v/>
      </c>
      <c r="P29" s="26" t="n"/>
      <c r="Q29" s="26" t="n"/>
      <c r="R29" s="26" t="n"/>
      <c r="S29" s="26" t="n"/>
      <c r="T29" s="26" t="n"/>
      <c r="V29" s="27">
        <f>IF(ISNUMBER($C29),COUNTIFS($A$14:$A$1213,$A29,$C$14:$C$1213,"&gt;"&amp;$C29)+(COUNTIFS($A$14:$A$1213,$A29,$C$14:$C$1213,"="&amp;$C29)+1)/2,"")</f>
        <v/>
      </c>
      <c r="W29" s="27">
        <f>IF(ISNUMBER($F29),COUNTIFS($A$14:$A$1213,$A29,$F$14:$F$1213,"&gt;"&amp;$F29)+(COUNTIFS($A$14:$A$1213,$A29,$F$14:$F$1213,"="&amp;$F29)+1)/2,"")</f>
        <v/>
      </c>
      <c r="X29" s="27">
        <f>IF(OR(NOT(ISNUMBER($V29)),$AO29=1),"",$V29-(COUNTIFS($A$14:$A$1213,$A29,$C$14:$C$1213,"&gt;=0")+1)/2)</f>
        <v/>
      </c>
      <c r="Y29" s="27">
        <f>IF(OR(NOT(ISNUMBER($W29)),$AO29=1),"",$W29-(COUNTIFS($A$14:$A$1213,$A29,$F$14:$F$1213,"&gt;=0")+1)/2)</f>
        <v/>
      </c>
      <c r="Z29" s="27">
        <f>IF(ISNUMBER($V29),$A29&amp;"|"&amp;$V29,"")</f>
        <v/>
      </c>
      <c r="AA29" s="27">
        <f>IF(ISNUMBER($W29),$A29&amp;"|"&amp;$W29,"")</f>
        <v/>
      </c>
      <c r="AB29" s="27">
        <f>IF(ISNUMBER($F29),$A29&amp;"|"&amp;$F29,"")</f>
        <v/>
      </c>
      <c r="AC29" s="27">
        <f>IF(ISNUMBER($P29),COUNTIFS($A$14:$A$1213,$A29,$P$14:$P$1213,"&gt;"&amp;$P29)+(COUNTIFS($A$14:$A$1213,$A29,$P$14:$P$1213,"="&amp;$P29)+1)/2,"")</f>
        <v/>
      </c>
      <c r="AD29" s="27">
        <f>IF(ISNUMBER($Q29),COUNTIFS($A$14:$A$1213,$A29,$Q$14:$Q$1213,"&gt;"&amp;$Q29)+(COUNTIFS($A$14:$A$1213,$A29,$Q$14:$Q$1213,"="&amp;$Q29)+1)/2,"")</f>
        <v/>
      </c>
      <c r="AE29" s="27">
        <f>IF(ISNUMBER($R29),COUNTIFS($A$14:$A$1213,$A29,$R$14:$R$1213,"&gt;"&amp;$R29)+(COUNTIFS($A$14:$A$1213,$A29,$R$14:$R$1213,"="&amp;$R29)+1)/2,"")</f>
        <v/>
      </c>
      <c r="AF29" s="27">
        <f>IF(ISNUMBER($S29),COUNTIFS($A$14:$A$1213,$A29,$S$14:$S$1213,"&gt;"&amp;$S29)+(COUNTIFS($A$14:$A$1213,$A29,$S$14:$S$1213,"="&amp;$S29)+1)/2,"")</f>
        <v/>
      </c>
      <c r="AG29" s="27">
        <f>IF(ISNUMBER($T29),COUNTIFS($A$14:$A$1213,$A29,$T$14:$T$1213,"&gt;"&amp;$T29)+(COUNTIFS($A$14:$A$1213,$A29,$T$14:$T$1213,"="&amp;$T29)+1)/2,"")</f>
        <v/>
      </c>
      <c r="AH29" s="27">
        <f>IF(COUNT($AC29:$AG29)&lt;2,"",IF(MAX($AC29:$AG29)=MIN($AC29:$AG29),0,1))</f>
        <v/>
      </c>
      <c r="AI29" s="27">
        <f>IF($A29="","",IF(COUNTIF($A$14:$A29,$A29)=1,COUNTIF($AI$13:AI28,"&gt;0")+1,""))</f>
        <v/>
      </c>
      <c r="AJ29" s="27">
        <f>IF(OR($H29="",COUNTIFS($A$14:$A$1213,$H29,$F$14:$F$1213,"&gt;=0")&lt;2,COUNTIFS($A$14:$A$1213,$H29,$F$14:$F$1213,_xlfn.MAXIFS($F$14:$F$1213,$A$14:$A$1213,$H29))&gt;1),"",IFERROR(INDEX($D$14:$D$1213,MATCH($H29&amp;"|"&amp;_xlfn.MAXIFS($F$14:$F$1213,$A$14:$A$1213,$H29),$AB$14:$AB$1213,0)),""))</f>
        <v/>
      </c>
      <c r="AK29" s="27">
        <f>IF(OR($H29="",COUNTIFS($A$14:$A$1213,$H29,$F$14:$F$1213,"&gt;=0")&lt;2,COUNTIFS($A$14:$A$1213,$H29,$F$14:$F$1213,_xlfn.MAXIFS($F$14:$F$1213,$A$14:$A$1213,$H29))&gt;1),"",IFERROR(INDEX($E$14:$E$1213,MATCH($H29&amp;"|"&amp;_xlfn.MAXIFS($F$14:$F$1213,$A$14:$A$1213,$H29),$AB$14:$AB$1213,0)),""))</f>
        <v/>
      </c>
      <c r="AL29" s="27">
        <f>IF(OR($H29="",COUNTIFS($A$14:$A$1213,$H29,$F$14:$F$1213,"&gt;=0")&lt;2,COUNTIFS($A$14:$A$1213,$H29,$F$14:$F$1213,_xlfn.MAXIFS($F$14:$F$1213,$A$14:$A$1213,$H29))&gt;1),"",IFERROR(INDEX($D$14:$D$1213,MATCH($H29&amp;"|"&amp;_xlfn.MAXIFS($F$14:$F$1213,$A$14:$A$1213,$H29,$F$14:$F$1213,"&lt;"&amp;_xlfn.MAXIFS($F$14:$F$1213,$A$14:$A$1213,$H29)),$AB$14:$AB$1213,0)),""))</f>
        <v/>
      </c>
      <c r="AM29" s="27">
        <f>IF(OR($H29="",COUNTIFS($A$14:$A$1213,$H29,$F$14:$F$1213,"&gt;=0")&lt;2,COUNTIFS($A$14:$A$1213,$H29,$F$14:$F$1213,_xlfn.MAXIFS($F$14:$F$1213,$A$14:$A$1213,$H29))&gt;1),"",IFERROR(INDEX($E$14:$E$1213,MATCH($H29&amp;"|"&amp;_xlfn.MAXIFS($F$14:$F$1213,$A$14:$A$1213,$H29,$F$14:$F$1213,"&lt;"&amp;_xlfn.MAXIFS($F$14:$F$1213,$A$14:$A$1213,$H29)),$AB$14:$AB$1213,0)),""))</f>
        <v/>
      </c>
      <c r="AN29" s="27">
        <f>IF(OR(NOT(ISNUMBER($AJ29)),NOT(ISNUMBER($AL29)),$AK29=0,$AM29=0),"",IF(OR((($AJ29+$AL29)/($AK29+$AM29))&lt;=0,(($AJ29+$AL29)/($AK29+$AM29))&gt;=1),"",($AJ29/$AK29-$AL29/$AM29)/SQRT((($AJ29+$AL29)/($AK29+$AM29))*(1-(($AJ29+$AL29)/($AK29+$AM29)))*(1/$AK29+1/$AM29))))</f>
        <v/>
      </c>
      <c r="AO29" s="27">
        <f>IF($A29="","",IF(AND(COUNTIFS($A$14:$A$1213,$A29,$F$14:$F$1213,"&gt;=0")=2,IFERROR(INDEX($M$14:$M$313,MATCH($A29,$H$14:$H$313,0)),"Yes")&lt;&gt;"Yes"),1,0))</f>
        <v/>
      </c>
    </row>
    <row r="30" ht="24" customHeight="1">
      <c r="A30" s="19" t="n"/>
      <c r="B30" s="20" t="n"/>
      <c r="C30" s="21">
        <f>IFERROR(AVERAGE(P30:T30),"")</f>
        <v/>
      </c>
      <c r="D30" s="29" t="n"/>
      <c r="E30" s="29" t="n"/>
      <c r="F30" s="30">
        <f>IF(AND(ISNUMBER($D30),ISNUMBER($E30),$E30&gt;0,$D30&lt;=$E30),$D30/$E30,"")</f>
        <v/>
      </c>
      <c r="H30" s="19">
        <f>IFERROR(INDEX($A$14:$A$1213,MATCH(17,$AI$14:$AI$1213,0)),"")</f>
        <v/>
      </c>
      <c r="I30" s="24">
        <f>IF($H30="","",IF(COUNTIFS($A$14:$A$1213,$H30,$C$14:$C$1213,"&gt;=0")=0,"—",IFERROR(INDEX($B$14:$B$1213,MATCH($H30&amp;"|1",$Z$14:$Z$1213,0)),"(tied)")))</f>
        <v/>
      </c>
      <c r="J30" s="25">
        <f>IF($H30="","",IF(OR(COUNTIFS($A$14:$A$1213,$H30,$C$14:$C$1213,"&gt;=0")=0,COUNTIFS($A$14:$A$1213,$H30,$F$14:$F$1213,"&gt;=0")=0),"—",IF(OR(ISERROR(MATCH($H30&amp;"|1",$Z$14:$Z$1213,0)),ISERROR(MATCH($H30&amp;"|1",$AA$14:$AA$1213,0))),"Tie",IF(MATCH($H30&amp;"|1",$Z$14:$Z$1213,0)=MATCH($H30&amp;"|1",$AA$14:$AA$1213,0),"Hit","Miss"))))</f>
        <v/>
      </c>
      <c r="K30" s="24">
        <f>IF($H30="","",IF(COUNTIFS($A$14:$A$1213,$H30,$F$14:$F$1213,"&gt;=0")=0,"—",IFERROR(INDEX($B$14:$B$1213,MATCH($H30&amp;"|1",$AA$14:$AA$1213,0)),"(tied)")))</f>
        <v/>
      </c>
      <c r="L30" s="25">
        <f>IF($H30="","",IF((--(COUNTIFS($A$14:$A$1213,$H30,$P$14:$P$1213,"&gt;=0")&gt;0)+--(COUNTIFS($A$14:$A$1213,$H30,$Q$14:$Q$1213,"&gt;=0")&gt;0)+--(COUNTIFS($A$14:$A$1213,$H30,$R$14:$R$1213,"&gt;=0")&gt;0)+--(COUNTIFS($A$14:$A$1213,$H30,$S$14:$S$1213,"&gt;=0")&gt;0)+--(COUNTIFS($A$14:$A$1213,$H30,$T$14:$T$1213,"&gt;=0")&gt;0))&lt;2,"—",IF(SUMIFS($AH$14:$AH$1213,$A$14:$A$1213,$H30)=0,"Yes","No")))</f>
        <v/>
      </c>
      <c r="M30" s="25">
        <f>IF($H30="","",IF(COUNTIFS($A$14:$A$1213,$H30,$F$14:$F$1213,"&gt;=0")&lt;2,"—",IF(COUNTIFS($A$14:$A$1213,$H30,$F$14:$F$1213,_xlfn.MAXIFS($F$14:$F$1213,$A$14:$A$1213,$H30))&gt;1,"No",IF(NOT(ISNUMBER($AN30)),"—",IF((2*(1-NORMSDIST(ABS($AN30))))&lt;0.05,"Yes","No")))))</f>
        <v/>
      </c>
      <c r="N30" s="21">
        <f>IF($H30="","",IF(NOT(ISNUMBER($AN30)),"—",IF((2*(1-NORMSDIST(ABS($AN30))))&lt;0.001,"&lt;0.001",TEXT((2*(1-NORMSDIST(ABS($AN30)))),"0.000"))))</f>
        <v/>
      </c>
      <c r="P30" s="26" t="n"/>
      <c r="Q30" s="26" t="n"/>
      <c r="R30" s="26" t="n"/>
      <c r="S30" s="26" t="n"/>
      <c r="T30" s="26" t="n"/>
      <c r="V30" s="27">
        <f>IF(ISNUMBER($C30),COUNTIFS($A$14:$A$1213,$A30,$C$14:$C$1213,"&gt;"&amp;$C30)+(COUNTIFS($A$14:$A$1213,$A30,$C$14:$C$1213,"="&amp;$C30)+1)/2,"")</f>
        <v/>
      </c>
      <c r="W30" s="27">
        <f>IF(ISNUMBER($F30),COUNTIFS($A$14:$A$1213,$A30,$F$14:$F$1213,"&gt;"&amp;$F30)+(COUNTIFS($A$14:$A$1213,$A30,$F$14:$F$1213,"="&amp;$F30)+1)/2,"")</f>
        <v/>
      </c>
      <c r="X30" s="27">
        <f>IF(OR(NOT(ISNUMBER($V30)),$AO30=1),"",$V30-(COUNTIFS($A$14:$A$1213,$A30,$C$14:$C$1213,"&gt;=0")+1)/2)</f>
        <v/>
      </c>
      <c r="Y30" s="27">
        <f>IF(OR(NOT(ISNUMBER($W30)),$AO30=1),"",$W30-(COUNTIFS($A$14:$A$1213,$A30,$F$14:$F$1213,"&gt;=0")+1)/2)</f>
        <v/>
      </c>
      <c r="Z30" s="27">
        <f>IF(ISNUMBER($V30),$A30&amp;"|"&amp;$V30,"")</f>
        <v/>
      </c>
      <c r="AA30" s="27">
        <f>IF(ISNUMBER($W30),$A30&amp;"|"&amp;$W30,"")</f>
        <v/>
      </c>
      <c r="AB30" s="27">
        <f>IF(ISNUMBER($F30),$A30&amp;"|"&amp;$F30,"")</f>
        <v/>
      </c>
      <c r="AC30" s="27">
        <f>IF(ISNUMBER($P30),COUNTIFS($A$14:$A$1213,$A30,$P$14:$P$1213,"&gt;"&amp;$P30)+(COUNTIFS($A$14:$A$1213,$A30,$P$14:$P$1213,"="&amp;$P30)+1)/2,"")</f>
        <v/>
      </c>
      <c r="AD30" s="27">
        <f>IF(ISNUMBER($Q30),COUNTIFS($A$14:$A$1213,$A30,$Q$14:$Q$1213,"&gt;"&amp;$Q30)+(COUNTIFS($A$14:$A$1213,$A30,$Q$14:$Q$1213,"="&amp;$Q30)+1)/2,"")</f>
        <v/>
      </c>
      <c r="AE30" s="27">
        <f>IF(ISNUMBER($R30),COUNTIFS($A$14:$A$1213,$A30,$R$14:$R$1213,"&gt;"&amp;$R30)+(COUNTIFS($A$14:$A$1213,$A30,$R$14:$R$1213,"="&amp;$R30)+1)/2,"")</f>
        <v/>
      </c>
      <c r="AF30" s="27">
        <f>IF(ISNUMBER($S30),COUNTIFS($A$14:$A$1213,$A30,$S$14:$S$1213,"&gt;"&amp;$S30)+(COUNTIFS($A$14:$A$1213,$A30,$S$14:$S$1213,"="&amp;$S30)+1)/2,"")</f>
        <v/>
      </c>
      <c r="AG30" s="27">
        <f>IF(ISNUMBER($T30),COUNTIFS($A$14:$A$1213,$A30,$T$14:$T$1213,"&gt;"&amp;$T30)+(COUNTIFS($A$14:$A$1213,$A30,$T$14:$T$1213,"="&amp;$T30)+1)/2,"")</f>
        <v/>
      </c>
      <c r="AH30" s="27">
        <f>IF(COUNT($AC30:$AG30)&lt;2,"",IF(MAX($AC30:$AG30)=MIN($AC30:$AG30),0,1))</f>
        <v/>
      </c>
      <c r="AI30" s="27">
        <f>IF($A30="","",IF(COUNTIF($A$14:$A30,$A30)=1,COUNTIF($AI$13:AI29,"&gt;0")+1,""))</f>
        <v/>
      </c>
      <c r="AJ30" s="27">
        <f>IF(OR($H30="",COUNTIFS($A$14:$A$1213,$H30,$F$14:$F$1213,"&gt;=0")&lt;2,COUNTIFS($A$14:$A$1213,$H30,$F$14:$F$1213,_xlfn.MAXIFS($F$14:$F$1213,$A$14:$A$1213,$H30))&gt;1),"",IFERROR(INDEX($D$14:$D$1213,MATCH($H30&amp;"|"&amp;_xlfn.MAXIFS($F$14:$F$1213,$A$14:$A$1213,$H30),$AB$14:$AB$1213,0)),""))</f>
        <v/>
      </c>
      <c r="AK30" s="27">
        <f>IF(OR($H30="",COUNTIFS($A$14:$A$1213,$H30,$F$14:$F$1213,"&gt;=0")&lt;2,COUNTIFS($A$14:$A$1213,$H30,$F$14:$F$1213,_xlfn.MAXIFS($F$14:$F$1213,$A$14:$A$1213,$H30))&gt;1),"",IFERROR(INDEX($E$14:$E$1213,MATCH($H30&amp;"|"&amp;_xlfn.MAXIFS($F$14:$F$1213,$A$14:$A$1213,$H30),$AB$14:$AB$1213,0)),""))</f>
        <v/>
      </c>
      <c r="AL30" s="27">
        <f>IF(OR($H30="",COUNTIFS($A$14:$A$1213,$H30,$F$14:$F$1213,"&gt;=0")&lt;2,COUNTIFS($A$14:$A$1213,$H30,$F$14:$F$1213,_xlfn.MAXIFS($F$14:$F$1213,$A$14:$A$1213,$H30))&gt;1),"",IFERROR(INDEX($D$14:$D$1213,MATCH($H30&amp;"|"&amp;_xlfn.MAXIFS($F$14:$F$1213,$A$14:$A$1213,$H30,$F$14:$F$1213,"&lt;"&amp;_xlfn.MAXIFS($F$14:$F$1213,$A$14:$A$1213,$H30)),$AB$14:$AB$1213,0)),""))</f>
        <v/>
      </c>
      <c r="AM30" s="27">
        <f>IF(OR($H30="",COUNTIFS($A$14:$A$1213,$H30,$F$14:$F$1213,"&gt;=0")&lt;2,COUNTIFS($A$14:$A$1213,$H30,$F$14:$F$1213,_xlfn.MAXIFS($F$14:$F$1213,$A$14:$A$1213,$H30))&gt;1),"",IFERROR(INDEX($E$14:$E$1213,MATCH($H30&amp;"|"&amp;_xlfn.MAXIFS($F$14:$F$1213,$A$14:$A$1213,$H30,$F$14:$F$1213,"&lt;"&amp;_xlfn.MAXIFS($F$14:$F$1213,$A$14:$A$1213,$H30)),$AB$14:$AB$1213,0)),""))</f>
        <v/>
      </c>
      <c r="AN30" s="27">
        <f>IF(OR(NOT(ISNUMBER($AJ30)),NOT(ISNUMBER($AL30)),$AK30=0,$AM30=0),"",IF(OR((($AJ30+$AL30)/($AK30+$AM30))&lt;=0,(($AJ30+$AL30)/($AK30+$AM30))&gt;=1),"",($AJ30/$AK30-$AL30/$AM30)/SQRT((($AJ30+$AL30)/($AK30+$AM30))*(1-(($AJ30+$AL30)/($AK30+$AM30)))*(1/$AK30+1/$AM30))))</f>
        <v/>
      </c>
      <c r="AO30" s="27">
        <f>IF($A30="","",IF(AND(COUNTIFS($A$14:$A$1213,$A30,$F$14:$F$1213,"&gt;=0")=2,IFERROR(INDEX($M$14:$M$313,MATCH($A30,$H$14:$H$313,0)),"Yes")&lt;&gt;"Yes"),1,0))</f>
        <v/>
      </c>
    </row>
    <row r="31" ht="24" customHeight="1">
      <c r="A31" s="19" t="n"/>
      <c r="B31" s="20" t="n"/>
      <c r="C31" s="21">
        <f>IFERROR(AVERAGE(P31:T31),"")</f>
        <v/>
      </c>
      <c r="D31" s="29" t="n"/>
      <c r="E31" s="29" t="n"/>
      <c r="F31" s="30">
        <f>IF(AND(ISNUMBER($D31),ISNUMBER($E31),$E31&gt;0,$D31&lt;=$E31),$D31/$E31,"")</f>
        <v/>
      </c>
      <c r="H31" s="19">
        <f>IFERROR(INDEX($A$14:$A$1213,MATCH(18,$AI$14:$AI$1213,0)),"")</f>
        <v/>
      </c>
      <c r="I31" s="24">
        <f>IF($H31="","",IF(COUNTIFS($A$14:$A$1213,$H31,$C$14:$C$1213,"&gt;=0")=0,"—",IFERROR(INDEX($B$14:$B$1213,MATCH($H31&amp;"|1",$Z$14:$Z$1213,0)),"(tied)")))</f>
        <v/>
      </c>
      <c r="J31" s="25">
        <f>IF($H31="","",IF(OR(COUNTIFS($A$14:$A$1213,$H31,$C$14:$C$1213,"&gt;=0")=0,COUNTIFS($A$14:$A$1213,$H31,$F$14:$F$1213,"&gt;=0")=0),"—",IF(OR(ISERROR(MATCH($H31&amp;"|1",$Z$14:$Z$1213,0)),ISERROR(MATCH($H31&amp;"|1",$AA$14:$AA$1213,0))),"Tie",IF(MATCH($H31&amp;"|1",$Z$14:$Z$1213,0)=MATCH($H31&amp;"|1",$AA$14:$AA$1213,0),"Hit","Miss"))))</f>
        <v/>
      </c>
      <c r="K31" s="24">
        <f>IF($H31="","",IF(COUNTIFS($A$14:$A$1213,$H31,$F$14:$F$1213,"&gt;=0")=0,"—",IFERROR(INDEX($B$14:$B$1213,MATCH($H31&amp;"|1",$AA$14:$AA$1213,0)),"(tied)")))</f>
        <v/>
      </c>
      <c r="L31" s="25">
        <f>IF($H31="","",IF((--(COUNTIFS($A$14:$A$1213,$H31,$P$14:$P$1213,"&gt;=0")&gt;0)+--(COUNTIFS($A$14:$A$1213,$H31,$Q$14:$Q$1213,"&gt;=0")&gt;0)+--(COUNTIFS($A$14:$A$1213,$H31,$R$14:$R$1213,"&gt;=0")&gt;0)+--(COUNTIFS($A$14:$A$1213,$H31,$S$14:$S$1213,"&gt;=0")&gt;0)+--(COUNTIFS($A$14:$A$1213,$H31,$T$14:$T$1213,"&gt;=0")&gt;0))&lt;2,"—",IF(SUMIFS($AH$14:$AH$1213,$A$14:$A$1213,$H31)=0,"Yes","No")))</f>
        <v/>
      </c>
      <c r="M31" s="25">
        <f>IF($H31="","",IF(COUNTIFS($A$14:$A$1213,$H31,$F$14:$F$1213,"&gt;=0")&lt;2,"—",IF(COUNTIFS($A$14:$A$1213,$H31,$F$14:$F$1213,_xlfn.MAXIFS($F$14:$F$1213,$A$14:$A$1213,$H31))&gt;1,"No",IF(NOT(ISNUMBER($AN31)),"—",IF((2*(1-NORMSDIST(ABS($AN31))))&lt;0.05,"Yes","No")))))</f>
        <v/>
      </c>
      <c r="N31" s="21">
        <f>IF($H31="","",IF(NOT(ISNUMBER($AN31)),"—",IF((2*(1-NORMSDIST(ABS($AN31))))&lt;0.001,"&lt;0.001",TEXT((2*(1-NORMSDIST(ABS($AN31)))),"0.000"))))</f>
        <v/>
      </c>
      <c r="P31" s="26" t="n"/>
      <c r="Q31" s="26" t="n"/>
      <c r="R31" s="26" t="n"/>
      <c r="S31" s="26" t="n"/>
      <c r="T31" s="26" t="n"/>
      <c r="V31" s="27">
        <f>IF(ISNUMBER($C31),COUNTIFS($A$14:$A$1213,$A31,$C$14:$C$1213,"&gt;"&amp;$C31)+(COUNTIFS($A$14:$A$1213,$A31,$C$14:$C$1213,"="&amp;$C31)+1)/2,"")</f>
        <v/>
      </c>
      <c r="W31" s="27">
        <f>IF(ISNUMBER($F31),COUNTIFS($A$14:$A$1213,$A31,$F$14:$F$1213,"&gt;"&amp;$F31)+(COUNTIFS($A$14:$A$1213,$A31,$F$14:$F$1213,"="&amp;$F31)+1)/2,"")</f>
        <v/>
      </c>
      <c r="X31" s="27">
        <f>IF(OR(NOT(ISNUMBER($V31)),$AO31=1),"",$V31-(COUNTIFS($A$14:$A$1213,$A31,$C$14:$C$1213,"&gt;=0")+1)/2)</f>
        <v/>
      </c>
      <c r="Y31" s="27">
        <f>IF(OR(NOT(ISNUMBER($W31)),$AO31=1),"",$W31-(COUNTIFS($A$14:$A$1213,$A31,$F$14:$F$1213,"&gt;=0")+1)/2)</f>
        <v/>
      </c>
      <c r="Z31" s="27">
        <f>IF(ISNUMBER($V31),$A31&amp;"|"&amp;$V31,"")</f>
        <v/>
      </c>
      <c r="AA31" s="27">
        <f>IF(ISNUMBER($W31),$A31&amp;"|"&amp;$W31,"")</f>
        <v/>
      </c>
      <c r="AB31" s="27">
        <f>IF(ISNUMBER($F31),$A31&amp;"|"&amp;$F31,"")</f>
        <v/>
      </c>
      <c r="AC31" s="27">
        <f>IF(ISNUMBER($P31),COUNTIFS($A$14:$A$1213,$A31,$P$14:$P$1213,"&gt;"&amp;$P31)+(COUNTIFS($A$14:$A$1213,$A31,$P$14:$P$1213,"="&amp;$P31)+1)/2,"")</f>
        <v/>
      </c>
      <c r="AD31" s="27">
        <f>IF(ISNUMBER($Q31),COUNTIFS($A$14:$A$1213,$A31,$Q$14:$Q$1213,"&gt;"&amp;$Q31)+(COUNTIFS($A$14:$A$1213,$A31,$Q$14:$Q$1213,"="&amp;$Q31)+1)/2,"")</f>
        <v/>
      </c>
      <c r="AE31" s="27">
        <f>IF(ISNUMBER($R31),COUNTIFS($A$14:$A$1213,$A31,$R$14:$R$1213,"&gt;"&amp;$R31)+(COUNTIFS($A$14:$A$1213,$A31,$R$14:$R$1213,"="&amp;$R31)+1)/2,"")</f>
        <v/>
      </c>
      <c r="AF31" s="27">
        <f>IF(ISNUMBER($S31),COUNTIFS($A$14:$A$1213,$A31,$S$14:$S$1213,"&gt;"&amp;$S31)+(COUNTIFS($A$14:$A$1213,$A31,$S$14:$S$1213,"="&amp;$S31)+1)/2,"")</f>
        <v/>
      </c>
      <c r="AG31" s="27">
        <f>IF(ISNUMBER($T31),COUNTIFS($A$14:$A$1213,$A31,$T$14:$T$1213,"&gt;"&amp;$T31)+(COUNTIFS($A$14:$A$1213,$A31,$T$14:$T$1213,"="&amp;$T31)+1)/2,"")</f>
        <v/>
      </c>
      <c r="AH31" s="27">
        <f>IF(COUNT($AC31:$AG31)&lt;2,"",IF(MAX($AC31:$AG31)=MIN($AC31:$AG31),0,1))</f>
        <v/>
      </c>
      <c r="AI31" s="27">
        <f>IF($A31="","",IF(COUNTIF($A$14:$A31,$A31)=1,COUNTIF($AI$13:AI30,"&gt;0")+1,""))</f>
        <v/>
      </c>
      <c r="AJ31" s="27">
        <f>IF(OR($H31="",COUNTIFS($A$14:$A$1213,$H31,$F$14:$F$1213,"&gt;=0")&lt;2,COUNTIFS($A$14:$A$1213,$H31,$F$14:$F$1213,_xlfn.MAXIFS($F$14:$F$1213,$A$14:$A$1213,$H31))&gt;1),"",IFERROR(INDEX($D$14:$D$1213,MATCH($H31&amp;"|"&amp;_xlfn.MAXIFS($F$14:$F$1213,$A$14:$A$1213,$H31),$AB$14:$AB$1213,0)),""))</f>
        <v/>
      </c>
      <c r="AK31" s="27">
        <f>IF(OR($H31="",COUNTIFS($A$14:$A$1213,$H31,$F$14:$F$1213,"&gt;=0")&lt;2,COUNTIFS($A$14:$A$1213,$H31,$F$14:$F$1213,_xlfn.MAXIFS($F$14:$F$1213,$A$14:$A$1213,$H31))&gt;1),"",IFERROR(INDEX($E$14:$E$1213,MATCH($H31&amp;"|"&amp;_xlfn.MAXIFS($F$14:$F$1213,$A$14:$A$1213,$H31),$AB$14:$AB$1213,0)),""))</f>
        <v/>
      </c>
      <c r="AL31" s="27">
        <f>IF(OR($H31="",COUNTIFS($A$14:$A$1213,$H31,$F$14:$F$1213,"&gt;=0")&lt;2,COUNTIFS($A$14:$A$1213,$H31,$F$14:$F$1213,_xlfn.MAXIFS($F$14:$F$1213,$A$14:$A$1213,$H31))&gt;1),"",IFERROR(INDEX($D$14:$D$1213,MATCH($H31&amp;"|"&amp;_xlfn.MAXIFS($F$14:$F$1213,$A$14:$A$1213,$H31,$F$14:$F$1213,"&lt;"&amp;_xlfn.MAXIFS($F$14:$F$1213,$A$14:$A$1213,$H31)),$AB$14:$AB$1213,0)),""))</f>
        <v/>
      </c>
      <c r="AM31" s="27">
        <f>IF(OR($H31="",COUNTIFS($A$14:$A$1213,$H31,$F$14:$F$1213,"&gt;=0")&lt;2,COUNTIFS($A$14:$A$1213,$H31,$F$14:$F$1213,_xlfn.MAXIFS($F$14:$F$1213,$A$14:$A$1213,$H31))&gt;1),"",IFERROR(INDEX($E$14:$E$1213,MATCH($H31&amp;"|"&amp;_xlfn.MAXIFS($F$14:$F$1213,$A$14:$A$1213,$H31,$F$14:$F$1213,"&lt;"&amp;_xlfn.MAXIFS($F$14:$F$1213,$A$14:$A$1213,$H31)),$AB$14:$AB$1213,0)),""))</f>
        <v/>
      </c>
      <c r="AN31" s="27">
        <f>IF(OR(NOT(ISNUMBER($AJ31)),NOT(ISNUMBER($AL31)),$AK31=0,$AM31=0),"",IF(OR((($AJ31+$AL31)/($AK31+$AM31))&lt;=0,(($AJ31+$AL31)/($AK31+$AM31))&gt;=1),"",($AJ31/$AK31-$AL31/$AM31)/SQRT((($AJ31+$AL31)/($AK31+$AM31))*(1-(($AJ31+$AL31)/($AK31+$AM31)))*(1/$AK31+1/$AM31))))</f>
        <v/>
      </c>
      <c r="AO31" s="27">
        <f>IF($A31="","",IF(AND(COUNTIFS($A$14:$A$1213,$A31,$F$14:$F$1213,"&gt;=0")=2,IFERROR(INDEX($M$14:$M$313,MATCH($A31,$H$14:$H$313,0)),"Yes")&lt;&gt;"Yes"),1,0))</f>
        <v/>
      </c>
    </row>
    <row r="32" ht="24" customHeight="1">
      <c r="A32" s="19" t="n"/>
      <c r="B32" s="20" t="n"/>
      <c r="C32" s="21">
        <f>IFERROR(AVERAGE(P32:T32),"")</f>
        <v/>
      </c>
      <c r="D32" s="29" t="n"/>
      <c r="E32" s="29" t="n"/>
      <c r="F32" s="30">
        <f>IF(AND(ISNUMBER($D32),ISNUMBER($E32),$E32&gt;0,$D32&lt;=$E32),$D32/$E32,"")</f>
        <v/>
      </c>
      <c r="H32" s="19">
        <f>IFERROR(INDEX($A$14:$A$1213,MATCH(19,$AI$14:$AI$1213,0)),"")</f>
        <v/>
      </c>
      <c r="I32" s="24">
        <f>IF($H32="","",IF(COUNTIFS($A$14:$A$1213,$H32,$C$14:$C$1213,"&gt;=0")=0,"—",IFERROR(INDEX($B$14:$B$1213,MATCH($H32&amp;"|1",$Z$14:$Z$1213,0)),"(tied)")))</f>
        <v/>
      </c>
      <c r="J32" s="25">
        <f>IF($H32="","",IF(OR(COUNTIFS($A$14:$A$1213,$H32,$C$14:$C$1213,"&gt;=0")=0,COUNTIFS($A$14:$A$1213,$H32,$F$14:$F$1213,"&gt;=0")=0),"—",IF(OR(ISERROR(MATCH($H32&amp;"|1",$Z$14:$Z$1213,0)),ISERROR(MATCH($H32&amp;"|1",$AA$14:$AA$1213,0))),"Tie",IF(MATCH($H32&amp;"|1",$Z$14:$Z$1213,0)=MATCH($H32&amp;"|1",$AA$14:$AA$1213,0),"Hit","Miss"))))</f>
        <v/>
      </c>
      <c r="K32" s="24">
        <f>IF($H32="","",IF(COUNTIFS($A$14:$A$1213,$H32,$F$14:$F$1213,"&gt;=0")=0,"—",IFERROR(INDEX($B$14:$B$1213,MATCH($H32&amp;"|1",$AA$14:$AA$1213,0)),"(tied)")))</f>
        <v/>
      </c>
      <c r="L32" s="25">
        <f>IF($H32="","",IF((--(COUNTIFS($A$14:$A$1213,$H32,$P$14:$P$1213,"&gt;=0")&gt;0)+--(COUNTIFS($A$14:$A$1213,$H32,$Q$14:$Q$1213,"&gt;=0")&gt;0)+--(COUNTIFS($A$14:$A$1213,$H32,$R$14:$R$1213,"&gt;=0")&gt;0)+--(COUNTIFS($A$14:$A$1213,$H32,$S$14:$S$1213,"&gt;=0")&gt;0)+--(COUNTIFS($A$14:$A$1213,$H32,$T$14:$T$1213,"&gt;=0")&gt;0))&lt;2,"—",IF(SUMIFS($AH$14:$AH$1213,$A$14:$A$1213,$H32)=0,"Yes","No")))</f>
        <v/>
      </c>
      <c r="M32" s="25">
        <f>IF($H32="","",IF(COUNTIFS($A$14:$A$1213,$H32,$F$14:$F$1213,"&gt;=0")&lt;2,"—",IF(COUNTIFS($A$14:$A$1213,$H32,$F$14:$F$1213,_xlfn.MAXIFS($F$14:$F$1213,$A$14:$A$1213,$H32))&gt;1,"No",IF(NOT(ISNUMBER($AN32)),"—",IF((2*(1-NORMSDIST(ABS($AN32))))&lt;0.05,"Yes","No")))))</f>
        <v/>
      </c>
      <c r="N32" s="21">
        <f>IF($H32="","",IF(NOT(ISNUMBER($AN32)),"—",IF((2*(1-NORMSDIST(ABS($AN32))))&lt;0.001,"&lt;0.001",TEXT((2*(1-NORMSDIST(ABS($AN32)))),"0.000"))))</f>
        <v/>
      </c>
      <c r="P32" s="26" t="n"/>
      <c r="Q32" s="26" t="n"/>
      <c r="R32" s="26" t="n"/>
      <c r="S32" s="26" t="n"/>
      <c r="T32" s="26" t="n"/>
      <c r="V32" s="27">
        <f>IF(ISNUMBER($C32),COUNTIFS($A$14:$A$1213,$A32,$C$14:$C$1213,"&gt;"&amp;$C32)+(COUNTIFS($A$14:$A$1213,$A32,$C$14:$C$1213,"="&amp;$C32)+1)/2,"")</f>
        <v/>
      </c>
      <c r="W32" s="27">
        <f>IF(ISNUMBER($F32),COUNTIFS($A$14:$A$1213,$A32,$F$14:$F$1213,"&gt;"&amp;$F32)+(COUNTIFS($A$14:$A$1213,$A32,$F$14:$F$1213,"="&amp;$F32)+1)/2,"")</f>
        <v/>
      </c>
      <c r="X32" s="27">
        <f>IF(OR(NOT(ISNUMBER($V32)),$AO32=1),"",$V32-(COUNTIFS($A$14:$A$1213,$A32,$C$14:$C$1213,"&gt;=0")+1)/2)</f>
        <v/>
      </c>
      <c r="Y32" s="27">
        <f>IF(OR(NOT(ISNUMBER($W32)),$AO32=1),"",$W32-(COUNTIFS($A$14:$A$1213,$A32,$F$14:$F$1213,"&gt;=0")+1)/2)</f>
        <v/>
      </c>
      <c r="Z32" s="27">
        <f>IF(ISNUMBER($V32),$A32&amp;"|"&amp;$V32,"")</f>
        <v/>
      </c>
      <c r="AA32" s="27">
        <f>IF(ISNUMBER($W32),$A32&amp;"|"&amp;$W32,"")</f>
        <v/>
      </c>
      <c r="AB32" s="27">
        <f>IF(ISNUMBER($F32),$A32&amp;"|"&amp;$F32,"")</f>
        <v/>
      </c>
      <c r="AC32" s="27">
        <f>IF(ISNUMBER($P32),COUNTIFS($A$14:$A$1213,$A32,$P$14:$P$1213,"&gt;"&amp;$P32)+(COUNTIFS($A$14:$A$1213,$A32,$P$14:$P$1213,"="&amp;$P32)+1)/2,"")</f>
        <v/>
      </c>
      <c r="AD32" s="27">
        <f>IF(ISNUMBER($Q32),COUNTIFS($A$14:$A$1213,$A32,$Q$14:$Q$1213,"&gt;"&amp;$Q32)+(COUNTIFS($A$14:$A$1213,$A32,$Q$14:$Q$1213,"="&amp;$Q32)+1)/2,"")</f>
        <v/>
      </c>
      <c r="AE32" s="27">
        <f>IF(ISNUMBER($R32),COUNTIFS($A$14:$A$1213,$A32,$R$14:$R$1213,"&gt;"&amp;$R32)+(COUNTIFS($A$14:$A$1213,$A32,$R$14:$R$1213,"="&amp;$R32)+1)/2,"")</f>
        <v/>
      </c>
      <c r="AF32" s="27">
        <f>IF(ISNUMBER($S32),COUNTIFS($A$14:$A$1213,$A32,$S$14:$S$1213,"&gt;"&amp;$S32)+(COUNTIFS($A$14:$A$1213,$A32,$S$14:$S$1213,"="&amp;$S32)+1)/2,"")</f>
        <v/>
      </c>
      <c r="AG32" s="27">
        <f>IF(ISNUMBER($T32),COUNTIFS($A$14:$A$1213,$A32,$T$14:$T$1213,"&gt;"&amp;$T32)+(COUNTIFS($A$14:$A$1213,$A32,$T$14:$T$1213,"="&amp;$T32)+1)/2,"")</f>
        <v/>
      </c>
      <c r="AH32" s="27">
        <f>IF(COUNT($AC32:$AG32)&lt;2,"",IF(MAX($AC32:$AG32)=MIN($AC32:$AG32),0,1))</f>
        <v/>
      </c>
      <c r="AI32" s="27">
        <f>IF($A32="","",IF(COUNTIF($A$14:$A32,$A32)=1,COUNTIF($AI$13:AI31,"&gt;0")+1,""))</f>
        <v/>
      </c>
      <c r="AJ32" s="27">
        <f>IF(OR($H32="",COUNTIFS($A$14:$A$1213,$H32,$F$14:$F$1213,"&gt;=0")&lt;2,COUNTIFS($A$14:$A$1213,$H32,$F$14:$F$1213,_xlfn.MAXIFS($F$14:$F$1213,$A$14:$A$1213,$H32))&gt;1),"",IFERROR(INDEX($D$14:$D$1213,MATCH($H32&amp;"|"&amp;_xlfn.MAXIFS($F$14:$F$1213,$A$14:$A$1213,$H32),$AB$14:$AB$1213,0)),""))</f>
        <v/>
      </c>
      <c r="AK32" s="27">
        <f>IF(OR($H32="",COUNTIFS($A$14:$A$1213,$H32,$F$14:$F$1213,"&gt;=0")&lt;2,COUNTIFS($A$14:$A$1213,$H32,$F$14:$F$1213,_xlfn.MAXIFS($F$14:$F$1213,$A$14:$A$1213,$H32))&gt;1),"",IFERROR(INDEX($E$14:$E$1213,MATCH($H32&amp;"|"&amp;_xlfn.MAXIFS($F$14:$F$1213,$A$14:$A$1213,$H32),$AB$14:$AB$1213,0)),""))</f>
        <v/>
      </c>
      <c r="AL32" s="27">
        <f>IF(OR($H32="",COUNTIFS($A$14:$A$1213,$H32,$F$14:$F$1213,"&gt;=0")&lt;2,COUNTIFS($A$14:$A$1213,$H32,$F$14:$F$1213,_xlfn.MAXIFS($F$14:$F$1213,$A$14:$A$1213,$H32))&gt;1),"",IFERROR(INDEX($D$14:$D$1213,MATCH($H32&amp;"|"&amp;_xlfn.MAXIFS($F$14:$F$1213,$A$14:$A$1213,$H32,$F$14:$F$1213,"&lt;"&amp;_xlfn.MAXIFS($F$14:$F$1213,$A$14:$A$1213,$H32)),$AB$14:$AB$1213,0)),""))</f>
        <v/>
      </c>
      <c r="AM32" s="27">
        <f>IF(OR($H32="",COUNTIFS($A$14:$A$1213,$H32,$F$14:$F$1213,"&gt;=0")&lt;2,COUNTIFS($A$14:$A$1213,$H32,$F$14:$F$1213,_xlfn.MAXIFS($F$14:$F$1213,$A$14:$A$1213,$H32))&gt;1),"",IFERROR(INDEX($E$14:$E$1213,MATCH($H32&amp;"|"&amp;_xlfn.MAXIFS($F$14:$F$1213,$A$14:$A$1213,$H32,$F$14:$F$1213,"&lt;"&amp;_xlfn.MAXIFS($F$14:$F$1213,$A$14:$A$1213,$H32)),$AB$14:$AB$1213,0)),""))</f>
        <v/>
      </c>
      <c r="AN32" s="27">
        <f>IF(OR(NOT(ISNUMBER($AJ32)),NOT(ISNUMBER($AL32)),$AK32=0,$AM32=0),"",IF(OR((($AJ32+$AL32)/($AK32+$AM32))&lt;=0,(($AJ32+$AL32)/($AK32+$AM32))&gt;=1),"",($AJ32/$AK32-$AL32/$AM32)/SQRT((($AJ32+$AL32)/($AK32+$AM32))*(1-(($AJ32+$AL32)/($AK32+$AM32)))*(1/$AK32+1/$AM32))))</f>
        <v/>
      </c>
      <c r="AO32" s="27">
        <f>IF($A32="","",IF(AND(COUNTIFS($A$14:$A$1213,$A32,$F$14:$F$1213,"&gt;=0")=2,IFERROR(INDEX($M$14:$M$313,MATCH($A32,$H$14:$H$313,0)),"Yes")&lt;&gt;"Yes"),1,0))</f>
        <v/>
      </c>
    </row>
    <row r="33" ht="24" customHeight="1">
      <c r="A33" s="19" t="n"/>
      <c r="B33" s="20" t="n"/>
      <c r="C33" s="21">
        <f>IFERROR(AVERAGE(P33:T33),"")</f>
        <v/>
      </c>
      <c r="D33" s="29" t="n"/>
      <c r="E33" s="29" t="n"/>
      <c r="F33" s="30">
        <f>IF(AND(ISNUMBER($D33),ISNUMBER($E33),$E33&gt;0,$D33&lt;=$E33),$D33/$E33,"")</f>
        <v/>
      </c>
      <c r="H33" s="19">
        <f>IFERROR(INDEX($A$14:$A$1213,MATCH(20,$AI$14:$AI$1213,0)),"")</f>
        <v/>
      </c>
      <c r="I33" s="24">
        <f>IF($H33="","",IF(COUNTIFS($A$14:$A$1213,$H33,$C$14:$C$1213,"&gt;=0")=0,"—",IFERROR(INDEX($B$14:$B$1213,MATCH($H33&amp;"|1",$Z$14:$Z$1213,0)),"(tied)")))</f>
        <v/>
      </c>
      <c r="J33" s="25">
        <f>IF($H33="","",IF(OR(COUNTIFS($A$14:$A$1213,$H33,$C$14:$C$1213,"&gt;=0")=0,COUNTIFS($A$14:$A$1213,$H33,$F$14:$F$1213,"&gt;=0")=0),"—",IF(OR(ISERROR(MATCH($H33&amp;"|1",$Z$14:$Z$1213,0)),ISERROR(MATCH($H33&amp;"|1",$AA$14:$AA$1213,0))),"Tie",IF(MATCH($H33&amp;"|1",$Z$14:$Z$1213,0)=MATCH($H33&amp;"|1",$AA$14:$AA$1213,0),"Hit","Miss"))))</f>
        <v/>
      </c>
      <c r="K33" s="24">
        <f>IF($H33="","",IF(COUNTIFS($A$14:$A$1213,$H33,$F$14:$F$1213,"&gt;=0")=0,"—",IFERROR(INDEX($B$14:$B$1213,MATCH($H33&amp;"|1",$AA$14:$AA$1213,0)),"(tied)")))</f>
        <v/>
      </c>
      <c r="L33" s="25">
        <f>IF($H33="","",IF((--(COUNTIFS($A$14:$A$1213,$H33,$P$14:$P$1213,"&gt;=0")&gt;0)+--(COUNTIFS($A$14:$A$1213,$H33,$Q$14:$Q$1213,"&gt;=0")&gt;0)+--(COUNTIFS($A$14:$A$1213,$H33,$R$14:$R$1213,"&gt;=0")&gt;0)+--(COUNTIFS($A$14:$A$1213,$H33,$S$14:$S$1213,"&gt;=0")&gt;0)+--(COUNTIFS($A$14:$A$1213,$H33,$T$14:$T$1213,"&gt;=0")&gt;0))&lt;2,"—",IF(SUMIFS($AH$14:$AH$1213,$A$14:$A$1213,$H33)=0,"Yes","No")))</f>
        <v/>
      </c>
      <c r="M33" s="25">
        <f>IF($H33="","",IF(COUNTIFS($A$14:$A$1213,$H33,$F$14:$F$1213,"&gt;=0")&lt;2,"—",IF(COUNTIFS($A$14:$A$1213,$H33,$F$14:$F$1213,_xlfn.MAXIFS($F$14:$F$1213,$A$14:$A$1213,$H33))&gt;1,"No",IF(NOT(ISNUMBER($AN33)),"—",IF((2*(1-NORMSDIST(ABS($AN33))))&lt;0.05,"Yes","No")))))</f>
        <v/>
      </c>
      <c r="N33" s="21">
        <f>IF($H33="","",IF(NOT(ISNUMBER($AN33)),"—",IF((2*(1-NORMSDIST(ABS($AN33))))&lt;0.001,"&lt;0.001",TEXT((2*(1-NORMSDIST(ABS($AN33)))),"0.000"))))</f>
        <v/>
      </c>
      <c r="P33" s="26" t="n"/>
      <c r="Q33" s="26" t="n"/>
      <c r="R33" s="26" t="n"/>
      <c r="S33" s="26" t="n"/>
      <c r="T33" s="26" t="n"/>
      <c r="V33" s="27">
        <f>IF(ISNUMBER($C33),COUNTIFS($A$14:$A$1213,$A33,$C$14:$C$1213,"&gt;"&amp;$C33)+(COUNTIFS($A$14:$A$1213,$A33,$C$14:$C$1213,"="&amp;$C33)+1)/2,"")</f>
        <v/>
      </c>
      <c r="W33" s="27">
        <f>IF(ISNUMBER($F33),COUNTIFS($A$14:$A$1213,$A33,$F$14:$F$1213,"&gt;"&amp;$F33)+(COUNTIFS($A$14:$A$1213,$A33,$F$14:$F$1213,"="&amp;$F33)+1)/2,"")</f>
        <v/>
      </c>
      <c r="X33" s="27">
        <f>IF(OR(NOT(ISNUMBER($V33)),$AO33=1),"",$V33-(COUNTIFS($A$14:$A$1213,$A33,$C$14:$C$1213,"&gt;=0")+1)/2)</f>
        <v/>
      </c>
      <c r="Y33" s="27">
        <f>IF(OR(NOT(ISNUMBER($W33)),$AO33=1),"",$W33-(COUNTIFS($A$14:$A$1213,$A33,$F$14:$F$1213,"&gt;=0")+1)/2)</f>
        <v/>
      </c>
      <c r="Z33" s="27">
        <f>IF(ISNUMBER($V33),$A33&amp;"|"&amp;$V33,"")</f>
        <v/>
      </c>
      <c r="AA33" s="27">
        <f>IF(ISNUMBER($W33),$A33&amp;"|"&amp;$W33,"")</f>
        <v/>
      </c>
      <c r="AB33" s="27">
        <f>IF(ISNUMBER($F33),$A33&amp;"|"&amp;$F33,"")</f>
        <v/>
      </c>
      <c r="AC33" s="27">
        <f>IF(ISNUMBER($P33),COUNTIFS($A$14:$A$1213,$A33,$P$14:$P$1213,"&gt;"&amp;$P33)+(COUNTIFS($A$14:$A$1213,$A33,$P$14:$P$1213,"="&amp;$P33)+1)/2,"")</f>
        <v/>
      </c>
      <c r="AD33" s="27">
        <f>IF(ISNUMBER($Q33),COUNTIFS($A$14:$A$1213,$A33,$Q$14:$Q$1213,"&gt;"&amp;$Q33)+(COUNTIFS($A$14:$A$1213,$A33,$Q$14:$Q$1213,"="&amp;$Q33)+1)/2,"")</f>
        <v/>
      </c>
      <c r="AE33" s="27">
        <f>IF(ISNUMBER($R33),COUNTIFS($A$14:$A$1213,$A33,$R$14:$R$1213,"&gt;"&amp;$R33)+(COUNTIFS($A$14:$A$1213,$A33,$R$14:$R$1213,"="&amp;$R33)+1)/2,"")</f>
        <v/>
      </c>
      <c r="AF33" s="27">
        <f>IF(ISNUMBER($S33),COUNTIFS($A$14:$A$1213,$A33,$S$14:$S$1213,"&gt;"&amp;$S33)+(COUNTIFS($A$14:$A$1213,$A33,$S$14:$S$1213,"="&amp;$S33)+1)/2,"")</f>
        <v/>
      </c>
      <c r="AG33" s="27">
        <f>IF(ISNUMBER($T33),COUNTIFS($A$14:$A$1213,$A33,$T$14:$T$1213,"&gt;"&amp;$T33)+(COUNTIFS($A$14:$A$1213,$A33,$T$14:$T$1213,"="&amp;$T33)+1)/2,"")</f>
        <v/>
      </c>
      <c r="AH33" s="27">
        <f>IF(COUNT($AC33:$AG33)&lt;2,"",IF(MAX($AC33:$AG33)=MIN($AC33:$AG33),0,1))</f>
        <v/>
      </c>
      <c r="AI33" s="27">
        <f>IF($A33="","",IF(COUNTIF($A$14:$A33,$A33)=1,COUNTIF($AI$13:AI32,"&gt;0")+1,""))</f>
        <v/>
      </c>
      <c r="AJ33" s="27">
        <f>IF(OR($H33="",COUNTIFS($A$14:$A$1213,$H33,$F$14:$F$1213,"&gt;=0")&lt;2,COUNTIFS($A$14:$A$1213,$H33,$F$14:$F$1213,_xlfn.MAXIFS($F$14:$F$1213,$A$14:$A$1213,$H33))&gt;1),"",IFERROR(INDEX($D$14:$D$1213,MATCH($H33&amp;"|"&amp;_xlfn.MAXIFS($F$14:$F$1213,$A$14:$A$1213,$H33),$AB$14:$AB$1213,0)),""))</f>
        <v/>
      </c>
      <c r="AK33" s="27">
        <f>IF(OR($H33="",COUNTIFS($A$14:$A$1213,$H33,$F$14:$F$1213,"&gt;=0")&lt;2,COUNTIFS($A$14:$A$1213,$H33,$F$14:$F$1213,_xlfn.MAXIFS($F$14:$F$1213,$A$14:$A$1213,$H33))&gt;1),"",IFERROR(INDEX($E$14:$E$1213,MATCH($H33&amp;"|"&amp;_xlfn.MAXIFS($F$14:$F$1213,$A$14:$A$1213,$H33),$AB$14:$AB$1213,0)),""))</f>
        <v/>
      </c>
      <c r="AL33" s="27">
        <f>IF(OR($H33="",COUNTIFS($A$14:$A$1213,$H33,$F$14:$F$1213,"&gt;=0")&lt;2,COUNTIFS($A$14:$A$1213,$H33,$F$14:$F$1213,_xlfn.MAXIFS($F$14:$F$1213,$A$14:$A$1213,$H33))&gt;1),"",IFERROR(INDEX($D$14:$D$1213,MATCH($H33&amp;"|"&amp;_xlfn.MAXIFS($F$14:$F$1213,$A$14:$A$1213,$H33,$F$14:$F$1213,"&lt;"&amp;_xlfn.MAXIFS($F$14:$F$1213,$A$14:$A$1213,$H33)),$AB$14:$AB$1213,0)),""))</f>
        <v/>
      </c>
      <c r="AM33" s="27">
        <f>IF(OR($H33="",COUNTIFS($A$14:$A$1213,$H33,$F$14:$F$1213,"&gt;=0")&lt;2,COUNTIFS($A$14:$A$1213,$H33,$F$14:$F$1213,_xlfn.MAXIFS($F$14:$F$1213,$A$14:$A$1213,$H33))&gt;1),"",IFERROR(INDEX($E$14:$E$1213,MATCH($H33&amp;"|"&amp;_xlfn.MAXIFS($F$14:$F$1213,$A$14:$A$1213,$H33,$F$14:$F$1213,"&lt;"&amp;_xlfn.MAXIFS($F$14:$F$1213,$A$14:$A$1213,$H33)),$AB$14:$AB$1213,0)),""))</f>
        <v/>
      </c>
      <c r="AN33" s="27">
        <f>IF(OR(NOT(ISNUMBER($AJ33)),NOT(ISNUMBER($AL33)),$AK33=0,$AM33=0),"",IF(OR((($AJ33+$AL33)/($AK33+$AM33))&lt;=0,(($AJ33+$AL33)/($AK33+$AM33))&gt;=1),"",($AJ33/$AK33-$AL33/$AM33)/SQRT((($AJ33+$AL33)/($AK33+$AM33))*(1-(($AJ33+$AL33)/($AK33+$AM33)))*(1/$AK33+1/$AM33))))</f>
        <v/>
      </c>
      <c r="AO33" s="27">
        <f>IF($A33="","",IF(AND(COUNTIFS($A$14:$A$1213,$A33,$F$14:$F$1213,"&gt;=0")=2,IFERROR(INDEX($M$14:$M$313,MATCH($A33,$H$14:$H$313,0)),"Yes")&lt;&gt;"Yes"),1,0))</f>
        <v/>
      </c>
    </row>
    <row r="34" ht="24" customHeight="1">
      <c r="A34" s="19" t="n"/>
      <c r="B34" s="20" t="n"/>
      <c r="C34" s="21">
        <f>IFERROR(AVERAGE(P34:T34),"")</f>
        <v/>
      </c>
      <c r="D34" s="29" t="n"/>
      <c r="E34" s="29" t="n"/>
      <c r="F34" s="30">
        <f>IF(AND(ISNUMBER($D34),ISNUMBER($E34),$E34&gt;0,$D34&lt;=$E34),$D34/$E34,"")</f>
        <v/>
      </c>
      <c r="H34" s="19">
        <f>IFERROR(INDEX($A$14:$A$1213,MATCH(21,$AI$14:$AI$1213,0)),"")</f>
        <v/>
      </c>
      <c r="I34" s="24">
        <f>IF($H34="","",IF(COUNTIFS($A$14:$A$1213,$H34,$C$14:$C$1213,"&gt;=0")=0,"—",IFERROR(INDEX($B$14:$B$1213,MATCH($H34&amp;"|1",$Z$14:$Z$1213,0)),"(tied)")))</f>
        <v/>
      </c>
      <c r="J34" s="25">
        <f>IF($H34="","",IF(OR(COUNTIFS($A$14:$A$1213,$H34,$C$14:$C$1213,"&gt;=0")=0,COUNTIFS($A$14:$A$1213,$H34,$F$14:$F$1213,"&gt;=0")=0),"—",IF(OR(ISERROR(MATCH($H34&amp;"|1",$Z$14:$Z$1213,0)),ISERROR(MATCH($H34&amp;"|1",$AA$14:$AA$1213,0))),"Tie",IF(MATCH($H34&amp;"|1",$Z$14:$Z$1213,0)=MATCH($H34&amp;"|1",$AA$14:$AA$1213,0),"Hit","Miss"))))</f>
        <v/>
      </c>
      <c r="K34" s="24">
        <f>IF($H34="","",IF(COUNTIFS($A$14:$A$1213,$H34,$F$14:$F$1213,"&gt;=0")=0,"—",IFERROR(INDEX($B$14:$B$1213,MATCH($H34&amp;"|1",$AA$14:$AA$1213,0)),"(tied)")))</f>
        <v/>
      </c>
      <c r="L34" s="25">
        <f>IF($H34="","",IF((--(COUNTIFS($A$14:$A$1213,$H34,$P$14:$P$1213,"&gt;=0")&gt;0)+--(COUNTIFS($A$14:$A$1213,$H34,$Q$14:$Q$1213,"&gt;=0")&gt;0)+--(COUNTIFS($A$14:$A$1213,$H34,$R$14:$R$1213,"&gt;=0")&gt;0)+--(COUNTIFS($A$14:$A$1213,$H34,$S$14:$S$1213,"&gt;=0")&gt;0)+--(COUNTIFS($A$14:$A$1213,$H34,$T$14:$T$1213,"&gt;=0")&gt;0))&lt;2,"—",IF(SUMIFS($AH$14:$AH$1213,$A$14:$A$1213,$H34)=0,"Yes","No")))</f>
        <v/>
      </c>
      <c r="M34" s="25">
        <f>IF($H34="","",IF(COUNTIFS($A$14:$A$1213,$H34,$F$14:$F$1213,"&gt;=0")&lt;2,"—",IF(COUNTIFS($A$14:$A$1213,$H34,$F$14:$F$1213,_xlfn.MAXIFS($F$14:$F$1213,$A$14:$A$1213,$H34))&gt;1,"No",IF(NOT(ISNUMBER($AN34)),"—",IF((2*(1-NORMSDIST(ABS($AN34))))&lt;0.05,"Yes","No")))))</f>
        <v/>
      </c>
      <c r="N34" s="21">
        <f>IF($H34="","",IF(NOT(ISNUMBER($AN34)),"—",IF((2*(1-NORMSDIST(ABS($AN34))))&lt;0.001,"&lt;0.001",TEXT((2*(1-NORMSDIST(ABS($AN34)))),"0.000"))))</f>
        <v/>
      </c>
      <c r="P34" s="26" t="n"/>
      <c r="Q34" s="26" t="n"/>
      <c r="R34" s="26" t="n"/>
      <c r="S34" s="26" t="n"/>
      <c r="T34" s="26" t="n"/>
      <c r="V34" s="27">
        <f>IF(ISNUMBER($C34),COUNTIFS($A$14:$A$1213,$A34,$C$14:$C$1213,"&gt;"&amp;$C34)+(COUNTIFS($A$14:$A$1213,$A34,$C$14:$C$1213,"="&amp;$C34)+1)/2,"")</f>
        <v/>
      </c>
      <c r="W34" s="27">
        <f>IF(ISNUMBER($F34),COUNTIFS($A$14:$A$1213,$A34,$F$14:$F$1213,"&gt;"&amp;$F34)+(COUNTIFS($A$14:$A$1213,$A34,$F$14:$F$1213,"="&amp;$F34)+1)/2,"")</f>
        <v/>
      </c>
      <c r="X34" s="27">
        <f>IF(OR(NOT(ISNUMBER($V34)),$AO34=1),"",$V34-(COUNTIFS($A$14:$A$1213,$A34,$C$14:$C$1213,"&gt;=0")+1)/2)</f>
        <v/>
      </c>
      <c r="Y34" s="27">
        <f>IF(OR(NOT(ISNUMBER($W34)),$AO34=1),"",$W34-(COUNTIFS($A$14:$A$1213,$A34,$F$14:$F$1213,"&gt;=0")+1)/2)</f>
        <v/>
      </c>
      <c r="Z34" s="27">
        <f>IF(ISNUMBER($V34),$A34&amp;"|"&amp;$V34,"")</f>
        <v/>
      </c>
      <c r="AA34" s="27">
        <f>IF(ISNUMBER($W34),$A34&amp;"|"&amp;$W34,"")</f>
        <v/>
      </c>
      <c r="AB34" s="27">
        <f>IF(ISNUMBER($F34),$A34&amp;"|"&amp;$F34,"")</f>
        <v/>
      </c>
      <c r="AC34" s="27">
        <f>IF(ISNUMBER($P34),COUNTIFS($A$14:$A$1213,$A34,$P$14:$P$1213,"&gt;"&amp;$P34)+(COUNTIFS($A$14:$A$1213,$A34,$P$14:$P$1213,"="&amp;$P34)+1)/2,"")</f>
        <v/>
      </c>
      <c r="AD34" s="27">
        <f>IF(ISNUMBER($Q34),COUNTIFS($A$14:$A$1213,$A34,$Q$14:$Q$1213,"&gt;"&amp;$Q34)+(COUNTIFS($A$14:$A$1213,$A34,$Q$14:$Q$1213,"="&amp;$Q34)+1)/2,"")</f>
        <v/>
      </c>
      <c r="AE34" s="27">
        <f>IF(ISNUMBER($R34),COUNTIFS($A$14:$A$1213,$A34,$R$14:$R$1213,"&gt;"&amp;$R34)+(COUNTIFS($A$14:$A$1213,$A34,$R$14:$R$1213,"="&amp;$R34)+1)/2,"")</f>
        <v/>
      </c>
      <c r="AF34" s="27">
        <f>IF(ISNUMBER($S34),COUNTIFS($A$14:$A$1213,$A34,$S$14:$S$1213,"&gt;"&amp;$S34)+(COUNTIFS($A$14:$A$1213,$A34,$S$14:$S$1213,"="&amp;$S34)+1)/2,"")</f>
        <v/>
      </c>
      <c r="AG34" s="27">
        <f>IF(ISNUMBER($T34),COUNTIFS($A$14:$A$1213,$A34,$T$14:$T$1213,"&gt;"&amp;$T34)+(COUNTIFS($A$14:$A$1213,$A34,$T$14:$T$1213,"="&amp;$T34)+1)/2,"")</f>
        <v/>
      </c>
      <c r="AH34" s="27">
        <f>IF(COUNT($AC34:$AG34)&lt;2,"",IF(MAX($AC34:$AG34)=MIN($AC34:$AG34),0,1))</f>
        <v/>
      </c>
      <c r="AI34" s="27">
        <f>IF($A34="","",IF(COUNTIF($A$14:$A34,$A34)=1,COUNTIF($AI$13:AI33,"&gt;0")+1,""))</f>
        <v/>
      </c>
      <c r="AJ34" s="27">
        <f>IF(OR($H34="",COUNTIFS($A$14:$A$1213,$H34,$F$14:$F$1213,"&gt;=0")&lt;2,COUNTIFS($A$14:$A$1213,$H34,$F$14:$F$1213,_xlfn.MAXIFS($F$14:$F$1213,$A$14:$A$1213,$H34))&gt;1),"",IFERROR(INDEX($D$14:$D$1213,MATCH($H34&amp;"|"&amp;_xlfn.MAXIFS($F$14:$F$1213,$A$14:$A$1213,$H34),$AB$14:$AB$1213,0)),""))</f>
        <v/>
      </c>
      <c r="AK34" s="27">
        <f>IF(OR($H34="",COUNTIFS($A$14:$A$1213,$H34,$F$14:$F$1213,"&gt;=0")&lt;2,COUNTIFS($A$14:$A$1213,$H34,$F$14:$F$1213,_xlfn.MAXIFS($F$14:$F$1213,$A$14:$A$1213,$H34))&gt;1),"",IFERROR(INDEX($E$14:$E$1213,MATCH($H34&amp;"|"&amp;_xlfn.MAXIFS($F$14:$F$1213,$A$14:$A$1213,$H34),$AB$14:$AB$1213,0)),""))</f>
        <v/>
      </c>
      <c r="AL34" s="27">
        <f>IF(OR($H34="",COUNTIFS($A$14:$A$1213,$H34,$F$14:$F$1213,"&gt;=0")&lt;2,COUNTIFS($A$14:$A$1213,$H34,$F$14:$F$1213,_xlfn.MAXIFS($F$14:$F$1213,$A$14:$A$1213,$H34))&gt;1),"",IFERROR(INDEX($D$14:$D$1213,MATCH($H34&amp;"|"&amp;_xlfn.MAXIFS($F$14:$F$1213,$A$14:$A$1213,$H34,$F$14:$F$1213,"&lt;"&amp;_xlfn.MAXIFS($F$14:$F$1213,$A$14:$A$1213,$H34)),$AB$14:$AB$1213,0)),""))</f>
        <v/>
      </c>
      <c r="AM34" s="27">
        <f>IF(OR($H34="",COUNTIFS($A$14:$A$1213,$H34,$F$14:$F$1213,"&gt;=0")&lt;2,COUNTIFS($A$14:$A$1213,$H34,$F$14:$F$1213,_xlfn.MAXIFS($F$14:$F$1213,$A$14:$A$1213,$H34))&gt;1),"",IFERROR(INDEX($E$14:$E$1213,MATCH($H34&amp;"|"&amp;_xlfn.MAXIFS($F$14:$F$1213,$A$14:$A$1213,$H34,$F$14:$F$1213,"&lt;"&amp;_xlfn.MAXIFS($F$14:$F$1213,$A$14:$A$1213,$H34)),$AB$14:$AB$1213,0)),""))</f>
        <v/>
      </c>
      <c r="AN34" s="27">
        <f>IF(OR(NOT(ISNUMBER($AJ34)),NOT(ISNUMBER($AL34)),$AK34=0,$AM34=0),"",IF(OR((($AJ34+$AL34)/($AK34+$AM34))&lt;=0,(($AJ34+$AL34)/($AK34+$AM34))&gt;=1),"",($AJ34/$AK34-$AL34/$AM34)/SQRT((($AJ34+$AL34)/($AK34+$AM34))*(1-(($AJ34+$AL34)/($AK34+$AM34)))*(1/$AK34+1/$AM34))))</f>
        <v/>
      </c>
      <c r="AO34" s="27">
        <f>IF($A34="","",IF(AND(COUNTIFS($A$14:$A$1213,$A34,$F$14:$F$1213,"&gt;=0")=2,IFERROR(INDEX($M$14:$M$313,MATCH($A34,$H$14:$H$313,0)),"Yes")&lt;&gt;"Yes"),1,0))</f>
        <v/>
      </c>
    </row>
    <row r="35" ht="24" customHeight="1">
      <c r="A35" s="19" t="n"/>
      <c r="B35" s="20" t="n"/>
      <c r="C35" s="21">
        <f>IFERROR(AVERAGE(P35:T35),"")</f>
        <v/>
      </c>
      <c r="D35" s="29" t="n"/>
      <c r="E35" s="29" t="n"/>
      <c r="F35" s="30">
        <f>IF(AND(ISNUMBER($D35),ISNUMBER($E35),$E35&gt;0,$D35&lt;=$E35),$D35/$E35,"")</f>
        <v/>
      </c>
      <c r="H35" s="19">
        <f>IFERROR(INDEX($A$14:$A$1213,MATCH(22,$AI$14:$AI$1213,0)),"")</f>
        <v/>
      </c>
      <c r="I35" s="24">
        <f>IF($H35="","",IF(COUNTIFS($A$14:$A$1213,$H35,$C$14:$C$1213,"&gt;=0")=0,"—",IFERROR(INDEX($B$14:$B$1213,MATCH($H35&amp;"|1",$Z$14:$Z$1213,0)),"(tied)")))</f>
        <v/>
      </c>
      <c r="J35" s="25">
        <f>IF($H35="","",IF(OR(COUNTIFS($A$14:$A$1213,$H35,$C$14:$C$1213,"&gt;=0")=0,COUNTIFS($A$14:$A$1213,$H35,$F$14:$F$1213,"&gt;=0")=0),"—",IF(OR(ISERROR(MATCH($H35&amp;"|1",$Z$14:$Z$1213,0)),ISERROR(MATCH($H35&amp;"|1",$AA$14:$AA$1213,0))),"Tie",IF(MATCH($H35&amp;"|1",$Z$14:$Z$1213,0)=MATCH($H35&amp;"|1",$AA$14:$AA$1213,0),"Hit","Miss"))))</f>
        <v/>
      </c>
      <c r="K35" s="24">
        <f>IF($H35="","",IF(COUNTIFS($A$14:$A$1213,$H35,$F$14:$F$1213,"&gt;=0")=0,"—",IFERROR(INDEX($B$14:$B$1213,MATCH($H35&amp;"|1",$AA$14:$AA$1213,0)),"(tied)")))</f>
        <v/>
      </c>
      <c r="L35" s="25">
        <f>IF($H35="","",IF((--(COUNTIFS($A$14:$A$1213,$H35,$P$14:$P$1213,"&gt;=0")&gt;0)+--(COUNTIFS($A$14:$A$1213,$H35,$Q$14:$Q$1213,"&gt;=0")&gt;0)+--(COUNTIFS($A$14:$A$1213,$H35,$R$14:$R$1213,"&gt;=0")&gt;0)+--(COUNTIFS($A$14:$A$1213,$H35,$S$14:$S$1213,"&gt;=0")&gt;0)+--(COUNTIFS($A$14:$A$1213,$H35,$T$14:$T$1213,"&gt;=0")&gt;0))&lt;2,"—",IF(SUMIFS($AH$14:$AH$1213,$A$14:$A$1213,$H35)=0,"Yes","No")))</f>
        <v/>
      </c>
      <c r="M35" s="25">
        <f>IF($H35="","",IF(COUNTIFS($A$14:$A$1213,$H35,$F$14:$F$1213,"&gt;=0")&lt;2,"—",IF(COUNTIFS($A$14:$A$1213,$H35,$F$14:$F$1213,_xlfn.MAXIFS($F$14:$F$1213,$A$14:$A$1213,$H35))&gt;1,"No",IF(NOT(ISNUMBER($AN35)),"—",IF((2*(1-NORMSDIST(ABS($AN35))))&lt;0.05,"Yes","No")))))</f>
        <v/>
      </c>
      <c r="N35" s="21">
        <f>IF($H35="","",IF(NOT(ISNUMBER($AN35)),"—",IF((2*(1-NORMSDIST(ABS($AN35))))&lt;0.001,"&lt;0.001",TEXT((2*(1-NORMSDIST(ABS($AN35)))),"0.000"))))</f>
        <v/>
      </c>
      <c r="P35" s="26" t="n"/>
      <c r="Q35" s="26" t="n"/>
      <c r="R35" s="26" t="n"/>
      <c r="S35" s="26" t="n"/>
      <c r="T35" s="26" t="n"/>
      <c r="V35" s="27">
        <f>IF(ISNUMBER($C35),COUNTIFS($A$14:$A$1213,$A35,$C$14:$C$1213,"&gt;"&amp;$C35)+(COUNTIFS($A$14:$A$1213,$A35,$C$14:$C$1213,"="&amp;$C35)+1)/2,"")</f>
        <v/>
      </c>
      <c r="W35" s="27">
        <f>IF(ISNUMBER($F35),COUNTIFS($A$14:$A$1213,$A35,$F$14:$F$1213,"&gt;"&amp;$F35)+(COUNTIFS($A$14:$A$1213,$A35,$F$14:$F$1213,"="&amp;$F35)+1)/2,"")</f>
        <v/>
      </c>
      <c r="X35" s="27">
        <f>IF(OR(NOT(ISNUMBER($V35)),$AO35=1),"",$V35-(COUNTIFS($A$14:$A$1213,$A35,$C$14:$C$1213,"&gt;=0")+1)/2)</f>
        <v/>
      </c>
      <c r="Y35" s="27">
        <f>IF(OR(NOT(ISNUMBER($W35)),$AO35=1),"",$W35-(COUNTIFS($A$14:$A$1213,$A35,$F$14:$F$1213,"&gt;=0")+1)/2)</f>
        <v/>
      </c>
      <c r="Z35" s="27">
        <f>IF(ISNUMBER($V35),$A35&amp;"|"&amp;$V35,"")</f>
        <v/>
      </c>
      <c r="AA35" s="27">
        <f>IF(ISNUMBER($W35),$A35&amp;"|"&amp;$W35,"")</f>
        <v/>
      </c>
      <c r="AB35" s="27">
        <f>IF(ISNUMBER($F35),$A35&amp;"|"&amp;$F35,"")</f>
        <v/>
      </c>
      <c r="AC35" s="27">
        <f>IF(ISNUMBER($P35),COUNTIFS($A$14:$A$1213,$A35,$P$14:$P$1213,"&gt;"&amp;$P35)+(COUNTIFS($A$14:$A$1213,$A35,$P$14:$P$1213,"="&amp;$P35)+1)/2,"")</f>
        <v/>
      </c>
      <c r="AD35" s="27">
        <f>IF(ISNUMBER($Q35),COUNTIFS($A$14:$A$1213,$A35,$Q$14:$Q$1213,"&gt;"&amp;$Q35)+(COUNTIFS($A$14:$A$1213,$A35,$Q$14:$Q$1213,"="&amp;$Q35)+1)/2,"")</f>
        <v/>
      </c>
      <c r="AE35" s="27">
        <f>IF(ISNUMBER($R35),COUNTIFS($A$14:$A$1213,$A35,$R$14:$R$1213,"&gt;"&amp;$R35)+(COUNTIFS($A$14:$A$1213,$A35,$R$14:$R$1213,"="&amp;$R35)+1)/2,"")</f>
        <v/>
      </c>
      <c r="AF35" s="27">
        <f>IF(ISNUMBER($S35),COUNTIFS($A$14:$A$1213,$A35,$S$14:$S$1213,"&gt;"&amp;$S35)+(COUNTIFS($A$14:$A$1213,$A35,$S$14:$S$1213,"="&amp;$S35)+1)/2,"")</f>
        <v/>
      </c>
      <c r="AG35" s="27">
        <f>IF(ISNUMBER($T35),COUNTIFS($A$14:$A$1213,$A35,$T$14:$T$1213,"&gt;"&amp;$T35)+(COUNTIFS($A$14:$A$1213,$A35,$T$14:$T$1213,"="&amp;$T35)+1)/2,"")</f>
        <v/>
      </c>
      <c r="AH35" s="27">
        <f>IF(COUNT($AC35:$AG35)&lt;2,"",IF(MAX($AC35:$AG35)=MIN($AC35:$AG35),0,1))</f>
        <v/>
      </c>
      <c r="AI35" s="27">
        <f>IF($A35="","",IF(COUNTIF($A$14:$A35,$A35)=1,COUNTIF($AI$13:AI34,"&gt;0")+1,""))</f>
        <v/>
      </c>
      <c r="AJ35" s="27">
        <f>IF(OR($H35="",COUNTIFS($A$14:$A$1213,$H35,$F$14:$F$1213,"&gt;=0")&lt;2,COUNTIFS($A$14:$A$1213,$H35,$F$14:$F$1213,_xlfn.MAXIFS($F$14:$F$1213,$A$14:$A$1213,$H35))&gt;1),"",IFERROR(INDEX($D$14:$D$1213,MATCH($H35&amp;"|"&amp;_xlfn.MAXIFS($F$14:$F$1213,$A$14:$A$1213,$H35),$AB$14:$AB$1213,0)),""))</f>
        <v/>
      </c>
      <c r="AK35" s="27">
        <f>IF(OR($H35="",COUNTIFS($A$14:$A$1213,$H35,$F$14:$F$1213,"&gt;=0")&lt;2,COUNTIFS($A$14:$A$1213,$H35,$F$14:$F$1213,_xlfn.MAXIFS($F$14:$F$1213,$A$14:$A$1213,$H35))&gt;1),"",IFERROR(INDEX($E$14:$E$1213,MATCH($H35&amp;"|"&amp;_xlfn.MAXIFS($F$14:$F$1213,$A$14:$A$1213,$H35),$AB$14:$AB$1213,0)),""))</f>
        <v/>
      </c>
      <c r="AL35" s="27">
        <f>IF(OR($H35="",COUNTIFS($A$14:$A$1213,$H35,$F$14:$F$1213,"&gt;=0")&lt;2,COUNTIFS($A$14:$A$1213,$H35,$F$14:$F$1213,_xlfn.MAXIFS($F$14:$F$1213,$A$14:$A$1213,$H35))&gt;1),"",IFERROR(INDEX($D$14:$D$1213,MATCH($H35&amp;"|"&amp;_xlfn.MAXIFS($F$14:$F$1213,$A$14:$A$1213,$H35,$F$14:$F$1213,"&lt;"&amp;_xlfn.MAXIFS($F$14:$F$1213,$A$14:$A$1213,$H35)),$AB$14:$AB$1213,0)),""))</f>
        <v/>
      </c>
      <c r="AM35" s="27">
        <f>IF(OR($H35="",COUNTIFS($A$14:$A$1213,$H35,$F$14:$F$1213,"&gt;=0")&lt;2,COUNTIFS($A$14:$A$1213,$H35,$F$14:$F$1213,_xlfn.MAXIFS($F$14:$F$1213,$A$14:$A$1213,$H35))&gt;1),"",IFERROR(INDEX($E$14:$E$1213,MATCH($H35&amp;"|"&amp;_xlfn.MAXIFS($F$14:$F$1213,$A$14:$A$1213,$H35,$F$14:$F$1213,"&lt;"&amp;_xlfn.MAXIFS($F$14:$F$1213,$A$14:$A$1213,$H35)),$AB$14:$AB$1213,0)),""))</f>
        <v/>
      </c>
      <c r="AN35" s="27">
        <f>IF(OR(NOT(ISNUMBER($AJ35)),NOT(ISNUMBER($AL35)),$AK35=0,$AM35=0),"",IF(OR((($AJ35+$AL35)/($AK35+$AM35))&lt;=0,(($AJ35+$AL35)/($AK35+$AM35))&gt;=1),"",($AJ35/$AK35-$AL35/$AM35)/SQRT((($AJ35+$AL35)/($AK35+$AM35))*(1-(($AJ35+$AL35)/($AK35+$AM35)))*(1/$AK35+1/$AM35))))</f>
        <v/>
      </c>
      <c r="AO35" s="27">
        <f>IF($A35="","",IF(AND(COUNTIFS($A$14:$A$1213,$A35,$F$14:$F$1213,"&gt;=0")=2,IFERROR(INDEX($M$14:$M$313,MATCH($A35,$H$14:$H$313,0)),"Yes")&lt;&gt;"Yes"),1,0))</f>
        <v/>
      </c>
    </row>
    <row r="36" ht="24" customHeight="1">
      <c r="A36" s="19" t="n"/>
      <c r="B36" s="20" t="n"/>
      <c r="C36" s="21">
        <f>IFERROR(AVERAGE(P36:T36),"")</f>
        <v/>
      </c>
      <c r="D36" s="29" t="n"/>
      <c r="E36" s="29" t="n"/>
      <c r="F36" s="30">
        <f>IF(AND(ISNUMBER($D36),ISNUMBER($E36),$E36&gt;0,$D36&lt;=$E36),$D36/$E36,"")</f>
        <v/>
      </c>
      <c r="H36" s="19">
        <f>IFERROR(INDEX($A$14:$A$1213,MATCH(23,$AI$14:$AI$1213,0)),"")</f>
        <v/>
      </c>
      <c r="I36" s="24">
        <f>IF($H36="","",IF(COUNTIFS($A$14:$A$1213,$H36,$C$14:$C$1213,"&gt;=0")=0,"—",IFERROR(INDEX($B$14:$B$1213,MATCH($H36&amp;"|1",$Z$14:$Z$1213,0)),"(tied)")))</f>
        <v/>
      </c>
      <c r="J36" s="25">
        <f>IF($H36="","",IF(OR(COUNTIFS($A$14:$A$1213,$H36,$C$14:$C$1213,"&gt;=0")=0,COUNTIFS($A$14:$A$1213,$H36,$F$14:$F$1213,"&gt;=0")=0),"—",IF(OR(ISERROR(MATCH($H36&amp;"|1",$Z$14:$Z$1213,0)),ISERROR(MATCH($H36&amp;"|1",$AA$14:$AA$1213,0))),"Tie",IF(MATCH($H36&amp;"|1",$Z$14:$Z$1213,0)=MATCH($H36&amp;"|1",$AA$14:$AA$1213,0),"Hit","Miss"))))</f>
        <v/>
      </c>
      <c r="K36" s="24">
        <f>IF($H36="","",IF(COUNTIFS($A$14:$A$1213,$H36,$F$14:$F$1213,"&gt;=0")=0,"—",IFERROR(INDEX($B$14:$B$1213,MATCH($H36&amp;"|1",$AA$14:$AA$1213,0)),"(tied)")))</f>
        <v/>
      </c>
      <c r="L36" s="25">
        <f>IF($H36="","",IF((--(COUNTIFS($A$14:$A$1213,$H36,$P$14:$P$1213,"&gt;=0")&gt;0)+--(COUNTIFS($A$14:$A$1213,$H36,$Q$14:$Q$1213,"&gt;=0")&gt;0)+--(COUNTIFS($A$14:$A$1213,$H36,$R$14:$R$1213,"&gt;=0")&gt;0)+--(COUNTIFS($A$14:$A$1213,$H36,$S$14:$S$1213,"&gt;=0")&gt;0)+--(COUNTIFS($A$14:$A$1213,$H36,$T$14:$T$1213,"&gt;=0")&gt;0))&lt;2,"—",IF(SUMIFS($AH$14:$AH$1213,$A$14:$A$1213,$H36)=0,"Yes","No")))</f>
        <v/>
      </c>
      <c r="M36" s="25">
        <f>IF($H36="","",IF(COUNTIFS($A$14:$A$1213,$H36,$F$14:$F$1213,"&gt;=0")&lt;2,"—",IF(COUNTIFS($A$14:$A$1213,$H36,$F$14:$F$1213,_xlfn.MAXIFS($F$14:$F$1213,$A$14:$A$1213,$H36))&gt;1,"No",IF(NOT(ISNUMBER($AN36)),"—",IF((2*(1-NORMSDIST(ABS($AN36))))&lt;0.05,"Yes","No")))))</f>
        <v/>
      </c>
      <c r="N36" s="21">
        <f>IF($H36="","",IF(NOT(ISNUMBER($AN36)),"—",IF((2*(1-NORMSDIST(ABS($AN36))))&lt;0.001,"&lt;0.001",TEXT((2*(1-NORMSDIST(ABS($AN36)))),"0.000"))))</f>
        <v/>
      </c>
      <c r="P36" s="26" t="n"/>
      <c r="Q36" s="26" t="n"/>
      <c r="R36" s="26" t="n"/>
      <c r="S36" s="26" t="n"/>
      <c r="T36" s="26" t="n"/>
      <c r="V36" s="27">
        <f>IF(ISNUMBER($C36),COUNTIFS($A$14:$A$1213,$A36,$C$14:$C$1213,"&gt;"&amp;$C36)+(COUNTIFS($A$14:$A$1213,$A36,$C$14:$C$1213,"="&amp;$C36)+1)/2,"")</f>
        <v/>
      </c>
      <c r="W36" s="27">
        <f>IF(ISNUMBER($F36),COUNTIFS($A$14:$A$1213,$A36,$F$14:$F$1213,"&gt;"&amp;$F36)+(COUNTIFS($A$14:$A$1213,$A36,$F$14:$F$1213,"="&amp;$F36)+1)/2,"")</f>
        <v/>
      </c>
      <c r="X36" s="27">
        <f>IF(OR(NOT(ISNUMBER($V36)),$AO36=1),"",$V36-(COUNTIFS($A$14:$A$1213,$A36,$C$14:$C$1213,"&gt;=0")+1)/2)</f>
        <v/>
      </c>
      <c r="Y36" s="27">
        <f>IF(OR(NOT(ISNUMBER($W36)),$AO36=1),"",$W36-(COUNTIFS($A$14:$A$1213,$A36,$F$14:$F$1213,"&gt;=0")+1)/2)</f>
        <v/>
      </c>
      <c r="Z36" s="27">
        <f>IF(ISNUMBER($V36),$A36&amp;"|"&amp;$V36,"")</f>
        <v/>
      </c>
      <c r="AA36" s="27">
        <f>IF(ISNUMBER($W36),$A36&amp;"|"&amp;$W36,"")</f>
        <v/>
      </c>
      <c r="AB36" s="27">
        <f>IF(ISNUMBER($F36),$A36&amp;"|"&amp;$F36,"")</f>
        <v/>
      </c>
      <c r="AC36" s="27">
        <f>IF(ISNUMBER($P36),COUNTIFS($A$14:$A$1213,$A36,$P$14:$P$1213,"&gt;"&amp;$P36)+(COUNTIFS($A$14:$A$1213,$A36,$P$14:$P$1213,"="&amp;$P36)+1)/2,"")</f>
        <v/>
      </c>
      <c r="AD36" s="27">
        <f>IF(ISNUMBER($Q36),COUNTIFS($A$14:$A$1213,$A36,$Q$14:$Q$1213,"&gt;"&amp;$Q36)+(COUNTIFS($A$14:$A$1213,$A36,$Q$14:$Q$1213,"="&amp;$Q36)+1)/2,"")</f>
        <v/>
      </c>
      <c r="AE36" s="27">
        <f>IF(ISNUMBER($R36),COUNTIFS($A$14:$A$1213,$A36,$R$14:$R$1213,"&gt;"&amp;$R36)+(COUNTIFS($A$14:$A$1213,$A36,$R$14:$R$1213,"="&amp;$R36)+1)/2,"")</f>
        <v/>
      </c>
      <c r="AF36" s="27">
        <f>IF(ISNUMBER($S36),COUNTIFS($A$14:$A$1213,$A36,$S$14:$S$1213,"&gt;"&amp;$S36)+(COUNTIFS($A$14:$A$1213,$A36,$S$14:$S$1213,"="&amp;$S36)+1)/2,"")</f>
        <v/>
      </c>
      <c r="AG36" s="27">
        <f>IF(ISNUMBER($T36),COUNTIFS($A$14:$A$1213,$A36,$T$14:$T$1213,"&gt;"&amp;$T36)+(COUNTIFS($A$14:$A$1213,$A36,$T$14:$T$1213,"="&amp;$T36)+1)/2,"")</f>
        <v/>
      </c>
      <c r="AH36" s="27">
        <f>IF(COUNT($AC36:$AG36)&lt;2,"",IF(MAX($AC36:$AG36)=MIN($AC36:$AG36),0,1))</f>
        <v/>
      </c>
      <c r="AI36" s="27">
        <f>IF($A36="","",IF(COUNTIF($A$14:$A36,$A36)=1,COUNTIF($AI$13:AI35,"&gt;0")+1,""))</f>
        <v/>
      </c>
      <c r="AJ36" s="27">
        <f>IF(OR($H36="",COUNTIFS($A$14:$A$1213,$H36,$F$14:$F$1213,"&gt;=0")&lt;2,COUNTIFS($A$14:$A$1213,$H36,$F$14:$F$1213,_xlfn.MAXIFS($F$14:$F$1213,$A$14:$A$1213,$H36))&gt;1),"",IFERROR(INDEX($D$14:$D$1213,MATCH($H36&amp;"|"&amp;_xlfn.MAXIFS($F$14:$F$1213,$A$14:$A$1213,$H36),$AB$14:$AB$1213,0)),""))</f>
        <v/>
      </c>
      <c r="AK36" s="27">
        <f>IF(OR($H36="",COUNTIFS($A$14:$A$1213,$H36,$F$14:$F$1213,"&gt;=0")&lt;2,COUNTIFS($A$14:$A$1213,$H36,$F$14:$F$1213,_xlfn.MAXIFS($F$14:$F$1213,$A$14:$A$1213,$H36))&gt;1),"",IFERROR(INDEX($E$14:$E$1213,MATCH($H36&amp;"|"&amp;_xlfn.MAXIFS($F$14:$F$1213,$A$14:$A$1213,$H36),$AB$14:$AB$1213,0)),""))</f>
        <v/>
      </c>
      <c r="AL36" s="27">
        <f>IF(OR($H36="",COUNTIFS($A$14:$A$1213,$H36,$F$14:$F$1213,"&gt;=0")&lt;2,COUNTIFS($A$14:$A$1213,$H36,$F$14:$F$1213,_xlfn.MAXIFS($F$14:$F$1213,$A$14:$A$1213,$H36))&gt;1),"",IFERROR(INDEX($D$14:$D$1213,MATCH($H36&amp;"|"&amp;_xlfn.MAXIFS($F$14:$F$1213,$A$14:$A$1213,$H36,$F$14:$F$1213,"&lt;"&amp;_xlfn.MAXIFS($F$14:$F$1213,$A$14:$A$1213,$H36)),$AB$14:$AB$1213,0)),""))</f>
        <v/>
      </c>
      <c r="AM36" s="27">
        <f>IF(OR($H36="",COUNTIFS($A$14:$A$1213,$H36,$F$14:$F$1213,"&gt;=0")&lt;2,COUNTIFS($A$14:$A$1213,$H36,$F$14:$F$1213,_xlfn.MAXIFS($F$14:$F$1213,$A$14:$A$1213,$H36))&gt;1),"",IFERROR(INDEX($E$14:$E$1213,MATCH($H36&amp;"|"&amp;_xlfn.MAXIFS($F$14:$F$1213,$A$14:$A$1213,$H36,$F$14:$F$1213,"&lt;"&amp;_xlfn.MAXIFS($F$14:$F$1213,$A$14:$A$1213,$H36)),$AB$14:$AB$1213,0)),""))</f>
        <v/>
      </c>
      <c r="AN36" s="27">
        <f>IF(OR(NOT(ISNUMBER($AJ36)),NOT(ISNUMBER($AL36)),$AK36=0,$AM36=0),"",IF(OR((($AJ36+$AL36)/($AK36+$AM36))&lt;=0,(($AJ36+$AL36)/($AK36+$AM36))&gt;=1),"",($AJ36/$AK36-$AL36/$AM36)/SQRT((($AJ36+$AL36)/($AK36+$AM36))*(1-(($AJ36+$AL36)/($AK36+$AM36)))*(1/$AK36+1/$AM36))))</f>
        <v/>
      </c>
      <c r="AO36" s="27">
        <f>IF($A36="","",IF(AND(COUNTIFS($A$14:$A$1213,$A36,$F$14:$F$1213,"&gt;=0")=2,IFERROR(INDEX($M$14:$M$313,MATCH($A36,$H$14:$H$313,0)),"Yes")&lt;&gt;"Yes"),1,0))</f>
        <v/>
      </c>
    </row>
    <row r="37" ht="24" customHeight="1">
      <c r="A37" s="19" t="n"/>
      <c r="B37" s="20" t="n"/>
      <c r="C37" s="21">
        <f>IFERROR(AVERAGE(P37:T37),"")</f>
        <v/>
      </c>
      <c r="D37" s="29" t="n"/>
      <c r="E37" s="29" t="n"/>
      <c r="F37" s="30">
        <f>IF(AND(ISNUMBER($D37),ISNUMBER($E37),$E37&gt;0,$D37&lt;=$E37),$D37/$E37,"")</f>
        <v/>
      </c>
      <c r="H37" s="19">
        <f>IFERROR(INDEX($A$14:$A$1213,MATCH(24,$AI$14:$AI$1213,0)),"")</f>
        <v/>
      </c>
      <c r="I37" s="24">
        <f>IF($H37="","",IF(COUNTIFS($A$14:$A$1213,$H37,$C$14:$C$1213,"&gt;=0")=0,"—",IFERROR(INDEX($B$14:$B$1213,MATCH($H37&amp;"|1",$Z$14:$Z$1213,0)),"(tied)")))</f>
        <v/>
      </c>
      <c r="J37" s="25">
        <f>IF($H37="","",IF(OR(COUNTIFS($A$14:$A$1213,$H37,$C$14:$C$1213,"&gt;=0")=0,COUNTIFS($A$14:$A$1213,$H37,$F$14:$F$1213,"&gt;=0")=0),"—",IF(OR(ISERROR(MATCH($H37&amp;"|1",$Z$14:$Z$1213,0)),ISERROR(MATCH($H37&amp;"|1",$AA$14:$AA$1213,0))),"Tie",IF(MATCH($H37&amp;"|1",$Z$14:$Z$1213,0)=MATCH($H37&amp;"|1",$AA$14:$AA$1213,0),"Hit","Miss"))))</f>
        <v/>
      </c>
      <c r="K37" s="24">
        <f>IF($H37="","",IF(COUNTIFS($A$14:$A$1213,$H37,$F$14:$F$1213,"&gt;=0")=0,"—",IFERROR(INDEX($B$14:$B$1213,MATCH($H37&amp;"|1",$AA$14:$AA$1213,0)),"(tied)")))</f>
        <v/>
      </c>
      <c r="L37" s="25">
        <f>IF($H37="","",IF((--(COUNTIFS($A$14:$A$1213,$H37,$P$14:$P$1213,"&gt;=0")&gt;0)+--(COUNTIFS($A$14:$A$1213,$H37,$Q$14:$Q$1213,"&gt;=0")&gt;0)+--(COUNTIFS($A$14:$A$1213,$H37,$R$14:$R$1213,"&gt;=0")&gt;0)+--(COUNTIFS($A$14:$A$1213,$H37,$S$14:$S$1213,"&gt;=0")&gt;0)+--(COUNTIFS($A$14:$A$1213,$H37,$T$14:$T$1213,"&gt;=0")&gt;0))&lt;2,"—",IF(SUMIFS($AH$14:$AH$1213,$A$14:$A$1213,$H37)=0,"Yes","No")))</f>
        <v/>
      </c>
      <c r="M37" s="25">
        <f>IF($H37="","",IF(COUNTIFS($A$14:$A$1213,$H37,$F$14:$F$1213,"&gt;=0")&lt;2,"—",IF(COUNTIFS($A$14:$A$1213,$H37,$F$14:$F$1213,_xlfn.MAXIFS($F$14:$F$1213,$A$14:$A$1213,$H37))&gt;1,"No",IF(NOT(ISNUMBER($AN37)),"—",IF((2*(1-NORMSDIST(ABS($AN37))))&lt;0.05,"Yes","No")))))</f>
        <v/>
      </c>
      <c r="N37" s="21">
        <f>IF($H37="","",IF(NOT(ISNUMBER($AN37)),"—",IF((2*(1-NORMSDIST(ABS($AN37))))&lt;0.001,"&lt;0.001",TEXT((2*(1-NORMSDIST(ABS($AN37)))),"0.000"))))</f>
        <v/>
      </c>
      <c r="P37" s="26" t="n"/>
      <c r="Q37" s="26" t="n"/>
      <c r="R37" s="26" t="n"/>
      <c r="S37" s="26" t="n"/>
      <c r="T37" s="26" t="n"/>
      <c r="V37" s="27">
        <f>IF(ISNUMBER($C37),COUNTIFS($A$14:$A$1213,$A37,$C$14:$C$1213,"&gt;"&amp;$C37)+(COUNTIFS($A$14:$A$1213,$A37,$C$14:$C$1213,"="&amp;$C37)+1)/2,"")</f>
        <v/>
      </c>
      <c r="W37" s="27">
        <f>IF(ISNUMBER($F37),COUNTIFS($A$14:$A$1213,$A37,$F$14:$F$1213,"&gt;"&amp;$F37)+(COUNTIFS($A$14:$A$1213,$A37,$F$14:$F$1213,"="&amp;$F37)+1)/2,"")</f>
        <v/>
      </c>
      <c r="X37" s="27">
        <f>IF(OR(NOT(ISNUMBER($V37)),$AO37=1),"",$V37-(COUNTIFS($A$14:$A$1213,$A37,$C$14:$C$1213,"&gt;=0")+1)/2)</f>
        <v/>
      </c>
      <c r="Y37" s="27">
        <f>IF(OR(NOT(ISNUMBER($W37)),$AO37=1),"",$W37-(COUNTIFS($A$14:$A$1213,$A37,$F$14:$F$1213,"&gt;=0")+1)/2)</f>
        <v/>
      </c>
      <c r="Z37" s="27">
        <f>IF(ISNUMBER($V37),$A37&amp;"|"&amp;$V37,"")</f>
        <v/>
      </c>
      <c r="AA37" s="27">
        <f>IF(ISNUMBER($W37),$A37&amp;"|"&amp;$W37,"")</f>
        <v/>
      </c>
      <c r="AB37" s="27">
        <f>IF(ISNUMBER($F37),$A37&amp;"|"&amp;$F37,"")</f>
        <v/>
      </c>
      <c r="AC37" s="27">
        <f>IF(ISNUMBER($P37),COUNTIFS($A$14:$A$1213,$A37,$P$14:$P$1213,"&gt;"&amp;$P37)+(COUNTIFS($A$14:$A$1213,$A37,$P$14:$P$1213,"="&amp;$P37)+1)/2,"")</f>
        <v/>
      </c>
      <c r="AD37" s="27">
        <f>IF(ISNUMBER($Q37),COUNTIFS($A$14:$A$1213,$A37,$Q$14:$Q$1213,"&gt;"&amp;$Q37)+(COUNTIFS($A$14:$A$1213,$A37,$Q$14:$Q$1213,"="&amp;$Q37)+1)/2,"")</f>
        <v/>
      </c>
      <c r="AE37" s="27">
        <f>IF(ISNUMBER($R37),COUNTIFS($A$14:$A$1213,$A37,$R$14:$R$1213,"&gt;"&amp;$R37)+(COUNTIFS($A$14:$A$1213,$A37,$R$14:$R$1213,"="&amp;$R37)+1)/2,"")</f>
        <v/>
      </c>
      <c r="AF37" s="27">
        <f>IF(ISNUMBER($S37),COUNTIFS($A$14:$A$1213,$A37,$S$14:$S$1213,"&gt;"&amp;$S37)+(COUNTIFS($A$14:$A$1213,$A37,$S$14:$S$1213,"="&amp;$S37)+1)/2,"")</f>
        <v/>
      </c>
      <c r="AG37" s="27">
        <f>IF(ISNUMBER($T37),COUNTIFS($A$14:$A$1213,$A37,$T$14:$T$1213,"&gt;"&amp;$T37)+(COUNTIFS($A$14:$A$1213,$A37,$T$14:$T$1213,"="&amp;$T37)+1)/2,"")</f>
        <v/>
      </c>
      <c r="AH37" s="27">
        <f>IF(COUNT($AC37:$AG37)&lt;2,"",IF(MAX($AC37:$AG37)=MIN($AC37:$AG37),0,1))</f>
        <v/>
      </c>
      <c r="AI37" s="27">
        <f>IF($A37="","",IF(COUNTIF($A$14:$A37,$A37)=1,COUNTIF($AI$13:AI36,"&gt;0")+1,""))</f>
        <v/>
      </c>
      <c r="AJ37" s="27">
        <f>IF(OR($H37="",COUNTIFS($A$14:$A$1213,$H37,$F$14:$F$1213,"&gt;=0")&lt;2,COUNTIFS($A$14:$A$1213,$H37,$F$14:$F$1213,_xlfn.MAXIFS($F$14:$F$1213,$A$14:$A$1213,$H37))&gt;1),"",IFERROR(INDEX($D$14:$D$1213,MATCH($H37&amp;"|"&amp;_xlfn.MAXIFS($F$14:$F$1213,$A$14:$A$1213,$H37),$AB$14:$AB$1213,0)),""))</f>
        <v/>
      </c>
      <c r="AK37" s="27">
        <f>IF(OR($H37="",COUNTIFS($A$14:$A$1213,$H37,$F$14:$F$1213,"&gt;=0")&lt;2,COUNTIFS($A$14:$A$1213,$H37,$F$14:$F$1213,_xlfn.MAXIFS($F$14:$F$1213,$A$14:$A$1213,$H37))&gt;1),"",IFERROR(INDEX($E$14:$E$1213,MATCH($H37&amp;"|"&amp;_xlfn.MAXIFS($F$14:$F$1213,$A$14:$A$1213,$H37),$AB$14:$AB$1213,0)),""))</f>
        <v/>
      </c>
      <c r="AL37" s="27">
        <f>IF(OR($H37="",COUNTIFS($A$14:$A$1213,$H37,$F$14:$F$1213,"&gt;=0")&lt;2,COUNTIFS($A$14:$A$1213,$H37,$F$14:$F$1213,_xlfn.MAXIFS($F$14:$F$1213,$A$14:$A$1213,$H37))&gt;1),"",IFERROR(INDEX($D$14:$D$1213,MATCH($H37&amp;"|"&amp;_xlfn.MAXIFS($F$14:$F$1213,$A$14:$A$1213,$H37,$F$14:$F$1213,"&lt;"&amp;_xlfn.MAXIFS($F$14:$F$1213,$A$14:$A$1213,$H37)),$AB$14:$AB$1213,0)),""))</f>
        <v/>
      </c>
      <c r="AM37" s="27">
        <f>IF(OR($H37="",COUNTIFS($A$14:$A$1213,$H37,$F$14:$F$1213,"&gt;=0")&lt;2,COUNTIFS($A$14:$A$1213,$H37,$F$14:$F$1213,_xlfn.MAXIFS($F$14:$F$1213,$A$14:$A$1213,$H37))&gt;1),"",IFERROR(INDEX($E$14:$E$1213,MATCH($H37&amp;"|"&amp;_xlfn.MAXIFS($F$14:$F$1213,$A$14:$A$1213,$H37,$F$14:$F$1213,"&lt;"&amp;_xlfn.MAXIFS($F$14:$F$1213,$A$14:$A$1213,$H37)),$AB$14:$AB$1213,0)),""))</f>
        <v/>
      </c>
      <c r="AN37" s="27">
        <f>IF(OR(NOT(ISNUMBER($AJ37)),NOT(ISNUMBER($AL37)),$AK37=0,$AM37=0),"",IF(OR((($AJ37+$AL37)/($AK37+$AM37))&lt;=0,(($AJ37+$AL37)/($AK37+$AM37))&gt;=1),"",($AJ37/$AK37-$AL37/$AM37)/SQRT((($AJ37+$AL37)/($AK37+$AM37))*(1-(($AJ37+$AL37)/($AK37+$AM37)))*(1/$AK37+1/$AM37))))</f>
        <v/>
      </c>
      <c r="AO37" s="27">
        <f>IF($A37="","",IF(AND(COUNTIFS($A$14:$A$1213,$A37,$F$14:$F$1213,"&gt;=0")=2,IFERROR(INDEX($M$14:$M$313,MATCH($A37,$H$14:$H$313,0)),"Yes")&lt;&gt;"Yes"),1,0))</f>
        <v/>
      </c>
    </row>
    <row r="38" ht="24" customHeight="1">
      <c r="A38" s="19" t="n"/>
      <c r="B38" s="20" t="n"/>
      <c r="C38" s="21">
        <f>IFERROR(AVERAGE(P38:T38),"")</f>
        <v/>
      </c>
      <c r="D38" s="29" t="n"/>
      <c r="E38" s="29" t="n"/>
      <c r="F38" s="30">
        <f>IF(AND(ISNUMBER($D38),ISNUMBER($E38),$E38&gt;0,$D38&lt;=$E38),$D38/$E38,"")</f>
        <v/>
      </c>
      <c r="H38" s="19">
        <f>IFERROR(INDEX($A$14:$A$1213,MATCH(25,$AI$14:$AI$1213,0)),"")</f>
        <v/>
      </c>
      <c r="I38" s="24">
        <f>IF($H38="","",IF(COUNTIFS($A$14:$A$1213,$H38,$C$14:$C$1213,"&gt;=0")=0,"—",IFERROR(INDEX($B$14:$B$1213,MATCH($H38&amp;"|1",$Z$14:$Z$1213,0)),"(tied)")))</f>
        <v/>
      </c>
      <c r="J38" s="25">
        <f>IF($H38="","",IF(OR(COUNTIFS($A$14:$A$1213,$H38,$C$14:$C$1213,"&gt;=0")=0,COUNTIFS($A$14:$A$1213,$H38,$F$14:$F$1213,"&gt;=0")=0),"—",IF(OR(ISERROR(MATCH($H38&amp;"|1",$Z$14:$Z$1213,0)),ISERROR(MATCH($H38&amp;"|1",$AA$14:$AA$1213,0))),"Tie",IF(MATCH($H38&amp;"|1",$Z$14:$Z$1213,0)=MATCH($H38&amp;"|1",$AA$14:$AA$1213,0),"Hit","Miss"))))</f>
        <v/>
      </c>
      <c r="K38" s="24">
        <f>IF($H38="","",IF(COUNTIFS($A$14:$A$1213,$H38,$F$14:$F$1213,"&gt;=0")=0,"—",IFERROR(INDEX($B$14:$B$1213,MATCH($H38&amp;"|1",$AA$14:$AA$1213,0)),"(tied)")))</f>
        <v/>
      </c>
      <c r="L38" s="25">
        <f>IF($H38="","",IF((--(COUNTIFS($A$14:$A$1213,$H38,$P$14:$P$1213,"&gt;=0")&gt;0)+--(COUNTIFS($A$14:$A$1213,$H38,$Q$14:$Q$1213,"&gt;=0")&gt;0)+--(COUNTIFS($A$14:$A$1213,$H38,$R$14:$R$1213,"&gt;=0")&gt;0)+--(COUNTIFS($A$14:$A$1213,$H38,$S$14:$S$1213,"&gt;=0")&gt;0)+--(COUNTIFS($A$14:$A$1213,$H38,$T$14:$T$1213,"&gt;=0")&gt;0))&lt;2,"—",IF(SUMIFS($AH$14:$AH$1213,$A$14:$A$1213,$H38)=0,"Yes","No")))</f>
        <v/>
      </c>
      <c r="M38" s="25">
        <f>IF($H38="","",IF(COUNTIFS($A$14:$A$1213,$H38,$F$14:$F$1213,"&gt;=0")&lt;2,"—",IF(COUNTIFS($A$14:$A$1213,$H38,$F$14:$F$1213,_xlfn.MAXIFS($F$14:$F$1213,$A$14:$A$1213,$H38))&gt;1,"No",IF(NOT(ISNUMBER($AN38)),"—",IF((2*(1-NORMSDIST(ABS($AN38))))&lt;0.05,"Yes","No")))))</f>
        <v/>
      </c>
      <c r="N38" s="21">
        <f>IF($H38="","",IF(NOT(ISNUMBER($AN38)),"—",IF((2*(1-NORMSDIST(ABS($AN38))))&lt;0.001,"&lt;0.001",TEXT((2*(1-NORMSDIST(ABS($AN38)))),"0.000"))))</f>
        <v/>
      </c>
      <c r="P38" s="26" t="n"/>
      <c r="Q38" s="26" t="n"/>
      <c r="R38" s="26" t="n"/>
      <c r="S38" s="26" t="n"/>
      <c r="T38" s="26" t="n"/>
      <c r="V38" s="27">
        <f>IF(ISNUMBER($C38),COUNTIFS($A$14:$A$1213,$A38,$C$14:$C$1213,"&gt;"&amp;$C38)+(COUNTIFS($A$14:$A$1213,$A38,$C$14:$C$1213,"="&amp;$C38)+1)/2,"")</f>
        <v/>
      </c>
      <c r="W38" s="27">
        <f>IF(ISNUMBER($F38),COUNTIFS($A$14:$A$1213,$A38,$F$14:$F$1213,"&gt;"&amp;$F38)+(COUNTIFS($A$14:$A$1213,$A38,$F$14:$F$1213,"="&amp;$F38)+1)/2,"")</f>
        <v/>
      </c>
      <c r="X38" s="27">
        <f>IF(OR(NOT(ISNUMBER($V38)),$AO38=1),"",$V38-(COUNTIFS($A$14:$A$1213,$A38,$C$14:$C$1213,"&gt;=0")+1)/2)</f>
        <v/>
      </c>
      <c r="Y38" s="27">
        <f>IF(OR(NOT(ISNUMBER($W38)),$AO38=1),"",$W38-(COUNTIFS($A$14:$A$1213,$A38,$F$14:$F$1213,"&gt;=0")+1)/2)</f>
        <v/>
      </c>
      <c r="Z38" s="27">
        <f>IF(ISNUMBER($V38),$A38&amp;"|"&amp;$V38,"")</f>
        <v/>
      </c>
      <c r="AA38" s="27">
        <f>IF(ISNUMBER($W38),$A38&amp;"|"&amp;$W38,"")</f>
        <v/>
      </c>
      <c r="AB38" s="27">
        <f>IF(ISNUMBER($F38),$A38&amp;"|"&amp;$F38,"")</f>
        <v/>
      </c>
      <c r="AC38" s="27">
        <f>IF(ISNUMBER($P38),COUNTIFS($A$14:$A$1213,$A38,$P$14:$P$1213,"&gt;"&amp;$P38)+(COUNTIFS($A$14:$A$1213,$A38,$P$14:$P$1213,"="&amp;$P38)+1)/2,"")</f>
        <v/>
      </c>
      <c r="AD38" s="27">
        <f>IF(ISNUMBER($Q38),COUNTIFS($A$14:$A$1213,$A38,$Q$14:$Q$1213,"&gt;"&amp;$Q38)+(COUNTIFS($A$14:$A$1213,$A38,$Q$14:$Q$1213,"="&amp;$Q38)+1)/2,"")</f>
        <v/>
      </c>
      <c r="AE38" s="27">
        <f>IF(ISNUMBER($R38),COUNTIFS($A$14:$A$1213,$A38,$R$14:$R$1213,"&gt;"&amp;$R38)+(COUNTIFS($A$14:$A$1213,$A38,$R$14:$R$1213,"="&amp;$R38)+1)/2,"")</f>
        <v/>
      </c>
      <c r="AF38" s="27">
        <f>IF(ISNUMBER($S38),COUNTIFS($A$14:$A$1213,$A38,$S$14:$S$1213,"&gt;"&amp;$S38)+(COUNTIFS($A$14:$A$1213,$A38,$S$14:$S$1213,"="&amp;$S38)+1)/2,"")</f>
        <v/>
      </c>
      <c r="AG38" s="27">
        <f>IF(ISNUMBER($T38),COUNTIFS($A$14:$A$1213,$A38,$T$14:$T$1213,"&gt;"&amp;$T38)+(COUNTIFS($A$14:$A$1213,$A38,$T$14:$T$1213,"="&amp;$T38)+1)/2,"")</f>
        <v/>
      </c>
      <c r="AH38" s="27">
        <f>IF(COUNT($AC38:$AG38)&lt;2,"",IF(MAX($AC38:$AG38)=MIN($AC38:$AG38),0,1))</f>
        <v/>
      </c>
      <c r="AI38" s="27">
        <f>IF($A38="","",IF(COUNTIF($A$14:$A38,$A38)=1,COUNTIF($AI$13:AI37,"&gt;0")+1,""))</f>
        <v/>
      </c>
      <c r="AJ38" s="27">
        <f>IF(OR($H38="",COUNTIFS($A$14:$A$1213,$H38,$F$14:$F$1213,"&gt;=0")&lt;2,COUNTIFS($A$14:$A$1213,$H38,$F$14:$F$1213,_xlfn.MAXIFS($F$14:$F$1213,$A$14:$A$1213,$H38))&gt;1),"",IFERROR(INDEX($D$14:$D$1213,MATCH($H38&amp;"|"&amp;_xlfn.MAXIFS($F$14:$F$1213,$A$14:$A$1213,$H38),$AB$14:$AB$1213,0)),""))</f>
        <v/>
      </c>
      <c r="AK38" s="27">
        <f>IF(OR($H38="",COUNTIFS($A$14:$A$1213,$H38,$F$14:$F$1213,"&gt;=0")&lt;2,COUNTIFS($A$14:$A$1213,$H38,$F$14:$F$1213,_xlfn.MAXIFS($F$14:$F$1213,$A$14:$A$1213,$H38))&gt;1),"",IFERROR(INDEX($E$14:$E$1213,MATCH($H38&amp;"|"&amp;_xlfn.MAXIFS($F$14:$F$1213,$A$14:$A$1213,$H38),$AB$14:$AB$1213,0)),""))</f>
        <v/>
      </c>
      <c r="AL38" s="27">
        <f>IF(OR($H38="",COUNTIFS($A$14:$A$1213,$H38,$F$14:$F$1213,"&gt;=0")&lt;2,COUNTIFS($A$14:$A$1213,$H38,$F$14:$F$1213,_xlfn.MAXIFS($F$14:$F$1213,$A$14:$A$1213,$H38))&gt;1),"",IFERROR(INDEX($D$14:$D$1213,MATCH($H38&amp;"|"&amp;_xlfn.MAXIFS($F$14:$F$1213,$A$14:$A$1213,$H38,$F$14:$F$1213,"&lt;"&amp;_xlfn.MAXIFS($F$14:$F$1213,$A$14:$A$1213,$H38)),$AB$14:$AB$1213,0)),""))</f>
        <v/>
      </c>
      <c r="AM38" s="27">
        <f>IF(OR($H38="",COUNTIFS($A$14:$A$1213,$H38,$F$14:$F$1213,"&gt;=0")&lt;2,COUNTIFS($A$14:$A$1213,$H38,$F$14:$F$1213,_xlfn.MAXIFS($F$14:$F$1213,$A$14:$A$1213,$H38))&gt;1),"",IFERROR(INDEX($E$14:$E$1213,MATCH($H38&amp;"|"&amp;_xlfn.MAXIFS($F$14:$F$1213,$A$14:$A$1213,$H38,$F$14:$F$1213,"&lt;"&amp;_xlfn.MAXIFS($F$14:$F$1213,$A$14:$A$1213,$H38)),$AB$14:$AB$1213,0)),""))</f>
        <v/>
      </c>
      <c r="AN38" s="27">
        <f>IF(OR(NOT(ISNUMBER($AJ38)),NOT(ISNUMBER($AL38)),$AK38=0,$AM38=0),"",IF(OR((($AJ38+$AL38)/($AK38+$AM38))&lt;=0,(($AJ38+$AL38)/($AK38+$AM38))&gt;=1),"",($AJ38/$AK38-$AL38/$AM38)/SQRT((($AJ38+$AL38)/($AK38+$AM38))*(1-(($AJ38+$AL38)/($AK38+$AM38)))*(1/$AK38+1/$AM38))))</f>
        <v/>
      </c>
      <c r="AO38" s="27">
        <f>IF($A38="","",IF(AND(COUNTIFS($A$14:$A$1213,$A38,$F$14:$F$1213,"&gt;=0")=2,IFERROR(INDEX($M$14:$M$313,MATCH($A38,$H$14:$H$313,0)),"Yes")&lt;&gt;"Yes"),1,0))</f>
        <v/>
      </c>
    </row>
    <row r="39" ht="24" customHeight="1">
      <c r="A39" s="19" t="n"/>
      <c r="B39" s="20" t="n"/>
      <c r="C39" s="21">
        <f>IFERROR(AVERAGE(P39:T39),"")</f>
        <v/>
      </c>
      <c r="D39" s="29" t="n"/>
      <c r="E39" s="29" t="n"/>
      <c r="F39" s="30">
        <f>IF(AND(ISNUMBER($D39),ISNUMBER($E39),$E39&gt;0,$D39&lt;=$E39),$D39/$E39,"")</f>
        <v/>
      </c>
      <c r="H39" s="19">
        <f>IFERROR(INDEX($A$14:$A$1213,MATCH(26,$AI$14:$AI$1213,0)),"")</f>
        <v/>
      </c>
      <c r="I39" s="24">
        <f>IF($H39="","",IF(COUNTIFS($A$14:$A$1213,$H39,$C$14:$C$1213,"&gt;=0")=0,"—",IFERROR(INDEX($B$14:$B$1213,MATCH($H39&amp;"|1",$Z$14:$Z$1213,0)),"(tied)")))</f>
        <v/>
      </c>
      <c r="J39" s="25">
        <f>IF($H39="","",IF(OR(COUNTIFS($A$14:$A$1213,$H39,$C$14:$C$1213,"&gt;=0")=0,COUNTIFS($A$14:$A$1213,$H39,$F$14:$F$1213,"&gt;=0")=0),"—",IF(OR(ISERROR(MATCH($H39&amp;"|1",$Z$14:$Z$1213,0)),ISERROR(MATCH($H39&amp;"|1",$AA$14:$AA$1213,0))),"Tie",IF(MATCH($H39&amp;"|1",$Z$14:$Z$1213,0)=MATCH($H39&amp;"|1",$AA$14:$AA$1213,0),"Hit","Miss"))))</f>
        <v/>
      </c>
      <c r="K39" s="24">
        <f>IF($H39="","",IF(COUNTIFS($A$14:$A$1213,$H39,$F$14:$F$1213,"&gt;=0")=0,"—",IFERROR(INDEX($B$14:$B$1213,MATCH($H39&amp;"|1",$AA$14:$AA$1213,0)),"(tied)")))</f>
        <v/>
      </c>
      <c r="L39" s="25">
        <f>IF($H39="","",IF((--(COUNTIFS($A$14:$A$1213,$H39,$P$14:$P$1213,"&gt;=0")&gt;0)+--(COUNTIFS($A$14:$A$1213,$H39,$Q$14:$Q$1213,"&gt;=0")&gt;0)+--(COUNTIFS($A$14:$A$1213,$H39,$R$14:$R$1213,"&gt;=0")&gt;0)+--(COUNTIFS($A$14:$A$1213,$H39,$S$14:$S$1213,"&gt;=0")&gt;0)+--(COUNTIFS($A$14:$A$1213,$H39,$T$14:$T$1213,"&gt;=0")&gt;0))&lt;2,"—",IF(SUMIFS($AH$14:$AH$1213,$A$14:$A$1213,$H39)=0,"Yes","No")))</f>
        <v/>
      </c>
      <c r="M39" s="25">
        <f>IF($H39="","",IF(COUNTIFS($A$14:$A$1213,$H39,$F$14:$F$1213,"&gt;=0")&lt;2,"—",IF(COUNTIFS($A$14:$A$1213,$H39,$F$14:$F$1213,_xlfn.MAXIFS($F$14:$F$1213,$A$14:$A$1213,$H39))&gt;1,"No",IF(NOT(ISNUMBER($AN39)),"—",IF((2*(1-NORMSDIST(ABS($AN39))))&lt;0.05,"Yes","No")))))</f>
        <v/>
      </c>
      <c r="N39" s="21">
        <f>IF($H39="","",IF(NOT(ISNUMBER($AN39)),"—",IF((2*(1-NORMSDIST(ABS($AN39))))&lt;0.001,"&lt;0.001",TEXT((2*(1-NORMSDIST(ABS($AN39)))),"0.000"))))</f>
        <v/>
      </c>
      <c r="P39" s="26" t="n"/>
      <c r="Q39" s="26" t="n"/>
      <c r="R39" s="26" t="n"/>
      <c r="S39" s="26" t="n"/>
      <c r="T39" s="26" t="n"/>
      <c r="V39" s="27">
        <f>IF(ISNUMBER($C39),COUNTIFS($A$14:$A$1213,$A39,$C$14:$C$1213,"&gt;"&amp;$C39)+(COUNTIFS($A$14:$A$1213,$A39,$C$14:$C$1213,"="&amp;$C39)+1)/2,"")</f>
        <v/>
      </c>
      <c r="W39" s="27">
        <f>IF(ISNUMBER($F39),COUNTIFS($A$14:$A$1213,$A39,$F$14:$F$1213,"&gt;"&amp;$F39)+(COUNTIFS($A$14:$A$1213,$A39,$F$14:$F$1213,"="&amp;$F39)+1)/2,"")</f>
        <v/>
      </c>
      <c r="X39" s="27">
        <f>IF(OR(NOT(ISNUMBER($V39)),$AO39=1),"",$V39-(COUNTIFS($A$14:$A$1213,$A39,$C$14:$C$1213,"&gt;=0")+1)/2)</f>
        <v/>
      </c>
      <c r="Y39" s="27">
        <f>IF(OR(NOT(ISNUMBER($W39)),$AO39=1),"",$W39-(COUNTIFS($A$14:$A$1213,$A39,$F$14:$F$1213,"&gt;=0")+1)/2)</f>
        <v/>
      </c>
      <c r="Z39" s="27">
        <f>IF(ISNUMBER($V39),$A39&amp;"|"&amp;$V39,"")</f>
        <v/>
      </c>
      <c r="AA39" s="27">
        <f>IF(ISNUMBER($W39),$A39&amp;"|"&amp;$W39,"")</f>
        <v/>
      </c>
      <c r="AB39" s="27">
        <f>IF(ISNUMBER($F39),$A39&amp;"|"&amp;$F39,"")</f>
        <v/>
      </c>
      <c r="AC39" s="27">
        <f>IF(ISNUMBER($P39),COUNTIFS($A$14:$A$1213,$A39,$P$14:$P$1213,"&gt;"&amp;$P39)+(COUNTIFS($A$14:$A$1213,$A39,$P$14:$P$1213,"="&amp;$P39)+1)/2,"")</f>
        <v/>
      </c>
      <c r="AD39" s="27">
        <f>IF(ISNUMBER($Q39),COUNTIFS($A$14:$A$1213,$A39,$Q$14:$Q$1213,"&gt;"&amp;$Q39)+(COUNTIFS($A$14:$A$1213,$A39,$Q$14:$Q$1213,"="&amp;$Q39)+1)/2,"")</f>
        <v/>
      </c>
      <c r="AE39" s="27">
        <f>IF(ISNUMBER($R39),COUNTIFS($A$14:$A$1213,$A39,$R$14:$R$1213,"&gt;"&amp;$R39)+(COUNTIFS($A$14:$A$1213,$A39,$R$14:$R$1213,"="&amp;$R39)+1)/2,"")</f>
        <v/>
      </c>
      <c r="AF39" s="27">
        <f>IF(ISNUMBER($S39),COUNTIFS($A$14:$A$1213,$A39,$S$14:$S$1213,"&gt;"&amp;$S39)+(COUNTIFS($A$14:$A$1213,$A39,$S$14:$S$1213,"="&amp;$S39)+1)/2,"")</f>
        <v/>
      </c>
      <c r="AG39" s="27">
        <f>IF(ISNUMBER($T39),COUNTIFS($A$14:$A$1213,$A39,$T$14:$T$1213,"&gt;"&amp;$T39)+(COUNTIFS($A$14:$A$1213,$A39,$T$14:$T$1213,"="&amp;$T39)+1)/2,"")</f>
        <v/>
      </c>
      <c r="AH39" s="27">
        <f>IF(COUNT($AC39:$AG39)&lt;2,"",IF(MAX($AC39:$AG39)=MIN($AC39:$AG39),0,1))</f>
        <v/>
      </c>
      <c r="AI39" s="27">
        <f>IF($A39="","",IF(COUNTIF($A$14:$A39,$A39)=1,COUNTIF($AI$13:AI38,"&gt;0")+1,""))</f>
        <v/>
      </c>
      <c r="AJ39" s="27">
        <f>IF(OR($H39="",COUNTIFS($A$14:$A$1213,$H39,$F$14:$F$1213,"&gt;=0")&lt;2,COUNTIFS($A$14:$A$1213,$H39,$F$14:$F$1213,_xlfn.MAXIFS($F$14:$F$1213,$A$14:$A$1213,$H39))&gt;1),"",IFERROR(INDEX($D$14:$D$1213,MATCH($H39&amp;"|"&amp;_xlfn.MAXIFS($F$14:$F$1213,$A$14:$A$1213,$H39),$AB$14:$AB$1213,0)),""))</f>
        <v/>
      </c>
      <c r="AK39" s="27">
        <f>IF(OR($H39="",COUNTIFS($A$14:$A$1213,$H39,$F$14:$F$1213,"&gt;=0")&lt;2,COUNTIFS($A$14:$A$1213,$H39,$F$14:$F$1213,_xlfn.MAXIFS($F$14:$F$1213,$A$14:$A$1213,$H39))&gt;1),"",IFERROR(INDEX($E$14:$E$1213,MATCH($H39&amp;"|"&amp;_xlfn.MAXIFS($F$14:$F$1213,$A$14:$A$1213,$H39),$AB$14:$AB$1213,0)),""))</f>
        <v/>
      </c>
      <c r="AL39" s="27">
        <f>IF(OR($H39="",COUNTIFS($A$14:$A$1213,$H39,$F$14:$F$1213,"&gt;=0")&lt;2,COUNTIFS($A$14:$A$1213,$H39,$F$14:$F$1213,_xlfn.MAXIFS($F$14:$F$1213,$A$14:$A$1213,$H39))&gt;1),"",IFERROR(INDEX($D$14:$D$1213,MATCH($H39&amp;"|"&amp;_xlfn.MAXIFS($F$14:$F$1213,$A$14:$A$1213,$H39,$F$14:$F$1213,"&lt;"&amp;_xlfn.MAXIFS($F$14:$F$1213,$A$14:$A$1213,$H39)),$AB$14:$AB$1213,0)),""))</f>
        <v/>
      </c>
      <c r="AM39" s="27">
        <f>IF(OR($H39="",COUNTIFS($A$14:$A$1213,$H39,$F$14:$F$1213,"&gt;=0")&lt;2,COUNTIFS($A$14:$A$1213,$H39,$F$14:$F$1213,_xlfn.MAXIFS($F$14:$F$1213,$A$14:$A$1213,$H39))&gt;1),"",IFERROR(INDEX($E$14:$E$1213,MATCH($H39&amp;"|"&amp;_xlfn.MAXIFS($F$14:$F$1213,$A$14:$A$1213,$H39,$F$14:$F$1213,"&lt;"&amp;_xlfn.MAXIFS($F$14:$F$1213,$A$14:$A$1213,$H39)),$AB$14:$AB$1213,0)),""))</f>
        <v/>
      </c>
      <c r="AN39" s="27">
        <f>IF(OR(NOT(ISNUMBER($AJ39)),NOT(ISNUMBER($AL39)),$AK39=0,$AM39=0),"",IF(OR((($AJ39+$AL39)/($AK39+$AM39))&lt;=0,(($AJ39+$AL39)/($AK39+$AM39))&gt;=1),"",($AJ39/$AK39-$AL39/$AM39)/SQRT((($AJ39+$AL39)/($AK39+$AM39))*(1-(($AJ39+$AL39)/($AK39+$AM39)))*(1/$AK39+1/$AM39))))</f>
        <v/>
      </c>
      <c r="AO39" s="27">
        <f>IF($A39="","",IF(AND(COUNTIFS($A$14:$A$1213,$A39,$F$14:$F$1213,"&gt;=0")=2,IFERROR(INDEX($M$14:$M$313,MATCH($A39,$H$14:$H$313,0)),"Yes")&lt;&gt;"Yes"),1,0))</f>
        <v/>
      </c>
    </row>
    <row r="40" ht="24" customHeight="1">
      <c r="A40" s="19" t="n"/>
      <c r="B40" s="20" t="n"/>
      <c r="C40" s="21">
        <f>IFERROR(AVERAGE(P40:T40),"")</f>
        <v/>
      </c>
      <c r="D40" s="29" t="n"/>
      <c r="E40" s="29" t="n"/>
      <c r="F40" s="30">
        <f>IF(AND(ISNUMBER($D40),ISNUMBER($E40),$E40&gt;0,$D40&lt;=$E40),$D40/$E40,"")</f>
        <v/>
      </c>
      <c r="H40" s="19">
        <f>IFERROR(INDEX($A$14:$A$1213,MATCH(27,$AI$14:$AI$1213,0)),"")</f>
        <v/>
      </c>
      <c r="I40" s="24">
        <f>IF($H40="","",IF(COUNTIFS($A$14:$A$1213,$H40,$C$14:$C$1213,"&gt;=0")=0,"—",IFERROR(INDEX($B$14:$B$1213,MATCH($H40&amp;"|1",$Z$14:$Z$1213,0)),"(tied)")))</f>
        <v/>
      </c>
      <c r="J40" s="25">
        <f>IF($H40="","",IF(OR(COUNTIFS($A$14:$A$1213,$H40,$C$14:$C$1213,"&gt;=0")=0,COUNTIFS($A$14:$A$1213,$H40,$F$14:$F$1213,"&gt;=0")=0),"—",IF(OR(ISERROR(MATCH($H40&amp;"|1",$Z$14:$Z$1213,0)),ISERROR(MATCH($H40&amp;"|1",$AA$14:$AA$1213,0))),"Tie",IF(MATCH($H40&amp;"|1",$Z$14:$Z$1213,0)=MATCH($H40&amp;"|1",$AA$14:$AA$1213,0),"Hit","Miss"))))</f>
        <v/>
      </c>
      <c r="K40" s="24">
        <f>IF($H40="","",IF(COUNTIFS($A$14:$A$1213,$H40,$F$14:$F$1213,"&gt;=0")=0,"—",IFERROR(INDEX($B$14:$B$1213,MATCH($H40&amp;"|1",$AA$14:$AA$1213,0)),"(tied)")))</f>
        <v/>
      </c>
      <c r="L40" s="25">
        <f>IF($H40="","",IF((--(COUNTIFS($A$14:$A$1213,$H40,$P$14:$P$1213,"&gt;=0")&gt;0)+--(COUNTIFS($A$14:$A$1213,$H40,$Q$14:$Q$1213,"&gt;=0")&gt;0)+--(COUNTIFS($A$14:$A$1213,$H40,$R$14:$R$1213,"&gt;=0")&gt;0)+--(COUNTIFS($A$14:$A$1213,$H40,$S$14:$S$1213,"&gt;=0")&gt;0)+--(COUNTIFS($A$14:$A$1213,$H40,$T$14:$T$1213,"&gt;=0")&gt;0))&lt;2,"—",IF(SUMIFS($AH$14:$AH$1213,$A$14:$A$1213,$H40)=0,"Yes","No")))</f>
        <v/>
      </c>
      <c r="M40" s="25">
        <f>IF($H40="","",IF(COUNTIFS($A$14:$A$1213,$H40,$F$14:$F$1213,"&gt;=0")&lt;2,"—",IF(COUNTIFS($A$14:$A$1213,$H40,$F$14:$F$1213,_xlfn.MAXIFS($F$14:$F$1213,$A$14:$A$1213,$H40))&gt;1,"No",IF(NOT(ISNUMBER($AN40)),"—",IF((2*(1-NORMSDIST(ABS($AN40))))&lt;0.05,"Yes","No")))))</f>
        <v/>
      </c>
      <c r="N40" s="21">
        <f>IF($H40="","",IF(NOT(ISNUMBER($AN40)),"—",IF((2*(1-NORMSDIST(ABS($AN40))))&lt;0.001,"&lt;0.001",TEXT((2*(1-NORMSDIST(ABS($AN40)))),"0.000"))))</f>
        <v/>
      </c>
      <c r="P40" s="26" t="n"/>
      <c r="Q40" s="26" t="n"/>
      <c r="R40" s="26" t="n"/>
      <c r="S40" s="26" t="n"/>
      <c r="T40" s="26" t="n"/>
      <c r="V40" s="27">
        <f>IF(ISNUMBER($C40),COUNTIFS($A$14:$A$1213,$A40,$C$14:$C$1213,"&gt;"&amp;$C40)+(COUNTIFS($A$14:$A$1213,$A40,$C$14:$C$1213,"="&amp;$C40)+1)/2,"")</f>
        <v/>
      </c>
      <c r="W40" s="27">
        <f>IF(ISNUMBER($F40),COUNTIFS($A$14:$A$1213,$A40,$F$14:$F$1213,"&gt;"&amp;$F40)+(COUNTIFS($A$14:$A$1213,$A40,$F$14:$F$1213,"="&amp;$F40)+1)/2,"")</f>
        <v/>
      </c>
      <c r="X40" s="27">
        <f>IF(OR(NOT(ISNUMBER($V40)),$AO40=1),"",$V40-(COUNTIFS($A$14:$A$1213,$A40,$C$14:$C$1213,"&gt;=0")+1)/2)</f>
        <v/>
      </c>
      <c r="Y40" s="27">
        <f>IF(OR(NOT(ISNUMBER($W40)),$AO40=1),"",$W40-(COUNTIFS($A$14:$A$1213,$A40,$F$14:$F$1213,"&gt;=0")+1)/2)</f>
        <v/>
      </c>
      <c r="Z40" s="27">
        <f>IF(ISNUMBER($V40),$A40&amp;"|"&amp;$V40,"")</f>
        <v/>
      </c>
      <c r="AA40" s="27">
        <f>IF(ISNUMBER($W40),$A40&amp;"|"&amp;$W40,"")</f>
        <v/>
      </c>
      <c r="AB40" s="27">
        <f>IF(ISNUMBER($F40),$A40&amp;"|"&amp;$F40,"")</f>
        <v/>
      </c>
      <c r="AC40" s="27">
        <f>IF(ISNUMBER($P40),COUNTIFS($A$14:$A$1213,$A40,$P$14:$P$1213,"&gt;"&amp;$P40)+(COUNTIFS($A$14:$A$1213,$A40,$P$14:$P$1213,"="&amp;$P40)+1)/2,"")</f>
        <v/>
      </c>
      <c r="AD40" s="27">
        <f>IF(ISNUMBER($Q40),COUNTIFS($A$14:$A$1213,$A40,$Q$14:$Q$1213,"&gt;"&amp;$Q40)+(COUNTIFS($A$14:$A$1213,$A40,$Q$14:$Q$1213,"="&amp;$Q40)+1)/2,"")</f>
        <v/>
      </c>
      <c r="AE40" s="27">
        <f>IF(ISNUMBER($R40),COUNTIFS($A$14:$A$1213,$A40,$R$14:$R$1213,"&gt;"&amp;$R40)+(COUNTIFS($A$14:$A$1213,$A40,$R$14:$R$1213,"="&amp;$R40)+1)/2,"")</f>
        <v/>
      </c>
      <c r="AF40" s="27">
        <f>IF(ISNUMBER($S40),COUNTIFS($A$14:$A$1213,$A40,$S$14:$S$1213,"&gt;"&amp;$S40)+(COUNTIFS($A$14:$A$1213,$A40,$S$14:$S$1213,"="&amp;$S40)+1)/2,"")</f>
        <v/>
      </c>
      <c r="AG40" s="27">
        <f>IF(ISNUMBER($T40),COUNTIFS($A$14:$A$1213,$A40,$T$14:$T$1213,"&gt;"&amp;$T40)+(COUNTIFS($A$14:$A$1213,$A40,$T$14:$T$1213,"="&amp;$T40)+1)/2,"")</f>
        <v/>
      </c>
      <c r="AH40" s="27">
        <f>IF(COUNT($AC40:$AG40)&lt;2,"",IF(MAX($AC40:$AG40)=MIN($AC40:$AG40),0,1))</f>
        <v/>
      </c>
      <c r="AI40" s="27">
        <f>IF($A40="","",IF(COUNTIF($A$14:$A40,$A40)=1,COUNTIF($AI$13:AI39,"&gt;0")+1,""))</f>
        <v/>
      </c>
      <c r="AJ40" s="27">
        <f>IF(OR($H40="",COUNTIFS($A$14:$A$1213,$H40,$F$14:$F$1213,"&gt;=0")&lt;2,COUNTIFS($A$14:$A$1213,$H40,$F$14:$F$1213,_xlfn.MAXIFS($F$14:$F$1213,$A$14:$A$1213,$H40))&gt;1),"",IFERROR(INDEX($D$14:$D$1213,MATCH($H40&amp;"|"&amp;_xlfn.MAXIFS($F$14:$F$1213,$A$14:$A$1213,$H40),$AB$14:$AB$1213,0)),""))</f>
        <v/>
      </c>
      <c r="AK40" s="27">
        <f>IF(OR($H40="",COUNTIFS($A$14:$A$1213,$H40,$F$14:$F$1213,"&gt;=0")&lt;2,COUNTIFS($A$14:$A$1213,$H40,$F$14:$F$1213,_xlfn.MAXIFS($F$14:$F$1213,$A$14:$A$1213,$H40))&gt;1),"",IFERROR(INDEX($E$14:$E$1213,MATCH($H40&amp;"|"&amp;_xlfn.MAXIFS($F$14:$F$1213,$A$14:$A$1213,$H40),$AB$14:$AB$1213,0)),""))</f>
        <v/>
      </c>
      <c r="AL40" s="27">
        <f>IF(OR($H40="",COUNTIFS($A$14:$A$1213,$H40,$F$14:$F$1213,"&gt;=0")&lt;2,COUNTIFS($A$14:$A$1213,$H40,$F$14:$F$1213,_xlfn.MAXIFS($F$14:$F$1213,$A$14:$A$1213,$H40))&gt;1),"",IFERROR(INDEX($D$14:$D$1213,MATCH($H40&amp;"|"&amp;_xlfn.MAXIFS($F$14:$F$1213,$A$14:$A$1213,$H40,$F$14:$F$1213,"&lt;"&amp;_xlfn.MAXIFS($F$14:$F$1213,$A$14:$A$1213,$H40)),$AB$14:$AB$1213,0)),""))</f>
        <v/>
      </c>
      <c r="AM40" s="27">
        <f>IF(OR($H40="",COUNTIFS($A$14:$A$1213,$H40,$F$14:$F$1213,"&gt;=0")&lt;2,COUNTIFS($A$14:$A$1213,$H40,$F$14:$F$1213,_xlfn.MAXIFS($F$14:$F$1213,$A$14:$A$1213,$H40))&gt;1),"",IFERROR(INDEX($E$14:$E$1213,MATCH($H40&amp;"|"&amp;_xlfn.MAXIFS($F$14:$F$1213,$A$14:$A$1213,$H40,$F$14:$F$1213,"&lt;"&amp;_xlfn.MAXIFS($F$14:$F$1213,$A$14:$A$1213,$H40)),$AB$14:$AB$1213,0)),""))</f>
        <v/>
      </c>
      <c r="AN40" s="27">
        <f>IF(OR(NOT(ISNUMBER($AJ40)),NOT(ISNUMBER($AL40)),$AK40=0,$AM40=0),"",IF(OR((($AJ40+$AL40)/($AK40+$AM40))&lt;=0,(($AJ40+$AL40)/($AK40+$AM40))&gt;=1),"",($AJ40/$AK40-$AL40/$AM40)/SQRT((($AJ40+$AL40)/($AK40+$AM40))*(1-(($AJ40+$AL40)/($AK40+$AM40)))*(1/$AK40+1/$AM40))))</f>
        <v/>
      </c>
      <c r="AO40" s="27">
        <f>IF($A40="","",IF(AND(COUNTIFS($A$14:$A$1213,$A40,$F$14:$F$1213,"&gt;=0")=2,IFERROR(INDEX($M$14:$M$313,MATCH($A40,$H$14:$H$313,0)),"Yes")&lt;&gt;"Yes"),1,0))</f>
        <v/>
      </c>
    </row>
    <row r="41" ht="24" customHeight="1">
      <c r="A41" s="19" t="n"/>
      <c r="B41" s="20" t="n"/>
      <c r="C41" s="21">
        <f>IFERROR(AVERAGE(P41:T41),"")</f>
        <v/>
      </c>
      <c r="D41" s="29" t="n"/>
      <c r="E41" s="29" t="n"/>
      <c r="F41" s="30">
        <f>IF(AND(ISNUMBER($D41),ISNUMBER($E41),$E41&gt;0,$D41&lt;=$E41),$D41/$E41,"")</f>
        <v/>
      </c>
      <c r="H41" s="19">
        <f>IFERROR(INDEX($A$14:$A$1213,MATCH(28,$AI$14:$AI$1213,0)),"")</f>
        <v/>
      </c>
      <c r="I41" s="24">
        <f>IF($H41="","",IF(COUNTIFS($A$14:$A$1213,$H41,$C$14:$C$1213,"&gt;=0")=0,"—",IFERROR(INDEX($B$14:$B$1213,MATCH($H41&amp;"|1",$Z$14:$Z$1213,0)),"(tied)")))</f>
        <v/>
      </c>
      <c r="J41" s="25">
        <f>IF($H41="","",IF(OR(COUNTIFS($A$14:$A$1213,$H41,$C$14:$C$1213,"&gt;=0")=0,COUNTIFS($A$14:$A$1213,$H41,$F$14:$F$1213,"&gt;=0")=0),"—",IF(OR(ISERROR(MATCH($H41&amp;"|1",$Z$14:$Z$1213,0)),ISERROR(MATCH($H41&amp;"|1",$AA$14:$AA$1213,0))),"Tie",IF(MATCH($H41&amp;"|1",$Z$14:$Z$1213,0)=MATCH($H41&amp;"|1",$AA$14:$AA$1213,0),"Hit","Miss"))))</f>
        <v/>
      </c>
      <c r="K41" s="24">
        <f>IF($H41="","",IF(COUNTIFS($A$14:$A$1213,$H41,$F$14:$F$1213,"&gt;=0")=0,"—",IFERROR(INDEX($B$14:$B$1213,MATCH($H41&amp;"|1",$AA$14:$AA$1213,0)),"(tied)")))</f>
        <v/>
      </c>
      <c r="L41" s="25">
        <f>IF($H41="","",IF((--(COUNTIFS($A$14:$A$1213,$H41,$P$14:$P$1213,"&gt;=0")&gt;0)+--(COUNTIFS($A$14:$A$1213,$H41,$Q$14:$Q$1213,"&gt;=0")&gt;0)+--(COUNTIFS($A$14:$A$1213,$H41,$R$14:$R$1213,"&gt;=0")&gt;0)+--(COUNTIFS($A$14:$A$1213,$H41,$S$14:$S$1213,"&gt;=0")&gt;0)+--(COUNTIFS($A$14:$A$1213,$H41,$T$14:$T$1213,"&gt;=0")&gt;0))&lt;2,"—",IF(SUMIFS($AH$14:$AH$1213,$A$14:$A$1213,$H41)=0,"Yes","No")))</f>
        <v/>
      </c>
      <c r="M41" s="25">
        <f>IF($H41="","",IF(COUNTIFS($A$14:$A$1213,$H41,$F$14:$F$1213,"&gt;=0")&lt;2,"—",IF(COUNTIFS($A$14:$A$1213,$H41,$F$14:$F$1213,_xlfn.MAXIFS($F$14:$F$1213,$A$14:$A$1213,$H41))&gt;1,"No",IF(NOT(ISNUMBER($AN41)),"—",IF((2*(1-NORMSDIST(ABS($AN41))))&lt;0.05,"Yes","No")))))</f>
        <v/>
      </c>
      <c r="N41" s="21">
        <f>IF($H41="","",IF(NOT(ISNUMBER($AN41)),"—",IF((2*(1-NORMSDIST(ABS($AN41))))&lt;0.001,"&lt;0.001",TEXT((2*(1-NORMSDIST(ABS($AN41)))),"0.000"))))</f>
        <v/>
      </c>
      <c r="P41" s="26" t="n"/>
      <c r="Q41" s="26" t="n"/>
      <c r="R41" s="26" t="n"/>
      <c r="S41" s="26" t="n"/>
      <c r="T41" s="26" t="n"/>
      <c r="V41" s="27">
        <f>IF(ISNUMBER($C41),COUNTIFS($A$14:$A$1213,$A41,$C$14:$C$1213,"&gt;"&amp;$C41)+(COUNTIFS($A$14:$A$1213,$A41,$C$14:$C$1213,"="&amp;$C41)+1)/2,"")</f>
        <v/>
      </c>
      <c r="W41" s="27">
        <f>IF(ISNUMBER($F41),COUNTIFS($A$14:$A$1213,$A41,$F$14:$F$1213,"&gt;"&amp;$F41)+(COUNTIFS($A$14:$A$1213,$A41,$F$14:$F$1213,"="&amp;$F41)+1)/2,"")</f>
        <v/>
      </c>
      <c r="X41" s="27">
        <f>IF(OR(NOT(ISNUMBER($V41)),$AO41=1),"",$V41-(COUNTIFS($A$14:$A$1213,$A41,$C$14:$C$1213,"&gt;=0")+1)/2)</f>
        <v/>
      </c>
      <c r="Y41" s="27">
        <f>IF(OR(NOT(ISNUMBER($W41)),$AO41=1),"",$W41-(COUNTIFS($A$14:$A$1213,$A41,$F$14:$F$1213,"&gt;=0")+1)/2)</f>
        <v/>
      </c>
      <c r="Z41" s="27">
        <f>IF(ISNUMBER($V41),$A41&amp;"|"&amp;$V41,"")</f>
        <v/>
      </c>
      <c r="AA41" s="27">
        <f>IF(ISNUMBER($W41),$A41&amp;"|"&amp;$W41,"")</f>
        <v/>
      </c>
      <c r="AB41" s="27">
        <f>IF(ISNUMBER($F41),$A41&amp;"|"&amp;$F41,"")</f>
        <v/>
      </c>
      <c r="AC41" s="27">
        <f>IF(ISNUMBER($P41),COUNTIFS($A$14:$A$1213,$A41,$P$14:$P$1213,"&gt;"&amp;$P41)+(COUNTIFS($A$14:$A$1213,$A41,$P$14:$P$1213,"="&amp;$P41)+1)/2,"")</f>
        <v/>
      </c>
      <c r="AD41" s="27">
        <f>IF(ISNUMBER($Q41),COUNTIFS($A$14:$A$1213,$A41,$Q$14:$Q$1213,"&gt;"&amp;$Q41)+(COUNTIFS($A$14:$A$1213,$A41,$Q$14:$Q$1213,"="&amp;$Q41)+1)/2,"")</f>
        <v/>
      </c>
      <c r="AE41" s="27">
        <f>IF(ISNUMBER($R41),COUNTIFS($A$14:$A$1213,$A41,$R$14:$R$1213,"&gt;"&amp;$R41)+(COUNTIFS($A$14:$A$1213,$A41,$R$14:$R$1213,"="&amp;$R41)+1)/2,"")</f>
        <v/>
      </c>
      <c r="AF41" s="27">
        <f>IF(ISNUMBER($S41),COUNTIFS($A$14:$A$1213,$A41,$S$14:$S$1213,"&gt;"&amp;$S41)+(COUNTIFS($A$14:$A$1213,$A41,$S$14:$S$1213,"="&amp;$S41)+1)/2,"")</f>
        <v/>
      </c>
      <c r="AG41" s="27">
        <f>IF(ISNUMBER($T41),COUNTIFS($A$14:$A$1213,$A41,$T$14:$T$1213,"&gt;"&amp;$T41)+(COUNTIFS($A$14:$A$1213,$A41,$T$14:$T$1213,"="&amp;$T41)+1)/2,"")</f>
        <v/>
      </c>
      <c r="AH41" s="27">
        <f>IF(COUNT($AC41:$AG41)&lt;2,"",IF(MAX($AC41:$AG41)=MIN($AC41:$AG41),0,1))</f>
        <v/>
      </c>
      <c r="AI41" s="27">
        <f>IF($A41="","",IF(COUNTIF($A$14:$A41,$A41)=1,COUNTIF($AI$13:AI40,"&gt;0")+1,""))</f>
        <v/>
      </c>
      <c r="AJ41" s="27">
        <f>IF(OR($H41="",COUNTIFS($A$14:$A$1213,$H41,$F$14:$F$1213,"&gt;=0")&lt;2,COUNTIFS($A$14:$A$1213,$H41,$F$14:$F$1213,_xlfn.MAXIFS($F$14:$F$1213,$A$14:$A$1213,$H41))&gt;1),"",IFERROR(INDEX($D$14:$D$1213,MATCH($H41&amp;"|"&amp;_xlfn.MAXIFS($F$14:$F$1213,$A$14:$A$1213,$H41),$AB$14:$AB$1213,0)),""))</f>
        <v/>
      </c>
      <c r="AK41" s="27">
        <f>IF(OR($H41="",COUNTIFS($A$14:$A$1213,$H41,$F$14:$F$1213,"&gt;=0")&lt;2,COUNTIFS($A$14:$A$1213,$H41,$F$14:$F$1213,_xlfn.MAXIFS($F$14:$F$1213,$A$14:$A$1213,$H41))&gt;1),"",IFERROR(INDEX($E$14:$E$1213,MATCH($H41&amp;"|"&amp;_xlfn.MAXIFS($F$14:$F$1213,$A$14:$A$1213,$H41),$AB$14:$AB$1213,0)),""))</f>
        <v/>
      </c>
      <c r="AL41" s="27">
        <f>IF(OR($H41="",COUNTIFS($A$14:$A$1213,$H41,$F$14:$F$1213,"&gt;=0")&lt;2,COUNTIFS($A$14:$A$1213,$H41,$F$14:$F$1213,_xlfn.MAXIFS($F$14:$F$1213,$A$14:$A$1213,$H41))&gt;1),"",IFERROR(INDEX($D$14:$D$1213,MATCH($H41&amp;"|"&amp;_xlfn.MAXIFS($F$14:$F$1213,$A$14:$A$1213,$H41,$F$14:$F$1213,"&lt;"&amp;_xlfn.MAXIFS($F$14:$F$1213,$A$14:$A$1213,$H41)),$AB$14:$AB$1213,0)),""))</f>
        <v/>
      </c>
      <c r="AM41" s="27">
        <f>IF(OR($H41="",COUNTIFS($A$14:$A$1213,$H41,$F$14:$F$1213,"&gt;=0")&lt;2,COUNTIFS($A$14:$A$1213,$H41,$F$14:$F$1213,_xlfn.MAXIFS($F$14:$F$1213,$A$14:$A$1213,$H41))&gt;1),"",IFERROR(INDEX($E$14:$E$1213,MATCH($H41&amp;"|"&amp;_xlfn.MAXIFS($F$14:$F$1213,$A$14:$A$1213,$H41,$F$14:$F$1213,"&lt;"&amp;_xlfn.MAXIFS($F$14:$F$1213,$A$14:$A$1213,$H41)),$AB$14:$AB$1213,0)),""))</f>
        <v/>
      </c>
      <c r="AN41" s="27">
        <f>IF(OR(NOT(ISNUMBER($AJ41)),NOT(ISNUMBER($AL41)),$AK41=0,$AM41=0),"",IF(OR((($AJ41+$AL41)/($AK41+$AM41))&lt;=0,(($AJ41+$AL41)/($AK41+$AM41))&gt;=1),"",($AJ41/$AK41-$AL41/$AM41)/SQRT((($AJ41+$AL41)/($AK41+$AM41))*(1-(($AJ41+$AL41)/($AK41+$AM41)))*(1/$AK41+1/$AM41))))</f>
        <v/>
      </c>
      <c r="AO41" s="27">
        <f>IF($A41="","",IF(AND(COUNTIFS($A$14:$A$1213,$A41,$F$14:$F$1213,"&gt;=0")=2,IFERROR(INDEX($M$14:$M$313,MATCH($A41,$H$14:$H$313,0)),"Yes")&lt;&gt;"Yes"),1,0))</f>
        <v/>
      </c>
    </row>
    <row r="42" ht="24" customHeight="1">
      <c r="A42" s="19" t="n"/>
      <c r="B42" s="20" t="n"/>
      <c r="C42" s="21">
        <f>IFERROR(AVERAGE(P42:T42),"")</f>
        <v/>
      </c>
      <c r="D42" s="29" t="n"/>
      <c r="E42" s="29" t="n"/>
      <c r="F42" s="30">
        <f>IF(AND(ISNUMBER($D42),ISNUMBER($E42),$E42&gt;0,$D42&lt;=$E42),$D42/$E42,"")</f>
        <v/>
      </c>
      <c r="H42" s="19">
        <f>IFERROR(INDEX($A$14:$A$1213,MATCH(29,$AI$14:$AI$1213,0)),"")</f>
        <v/>
      </c>
      <c r="I42" s="24">
        <f>IF($H42="","",IF(COUNTIFS($A$14:$A$1213,$H42,$C$14:$C$1213,"&gt;=0")=0,"—",IFERROR(INDEX($B$14:$B$1213,MATCH($H42&amp;"|1",$Z$14:$Z$1213,0)),"(tied)")))</f>
        <v/>
      </c>
      <c r="J42" s="25">
        <f>IF($H42="","",IF(OR(COUNTIFS($A$14:$A$1213,$H42,$C$14:$C$1213,"&gt;=0")=0,COUNTIFS($A$14:$A$1213,$H42,$F$14:$F$1213,"&gt;=0")=0),"—",IF(OR(ISERROR(MATCH($H42&amp;"|1",$Z$14:$Z$1213,0)),ISERROR(MATCH($H42&amp;"|1",$AA$14:$AA$1213,0))),"Tie",IF(MATCH($H42&amp;"|1",$Z$14:$Z$1213,0)=MATCH($H42&amp;"|1",$AA$14:$AA$1213,0),"Hit","Miss"))))</f>
        <v/>
      </c>
      <c r="K42" s="24">
        <f>IF($H42="","",IF(COUNTIFS($A$14:$A$1213,$H42,$F$14:$F$1213,"&gt;=0")=0,"—",IFERROR(INDEX($B$14:$B$1213,MATCH($H42&amp;"|1",$AA$14:$AA$1213,0)),"(tied)")))</f>
        <v/>
      </c>
      <c r="L42" s="25">
        <f>IF($H42="","",IF((--(COUNTIFS($A$14:$A$1213,$H42,$P$14:$P$1213,"&gt;=0")&gt;0)+--(COUNTIFS($A$14:$A$1213,$H42,$Q$14:$Q$1213,"&gt;=0")&gt;0)+--(COUNTIFS($A$14:$A$1213,$H42,$R$14:$R$1213,"&gt;=0")&gt;0)+--(COUNTIFS($A$14:$A$1213,$H42,$S$14:$S$1213,"&gt;=0")&gt;0)+--(COUNTIFS($A$14:$A$1213,$H42,$T$14:$T$1213,"&gt;=0")&gt;0))&lt;2,"—",IF(SUMIFS($AH$14:$AH$1213,$A$14:$A$1213,$H42)=0,"Yes","No")))</f>
        <v/>
      </c>
      <c r="M42" s="25">
        <f>IF($H42="","",IF(COUNTIFS($A$14:$A$1213,$H42,$F$14:$F$1213,"&gt;=0")&lt;2,"—",IF(COUNTIFS($A$14:$A$1213,$H42,$F$14:$F$1213,_xlfn.MAXIFS($F$14:$F$1213,$A$14:$A$1213,$H42))&gt;1,"No",IF(NOT(ISNUMBER($AN42)),"—",IF((2*(1-NORMSDIST(ABS($AN42))))&lt;0.05,"Yes","No")))))</f>
        <v/>
      </c>
      <c r="N42" s="21">
        <f>IF($H42="","",IF(NOT(ISNUMBER($AN42)),"—",IF((2*(1-NORMSDIST(ABS($AN42))))&lt;0.001,"&lt;0.001",TEXT((2*(1-NORMSDIST(ABS($AN42)))),"0.000"))))</f>
        <v/>
      </c>
      <c r="P42" s="26" t="n"/>
      <c r="Q42" s="26" t="n"/>
      <c r="R42" s="26" t="n"/>
      <c r="S42" s="26" t="n"/>
      <c r="T42" s="26" t="n"/>
      <c r="V42" s="27">
        <f>IF(ISNUMBER($C42),COUNTIFS($A$14:$A$1213,$A42,$C$14:$C$1213,"&gt;"&amp;$C42)+(COUNTIFS($A$14:$A$1213,$A42,$C$14:$C$1213,"="&amp;$C42)+1)/2,"")</f>
        <v/>
      </c>
      <c r="W42" s="27">
        <f>IF(ISNUMBER($F42),COUNTIFS($A$14:$A$1213,$A42,$F$14:$F$1213,"&gt;"&amp;$F42)+(COUNTIFS($A$14:$A$1213,$A42,$F$14:$F$1213,"="&amp;$F42)+1)/2,"")</f>
        <v/>
      </c>
      <c r="X42" s="27">
        <f>IF(OR(NOT(ISNUMBER($V42)),$AO42=1),"",$V42-(COUNTIFS($A$14:$A$1213,$A42,$C$14:$C$1213,"&gt;=0")+1)/2)</f>
        <v/>
      </c>
      <c r="Y42" s="27">
        <f>IF(OR(NOT(ISNUMBER($W42)),$AO42=1),"",$W42-(COUNTIFS($A$14:$A$1213,$A42,$F$14:$F$1213,"&gt;=0")+1)/2)</f>
        <v/>
      </c>
      <c r="Z42" s="27">
        <f>IF(ISNUMBER($V42),$A42&amp;"|"&amp;$V42,"")</f>
        <v/>
      </c>
      <c r="AA42" s="27">
        <f>IF(ISNUMBER($W42),$A42&amp;"|"&amp;$W42,"")</f>
        <v/>
      </c>
      <c r="AB42" s="27">
        <f>IF(ISNUMBER($F42),$A42&amp;"|"&amp;$F42,"")</f>
        <v/>
      </c>
      <c r="AC42" s="27">
        <f>IF(ISNUMBER($P42),COUNTIFS($A$14:$A$1213,$A42,$P$14:$P$1213,"&gt;"&amp;$P42)+(COUNTIFS($A$14:$A$1213,$A42,$P$14:$P$1213,"="&amp;$P42)+1)/2,"")</f>
        <v/>
      </c>
      <c r="AD42" s="27">
        <f>IF(ISNUMBER($Q42),COUNTIFS($A$14:$A$1213,$A42,$Q$14:$Q$1213,"&gt;"&amp;$Q42)+(COUNTIFS($A$14:$A$1213,$A42,$Q$14:$Q$1213,"="&amp;$Q42)+1)/2,"")</f>
        <v/>
      </c>
      <c r="AE42" s="27">
        <f>IF(ISNUMBER($R42),COUNTIFS($A$14:$A$1213,$A42,$R$14:$R$1213,"&gt;"&amp;$R42)+(COUNTIFS($A$14:$A$1213,$A42,$R$14:$R$1213,"="&amp;$R42)+1)/2,"")</f>
        <v/>
      </c>
      <c r="AF42" s="27">
        <f>IF(ISNUMBER($S42),COUNTIFS($A$14:$A$1213,$A42,$S$14:$S$1213,"&gt;"&amp;$S42)+(COUNTIFS($A$14:$A$1213,$A42,$S$14:$S$1213,"="&amp;$S42)+1)/2,"")</f>
        <v/>
      </c>
      <c r="AG42" s="27">
        <f>IF(ISNUMBER($T42),COUNTIFS($A$14:$A$1213,$A42,$T$14:$T$1213,"&gt;"&amp;$T42)+(COUNTIFS($A$14:$A$1213,$A42,$T$14:$T$1213,"="&amp;$T42)+1)/2,"")</f>
        <v/>
      </c>
      <c r="AH42" s="27">
        <f>IF(COUNT($AC42:$AG42)&lt;2,"",IF(MAX($AC42:$AG42)=MIN($AC42:$AG42),0,1))</f>
        <v/>
      </c>
      <c r="AI42" s="27">
        <f>IF($A42="","",IF(COUNTIF($A$14:$A42,$A42)=1,COUNTIF($AI$13:AI41,"&gt;0")+1,""))</f>
        <v/>
      </c>
      <c r="AJ42" s="27">
        <f>IF(OR($H42="",COUNTIFS($A$14:$A$1213,$H42,$F$14:$F$1213,"&gt;=0")&lt;2,COUNTIFS($A$14:$A$1213,$H42,$F$14:$F$1213,_xlfn.MAXIFS($F$14:$F$1213,$A$14:$A$1213,$H42))&gt;1),"",IFERROR(INDEX($D$14:$D$1213,MATCH($H42&amp;"|"&amp;_xlfn.MAXIFS($F$14:$F$1213,$A$14:$A$1213,$H42),$AB$14:$AB$1213,0)),""))</f>
        <v/>
      </c>
      <c r="AK42" s="27">
        <f>IF(OR($H42="",COUNTIFS($A$14:$A$1213,$H42,$F$14:$F$1213,"&gt;=0")&lt;2,COUNTIFS($A$14:$A$1213,$H42,$F$14:$F$1213,_xlfn.MAXIFS($F$14:$F$1213,$A$14:$A$1213,$H42))&gt;1),"",IFERROR(INDEX($E$14:$E$1213,MATCH($H42&amp;"|"&amp;_xlfn.MAXIFS($F$14:$F$1213,$A$14:$A$1213,$H42),$AB$14:$AB$1213,0)),""))</f>
        <v/>
      </c>
      <c r="AL42" s="27">
        <f>IF(OR($H42="",COUNTIFS($A$14:$A$1213,$H42,$F$14:$F$1213,"&gt;=0")&lt;2,COUNTIFS($A$14:$A$1213,$H42,$F$14:$F$1213,_xlfn.MAXIFS($F$14:$F$1213,$A$14:$A$1213,$H42))&gt;1),"",IFERROR(INDEX($D$14:$D$1213,MATCH($H42&amp;"|"&amp;_xlfn.MAXIFS($F$14:$F$1213,$A$14:$A$1213,$H42,$F$14:$F$1213,"&lt;"&amp;_xlfn.MAXIFS($F$14:$F$1213,$A$14:$A$1213,$H42)),$AB$14:$AB$1213,0)),""))</f>
        <v/>
      </c>
      <c r="AM42" s="27">
        <f>IF(OR($H42="",COUNTIFS($A$14:$A$1213,$H42,$F$14:$F$1213,"&gt;=0")&lt;2,COUNTIFS($A$14:$A$1213,$H42,$F$14:$F$1213,_xlfn.MAXIFS($F$14:$F$1213,$A$14:$A$1213,$H42))&gt;1),"",IFERROR(INDEX($E$14:$E$1213,MATCH($H42&amp;"|"&amp;_xlfn.MAXIFS($F$14:$F$1213,$A$14:$A$1213,$H42,$F$14:$F$1213,"&lt;"&amp;_xlfn.MAXIFS($F$14:$F$1213,$A$14:$A$1213,$H42)),$AB$14:$AB$1213,0)),""))</f>
        <v/>
      </c>
      <c r="AN42" s="27">
        <f>IF(OR(NOT(ISNUMBER($AJ42)),NOT(ISNUMBER($AL42)),$AK42=0,$AM42=0),"",IF(OR((($AJ42+$AL42)/($AK42+$AM42))&lt;=0,(($AJ42+$AL42)/($AK42+$AM42))&gt;=1),"",($AJ42/$AK42-$AL42/$AM42)/SQRT((($AJ42+$AL42)/($AK42+$AM42))*(1-(($AJ42+$AL42)/($AK42+$AM42)))*(1/$AK42+1/$AM42))))</f>
        <v/>
      </c>
      <c r="AO42" s="27">
        <f>IF($A42="","",IF(AND(COUNTIFS($A$14:$A$1213,$A42,$F$14:$F$1213,"&gt;=0")=2,IFERROR(INDEX($M$14:$M$313,MATCH($A42,$H$14:$H$313,0)),"Yes")&lt;&gt;"Yes"),1,0))</f>
        <v/>
      </c>
    </row>
    <row r="43" ht="24" customHeight="1">
      <c r="A43" s="19" t="n"/>
      <c r="B43" s="20" t="n"/>
      <c r="C43" s="21">
        <f>IFERROR(AVERAGE(P43:T43),"")</f>
        <v/>
      </c>
      <c r="D43" s="29" t="n"/>
      <c r="E43" s="29" t="n"/>
      <c r="F43" s="30">
        <f>IF(AND(ISNUMBER($D43),ISNUMBER($E43),$E43&gt;0,$D43&lt;=$E43),$D43/$E43,"")</f>
        <v/>
      </c>
      <c r="H43" s="19">
        <f>IFERROR(INDEX($A$14:$A$1213,MATCH(30,$AI$14:$AI$1213,0)),"")</f>
        <v/>
      </c>
      <c r="I43" s="24">
        <f>IF($H43="","",IF(COUNTIFS($A$14:$A$1213,$H43,$C$14:$C$1213,"&gt;=0")=0,"—",IFERROR(INDEX($B$14:$B$1213,MATCH($H43&amp;"|1",$Z$14:$Z$1213,0)),"(tied)")))</f>
        <v/>
      </c>
      <c r="J43" s="25">
        <f>IF($H43="","",IF(OR(COUNTIFS($A$14:$A$1213,$H43,$C$14:$C$1213,"&gt;=0")=0,COUNTIFS($A$14:$A$1213,$H43,$F$14:$F$1213,"&gt;=0")=0),"—",IF(OR(ISERROR(MATCH($H43&amp;"|1",$Z$14:$Z$1213,0)),ISERROR(MATCH($H43&amp;"|1",$AA$14:$AA$1213,0))),"Tie",IF(MATCH($H43&amp;"|1",$Z$14:$Z$1213,0)=MATCH($H43&amp;"|1",$AA$14:$AA$1213,0),"Hit","Miss"))))</f>
        <v/>
      </c>
      <c r="K43" s="24">
        <f>IF($H43="","",IF(COUNTIFS($A$14:$A$1213,$H43,$F$14:$F$1213,"&gt;=0")=0,"—",IFERROR(INDEX($B$14:$B$1213,MATCH($H43&amp;"|1",$AA$14:$AA$1213,0)),"(tied)")))</f>
        <v/>
      </c>
      <c r="L43" s="25">
        <f>IF($H43="","",IF((--(COUNTIFS($A$14:$A$1213,$H43,$P$14:$P$1213,"&gt;=0")&gt;0)+--(COUNTIFS($A$14:$A$1213,$H43,$Q$14:$Q$1213,"&gt;=0")&gt;0)+--(COUNTIFS($A$14:$A$1213,$H43,$R$14:$R$1213,"&gt;=0")&gt;0)+--(COUNTIFS($A$14:$A$1213,$H43,$S$14:$S$1213,"&gt;=0")&gt;0)+--(COUNTIFS($A$14:$A$1213,$H43,$T$14:$T$1213,"&gt;=0")&gt;0))&lt;2,"—",IF(SUMIFS($AH$14:$AH$1213,$A$14:$A$1213,$H43)=0,"Yes","No")))</f>
        <v/>
      </c>
      <c r="M43" s="25">
        <f>IF($H43="","",IF(COUNTIFS($A$14:$A$1213,$H43,$F$14:$F$1213,"&gt;=0")&lt;2,"—",IF(COUNTIFS($A$14:$A$1213,$H43,$F$14:$F$1213,_xlfn.MAXIFS($F$14:$F$1213,$A$14:$A$1213,$H43))&gt;1,"No",IF(NOT(ISNUMBER($AN43)),"—",IF((2*(1-NORMSDIST(ABS($AN43))))&lt;0.05,"Yes","No")))))</f>
        <v/>
      </c>
      <c r="N43" s="21">
        <f>IF($H43="","",IF(NOT(ISNUMBER($AN43)),"—",IF((2*(1-NORMSDIST(ABS($AN43))))&lt;0.001,"&lt;0.001",TEXT((2*(1-NORMSDIST(ABS($AN43)))),"0.000"))))</f>
        <v/>
      </c>
      <c r="P43" s="26" t="n"/>
      <c r="Q43" s="26" t="n"/>
      <c r="R43" s="26" t="n"/>
      <c r="S43" s="26" t="n"/>
      <c r="T43" s="26" t="n"/>
      <c r="V43" s="27">
        <f>IF(ISNUMBER($C43),COUNTIFS($A$14:$A$1213,$A43,$C$14:$C$1213,"&gt;"&amp;$C43)+(COUNTIFS($A$14:$A$1213,$A43,$C$14:$C$1213,"="&amp;$C43)+1)/2,"")</f>
        <v/>
      </c>
      <c r="W43" s="27">
        <f>IF(ISNUMBER($F43),COUNTIFS($A$14:$A$1213,$A43,$F$14:$F$1213,"&gt;"&amp;$F43)+(COUNTIFS($A$14:$A$1213,$A43,$F$14:$F$1213,"="&amp;$F43)+1)/2,"")</f>
        <v/>
      </c>
      <c r="X43" s="27">
        <f>IF(OR(NOT(ISNUMBER($V43)),$AO43=1),"",$V43-(COUNTIFS($A$14:$A$1213,$A43,$C$14:$C$1213,"&gt;=0")+1)/2)</f>
        <v/>
      </c>
      <c r="Y43" s="27">
        <f>IF(OR(NOT(ISNUMBER($W43)),$AO43=1),"",$W43-(COUNTIFS($A$14:$A$1213,$A43,$F$14:$F$1213,"&gt;=0")+1)/2)</f>
        <v/>
      </c>
      <c r="Z43" s="27">
        <f>IF(ISNUMBER($V43),$A43&amp;"|"&amp;$V43,"")</f>
        <v/>
      </c>
      <c r="AA43" s="27">
        <f>IF(ISNUMBER($W43),$A43&amp;"|"&amp;$W43,"")</f>
        <v/>
      </c>
      <c r="AB43" s="27">
        <f>IF(ISNUMBER($F43),$A43&amp;"|"&amp;$F43,"")</f>
        <v/>
      </c>
      <c r="AC43" s="27">
        <f>IF(ISNUMBER($P43),COUNTIFS($A$14:$A$1213,$A43,$P$14:$P$1213,"&gt;"&amp;$P43)+(COUNTIFS($A$14:$A$1213,$A43,$P$14:$P$1213,"="&amp;$P43)+1)/2,"")</f>
        <v/>
      </c>
      <c r="AD43" s="27">
        <f>IF(ISNUMBER($Q43),COUNTIFS($A$14:$A$1213,$A43,$Q$14:$Q$1213,"&gt;"&amp;$Q43)+(COUNTIFS($A$14:$A$1213,$A43,$Q$14:$Q$1213,"="&amp;$Q43)+1)/2,"")</f>
        <v/>
      </c>
      <c r="AE43" s="27">
        <f>IF(ISNUMBER($R43),COUNTIFS($A$14:$A$1213,$A43,$R$14:$R$1213,"&gt;"&amp;$R43)+(COUNTIFS($A$14:$A$1213,$A43,$R$14:$R$1213,"="&amp;$R43)+1)/2,"")</f>
        <v/>
      </c>
      <c r="AF43" s="27">
        <f>IF(ISNUMBER($S43),COUNTIFS($A$14:$A$1213,$A43,$S$14:$S$1213,"&gt;"&amp;$S43)+(COUNTIFS($A$14:$A$1213,$A43,$S$14:$S$1213,"="&amp;$S43)+1)/2,"")</f>
        <v/>
      </c>
      <c r="AG43" s="27">
        <f>IF(ISNUMBER($T43),COUNTIFS($A$14:$A$1213,$A43,$T$14:$T$1213,"&gt;"&amp;$T43)+(COUNTIFS($A$14:$A$1213,$A43,$T$14:$T$1213,"="&amp;$T43)+1)/2,"")</f>
        <v/>
      </c>
      <c r="AH43" s="27">
        <f>IF(COUNT($AC43:$AG43)&lt;2,"",IF(MAX($AC43:$AG43)=MIN($AC43:$AG43),0,1))</f>
        <v/>
      </c>
      <c r="AI43" s="27">
        <f>IF($A43="","",IF(COUNTIF($A$14:$A43,$A43)=1,COUNTIF($AI$13:AI42,"&gt;0")+1,""))</f>
        <v/>
      </c>
      <c r="AJ43" s="27">
        <f>IF(OR($H43="",COUNTIFS($A$14:$A$1213,$H43,$F$14:$F$1213,"&gt;=0")&lt;2,COUNTIFS($A$14:$A$1213,$H43,$F$14:$F$1213,_xlfn.MAXIFS($F$14:$F$1213,$A$14:$A$1213,$H43))&gt;1),"",IFERROR(INDEX($D$14:$D$1213,MATCH($H43&amp;"|"&amp;_xlfn.MAXIFS($F$14:$F$1213,$A$14:$A$1213,$H43),$AB$14:$AB$1213,0)),""))</f>
        <v/>
      </c>
      <c r="AK43" s="27">
        <f>IF(OR($H43="",COUNTIFS($A$14:$A$1213,$H43,$F$14:$F$1213,"&gt;=0")&lt;2,COUNTIFS($A$14:$A$1213,$H43,$F$14:$F$1213,_xlfn.MAXIFS($F$14:$F$1213,$A$14:$A$1213,$H43))&gt;1),"",IFERROR(INDEX($E$14:$E$1213,MATCH($H43&amp;"|"&amp;_xlfn.MAXIFS($F$14:$F$1213,$A$14:$A$1213,$H43),$AB$14:$AB$1213,0)),""))</f>
        <v/>
      </c>
      <c r="AL43" s="27">
        <f>IF(OR($H43="",COUNTIFS($A$14:$A$1213,$H43,$F$14:$F$1213,"&gt;=0")&lt;2,COUNTIFS($A$14:$A$1213,$H43,$F$14:$F$1213,_xlfn.MAXIFS($F$14:$F$1213,$A$14:$A$1213,$H43))&gt;1),"",IFERROR(INDEX($D$14:$D$1213,MATCH($H43&amp;"|"&amp;_xlfn.MAXIFS($F$14:$F$1213,$A$14:$A$1213,$H43,$F$14:$F$1213,"&lt;"&amp;_xlfn.MAXIFS($F$14:$F$1213,$A$14:$A$1213,$H43)),$AB$14:$AB$1213,0)),""))</f>
        <v/>
      </c>
      <c r="AM43" s="27">
        <f>IF(OR($H43="",COUNTIFS($A$14:$A$1213,$H43,$F$14:$F$1213,"&gt;=0")&lt;2,COUNTIFS($A$14:$A$1213,$H43,$F$14:$F$1213,_xlfn.MAXIFS($F$14:$F$1213,$A$14:$A$1213,$H43))&gt;1),"",IFERROR(INDEX($E$14:$E$1213,MATCH($H43&amp;"|"&amp;_xlfn.MAXIFS($F$14:$F$1213,$A$14:$A$1213,$H43,$F$14:$F$1213,"&lt;"&amp;_xlfn.MAXIFS($F$14:$F$1213,$A$14:$A$1213,$H43)),$AB$14:$AB$1213,0)),""))</f>
        <v/>
      </c>
      <c r="AN43" s="27">
        <f>IF(OR(NOT(ISNUMBER($AJ43)),NOT(ISNUMBER($AL43)),$AK43=0,$AM43=0),"",IF(OR((($AJ43+$AL43)/($AK43+$AM43))&lt;=0,(($AJ43+$AL43)/($AK43+$AM43))&gt;=1),"",($AJ43/$AK43-$AL43/$AM43)/SQRT((($AJ43+$AL43)/($AK43+$AM43))*(1-(($AJ43+$AL43)/($AK43+$AM43)))*(1/$AK43+1/$AM43))))</f>
        <v/>
      </c>
      <c r="AO43" s="27">
        <f>IF($A43="","",IF(AND(COUNTIFS($A$14:$A$1213,$A43,$F$14:$F$1213,"&gt;=0")=2,IFERROR(INDEX($M$14:$M$313,MATCH($A43,$H$14:$H$313,0)),"Yes")&lt;&gt;"Yes"),1,0))</f>
        <v/>
      </c>
    </row>
    <row r="44" ht="24" customHeight="1">
      <c r="A44" s="19" t="n"/>
      <c r="B44" s="20" t="n"/>
      <c r="C44" s="21">
        <f>IFERROR(AVERAGE(P44:T44),"")</f>
        <v/>
      </c>
      <c r="D44" s="29" t="n"/>
      <c r="E44" s="29" t="n"/>
      <c r="F44" s="30">
        <f>IF(AND(ISNUMBER($D44),ISNUMBER($E44),$E44&gt;0,$D44&lt;=$E44),$D44/$E44,"")</f>
        <v/>
      </c>
      <c r="H44" s="19">
        <f>IFERROR(INDEX($A$14:$A$1213,MATCH(31,$AI$14:$AI$1213,0)),"")</f>
        <v/>
      </c>
      <c r="I44" s="24">
        <f>IF($H44="","",IF(COUNTIFS($A$14:$A$1213,$H44,$C$14:$C$1213,"&gt;=0")=0,"—",IFERROR(INDEX($B$14:$B$1213,MATCH($H44&amp;"|1",$Z$14:$Z$1213,0)),"(tied)")))</f>
        <v/>
      </c>
      <c r="J44" s="25">
        <f>IF($H44="","",IF(OR(COUNTIFS($A$14:$A$1213,$H44,$C$14:$C$1213,"&gt;=0")=0,COUNTIFS($A$14:$A$1213,$H44,$F$14:$F$1213,"&gt;=0")=0),"—",IF(OR(ISERROR(MATCH($H44&amp;"|1",$Z$14:$Z$1213,0)),ISERROR(MATCH($H44&amp;"|1",$AA$14:$AA$1213,0))),"Tie",IF(MATCH($H44&amp;"|1",$Z$14:$Z$1213,0)=MATCH($H44&amp;"|1",$AA$14:$AA$1213,0),"Hit","Miss"))))</f>
        <v/>
      </c>
      <c r="K44" s="24">
        <f>IF($H44="","",IF(COUNTIFS($A$14:$A$1213,$H44,$F$14:$F$1213,"&gt;=0")=0,"—",IFERROR(INDEX($B$14:$B$1213,MATCH($H44&amp;"|1",$AA$14:$AA$1213,0)),"(tied)")))</f>
        <v/>
      </c>
      <c r="L44" s="25">
        <f>IF($H44="","",IF((--(COUNTIFS($A$14:$A$1213,$H44,$P$14:$P$1213,"&gt;=0")&gt;0)+--(COUNTIFS($A$14:$A$1213,$H44,$Q$14:$Q$1213,"&gt;=0")&gt;0)+--(COUNTIFS($A$14:$A$1213,$H44,$R$14:$R$1213,"&gt;=0")&gt;0)+--(COUNTIFS($A$14:$A$1213,$H44,$S$14:$S$1213,"&gt;=0")&gt;0)+--(COUNTIFS($A$14:$A$1213,$H44,$T$14:$T$1213,"&gt;=0")&gt;0))&lt;2,"—",IF(SUMIFS($AH$14:$AH$1213,$A$14:$A$1213,$H44)=0,"Yes","No")))</f>
        <v/>
      </c>
      <c r="M44" s="25">
        <f>IF($H44="","",IF(COUNTIFS($A$14:$A$1213,$H44,$F$14:$F$1213,"&gt;=0")&lt;2,"—",IF(COUNTIFS($A$14:$A$1213,$H44,$F$14:$F$1213,_xlfn.MAXIFS($F$14:$F$1213,$A$14:$A$1213,$H44))&gt;1,"No",IF(NOT(ISNUMBER($AN44)),"—",IF((2*(1-NORMSDIST(ABS($AN44))))&lt;0.05,"Yes","No")))))</f>
        <v/>
      </c>
      <c r="N44" s="21">
        <f>IF($H44="","",IF(NOT(ISNUMBER($AN44)),"—",IF((2*(1-NORMSDIST(ABS($AN44))))&lt;0.001,"&lt;0.001",TEXT((2*(1-NORMSDIST(ABS($AN44)))),"0.000"))))</f>
        <v/>
      </c>
      <c r="P44" s="26" t="n"/>
      <c r="Q44" s="26" t="n"/>
      <c r="R44" s="26" t="n"/>
      <c r="S44" s="26" t="n"/>
      <c r="T44" s="26" t="n"/>
      <c r="V44" s="27">
        <f>IF(ISNUMBER($C44),COUNTIFS($A$14:$A$1213,$A44,$C$14:$C$1213,"&gt;"&amp;$C44)+(COUNTIFS($A$14:$A$1213,$A44,$C$14:$C$1213,"="&amp;$C44)+1)/2,"")</f>
        <v/>
      </c>
      <c r="W44" s="27">
        <f>IF(ISNUMBER($F44),COUNTIFS($A$14:$A$1213,$A44,$F$14:$F$1213,"&gt;"&amp;$F44)+(COUNTIFS($A$14:$A$1213,$A44,$F$14:$F$1213,"="&amp;$F44)+1)/2,"")</f>
        <v/>
      </c>
      <c r="X44" s="27">
        <f>IF(OR(NOT(ISNUMBER($V44)),$AO44=1),"",$V44-(COUNTIFS($A$14:$A$1213,$A44,$C$14:$C$1213,"&gt;=0")+1)/2)</f>
        <v/>
      </c>
      <c r="Y44" s="27">
        <f>IF(OR(NOT(ISNUMBER($W44)),$AO44=1),"",$W44-(COUNTIFS($A$14:$A$1213,$A44,$F$14:$F$1213,"&gt;=0")+1)/2)</f>
        <v/>
      </c>
      <c r="Z44" s="27">
        <f>IF(ISNUMBER($V44),$A44&amp;"|"&amp;$V44,"")</f>
        <v/>
      </c>
      <c r="AA44" s="27">
        <f>IF(ISNUMBER($W44),$A44&amp;"|"&amp;$W44,"")</f>
        <v/>
      </c>
      <c r="AB44" s="27">
        <f>IF(ISNUMBER($F44),$A44&amp;"|"&amp;$F44,"")</f>
        <v/>
      </c>
      <c r="AC44" s="27">
        <f>IF(ISNUMBER($P44),COUNTIFS($A$14:$A$1213,$A44,$P$14:$P$1213,"&gt;"&amp;$P44)+(COUNTIFS($A$14:$A$1213,$A44,$P$14:$P$1213,"="&amp;$P44)+1)/2,"")</f>
        <v/>
      </c>
      <c r="AD44" s="27">
        <f>IF(ISNUMBER($Q44),COUNTIFS($A$14:$A$1213,$A44,$Q$14:$Q$1213,"&gt;"&amp;$Q44)+(COUNTIFS($A$14:$A$1213,$A44,$Q$14:$Q$1213,"="&amp;$Q44)+1)/2,"")</f>
        <v/>
      </c>
      <c r="AE44" s="27">
        <f>IF(ISNUMBER($R44),COUNTIFS($A$14:$A$1213,$A44,$R$14:$R$1213,"&gt;"&amp;$R44)+(COUNTIFS($A$14:$A$1213,$A44,$R$14:$R$1213,"="&amp;$R44)+1)/2,"")</f>
        <v/>
      </c>
      <c r="AF44" s="27">
        <f>IF(ISNUMBER($S44),COUNTIFS($A$14:$A$1213,$A44,$S$14:$S$1213,"&gt;"&amp;$S44)+(COUNTIFS($A$14:$A$1213,$A44,$S$14:$S$1213,"="&amp;$S44)+1)/2,"")</f>
        <v/>
      </c>
      <c r="AG44" s="27">
        <f>IF(ISNUMBER($T44),COUNTIFS($A$14:$A$1213,$A44,$T$14:$T$1213,"&gt;"&amp;$T44)+(COUNTIFS($A$14:$A$1213,$A44,$T$14:$T$1213,"="&amp;$T44)+1)/2,"")</f>
        <v/>
      </c>
      <c r="AH44" s="27">
        <f>IF(COUNT($AC44:$AG44)&lt;2,"",IF(MAX($AC44:$AG44)=MIN($AC44:$AG44),0,1))</f>
        <v/>
      </c>
      <c r="AI44" s="27">
        <f>IF($A44="","",IF(COUNTIF($A$14:$A44,$A44)=1,COUNTIF($AI$13:AI43,"&gt;0")+1,""))</f>
        <v/>
      </c>
      <c r="AJ44" s="27">
        <f>IF(OR($H44="",COUNTIFS($A$14:$A$1213,$H44,$F$14:$F$1213,"&gt;=0")&lt;2,COUNTIFS($A$14:$A$1213,$H44,$F$14:$F$1213,_xlfn.MAXIFS($F$14:$F$1213,$A$14:$A$1213,$H44))&gt;1),"",IFERROR(INDEX($D$14:$D$1213,MATCH($H44&amp;"|"&amp;_xlfn.MAXIFS($F$14:$F$1213,$A$14:$A$1213,$H44),$AB$14:$AB$1213,0)),""))</f>
        <v/>
      </c>
      <c r="AK44" s="27">
        <f>IF(OR($H44="",COUNTIFS($A$14:$A$1213,$H44,$F$14:$F$1213,"&gt;=0")&lt;2,COUNTIFS($A$14:$A$1213,$H44,$F$14:$F$1213,_xlfn.MAXIFS($F$14:$F$1213,$A$14:$A$1213,$H44))&gt;1),"",IFERROR(INDEX($E$14:$E$1213,MATCH($H44&amp;"|"&amp;_xlfn.MAXIFS($F$14:$F$1213,$A$14:$A$1213,$H44),$AB$14:$AB$1213,0)),""))</f>
        <v/>
      </c>
      <c r="AL44" s="27">
        <f>IF(OR($H44="",COUNTIFS($A$14:$A$1213,$H44,$F$14:$F$1213,"&gt;=0")&lt;2,COUNTIFS($A$14:$A$1213,$H44,$F$14:$F$1213,_xlfn.MAXIFS($F$14:$F$1213,$A$14:$A$1213,$H44))&gt;1),"",IFERROR(INDEX($D$14:$D$1213,MATCH($H44&amp;"|"&amp;_xlfn.MAXIFS($F$14:$F$1213,$A$14:$A$1213,$H44,$F$14:$F$1213,"&lt;"&amp;_xlfn.MAXIFS($F$14:$F$1213,$A$14:$A$1213,$H44)),$AB$14:$AB$1213,0)),""))</f>
        <v/>
      </c>
      <c r="AM44" s="27">
        <f>IF(OR($H44="",COUNTIFS($A$14:$A$1213,$H44,$F$14:$F$1213,"&gt;=0")&lt;2,COUNTIFS($A$14:$A$1213,$H44,$F$14:$F$1213,_xlfn.MAXIFS($F$14:$F$1213,$A$14:$A$1213,$H44))&gt;1),"",IFERROR(INDEX($E$14:$E$1213,MATCH($H44&amp;"|"&amp;_xlfn.MAXIFS($F$14:$F$1213,$A$14:$A$1213,$H44,$F$14:$F$1213,"&lt;"&amp;_xlfn.MAXIFS($F$14:$F$1213,$A$14:$A$1213,$H44)),$AB$14:$AB$1213,0)),""))</f>
        <v/>
      </c>
      <c r="AN44" s="27">
        <f>IF(OR(NOT(ISNUMBER($AJ44)),NOT(ISNUMBER($AL44)),$AK44=0,$AM44=0),"",IF(OR((($AJ44+$AL44)/($AK44+$AM44))&lt;=0,(($AJ44+$AL44)/($AK44+$AM44))&gt;=1),"",($AJ44/$AK44-$AL44/$AM44)/SQRT((($AJ44+$AL44)/($AK44+$AM44))*(1-(($AJ44+$AL44)/($AK44+$AM44)))*(1/$AK44+1/$AM44))))</f>
        <v/>
      </c>
      <c r="AO44" s="27">
        <f>IF($A44="","",IF(AND(COUNTIFS($A$14:$A$1213,$A44,$F$14:$F$1213,"&gt;=0")=2,IFERROR(INDEX($M$14:$M$313,MATCH($A44,$H$14:$H$313,0)),"Yes")&lt;&gt;"Yes"),1,0))</f>
        <v/>
      </c>
    </row>
    <row r="45" ht="24" customHeight="1">
      <c r="A45" s="19" t="n"/>
      <c r="B45" s="20" t="n"/>
      <c r="C45" s="21">
        <f>IFERROR(AVERAGE(P45:T45),"")</f>
        <v/>
      </c>
      <c r="D45" s="29" t="n"/>
      <c r="E45" s="29" t="n"/>
      <c r="F45" s="30">
        <f>IF(AND(ISNUMBER($D45),ISNUMBER($E45),$E45&gt;0,$D45&lt;=$E45),$D45/$E45,"")</f>
        <v/>
      </c>
      <c r="H45" s="19">
        <f>IFERROR(INDEX($A$14:$A$1213,MATCH(32,$AI$14:$AI$1213,0)),"")</f>
        <v/>
      </c>
      <c r="I45" s="24">
        <f>IF($H45="","",IF(COUNTIFS($A$14:$A$1213,$H45,$C$14:$C$1213,"&gt;=0")=0,"—",IFERROR(INDEX($B$14:$B$1213,MATCH($H45&amp;"|1",$Z$14:$Z$1213,0)),"(tied)")))</f>
        <v/>
      </c>
      <c r="J45" s="25">
        <f>IF($H45="","",IF(OR(COUNTIFS($A$14:$A$1213,$H45,$C$14:$C$1213,"&gt;=0")=0,COUNTIFS($A$14:$A$1213,$H45,$F$14:$F$1213,"&gt;=0")=0),"—",IF(OR(ISERROR(MATCH($H45&amp;"|1",$Z$14:$Z$1213,0)),ISERROR(MATCH($H45&amp;"|1",$AA$14:$AA$1213,0))),"Tie",IF(MATCH($H45&amp;"|1",$Z$14:$Z$1213,0)=MATCH($H45&amp;"|1",$AA$14:$AA$1213,0),"Hit","Miss"))))</f>
        <v/>
      </c>
      <c r="K45" s="24">
        <f>IF($H45="","",IF(COUNTIFS($A$14:$A$1213,$H45,$F$14:$F$1213,"&gt;=0")=0,"—",IFERROR(INDEX($B$14:$B$1213,MATCH($H45&amp;"|1",$AA$14:$AA$1213,0)),"(tied)")))</f>
        <v/>
      </c>
      <c r="L45" s="25">
        <f>IF($H45="","",IF((--(COUNTIFS($A$14:$A$1213,$H45,$P$14:$P$1213,"&gt;=0")&gt;0)+--(COUNTIFS($A$14:$A$1213,$H45,$Q$14:$Q$1213,"&gt;=0")&gt;0)+--(COUNTIFS($A$14:$A$1213,$H45,$R$14:$R$1213,"&gt;=0")&gt;0)+--(COUNTIFS($A$14:$A$1213,$H45,$S$14:$S$1213,"&gt;=0")&gt;0)+--(COUNTIFS($A$14:$A$1213,$H45,$T$14:$T$1213,"&gt;=0")&gt;0))&lt;2,"—",IF(SUMIFS($AH$14:$AH$1213,$A$14:$A$1213,$H45)=0,"Yes","No")))</f>
        <v/>
      </c>
      <c r="M45" s="25">
        <f>IF($H45="","",IF(COUNTIFS($A$14:$A$1213,$H45,$F$14:$F$1213,"&gt;=0")&lt;2,"—",IF(COUNTIFS($A$14:$A$1213,$H45,$F$14:$F$1213,_xlfn.MAXIFS($F$14:$F$1213,$A$14:$A$1213,$H45))&gt;1,"No",IF(NOT(ISNUMBER($AN45)),"—",IF((2*(1-NORMSDIST(ABS($AN45))))&lt;0.05,"Yes","No")))))</f>
        <v/>
      </c>
      <c r="N45" s="21">
        <f>IF($H45="","",IF(NOT(ISNUMBER($AN45)),"—",IF((2*(1-NORMSDIST(ABS($AN45))))&lt;0.001,"&lt;0.001",TEXT((2*(1-NORMSDIST(ABS($AN45)))),"0.000"))))</f>
        <v/>
      </c>
      <c r="P45" s="26" t="n"/>
      <c r="Q45" s="26" t="n"/>
      <c r="R45" s="26" t="n"/>
      <c r="S45" s="26" t="n"/>
      <c r="T45" s="26" t="n"/>
      <c r="V45" s="27">
        <f>IF(ISNUMBER($C45),COUNTIFS($A$14:$A$1213,$A45,$C$14:$C$1213,"&gt;"&amp;$C45)+(COUNTIFS($A$14:$A$1213,$A45,$C$14:$C$1213,"="&amp;$C45)+1)/2,"")</f>
        <v/>
      </c>
      <c r="W45" s="27">
        <f>IF(ISNUMBER($F45),COUNTIFS($A$14:$A$1213,$A45,$F$14:$F$1213,"&gt;"&amp;$F45)+(COUNTIFS($A$14:$A$1213,$A45,$F$14:$F$1213,"="&amp;$F45)+1)/2,"")</f>
        <v/>
      </c>
      <c r="X45" s="27">
        <f>IF(OR(NOT(ISNUMBER($V45)),$AO45=1),"",$V45-(COUNTIFS($A$14:$A$1213,$A45,$C$14:$C$1213,"&gt;=0")+1)/2)</f>
        <v/>
      </c>
      <c r="Y45" s="27">
        <f>IF(OR(NOT(ISNUMBER($W45)),$AO45=1),"",$W45-(COUNTIFS($A$14:$A$1213,$A45,$F$14:$F$1213,"&gt;=0")+1)/2)</f>
        <v/>
      </c>
      <c r="Z45" s="27">
        <f>IF(ISNUMBER($V45),$A45&amp;"|"&amp;$V45,"")</f>
        <v/>
      </c>
      <c r="AA45" s="27">
        <f>IF(ISNUMBER($W45),$A45&amp;"|"&amp;$W45,"")</f>
        <v/>
      </c>
      <c r="AB45" s="27">
        <f>IF(ISNUMBER($F45),$A45&amp;"|"&amp;$F45,"")</f>
        <v/>
      </c>
      <c r="AC45" s="27">
        <f>IF(ISNUMBER($P45),COUNTIFS($A$14:$A$1213,$A45,$P$14:$P$1213,"&gt;"&amp;$P45)+(COUNTIFS($A$14:$A$1213,$A45,$P$14:$P$1213,"="&amp;$P45)+1)/2,"")</f>
        <v/>
      </c>
      <c r="AD45" s="27">
        <f>IF(ISNUMBER($Q45),COUNTIFS($A$14:$A$1213,$A45,$Q$14:$Q$1213,"&gt;"&amp;$Q45)+(COUNTIFS($A$14:$A$1213,$A45,$Q$14:$Q$1213,"="&amp;$Q45)+1)/2,"")</f>
        <v/>
      </c>
      <c r="AE45" s="27">
        <f>IF(ISNUMBER($R45),COUNTIFS($A$14:$A$1213,$A45,$R$14:$R$1213,"&gt;"&amp;$R45)+(COUNTIFS($A$14:$A$1213,$A45,$R$14:$R$1213,"="&amp;$R45)+1)/2,"")</f>
        <v/>
      </c>
      <c r="AF45" s="27">
        <f>IF(ISNUMBER($S45),COUNTIFS($A$14:$A$1213,$A45,$S$14:$S$1213,"&gt;"&amp;$S45)+(COUNTIFS($A$14:$A$1213,$A45,$S$14:$S$1213,"="&amp;$S45)+1)/2,"")</f>
        <v/>
      </c>
      <c r="AG45" s="27">
        <f>IF(ISNUMBER($T45),COUNTIFS($A$14:$A$1213,$A45,$T$14:$T$1213,"&gt;"&amp;$T45)+(COUNTIFS($A$14:$A$1213,$A45,$T$14:$T$1213,"="&amp;$T45)+1)/2,"")</f>
        <v/>
      </c>
      <c r="AH45" s="27">
        <f>IF(COUNT($AC45:$AG45)&lt;2,"",IF(MAX($AC45:$AG45)=MIN($AC45:$AG45),0,1))</f>
        <v/>
      </c>
      <c r="AI45" s="27">
        <f>IF($A45="","",IF(COUNTIF($A$14:$A45,$A45)=1,COUNTIF($AI$13:AI44,"&gt;0")+1,""))</f>
        <v/>
      </c>
      <c r="AJ45" s="27">
        <f>IF(OR($H45="",COUNTIFS($A$14:$A$1213,$H45,$F$14:$F$1213,"&gt;=0")&lt;2,COUNTIFS($A$14:$A$1213,$H45,$F$14:$F$1213,_xlfn.MAXIFS($F$14:$F$1213,$A$14:$A$1213,$H45))&gt;1),"",IFERROR(INDEX($D$14:$D$1213,MATCH($H45&amp;"|"&amp;_xlfn.MAXIFS($F$14:$F$1213,$A$14:$A$1213,$H45),$AB$14:$AB$1213,0)),""))</f>
        <v/>
      </c>
      <c r="AK45" s="27">
        <f>IF(OR($H45="",COUNTIFS($A$14:$A$1213,$H45,$F$14:$F$1213,"&gt;=0")&lt;2,COUNTIFS($A$14:$A$1213,$H45,$F$14:$F$1213,_xlfn.MAXIFS($F$14:$F$1213,$A$14:$A$1213,$H45))&gt;1),"",IFERROR(INDEX($E$14:$E$1213,MATCH($H45&amp;"|"&amp;_xlfn.MAXIFS($F$14:$F$1213,$A$14:$A$1213,$H45),$AB$14:$AB$1213,0)),""))</f>
        <v/>
      </c>
      <c r="AL45" s="27">
        <f>IF(OR($H45="",COUNTIFS($A$14:$A$1213,$H45,$F$14:$F$1213,"&gt;=0")&lt;2,COUNTIFS($A$14:$A$1213,$H45,$F$14:$F$1213,_xlfn.MAXIFS($F$14:$F$1213,$A$14:$A$1213,$H45))&gt;1),"",IFERROR(INDEX($D$14:$D$1213,MATCH($H45&amp;"|"&amp;_xlfn.MAXIFS($F$14:$F$1213,$A$14:$A$1213,$H45,$F$14:$F$1213,"&lt;"&amp;_xlfn.MAXIFS($F$14:$F$1213,$A$14:$A$1213,$H45)),$AB$14:$AB$1213,0)),""))</f>
        <v/>
      </c>
      <c r="AM45" s="27">
        <f>IF(OR($H45="",COUNTIFS($A$14:$A$1213,$H45,$F$14:$F$1213,"&gt;=0")&lt;2,COUNTIFS($A$14:$A$1213,$H45,$F$14:$F$1213,_xlfn.MAXIFS($F$14:$F$1213,$A$14:$A$1213,$H45))&gt;1),"",IFERROR(INDEX($E$14:$E$1213,MATCH($H45&amp;"|"&amp;_xlfn.MAXIFS($F$14:$F$1213,$A$14:$A$1213,$H45,$F$14:$F$1213,"&lt;"&amp;_xlfn.MAXIFS($F$14:$F$1213,$A$14:$A$1213,$H45)),$AB$14:$AB$1213,0)),""))</f>
        <v/>
      </c>
      <c r="AN45" s="27">
        <f>IF(OR(NOT(ISNUMBER($AJ45)),NOT(ISNUMBER($AL45)),$AK45=0,$AM45=0),"",IF(OR((($AJ45+$AL45)/($AK45+$AM45))&lt;=0,(($AJ45+$AL45)/($AK45+$AM45))&gt;=1),"",($AJ45/$AK45-$AL45/$AM45)/SQRT((($AJ45+$AL45)/($AK45+$AM45))*(1-(($AJ45+$AL45)/($AK45+$AM45)))*(1/$AK45+1/$AM45))))</f>
        <v/>
      </c>
      <c r="AO45" s="27">
        <f>IF($A45="","",IF(AND(COUNTIFS($A$14:$A$1213,$A45,$F$14:$F$1213,"&gt;=0")=2,IFERROR(INDEX($M$14:$M$313,MATCH($A45,$H$14:$H$313,0)),"Yes")&lt;&gt;"Yes"),1,0))</f>
        <v/>
      </c>
    </row>
    <row r="46" ht="24" customHeight="1">
      <c r="A46" s="19" t="n"/>
      <c r="B46" s="20" t="n"/>
      <c r="C46" s="21">
        <f>IFERROR(AVERAGE(P46:T46),"")</f>
        <v/>
      </c>
      <c r="D46" s="29" t="n"/>
      <c r="E46" s="29" t="n"/>
      <c r="F46" s="30">
        <f>IF(AND(ISNUMBER($D46),ISNUMBER($E46),$E46&gt;0,$D46&lt;=$E46),$D46/$E46,"")</f>
        <v/>
      </c>
      <c r="H46" s="19">
        <f>IFERROR(INDEX($A$14:$A$1213,MATCH(33,$AI$14:$AI$1213,0)),"")</f>
        <v/>
      </c>
      <c r="I46" s="24">
        <f>IF($H46="","",IF(COUNTIFS($A$14:$A$1213,$H46,$C$14:$C$1213,"&gt;=0")=0,"—",IFERROR(INDEX($B$14:$B$1213,MATCH($H46&amp;"|1",$Z$14:$Z$1213,0)),"(tied)")))</f>
        <v/>
      </c>
      <c r="J46" s="25">
        <f>IF($H46="","",IF(OR(COUNTIFS($A$14:$A$1213,$H46,$C$14:$C$1213,"&gt;=0")=0,COUNTIFS($A$14:$A$1213,$H46,$F$14:$F$1213,"&gt;=0")=0),"—",IF(OR(ISERROR(MATCH($H46&amp;"|1",$Z$14:$Z$1213,0)),ISERROR(MATCH($H46&amp;"|1",$AA$14:$AA$1213,0))),"Tie",IF(MATCH($H46&amp;"|1",$Z$14:$Z$1213,0)=MATCH($H46&amp;"|1",$AA$14:$AA$1213,0),"Hit","Miss"))))</f>
        <v/>
      </c>
      <c r="K46" s="24">
        <f>IF($H46="","",IF(COUNTIFS($A$14:$A$1213,$H46,$F$14:$F$1213,"&gt;=0")=0,"—",IFERROR(INDEX($B$14:$B$1213,MATCH($H46&amp;"|1",$AA$14:$AA$1213,0)),"(tied)")))</f>
        <v/>
      </c>
      <c r="L46" s="25">
        <f>IF($H46="","",IF((--(COUNTIFS($A$14:$A$1213,$H46,$P$14:$P$1213,"&gt;=0")&gt;0)+--(COUNTIFS($A$14:$A$1213,$H46,$Q$14:$Q$1213,"&gt;=0")&gt;0)+--(COUNTIFS($A$14:$A$1213,$H46,$R$14:$R$1213,"&gt;=0")&gt;0)+--(COUNTIFS($A$14:$A$1213,$H46,$S$14:$S$1213,"&gt;=0")&gt;0)+--(COUNTIFS($A$14:$A$1213,$H46,$T$14:$T$1213,"&gt;=0")&gt;0))&lt;2,"—",IF(SUMIFS($AH$14:$AH$1213,$A$14:$A$1213,$H46)=0,"Yes","No")))</f>
        <v/>
      </c>
      <c r="M46" s="25">
        <f>IF($H46="","",IF(COUNTIFS($A$14:$A$1213,$H46,$F$14:$F$1213,"&gt;=0")&lt;2,"—",IF(COUNTIFS($A$14:$A$1213,$H46,$F$14:$F$1213,_xlfn.MAXIFS($F$14:$F$1213,$A$14:$A$1213,$H46))&gt;1,"No",IF(NOT(ISNUMBER($AN46)),"—",IF((2*(1-NORMSDIST(ABS($AN46))))&lt;0.05,"Yes","No")))))</f>
        <v/>
      </c>
      <c r="N46" s="21">
        <f>IF($H46="","",IF(NOT(ISNUMBER($AN46)),"—",IF((2*(1-NORMSDIST(ABS($AN46))))&lt;0.001,"&lt;0.001",TEXT((2*(1-NORMSDIST(ABS($AN46)))),"0.000"))))</f>
        <v/>
      </c>
      <c r="P46" s="26" t="n"/>
      <c r="Q46" s="26" t="n"/>
      <c r="R46" s="26" t="n"/>
      <c r="S46" s="26" t="n"/>
      <c r="T46" s="26" t="n"/>
      <c r="V46" s="27">
        <f>IF(ISNUMBER($C46),COUNTIFS($A$14:$A$1213,$A46,$C$14:$C$1213,"&gt;"&amp;$C46)+(COUNTIFS($A$14:$A$1213,$A46,$C$14:$C$1213,"="&amp;$C46)+1)/2,"")</f>
        <v/>
      </c>
      <c r="W46" s="27">
        <f>IF(ISNUMBER($F46),COUNTIFS($A$14:$A$1213,$A46,$F$14:$F$1213,"&gt;"&amp;$F46)+(COUNTIFS($A$14:$A$1213,$A46,$F$14:$F$1213,"="&amp;$F46)+1)/2,"")</f>
        <v/>
      </c>
      <c r="X46" s="27">
        <f>IF(OR(NOT(ISNUMBER($V46)),$AO46=1),"",$V46-(COUNTIFS($A$14:$A$1213,$A46,$C$14:$C$1213,"&gt;=0")+1)/2)</f>
        <v/>
      </c>
      <c r="Y46" s="27">
        <f>IF(OR(NOT(ISNUMBER($W46)),$AO46=1),"",$W46-(COUNTIFS($A$14:$A$1213,$A46,$F$14:$F$1213,"&gt;=0")+1)/2)</f>
        <v/>
      </c>
      <c r="Z46" s="27">
        <f>IF(ISNUMBER($V46),$A46&amp;"|"&amp;$V46,"")</f>
        <v/>
      </c>
      <c r="AA46" s="27">
        <f>IF(ISNUMBER($W46),$A46&amp;"|"&amp;$W46,"")</f>
        <v/>
      </c>
      <c r="AB46" s="27">
        <f>IF(ISNUMBER($F46),$A46&amp;"|"&amp;$F46,"")</f>
        <v/>
      </c>
      <c r="AC46" s="27">
        <f>IF(ISNUMBER($P46),COUNTIFS($A$14:$A$1213,$A46,$P$14:$P$1213,"&gt;"&amp;$P46)+(COUNTIFS($A$14:$A$1213,$A46,$P$14:$P$1213,"="&amp;$P46)+1)/2,"")</f>
        <v/>
      </c>
      <c r="AD46" s="27">
        <f>IF(ISNUMBER($Q46),COUNTIFS($A$14:$A$1213,$A46,$Q$14:$Q$1213,"&gt;"&amp;$Q46)+(COUNTIFS($A$14:$A$1213,$A46,$Q$14:$Q$1213,"="&amp;$Q46)+1)/2,"")</f>
        <v/>
      </c>
      <c r="AE46" s="27">
        <f>IF(ISNUMBER($R46),COUNTIFS($A$14:$A$1213,$A46,$R$14:$R$1213,"&gt;"&amp;$R46)+(COUNTIFS($A$14:$A$1213,$A46,$R$14:$R$1213,"="&amp;$R46)+1)/2,"")</f>
        <v/>
      </c>
      <c r="AF46" s="27">
        <f>IF(ISNUMBER($S46),COUNTIFS($A$14:$A$1213,$A46,$S$14:$S$1213,"&gt;"&amp;$S46)+(COUNTIFS($A$14:$A$1213,$A46,$S$14:$S$1213,"="&amp;$S46)+1)/2,"")</f>
        <v/>
      </c>
      <c r="AG46" s="27">
        <f>IF(ISNUMBER($T46),COUNTIFS($A$14:$A$1213,$A46,$T$14:$T$1213,"&gt;"&amp;$T46)+(COUNTIFS($A$14:$A$1213,$A46,$T$14:$T$1213,"="&amp;$T46)+1)/2,"")</f>
        <v/>
      </c>
      <c r="AH46" s="27">
        <f>IF(COUNT($AC46:$AG46)&lt;2,"",IF(MAX($AC46:$AG46)=MIN($AC46:$AG46),0,1))</f>
        <v/>
      </c>
      <c r="AI46" s="27">
        <f>IF($A46="","",IF(COUNTIF($A$14:$A46,$A46)=1,COUNTIF($AI$13:AI45,"&gt;0")+1,""))</f>
        <v/>
      </c>
      <c r="AJ46" s="27">
        <f>IF(OR($H46="",COUNTIFS($A$14:$A$1213,$H46,$F$14:$F$1213,"&gt;=0")&lt;2,COUNTIFS($A$14:$A$1213,$H46,$F$14:$F$1213,_xlfn.MAXIFS($F$14:$F$1213,$A$14:$A$1213,$H46))&gt;1),"",IFERROR(INDEX($D$14:$D$1213,MATCH($H46&amp;"|"&amp;_xlfn.MAXIFS($F$14:$F$1213,$A$14:$A$1213,$H46),$AB$14:$AB$1213,0)),""))</f>
        <v/>
      </c>
      <c r="AK46" s="27">
        <f>IF(OR($H46="",COUNTIFS($A$14:$A$1213,$H46,$F$14:$F$1213,"&gt;=0")&lt;2,COUNTIFS($A$14:$A$1213,$H46,$F$14:$F$1213,_xlfn.MAXIFS($F$14:$F$1213,$A$14:$A$1213,$H46))&gt;1),"",IFERROR(INDEX($E$14:$E$1213,MATCH($H46&amp;"|"&amp;_xlfn.MAXIFS($F$14:$F$1213,$A$14:$A$1213,$H46),$AB$14:$AB$1213,0)),""))</f>
        <v/>
      </c>
      <c r="AL46" s="27">
        <f>IF(OR($H46="",COUNTIFS($A$14:$A$1213,$H46,$F$14:$F$1213,"&gt;=0")&lt;2,COUNTIFS($A$14:$A$1213,$H46,$F$14:$F$1213,_xlfn.MAXIFS($F$14:$F$1213,$A$14:$A$1213,$H46))&gt;1),"",IFERROR(INDEX($D$14:$D$1213,MATCH($H46&amp;"|"&amp;_xlfn.MAXIFS($F$14:$F$1213,$A$14:$A$1213,$H46,$F$14:$F$1213,"&lt;"&amp;_xlfn.MAXIFS($F$14:$F$1213,$A$14:$A$1213,$H46)),$AB$14:$AB$1213,0)),""))</f>
        <v/>
      </c>
      <c r="AM46" s="27">
        <f>IF(OR($H46="",COUNTIFS($A$14:$A$1213,$H46,$F$14:$F$1213,"&gt;=0")&lt;2,COUNTIFS($A$14:$A$1213,$H46,$F$14:$F$1213,_xlfn.MAXIFS($F$14:$F$1213,$A$14:$A$1213,$H46))&gt;1),"",IFERROR(INDEX($E$14:$E$1213,MATCH($H46&amp;"|"&amp;_xlfn.MAXIFS($F$14:$F$1213,$A$14:$A$1213,$H46,$F$14:$F$1213,"&lt;"&amp;_xlfn.MAXIFS($F$14:$F$1213,$A$14:$A$1213,$H46)),$AB$14:$AB$1213,0)),""))</f>
        <v/>
      </c>
      <c r="AN46" s="27">
        <f>IF(OR(NOT(ISNUMBER($AJ46)),NOT(ISNUMBER($AL46)),$AK46=0,$AM46=0),"",IF(OR((($AJ46+$AL46)/($AK46+$AM46))&lt;=0,(($AJ46+$AL46)/($AK46+$AM46))&gt;=1),"",($AJ46/$AK46-$AL46/$AM46)/SQRT((($AJ46+$AL46)/($AK46+$AM46))*(1-(($AJ46+$AL46)/($AK46+$AM46)))*(1/$AK46+1/$AM46))))</f>
        <v/>
      </c>
      <c r="AO46" s="27">
        <f>IF($A46="","",IF(AND(COUNTIFS($A$14:$A$1213,$A46,$F$14:$F$1213,"&gt;=0")=2,IFERROR(INDEX($M$14:$M$313,MATCH($A46,$H$14:$H$313,0)),"Yes")&lt;&gt;"Yes"),1,0))</f>
        <v/>
      </c>
    </row>
    <row r="47" ht="24" customHeight="1">
      <c r="A47" s="19" t="n"/>
      <c r="B47" s="20" t="n"/>
      <c r="C47" s="21">
        <f>IFERROR(AVERAGE(P47:T47),"")</f>
        <v/>
      </c>
      <c r="D47" s="29" t="n"/>
      <c r="E47" s="29" t="n"/>
      <c r="F47" s="30">
        <f>IF(AND(ISNUMBER($D47),ISNUMBER($E47),$E47&gt;0,$D47&lt;=$E47),$D47/$E47,"")</f>
        <v/>
      </c>
      <c r="H47" s="19">
        <f>IFERROR(INDEX($A$14:$A$1213,MATCH(34,$AI$14:$AI$1213,0)),"")</f>
        <v/>
      </c>
      <c r="I47" s="24">
        <f>IF($H47="","",IF(COUNTIFS($A$14:$A$1213,$H47,$C$14:$C$1213,"&gt;=0")=0,"—",IFERROR(INDEX($B$14:$B$1213,MATCH($H47&amp;"|1",$Z$14:$Z$1213,0)),"(tied)")))</f>
        <v/>
      </c>
      <c r="J47" s="25">
        <f>IF($H47="","",IF(OR(COUNTIFS($A$14:$A$1213,$H47,$C$14:$C$1213,"&gt;=0")=0,COUNTIFS($A$14:$A$1213,$H47,$F$14:$F$1213,"&gt;=0")=0),"—",IF(OR(ISERROR(MATCH($H47&amp;"|1",$Z$14:$Z$1213,0)),ISERROR(MATCH($H47&amp;"|1",$AA$14:$AA$1213,0))),"Tie",IF(MATCH($H47&amp;"|1",$Z$14:$Z$1213,0)=MATCH($H47&amp;"|1",$AA$14:$AA$1213,0),"Hit","Miss"))))</f>
        <v/>
      </c>
      <c r="K47" s="24">
        <f>IF($H47="","",IF(COUNTIFS($A$14:$A$1213,$H47,$F$14:$F$1213,"&gt;=0")=0,"—",IFERROR(INDEX($B$14:$B$1213,MATCH($H47&amp;"|1",$AA$14:$AA$1213,0)),"(tied)")))</f>
        <v/>
      </c>
      <c r="L47" s="25">
        <f>IF($H47="","",IF((--(COUNTIFS($A$14:$A$1213,$H47,$P$14:$P$1213,"&gt;=0")&gt;0)+--(COUNTIFS($A$14:$A$1213,$H47,$Q$14:$Q$1213,"&gt;=0")&gt;0)+--(COUNTIFS($A$14:$A$1213,$H47,$R$14:$R$1213,"&gt;=0")&gt;0)+--(COUNTIFS($A$14:$A$1213,$H47,$S$14:$S$1213,"&gt;=0")&gt;0)+--(COUNTIFS($A$14:$A$1213,$H47,$T$14:$T$1213,"&gt;=0")&gt;0))&lt;2,"—",IF(SUMIFS($AH$14:$AH$1213,$A$14:$A$1213,$H47)=0,"Yes","No")))</f>
        <v/>
      </c>
      <c r="M47" s="25">
        <f>IF($H47="","",IF(COUNTIFS($A$14:$A$1213,$H47,$F$14:$F$1213,"&gt;=0")&lt;2,"—",IF(COUNTIFS($A$14:$A$1213,$H47,$F$14:$F$1213,_xlfn.MAXIFS($F$14:$F$1213,$A$14:$A$1213,$H47))&gt;1,"No",IF(NOT(ISNUMBER($AN47)),"—",IF((2*(1-NORMSDIST(ABS($AN47))))&lt;0.05,"Yes","No")))))</f>
        <v/>
      </c>
      <c r="N47" s="21">
        <f>IF($H47="","",IF(NOT(ISNUMBER($AN47)),"—",IF((2*(1-NORMSDIST(ABS($AN47))))&lt;0.001,"&lt;0.001",TEXT((2*(1-NORMSDIST(ABS($AN47)))),"0.000"))))</f>
        <v/>
      </c>
      <c r="P47" s="26" t="n"/>
      <c r="Q47" s="26" t="n"/>
      <c r="R47" s="26" t="n"/>
      <c r="S47" s="26" t="n"/>
      <c r="T47" s="26" t="n"/>
      <c r="V47" s="27">
        <f>IF(ISNUMBER($C47),COUNTIFS($A$14:$A$1213,$A47,$C$14:$C$1213,"&gt;"&amp;$C47)+(COUNTIFS($A$14:$A$1213,$A47,$C$14:$C$1213,"="&amp;$C47)+1)/2,"")</f>
        <v/>
      </c>
      <c r="W47" s="27">
        <f>IF(ISNUMBER($F47),COUNTIFS($A$14:$A$1213,$A47,$F$14:$F$1213,"&gt;"&amp;$F47)+(COUNTIFS($A$14:$A$1213,$A47,$F$14:$F$1213,"="&amp;$F47)+1)/2,"")</f>
        <v/>
      </c>
      <c r="X47" s="27">
        <f>IF(OR(NOT(ISNUMBER($V47)),$AO47=1),"",$V47-(COUNTIFS($A$14:$A$1213,$A47,$C$14:$C$1213,"&gt;=0")+1)/2)</f>
        <v/>
      </c>
      <c r="Y47" s="27">
        <f>IF(OR(NOT(ISNUMBER($W47)),$AO47=1),"",$W47-(COUNTIFS($A$14:$A$1213,$A47,$F$14:$F$1213,"&gt;=0")+1)/2)</f>
        <v/>
      </c>
      <c r="Z47" s="27">
        <f>IF(ISNUMBER($V47),$A47&amp;"|"&amp;$V47,"")</f>
        <v/>
      </c>
      <c r="AA47" s="27">
        <f>IF(ISNUMBER($W47),$A47&amp;"|"&amp;$W47,"")</f>
        <v/>
      </c>
      <c r="AB47" s="27">
        <f>IF(ISNUMBER($F47),$A47&amp;"|"&amp;$F47,"")</f>
        <v/>
      </c>
      <c r="AC47" s="27">
        <f>IF(ISNUMBER($P47),COUNTIFS($A$14:$A$1213,$A47,$P$14:$P$1213,"&gt;"&amp;$P47)+(COUNTIFS($A$14:$A$1213,$A47,$P$14:$P$1213,"="&amp;$P47)+1)/2,"")</f>
        <v/>
      </c>
      <c r="AD47" s="27">
        <f>IF(ISNUMBER($Q47),COUNTIFS($A$14:$A$1213,$A47,$Q$14:$Q$1213,"&gt;"&amp;$Q47)+(COUNTIFS($A$14:$A$1213,$A47,$Q$14:$Q$1213,"="&amp;$Q47)+1)/2,"")</f>
        <v/>
      </c>
      <c r="AE47" s="27">
        <f>IF(ISNUMBER($R47),COUNTIFS($A$14:$A$1213,$A47,$R$14:$R$1213,"&gt;"&amp;$R47)+(COUNTIFS($A$14:$A$1213,$A47,$R$14:$R$1213,"="&amp;$R47)+1)/2,"")</f>
        <v/>
      </c>
      <c r="AF47" s="27">
        <f>IF(ISNUMBER($S47),COUNTIFS($A$14:$A$1213,$A47,$S$14:$S$1213,"&gt;"&amp;$S47)+(COUNTIFS($A$14:$A$1213,$A47,$S$14:$S$1213,"="&amp;$S47)+1)/2,"")</f>
        <v/>
      </c>
      <c r="AG47" s="27">
        <f>IF(ISNUMBER($T47),COUNTIFS($A$14:$A$1213,$A47,$T$14:$T$1213,"&gt;"&amp;$T47)+(COUNTIFS($A$14:$A$1213,$A47,$T$14:$T$1213,"="&amp;$T47)+1)/2,"")</f>
        <v/>
      </c>
      <c r="AH47" s="27">
        <f>IF(COUNT($AC47:$AG47)&lt;2,"",IF(MAX($AC47:$AG47)=MIN($AC47:$AG47),0,1))</f>
        <v/>
      </c>
      <c r="AI47" s="27">
        <f>IF($A47="","",IF(COUNTIF($A$14:$A47,$A47)=1,COUNTIF($AI$13:AI46,"&gt;0")+1,""))</f>
        <v/>
      </c>
      <c r="AJ47" s="27">
        <f>IF(OR($H47="",COUNTIFS($A$14:$A$1213,$H47,$F$14:$F$1213,"&gt;=0")&lt;2,COUNTIFS($A$14:$A$1213,$H47,$F$14:$F$1213,_xlfn.MAXIFS($F$14:$F$1213,$A$14:$A$1213,$H47))&gt;1),"",IFERROR(INDEX($D$14:$D$1213,MATCH($H47&amp;"|"&amp;_xlfn.MAXIFS($F$14:$F$1213,$A$14:$A$1213,$H47),$AB$14:$AB$1213,0)),""))</f>
        <v/>
      </c>
      <c r="AK47" s="27">
        <f>IF(OR($H47="",COUNTIFS($A$14:$A$1213,$H47,$F$14:$F$1213,"&gt;=0")&lt;2,COUNTIFS($A$14:$A$1213,$H47,$F$14:$F$1213,_xlfn.MAXIFS($F$14:$F$1213,$A$14:$A$1213,$H47))&gt;1),"",IFERROR(INDEX($E$14:$E$1213,MATCH($H47&amp;"|"&amp;_xlfn.MAXIFS($F$14:$F$1213,$A$14:$A$1213,$H47),$AB$14:$AB$1213,0)),""))</f>
        <v/>
      </c>
      <c r="AL47" s="27">
        <f>IF(OR($H47="",COUNTIFS($A$14:$A$1213,$H47,$F$14:$F$1213,"&gt;=0")&lt;2,COUNTIFS($A$14:$A$1213,$H47,$F$14:$F$1213,_xlfn.MAXIFS($F$14:$F$1213,$A$14:$A$1213,$H47))&gt;1),"",IFERROR(INDEX($D$14:$D$1213,MATCH($H47&amp;"|"&amp;_xlfn.MAXIFS($F$14:$F$1213,$A$14:$A$1213,$H47,$F$14:$F$1213,"&lt;"&amp;_xlfn.MAXIFS($F$14:$F$1213,$A$14:$A$1213,$H47)),$AB$14:$AB$1213,0)),""))</f>
        <v/>
      </c>
      <c r="AM47" s="27">
        <f>IF(OR($H47="",COUNTIFS($A$14:$A$1213,$H47,$F$14:$F$1213,"&gt;=0")&lt;2,COUNTIFS($A$14:$A$1213,$H47,$F$14:$F$1213,_xlfn.MAXIFS($F$14:$F$1213,$A$14:$A$1213,$H47))&gt;1),"",IFERROR(INDEX($E$14:$E$1213,MATCH($H47&amp;"|"&amp;_xlfn.MAXIFS($F$14:$F$1213,$A$14:$A$1213,$H47,$F$14:$F$1213,"&lt;"&amp;_xlfn.MAXIFS($F$14:$F$1213,$A$14:$A$1213,$H47)),$AB$14:$AB$1213,0)),""))</f>
        <v/>
      </c>
      <c r="AN47" s="27">
        <f>IF(OR(NOT(ISNUMBER($AJ47)),NOT(ISNUMBER($AL47)),$AK47=0,$AM47=0),"",IF(OR((($AJ47+$AL47)/($AK47+$AM47))&lt;=0,(($AJ47+$AL47)/($AK47+$AM47))&gt;=1),"",($AJ47/$AK47-$AL47/$AM47)/SQRT((($AJ47+$AL47)/($AK47+$AM47))*(1-(($AJ47+$AL47)/($AK47+$AM47)))*(1/$AK47+1/$AM47))))</f>
        <v/>
      </c>
      <c r="AO47" s="27">
        <f>IF($A47="","",IF(AND(COUNTIFS($A$14:$A$1213,$A47,$F$14:$F$1213,"&gt;=0")=2,IFERROR(INDEX($M$14:$M$313,MATCH($A47,$H$14:$H$313,0)),"Yes")&lt;&gt;"Yes"),1,0))</f>
        <v/>
      </c>
    </row>
    <row r="48" ht="24" customHeight="1">
      <c r="A48" s="19" t="n"/>
      <c r="B48" s="20" t="n"/>
      <c r="C48" s="21">
        <f>IFERROR(AVERAGE(P48:T48),"")</f>
        <v/>
      </c>
      <c r="D48" s="29" t="n"/>
      <c r="E48" s="29" t="n"/>
      <c r="F48" s="30">
        <f>IF(AND(ISNUMBER($D48),ISNUMBER($E48),$E48&gt;0,$D48&lt;=$E48),$D48/$E48,"")</f>
        <v/>
      </c>
      <c r="H48" s="19">
        <f>IFERROR(INDEX($A$14:$A$1213,MATCH(35,$AI$14:$AI$1213,0)),"")</f>
        <v/>
      </c>
      <c r="I48" s="24">
        <f>IF($H48="","",IF(COUNTIFS($A$14:$A$1213,$H48,$C$14:$C$1213,"&gt;=0")=0,"—",IFERROR(INDEX($B$14:$B$1213,MATCH($H48&amp;"|1",$Z$14:$Z$1213,0)),"(tied)")))</f>
        <v/>
      </c>
      <c r="J48" s="25">
        <f>IF($H48="","",IF(OR(COUNTIFS($A$14:$A$1213,$H48,$C$14:$C$1213,"&gt;=0")=0,COUNTIFS($A$14:$A$1213,$H48,$F$14:$F$1213,"&gt;=0")=0),"—",IF(OR(ISERROR(MATCH($H48&amp;"|1",$Z$14:$Z$1213,0)),ISERROR(MATCH($H48&amp;"|1",$AA$14:$AA$1213,0))),"Tie",IF(MATCH($H48&amp;"|1",$Z$14:$Z$1213,0)=MATCH($H48&amp;"|1",$AA$14:$AA$1213,0),"Hit","Miss"))))</f>
        <v/>
      </c>
      <c r="K48" s="24">
        <f>IF($H48="","",IF(COUNTIFS($A$14:$A$1213,$H48,$F$14:$F$1213,"&gt;=0")=0,"—",IFERROR(INDEX($B$14:$B$1213,MATCH($H48&amp;"|1",$AA$14:$AA$1213,0)),"(tied)")))</f>
        <v/>
      </c>
      <c r="L48" s="25">
        <f>IF($H48="","",IF((--(COUNTIFS($A$14:$A$1213,$H48,$P$14:$P$1213,"&gt;=0")&gt;0)+--(COUNTIFS($A$14:$A$1213,$H48,$Q$14:$Q$1213,"&gt;=0")&gt;0)+--(COUNTIFS($A$14:$A$1213,$H48,$R$14:$R$1213,"&gt;=0")&gt;0)+--(COUNTIFS($A$14:$A$1213,$H48,$S$14:$S$1213,"&gt;=0")&gt;0)+--(COUNTIFS($A$14:$A$1213,$H48,$T$14:$T$1213,"&gt;=0")&gt;0))&lt;2,"—",IF(SUMIFS($AH$14:$AH$1213,$A$14:$A$1213,$H48)=0,"Yes","No")))</f>
        <v/>
      </c>
      <c r="M48" s="25">
        <f>IF($H48="","",IF(COUNTIFS($A$14:$A$1213,$H48,$F$14:$F$1213,"&gt;=0")&lt;2,"—",IF(COUNTIFS($A$14:$A$1213,$H48,$F$14:$F$1213,_xlfn.MAXIFS($F$14:$F$1213,$A$14:$A$1213,$H48))&gt;1,"No",IF(NOT(ISNUMBER($AN48)),"—",IF((2*(1-NORMSDIST(ABS($AN48))))&lt;0.05,"Yes","No")))))</f>
        <v/>
      </c>
      <c r="N48" s="21">
        <f>IF($H48="","",IF(NOT(ISNUMBER($AN48)),"—",IF((2*(1-NORMSDIST(ABS($AN48))))&lt;0.001,"&lt;0.001",TEXT((2*(1-NORMSDIST(ABS($AN48)))),"0.000"))))</f>
        <v/>
      </c>
      <c r="P48" s="26" t="n"/>
      <c r="Q48" s="26" t="n"/>
      <c r="R48" s="26" t="n"/>
      <c r="S48" s="26" t="n"/>
      <c r="T48" s="26" t="n"/>
      <c r="V48" s="27">
        <f>IF(ISNUMBER($C48),COUNTIFS($A$14:$A$1213,$A48,$C$14:$C$1213,"&gt;"&amp;$C48)+(COUNTIFS($A$14:$A$1213,$A48,$C$14:$C$1213,"="&amp;$C48)+1)/2,"")</f>
        <v/>
      </c>
      <c r="W48" s="27">
        <f>IF(ISNUMBER($F48),COUNTIFS($A$14:$A$1213,$A48,$F$14:$F$1213,"&gt;"&amp;$F48)+(COUNTIFS($A$14:$A$1213,$A48,$F$14:$F$1213,"="&amp;$F48)+1)/2,"")</f>
        <v/>
      </c>
      <c r="X48" s="27">
        <f>IF(OR(NOT(ISNUMBER($V48)),$AO48=1),"",$V48-(COUNTIFS($A$14:$A$1213,$A48,$C$14:$C$1213,"&gt;=0")+1)/2)</f>
        <v/>
      </c>
      <c r="Y48" s="27">
        <f>IF(OR(NOT(ISNUMBER($W48)),$AO48=1),"",$W48-(COUNTIFS($A$14:$A$1213,$A48,$F$14:$F$1213,"&gt;=0")+1)/2)</f>
        <v/>
      </c>
      <c r="Z48" s="27">
        <f>IF(ISNUMBER($V48),$A48&amp;"|"&amp;$V48,"")</f>
        <v/>
      </c>
      <c r="AA48" s="27">
        <f>IF(ISNUMBER($W48),$A48&amp;"|"&amp;$W48,"")</f>
        <v/>
      </c>
      <c r="AB48" s="27">
        <f>IF(ISNUMBER($F48),$A48&amp;"|"&amp;$F48,"")</f>
        <v/>
      </c>
      <c r="AC48" s="27">
        <f>IF(ISNUMBER($P48),COUNTIFS($A$14:$A$1213,$A48,$P$14:$P$1213,"&gt;"&amp;$P48)+(COUNTIFS($A$14:$A$1213,$A48,$P$14:$P$1213,"="&amp;$P48)+1)/2,"")</f>
        <v/>
      </c>
      <c r="AD48" s="27">
        <f>IF(ISNUMBER($Q48),COUNTIFS($A$14:$A$1213,$A48,$Q$14:$Q$1213,"&gt;"&amp;$Q48)+(COUNTIFS($A$14:$A$1213,$A48,$Q$14:$Q$1213,"="&amp;$Q48)+1)/2,"")</f>
        <v/>
      </c>
      <c r="AE48" s="27">
        <f>IF(ISNUMBER($R48),COUNTIFS($A$14:$A$1213,$A48,$R$14:$R$1213,"&gt;"&amp;$R48)+(COUNTIFS($A$14:$A$1213,$A48,$R$14:$R$1213,"="&amp;$R48)+1)/2,"")</f>
        <v/>
      </c>
      <c r="AF48" s="27">
        <f>IF(ISNUMBER($S48),COUNTIFS($A$14:$A$1213,$A48,$S$14:$S$1213,"&gt;"&amp;$S48)+(COUNTIFS($A$14:$A$1213,$A48,$S$14:$S$1213,"="&amp;$S48)+1)/2,"")</f>
        <v/>
      </c>
      <c r="AG48" s="27">
        <f>IF(ISNUMBER($T48),COUNTIFS($A$14:$A$1213,$A48,$T$14:$T$1213,"&gt;"&amp;$T48)+(COUNTIFS($A$14:$A$1213,$A48,$T$14:$T$1213,"="&amp;$T48)+1)/2,"")</f>
        <v/>
      </c>
      <c r="AH48" s="27">
        <f>IF(COUNT($AC48:$AG48)&lt;2,"",IF(MAX($AC48:$AG48)=MIN($AC48:$AG48),0,1))</f>
        <v/>
      </c>
      <c r="AI48" s="27">
        <f>IF($A48="","",IF(COUNTIF($A$14:$A48,$A48)=1,COUNTIF($AI$13:AI47,"&gt;0")+1,""))</f>
        <v/>
      </c>
      <c r="AJ48" s="27">
        <f>IF(OR($H48="",COUNTIFS($A$14:$A$1213,$H48,$F$14:$F$1213,"&gt;=0")&lt;2,COUNTIFS($A$14:$A$1213,$H48,$F$14:$F$1213,_xlfn.MAXIFS($F$14:$F$1213,$A$14:$A$1213,$H48))&gt;1),"",IFERROR(INDEX($D$14:$D$1213,MATCH($H48&amp;"|"&amp;_xlfn.MAXIFS($F$14:$F$1213,$A$14:$A$1213,$H48),$AB$14:$AB$1213,0)),""))</f>
        <v/>
      </c>
      <c r="AK48" s="27">
        <f>IF(OR($H48="",COUNTIFS($A$14:$A$1213,$H48,$F$14:$F$1213,"&gt;=0")&lt;2,COUNTIFS($A$14:$A$1213,$H48,$F$14:$F$1213,_xlfn.MAXIFS($F$14:$F$1213,$A$14:$A$1213,$H48))&gt;1),"",IFERROR(INDEX($E$14:$E$1213,MATCH($H48&amp;"|"&amp;_xlfn.MAXIFS($F$14:$F$1213,$A$14:$A$1213,$H48),$AB$14:$AB$1213,0)),""))</f>
        <v/>
      </c>
      <c r="AL48" s="27">
        <f>IF(OR($H48="",COUNTIFS($A$14:$A$1213,$H48,$F$14:$F$1213,"&gt;=0")&lt;2,COUNTIFS($A$14:$A$1213,$H48,$F$14:$F$1213,_xlfn.MAXIFS($F$14:$F$1213,$A$14:$A$1213,$H48))&gt;1),"",IFERROR(INDEX($D$14:$D$1213,MATCH($H48&amp;"|"&amp;_xlfn.MAXIFS($F$14:$F$1213,$A$14:$A$1213,$H48,$F$14:$F$1213,"&lt;"&amp;_xlfn.MAXIFS($F$14:$F$1213,$A$14:$A$1213,$H48)),$AB$14:$AB$1213,0)),""))</f>
        <v/>
      </c>
      <c r="AM48" s="27">
        <f>IF(OR($H48="",COUNTIFS($A$14:$A$1213,$H48,$F$14:$F$1213,"&gt;=0")&lt;2,COUNTIFS($A$14:$A$1213,$H48,$F$14:$F$1213,_xlfn.MAXIFS($F$14:$F$1213,$A$14:$A$1213,$H48))&gt;1),"",IFERROR(INDEX($E$14:$E$1213,MATCH($H48&amp;"|"&amp;_xlfn.MAXIFS($F$14:$F$1213,$A$14:$A$1213,$H48,$F$14:$F$1213,"&lt;"&amp;_xlfn.MAXIFS($F$14:$F$1213,$A$14:$A$1213,$H48)),$AB$14:$AB$1213,0)),""))</f>
        <v/>
      </c>
      <c r="AN48" s="27">
        <f>IF(OR(NOT(ISNUMBER($AJ48)),NOT(ISNUMBER($AL48)),$AK48=0,$AM48=0),"",IF(OR((($AJ48+$AL48)/($AK48+$AM48))&lt;=0,(($AJ48+$AL48)/($AK48+$AM48))&gt;=1),"",($AJ48/$AK48-$AL48/$AM48)/SQRT((($AJ48+$AL48)/($AK48+$AM48))*(1-(($AJ48+$AL48)/($AK48+$AM48)))*(1/$AK48+1/$AM48))))</f>
        <v/>
      </c>
      <c r="AO48" s="27">
        <f>IF($A48="","",IF(AND(COUNTIFS($A$14:$A$1213,$A48,$F$14:$F$1213,"&gt;=0")=2,IFERROR(INDEX($M$14:$M$313,MATCH($A48,$H$14:$H$313,0)),"Yes")&lt;&gt;"Yes"),1,0))</f>
        <v/>
      </c>
    </row>
    <row r="49" ht="24" customHeight="1">
      <c r="A49" s="19" t="n"/>
      <c r="B49" s="20" t="n"/>
      <c r="C49" s="21">
        <f>IFERROR(AVERAGE(P49:T49),"")</f>
        <v/>
      </c>
      <c r="D49" s="29" t="n"/>
      <c r="E49" s="29" t="n"/>
      <c r="F49" s="30">
        <f>IF(AND(ISNUMBER($D49),ISNUMBER($E49),$E49&gt;0,$D49&lt;=$E49),$D49/$E49,"")</f>
        <v/>
      </c>
      <c r="H49" s="19">
        <f>IFERROR(INDEX($A$14:$A$1213,MATCH(36,$AI$14:$AI$1213,0)),"")</f>
        <v/>
      </c>
      <c r="I49" s="24">
        <f>IF($H49="","",IF(COUNTIFS($A$14:$A$1213,$H49,$C$14:$C$1213,"&gt;=0")=0,"—",IFERROR(INDEX($B$14:$B$1213,MATCH($H49&amp;"|1",$Z$14:$Z$1213,0)),"(tied)")))</f>
        <v/>
      </c>
      <c r="J49" s="25">
        <f>IF($H49="","",IF(OR(COUNTIFS($A$14:$A$1213,$H49,$C$14:$C$1213,"&gt;=0")=0,COUNTIFS($A$14:$A$1213,$H49,$F$14:$F$1213,"&gt;=0")=0),"—",IF(OR(ISERROR(MATCH($H49&amp;"|1",$Z$14:$Z$1213,0)),ISERROR(MATCH($H49&amp;"|1",$AA$14:$AA$1213,0))),"Tie",IF(MATCH($H49&amp;"|1",$Z$14:$Z$1213,0)=MATCH($H49&amp;"|1",$AA$14:$AA$1213,0),"Hit","Miss"))))</f>
        <v/>
      </c>
      <c r="K49" s="24">
        <f>IF($H49="","",IF(COUNTIFS($A$14:$A$1213,$H49,$F$14:$F$1213,"&gt;=0")=0,"—",IFERROR(INDEX($B$14:$B$1213,MATCH($H49&amp;"|1",$AA$14:$AA$1213,0)),"(tied)")))</f>
        <v/>
      </c>
      <c r="L49" s="25">
        <f>IF($H49="","",IF((--(COUNTIFS($A$14:$A$1213,$H49,$P$14:$P$1213,"&gt;=0")&gt;0)+--(COUNTIFS($A$14:$A$1213,$H49,$Q$14:$Q$1213,"&gt;=0")&gt;0)+--(COUNTIFS($A$14:$A$1213,$H49,$R$14:$R$1213,"&gt;=0")&gt;0)+--(COUNTIFS($A$14:$A$1213,$H49,$S$14:$S$1213,"&gt;=0")&gt;0)+--(COUNTIFS($A$14:$A$1213,$H49,$T$14:$T$1213,"&gt;=0")&gt;0))&lt;2,"—",IF(SUMIFS($AH$14:$AH$1213,$A$14:$A$1213,$H49)=0,"Yes","No")))</f>
        <v/>
      </c>
      <c r="M49" s="25">
        <f>IF($H49="","",IF(COUNTIFS($A$14:$A$1213,$H49,$F$14:$F$1213,"&gt;=0")&lt;2,"—",IF(COUNTIFS($A$14:$A$1213,$H49,$F$14:$F$1213,_xlfn.MAXIFS($F$14:$F$1213,$A$14:$A$1213,$H49))&gt;1,"No",IF(NOT(ISNUMBER($AN49)),"—",IF((2*(1-NORMSDIST(ABS($AN49))))&lt;0.05,"Yes","No")))))</f>
        <v/>
      </c>
      <c r="N49" s="21">
        <f>IF($H49="","",IF(NOT(ISNUMBER($AN49)),"—",IF((2*(1-NORMSDIST(ABS($AN49))))&lt;0.001,"&lt;0.001",TEXT((2*(1-NORMSDIST(ABS($AN49)))),"0.000"))))</f>
        <v/>
      </c>
      <c r="P49" s="26" t="n"/>
      <c r="Q49" s="26" t="n"/>
      <c r="R49" s="26" t="n"/>
      <c r="S49" s="26" t="n"/>
      <c r="T49" s="26" t="n"/>
      <c r="V49" s="27">
        <f>IF(ISNUMBER($C49),COUNTIFS($A$14:$A$1213,$A49,$C$14:$C$1213,"&gt;"&amp;$C49)+(COUNTIFS($A$14:$A$1213,$A49,$C$14:$C$1213,"="&amp;$C49)+1)/2,"")</f>
        <v/>
      </c>
      <c r="W49" s="27">
        <f>IF(ISNUMBER($F49),COUNTIFS($A$14:$A$1213,$A49,$F$14:$F$1213,"&gt;"&amp;$F49)+(COUNTIFS($A$14:$A$1213,$A49,$F$14:$F$1213,"="&amp;$F49)+1)/2,"")</f>
        <v/>
      </c>
      <c r="X49" s="27">
        <f>IF(OR(NOT(ISNUMBER($V49)),$AO49=1),"",$V49-(COUNTIFS($A$14:$A$1213,$A49,$C$14:$C$1213,"&gt;=0")+1)/2)</f>
        <v/>
      </c>
      <c r="Y49" s="27">
        <f>IF(OR(NOT(ISNUMBER($W49)),$AO49=1),"",$W49-(COUNTIFS($A$14:$A$1213,$A49,$F$14:$F$1213,"&gt;=0")+1)/2)</f>
        <v/>
      </c>
      <c r="Z49" s="27">
        <f>IF(ISNUMBER($V49),$A49&amp;"|"&amp;$V49,"")</f>
        <v/>
      </c>
      <c r="AA49" s="27">
        <f>IF(ISNUMBER($W49),$A49&amp;"|"&amp;$W49,"")</f>
        <v/>
      </c>
      <c r="AB49" s="27">
        <f>IF(ISNUMBER($F49),$A49&amp;"|"&amp;$F49,"")</f>
        <v/>
      </c>
      <c r="AC49" s="27">
        <f>IF(ISNUMBER($P49),COUNTIFS($A$14:$A$1213,$A49,$P$14:$P$1213,"&gt;"&amp;$P49)+(COUNTIFS($A$14:$A$1213,$A49,$P$14:$P$1213,"="&amp;$P49)+1)/2,"")</f>
        <v/>
      </c>
      <c r="AD49" s="27">
        <f>IF(ISNUMBER($Q49),COUNTIFS($A$14:$A$1213,$A49,$Q$14:$Q$1213,"&gt;"&amp;$Q49)+(COUNTIFS($A$14:$A$1213,$A49,$Q$14:$Q$1213,"="&amp;$Q49)+1)/2,"")</f>
        <v/>
      </c>
      <c r="AE49" s="27">
        <f>IF(ISNUMBER($R49),COUNTIFS($A$14:$A$1213,$A49,$R$14:$R$1213,"&gt;"&amp;$R49)+(COUNTIFS($A$14:$A$1213,$A49,$R$14:$R$1213,"="&amp;$R49)+1)/2,"")</f>
        <v/>
      </c>
      <c r="AF49" s="27">
        <f>IF(ISNUMBER($S49),COUNTIFS($A$14:$A$1213,$A49,$S$14:$S$1213,"&gt;"&amp;$S49)+(COUNTIFS($A$14:$A$1213,$A49,$S$14:$S$1213,"="&amp;$S49)+1)/2,"")</f>
        <v/>
      </c>
      <c r="AG49" s="27">
        <f>IF(ISNUMBER($T49),COUNTIFS($A$14:$A$1213,$A49,$T$14:$T$1213,"&gt;"&amp;$T49)+(COUNTIFS($A$14:$A$1213,$A49,$T$14:$T$1213,"="&amp;$T49)+1)/2,"")</f>
        <v/>
      </c>
      <c r="AH49" s="27">
        <f>IF(COUNT($AC49:$AG49)&lt;2,"",IF(MAX($AC49:$AG49)=MIN($AC49:$AG49),0,1))</f>
        <v/>
      </c>
      <c r="AI49" s="27">
        <f>IF($A49="","",IF(COUNTIF($A$14:$A49,$A49)=1,COUNTIF($AI$13:AI48,"&gt;0")+1,""))</f>
        <v/>
      </c>
      <c r="AJ49" s="27">
        <f>IF(OR($H49="",COUNTIFS($A$14:$A$1213,$H49,$F$14:$F$1213,"&gt;=0")&lt;2,COUNTIFS($A$14:$A$1213,$H49,$F$14:$F$1213,_xlfn.MAXIFS($F$14:$F$1213,$A$14:$A$1213,$H49))&gt;1),"",IFERROR(INDEX($D$14:$D$1213,MATCH($H49&amp;"|"&amp;_xlfn.MAXIFS($F$14:$F$1213,$A$14:$A$1213,$H49),$AB$14:$AB$1213,0)),""))</f>
        <v/>
      </c>
      <c r="AK49" s="27">
        <f>IF(OR($H49="",COUNTIFS($A$14:$A$1213,$H49,$F$14:$F$1213,"&gt;=0")&lt;2,COUNTIFS($A$14:$A$1213,$H49,$F$14:$F$1213,_xlfn.MAXIFS($F$14:$F$1213,$A$14:$A$1213,$H49))&gt;1),"",IFERROR(INDEX($E$14:$E$1213,MATCH($H49&amp;"|"&amp;_xlfn.MAXIFS($F$14:$F$1213,$A$14:$A$1213,$H49),$AB$14:$AB$1213,0)),""))</f>
        <v/>
      </c>
      <c r="AL49" s="27">
        <f>IF(OR($H49="",COUNTIFS($A$14:$A$1213,$H49,$F$14:$F$1213,"&gt;=0")&lt;2,COUNTIFS($A$14:$A$1213,$H49,$F$14:$F$1213,_xlfn.MAXIFS($F$14:$F$1213,$A$14:$A$1213,$H49))&gt;1),"",IFERROR(INDEX($D$14:$D$1213,MATCH($H49&amp;"|"&amp;_xlfn.MAXIFS($F$14:$F$1213,$A$14:$A$1213,$H49,$F$14:$F$1213,"&lt;"&amp;_xlfn.MAXIFS($F$14:$F$1213,$A$14:$A$1213,$H49)),$AB$14:$AB$1213,0)),""))</f>
        <v/>
      </c>
      <c r="AM49" s="27">
        <f>IF(OR($H49="",COUNTIFS($A$14:$A$1213,$H49,$F$14:$F$1213,"&gt;=0")&lt;2,COUNTIFS($A$14:$A$1213,$H49,$F$14:$F$1213,_xlfn.MAXIFS($F$14:$F$1213,$A$14:$A$1213,$H49))&gt;1),"",IFERROR(INDEX($E$14:$E$1213,MATCH($H49&amp;"|"&amp;_xlfn.MAXIFS($F$14:$F$1213,$A$14:$A$1213,$H49,$F$14:$F$1213,"&lt;"&amp;_xlfn.MAXIFS($F$14:$F$1213,$A$14:$A$1213,$H49)),$AB$14:$AB$1213,0)),""))</f>
        <v/>
      </c>
      <c r="AN49" s="27">
        <f>IF(OR(NOT(ISNUMBER($AJ49)),NOT(ISNUMBER($AL49)),$AK49=0,$AM49=0),"",IF(OR((($AJ49+$AL49)/($AK49+$AM49))&lt;=0,(($AJ49+$AL49)/($AK49+$AM49))&gt;=1),"",($AJ49/$AK49-$AL49/$AM49)/SQRT((($AJ49+$AL49)/($AK49+$AM49))*(1-(($AJ49+$AL49)/($AK49+$AM49)))*(1/$AK49+1/$AM49))))</f>
        <v/>
      </c>
      <c r="AO49" s="27">
        <f>IF($A49="","",IF(AND(COUNTIFS($A$14:$A$1213,$A49,$F$14:$F$1213,"&gt;=0")=2,IFERROR(INDEX($M$14:$M$313,MATCH($A49,$H$14:$H$313,0)),"Yes")&lt;&gt;"Yes"),1,0))</f>
        <v/>
      </c>
    </row>
    <row r="50" ht="24" customHeight="1">
      <c r="A50" s="19" t="n"/>
      <c r="B50" s="20" t="n"/>
      <c r="C50" s="21">
        <f>IFERROR(AVERAGE(P50:T50),"")</f>
        <v/>
      </c>
      <c r="D50" s="29" t="n"/>
      <c r="E50" s="29" t="n"/>
      <c r="F50" s="30">
        <f>IF(AND(ISNUMBER($D50),ISNUMBER($E50),$E50&gt;0,$D50&lt;=$E50),$D50/$E50,"")</f>
        <v/>
      </c>
      <c r="H50" s="19">
        <f>IFERROR(INDEX($A$14:$A$1213,MATCH(37,$AI$14:$AI$1213,0)),"")</f>
        <v/>
      </c>
      <c r="I50" s="24">
        <f>IF($H50="","",IF(COUNTIFS($A$14:$A$1213,$H50,$C$14:$C$1213,"&gt;=0")=0,"—",IFERROR(INDEX($B$14:$B$1213,MATCH($H50&amp;"|1",$Z$14:$Z$1213,0)),"(tied)")))</f>
        <v/>
      </c>
      <c r="J50" s="25">
        <f>IF($H50="","",IF(OR(COUNTIFS($A$14:$A$1213,$H50,$C$14:$C$1213,"&gt;=0")=0,COUNTIFS($A$14:$A$1213,$H50,$F$14:$F$1213,"&gt;=0")=0),"—",IF(OR(ISERROR(MATCH($H50&amp;"|1",$Z$14:$Z$1213,0)),ISERROR(MATCH($H50&amp;"|1",$AA$14:$AA$1213,0))),"Tie",IF(MATCH($H50&amp;"|1",$Z$14:$Z$1213,0)=MATCH($H50&amp;"|1",$AA$14:$AA$1213,0),"Hit","Miss"))))</f>
        <v/>
      </c>
      <c r="K50" s="24">
        <f>IF($H50="","",IF(COUNTIFS($A$14:$A$1213,$H50,$F$14:$F$1213,"&gt;=0")=0,"—",IFERROR(INDEX($B$14:$B$1213,MATCH($H50&amp;"|1",$AA$14:$AA$1213,0)),"(tied)")))</f>
        <v/>
      </c>
      <c r="L50" s="25">
        <f>IF($H50="","",IF((--(COUNTIFS($A$14:$A$1213,$H50,$P$14:$P$1213,"&gt;=0")&gt;0)+--(COUNTIFS($A$14:$A$1213,$H50,$Q$14:$Q$1213,"&gt;=0")&gt;0)+--(COUNTIFS($A$14:$A$1213,$H50,$R$14:$R$1213,"&gt;=0")&gt;0)+--(COUNTIFS($A$14:$A$1213,$H50,$S$14:$S$1213,"&gt;=0")&gt;0)+--(COUNTIFS($A$14:$A$1213,$H50,$T$14:$T$1213,"&gt;=0")&gt;0))&lt;2,"—",IF(SUMIFS($AH$14:$AH$1213,$A$14:$A$1213,$H50)=0,"Yes","No")))</f>
        <v/>
      </c>
      <c r="M50" s="25">
        <f>IF($H50="","",IF(COUNTIFS($A$14:$A$1213,$H50,$F$14:$F$1213,"&gt;=0")&lt;2,"—",IF(COUNTIFS($A$14:$A$1213,$H50,$F$14:$F$1213,_xlfn.MAXIFS($F$14:$F$1213,$A$14:$A$1213,$H50))&gt;1,"No",IF(NOT(ISNUMBER($AN50)),"—",IF((2*(1-NORMSDIST(ABS($AN50))))&lt;0.05,"Yes","No")))))</f>
        <v/>
      </c>
      <c r="N50" s="21">
        <f>IF($H50="","",IF(NOT(ISNUMBER($AN50)),"—",IF((2*(1-NORMSDIST(ABS($AN50))))&lt;0.001,"&lt;0.001",TEXT((2*(1-NORMSDIST(ABS($AN50)))),"0.000"))))</f>
        <v/>
      </c>
      <c r="P50" s="26" t="n"/>
      <c r="Q50" s="26" t="n"/>
      <c r="R50" s="26" t="n"/>
      <c r="S50" s="26" t="n"/>
      <c r="T50" s="26" t="n"/>
      <c r="V50" s="27">
        <f>IF(ISNUMBER($C50),COUNTIFS($A$14:$A$1213,$A50,$C$14:$C$1213,"&gt;"&amp;$C50)+(COUNTIFS($A$14:$A$1213,$A50,$C$14:$C$1213,"="&amp;$C50)+1)/2,"")</f>
        <v/>
      </c>
      <c r="W50" s="27">
        <f>IF(ISNUMBER($F50),COUNTIFS($A$14:$A$1213,$A50,$F$14:$F$1213,"&gt;"&amp;$F50)+(COUNTIFS($A$14:$A$1213,$A50,$F$14:$F$1213,"="&amp;$F50)+1)/2,"")</f>
        <v/>
      </c>
      <c r="X50" s="27">
        <f>IF(OR(NOT(ISNUMBER($V50)),$AO50=1),"",$V50-(COUNTIFS($A$14:$A$1213,$A50,$C$14:$C$1213,"&gt;=0")+1)/2)</f>
        <v/>
      </c>
      <c r="Y50" s="27">
        <f>IF(OR(NOT(ISNUMBER($W50)),$AO50=1),"",$W50-(COUNTIFS($A$14:$A$1213,$A50,$F$14:$F$1213,"&gt;=0")+1)/2)</f>
        <v/>
      </c>
      <c r="Z50" s="27">
        <f>IF(ISNUMBER($V50),$A50&amp;"|"&amp;$V50,"")</f>
        <v/>
      </c>
      <c r="AA50" s="27">
        <f>IF(ISNUMBER($W50),$A50&amp;"|"&amp;$W50,"")</f>
        <v/>
      </c>
      <c r="AB50" s="27">
        <f>IF(ISNUMBER($F50),$A50&amp;"|"&amp;$F50,"")</f>
        <v/>
      </c>
      <c r="AC50" s="27">
        <f>IF(ISNUMBER($P50),COUNTIFS($A$14:$A$1213,$A50,$P$14:$P$1213,"&gt;"&amp;$P50)+(COUNTIFS($A$14:$A$1213,$A50,$P$14:$P$1213,"="&amp;$P50)+1)/2,"")</f>
        <v/>
      </c>
      <c r="AD50" s="27">
        <f>IF(ISNUMBER($Q50),COUNTIFS($A$14:$A$1213,$A50,$Q$14:$Q$1213,"&gt;"&amp;$Q50)+(COUNTIFS($A$14:$A$1213,$A50,$Q$14:$Q$1213,"="&amp;$Q50)+1)/2,"")</f>
        <v/>
      </c>
      <c r="AE50" s="27">
        <f>IF(ISNUMBER($R50),COUNTIFS($A$14:$A$1213,$A50,$R$14:$R$1213,"&gt;"&amp;$R50)+(COUNTIFS($A$14:$A$1213,$A50,$R$14:$R$1213,"="&amp;$R50)+1)/2,"")</f>
        <v/>
      </c>
      <c r="AF50" s="27">
        <f>IF(ISNUMBER($S50),COUNTIFS($A$14:$A$1213,$A50,$S$14:$S$1213,"&gt;"&amp;$S50)+(COUNTIFS($A$14:$A$1213,$A50,$S$14:$S$1213,"="&amp;$S50)+1)/2,"")</f>
        <v/>
      </c>
      <c r="AG50" s="27">
        <f>IF(ISNUMBER($T50),COUNTIFS($A$14:$A$1213,$A50,$T$14:$T$1213,"&gt;"&amp;$T50)+(COUNTIFS($A$14:$A$1213,$A50,$T$14:$T$1213,"="&amp;$T50)+1)/2,"")</f>
        <v/>
      </c>
      <c r="AH50" s="27">
        <f>IF(COUNT($AC50:$AG50)&lt;2,"",IF(MAX($AC50:$AG50)=MIN($AC50:$AG50),0,1))</f>
        <v/>
      </c>
      <c r="AI50" s="27">
        <f>IF($A50="","",IF(COUNTIF($A$14:$A50,$A50)=1,COUNTIF($AI$13:AI49,"&gt;0")+1,""))</f>
        <v/>
      </c>
      <c r="AJ50" s="27">
        <f>IF(OR($H50="",COUNTIFS($A$14:$A$1213,$H50,$F$14:$F$1213,"&gt;=0")&lt;2,COUNTIFS($A$14:$A$1213,$H50,$F$14:$F$1213,_xlfn.MAXIFS($F$14:$F$1213,$A$14:$A$1213,$H50))&gt;1),"",IFERROR(INDEX($D$14:$D$1213,MATCH($H50&amp;"|"&amp;_xlfn.MAXIFS($F$14:$F$1213,$A$14:$A$1213,$H50),$AB$14:$AB$1213,0)),""))</f>
        <v/>
      </c>
      <c r="AK50" s="27">
        <f>IF(OR($H50="",COUNTIFS($A$14:$A$1213,$H50,$F$14:$F$1213,"&gt;=0")&lt;2,COUNTIFS($A$14:$A$1213,$H50,$F$14:$F$1213,_xlfn.MAXIFS($F$14:$F$1213,$A$14:$A$1213,$H50))&gt;1),"",IFERROR(INDEX($E$14:$E$1213,MATCH($H50&amp;"|"&amp;_xlfn.MAXIFS($F$14:$F$1213,$A$14:$A$1213,$H50),$AB$14:$AB$1213,0)),""))</f>
        <v/>
      </c>
      <c r="AL50" s="27">
        <f>IF(OR($H50="",COUNTIFS($A$14:$A$1213,$H50,$F$14:$F$1213,"&gt;=0")&lt;2,COUNTIFS($A$14:$A$1213,$H50,$F$14:$F$1213,_xlfn.MAXIFS($F$14:$F$1213,$A$14:$A$1213,$H50))&gt;1),"",IFERROR(INDEX($D$14:$D$1213,MATCH($H50&amp;"|"&amp;_xlfn.MAXIFS($F$14:$F$1213,$A$14:$A$1213,$H50,$F$14:$F$1213,"&lt;"&amp;_xlfn.MAXIFS($F$14:$F$1213,$A$14:$A$1213,$H50)),$AB$14:$AB$1213,0)),""))</f>
        <v/>
      </c>
      <c r="AM50" s="27">
        <f>IF(OR($H50="",COUNTIFS($A$14:$A$1213,$H50,$F$14:$F$1213,"&gt;=0")&lt;2,COUNTIFS($A$14:$A$1213,$H50,$F$14:$F$1213,_xlfn.MAXIFS($F$14:$F$1213,$A$14:$A$1213,$H50))&gt;1),"",IFERROR(INDEX($E$14:$E$1213,MATCH($H50&amp;"|"&amp;_xlfn.MAXIFS($F$14:$F$1213,$A$14:$A$1213,$H50,$F$14:$F$1213,"&lt;"&amp;_xlfn.MAXIFS($F$14:$F$1213,$A$14:$A$1213,$H50)),$AB$14:$AB$1213,0)),""))</f>
        <v/>
      </c>
      <c r="AN50" s="27">
        <f>IF(OR(NOT(ISNUMBER($AJ50)),NOT(ISNUMBER($AL50)),$AK50=0,$AM50=0),"",IF(OR((($AJ50+$AL50)/($AK50+$AM50))&lt;=0,(($AJ50+$AL50)/($AK50+$AM50))&gt;=1),"",($AJ50/$AK50-$AL50/$AM50)/SQRT((($AJ50+$AL50)/($AK50+$AM50))*(1-(($AJ50+$AL50)/($AK50+$AM50)))*(1/$AK50+1/$AM50))))</f>
        <v/>
      </c>
      <c r="AO50" s="27">
        <f>IF($A50="","",IF(AND(COUNTIFS($A$14:$A$1213,$A50,$F$14:$F$1213,"&gt;=0")=2,IFERROR(INDEX($M$14:$M$313,MATCH($A50,$H$14:$H$313,0)),"Yes")&lt;&gt;"Yes"),1,0))</f>
        <v/>
      </c>
    </row>
    <row r="51" ht="24" customHeight="1">
      <c r="A51" s="19" t="n"/>
      <c r="B51" s="20" t="n"/>
      <c r="C51" s="21">
        <f>IFERROR(AVERAGE(P51:T51),"")</f>
        <v/>
      </c>
      <c r="D51" s="29" t="n"/>
      <c r="E51" s="29" t="n"/>
      <c r="F51" s="30">
        <f>IF(AND(ISNUMBER($D51),ISNUMBER($E51),$E51&gt;0,$D51&lt;=$E51),$D51/$E51,"")</f>
        <v/>
      </c>
      <c r="H51" s="19">
        <f>IFERROR(INDEX($A$14:$A$1213,MATCH(38,$AI$14:$AI$1213,0)),"")</f>
        <v/>
      </c>
      <c r="I51" s="24">
        <f>IF($H51="","",IF(COUNTIFS($A$14:$A$1213,$H51,$C$14:$C$1213,"&gt;=0")=0,"—",IFERROR(INDEX($B$14:$B$1213,MATCH($H51&amp;"|1",$Z$14:$Z$1213,0)),"(tied)")))</f>
        <v/>
      </c>
      <c r="J51" s="25">
        <f>IF($H51="","",IF(OR(COUNTIFS($A$14:$A$1213,$H51,$C$14:$C$1213,"&gt;=0")=0,COUNTIFS($A$14:$A$1213,$H51,$F$14:$F$1213,"&gt;=0")=0),"—",IF(OR(ISERROR(MATCH($H51&amp;"|1",$Z$14:$Z$1213,0)),ISERROR(MATCH($H51&amp;"|1",$AA$14:$AA$1213,0))),"Tie",IF(MATCH($H51&amp;"|1",$Z$14:$Z$1213,0)=MATCH($H51&amp;"|1",$AA$14:$AA$1213,0),"Hit","Miss"))))</f>
        <v/>
      </c>
      <c r="K51" s="24">
        <f>IF($H51="","",IF(COUNTIFS($A$14:$A$1213,$H51,$F$14:$F$1213,"&gt;=0")=0,"—",IFERROR(INDEX($B$14:$B$1213,MATCH($H51&amp;"|1",$AA$14:$AA$1213,0)),"(tied)")))</f>
        <v/>
      </c>
      <c r="L51" s="25">
        <f>IF($H51="","",IF((--(COUNTIFS($A$14:$A$1213,$H51,$P$14:$P$1213,"&gt;=0")&gt;0)+--(COUNTIFS($A$14:$A$1213,$H51,$Q$14:$Q$1213,"&gt;=0")&gt;0)+--(COUNTIFS($A$14:$A$1213,$H51,$R$14:$R$1213,"&gt;=0")&gt;0)+--(COUNTIFS($A$14:$A$1213,$H51,$S$14:$S$1213,"&gt;=0")&gt;0)+--(COUNTIFS($A$14:$A$1213,$H51,$T$14:$T$1213,"&gt;=0")&gt;0))&lt;2,"—",IF(SUMIFS($AH$14:$AH$1213,$A$14:$A$1213,$H51)=0,"Yes","No")))</f>
        <v/>
      </c>
      <c r="M51" s="25">
        <f>IF($H51="","",IF(COUNTIFS($A$14:$A$1213,$H51,$F$14:$F$1213,"&gt;=0")&lt;2,"—",IF(COUNTIFS($A$14:$A$1213,$H51,$F$14:$F$1213,_xlfn.MAXIFS($F$14:$F$1213,$A$14:$A$1213,$H51))&gt;1,"No",IF(NOT(ISNUMBER($AN51)),"—",IF((2*(1-NORMSDIST(ABS($AN51))))&lt;0.05,"Yes","No")))))</f>
        <v/>
      </c>
      <c r="N51" s="21">
        <f>IF($H51="","",IF(NOT(ISNUMBER($AN51)),"—",IF((2*(1-NORMSDIST(ABS($AN51))))&lt;0.001,"&lt;0.001",TEXT((2*(1-NORMSDIST(ABS($AN51)))),"0.000"))))</f>
        <v/>
      </c>
      <c r="P51" s="26" t="n"/>
      <c r="Q51" s="26" t="n"/>
      <c r="R51" s="26" t="n"/>
      <c r="S51" s="26" t="n"/>
      <c r="T51" s="26" t="n"/>
      <c r="V51" s="27">
        <f>IF(ISNUMBER($C51),COUNTIFS($A$14:$A$1213,$A51,$C$14:$C$1213,"&gt;"&amp;$C51)+(COUNTIFS($A$14:$A$1213,$A51,$C$14:$C$1213,"="&amp;$C51)+1)/2,"")</f>
        <v/>
      </c>
      <c r="W51" s="27">
        <f>IF(ISNUMBER($F51),COUNTIFS($A$14:$A$1213,$A51,$F$14:$F$1213,"&gt;"&amp;$F51)+(COUNTIFS($A$14:$A$1213,$A51,$F$14:$F$1213,"="&amp;$F51)+1)/2,"")</f>
        <v/>
      </c>
      <c r="X51" s="27">
        <f>IF(OR(NOT(ISNUMBER($V51)),$AO51=1),"",$V51-(COUNTIFS($A$14:$A$1213,$A51,$C$14:$C$1213,"&gt;=0")+1)/2)</f>
        <v/>
      </c>
      <c r="Y51" s="27">
        <f>IF(OR(NOT(ISNUMBER($W51)),$AO51=1),"",$W51-(COUNTIFS($A$14:$A$1213,$A51,$F$14:$F$1213,"&gt;=0")+1)/2)</f>
        <v/>
      </c>
      <c r="Z51" s="27">
        <f>IF(ISNUMBER($V51),$A51&amp;"|"&amp;$V51,"")</f>
        <v/>
      </c>
      <c r="AA51" s="27">
        <f>IF(ISNUMBER($W51),$A51&amp;"|"&amp;$W51,"")</f>
        <v/>
      </c>
      <c r="AB51" s="27">
        <f>IF(ISNUMBER($F51),$A51&amp;"|"&amp;$F51,"")</f>
        <v/>
      </c>
      <c r="AC51" s="27">
        <f>IF(ISNUMBER($P51),COUNTIFS($A$14:$A$1213,$A51,$P$14:$P$1213,"&gt;"&amp;$P51)+(COUNTIFS($A$14:$A$1213,$A51,$P$14:$P$1213,"="&amp;$P51)+1)/2,"")</f>
        <v/>
      </c>
      <c r="AD51" s="27">
        <f>IF(ISNUMBER($Q51),COUNTIFS($A$14:$A$1213,$A51,$Q$14:$Q$1213,"&gt;"&amp;$Q51)+(COUNTIFS($A$14:$A$1213,$A51,$Q$14:$Q$1213,"="&amp;$Q51)+1)/2,"")</f>
        <v/>
      </c>
      <c r="AE51" s="27">
        <f>IF(ISNUMBER($R51),COUNTIFS($A$14:$A$1213,$A51,$R$14:$R$1213,"&gt;"&amp;$R51)+(COUNTIFS($A$14:$A$1213,$A51,$R$14:$R$1213,"="&amp;$R51)+1)/2,"")</f>
        <v/>
      </c>
      <c r="AF51" s="27">
        <f>IF(ISNUMBER($S51),COUNTIFS($A$14:$A$1213,$A51,$S$14:$S$1213,"&gt;"&amp;$S51)+(COUNTIFS($A$14:$A$1213,$A51,$S$14:$S$1213,"="&amp;$S51)+1)/2,"")</f>
        <v/>
      </c>
      <c r="AG51" s="27">
        <f>IF(ISNUMBER($T51),COUNTIFS($A$14:$A$1213,$A51,$T$14:$T$1213,"&gt;"&amp;$T51)+(COUNTIFS($A$14:$A$1213,$A51,$T$14:$T$1213,"="&amp;$T51)+1)/2,"")</f>
        <v/>
      </c>
      <c r="AH51" s="27">
        <f>IF(COUNT($AC51:$AG51)&lt;2,"",IF(MAX($AC51:$AG51)=MIN($AC51:$AG51),0,1))</f>
        <v/>
      </c>
      <c r="AI51" s="27">
        <f>IF($A51="","",IF(COUNTIF($A$14:$A51,$A51)=1,COUNTIF($AI$13:AI50,"&gt;0")+1,""))</f>
        <v/>
      </c>
      <c r="AJ51" s="27">
        <f>IF(OR($H51="",COUNTIFS($A$14:$A$1213,$H51,$F$14:$F$1213,"&gt;=0")&lt;2,COUNTIFS($A$14:$A$1213,$H51,$F$14:$F$1213,_xlfn.MAXIFS($F$14:$F$1213,$A$14:$A$1213,$H51))&gt;1),"",IFERROR(INDEX($D$14:$D$1213,MATCH($H51&amp;"|"&amp;_xlfn.MAXIFS($F$14:$F$1213,$A$14:$A$1213,$H51),$AB$14:$AB$1213,0)),""))</f>
        <v/>
      </c>
      <c r="AK51" s="27">
        <f>IF(OR($H51="",COUNTIFS($A$14:$A$1213,$H51,$F$14:$F$1213,"&gt;=0")&lt;2,COUNTIFS($A$14:$A$1213,$H51,$F$14:$F$1213,_xlfn.MAXIFS($F$14:$F$1213,$A$14:$A$1213,$H51))&gt;1),"",IFERROR(INDEX($E$14:$E$1213,MATCH($H51&amp;"|"&amp;_xlfn.MAXIFS($F$14:$F$1213,$A$14:$A$1213,$H51),$AB$14:$AB$1213,0)),""))</f>
        <v/>
      </c>
      <c r="AL51" s="27">
        <f>IF(OR($H51="",COUNTIFS($A$14:$A$1213,$H51,$F$14:$F$1213,"&gt;=0")&lt;2,COUNTIFS($A$14:$A$1213,$H51,$F$14:$F$1213,_xlfn.MAXIFS($F$14:$F$1213,$A$14:$A$1213,$H51))&gt;1),"",IFERROR(INDEX($D$14:$D$1213,MATCH($H51&amp;"|"&amp;_xlfn.MAXIFS($F$14:$F$1213,$A$14:$A$1213,$H51,$F$14:$F$1213,"&lt;"&amp;_xlfn.MAXIFS($F$14:$F$1213,$A$14:$A$1213,$H51)),$AB$14:$AB$1213,0)),""))</f>
        <v/>
      </c>
      <c r="AM51" s="27">
        <f>IF(OR($H51="",COUNTIFS($A$14:$A$1213,$H51,$F$14:$F$1213,"&gt;=0")&lt;2,COUNTIFS($A$14:$A$1213,$H51,$F$14:$F$1213,_xlfn.MAXIFS($F$14:$F$1213,$A$14:$A$1213,$H51))&gt;1),"",IFERROR(INDEX($E$14:$E$1213,MATCH($H51&amp;"|"&amp;_xlfn.MAXIFS($F$14:$F$1213,$A$14:$A$1213,$H51,$F$14:$F$1213,"&lt;"&amp;_xlfn.MAXIFS($F$14:$F$1213,$A$14:$A$1213,$H51)),$AB$14:$AB$1213,0)),""))</f>
        <v/>
      </c>
      <c r="AN51" s="27">
        <f>IF(OR(NOT(ISNUMBER($AJ51)),NOT(ISNUMBER($AL51)),$AK51=0,$AM51=0),"",IF(OR((($AJ51+$AL51)/($AK51+$AM51))&lt;=0,(($AJ51+$AL51)/($AK51+$AM51))&gt;=1),"",($AJ51/$AK51-$AL51/$AM51)/SQRT((($AJ51+$AL51)/($AK51+$AM51))*(1-(($AJ51+$AL51)/($AK51+$AM51)))*(1/$AK51+1/$AM51))))</f>
        <v/>
      </c>
      <c r="AO51" s="27">
        <f>IF($A51="","",IF(AND(COUNTIFS($A$14:$A$1213,$A51,$F$14:$F$1213,"&gt;=0")=2,IFERROR(INDEX($M$14:$M$313,MATCH($A51,$H$14:$H$313,0)),"Yes")&lt;&gt;"Yes"),1,0))</f>
        <v/>
      </c>
    </row>
    <row r="52" ht="24" customHeight="1">
      <c r="A52" s="19" t="n"/>
      <c r="B52" s="20" t="n"/>
      <c r="C52" s="21">
        <f>IFERROR(AVERAGE(P52:T52),"")</f>
        <v/>
      </c>
      <c r="D52" s="29" t="n"/>
      <c r="E52" s="29" t="n"/>
      <c r="F52" s="30">
        <f>IF(AND(ISNUMBER($D52),ISNUMBER($E52),$E52&gt;0,$D52&lt;=$E52),$D52/$E52,"")</f>
        <v/>
      </c>
      <c r="H52" s="19">
        <f>IFERROR(INDEX($A$14:$A$1213,MATCH(39,$AI$14:$AI$1213,0)),"")</f>
        <v/>
      </c>
      <c r="I52" s="24">
        <f>IF($H52="","",IF(COUNTIFS($A$14:$A$1213,$H52,$C$14:$C$1213,"&gt;=0")=0,"—",IFERROR(INDEX($B$14:$B$1213,MATCH($H52&amp;"|1",$Z$14:$Z$1213,0)),"(tied)")))</f>
        <v/>
      </c>
      <c r="J52" s="25">
        <f>IF($H52="","",IF(OR(COUNTIFS($A$14:$A$1213,$H52,$C$14:$C$1213,"&gt;=0")=0,COUNTIFS($A$14:$A$1213,$H52,$F$14:$F$1213,"&gt;=0")=0),"—",IF(OR(ISERROR(MATCH($H52&amp;"|1",$Z$14:$Z$1213,0)),ISERROR(MATCH($H52&amp;"|1",$AA$14:$AA$1213,0))),"Tie",IF(MATCH($H52&amp;"|1",$Z$14:$Z$1213,0)=MATCH($H52&amp;"|1",$AA$14:$AA$1213,0),"Hit","Miss"))))</f>
        <v/>
      </c>
      <c r="K52" s="24">
        <f>IF($H52="","",IF(COUNTIFS($A$14:$A$1213,$H52,$F$14:$F$1213,"&gt;=0")=0,"—",IFERROR(INDEX($B$14:$B$1213,MATCH($H52&amp;"|1",$AA$14:$AA$1213,0)),"(tied)")))</f>
        <v/>
      </c>
      <c r="L52" s="25">
        <f>IF($H52="","",IF((--(COUNTIFS($A$14:$A$1213,$H52,$P$14:$P$1213,"&gt;=0")&gt;0)+--(COUNTIFS($A$14:$A$1213,$H52,$Q$14:$Q$1213,"&gt;=0")&gt;0)+--(COUNTIFS($A$14:$A$1213,$H52,$R$14:$R$1213,"&gt;=0")&gt;0)+--(COUNTIFS($A$14:$A$1213,$H52,$S$14:$S$1213,"&gt;=0")&gt;0)+--(COUNTIFS($A$14:$A$1213,$H52,$T$14:$T$1213,"&gt;=0")&gt;0))&lt;2,"—",IF(SUMIFS($AH$14:$AH$1213,$A$14:$A$1213,$H52)=0,"Yes","No")))</f>
        <v/>
      </c>
      <c r="M52" s="25">
        <f>IF($H52="","",IF(COUNTIFS($A$14:$A$1213,$H52,$F$14:$F$1213,"&gt;=0")&lt;2,"—",IF(COUNTIFS($A$14:$A$1213,$H52,$F$14:$F$1213,_xlfn.MAXIFS($F$14:$F$1213,$A$14:$A$1213,$H52))&gt;1,"No",IF(NOT(ISNUMBER($AN52)),"—",IF((2*(1-NORMSDIST(ABS($AN52))))&lt;0.05,"Yes","No")))))</f>
        <v/>
      </c>
      <c r="N52" s="21">
        <f>IF($H52="","",IF(NOT(ISNUMBER($AN52)),"—",IF((2*(1-NORMSDIST(ABS($AN52))))&lt;0.001,"&lt;0.001",TEXT((2*(1-NORMSDIST(ABS($AN52)))),"0.000"))))</f>
        <v/>
      </c>
      <c r="P52" s="26" t="n"/>
      <c r="Q52" s="26" t="n"/>
      <c r="R52" s="26" t="n"/>
      <c r="S52" s="26" t="n"/>
      <c r="T52" s="26" t="n"/>
      <c r="V52" s="27">
        <f>IF(ISNUMBER($C52),COUNTIFS($A$14:$A$1213,$A52,$C$14:$C$1213,"&gt;"&amp;$C52)+(COUNTIFS($A$14:$A$1213,$A52,$C$14:$C$1213,"="&amp;$C52)+1)/2,"")</f>
        <v/>
      </c>
      <c r="W52" s="27">
        <f>IF(ISNUMBER($F52),COUNTIFS($A$14:$A$1213,$A52,$F$14:$F$1213,"&gt;"&amp;$F52)+(COUNTIFS($A$14:$A$1213,$A52,$F$14:$F$1213,"="&amp;$F52)+1)/2,"")</f>
        <v/>
      </c>
      <c r="X52" s="27">
        <f>IF(OR(NOT(ISNUMBER($V52)),$AO52=1),"",$V52-(COUNTIFS($A$14:$A$1213,$A52,$C$14:$C$1213,"&gt;=0")+1)/2)</f>
        <v/>
      </c>
      <c r="Y52" s="27">
        <f>IF(OR(NOT(ISNUMBER($W52)),$AO52=1),"",$W52-(COUNTIFS($A$14:$A$1213,$A52,$F$14:$F$1213,"&gt;=0")+1)/2)</f>
        <v/>
      </c>
      <c r="Z52" s="27">
        <f>IF(ISNUMBER($V52),$A52&amp;"|"&amp;$V52,"")</f>
        <v/>
      </c>
      <c r="AA52" s="27">
        <f>IF(ISNUMBER($W52),$A52&amp;"|"&amp;$W52,"")</f>
        <v/>
      </c>
      <c r="AB52" s="27">
        <f>IF(ISNUMBER($F52),$A52&amp;"|"&amp;$F52,"")</f>
        <v/>
      </c>
      <c r="AC52" s="27">
        <f>IF(ISNUMBER($P52),COUNTIFS($A$14:$A$1213,$A52,$P$14:$P$1213,"&gt;"&amp;$P52)+(COUNTIFS($A$14:$A$1213,$A52,$P$14:$P$1213,"="&amp;$P52)+1)/2,"")</f>
        <v/>
      </c>
      <c r="AD52" s="27">
        <f>IF(ISNUMBER($Q52),COUNTIFS($A$14:$A$1213,$A52,$Q$14:$Q$1213,"&gt;"&amp;$Q52)+(COUNTIFS($A$14:$A$1213,$A52,$Q$14:$Q$1213,"="&amp;$Q52)+1)/2,"")</f>
        <v/>
      </c>
      <c r="AE52" s="27">
        <f>IF(ISNUMBER($R52),COUNTIFS($A$14:$A$1213,$A52,$R$14:$R$1213,"&gt;"&amp;$R52)+(COUNTIFS($A$14:$A$1213,$A52,$R$14:$R$1213,"="&amp;$R52)+1)/2,"")</f>
        <v/>
      </c>
      <c r="AF52" s="27">
        <f>IF(ISNUMBER($S52),COUNTIFS($A$14:$A$1213,$A52,$S$14:$S$1213,"&gt;"&amp;$S52)+(COUNTIFS($A$14:$A$1213,$A52,$S$14:$S$1213,"="&amp;$S52)+1)/2,"")</f>
        <v/>
      </c>
      <c r="AG52" s="27">
        <f>IF(ISNUMBER($T52),COUNTIFS($A$14:$A$1213,$A52,$T$14:$T$1213,"&gt;"&amp;$T52)+(COUNTIFS($A$14:$A$1213,$A52,$T$14:$T$1213,"="&amp;$T52)+1)/2,"")</f>
        <v/>
      </c>
      <c r="AH52" s="27">
        <f>IF(COUNT($AC52:$AG52)&lt;2,"",IF(MAX($AC52:$AG52)=MIN($AC52:$AG52),0,1))</f>
        <v/>
      </c>
      <c r="AI52" s="27">
        <f>IF($A52="","",IF(COUNTIF($A$14:$A52,$A52)=1,COUNTIF($AI$13:AI51,"&gt;0")+1,""))</f>
        <v/>
      </c>
      <c r="AJ52" s="27">
        <f>IF(OR($H52="",COUNTIFS($A$14:$A$1213,$H52,$F$14:$F$1213,"&gt;=0")&lt;2,COUNTIFS($A$14:$A$1213,$H52,$F$14:$F$1213,_xlfn.MAXIFS($F$14:$F$1213,$A$14:$A$1213,$H52))&gt;1),"",IFERROR(INDEX($D$14:$D$1213,MATCH($H52&amp;"|"&amp;_xlfn.MAXIFS($F$14:$F$1213,$A$14:$A$1213,$H52),$AB$14:$AB$1213,0)),""))</f>
        <v/>
      </c>
      <c r="AK52" s="27">
        <f>IF(OR($H52="",COUNTIFS($A$14:$A$1213,$H52,$F$14:$F$1213,"&gt;=0")&lt;2,COUNTIFS($A$14:$A$1213,$H52,$F$14:$F$1213,_xlfn.MAXIFS($F$14:$F$1213,$A$14:$A$1213,$H52))&gt;1),"",IFERROR(INDEX($E$14:$E$1213,MATCH($H52&amp;"|"&amp;_xlfn.MAXIFS($F$14:$F$1213,$A$14:$A$1213,$H52),$AB$14:$AB$1213,0)),""))</f>
        <v/>
      </c>
      <c r="AL52" s="27">
        <f>IF(OR($H52="",COUNTIFS($A$14:$A$1213,$H52,$F$14:$F$1213,"&gt;=0")&lt;2,COUNTIFS($A$14:$A$1213,$H52,$F$14:$F$1213,_xlfn.MAXIFS($F$14:$F$1213,$A$14:$A$1213,$H52))&gt;1),"",IFERROR(INDEX($D$14:$D$1213,MATCH($H52&amp;"|"&amp;_xlfn.MAXIFS($F$14:$F$1213,$A$14:$A$1213,$H52,$F$14:$F$1213,"&lt;"&amp;_xlfn.MAXIFS($F$14:$F$1213,$A$14:$A$1213,$H52)),$AB$14:$AB$1213,0)),""))</f>
        <v/>
      </c>
      <c r="AM52" s="27">
        <f>IF(OR($H52="",COUNTIFS($A$14:$A$1213,$H52,$F$14:$F$1213,"&gt;=0")&lt;2,COUNTIFS($A$14:$A$1213,$H52,$F$14:$F$1213,_xlfn.MAXIFS($F$14:$F$1213,$A$14:$A$1213,$H52))&gt;1),"",IFERROR(INDEX($E$14:$E$1213,MATCH($H52&amp;"|"&amp;_xlfn.MAXIFS($F$14:$F$1213,$A$14:$A$1213,$H52,$F$14:$F$1213,"&lt;"&amp;_xlfn.MAXIFS($F$14:$F$1213,$A$14:$A$1213,$H52)),$AB$14:$AB$1213,0)),""))</f>
        <v/>
      </c>
      <c r="AN52" s="27">
        <f>IF(OR(NOT(ISNUMBER($AJ52)),NOT(ISNUMBER($AL52)),$AK52=0,$AM52=0),"",IF(OR((($AJ52+$AL52)/($AK52+$AM52))&lt;=0,(($AJ52+$AL52)/($AK52+$AM52))&gt;=1),"",($AJ52/$AK52-$AL52/$AM52)/SQRT((($AJ52+$AL52)/($AK52+$AM52))*(1-(($AJ52+$AL52)/($AK52+$AM52)))*(1/$AK52+1/$AM52))))</f>
        <v/>
      </c>
      <c r="AO52" s="27">
        <f>IF($A52="","",IF(AND(COUNTIFS($A$14:$A$1213,$A52,$F$14:$F$1213,"&gt;=0")=2,IFERROR(INDEX($M$14:$M$313,MATCH($A52,$H$14:$H$313,0)),"Yes")&lt;&gt;"Yes"),1,0))</f>
        <v/>
      </c>
    </row>
    <row r="53" ht="24" customHeight="1">
      <c r="A53" s="19" t="n"/>
      <c r="B53" s="20" t="n"/>
      <c r="C53" s="21">
        <f>IFERROR(AVERAGE(P53:T53),"")</f>
        <v/>
      </c>
      <c r="D53" s="29" t="n"/>
      <c r="E53" s="29" t="n"/>
      <c r="F53" s="30">
        <f>IF(AND(ISNUMBER($D53),ISNUMBER($E53),$E53&gt;0,$D53&lt;=$E53),$D53/$E53,"")</f>
        <v/>
      </c>
      <c r="H53" s="19">
        <f>IFERROR(INDEX($A$14:$A$1213,MATCH(40,$AI$14:$AI$1213,0)),"")</f>
        <v/>
      </c>
      <c r="I53" s="24">
        <f>IF($H53="","",IF(COUNTIFS($A$14:$A$1213,$H53,$C$14:$C$1213,"&gt;=0")=0,"—",IFERROR(INDEX($B$14:$B$1213,MATCH($H53&amp;"|1",$Z$14:$Z$1213,0)),"(tied)")))</f>
        <v/>
      </c>
      <c r="J53" s="25">
        <f>IF($H53="","",IF(OR(COUNTIFS($A$14:$A$1213,$H53,$C$14:$C$1213,"&gt;=0")=0,COUNTIFS($A$14:$A$1213,$H53,$F$14:$F$1213,"&gt;=0")=0),"—",IF(OR(ISERROR(MATCH($H53&amp;"|1",$Z$14:$Z$1213,0)),ISERROR(MATCH($H53&amp;"|1",$AA$14:$AA$1213,0))),"Tie",IF(MATCH($H53&amp;"|1",$Z$14:$Z$1213,0)=MATCH($H53&amp;"|1",$AA$14:$AA$1213,0),"Hit","Miss"))))</f>
        <v/>
      </c>
      <c r="K53" s="24">
        <f>IF($H53="","",IF(COUNTIFS($A$14:$A$1213,$H53,$F$14:$F$1213,"&gt;=0")=0,"—",IFERROR(INDEX($B$14:$B$1213,MATCH($H53&amp;"|1",$AA$14:$AA$1213,0)),"(tied)")))</f>
        <v/>
      </c>
      <c r="L53" s="25">
        <f>IF($H53="","",IF((--(COUNTIFS($A$14:$A$1213,$H53,$P$14:$P$1213,"&gt;=0")&gt;0)+--(COUNTIFS($A$14:$A$1213,$H53,$Q$14:$Q$1213,"&gt;=0")&gt;0)+--(COUNTIFS($A$14:$A$1213,$H53,$R$14:$R$1213,"&gt;=0")&gt;0)+--(COUNTIFS($A$14:$A$1213,$H53,$S$14:$S$1213,"&gt;=0")&gt;0)+--(COUNTIFS($A$14:$A$1213,$H53,$T$14:$T$1213,"&gt;=0")&gt;0))&lt;2,"—",IF(SUMIFS($AH$14:$AH$1213,$A$14:$A$1213,$H53)=0,"Yes","No")))</f>
        <v/>
      </c>
      <c r="M53" s="25">
        <f>IF($H53="","",IF(COUNTIFS($A$14:$A$1213,$H53,$F$14:$F$1213,"&gt;=0")&lt;2,"—",IF(COUNTIFS($A$14:$A$1213,$H53,$F$14:$F$1213,_xlfn.MAXIFS($F$14:$F$1213,$A$14:$A$1213,$H53))&gt;1,"No",IF(NOT(ISNUMBER($AN53)),"—",IF((2*(1-NORMSDIST(ABS($AN53))))&lt;0.05,"Yes","No")))))</f>
        <v/>
      </c>
      <c r="N53" s="21">
        <f>IF($H53="","",IF(NOT(ISNUMBER($AN53)),"—",IF((2*(1-NORMSDIST(ABS($AN53))))&lt;0.001,"&lt;0.001",TEXT((2*(1-NORMSDIST(ABS($AN53)))),"0.000"))))</f>
        <v/>
      </c>
      <c r="P53" s="26" t="n"/>
      <c r="Q53" s="26" t="n"/>
      <c r="R53" s="26" t="n"/>
      <c r="S53" s="26" t="n"/>
      <c r="T53" s="26" t="n"/>
      <c r="V53" s="27">
        <f>IF(ISNUMBER($C53),COUNTIFS($A$14:$A$1213,$A53,$C$14:$C$1213,"&gt;"&amp;$C53)+(COUNTIFS($A$14:$A$1213,$A53,$C$14:$C$1213,"="&amp;$C53)+1)/2,"")</f>
        <v/>
      </c>
      <c r="W53" s="27">
        <f>IF(ISNUMBER($F53),COUNTIFS($A$14:$A$1213,$A53,$F$14:$F$1213,"&gt;"&amp;$F53)+(COUNTIFS($A$14:$A$1213,$A53,$F$14:$F$1213,"="&amp;$F53)+1)/2,"")</f>
        <v/>
      </c>
      <c r="X53" s="27">
        <f>IF(OR(NOT(ISNUMBER($V53)),$AO53=1),"",$V53-(COUNTIFS($A$14:$A$1213,$A53,$C$14:$C$1213,"&gt;=0")+1)/2)</f>
        <v/>
      </c>
      <c r="Y53" s="27">
        <f>IF(OR(NOT(ISNUMBER($W53)),$AO53=1),"",$W53-(COUNTIFS($A$14:$A$1213,$A53,$F$14:$F$1213,"&gt;=0")+1)/2)</f>
        <v/>
      </c>
      <c r="Z53" s="27">
        <f>IF(ISNUMBER($V53),$A53&amp;"|"&amp;$V53,"")</f>
        <v/>
      </c>
      <c r="AA53" s="27">
        <f>IF(ISNUMBER($W53),$A53&amp;"|"&amp;$W53,"")</f>
        <v/>
      </c>
      <c r="AB53" s="27">
        <f>IF(ISNUMBER($F53),$A53&amp;"|"&amp;$F53,"")</f>
        <v/>
      </c>
      <c r="AC53" s="27">
        <f>IF(ISNUMBER($P53),COUNTIFS($A$14:$A$1213,$A53,$P$14:$P$1213,"&gt;"&amp;$P53)+(COUNTIFS($A$14:$A$1213,$A53,$P$14:$P$1213,"="&amp;$P53)+1)/2,"")</f>
        <v/>
      </c>
      <c r="AD53" s="27">
        <f>IF(ISNUMBER($Q53),COUNTIFS($A$14:$A$1213,$A53,$Q$14:$Q$1213,"&gt;"&amp;$Q53)+(COUNTIFS($A$14:$A$1213,$A53,$Q$14:$Q$1213,"="&amp;$Q53)+1)/2,"")</f>
        <v/>
      </c>
      <c r="AE53" s="27">
        <f>IF(ISNUMBER($R53),COUNTIFS($A$14:$A$1213,$A53,$R$14:$R$1213,"&gt;"&amp;$R53)+(COUNTIFS($A$14:$A$1213,$A53,$R$14:$R$1213,"="&amp;$R53)+1)/2,"")</f>
        <v/>
      </c>
      <c r="AF53" s="27">
        <f>IF(ISNUMBER($S53),COUNTIFS($A$14:$A$1213,$A53,$S$14:$S$1213,"&gt;"&amp;$S53)+(COUNTIFS($A$14:$A$1213,$A53,$S$14:$S$1213,"="&amp;$S53)+1)/2,"")</f>
        <v/>
      </c>
      <c r="AG53" s="27">
        <f>IF(ISNUMBER($T53),COUNTIFS($A$14:$A$1213,$A53,$T$14:$T$1213,"&gt;"&amp;$T53)+(COUNTIFS($A$14:$A$1213,$A53,$T$14:$T$1213,"="&amp;$T53)+1)/2,"")</f>
        <v/>
      </c>
      <c r="AH53" s="27">
        <f>IF(COUNT($AC53:$AG53)&lt;2,"",IF(MAX($AC53:$AG53)=MIN($AC53:$AG53),0,1))</f>
        <v/>
      </c>
      <c r="AI53" s="27">
        <f>IF($A53="","",IF(COUNTIF($A$14:$A53,$A53)=1,COUNTIF($AI$13:AI52,"&gt;0")+1,""))</f>
        <v/>
      </c>
      <c r="AJ53" s="27">
        <f>IF(OR($H53="",COUNTIFS($A$14:$A$1213,$H53,$F$14:$F$1213,"&gt;=0")&lt;2,COUNTIFS($A$14:$A$1213,$H53,$F$14:$F$1213,_xlfn.MAXIFS($F$14:$F$1213,$A$14:$A$1213,$H53))&gt;1),"",IFERROR(INDEX($D$14:$D$1213,MATCH($H53&amp;"|"&amp;_xlfn.MAXIFS($F$14:$F$1213,$A$14:$A$1213,$H53),$AB$14:$AB$1213,0)),""))</f>
        <v/>
      </c>
      <c r="AK53" s="27">
        <f>IF(OR($H53="",COUNTIFS($A$14:$A$1213,$H53,$F$14:$F$1213,"&gt;=0")&lt;2,COUNTIFS($A$14:$A$1213,$H53,$F$14:$F$1213,_xlfn.MAXIFS($F$14:$F$1213,$A$14:$A$1213,$H53))&gt;1),"",IFERROR(INDEX($E$14:$E$1213,MATCH($H53&amp;"|"&amp;_xlfn.MAXIFS($F$14:$F$1213,$A$14:$A$1213,$H53),$AB$14:$AB$1213,0)),""))</f>
        <v/>
      </c>
      <c r="AL53" s="27">
        <f>IF(OR($H53="",COUNTIFS($A$14:$A$1213,$H53,$F$14:$F$1213,"&gt;=0")&lt;2,COUNTIFS($A$14:$A$1213,$H53,$F$14:$F$1213,_xlfn.MAXIFS($F$14:$F$1213,$A$14:$A$1213,$H53))&gt;1),"",IFERROR(INDEX($D$14:$D$1213,MATCH($H53&amp;"|"&amp;_xlfn.MAXIFS($F$14:$F$1213,$A$14:$A$1213,$H53,$F$14:$F$1213,"&lt;"&amp;_xlfn.MAXIFS($F$14:$F$1213,$A$14:$A$1213,$H53)),$AB$14:$AB$1213,0)),""))</f>
        <v/>
      </c>
      <c r="AM53" s="27">
        <f>IF(OR($H53="",COUNTIFS($A$14:$A$1213,$H53,$F$14:$F$1213,"&gt;=0")&lt;2,COUNTIFS($A$14:$A$1213,$H53,$F$14:$F$1213,_xlfn.MAXIFS($F$14:$F$1213,$A$14:$A$1213,$H53))&gt;1),"",IFERROR(INDEX($E$14:$E$1213,MATCH($H53&amp;"|"&amp;_xlfn.MAXIFS($F$14:$F$1213,$A$14:$A$1213,$H53,$F$14:$F$1213,"&lt;"&amp;_xlfn.MAXIFS($F$14:$F$1213,$A$14:$A$1213,$H53)),$AB$14:$AB$1213,0)),""))</f>
        <v/>
      </c>
      <c r="AN53" s="27">
        <f>IF(OR(NOT(ISNUMBER($AJ53)),NOT(ISNUMBER($AL53)),$AK53=0,$AM53=0),"",IF(OR((($AJ53+$AL53)/($AK53+$AM53))&lt;=0,(($AJ53+$AL53)/($AK53+$AM53))&gt;=1),"",($AJ53/$AK53-$AL53/$AM53)/SQRT((($AJ53+$AL53)/($AK53+$AM53))*(1-(($AJ53+$AL53)/($AK53+$AM53)))*(1/$AK53+1/$AM53))))</f>
        <v/>
      </c>
      <c r="AO53" s="27">
        <f>IF($A53="","",IF(AND(COUNTIFS($A$14:$A$1213,$A53,$F$14:$F$1213,"&gt;=0")=2,IFERROR(INDEX($M$14:$M$313,MATCH($A53,$H$14:$H$313,0)),"Yes")&lt;&gt;"Yes"),1,0))</f>
        <v/>
      </c>
    </row>
    <row r="54" ht="24" customHeight="1">
      <c r="A54" s="19" t="n"/>
      <c r="B54" s="20" t="n"/>
      <c r="C54" s="21">
        <f>IFERROR(AVERAGE(P54:T54),"")</f>
        <v/>
      </c>
      <c r="D54" s="29" t="n"/>
      <c r="E54" s="29" t="n"/>
      <c r="F54" s="30">
        <f>IF(AND(ISNUMBER($D54),ISNUMBER($E54),$E54&gt;0,$D54&lt;=$E54),$D54/$E54,"")</f>
        <v/>
      </c>
      <c r="H54" s="19">
        <f>IFERROR(INDEX($A$14:$A$1213,MATCH(41,$AI$14:$AI$1213,0)),"")</f>
        <v/>
      </c>
      <c r="I54" s="24">
        <f>IF($H54="","",IF(COUNTIFS($A$14:$A$1213,$H54,$C$14:$C$1213,"&gt;=0")=0,"—",IFERROR(INDEX($B$14:$B$1213,MATCH($H54&amp;"|1",$Z$14:$Z$1213,0)),"(tied)")))</f>
        <v/>
      </c>
      <c r="J54" s="25">
        <f>IF($H54="","",IF(OR(COUNTIFS($A$14:$A$1213,$H54,$C$14:$C$1213,"&gt;=0")=0,COUNTIFS($A$14:$A$1213,$H54,$F$14:$F$1213,"&gt;=0")=0),"—",IF(OR(ISERROR(MATCH($H54&amp;"|1",$Z$14:$Z$1213,0)),ISERROR(MATCH($H54&amp;"|1",$AA$14:$AA$1213,0))),"Tie",IF(MATCH($H54&amp;"|1",$Z$14:$Z$1213,0)=MATCH($H54&amp;"|1",$AA$14:$AA$1213,0),"Hit","Miss"))))</f>
        <v/>
      </c>
      <c r="K54" s="24">
        <f>IF($H54="","",IF(COUNTIFS($A$14:$A$1213,$H54,$F$14:$F$1213,"&gt;=0")=0,"—",IFERROR(INDEX($B$14:$B$1213,MATCH($H54&amp;"|1",$AA$14:$AA$1213,0)),"(tied)")))</f>
        <v/>
      </c>
      <c r="L54" s="25">
        <f>IF($H54="","",IF((--(COUNTIFS($A$14:$A$1213,$H54,$P$14:$P$1213,"&gt;=0")&gt;0)+--(COUNTIFS($A$14:$A$1213,$H54,$Q$14:$Q$1213,"&gt;=0")&gt;0)+--(COUNTIFS($A$14:$A$1213,$H54,$R$14:$R$1213,"&gt;=0")&gt;0)+--(COUNTIFS($A$14:$A$1213,$H54,$S$14:$S$1213,"&gt;=0")&gt;0)+--(COUNTIFS($A$14:$A$1213,$H54,$T$14:$T$1213,"&gt;=0")&gt;0))&lt;2,"—",IF(SUMIFS($AH$14:$AH$1213,$A$14:$A$1213,$H54)=0,"Yes","No")))</f>
        <v/>
      </c>
      <c r="M54" s="25">
        <f>IF($H54="","",IF(COUNTIFS($A$14:$A$1213,$H54,$F$14:$F$1213,"&gt;=0")&lt;2,"—",IF(COUNTIFS($A$14:$A$1213,$H54,$F$14:$F$1213,_xlfn.MAXIFS($F$14:$F$1213,$A$14:$A$1213,$H54))&gt;1,"No",IF(NOT(ISNUMBER($AN54)),"—",IF((2*(1-NORMSDIST(ABS($AN54))))&lt;0.05,"Yes","No")))))</f>
        <v/>
      </c>
      <c r="N54" s="21">
        <f>IF($H54="","",IF(NOT(ISNUMBER($AN54)),"—",IF((2*(1-NORMSDIST(ABS($AN54))))&lt;0.001,"&lt;0.001",TEXT((2*(1-NORMSDIST(ABS($AN54)))),"0.000"))))</f>
        <v/>
      </c>
      <c r="P54" s="26" t="n"/>
      <c r="Q54" s="26" t="n"/>
      <c r="R54" s="26" t="n"/>
      <c r="S54" s="26" t="n"/>
      <c r="T54" s="26" t="n"/>
      <c r="V54" s="27">
        <f>IF(ISNUMBER($C54),COUNTIFS($A$14:$A$1213,$A54,$C$14:$C$1213,"&gt;"&amp;$C54)+(COUNTIFS($A$14:$A$1213,$A54,$C$14:$C$1213,"="&amp;$C54)+1)/2,"")</f>
        <v/>
      </c>
      <c r="W54" s="27">
        <f>IF(ISNUMBER($F54),COUNTIFS($A$14:$A$1213,$A54,$F$14:$F$1213,"&gt;"&amp;$F54)+(COUNTIFS($A$14:$A$1213,$A54,$F$14:$F$1213,"="&amp;$F54)+1)/2,"")</f>
        <v/>
      </c>
      <c r="X54" s="27">
        <f>IF(OR(NOT(ISNUMBER($V54)),$AO54=1),"",$V54-(COUNTIFS($A$14:$A$1213,$A54,$C$14:$C$1213,"&gt;=0")+1)/2)</f>
        <v/>
      </c>
      <c r="Y54" s="27">
        <f>IF(OR(NOT(ISNUMBER($W54)),$AO54=1),"",$W54-(COUNTIFS($A$14:$A$1213,$A54,$F$14:$F$1213,"&gt;=0")+1)/2)</f>
        <v/>
      </c>
      <c r="Z54" s="27">
        <f>IF(ISNUMBER($V54),$A54&amp;"|"&amp;$V54,"")</f>
        <v/>
      </c>
      <c r="AA54" s="27">
        <f>IF(ISNUMBER($W54),$A54&amp;"|"&amp;$W54,"")</f>
        <v/>
      </c>
      <c r="AB54" s="27">
        <f>IF(ISNUMBER($F54),$A54&amp;"|"&amp;$F54,"")</f>
        <v/>
      </c>
      <c r="AC54" s="27">
        <f>IF(ISNUMBER($P54),COUNTIFS($A$14:$A$1213,$A54,$P$14:$P$1213,"&gt;"&amp;$P54)+(COUNTIFS($A$14:$A$1213,$A54,$P$14:$P$1213,"="&amp;$P54)+1)/2,"")</f>
        <v/>
      </c>
      <c r="AD54" s="27">
        <f>IF(ISNUMBER($Q54),COUNTIFS($A$14:$A$1213,$A54,$Q$14:$Q$1213,"&gt;"&amp;$Q54)+(COUNTIFS($A$14:$A$1213,$A54,$Q$14:$Q$1213,"="&amp;$Q54)+1)/2,"")</f>
        <v/>
      </c>
      <c r="AE54" s="27">
        <f>IF(ISNUMBER($R54),COUNTIFS($A$14:$A$1213,$A54,$R$14:$R$1213,"&gt;"&amp;$R54)+(COUNTIFS($A$14:$A$1213,$A54,$R$14:$R$1213,"="&amp;$R54)+1)/2,"")</f>
        <v/>
      </c>
      <c r="AF54" s="27">
        <f>IF(ISNUMBER($S54),COUNTIFS($A$14:$A$1213,$A54,$S$14:$S$1213,"&gt;"&amp;$S54)+(COUNTIFS($A$14:$A$1213,$A54,$S$14:$S$1213,"="&amp;$S54)+1)/2,"")</f>
        <v/>
      </c>
      <c r="AG54" s="27">
        <f>IF(ISNUMBER($T54),COUNTIFS($A$14:$A$1213,$A54,$T$14:$T$1213,"&gt;"&amp;$T54)+(COUNTIFS($A$14:$A$1213,$A54,$T$14:$T$1213,"="&amp;$T54)+1)/2,"")</f>
        <v/>
      </c>
      <c r="AH54" s="27">
        <f>IF(COUNT($AC54:$AG54)&lt;2,"",IF(MAX($AC54:$AG54)=MIN($AC54:$AG54),0,1))</f>
        <v/>
      </c>
      <c r="AI54" s="27">
        <f>IF($A54="","",IF(COUNTIF($A$14:$A54,$A54)=1,COUNTIF($AI$13:AI53,"&gt;0")+1,""))</f>
        <v/>
      </c>
      <c r="AJ54" s="27">
        <f>IF(OR($H54="",COUNTIFS($A$14:$A$1213,$H54,$F$14:$F$1213,"&gt;=0")&lt;2,COUNTIFS($A$14:$A$1213,$H54,$F$14:$F$1213,_xlfn.MAXIFS($F$14:$F$1213,$A$14:$A$1213,$H54))&gt;1),"",IFERROR(INDEX($D$14:$D$1213,MATCH($H54&amp;"|"&amp;_xlfn.MAXIFS($F$14:$F$1213,$A$14:$A$1213,$H54),$AB$14:$AB$1213,0)),""))</f>
        <v/>
      </c>
      <c r="AK54" s="27">
        <f>IF(OR($H54="",COUNTIFS($A$14:$A$1213,$H54,$F$14:$F$1213,"&gt;=0")&lt;2,COUNTIFS($A$14:$A$1213,$H54,$F$14:$F$1213,_xlfn.MAXIFS($F$14:$F$1213,$A$14:$A$1213,$H54))&gt;1),"",IFERROR(INDEX($E$14:$E$1213,MATCH($H54&amp;"|"&amp;_xlfn.MAXIFS($F$14:$F$1213,$A$14:$A$1213,$H54),$AB$14:$AB$1213,0)),""))</f>
        <v/>
      </c>
      <c r="AL54" s="27">
        <f>IF(OR($H54="",COUNTIFS($A$14:$A$1213,$H54,$F$14:$F$1213,"&gt;=0")&lt;2,COUNTIFS($A$14:$A$1213,$H54,$F$14:$F$1213,_xlfn.MAXIFS($F$14:$F$1213,$A$14:$A$1213,$H54))&gt;1),"",IFERROR(INDEX($D$14:$D$1213,MATCH($H54&amp;"|"&amp;_xlfn.MAXIFS($F$14:$F$1213,$A$14:$A$1213,$H54,$F$14:$F$1213,"&lt;"&amp;_xlfn.MAXIFS($F$14:$F$1213,$A$14:$A$1213,$H54)),$AB$14:$AB$1213,0)),""))</f>
        <v/>
      </c>
      <c r="AM54" s="27">
        <f>IF(OR($H54="",COUNTIFS($A$14:$A$1213,$H54,$F$14:$F$1213,"&gt;=0")&lt;2,COUNTIFS($A$14:$A$1213,$H54,$F$14:$F$1213,_xlfn.MAXIFS($F$14:$F$1213,$A$14:$A$1213,$H54))&gt;1),"",IFERROR(INDEX($E$14:$E$1213,MATCH($H54&amp;"|"&amp;_xlfn.MAXIFS($F$14:$F$1213,$A$14:$A$1213,$H54,$F$14:$F$1213,"&lt;"&amp;_xlfn.MAXIFS($F$14:$F$1213,$A$14:$A$1213,$H54)),$AB$14:$AB$1213,0)),""))</f>
        <v/>
      </c>
      <c r="AN54" s="27">
        <f>IF(OR(NOT(ISNUMBER($AJ54)),NOT(ISNUMBER($AL54)),$AK54=0,$AM54=0),"",IF(OR((($AJ54+$AL54)/($AK54+$AM54))&lt;=0,(($AJ54+$AL54)/($AK54+$AM54))&gt;=1),"",($AJ54/$AK54-$AL54/$AM54)/SQRT((($AJ54+$AL54)/($AK54+$AM54))*(1-(($AJ54+$AL54)/($AK54+$AM54)))*(1/$AK54+1/$AM54))))</f>
        <v/>
      </c>
      <c r="AO54" s="27">
        <f>IF($A54="","",IF(AND(COUNTIFS($A$14:$A$1213,$A54,$F$14:$F$1213,"&gt;=0")=2,IFERROR(INDEX($M$14:$M$313,MATCH($A54,$H$14:$H$313,0)),"Yes")&lt;&gt;"Yes"),1,0))</f>
        <v/>
      </c>
    </row>
    <row r="55" ht="24" customHeight="1">
      <c r="A55" s="19" t="n"/>
      <c r="B55" s="20" t="n"/>
      <c r="C55" s="21">
        <f>IFERROR(AVERAGE(P55:T55),"")</f>
        <v/>
      </c>
      <c r="D55" s="29" t="n"/>
      <c r="E55" s="29" t="n"/>
      <c r="F55" s="30">
        <f>IF(AND(ISNUMBER($D55),ISNUMBER($E55),$E55&gt;0,$D55&lt;=$E55),$D55/$E55,"")</f>
        <v/>
      </c>
      <c r="H55" s="19">
        <f>IFERROR(INDEX($A$14:$A$1213,MATCH(42,$AI$14:$AI$1213,0)),"")</f>
        <v/>
      </c>
      <c r="I55" s="24">
        <f>IF($H55="","",IF(COUNTIFS($A$14:$A$1213,$H55,$C$14:$C$1213,"&gt;=0")=0,"—",IFERROR(INDEX($B$14:$B$1213,MATCH($H55&amp;"|1",$Z$14:$Z$1213,0)),"(tied)")))</f>
        <v/>
      </c>
      <c r="J55" s="25">
        <f>IF($H55="","",IF(OR(COUNTIFS($A$14:$A$1213,$H55,$C$14:$C$1213,"&gt;=0")=0,COUNTIFS($A$14:$A$1213,$H55,$F$14:$F$1213,"&gt;=0")=0),"—",IF(OR(ISERROR(MATCH($H55&amp;"|1",$Z$14:$Z$1213,0)),ISERROR(MATCH($H55&amp;"|1",$AA$14:$AA$1213,0))),"Tie",IF(MATCH($H55&amp;"|1",$Z$14:$Z$1213,0)=MATCH($H55&amp;"|1",$AA$14:$AA$1213,0),"Hit","Miss"))))</f>
        <v/>
      </c>
      <c r="K55" s="24">
        <f>IF($H55="","",IF(COUNTIFS($A$14:$A$1213,$H55,$F$14:$F$1213,"&gt;=0")=0,"—",IFERROR(INDEX($B$14:$B$1213,MATCH($H55&amp;"|1",$AA$14:$AA$1213,0)),"(tied)")))</f>
        <v/>
      </c>
      <c r="L55" s="25">
        <f>IF($H55="","",IF((--(COUNTIFS($A$14:$A$1213,$H55,$P$14:$P$1213,"&gt;=0")&gt;0)+--(COUNTIFS($A$14:$A$1213,$H55,$Q$14:$Q$1213,"&gt;=0")&gt;0)+--(COUNTIFS($A$14:$A$1213,$H55,$R$14:$R$1213,"&gt;=0")&gt;0)+--(COUNTIFS($A$14:$A$1213,$H55,$S$14:$S$1213,"&gt;=0")&gt;0)+--(COUNTIFS($A$14:$A$1213,$H55,$T$14:$T$1213,"&gt;=0")&gt;0))&lt;2,"—",IF(SUMIFS($AH$14:$AH$1213,$A$14:$A$1213,$H55)=0,"Yes","No")))</f>
        <v/>
      </c>
      <c r="M55" s="25">
        <f>IF($H55="","",IF(COUNTIFS($A$14:$A$1213,$H55,$F$14:$F$1213,"&gt;=0")&lt;2,"—",IF(COUNTIFS($A$14:$A$1213,$H55,$F$14:$F$1213,_xlfn.MAXIFS($F$14:$F$1213,$A$14:$A$1213,$H55))&gt;1,"No",IF(NOT(ISNUMBER($AN55)),"—",IF((2*(1-NORMSDIST(ABS($AN55))))&lt;0.05,"Yes","No")))))</f>
        <v/>
      </c>
      <c r="N55" s="21">
        <f>IF($H55="","",IF(NOT(ISNUMBER($AN55)),"—",IF((2*(1-NORMSDIST(ABS($AN55))))&lt;0.001,"&lt;0.001",TEXT((2*(1-NORMSDIST(ABS($AN55)))),"0.000"))))</f>
        <v/>
      </c>
      <c r="P55" s="26" t="n"/>
      <c r="Q55" s="26" t="n"/>
      <c r="R55" s="26" t="n"/>
      <c r="S55" s="26" t="n"/>
      <c r="T55" s="26" t="n"/>
      <c r="V55" s="27">
        <f>IF(ISNUMBER($C55),COUNTIFS($A$14:$A$1213,$A55,$C$14:$C$1213,"&gt;"&amp;$C55)+(COUNTIFS($A$14:$A$1213,$A55,$C$14:$C$1213,"="&amp;$C55)+1)/2,"")</f>
        <v/>
      </c>
      <c r="W55" s="27">
        <f>IF(ISNUMBER($F55),COUNTIFS($A$14:$A$1213,$A55,$F$14:$F$1213,"&gt;"&amp;$F55)+(COUNTIFS($A$14:$A$1213,$A55,$F$14:$F$1213,"="&amp;$F55)+1)/2,"")</f>
        <v/>
      </c>
      <c r="X55" s="27">
        <f>IF(OR(NOT(ISNUMBER($V55)),$AO55=1),"",$V55-(COUNTIFS($A$14:$A$1213,$A55,$C$14:$C$1213,"&gt;=0")+1)/2)</f>
        <v/>
      </c>
      <c r="Y55" s="27">
        <f>IF(OR(NOT(ISNUMBER($W55)),$AO55=1),"",$W55-(COUNTIFS($A$14:$A$1213,$A55,$F$14:$F$1213,"&gt;=0")+1)/2)</f>
        <v/>
      </c>
      <c r="Z55" s="27">
        <f>IF(ISNUMBER($V55),$A55&amp;"|"&amp;$V55,"")</f>
        <v/>
      </c>
      <c r="AA55" s="27">
        <f>IF(ISNUMBER($W55),$A55&amp;"|"&amp;$W55,"")</f>
        <v/>
      </c>
      <c r="AB55" s="27">
        <f>IF(ISNUMBER($F55),$A55&amp;"|"&amp;$F55,"")</f>
        <v/>
      </c>
      <c r="AC55" s="27">
        <f>IF(ISNUMBER($P55),COUNTIFS($A$14:$A$1213,$A55,$P$14:$P$1213,"&gt;"&amp;$P55)+(COUNTIFS($A$14:$A$1213,$A55,$P$14:$P$1213,"="&amp;$P55)+1)/2,"")</f>
        <v/>
      </c>
      <c r="AD55" s="27">
        <f>IF(ISNUMBER($Q55),COUNTIFS($A$14:$A$1213,$A55,$Q$14:$Q$1213,"&gt;"&amp;$Q55)+(COUNTIFS($A$14:$A$1213,$A55,$Q$14:$Q$1213,"="&amp;$Q55)+1)/2,"")</f>
        <v/>
      </c>
      <c r="AE55" s="27">
        <f>IF(ISNUMBER($R55),COUNTIFS($A$14:$A$1213,$A55,$R$14:$R$1213,"&gt;"&amp;$R55)+(COUNTIFS($A$14:$A$1213,$A55,$R$14:$R$1213,"="&amp;$R55)+1)/2,"")</f>
        <v/>
      </c>
      <c r="AF55" s="27">
        <f>IF(ISNUMBER($S55),COUNTIFS($A$14:$A$1213,$A55,$S$14:$S$1213,"&gt;"&amp;$S55)+(COUNTIFS($A$14:$A$1213,$A55,$S$14:$S$1213,"="&amp;$S55)+1)/2,"")</f>
        <v/>
      </c>
      <c r="AG55" s="27">
        <f>IF(ISNUMBER($T55),COUNTIFS($A$14:$A$1213,$A55,$T$14:$T$1213,"&gt;"&amp;$T55)+(COUNTIFS($A$14:$A$1213,$A55,$T$14:$T$1213,"="&amp;$T55)+1)/2,"")</f>
        <v/>
      </c>
      <c r="AH55" s="27">
        <f>IF(COUNT($AC55:$AG55)&lt;2,"",IF(MAX($AC55:$AG55)=MIN($AC55:$AG55),0,1))</f>
        <v/>
      </c>
      <c r="AI55" s="27">
        <f>IF($A55="","",IF(COUNTIF($A$14:$A55,$A55)=1,COUNTIF($AI$13:AI54,"&gt;0")+1,""))</f>
        <v/>
      </c>
      <c r="AJ55" s="27">
        <f>IF(OR($H55="",COUNTIFS($A$14:$A$1213,$H55,$F$14:$F$1213,"&gt;=0")&lt;2,COUNTIFS($A$14:$A$1213,$H55,$F$14:$F$1213,_xlfn.MAXIFS($F$14:$F$1213,$A$14:$A$1213,$H55))&gt;1),"",IFERROR(INDEX($D$14:$D$1213,MATCH($H55&amp;"|"&amp;_xlfn.MAXIFS($F$14:$F$1213,$A$14:$A$1213,$H55),$AB$14:$AB$1213,0)),""))</f>
        <v/>
      </c>
      <c r="AK55" s="27">
        <f>IF(OR($H55="",COUNTIFS($A$14:$A$1213,$H55,$F$14:$F$1213,"&gt;=0")&lt;2,COUNTIFS($A$14:$A$1213,$H55,$F$14:$F$1213,_xlfn.MAXIFS($F$14:$F$1213,$A$14:$A$1213,$H55))&gt;1),"",IFERROR(INDEX($E$14:$E$1213,MATCH($H55&amp;"|"&amp;_xlfn.MAXIFS($F$14:$F$1213,$A$14:$A$1213,$H55),$AB$14:$AB$1213,0)),""))</f>
        <v/>
      </c>
      <c r="AL55" s="27">
        <f>IF(OR($H55="",COUNTIFS($A$14:$A$1213,$H55,$F$14:$F$1213,"&gt;=0")&lt;2,COUNTIFS($A$14:$A$1213,$H55,$F$14:$F$1213,_xlfn.MAXIFS($F$14:$F$1213,$A$14:$A$1213,$H55))&gt;1),"",IFERROR(INDEX($D$14:$D$1213,MATCH($H55&amp;"|"&amp;_xlfn.MAXIFS($F$14:$F$1213,$A$14:$A$1213,$H55,$F$14:$F$1213,"&lt;"&amp;_xlfn.MAXIFS($F$14:$F$1213,$A$14:$A$1213,$H55)),$AB$14:$AB$1213,0)),""))</f>
        <v/>
      </c>
      <c r="AM55" s="27">
        <f>IF(OR($H55="",COUNTIFS($A$14:$A$1213,$H55,$F$14:$F$1213,"&gt;=0")&lt;2,COUNTIFS($A$14:$A$1213,$H55,$F$14:$F$1213,_xlfn.MAXIFS($F$14:$F$1213,$A$14:$A$1213,$H55))&gt;1),"",IFERROR(INDEX($E$14:$E$1213,MATCH($H55&amp;"|"&amp;_xlfn.MAXIFS($F$14:$F$1213,$A$14:$A$1213,$H55,$F$14:$F$1213,"&lt;"&amp;_xlfn.MAXIFS($F$14:$F$1213,$A$14:$A$1213,$H55)),$AB$14:$AB$1213,0)),""))</f>
        <v/>
      </c>
      <c r="AN55" s="27">
        <f>IF(OR(NOT(ISNUMBER($AJ55)),NOT(ISNUMBER($AL55)),$AK55=0,$AM55=0),"",IF(OR((($AJ55+$AL55)/($AK55+$AM55))&lt;=0,(($AJ55+$AL55)/($AK55+$AM55))&gt;=1),"",($AJ55/$AK55-$AL55/$AM55)/SQRT((($AJ55+$AL55)/($AK55+$AM55))*(1-(($AJ55+$AL55)/($AK55+$AM55)))*(1/$AK55+1/$AM55))))</f>
        <v/>
      </c>
      <c r="AO55" s="27">
        <f>IF($A55="","",IF(AND(COUNTIFS($A$14:$A$1213,$A55,$F$14:$F$1213,"&gt;=0")=2,IFERROR(INDEX($M$14:$M$313,MATCH($A55,$H$14:$H$313,0)),"Yes")&lt;&gt;"Yes"),1,0))</f>
        <v/>
      </c>
    </row>
    <row r="56" ht="24" customHeight="1">
      <c r="A56" s="19" t="n"/>
      <c r="B56" s="20" t="n"/>
      <c r="C56" s="21">
        <f>IFERROR(AVERAGE(P56:T56),"")</f>
        <v/>
      </c>
      <c r="D56" s="29" t="n"/>
      <c r="E56" s="29" t="n"/>
      <c r="F56" s="30">
        <f>IF(AND(ISNUMBER($D56),ISNUMBER($E56),$E56&gt;0,$D56&lt;=$E56),$D56/$E56,"")</f>
        <v/>
      </c>
      <c r="H56" s="19">
        <f>IFERROR(INDEX($A$14:$A$1213,MATCH(43,$AI$14:$AI$1213,0)),"")</f>
        <v/>
      </c>
      <c r="I56" s="24">
        <f>IF($H56="","",IF(COUNTIFS($A$14:$A$1213,$H56,$C$14:$C$1213,"&gt;=0")=0,"—",IFERROR(INDEX($B$14:$B$1213,MATCH($H56&amp;"|1",$Z$14:$Z$1213,0)),"(tied)")))</f>
        <v/>
      </c>
      <c r="J56" s="25">
        <f>IF($H56="","",IF(OR(COUNTIFS($A$14:$A$1213,$H56,$C$14:$C$1213,"&gt;=0")=0,COUNTIFS($A$14:$A$1213,$H56,$F$14:$F$1213,"&gt;=0")=0),"—",IF(OR(ISERROR(MATCH($H56&amp;"|1",$Z$14:$Z$1213,0)),ISERROR(MATCH($H56&amp;"|1",$AA$14:$AA$1213,0))),"Tie",IF(MATCH($H56&amp;"|1",$Z$14:$Z$1213,0)=MATCH($H56&amp;"|1",$AA$14:$AA$1213,0),"Hit","Miss"))))</f>
        <v/>
      </c>
      <c r="K56" s="24">
        <f>IF($H56="","",IF(COUNTIFS($A$14:$A$1213,$H56,$F$14:$F$1213,"&gt;=0")=0,"—",IFERROR(INDEX($B$14:$B$1213,MATCH($H56&amp;"|1",$AA$14:$AA$1213,0)),"(tied)")))</f>
        <v/>
      </c>
      <c r="L56" s="25">
        <f>IF($H56="","",IF((--(COUNTIFS($A$14:$A$1213,$H56,$P$14:$P$1213,"&gt;=0")&gt;0)+--(COUNTIFS($A$14:$A$1213,$H56,$Q$14:$Q$1213,"&gt;=0")&gt;0)+--(COUNTIFS($A$14:$A$1213,$H56,$R$14:$R$1213,"&gt;=0")&gt;0)+--(COUNTIFS($A$14:$A$1213,$H56,$S$14:$S$1213,"&gt;=0")&gt;0)+--(COUNTIFS($A$14:$A$1213,$H56,$T$14:$T$1213,"&gt;=0")&gt;0))&lt;2,"—",IF(SUMIFS($AH$14:$AH$1213,$A$14:$A$1213,$H56)=0,"Yes","No")))</f>
        <v/>
      </c>
      <c r="M56" s="25">
        <f>IF($H56="","",IF(COUNTIFS($A$14:$A$1213,$H56,$F$14:$F$1213,"&gt;=0")&lt;2,"—",IF(COUNTIFS($A$14:$A$1213,$H56,$F$14:$F$1213,_xlfn.MAXIFS($F$14:$F$1213,$A$14:$A$1213,$H56))&gt;1,"No",IF(NOT(ISNUMBER($AN56)),"—",IF((2*(1-NORMSDIST(ABS($AN56))))&lt;0.05,"Yes","No")))))</f>
        <v/>
      </c>
      <c r="N56" s="21">
        <f>IF($H56="","",IF(NOT(ISNUMBER($AN56)),"—",IF((2*(1-NORMSDIST(ABS($AN56))))&lt;0.001,"&lt;0.001",TEXT((2*(1-NORMSDIST(ABS($AN56)))),"0.000"))))</f>
        <v/>
      </c>
      <c r="P56" s="26" t="n"/>
      <c r="Q56" s="26" t="n"/>
      <c r="R56" s="26" t="n"/>
      <c r="S56" s="26" t="n"/>
      <c r="T56" s="26" t="n"/>
      <c r="V56" s="27">
        <f>IF(ISNUMBER($C56),COUNTIFS($A$14:$A$1213,$A56,$C$14:$C$1213,"&gt;"&amp;$C56)+(COUNTIFS($A$14:$A$1213,$A56,$C$14:$C$1213,"="&amp;$C56)+1)/2,"")</f>
        <v/>
      </c>
      <c r="W56" s="27">
        <f>IF(ISNUMBER($F56),COUNTIFS($A$14:$A$1213,$A56,$F$14:$F$1213,"&gt;"&amp;$F56)+(COUNTIFS($A$14:$A$1213,$A56,$F$14:$F$1213,"="&amp;$F56)+1)/2,"")</f>
        <v/>
      </c>
      <c r="X56" s="27">
        <f>IF(OR(NOT(ISNUMBER($V56)),$AO56=1),"",$V56-(COUNTIFS($A$14:$A$1213,$A56,$C$14:$C$1213,"&gt;=0")+1)/2)</f>
        <v/>
      </c>
      <c r="Y56" s="27">
        <f>IF(OR(NOT(ISNUMBER($W56)),$AO56=1),"",$W56-(COUNTIFS($A$14:$A$1213,$A56,$F$14:$F$1213,"&gt;=0")+1)/2)</f>
        <v/>
      </c>
      <c r="Z56" s="27">
        <f>IF(ISNUMBER($V56),$A56&amp;"|"&amp;$V56,"")</f>
        <v/>
      </c>
      <c r="AA56" s="27">
        <f>IF(ISNUMBER($W56),$A56&amp;"|"&amp;$W56,"")</f>
        <v/>
      </c>
      <c r="AB56" s="27">
        <f>IF(ISNUMBER($F56),$A56&amp;"|"&amp;$F56,"")</f>
        <v/>
      </c>
      <c r="AC56" s="27">
        <f>IF(ISNUMBER($P56),COUNTIFS($A$14:$A$1213,$A56,$P$14:$P$1213,"&gt;"&amp;$P56)+(COUNTIFS($A$14:$A$1213,$A56,$P$14:$P$1213,"="&amp;$P56)+1)/2,"")</f>
        <v/>
      </c>
      <c r="AD56" s="27">
        <f>IF(ISNUMBER($Q56),COUNTIFS($A$14:$A$1213,$A56,$Q$14:$Q$1213,"&gt;"&amp;$Q56)+(COUNTIFS($A$14:$A$1213,$A56,$Q$14:$Q$1213,"="&amp;$Q56)+1)/2,"")</f>
        <v/>
      </c>
      <c r="AE56" s="27">
        <f>IF(ISNUMBER($R56),COUNTIFS($A$14:$A$1213,$A56,$R$14:$R$1213,"&gt;"&amp;$R56)+(COUNTIFS($A$14:$A$1213,$A56,$R$14:$R$1213,"="&amp;$R56)+1)/2,"")</f>
        <v/>
      </c>
      <c r="AF56" s="27">
        <f>IF(ISNUMBER($S56),COUNTIFS($A$14:$A$1213,$A56,$S$14:$S$1213,"&gt;"&amp;$S56)+(COUNTIFS($A$14:$A$1213,$A56,$S$14:$S$1213,"="&amp;$S56)+1)/2,"")</f>
        <v/>
      </c>
      <c r="AG56" s="27">
        <f>IF(ISNUMBER($T56),COUNTIFS($A$14:$A$1213,$A56,$T$14:$T$1213,"&gt;"&amp;$T56)+(COUNTIFS($A$14:$A$1213,$A56,$T$14:$T$1213,"="&amp;$T56)+1)/2,"")</f>
        <v/>
      </c>
      <c r="AH56" s="27">
        <f>IF(COUNT($AC56:$AG56)&lt;2,"",IF(MAX($AC56:$AG56)=MIN($AC56:$AG56),0,1))</f>
        <v/>
      </c>
      <c r="AI56" s="27">
        <f>IF($A56="","",IF(COUNTIF($A$14:$A56,$A56)=1,COUNTIF($AI$13:AI55,"&gt;0")+1,""))</f>
        <v/>
      </c>
      <c r="AJ56" s="27">
        <f>IF(OR($H56="",COUNTIFS($A$14:$A$1213,$H56,$F$14:$F$1213,"&gt;=0")&lt;2,COUNTIFS($A$14:$A$1213,$H56,$F$14:$F$1213,_xlfn.MAXIFS($F$14:$F$1213,$A$14:$A$1213,$H56))&gt;1),"",IFERROR(INDEX($D$14:$D$1213,MATCH($H56&amp;"|"&amp;_xlfn.MAXIFS($F$14:$F$1213,$A$14:$A$1213,$H56),$AB$14:$AB$1213,0)),""))</f>
        <v/>
      </c>
      <c r="AK56" s="27">
        <f>IF(OR($H56="",COUNTIFS($A$14:$A$1213,$H56,$F$14:$F$1213,"&gt;=0")&lt;2,COUNTIFS($A$14:$A$1213,$H56,$F$14:$F$1213,_xlfn.MAXIFS($F$14:$F$1213,$A$14:$A$1213,$H56))&gt;1),"",IFERROR(INDEX($E$14:$E$1213,MATCH($H56&amp;"|"&amp;_xlfn.MAXIFS($F$14:$F$1213,$A$14:$A$1213,$H56),$AB$14:$AB$1213,0)),""))</f>
        <v/>
      </c>
      <c r="AL56" s="27">
        <f>IF(OR($H56="",COUNTIFS($A$14:$A$1213,$H56,$F$14:$F$1213,"&gt;=0")&lt;2,COUNTIFS($A$14:$A$1213,$H56,$F$14:$F$1213,_xlfn.MAXIFS($F$14:$F$1213,$A$14:$A$1213,$H56))&gt;1),"",IFERROR(INDEX($D$14:$D$1213,MATCH($H56&amp;"|"&amp;_xlfn.MAXIFS($F$14:$F$1213,$A$14:$A$1213,$H56,$F$14:$F$1213,"&lt;"&amp;_xlfn.MAXIFS($F$14:$F$1213,$A$14:$A$1213,$H56)),$AB$14:$AB$1213,0)),""))</f>
        <v/>
      </c>
      <c r="AM56" s="27">
        <f>IF(OR($H56="",COUNTIFS($A$14:$A$1213,$H56,$F$14:$F$1213,"&gt;=0")&lt;2,COUNTIFS($A$14:$A$1213,$H56,$F$14:$F$1213,_xlfn.MAXIFS($F$14:$F$1213,$A$14:$A$1213,$H56))&gt;1),"",IFERROR(INDEX($E$14:$E$1213,MATCH($H56&amp;"|"&amp;_xlfn.MAXIFS($F$14:$F$1213,$A$14:$A$1213,$H56,$F$14:$F$1213,"&lt;"&amp;_xlfn.MAXIFS($F$14:$F$1213,$A$14:$A$1213,$H56)),$AB$14:$AB$1213,0)),""))</f>
        <v/>
      </c>
      <c r="AN56" s="27">
        <f>IF(OR(NOT(ISNUMBER($AJ56)),NOT(ISNUMBER($AL56)),$AK56=0,$AM56=0),"",IF(OR((($AJ56+$AL56)/($AK56+$AM56))&lt;=0,(($AJ56+$AL56)/($AK56+$AM56))&gt;=1),"",($AJ56/$AK56-$AL56/$AM56)/SQRT((($AJ56+$AL56)/($AK56+$AM56))*(1-(($AJ56+$AL56)/($AK56+$AM56)))*(1/$AK56+1/$AM56))))</f>
        <v/>
      </c>
      <c r="AO56" s="27">
        <f>IF($A56="","",IF(AND(COUNTIFS($A$14:$A$1213,$A56,$F$14:$F$1213,"&gt;=0")=2,IFERROR(INDEX($M$14:$M$313,MATCH($A56,$H$14:$H$313,0)),"Yes")&lt;&gt;"Yes"),1,0))</f>
        <v/>
      </c>
    </row>
    <row r="57" ht="24" customHeight="1">
      <c r="A57" s="19" t="n"/>
      <c r="B57" s="20" t="n"/>
      <c r="C57" s="21">
        <f>IFERROR(AVERAGE(P57:T57),"")</f>
        <v/>
      </c>
      <c r="D57" s="29" t="n"/>
      <c r="E57" s="29" t="n"/>
      <c r="F57" s="30">
        <f>IF(AND(ISNUMBER($D57),ISNUMBER($E57),$E57&gt;0,$D57&lt;=$E57),$D57/$E57,"")</f>
        <v/>
      </c>
      <c r="H57" s="19">
        <f>IFERROR(INDEX($A$14:$A$1213,MATCH(44,$AI$14:$AI$1213,0)),"")</f>
        <v/>
      </c>
      <c r="I57" s="24">
        <f>IF($H57="","",IF(COUNTIFS($A$14:$A$1213,$H57,$C$14:$C$1213,"&gt;=0")=0,"—",IFERROR(INDEX($B$14:$B$1213,MATCH($H57&amp;"|1",$Z$14:$Z$1213,0)),"(tied)")))</f>
        <v/>
      </c>
      <c r="J57" s="25">
        <f>IF($H57="","",IF(OR(COUNTIFS($A$14:$A$1213,$H57,$C$14:$C$1213,"&gt;=0")=0,COUNTIFS($A$14:$A$1213,$H57,$F$14:$F$1213,"&gt;=0")=0),"—",IF(OR(ISERROR(MATCH($H57&amp;"|1",$Z$14:$Z$1213,0)),ISERROR(MATCH($H57&amp;"|1",$AA$14:$AA$1213,0))),"Tie",IF(MATCH($H57&amp;"|1",$Z$14:$Z$1213,0)=MATCH($H57&amp;"|1",$AA$14:$AA$1213,0),"Hit","Miss"))))</f>
        <v/>
      </c>
      <c r="K57" s="24">
        <f>IF($H57="","",IF(COUNTIFS($A$14:$A$1213,$H57,$F$14:$F$1213,"&gt;=0")=0,"—",IFERROR(INDEX($B$14:$B$1213,MATCH($H57&amp;"|1",$AA$14:$AA$1213,0)),"(tied)")))</f>
        <v/>
      </c>
      <c r="L57" s="25">
        <f>IF($H57="","",IF((--(COUNTIFS($A$14:$A$1213,$H57,$P$14:$P$1213,"&gt;=0")&gt;0)+--(COUNTIFS($A$14:$A$1213,$H57,$Q$14:$Q$1213,"&gt;=0")&gt;0)+--(COUNTIFS($A$14:$A$1213,$H57,$R$14:$R$1213,"&gt;=0")&gt;0)+--(COUNTIFS($A$14:$A$1213,$H57,$S$14:$S$1213,"&gt;=0")&gt;0)+--(COUNTIFS($A$14:$A$1213,$H57,$T$14:$T$1213,"&gt;=0")&gt;0))&lt;2,"—",IF(SUMIFS($AH$14:$AH$1213,$A$14:$A$1213,$H57)=0,"Yes","No")))</f>
        <v/>
      </c>
      <c r="M57" s="25">
        <f>IF($H57="","",IF(COUNTIFS($A$14:$A$1213,$H57,$F$14:$F$1213,"&gt;=0")&lt;2,"—",IF(COUNTIFS($A$14:$A$1213,$H57,$F$14:$F$1213,_xlfn.MAXIFS($F$14:$F$1213,$A$14:$A$1213,$H57))&gt;1,"No",IF(NOT(ISNUMBER($AN57)),"—",IF((2*(1-NORMSDIST(ABS($AN57))))&lt;0.05,"Yes","No")))))</f>
        <v/>
      </c>
      <c r="N57" s="21">
        <f>IF($H57="","",IF(NOT(ISNUMBER($AN57)),"—",IF((2*(1-NORMSDIST(ABS($AN57))))&lt;0.001,"&lt;0.001",TEXT((2*(1-NORMSDIST(ABS($AN57)))),"0.000"))))</f>
        <v/>
      </c>
      <c r="P57" s="26" t="n"/>
      <c r="Q57" s="26" t="n"/>
      <c r="R57" s="26" t="n"/>
      <c r="S57" s="26" t="n"/>
      <c r="T57" s="26" t="n"/>
      <c r="V57" s="27">
        <f>IF(ISNUMBER($C57),COUNTIFS($A$14:$A$1213,$A57,$C$14:$C$1213,"&gt;"&amp;$C57)+(COUNTIFS($A$14:$A$1213,$A57,$C$14:$C$1213,"="&amp;$C57)+1)/2,"")</f>
        <v/>
      </c>
      <c r="W57" s="27">
        <f>IF(ISNUMBER($F57),COUNTIFS($A$14:$A$1213,$A57,$F$14:$F$1213,"&gt;"&amp;$F57)+(COUNTIFS($A$14:$A$1213,$A57,$F$14:$F$1213,"="&amp;$F57)+1)/2,"")</f>
        <v/>
      </c>
      <c r="X57" s="27">
        <f>IF(OR(NOT(ISNUMBER($V57)),$AO57=1),"",$V57-(COUNTIFS($A$14:$A$1213,$A57,$C$14:$C$1213,"&gt;=0")+1)/2)</f>
        <v/>
      </c>
      <c r="Y57" s="27">
        <f>IF(OR(NOT(ISNUMBER($W57)),$AO57=1),"",$W57-(COUNTIFS($A$14:$A$1213,$A57,$F$14:$F$1213,"&gt;=0")+1)/2)</f>
        <v/>
      </c>
      <c r="Z57" s="27">
        <f>IF(ISNUMBER($V57),$A57&amp;"|"&amp;$V57,"")</f>
        <v/>
      </c>
      <c r="AA57" s="27">
        <f>IF(ISNUMBER($W57),$A57&amp;"|"&amp;$W57,"")</f>
        <v/>
      </c>
      <c r="AB57" s="27">
        <f>IF(ISNUMBER($F57),$A57&amp;"|"&amp;$F57,"")</f>
        <v/>
      </c>
      <c r="AC57" s="27">
        <f>IF(ISNUMBER($P57),COUNTIFS($A$14:$A$1213,$A57,$P$14:$P$1213,"&gt;"&amp;$P57)+(COUNTIFS($A$14:$A$1213,$A57,$P$14:$P$1213,"="&amp;$P57)+1)/2,"")</f>
        <v/>
      </c>
      <c r="AD57" s="27">
        <f>IF(ISNUMBER($Q57),COUNTIFS($A$14:$A$1213,$A57,$Q$14:$Q$1213,"&gt;"&amp;$Q57)+(COUNTIFS($A$14:$A$1213,$A57,$Q$14:$Q$1213,"="&amp;$Q57)+1)/2,"")</f>
        <v/>
      </c>
      <c r="AE57" s="27">
        <f>IF(ISNUMBER($R57),COUNTIFS($A$14:$A$1213,$A57,$R$14:$R$1213,"&gt;"&amp;$R57)+(COUNTIFS($A$14:$A$1213,$A57,$R$14:$R$1213,"="&amp;$R57)+1)/2,"")</f>
        <v/>
      </c>
      <c r="AF57" s="27">
        <f>IF(ISNUMBER($S57),COUNTIFS($A$14:$A$1213,$A57,$S$14:$S$1213,"&gt;"&amp;$S57)+(COUNTIFS($A$14:$A$1213,$A57,$S$14:$S$1213,"="&amp;$S57)+1)/2,"")</f>
        <v/>
      </c>
      <c r="AG57" s="27">
        <f>IF(ISNUMBER($T57),COUNTIFS($A$14:$A$1213,$A57,$T$14:$T$1213,"&gt;"&amp;$T57)+(COUNTIFS($A$14:$A$1213,$A57,$T$14:$T$1213,"="&amp;$T57)+1)/2,"")</f>
        <v/>
      </c>
      <c r="AH57" s="27">
        <f>IF(COUNT($AC57:$AG57)&lt;2,"",IF(MAX($AC57:$AG57)=MIN($AC57:$AG57),0,1))</f>
        <v/>
      </c>
      <c r="AI57" s="27">
        <f>IF($A57="","",IF(COUNTIF($A$14:$A57,$A57)=1,COUNTIF($AI$13:AI56,"&gt;0")+1,""))</f>
        <v/>
      </c>
      <c r="AJ57" s="27">
        <f>IF(OR($H57="",COUNTIFS($A$14:$A$1213,$H57,$F$14:$F$1213,"&gt;=0")&lt;2,COUNTIFS($A$14:$A$1213,$H57,$F$14:$F$1213,_xlfn.MAXIFS($F$14:$F$1213,$A$14:$A$1213,$H57))&gt;1),"",IFERROR(INDEX($D$14:$D$1213,MATCH($H57&amp;"|"&amp;_xlfn.MAXIFS($F$14:$F$1213,$A$14:$A$1213,$H57),$AB$14:$AB$1213,0)),""))</f>
        <v/>
      </c>
      <c r="AK57" s="27">
        <f>IF(OR($H57="",COUNTIFS($A$14:$A$1213,$H57,$F$14:$F$1213,"&gt;=0")&lt;2,COUNTIFS($A$14:$A$1213,$H57,$F$14:$F$1213,_xlfn.MAXIFS($F$14:$F$1213,$A$14:$A$1213,$H57))&gt;1),"",IFERROR(INDEX($E$14:$E$1213,MATCH($H57&amp;"|"&amp;_xlfn.MAXIFS($F$14:$F$1213,$A$14:$A$1213,$H57),$AB$14:$AB$1213,0)),""))</f>
        <v/>
      </c>
      <c r="AL57" s="27">
        <f>IF(OR($H57="",COUNTIFS($A$14:$A$1213,$H57,$F$14:$F$1213,"&gt;=0")&lt;2,COUNTIFS($A$14:$A$1213,$H57,$F$14:$F$1213,_xlfn.MAXIFS($F$14:$F$1213,$A$14:$A$1213,$H57))&gt;1),"",IFERROR(INDEX($D$14:$D$1213,MATCH($H57&amp;"|"&amp;_xlfn.MAXIFS($F$14:$F$1213,$A$14:$A$1213,$H57,$F$14:$F$1213,"&lt;"&amp;_xlfn.MAXIFS($F$14:$F$1213,$A$14:$A$1213,$H57)),$AB$14:$AB$1213,0)),""))</f>
        <v/>
      </c>
      <c r="AM57" s="27">
        <f>IF(OR($H57="",COUNTIFS($A$14:$A$1213,$H57,$F$14:$F$1213,"&gt;=0")&lt;2,COUNTIFS($A$14:$A$1213,$H57,$F$14:$F$1213,_xlfn.MAXIFS($F$14:$F$1213,$A$14:$A$1213,$H57))&gt;1),"",IFERROR(INDEX($E$14:$E$1213,MATCH($H57&amp;"|"&amp;_xlfn.MAXIFS($F$14:$F$1213,$A$14:$A$1213,$H57,$F$14:$F$1213,"&lt;"&amp;_xlfn.MAXIFS($F$14:$F$1213,$A$14:$A$1213,$H57)),$AB$14:$AB$1213,0)),""))</f>
        <v/>
      </c>
      <c r="AN57" s="27">
        <f>IF(OR(NOT(ISNUMBER($AJ57)),NOT(ISNUMBER($AL57)),$AK57=0,$AM57=0),"",IF(OR((($AJ57+$AL57)/($AK57+$AM57))&lt;=0,(($AJ57+$AL57)/($AK57+$AM57))&gt;=1),"",($AJ57/$AK57-$AL57/$AM57)/SQRT((($AJ57+$AL57)/($AK57+$AM57))*(1-(($AJ57+$AL57)/($AK57+$AM57)))*(1/$AK57+1/$AM57))))</f>
        <v/>
      </c>
      <c r="AO57" s="27">
        <f>IF($A57="","",IF(AND(COUNTIFS($A$14:$A$1213,$A57,$F$14:$F$1213,"&gt;=0")=2,IFERROR(INDEX($M$14:$M$313,MATCH($A57,$H$14:$H$313,0)),"Yes")&lt;&gt;"Yes"),1,0))</f>
        <v/>
      </c>
    </row>
    <row r="58" ht="24" customHeight="1">
      <c r="A58" s="19" t="n"/>
      <c r="B58" s="20" t="n"/>
      <c r="C58" s="21">
        <f>IFERROR(AVERAGE(P58:T58),"")</f>
        <v/>
      </c>
      <c r="D58" s="29" t="n"/>
      <c r="E58" s="29" t="n"/>
      <c r="F58" s="30">
        <f>IF(AND(ISNUMBER($D58),ISNUMBER($E58),$E58&gt;0,$D58&lt;=$E58),$D58/$E58,"")</f>
        <v/>
      </c>
      <c r="H58" s="19">
        <f>IFERROR(INDEX($A$14:$A$1213,MATCH(45,$AI$14:$AI$1213,0)),"")</f>
        <v/>
      </c>
      <c r="I58" s="24">
        <f>IF($H58="","",IF(COUNTIFS($A$14:$A$1213,$H58,$C$14:$C$1213,"&gt;=0")=0,"—",IFERROR(INDEX($B$14:$B$1213,MATCH($H58&amp;"|1",$Z$14:$Z$1213,0)),"(tied)")))</f>
        <v/>
      </c>
      <c r="J58" s="25">
        <f>IF($H58="","",IF(OR(COUNTIFS($A$14:$A$1213,$H58,$C$14:$C$1213,"&gt;=0")=0,COUNTIFS($A$14:$A$1213,$H58,$F$14:$F$1213,"&gt;=0")=0),"—",IF(OR(ISERROR(MATCH($H58&amp;"|1",$Z$14:$Z$1213,0)),ISERROR(MATCH($H58&amp;"|1",$AA$14:$AA$1213,0))),"Tie",IF(MATCH($H58&amp;"|1",$Z$14:$Z$1213,0)=MATCH($H58&amp;"|1",$AA$14:$AA$1213,0),"Hit","Miss"))))</f>
        <v/>
      </c>
      <c r="K58" s="24">
        <f>IF($H58="","",IF(COUNTIFS($A$14:$A$1213,$H58,$F$14:$F$1213,"&gt;=0")=0,"—",IFERROR(INDEX($B$14:$B$1213,MATCH($H58&amp;"|1",$AA$14:$AA$1213,0)),"(tied)")))</f>
        <v/>
      </c>
      <c r="L58" s="25">
        <f>IF($H58="","",IF((--(COUNTIFS($A$14:$A$1213,$H58,$P$14:$P$1213,"&gt;=0")&gt;0)+--(COUNTIFS($A$14:$A$1213,$H58,$Q$14:$Q$1213,"&gt;=0")&gt;0)+--(COUNTIFS($A$14:$A$1213,$H58,$R$14:$R$1213,"&gt;=0")&gt;0)+--(COUNTIFS($A$14:$A$1213,$H58,$S$14:$S$1213,"&gt;=0")&gt;0)+--(COUNTIFS($A$14:$A$1213,$H58,$T$14:$T$1213,"&gt;=0")&gt;0))&lt;2,"—",IF(SUMIFS($AH$14:$AH$1213,$A$14:$A$1213,$H58)=0,"Yes","No")))</f>
        <v/>
      </c>
      <c r="M58" s="25">
        <f>IF($H58="","",IF(COUNTIFS($A$14:$A$1213,$H58,$F$14:$F$1213,"&gt;=0")&lt;2,"—",IF(COUNTIFS($A$14:$A$1213,$H58,$F$14:$F$1213,_xlfn.MAXIFS($F$14:$F$1213,$A$14:$A$1213,$H58))&gt;1,"No",IF(NOT(ISNUMBER($AN58)),"—",IF((2*(1-NORMSDIST(ABS($AN58))))&lt;0.05,"Yes","No")))))</f>
        <v/>
      </c>
      <c r="N58" s="21">
        <f>IF($H58="","",IF(NOT(ISNUMBER($AN58)),"—",IF((2*(1-NORMSDIST(ABS($AN58))))&lt;0.001,"&lt;0.001",TEXT((2*(1-NORMSDIST(ABS($AN58)))),"0.000"))))</f>
        <v/>
      </c>
      <c r="P58" s="26" t="n"/>
      <c r="Q58" s="26" t="n"/>
      <c r="R58" s="26" t="n"/>
      <c r="S58" s="26" t="n"/>
      <c r="T58" s="26" t="n"/>
      <c r="V58" s="27">
        <f>IF(ISNUMBER($C58),COUNTIFS($A$14:$A$1213,$A58,$C$14:$C$1213,"&gt;"&amp;$C58)+(COUNTIFS($A$14:$A$1213,$A58,$C$14:$C$1213,"="&amp;$C58)+1)/2,"")</f>
        <v/>
      </c>
      <c r="W58" s="27">
        <f>IF(ISNUMBER($F58),COUNTIFS($A$14:$A$1213,$A58,$F$14:$F$1213,"&gt;"&amp;$F58)+(COUNTIFS($A$14:$A$1213,$A58,$F$14:$F$1213,"="&amp;$F58)+1)/2,"")</f>
        <v/>
      </c>
      <c r="X58" s="27">
        <f>IF(OR(NOT(ISNUMBER($V58)),$AO58=1),"",$V58-(COUNTIFS($A$14:$A$1213,$A58,$C$14:$C$1213,"&gt;=0")+1)/2)</f>
        <v/>
      </c>
      <c r="Y58" s="27">
        <f>IF(OR(NOT(ISNUMBER($W58)),$AO58=1),"",$W58-(COUNTIFS($A$14:$A$1213,$A58,$F$14:$F$1213,"&gt;=0")+1)/2)</f>
        <v/>
      </c>
      <c r="Z58" s="27">
        <f>IF(ISNUMBER($V58),$A58&amp;"|"&amp;$V58,"")</f>
        <v/>
      </c>
      <c r="AA58" s="27">
        <f>IF(ISNUMBER($W58),$A58&amp;"|"&amp;$W58,"")</f>
        <v/>
      </c>
      <c r="AB58" s="27">
        <f>IF(ISNUMBER($F58),$A58&amp;"|"&amp;$F58,"")</f>
        <v/>
      </c>
      <c r="AC58" s="27">
        <f>IF(ISNUMBER($P58),COUNTIFS($A$14:$A$1213,$A58,$P$14:$P$1213,"&gt;"&amp;$P58)+(COUNTIFS($A$14:$A$1213,$A58,$P$14:$P$1213,"="&amp;$P58)+1)/2,"")</f>
        <v/>
      </c>
      <c r="AD58" s="27">
        <f>IF(ISNUMBER($Q58),COUNTIFS($A$14:$A$1213,$A58,$Q$14:$Q$1213,"&gt;"&amp;$Q58)+(COUNTIFS($A$14:$A$1213,$A58,$Q$14:$Q$1213,"="&amp;$Q58)+1)/2,"")</f>
        <v/>
      </c>
      <c r="AE58" s="27">
        <f>IF(ISNUMBER($R58),COUNTIFS($A$14:$A$1213,$A58,$R$14:$R$1213,"&gt;"&amp;$R58)+(COUNTIFS($A$14:$A$1213,$A58,$R$14:$R$1213,"="&amp;$R58)+1)/2,"")</f>
        <v/>
      </c>
      <c r="AF58" s="27">
        <f>IF(ISNUMBER($S58),COUNTIFS($A$14:$A$1213,$A58,$S$14:$S$1213,"&gt;"&amp;$S58)+(COUNTIFS($A$14:$A$1213,$A58,$S$14:$S$1213,"="&amp;$S58)+1)/2,"")</f>
        <v/>
      </c>
      <c r="AG58" s="27">
        <f>IF(ISNUMBER($T58),COUNTIFS($A$14:$A$1213,$A58,$T$14:$T$1213,"&gt;"&amp;$T58)+(COUNTIFS($A$14:$A$1213,$A58,$T$14:$T$1213,"="&amp;$T58)+1)/2,"")</f>
        <v/>
      </c>
      <c r="AH58" s="27">
        <f>IF(COUNT($AC58:$AG58)&lt;2,"",IF(MAX($AC58:$AG58)=MIN($AC58:$AG58),0,1))</f>
        <v/>
      </c>
      <c r="AI58" s="27">
        <f>IF($A58="","",IF(COUNTIF($A$14:$A58,$A58)=1,COUNTIF($AI$13:AI57,"&gt;0")+1,""))</f>
        <v/>
      </c>
      <c r="AJ58" s="27">
        <f>IF(OR($H58="",COUNTIFS($A$14:$A$1213,$H58,$F$14:$F$1213,"&gt;=0")&lt;2,COUNTIFS($A$14:$A$1213,$H58,$F$14:$F$1213,_xlfn.MAXIFS($F$14:$F$1213,$A$14:$A$1213,$H58))&gt;1),"",IFERROR(INDEX($D$14:$D$1213,MATCH($H58&amp;"|"&amp;_xlfn.MAXIFS($F$14:$F$1213,$A$14:$A$1213,$H58),$AB$14:$AB$1213,0)),""))</f>
        <v/>
      </c>
      <c r="AK58" s="27">
        <f>IF(OR($H58="",COUNTIFS($A$14:$A$1213,$H58,$F$14:$F$1213,"&gt;=0")&lt;2,COUNTIFS($A$14:$A$1213,$H58,$F$14:$F$1213,_xlfn.MAXIFS($F$14:$F$1213,$A$14:$A$1213,$H58))&gt;1),"",IFERROR(INDEX($E$14:$E$1213,MATCH($H58&amp;"|"&amp;_xlfn.MAXIFS($F$14:$F$1213,$A$14:$A$1213,$H58),$AB$14:$AB$1213,0)),""))</f>
        <v/>
      </c>
      <c r="AL58" s="27">
        <f>IF(OR($H58="",COUNTIFS($A$14:$A$1213,$H58,$F$14:$F$1213,"&gt;=0")&lt;2,COUNTIFS($A$14:$A$1213,$H58,$F$14:$F$1213,_xlfn.MAXIFS($F$14:$F$1213,$A$14:$A$1213,$H58))&gt;1),"",IFERROR(INDEX($D$14:$D$1213,MATCH($H58&amp;"|"&amp;_xlfn.MAXIFS($F$14:$F$1213,$A$14:$A$1213,$H58,$F$14:$F$1213,"&lt;"&amp;_xlfn.MAXIFS($F$14:$F$1213,$A$14:$A$1213,$H58)),$AB$14:$AB$1213,0)),""))</f>
        <v/>
      </c>
      <c r="AM58" s="27">
        <f>IF(OR($H58="",COUNTIFS($A$14:$A$1213,$H58,$F$14:$F$1213,"&gt;=0")&lt;2,COUNTIFS($A$14:$A$1213,$H58,$F$14:$F$1213,_xlfn.MAXIFS($F$14:$F$1213,$A$14:$A$1213,$H58))&gt;1),"",IFERROR(INDEX($E$14:$E$1213,MATCH($H58&amp;"|"&amp;_xlfn.MAXIFS($F$14:$F$1213,$A$14:$A$1213,$H58,$F$14:$F$1213,"&lt;"&amp;_xlfn.MAXIFS($F$14:$F$1213,$A$14:$A$1213,$H58)),$AB$14:$AB$1213,0)),""))</f>
        <v/>
      </c>
      <c r="AN58" s="27">
        <f>IF(OR(NOT(ISNUMBER($AJ58)),NOT(ISNUMBER($AL58)),$AK58=0,$AM58=0),"",IF(OR((($AJ58+$AL58)/($AK58+$AM58))&lt;=0,(($AJ58+$AL58)/($AK58+$AM58))&gt;=1),"",($AJ58/$AK58-$AL58/$AM58)/SQRT((($AJ58+$AL58)/($AK58+$AM58))*(1-(($AJ58+$AL58)/($AK58+$AM58)))*(1/$AK58+1/$AM58))))</f>
        <v/>
      </c>
      <c r="AO58" s="27">
        <f>IF($A58="","",IF(AND(COUNTIFS($A$14:$A$1213,$A58,$F$14:$F$1213,"&gt;=0")=2,IFERROR(INDEX($M$14:$M$313,MATCH($A58,$H$14:$H$313,0)),"Yes")&lt;&gt;"Yes"),1,0))</f>
        <v/>
      </c>
    </row>
    <row r="59" ht="24" customHeight="1">
      <c r="A59" s="19" t="n"/>
      <c r="B59" s="20" t="n"/>
      <c r="C59" s="21">
        <f>IFERROR(AVERAGE(P59:T59),"")</f>
        <v/>
      </c>
      <c r="D59" s="29" t="n"/>
      <c r="E59" s="29" t="n"/>
      <c r="F59" s="30">
        <f>IF(AND(ISNUMBER($D59),ISNUMBER($E59),$E59&gt;0,$D59&lt;=$E59),$D59/$E59,"")</f>
        <v/>
      </c>
      <c r="H59" s="19">
        <f>IFERROR(INDEX($A$14:$A$1213,MATCH(46,$AI$14:$AI$1213,0)),"")</f>
        <v/>
      </c>
      <c r="I59" s="24">
        <f>IF($H59="","",IF(COUNTIFS($A$14:$A$1213,$H59,$C$14:$C$1213,"&gt;=0")=0,"—",IFERROR(INDEX($B$14:$B$1213,MATCH($H59&amp;"|1",$Z$14:$Z$1213,0)),"(tied)")))</f>
        <v/>
      </c>
      <c r="J59" s="25">
        <f>IF($H59="","",IF(OR(COUNTIFS($A$14:$A$1213,$H59,$C$14:$C$1213,"&gt;=0")=0,COUNTIFS($A$14:$A$1213,$H59,$F$14:$F$1213,"&gt;=0")=0),"—",IF(OR(ISERROR(MATCH($H59&amp;"|1",$Z$14:$Z$1213,0)),ISERROR(MATCH($H59&amp;"|1",$AA$14:$AA$1213,0))),"Tie",IF(MATCH($H59&amp;"|1",$Z$14:$Z$1213,0)=MATCH($H59&amp;"|1",$AA$14:$AA$1213,0),"Hit","Miss"))))</f>
        <v/>
      </c>
      <c r="K59" s="24">
        <f>IF($H59="","",IF(COUNTIFS($A$14:$A$1213,$H59,$F$14:$F$1213,"&gt;=0")=0,"—",IFERROR(INDEX($B$14:$B$1213,MATCH($H59&amp;"|1",$AA$14:$AA$1213,0)),"(tied)")))</f>
        <v/>
      </c>
      <c r="L59" s="25">
        <f>IF($H59="","",IF((--(COUNTIFS($A$14:$A$1213,$H59,$P$14:$P$1213,"&gt;=0")&gt;0)+--(COUNTIFS($A$14:$A$1213,$H59,$Q$14:$Q$1213,"&gt;=0")&gt;0)+--(COUNTIFS($A$14:$A$1213,$H59,$R$14:$R$1213,"&gt;=0")&gt;0)+--(COUNTIFS($A$14:$A$1213,$H59,$S$14:$S$1213,"&gt;=0")&gt;0)+--(COUNTIFS($A$14:$A$1213,$H59,$T$14:$T$1213,"&gt;=0")&gt;0))&lt;2,"—",IF(SUMIFS($AH$14:$AH$1213,$A$14:$A$1213,$H59)=0,"Yes","No")))</f>
        <v/>
      </c>
      <c r="M59" s="25">
        <f>IF($H59="","",IF(COUNTIFS($A$14:$A$1213,$H59,$F$14:$F$1213,"&gt;=0")&lt;2,"—",IF(COUNTIFS($A$14:$A$1213,$H59,$F$14:$F$1213,_xlfn.MAXIFS($F$14:$F$1213,$A$14:$A$1213,$H59))&gt;1,"No",IF(NOT(ISNUMBER($AN59)),"—",IF((2*(1-NORMSDIST(ABS($AN59))))&lt;0.05,"Yes","No")))))</f>
        <v/>
      </c>
      <c r="N59" s="21">
        <f>IF($H59="","",IF(NOT(ISNUMBER($AN59)),"—",IF((2*(1-NORMSDIST(ABS($AN59))))&lt;0.001,"&lt;0.001",TEXT((2*(1-NORMSDIST(ABS($AN59)))),"0.000"))))</f>
        <v/>
      </c>
      <c r="P59" s="26" t="n"/>
      <c r="Q59" s="26" t="n"/>
      <c r="R59" s="26" t="n"/>
      <c r="S59" s="26" t="n"/>
      <c r="T59" s="26" t="n"/>
      <c r="V59" s="27">
        <f>IF(ISNUMBER($C59),COUNTIFS($A$14:$A$1213,$A59,$C$14:$C$1213,"&gt;"&amp;$C59)+(COUNTIFS($A$14:$A$1213,$A59,$C$14:$C$1213,"="&amp;$C59)+1)/2,"")</f>
        <v/>
      </c>
      <c r="W59" s="27">
        <f>IF(ISNUMBER($F59),COUNTIFS($A$14:$A$1213,$A59,$F$14:$F$1213,"&gt;"&amp;$F59)+(COUNTIFS($A$14:$A$1213,$A59,$F$14:$F$1213,"="&amp;$F59)+1)/2,"")</f>
        <v/>
      </c>
      <c r="X59" s="27">
        <f>IF(OR(NOT(ISNUMBER($V59)),$AO59=1),"",$V59-(COUNTIFS($A$14:$A$1213,$A59,$C$14:$C$1213,"&gt;=0")+1)/2)</f>
        <v/>
      </c>
      <c r="Y59" s="27">
        <f>IF(OR(NOT(ISNUMBER($W59)),$AO59=1),"",$W59-(COUNTIFS($A$14:$A$1213,$A59,$F$14:$F$1213,"&gt;=0")+1)/2)</f>
        <v/>
      </c>
      <c r="Z59" s="27">
        <f>IF(ISNUMBER($V59),$A59&amp;"|"&amp;$V59,"")</f>
        <v/>
      </c>
      <c r="AA59" s="27">
        <f>IF(ISNUMBER($W59),$A59&amp;"|"&amp;$W59,"")</f>
        <v/>
      </c>
      <c r="AB59" s="27">
        <f>IF(ISNUMBER($F59),$A59&amp;"|"&amp;$F59,"")</f>
        <v/>
      </c>
      <c r="AC59" s="27">
        <f>IF(ISNUMBER($P59),COUNTIFS($A$14:$A$1213,$A59,$P$14:$P$1213,"&gt;"&amp;$P59)+(COUNTIFS($A$14:$A$1213,$A59,$P$14:$P$1213,"="&amp;$P59)+1)/2,"")</f>
        <v/>
      </c>
      <c r="AD59" s="27">
        <f>IF(ISNUMBER($Q59),COUNTIFS($A$14:$A$1213,$A59,$Q$14:$Q$1213,"&gt;"&amp;$Q59)+(COUNTIFS($A$14:$A$1213,$A59,$Q$14:$Q$1213,"="&amp;$Q59)+1)/2,"")</f>
        <v/>
      </c>
      <c r="AE59" s="27">
        <f>IF(ISNUMBER($R59),COUNTIFS($A$14:$A$1213,$A59,$R$14:$R$1213,"&gt;"&amp;$R59)+(COUNTIFS($A$14:$A$1213,$A59,$R$14:$R$1213,"="&amp;$R59)+1)/2,"")</f>
        <v/>
      </c>
      <c r="AF59" s="27">
        <f>IF(ISNUMBER($S59),COUNTIFS($A$14:$A$1213,$A59,$S$14:$S$1213,"&gt;"&amp;$S59)+(COUNTIFS($A$14:$A$1213,$A59,$S$14:$S$1213,"="&amp;$S59)+1)/2,"")</f>
        <v/>
      </c>
      <c r="AG59" s="27">
        <f>IF(ISNUMBER($T59),COUNTIFS($A$14:$A$1213,$A59,$T$14:$T$1213,"&gt;"&amp;$T59)+(COUNTIFS($A$14:$A$1213,$A59,$T$14:$T$1213,"="&amp;$T59)+1)/2,"")</f>
        <v/>
      </c>
      <c r="AH59" s="27">
        <f>IF(COUNT($AC59:$AG59)&lt;2,"",IF(MAX($AC59:$AG59)=MIN($AC59:$AG59),0,1))</f>
        <v/>
      </c>
      <c r="AI59" s="27">
        <f>IF($A59="","",IF(COUNTIF($A$14:$A59,$A59)=1,COUNTIF($AI$13:AI58,"&gt;0")+1,""))</f>
        <v/>
      </c>
      <c r="AJ59" s="27">
        <f>IF(OR($H59="",COUNTIFS($A$14:$A$1213,$H59,$F$14:$F$1213,"&gt;=0")&lt;2,COUNTIFS($A$14:$A$1213,$H59,$F$14:$F$1213,_xlfn.MAXIFS($F$14:$F$1213,$A$14:$A$1213,$H59))&gt;1),"",IFERROR(INDEX($D$14:$D$1213,MATCH($H59&amp;"|"&amp;_xlfn.MAXIFS($F$14:$F$1213,$A$14:$A$1213,$H59),$AB$14:$AB$1213,0)),""))</f>
        <v/>
      </c>
      <c r="AK59" s="27">
        <f>IF(OR($H59="",COUNTIFS($A$14:$A$1213,$H59,$F$14:$F$1213,"&gt;=0")&lt;2,COUNTIFS($A$14:$A$1213,$H59,$F$14:$F$1213,_xlfn.MAXIFS($F$14:$F$1213,$A$14:$A$1213,$H59))&gt;1),"",IFERROR(INDEX($E$14:$E$1213,MATCH($H59&amp;"|"&amp;_xlfn.MAXIFS($F$14:$F$1213,$A$14:$A$1213,$H59),$AB$14:$AB$1213,0)),""))</f>
        <v/>
      </c>
      <c r="AL59" s="27">
        <f>IF(OR($H59="",COUNTIFS($A$14:$A$1213,$H59,$F$14:$F$1213,"&gt;=0")&lt;2,COUNTIFS($A$14:$A$1213,$H59,$F$14:$F$1213,_xlfn.MAXIFS($F$14:$F$1213,$A$14:$A$1213,$H59))&gt;1),"",IFERROR(INDEX($D$14:$D$1213,MATCH($H59&amp;"|"&amp;_xlfn.MAXIFS($F$14:$F$1213,$A$14:$A$1213,$H59,$F$14:$F$1213,"&lt;"&amp;_xlfn.MAXIFS($F$14:$F$1213,$A$14:$A$1213,$H59)),$AB$14:$AB$1213,0)),""))</f>
        <v/>
      </c>
      <c r="AM59" s="27">
        <f>IF(OR($H59="",COUNTIFS($A$14:$A$1213,$H59,$F$14:$F$1213,"&gt;=0")&lt;2,COUNTIFS($A$14:$A$1213,$H59,$F$14:$F$1213,_xlfn.MAXIFS($F$14:$F$1213,$A$14:$A$1213,$H59))&gt;1),"",IFERROR(INDEX($E$14:$E$1213,MATCH($H59&amp;"|"&amp;_xlfn.MAXIFS($F$14:$F$1213,$A$14:$A$1213,$H59,$F$14:$F$1213,"&lt;"&amp;_xlfn.MAXIFS($F$14:$F$1213,$A$14:$A$1213,$H59)),$AB$14:$AB$1213,0)),""))</f>
        <v/>
      </c>
      <c r="AN59" s="27">
        <f>IF(OR(NOT(ISNUMBER($AJ59)),NOT(ISNUMBER($AL59)),$AK59=0,$AM59=0),"",IF(OR((($AJ59+$AL59)/($AK59+$AM59))&lt;=0,(($AJ59+$AL59)/($AK59+$AM59))&gt;=1),"",($AJ59/$AK59-$AL59/$AM59)/SQRT((($AJ59+$AL59)/($AK59+$AM59))*(1-(($AJ59+$AL59)/($AK59+$AM59)))*(1/$AK59+1/$AM59))))</f>
        <v/>
      </c>
      <c r="AO59" s="27">
        <f>IF($A59="","",IF(AND(COUNTIFS($A$14:$A$1213,$A59,$F$14:$F$1213,"&gt;=0")=2,IFERROR(INDEX($M$14:$M$313,MATCH($A59,$H$14:$H$313,0)),"Yes")&lt;&gt;"Yes"),1,0))</f>
        <v/>
      </c>
    </row>
    <row r="60" ht="24" customHeight="1">
      <c r="A60" s="19" t="n"/>
      <c r="B60" s="20" t="n"/>
      <c r="C60" s="21">
        <f>IFERROR(AVERAGE(P60:T60),"")</f>
        <v/>
      </c>
      <c r="D60" s="29" t="n"/>
      <c r="E60" s="29" t="n"/>
      <c r="F60" s="30">
        <f>IF(AND(ISNUMBER($D60),ISNUMBER($E60),$E60&gt;0,$D60&lt;=$E60),$D60/$E60,"")</f>
        <v/>
      </c>
      <c r="H60" s="19">
        <f>IFERROR(INDEX($A$14:$A$1213,MATCH(47,$AI$14:$AI$1213,0)),"")</f>
        <v/>
      </c>
      <c r="I60" s="24">
        <f>IF($H60="","",IF(COUNTIFS($A$14:$A$1213,$H60,$C$14:$C$1213,"&gt;=0")=0,"—",IFERROR(INDEX($B$14:$B$1213,MATCH($H60&amp;"|1",$Z$14:$Z$1213,0)),"(tied)")))</f>
        <v/>
      </c>
      <c r="J60" s="25">
        <f>IF($H60="","",IF(OR(COUNTIFS($A$14:$A$1213,$H60,$C$14:$C$1213,"&gt;=0")=0,COUNTIFS($A$14:$A$1213,$H60,$F$14:$F$1213,"&gt;=0")=0),"—",IF(OR(ISERROR(MATCH($H60&amp;"|1",$Z$14:$Z$1213,0)),ISERROR(MATCH($H60&amp;"|1",$AA$14:$AA$1213,0))),"Tie",IF(MATCH($H60&amp;"|1",$Z$14:$Z$1213,0)=MATCH($H60&amp;"|1",$AA$14:$AA$1213,0),"Hit","Miss"))))</f>
        <v/>
      </c>
      <c r="K60" s="24">
        <f>IF($H60="","",IF(COUNTIFS($A$14:$A$1213,$H60,$F$14:$F$1213,"&gt;=0")=0,"—",IFERROR(INDEX($B$14:$B$1213,MATCH($H60&amp;"|1",$AA$14:$AA$1213,0)),"(tied)")))</f>
        <v/>
      </c>
      <c r="L60" s="25">
        <f>IF($H60="","",IF((--(COUNTIFS($A$14:$A$1213,$H60,$P$14:$P$1213,"&gt;=0")&gt;0)+--(COUNTIFS($A$14:$A$1213,$H60,$Q$14:$Q$1213,"&gt;=0")&gt;0)+--(COUNTIFS($A$14:$A$1213,$H60,$R$14:$R$1213,"&gt;=0")&gt;0)+--(COUNTIFS($A$14:$A$1213,$H60,$S$14:$S$1213,"&gt;=0")&gt;0)+--(COUNTIFS($A$14:$A$1213,$H60,$T$14:$T$1213,"&gt;=0")&gt;0))&lt;2,"—",IF(SUMIFS($AH$14:$AH$1213,$A$14:$A$1213,$H60)=0,"Yes","No")))</f>
        <v/>
      </c>
      <c r="M60" s="25">
        <f>IF($H60="","",IF(COUNTIFS($A$14:$A$1213,$H60,$F$14:$F$1213,"&gt;=0")&lt;2,"—",IF(COUNTIFS($A$14:$A$1213,$H60,$F$14:$F$1213,_xlfn.MAXIFS($F$14:$F$1213,$A$14:$A$1213,$H60))&gt;1,"No",IF(NOT(ISNUMBER($AN60)),"—",IF((2*(1-NORMSDIST(ABS($AN60))))&lt;0.05,"Yes","No")))))</f>
        <v/>
      </c>
      <c r="N60" s="21">
        <f>IF($H60="","",IF(NOT(ISNUMBER($AN60)),"—",IF((2*(1-NORMSDIST(ABS($AN60))))&lt;0.001,"&lt;0.001",TEXT((2*(1-NORMSDIST(ABS($AN60)))),"0.000"))))</f>
        <v/>
      </c>
      <c r="P60" s="26" t="n"/>
      <c r="Q60" s="26" t="n"/>
      <c r="R60" s="26" t="n"/>
      <c r="S60" s="26" t="n"/>
      <c r="T60" s="26" t="n"/>
      <c r="V60" s="27">
        <f>IF(ISNUMBER($C60),COUNTIFS($A$14:$A$1213,$A60,$C$14:$C$1213,"&gt;"&amp;$C60)+(COUNTIFS($A$14:$A$1213,$A60,$C$14:$C$1213,"="&amp;$C60)+1)/2,"")</f>
        <v/>
      </c>
      <c r="W60" s="27">
        <f>IF(ISNUMBER($F60),COUNTIFS($A$14:$A$1213,$A60,$F$14:$F$1213,"&gt;"&amp;$F60)+(COUNTIFS($A$14:$A$1213,$A60,$F$14:$F$1213,"="&amp;$F60)+1)/2,"")</f>
        <v/>
      </c>
      <c r="X60" s="27">
        <f>IF(OR(NOT(ISNUMBER($V60)),$AO60=1),"",$V60-(COUNTIFS($A$14:$A$1213,$A60,$C$14:$C$1213,"&gt;=0")+1)/2)</f>
        <v/>
      </c>
      <c r="Y60" s="27">
        <f>IF(OR(NOT(ISNUMBER($W60)),$AO60=1),"",$W60-(COUNTIFS($A$14:$A$1213,$A60,$F$14:$F$1213,"&gt;=0")+1)/2)</f>
        <v/>
      </c>
      <c r="Z60" s="27">
        <f>IF(ISNUMBER($V60),$A60&amp;"|"&amp;$V60,"")</f>
        <v/>
      </c>
      <c r="AA60" s="27">
        <f>IF(ISNUMBER($W60),$A60&amp;"|"&amp;$W60,"")</f>
        <v/>
      </c>
      <c r="AB60" s="27">
        <f>IF(ISNUMBER($F60),$A60&amp;"|"&amp;$F60,"")</f>
        <v/>
      </c>
      <c r="AC60" s="27">
        <f>IF(ISNUMBER($P60),COUNTIFS($A$14:$A$1213,$A60,$P$14:$P$1213,"&gt;"&amp;$P60)+(COUNTIFS($A$14:$A$1213,$A60,$P$14:$P$1213,"="&amp;$P60)+1)/2,"")</f>
        <v/>
      </c>
      <c r="AD60" s="27">
        <f>IF(ISNUMBER($Q60),COUNTIFS($A$14:$A$1213,$A60,$Q$14:$Q$1213,"&gt;"&amp;$Q60)+(COUNTIFS($A$14:$A$1213,$A60,$Q$14:$Q$1213,"="&amp;$Q60)+1)/2,"")</f>
        <v/>
      </c>
      <c r="AE60" s="27">
        <f>IF(ISNUMBER($R60),COUNTIFS($A$14:$A$1213,$A60,$R$14:$R$1213,"&gt;"&amp;$R60)+(COUNTIFS($A$14:$A$1213,$A60,$R$14:$R$1213,"="&amp;$R60)+1)/2,"")</f>
        <v/>
      </c>
      <c r="AF60" s="27">
        <f>IF(ISNUMBER($S60),COUNTIFS($A$14:$A$1213,$A60,$S$14:$S$1213,"&gt;"&amp;$S60)+(COUNTIFS($A$14:$A$1213,$A60,$S$14:$S$1213,"="&amp;$S60)+1)/2,"")</f>
        <v/>
      </c>
      <c r="AG60" s="27">
        <f>IF(ISNUMBER($T60),COUNTIFS($A$14:$A$1213,$A60,$T$14:$T$1213,"&gt;"&amp;$T60)+(COUNTIFS($A$14:$A$1213,$A60,$T$14:$T$1213,"="&amp;$T60)+1)/2,"")</f>
        <v/>
      </c>
      <c r="AH60" s="27">
        <f>IF(COUNT($AC60:$AG60)&lt;2,"",IF(MAX($AC60:$AG60)=MIN($AC60:$AG60),0,1))</f>
        <v/>
      </c>
      <c r="AI60" s="27">
        <f>IF($A60="","",IF(COUNTIF($A$14:$A60,$A60)=1,COUNTIF($AI$13:AI59,"&gt;0")+1,""))</f>
        <v/>
      </c>
      <c r="AJ60" s="27">
        <f>IF(OR($H60="",COUNTIFS($A$14:$A$1213,$H60,$F$14:$F$1213,"&gt;=0")&lt;2,COUNTIFS($A$14:$A$1213,$H60,$F$14:$F$1213,_xlfn.MAXIFS($F$14:$F$1213,$A$14:$A$1213,$H60))&gt;1),"",IFERROR(INDEX($D$14:$D$1213,MATCH($H60&amp;"|"&amp;_xlfn.MAXIFS($F$14:$F$1213,$A$14:$A$1213,$H60),$AB$14:$AB$1213,0)),""))</f>
        <v/>
      </c>
      <c r="AK60" s="27">
        <f>IF(OR($H60="",COUNTIFS($A$14:$A$1213,$H60,$F$14:$F$1213,"&gt;=0")&lt;2,COUNTIFS($A$14:$A$1213,$H60,$F$14:$F$1213,_xlfn.MAXIFS($F$14:$F$1213,$A$14:$A$1213,$H60))&gt;1),"",IFERROR(INDEX($E$14:$E$1213,MATCH($H60&amp;"|"&amp;_xlfn.MAXIFS($F$14:$F$1213,$A$14:$A$1213,$H60),$AB$14:$AB$1213,0)),""))</f>
        <v/>
      </c>
      <c r="AL60" s="27">
        <f>IF(OR($H60="",COUNTIFS($A$14:$A$1213,$H60,$F$14:$F$1213,"&gt;=0")&lt;2,COUNTIFS($A$14:$A$1213,$H60,$F$14:$F$1213,_xlfn.MAXIFS($F$14:$F$1213,$A$14:$A$1213,$H60))&gt;1),"",IFERROR(INDEX($D$14:$D$1213,MATCH($H60&amp;"|"&amp;_xlfn.MAXIFS($F$14:$F$1213,$A$14:$A$1213,$H60,$F$14:$F$1213,"&lt;"&amp;_xlfn.MAXIFS($F$14:$F$1213,$A$14:$A$1213,$H60)),$AB$14:$AB$1213,0)),""))</f>
        <v/>
      </c>
      <c r="AM60" s="27">
        <f>IF(OR($H60="",COUNTIFS($A$14:$A$1213,$H60,$F$14:$F$1213,"&gt;=0")&lt;2,COUNTIFS($A$14:$A$1213,$H60,$F$14:$F$1213,_xlfn.MAXIFS($F$14:$F$1213,$A$14:$A$1213,$H60))&gt;1),"",IFERROR(INDEX($E$14:$E$1213,MATCH($H60&amp;"|"&amp;_xlfn.MAXIFS($F$14:$F$1213,$A$14:$A$1213,$H60,$F$14:$F$1213,"&lt;"&amp;_xlfn.MAXIFS($F$14:$F$1213,$A$14:$A$1213,$H60)),$AB$14:$AB$1213,0)),""))</f>
        <v/>
      </c>
      <c r="AN60" s="27">
        <f>IF(OR(NOT(ISNUMBER($AJ60)),NOT(ISNUMBER($AL60)),$AK60=0,$AM60=0),"",IF(OR((($AJ60+$AL60)/($AK60+$AM60))&lt;=0,(($AJ60+$AL60)/($AK60+$AM60))&gt;=1),"",($AJ60/$AK60-$AL60/$AM60)/SQRT((($AJ60+$AL60)/($AK60+$AM60))*(1-(($AJ60+$AL60)/($AK60+$AM60)))*(1/$AK60+1/$AM60))))</f>
        <v/>
      </c>
      <c r="AO60" s="27">
        <f>IF($A60="","",IF(AND(COUNTIFS($A$14:$A$1213,$A60,$F$14:$F$1213,"&gt;=0")=2,IFERROR(INDEX($M$14:$M$313,MATCH($A60,$H$14:$H$313,0)),"Yes")&lt;&gt;"Yes"),1,0))</f>
        <v/>
      </c>
    </row>
    <row r="61" ht="24" customHeight="1">
      <c r="A61" s="19" t="n"/>
      <c r="B61" s="20" t="n"/>
      <c r="C61" s="21">
        <f>IFERROR(AVERAGE(P61:T61),"")</f>
        <v/>
      </c>
      <c r="D61" s="29" t="n"/>
      <c r="E61" s="29" t="n"/>
      <c r="F61" s="30">
        <f>IF(AND(ISNUMBER($D61),ISNUMBER($E61),$E61&gt;0,$D61&lt;=$E61),$D61/$E61,"")</f>
        <v/>
      </c>
      <c r="H61" s="19">
        <f>IFERROR(INDEX($A$14:$A$1213,MATCH(48,$AI$14:$AI$1213,0)),"")</f>
        <v/>
      </c>
      <c r="I61" s="24">
        <f>IF($H61="","",IF(COUNTIFS($A$14:$A$1213,$H61,$C$14:$C$1213,"&gt;=0")=0,"—",IFERROR(INDEX($B$14:$B$1213,MATCH($H61&amp;"|1",$Z$14:$Z$1213,0)),"(tied)")))</f>
        <v/>
      </c>
      <c r="J61" s="25">
        <f>IF($H61="","",IF(OR(COUNTIFS($A$14:$A$1213,$H61,$C$14:$C$1213,"&gt;=0")=0,COUNTIFS($A$14:$A$1213,$H61,$F$14:$F$1213,"&gt;=0")=0),"—",IF(OR(ISERROR(MATCH($H61&amp;"|1",$Z$14:$Z$1213,0)),ISERROR(MATCH($H61&amp;"|1",$AA$14:$AA$1213,0))),"Tie",IF(MATCH($H61&amp;"|1",$Z$14:$Z$1213,0)=MATCH($H61&amp;"|1",$AA$14:$AA$1213,0),"Hit","Miss"))))</f>
        <v/>
      </c>
      <c r="K61" s="24">
        <f>IF($H61="","",IF(COUNTIFS($A$14:$A$1213,$H61,$F$14:$F$1213,"&gt;=0")=0,"—",IFERROR(INDEX($B$14:$B$1213,MATCH($H61&amp;"|1",$AA$14:$AA$1213,0)),"(tied)")))</f>
        <v/>
      </c>
      <c r="L61" s="25">
        <f>IF($H61="","",IF((--(COUNTIFS($A$14:$A$1213,$H61,$P$14:$P$1213,"&gt;=0")&gt;0)+--(COUNTIFS($A$14:$A$1213,$H61,$Q$14:$Q$1213,"&gt;=0")&gt;0)+--(COUNTIFS($A$14:$A$1213,$H61,$R$14:$R$1213,"&gt;=0")&gt;0)+--(COUNTIFS($A$14:$A$1213,$H61,$S$14:$S$1213,"&gt;=0")&gt;0)+--(COUNTIFS($A$14:$A$1213,$H61,$T$14:$T$1213,"&gt;=0")&gt;0))&lt;2,"—",IF(SUMIFS($AH$14:$AH$1213,$A$14:$A$1213,$H61)=0,"Yes","No")))</f>
        <v/>
      </c>
      <c r="M61" s="25">
        <f>IF($H61="","",IF(COUNTIFS($A$14:$A$1213,$H61,$F$14:$F$1213,"&gt;=0")&lt;2,"—",IF(COUNTIFS($A$14:$A$1213,$H61,$F$14:$F$1213,_xlfn.MAXIFS($F$14:$F$1213,$A$14:$A$1213,$H61))&gt;1,"No",IF(NOT(ISNUMBER($AN61)),"—",IF((2*(1-NORMSDIST(ABS($AN61))))&lt;0.05,"Yes","No")))))</f>
        <v/>
      </c>
      <c r="N61" s="21">
        <f>IF($H61="","",IF(NOT(ISNUMBER($AN61)),"—",IF((2*(1-NORMSDIST(ABS($AN61))))&lt;0.001,"&lt;0.001",TEXT((2*(1-NORMSDIST(ABS($AN61)))),"0.000"))))</f>
        <v/>
      </c>
      <c r="P61" s="26" t="n"/>
      <c r="Q61" s="26" t="n"/>
      <c r="R61" s="26" t="n"/>
      <c r="S61" s="26" t="n"/>
      <c r="T61" s="26" t="n"/>
      <c r="V61" s="27">
        <f>IF(ISNUMBER($C61),COUNTIFS($A$14:$A$1213,$A61,$C$14:$C$1213,"&gt;"&amp;$C61)+(COUNTIFS($A$14:$A$1213,$A61,$C$14:$C$1213,"="&amp;$C61)+1)/2,"")</f>
        <v/>
      </c>
      <c r="W61" s="27">
        <f>IF(ISNUMBER($F61),COUNTIFS($A$14:$A$1213,$A61,$F$14:$F$1213,"&gt;"&amp;$F61)+(COUNTIFS($A$14:$A$1213,$A61,$F$14:$F$1213,"="&amp;$F61)+1)/2,"")</f>
        <v/>
      </c>
      <c r="X61" s="27">
        <f>IF(OR(NOT(ISNUMBER($V61)),$AO61=1),"",$V61-(COUNTIFS($A$14:$A$1213,$A61,$C$14:$C$1213,"&gt;=0")+1)/2)</f>
        <v/>
      </c>
      <c r="Y61" s="27">
        <f>IF(OR(NOT(ISNUMBER($W61)),$AO61=1),"",$W61-(COUNTIFS($A$14:$A$1213,$A61,$F$14:$F$1213,"&gt;=0")+1)/2)</f>
        <v/>
      </c>
      <c r="Z61" s="27">
        <f>IF(ISNUMBER($V61),$A61&amp;"|"&amp;$V61,"")</f>
        <v/>
      </c>
      <c r="AA61" s="27">
        <f>IF(ISNUMBER($W61),$A61&amp;"|"&amp;$W61,"")</f>
        <v/>
      </c>
      <c r="AB61" s="27">
        <f>IF(ISNUMBER($F61),$A61&amp;"|"&amp;$F61,"")</f>
        <v/>
      </c>
      <c r="AC61" s="27">
        <f>IF(ISNUMBER($P61),COUNTIFS($A$14:$A$1213,$A61,$P$14:$P$1213,"&gt;"&amp;$P61)+(COUNTIFS($A$14:$A$1213,$A61,$P$14:$P$1213,"="&amp;$P61)+1)/2,"")</f>
        <v/>
      </c>
      <c r="AD61" s="27">
        <f>IF(ISNUMBER($Q61),COUNTIFS($A$14:$A$1213,$A61,$Q$14:$Q$1213,"&gt;"&amp;$Q61)+(COUNTIFS($A$14:$A$1213,$A61,$Q$14:$Q$1213,"="&amp;$Q61)+1)/2,"")</f>
        <v/>
      </c>
      <c r="AE61" s="27">
        <f>IF(ISNUMBER($R61),COUNTIFS($A$14:$A$1213,$A61,$R$14:$R$1213,"&gt;"&amp;$R61)+(COUNTIFS($A$14:$A$1213,$A61,$R$14:$R$1213,"="&amp;$R61)+1)/2,"")</f>
        <v/>
      </c>
      <c r="AF61" s="27">
        <f>IF(ISNUMBER($S61),COUNTIFS($A$14:$A$1213,$A61,$S$14:$S$1213,"&gt;"&amp;$S61)+(COUNTIFS($A$14:$A$1213,$A61,$S$14:$S$1213,"="&amp;$S61)+1)/2,"")</f>
        <v/>
      </c>
      <c r="AG61" s="27">
        <f>IF(ISNUMBER($T61),COUNTIFS($A$14:$A$1213,$A61,$T$14:$T$1213,"&gt;"&amp;$T61)+(COUNTIFS($A$14:$A$1213,$A61,$T$14:$T$1213,"="&amp;$T61)+1)/2,"")</f>
        <v/>
      </c>
      <c r="AH61" s="27">
        <f>IF(COUNT($AC61:$AG61)&lt;2,"",IF(MAX($AC61:$AG61)=MIN($AC61:$AG61),0,1))</f>
        <v/>
      </c>
      <c r="AI61" s="27">
        <f>IF($A61="","",IF(COUNTIF($A$14:$A61,$A61)=1,COUNTIF($AI$13:AI60,"&gt;0")+1,""))</f>
        <v/>
      </c>
      <c r="AJ61" s="27">
        <f>IF(OR($H61="",COUNTIFS($A$14:$A$1213,$H61,$F$14:$F$1213,"&gt;=0")&lt;2,COUNTIFS($A$14:$A$1213,$H61,$F$14:$F$1213,_xlfn.MAXIFS($F$14:$F$1213,$A$14:$A$1213,$H61))&gt;1),"",IFERROR(INDEX($D$14:$D$1213,MATCH($H61&amp;"|"&amp;_xlfn.MAXIFS($F$14:$F$1213,$A$14:$A$1213,$H61),$AB$14:$AB$1213,0)),""))</f>
        <v/>
      </c>
      <c r="AK61" s="27">
        <f>IF(OR($H61="",COUNTIFS($A$14:$A$1213,$H61,$F$14:$F$1213,"&gt;=0")&lt;2,COUNTIFS($A$14:$A$1213,$H61,$F$14:$F$1213,_xlfn.MAXIFS($F$14:$F$1213,$A$14:$A$1213,$H61))&gt;1),"",IFERROR(INDEX($E$14:$E$1213,MATCH($H61&amp;"|"&amp;_xlfn.MAXIFS($F$14:$F$1213,$A$14:$A$1213,$H61),$AB$14:$AB$1213,0)),""))</f>
        <v/>
      </c>
      <c r="AL61" s="27">
        <f>IF(OR($H61="",COUNTIFS($A$14:$A$1213,$H61,$F$14:$F$1213,"&gt;=0")&lt;2,COUNTIFS($A$14:$A$1213,$H61,$F$14:$F$1213,_xlfn.MAXIFS($F$14:$F$1213,$A$14:$A$1213,$H61))&gt;1),"",IFERROR(INDEX($D$14:$D$1213,MATCH($H61&amp;"|"&amp;_xlfn.MAXIFS($F$14:$F$1213,$A$14:$A$1213,$H61,$F$14:$F$1213,"&lt;"&amp;_xlfn.MAXIFS($F$14:$F$1213,$A$14:$A$1213,$H61)),$AB$14:$AB$1213,0)),""))</f>
        <v/>
      </c>
      <c r="AM61" s="27">
        <f>IF(OR($H61="",COUNTIFS($A$14:$A$1213,$H61,$F$14:$F$1213,"&gt;=0")&lt;2,COUNTIFS($A$14:$A$1213,$H61,$F$14:$F$1213,_xlfn.MAXIFS($F$14:$F$1213,$A$14:$A$1213,$H61))&gt;1),"",IFERROR(INDEX($E$14:$E$1213,MATCH($H61&amp;"|"&amp;_xlfn.MAXIFS($F$14:$F$1213,$A$14:$A$1213,$H61,$F$14:$F$1213,"&lt;"&amp;_xlfn.MAXIFS($F$14:$F$1213,$A$14:$A$1213,$H61)),$AB$14:$AB$1213,0)),""))</f>
        <v/>
      </c>
      <c r="AN61" s="27">
        <f>IF(OR(NOT(ISNUMBER($AJ61)),NOT(ISNUMBER($AL61)),$AK61=0,$AM61=0),"",IF(OR((($AJ61+$AL61)/($AK61+$AM61))&lt;=0,(($AJ61+$AL61)/($AK61+$AM61))&gt;=1),"",($AJ61/$AK61-$AL61/$AM61)/SQRT((($AJ61+$AL61)/($AK61+$AM61))*(1-(($AJ61+$AL61)/($AK61+$AM61)))*(1/$AK61+1/$AM61))))</f>
        <v/>
      </c>
      <c r="AO61" s="27">
        <f>IF($A61="","",IF(AND(COUNTIFS($A$14:$A$1213,$A61,$F$14:$F$1213,"&gt;=0")=2,IFERROR(INDEX($M$14:$M$313,MATCH($A61,$H$14:$H$313,0)),"Yes")&lt;&gt;"Yes"),1,0))</f>
        <v/>
      </c>
    </row>
    <row r="62" ht="24" customHeight="1">
      <c r="A62" s="19" t="n"/>
      <c r="B62" s="20" t="n"/>
      <c r="C62" s="21">
        <f>IFERROR(AVERAGE(P62:T62),"")</f>
        <v/>
      </c>
      <c r="D62" s="29" t="n"/>
      <c r="E62" s="29" t="n"/>
      <c r="F62" s="30">
        <f>IF(AND(ISNUMBER($D62),ISNUMBER($E62),$E62&gt;0,$D62&lt;=$E62),$D62/$E62,"")</f>
        <v/>
      </c>
      <c r="H62" s="19">
        <f>IFERROR(INDEX($A$14:$A$1213,MATCH(49,$AI$14:$AI$1213,0)),"")</f>
        <v/>
      </c>
      <c r="I62" s="24">
        <f>IF($H62="","",IF(COUNTIFS($A$14:$A$1213,$H62,$C$14:$C$1213,"&gt;=0")=0,"—",IFERROR(INDEX($B$14:$B$1213,MATCH($H62&amp;"|1",$Z$14:$Z$1213,0)),"(tied)")))</f>
        <v/>
      </c>
      <c r="J62" s="25">
        <f>IF($H62="","",IF(OR(COUNTIFS($A$14:$A$1213,$H62,$C$14:$C$1213,"&gt;=0")=0,COUNTIFS($A$14:$A$1213,$H62,$F$14:$F$1213,"&gt;=0")=0),"—",IF(OR(ISERROR(MATCH($H62&amp;"|1",$Z$14:$Z$1213,0)),ISERROR(MATCH($H62&amp;"|1",$AA$14:$AA$1213,0))),"Tie",IF(MATCH($H62&amp;"|1",$Z$14:$Z$1213,0)=MATCH($H62&amp;"|1",$AA$14:$AA$1213,0),"Hit","Miss"))))</f>
        <v/>
      </c>
      <c r="K62" s="24">
        <f>IF($H62="","",IF(COUNTIFS($A$14:$A$1213,$H62,$F$14:$F$1213,"&gt;=0")=0,"—",IFERROR(INDEX($B$14:$B$1213,MATCH($H62&amp;"|1",$AA$14:$AA$1213,0)),"(tied)")))</f>
        <v/>
      </c>
      <c r="L62" s="25">
        <f>IF($H62="","",IF((--(COUNTIFS($A$14:$A$1213,$H62,$P$14:$P$1213,"&gt;=0")&gt;0)+--(COUNTIFS($A$14:$A$1213,$H62,$Q$14:$Q$1213,"&gt;=0")&gt;0)+--(COUNTIFS($A$14:$A$1213,$H62,$R$14:$R$1213,"&gt;=0")&gt;0)+--(COUNTIFS($A$14:$A$1213,$H62,$S$14:$S$1213,"&gt;=0")&gt;0)+--(COUNTIFS($A$14:$A$1213,$H62,$T$14:$T$1213,"&gt;=0")&gt;0))&lt;2,"—",IF(SUMIFS($AH$14:$AH$1213,$A$14:$A$1213,$H62)=0,"Yes","No")))</f>
        <v/>
      </c>
      <c r="M62" s="25">
        <f>IF($H62="","",IF(COUNTIFS($A$14:$A$1213,$H62,$F$14:$F$1213,"&gt;=0")&lt;2,"—",IF(COUNTIFS($A$14:$A$1213,$H62,$F$14:$F$1213,_xlfn.MAXIFS($F$14:$F$1213,$A$14:$A$1213,$H62))&gt;1,"No",IF(NOT(ISNUMBER($AN62)),"—",IF((2*(1-NORMSDIST(ABS($AN62))))&lt;0.05,"Yes","No")))))</f>
        <v/>
      </c>
      <c r="N62" s="21">
        <f>IF($H62="","",IF(NOT(ISNUMBER($AN62)),"—",IF((2*(1-NORMSDIST(ABS($AN62))))&lt;0.001,"&lt;0.001",TEXT((2*(1-NORMSDIST(ABS($AN62)))),"0.000"))))</f>
        <v/>
      </c>
      <c r="P62" s="26" t="n"/>
      <c r="Q62" s="26" t="n"/>
      <c r="R62" s="26" t="n"/>
      <c r="S62" s="26" t="n"/>
      <c r="T62" s="26" t="n"/>
      <c r="V62" s="27">
        <f>IF(ISNUMBER($C62),COUNTIFS($A$14:$A$1213,$A62,$C$14:$C$1213,"&gt;"&amp;$C62)+(COUNTIFS($A$14:$A$1213,$A62,$C$14:$C$1213,"="&amp;$C62)+1)/2,"")</f>
        <v/>
      </c>
      <c r="W62" s="27">
        <f>IF(ISNUMBER($F62),COUNTIFS($A$14:$A$1213,$A62,$F$14:$F$1213,"&gt;"&amp;$F62)+(COUNTIFS($A$14:$A$1213,$A62,$F$14:$F$1213,"="&amp;$F62)+1)/2,"")</f>
        <v/>
      </c>
      <c r="X62" s="27">
        <f>IF(OR(NOT(ISNUMBER($V62)),$AO62=1),"",$V62-(COUNTIFS($A$14:$A$1213,$A62,$C$14:$C$1213,"&gt;=0")+1)/2)</f>
        <v/>
      </c>
      <c r="Y62" s="27">
        <f>IF(OR(NOT(ISNUMBER($W62)),$AO62=1),"",$W62-(COUNTIFS($A$14:$A$1213,$A62,$F$14:$F$1213,"&gt;=0")+1)/2)</f>
        <v/>
      </c>
      <c r="Z62" s="27">
        <f>IF(ISNUMBER($V62),$A62&amp;"|"&amp;$V62,"")</f>
        <v/>
      </c>
      <c r="AA62" s="27">
        <f>IF(ISNUMBER($W62),$A62&amp;"|"&amp;$W62,"")</f>
        <v/>
      </c>
      <c r="AB62" s="27">
        <f>IF(ISNUMBER($F62),$A62&amp;"|"&amp;$F62,"")</f>
        <v/>
      </c>
      <c r="AC62" s="27">
        <f>IF(ISNUMBER($P62),COUNTIFS($A$14:$A$1213,$A62,$P$14:$P$1213,"&gt;"&amp;$P62)+(COUNTIFS($A$14:$A$1213,$A62,$P$14:$P$1213,"="&amp;$P62)+1)/2,"")</f>
        <v/>
      </c>
      <c r="AD62" s="27">
        <f>IF(ISNUMBER($Q62),COUNTIFS($A$14:$A$1213,$A62,$Q$14:$Q$1213,"&gt;"&amp;$Q62)+(COUNTIFS($A$14:$A$1213,$A62,$Q$14:$Q$1213,"="&amp;$Q62)+1)/2,"")</f>
        <v/>
      </c>
      <c r="AE62" s="27">
        <f>IF(ISNUMBER($R62),COUNTIFS($A$14:$A$1213,$A62,$R$14:$R$1213,"&gt;"&amp;$R62)+(COUNTIFS($A$14:$A$1213,$A62,$R$14:$R$1213,"="&amp;$R62)+1)/2,"")</f>
        <v/>
      </c>
      <c r="AF62" s="27">
        <f>IF(ISNUMBER($S62),COUNTIFS($A$14:$A$1213,$A62,$S$14:$S$1213,"&gt;"&amp;$S62)+(COUNTIFS($A$14:$A$1213,$A62,$S$14:$S$1213,"="&amp;$S62)+1)/2,"")</f>
        <v/>
      </c>
      <c r="AG62" s="27">
        <f>IF(ISNUMBER($T62),COUNTIFS($A$14:$A$1213,$A62,$T$14:$T$1213,"&gt;"&amp;$T62)+(COUNTIFS($A$14:$A$1213,$A62,$T$14:$T$1213,"="&amp;$T62)+1)/2,"")</f>
        <v/>
      </c>
      <c r="AH62" s="27">
        <f>IF(COUNT($AC62:$AG62)&lt;2,"",IF(MAX($AC62:$AG62)=MIN($AC62:$AG62),0,1))</f>
        <v/>
      </c>
      <c r="AI62" s="27">
        <f>IF($A62="","",IF(COUNTIF($A$14:$A62,$A62)=1,COUNTIF($AI$13:AI61,"&gt;0")+1,""))</f>
        <v/>
      </c>
      <c r="AJ62" s="27">
        <f>IF(OR($H62="",COUNTIFS($A$14:$A$1213,$H62,$F$14:$F$1213,"&gt;=0")&lt;2,COUNTIFS($A$14:$A$1213,$H62,$F$14:$F$1213,_xlfn.MAXIFS($F$14:$F$1213,$A$14:$A$1213,$H62))&gt;1),"",IFERROR(INDEX($D$14:$D$1213,MATCH($H62&amp;"|"&amp;_xlfn.MAXIFS($F$14:$F$1213,$A$14:$A$1213,$H62),$AB$14:$AB$1213,0)),""))</f>
        <v/>
      </c>
      <c r="AK62" s="27">
        <f>IF(OR($H62="",COUNTIFS($A$14:$A$1213,$H62,$F$14:$F$1213,"&gt;=0")&lt;2,COUNTIFS($A$14:$A$1213,$H62,$F$14:$F$1213,_xlfn.MAXIFS($F$14:$F$1213,$A$14:$A$1213,$H62))&gt;1),"",IFERROR(INDEX($E$14:$E$1213,MATCH($H62&amp;"|"&amp;_xlfn.MAXIFS($F$14:$F$1213,$A$14:$A$1213,$H62),$AB$14:$AB$1213,0)),""))</f>
        <v/>
      </c>
      <c r="AL62" s="27">
        <f>IF(OR($H62="",COUNTIFS($A$14:$A$1213,$H62,$F$14:$F$1213,"&gt;=0")&lt;2,COUNTIFS($A$14:$A$1213,$H62,$F$14:$F$1213,_xlfn.MAXIFS($F$14:$F$1213,$A$14:$A$1213,$H62))&gt;1),"",IFERROR(INDEX($D$14:$D$1213,MATCH($H62&amp;"|"&amp;_xlfn.MAXIFS($F$14:$F$1213,$A$14:$A$1213,$H62,$F$14:$F$1213,"&lt;"&amp;_xlfn.MAXIFS($F$14:$F$1213,$A$14:$A$1213,$H62)),$AB$14:$AB$1213,0)),""))</f>
        <v/>
      </c>
      <c r="AM62" s="27">
        <f>IF(OR($H62="",COUNTIFS($A$14:$A$1213,$H62,$F$14:$F$1213,"&gt;=0")&lt;2,COUNTIFS($A$14:$A$1213,$H62,$F$14:$F$1213,_xlfn.MAXIFS($F$14:$F$1213,$A$14:$A$1213,$H62))&gt;1),"",IFERROR(INDEX($E$14:$E$1213,MATCH($H62&amp;"|"&amp;_xlfn.MAXIFS($F$14:$F$1213,$A$14:$A$1213,$H62,$F$14:$F$1213,"&lt;"&amp;_xlfn.MAXIFS($F$14:$F$1213,$A$14:$A$1213,$H62)),$AB$14:$AB$1213,0)),""))</f>
        <v/>
      </c>
      <c r="AN62" s="27">
        <f>IF(OR(NOT(ISNUMBER($AJ62)),NOT(ISNUMBER($AL62)),$AK62=0,$AM62=0),"",IF(OR((($AJ62+$AL62)/($AK62+$AM62))&lt;=0,(($AJ62+$AL62)/($AK62+$AM62))&gt;=1),"",($AJ62/$AK62-$AL62/$AM62)/SQRT((($AJ62+$AL62)/($AK62+$AM62))*(1-(($AJ62+$AL62)/($AK62+$AM62)))*(1/$AK62+1/$AM62))))</f>
        <v/>
      </c>
      <c r="AO62" s="27">
        <f>IF($A62="","",IF(AND(COUNTIFS($A$14:$A$1213,$A62,$F$14:$F$1213,"&gt;=0")=2,IFERROR(INDEX($M$14:$M$313,MATCH($A62,$H$14:$H$313,0)),"Yes")&lt;&gt;"Yes"),1,0))</f>
        <v/>
      </c>
    </row>
    <row r="63" ht="24" customHeight="1">
      <c r="A63" s="19" t="n"/>
      <c r="B63" s="20" t="n"/>
      <c r="C63" s="21">
        <f>IFERROR(AVERAGE(P63:T63),"")</f>
        <v/>
      </c>
      <c r="D63" s="29" t="n"/>
      <c r="E63" s="29" t="n"/>
      <c r="F63" s="30">
        <f>IF(AND(ISNUMBER($D63),ISNUMBER($E63),$E63&gt;0,$D63&lt;=$E63),$D63/$E63,"")</f>
        <v/>
      </c>
      <c r="H63" s="19">
        <f>IFERROR(INDEX($A$14:$A$1213,MATCH(50,$AI$14:$AI$1213,0)),"")</f>
        <v/>
      </c>
      <c r="I63" s="24">
        <f>IF($H63="","",IF(COUNTIFS($A$14:$A$1213,$H63,$C$14:$C$1213,"&gt;=0")=0,"—",IFERROR(INDEX($B$14:$B$1213,MATCH($H63&amp;"|1",$Z$14:$Z$1213,0)),"(tied)")))</f>
        <v/>
      </c>
      <c r="J63" s="25">
        <f>IF($H63="","",IF(OR(COUNTIFS($A$14:$A$1213,$H63,$C$14:$C$1213,"&gt;=0")=0,COUNTIFS($A$14:$A$1213,$H63,$F$14:$F$1213,"&gt;=0")=0),"—",IF(OR(ISERROR(MATCH($H63&amp;"|1",$Z$14:$Z$1213,0)),ISERROR(MATCH($H63&amp;"|1",$AA$14:$AA$1213,0))),"Tie",IF(MATCH($H63&amp;"|1",$Z$14:$Z$1213,0)=MATCH($H63&amp;"|1",$AA$14:$AA$1213,0),"Hit","Miss"))))</f>
        <v/>
      </c>
      <c r="K63" s="24">
        <f>IF($H63="","",IF(COUNTIFS($A$14:$A$1213,$H63,$F$14:$F$1213,"&gt;=0")=0,"—",IFERROR(INDEX($B$14:$B$1213,MATCH($H63&amp;"|1",$AA$14:$AA$1213,0)),"(tied)")))</f>
        <v/>
      </c>
      <c r="L63" s="25">
        <f>IF($H63="","",IF((--(COUNTIFS($A$14:$A$1213,$H63,$P$14:$P$1213,"&gt;=0")&gt;0)+--(COUNTIFS($A$14:$A$1213,$H63,$Q$14:$Q$1213,"&gt;=0")&gt;0)+--(COUNTIFS($A$14:$A$1213,$H63,$R$14:$R$1213,"&gt;=0")&gt;0)+--(COUNTIFS($A$14:$A$1213,$H63,$S$14:$S$1213,"&gt;=0")&gt;0)+--(COUNTIFS($A$14:$A$1213,$H63,$T$14:$T$1213,"&gt;=0")&gt;0))&lt;2,"—",IF(SUMIFS($AH$14:$AH$1213,$A$14:$A$1213,$H63)=0,"Yes","No")))</f>
        <v/>
      </c>
      <c r="M63" s="25">
        <f>IF($H63="","",IF(COUNTIFS($A$14:$A$1213,$H63,$F$14:$F$1213,"&gt;=0")&lt;2,"—",IF(COUNTIFS($A$14:$A$1213,$H63,$F$14:$F$1213,_xlfn.MAXIFS($F$14:$F$1213,$A$14:$A$1213,$H63))&gt;1,"No",IF(NOT(ISNUMBER($AN63)),"—",IF((2*(1-NORMSDIST(ABS($AN63))))&lt;0.05,"Yes","No")))))</f>
        <v/>
      </c>
      <c r="N63" s="21">
        <f>IF($H63="","",IF(NOT(ISNUMBER($AN63)),"—",IF((2*(1-NORMSDIST(ABS($AN63))))&lt;0.001,"&lt;0.001",TEXT((2*(1-NORMSDIST(ABS($AN63)))),"0.000"))))</f>
        <v/>
      </c>
      <c r="P63" s="26" t="n"/>
      <c r="Q63" s="26" t="n"/>
      <c r="R63" s="26" t="n"/>
      <c r="S63" s="26" t="n"/>
      <c r="T63" s="26" t="n"/>
      <c r="V63" s="27">
        <f>IF(ISNUMBER($C63),COUNTIFS($A$14:$A$1213,$A63,$C$14:$C$1213,"&gt;"&amp;$C63)+(COUNTIFS($A$14:$A$1213,$A63,$C$14:$C$1213,"="&amp;$C63)+1)/2,"")</f>
        <v/>
      </c>
      <c r="W63" s="27">
        <f>IF(ISNUMBER($F63),COUNTIFS($A$14:$A$1213,$A63,$F$14:$F$1213,"&gt;"&amp;$F63)+(COUNTIFS($A$14:$A$1213,$A63,$F$14:$F$1213,"="&amp;$F63)+1)/2,"")</f>
        <v/>
      </c>
      <c r="X63" s="27">
        <f>IF(OR(NOT(ISNUMBER($V63)),$AO63=1),"",$V63-(COUNTIFS($A$14:$A$1213,$A63,$C$14:$C$1213,"&gt;=0")+1)/2)</f>
        <v/>
      </c>
      <c r="Y63" s="27">
        <f>IF(OR(NOT(ISNUMBER($W63)),$AO63=1),"",$W63-(COUNTIFS($A$14:$A$1213,$A63,$F$14:$F$1213,"&gt;=0")+1)/2)</f>
        <v/>
      </c>
      <c r="Z63" s="27">
        <f>IF(ISNUMBER($V63),$A63&amp;"|"&amp;$V63,"")</f>
        <v/>
      </c>
      <c r="AA63" s="27">
        <f>IF(ISNUMBER($W63),$A63&amp;"|"&amp;$W63,"")</f>
        <v/>
      </c>
      <c r="AB63" s="27">
        <f>IF(ISNUMBER($F63),$A63&amp;"|"&amp;$F63,"")</f>
        <v/>
      </c>
      <c r="AC63" s="27">
        <f>IF(ISNUMBER($P63),COUNTIFS($A$14:$A$1213,$A63,$P$14:$P$1213,"&gt;"&amp;$P63)+(COUNTIFS($A$14:$A$1213,$A63,$P$14:$P$1213,"="&amp;$P63)+1)/2,"")</f>
        <v/>
      </c>
      <c r="AD63" s="27">
        <f>IF(ISNUMBER($Q63),COUNTIFS($A$14:$A$1213,$A63,$Q$14:$Q$1213,"&gt;"&amp;$Q63)+(COUNTIFS($A$14:$A$1213,$A63,$Q$14:$Q$1213,"="&amp;$Q63)+1)/2,"")</f>
        <v/>
      </c>
      <c r="AE63" s="27">
        <f>IF(ISNUMBER($R63),COUNTIFS($A$14:$A$1213,$A63,$R$14:$R$1213,"&gt;"&amp;$R63)+(COUNTIFS($A$14:$A$1213,$A63,$R$14:$R$1213,"="&amp;$R63)+1)/2,"")</f>
        <v/>
      </c>
      <c r="AF63" s="27">
        <f>IF(ISNUMBER($S63),COUNTIFS($A$14:$A$1213,$A63,$S$14:$S$1213,"&gt;"&amp;$S63)+(COUNTIFS($A$14:$A$1213,$A63,$S$14:$S$1213,"="&amp;$S63)+1)/2,"")</f>
        <v/>
      </c>
      <c r="AG63" s="27">
        <f>IF(ISNUMBER($T63),COUNTIFS($A$14:$A$1213,$A63,$T$14:$T$1213,"&gt;"&amp;$T63)+(COUNTIFS($A$14:$A$1213,$A63,$T$14:$T$1213,"="&amp;$T63)+1)/2,"")</f>
        <v/>
      </c>
      <c r="AH63" s="27">
        <f>IF(COUNT($AC63:$AG63)&lt;2,"",IF(MAX($AC63:$AG63)=MIN($AC63:$AG63),0,1))</f>
        <v/>
      </c>
      <c r="AI63" s="27">
        <f>IF($A63="","",IF(COUNTIF($A$14:$A63,$A63)=1,COUNTIF($AI$13:AI62,"&gt;0")+1,""))</f>
        <v/>
      </c>
      <c r="AJ63" s="27">
        <f>IF(OR($H63="",COUNTIFS($A$14:$A$1213,$H63,$F$14:$F$1213,"&gt;=0")&lt;2,COUNTIFS($A$14:$A$1213,$H63,$F$14:$F$1213,_xlfn.MAXIFS($F$14:$F$1213,$A$14:$A$1213,$H63))&gt;1),"",IFERROR(INDEX($D$14:$D$1213,MATCH($H63&amp;"|"&amp;_xlfn.MAXIFS($F$14:$F$1213,$A$14:$A$1213,$H63),$AB$14:$AB$1213,0)),""))</f>
        <v/>
      </c>
      <c r="AK63" s="27">
        <f>IF(OR($H63="",COUNTIFS($A$14:$A$1213,$H63,$F$14:$F$1213,"&gt;=0")&lt;2,COUNTIFS($A$14:$A$1213,$H63,$F$14:$F$1213,_xlfn.MAXIFS($F$14:$F$1213,$A$14:$A$1213,$H63))&gt;1),"",IFERROR(INDEX($E$14:$E$1213,MATCH($H63&amp;"|"&amp;_xlfn.MAXIFS($F$14:$F$1213,$A$14:$A$1213,$H63),$AB$14:$AB$1213,0)),""))</f>
        <v/>
      </c>
      <c r="AL63" s="27">
        <f>IF(OR($H63="",COUNTIFS($A$14:$A$1213,$H63,$F$14:$F$1213,"&gt;=0")&lt;2,COUNTIFS($A$14:$A$1213,$H63,$F$14:$F$1213,_xlfn.MAXIFS($F$14:$F$1213,$A$14:$A$1213,$H63))&gt;1),"",IFERROR(INDEX($D$14:$D$1213,MATCH($H63&amp;"|"&amp;_xlfn.MAXIFS($F$14:$F$1213,$A$14:$A$1213,$H63,$F$14:$F$1213,"&lt;"&amp;_xlfn.MAXIFS($F$14:$F$1213,$A$14:$A$1213,$H63)),$AB$14:$AB$1213,0)),""))</f>
        <v/>
      </c>
      <c r="AM63" s="27">
        <f>IF(OR($H63="",COUNTIFS($A$14:$A$1213,$H63,$F$14:$F$1213,"&gt;=0")&lt;2,COUNTIFS($A$14:$A$1213,$H63,$F$14:$F$1213,_xlfn.MAXIFS($F$14:$F$1213,$A$14:$A$1213,$H63))&gt;1),"",IFERROR(INDEX($E$14:$E$1213,MATCH($H63&amp;"|"&amp;_xlfn.MAXIFS($F$14:$F$1213,$A$14:$A$1213,$H63,$F$14:$F$1213,"&lt;"&amp;_xlfn.MAXIFS($F$14:$F$1213,$A$14:$A$1213,$H63)),$AB$14:$AB$1213,0)),""))</f>
        <v/>
      </c>
      <c r="AN63" s="27">
        <f>IF(OR(NOT(ISNUMBER($AJ63)),NOT(ISNUMBER($AL63)),$AK63=0,$AM63=0),"",IF(OR((($AJ63+$AL63)/($AK63+$AM63))&lt;=0,(($AJ63+$AL63)/($AK63+$AM63))&gt;=1),"",($AJ63/$AK63-$AL63/$AM63)/SQRT((($AJ63+$AL63)/($AK63+$AM63))*(1-(($AJ63+$AL63)/($AK63+$AM63)))*(1/$AK63+1/$AM63))))</f>
        <v/>
      </c>
      <c r="AO63" s="27">
        <f>IF($A63="","",IF(AND(COUNTIFS($A$14:$A$1213,$A63,$F$14:$F$1213,"&gt;=0")=2,IFERROR(INDEX($M$14:$M$313,MATCH($A63,$H$14:$H$313,0)),"Yes")&lt;&gt;"Yes"),1,0))</f>
        <v/>
      </c>
    </row>
    <row r="64" ht="24" customHeight="1">
      <c r="A64" s="19" t="n"/>
      <c r="B64" s="20" t="n"/>
      <c r="C64" s="21">
        <f>IFERROR(AVERAGE(P64:T64),"")</f>
        <v/>
      </c>
      <c r="D64" s="29" t="n"/>
      <c r="E64" s="29" t="n"/>
      <c r="F64" s="30">
        <f>IF(AND(ISNUMBER($D64),ISNUMBER($E64),$E64&gt;0,$D64&lt;=$E64),$D64/$E64,"")</f>
        <v/>
      </c>
      <c r="H64" s="19">
        <f>IFERROR(INDEX($A$14:$A$1213,MATCH(51,$AI$14:$AI$1213,0)),"")</f>
        <v/>
      </c>
      <c r="I64" s="24">
        <f>IF($H64="","",IF(COUNTIFS($A$14:$A$1213,$H64,$C$14:$C$1213,"&gt;=0")=0,"—",IFERROR(INDEX($B$14:$B$1213,MATCH($H64&amp;"|1",$Z$14:$Z$1213,0)),"(tied)")))</f>
        <v/>
      </c>
      <c r="J64" s="25">
        <f>IF($H64="","",IF(OR(COUNTIFS($A$14:$A$1213,$H64,$C$14:$C$1213,"&gt;=0")=0,COUNTIFS($A$14:$A$1213,$H64,$F$14:$F$1213,"&gt;=0")=0),"—",IF(OR(ISERROR(MATCH($H64&amp;"|1",$Z$14:$Z$1213,0)),ISERROR(MATCH($H64&amp;"|1",$AA$14:$AA$1213,0))),"Tie",IF(MATCH($H64&amp;"|1",$Z$14:$Z$1213,0)=MATCH($H64&amp;"|1",$AA$14:$AA$1213,0),"Hit","Miss"))))</f>
        <v/>
      </c>
      <c r="K64" s="24">
        <f>IF($H64="","",IF(COUNTIFS($A$14:$A$1213,$H64,$F$14:$F$1213,"&gt;=0")=0,"—",IFERROR(INDEX($B$14:$B$1213,MATCH($H64&amp;"|1",$AA$14:$AA$1213,0)),"(tied)")))</f>
        <v/>
      </c>
      <c r="L64" s="25">
        <f>IF($H64="","",IF((--(COUNTIFS($A$14:$A$1213,$H64,$P$14:$P$1213,"&gt;=0")&gt;0)+--(COUNTIFS($A$14:$A$1213,$H64,$Q$14:$Q$1213,"&gt;=0")&gt;0)+--(COUNTIFS($A$14:$A$1213,$H64,$R$14:$R$1213,"&gt;=0")&gt;0)+--(COUNTIFS($A$14:$A$1213,$H64,$S$14:$S$1213,"&gt;=0")&gt;0)+--(COUNTIFS($A$14:$A$1213,$H64,$T$14:$T$1213,"&gt;=0")&gt;0))&lt;2,"—",IF(SUMIFS($AH$14:$AH$1213,$A$14:$A$1213,$H64)=0,"Yes","No")))</f>
        <v/>
      </c>
      <c r="M64" s="25">
        <f>IF($H64="","",IF(COUNTIFS($A$14:$A$1213,$H64,$F$14:$F$1213,"&gt;=0")&lt;2,"—",IF(COUNTIFS($A$14:$A$1213,$H64,$F$14:$F$1213,_xlfn.MAXIFS($F$14:$F$1213,$A$14:$A$1213,$H64))&gt;1,"No",IF(NOT(ISNUMBER($AN64)),"—",IF((2*(1-NORMSDIST(ABS($AN64))))&lt;0.05,"Yes","No")))))</f>
        <v/>
      </c>
      <c r="N64" s="21">
        <f>IF($H64="","",IF(NOT(ISNUMBER($AN64)),"—",IF((2*(1-NORMSDIST(ABS($AN64))))&lt;0.001,"&lt;0.001",TEXT((2*(1-NORMSDIST(ABS($AN64)))),"0.000"))))</f>
        <v/>
      </c>
      <c r="P64" s="26" t="n"/>
      <c r="Q64" s="26" t="n"/>
      <c r="R64" s="26" t="n"/>
      <c r="S64" s="26" t="n"/>
      <c r="T64" s="26" t="n"/>
      <c r="V64" s="27">
        <f>IF(ISNUMBER($C64),COUNTIFS($A$14:$A$1213,$A64,$C$14:$C$1213,"&gt;"&amp;$C64)+(COUNTIFS($A$14:$A$1213,$A64,$C$14:$C$1213,"="&amp;$C64)+1)/2,"")</f>
        <v/>
      </c>
      <c r="W64" s="27">
        <f>IF(ISNUMBER($F64),COUNTIFS($A$14:$A$1213,$A64,$F$14:$F$1213,"&gt;"&amp;$F64)+(COUNTIFS($A$14:$A$1213,$A64,$F$14:$F$1213,"="&amp;$F64)+1)/2,"")</f>
        <v/>
      </c>
      <c r="X64" s="27">
        <f>IF(OR(NOT(ISNUMBER($V64)),$AO64=1),"",$V64-(COUNTIFS($A$14:$A$1213,$A64,$C$14:$C$1213,"&gt;=0")+1)/2)</f>
        <v/>
      </c>
      <c r="Y64" s="27">
        <f>IF(OR(NOT(ISNUMBER($W64)),$AO64=1),"",$W64-(COUNTIFS($A$14:$A$1213,$A64,$F$14:$F$1213,"&gt;=0")+1)/2)</f>
        <v/>
      </c>
      <c r="Z64" s="27">
        <f>IF(ISNUMBER($V64),$A64&amp;"|"&amp;$V64,"")</f>
        <v/>
      </c>
      <c r="AA64" s="27">
        <f>IF(ISNUMBER($W64),$A64&amp;"|"&amp;$W64,"")</f>
        <v/>
      </c>
      <c r="AB64" s="27">
        <f>IF(ISNUMBER($F64),$A64&amp;"|"&amp;$F64,"")</f>
        <v/>
      </c>
      <c r="AC64" s="27">
        <f>IF(ISNUMBER($P64),COUNTIFS($A$14:$A$1213,$A64,$P$14:$P$1213,"&gt;"&amp;$P64)+(COUNTIFS($A$14:$A$1213,$A64,$P$14:$P$1213,"="&amp;$P64)+1)/2,"")</f>
        <v/>
      </c>
      <c r="AD64" s="27">
        <f>IF(ISNUMBER($Q64),COUNTIFS($A$14:$A$1213,$A64,$Q$14:$Q$1213,"&gt;"&amp;$Q64)+(COUNTIFS($A$14:$A$1213,$A64,$Q$14:$Q$1213,"="&amp;$Q64)+1)/2,"")</f>
        <v/>
      </c>
      <c r="AE64" s="27">
        <f>IF(ISNUMBER($R64),COUNTIFS($A$14:$A$1213,$A64,$R$14:$R$1213,"&gt;"&amp;$R64)+(COUNTIFS($A$14:$A$1213,$A64,$R$14:$R$1213,"="&amp;$R64)+1)/2,"")</f>
        <v/>
      </c>
      <c r="AF64" s="27">
        <f>IF(ISNUMBER($S64),COUNTIFS($A$14:$A$1213,$A64,$S$14:$S$1213,"&gt;"&amp;$S64)+(COUNTIFS($A$14:$A$1213,$A64,$S$14:$S$1213,"="&amp;$S64)+1)/2,"")</f>
        <v/>
      </c>
      <c r="AG64" s="27">
        <f>IF(ISNUMBER($T64),COUNTIFS($A$14:$A$1213,$A64,$T$14:$T$1213,"&gt;"&amp;$T64)+(COUNTIFS($A$14:$A$1213,$A64,$T$14:$T$1213,"="&amp;$T64)+1)/2,"")</f>
        <v/>
      </c>
      <c r="AH64" s="27">
        <f>IF(COUNT($AC64:$AG64)&lt;2,"",IF(MAX($AC64:$AG64)=MIN($AC64:$AG64),0,1))</f>
        <v/>
      </c>
      <c r="AI64" s="27">
        <f>IF($A64="","",IF(COUNTIF($A$14:$A64,$A64)=1,COUNTIF($AI$13:AI63,"&gt;0")+1,""))</f>
        <v/>
      </c>
      <c r="AJ64" s="27">
        <f>IF(OR($H64="",COUNTIFS($A$14:$A$1213,$H64,$F$14:$F$1213,"&gt;=0")&lt;2,COUNTIFS($A$14:$A$1213,$H64,$F$14:$F$1213,_xlfn.MAXIFS($F$14:$F$1213,$A$14:$A$1213,$H64))&gt;1),"",IFERROR(INDEX($D$14:$D$1213,MATCH($H64&amp;"|"&amp;_xlfn.MAXIFS($F$14:$F$1213,$A$14:$A$1213,$H64),$AB$14:$AB$1213,0)),""))</f>
        <v/>
      </c>
      <c r="AK64" s="27">
        <f>IF(OR($H64="",COUNTIFS($A$14:$A$1213,$H64,$F$14:$F$1213,"&gt;=0")&lt;2,COUNTIFS($A$14:$A$1213,$H64,$F$14:$F$1213,_xlfn.MAXIFS($F$14:$F$1213,$A$14:$A$1213,$H64))&gt;1),"",IFERROR(INDEX($E$14:$E$1213,MATCH($H64&amp;"|"&amp;_xlfn.MAXIFS($F$14:$F$1213,$A$14:$A$1213,$H64),$AB$14:$AB$1213,0)),""))</f>
        <v/>
      </c>
      <c r="AL64" s="27">
        <f>IF(OR($H64="",COUNTIFS($A$14:$A$1213,$H64,$F$14:$F$1213,"&gt;=0")&lt;2,COUNTIFS($A$14:$A$1213,$H64,$F$14:$F$1213,_xlfn.MAXIFS($F$14:$F$1213,$A$14:$A$1213,$H64))&gt;1),"",IFERROR(INDEX($D$14:$D$1213,MATCH($H64&amp;"|"&amp;_xlfn.MAXIFS($F$14:$F$1213,$A$14:$A$1213,$H64,$F$14:$F$1213,"&lt;"&amp;_xlfn.MAXIFS($F$14:$F$1213,$A$14:$A$1213,$H64)),$AB$14:$AB$1213,0)),""))</f>
        <v/>
      </c>
      <c r="AM64" s="27">
        <f>IF(OR($H64="",COUNTIFS($A$14:$A$1213,$H64,$F$14:$F$1213,"&gt;=0")&lt;2,COUNTIFS($A$14:$A$1213,$H64,$F$14:$F$1213,_xlfn.MAXIFS($F$14:$F$1213,$A$14:$A$1213,$H64))&gt;1),"",IFERROR(INDEX($E$14:$E$1213,MATCH($H64&amp;"|"&amp;_xlfn.MAXIFS($F$14:$F$1213,$A$14:$A$1213,$H64,$F$14:$F$1213,"&lt;"&amp;_xlfn.MAXIFS($F$14:$F$1213,$A$14:$A$1213,$H64)),$AB$14:$AB$1213,0)),""))</f>
        <v/>
      </c>
      <c r="AN64" s="27">
        <f>IF(OR(NOT(ISNUMBER($AJ64)),NOT(ISNUMBER($AL64)),$AK64=0,$AM64=0),"",IF(OR((($AJ64+$AL64)/($AK64+$AM64))&lt;=0,(($AJ64+$AL64)/($AK64+$AM64))&gt;=1),"",($AJ64/$AK64-$AL64/$AM64)/SQRT((($AJ64+$AL64)/($AK64+$AM64))*(1-(($AJ64+$AL64)/($AK64+$AM64)))*(1/$AK64+1/$AM64))))</f>
        <v/>
      </c>
      <c r="AO64" s="27">
        <f>IF($A64="","",IF(AND(COUNTIFS($A$14:$A$1213,$A64,$F$14:$F$1213,"&gt;=0")=2,IFERROR(INDEX($M$14:$M$313,MATCH($A64,$H$14:$H$313,0)),"Yes")&lt;&gt;"Yes"),1,0))</f>
        <v/>
      </c>
    </row>
    <row r="65" ht="24" customHeight="1">
      <c r="A65" s="19" t="n"/>
      <c r="B65" s="20" t="n"/>
      <c r="C65" s="21">
        <f>IFERROR(AVERAGE(P65:T65),"")</f>
        <v/>
      </c>
      <c r="D65" s="29" t="n"/>
      <c r="E65" s="29" t="n"/>
      <c r="F65" s="30">
        <f>IF(AND(ISNUMBER($D65),ISNUMBER($E65),$E65&gt;0,$D65&lt;=$E65),$D65/$E65,"")</f>
        <v/>
      </c>
      <c r="H65" s="19">
        <f>IFERROR(INDEX($A$14:$A$1213,MATCH(52,$AI$14:$AI$1213,0)),"")</f>
        <v/>
      </c>
      <c r="I65" s="24">
        <f>IF($H65="","",IF(COUNTIFS($A$14:$A$1213,$H65,$C$14:$C$1213,"&gt;=0")=0,"—",IFERROR(INDEX($B$14:$B$1213,MATCH($H65&amp;"|1",$Z$14:$Z$1213,0)),"(tied)")))</f>
        <v/>
      </c>
      <c r="J65" s="25">
        <f>IF($H65="","",IF(OR(COUNTIFS($A$14:$A$1213,$H65,$C$14:$C$1213,"&gt;=0")=0,COUNTIFS($A$14:$A$1213,$H65,$F$14:$F$1213,"&gt;=0")=0),"—",IF(OR(ISERROR(MATCH($H65&amp;"|1",$Z$14:$Z$1213,0)),ISERROR(MATCH($H65&amp;"|1",$AA$14:$AA$1213,0))),"Tie",IF(MATCH($H65&amp;"|1",$Z$14:$Z$1213,0)=MATCH($H65&amp;"|1",$AA$14:$AA$1213,0),"Hit","Miss"))))</f>
        <v/>
      </c>
      <c r="K65" s="24">
        <f>IF($H65="","",IF(COUNTIFS($A$14:$A$1213,$H65,$F$14:$F$1213,"&gt;=0")=0,"—",IFERROR(INDEX($B$14:$B$1213,MATCH($H65&amp;"|1",$AA$14:$AA$1213,0)),"(tied)")))</f>
        <v/>
      </c>
      <c r="L65" s="25">
        <f>IF($H65="","",IF((--(COUNTIFS($A$14:$A$1213,$H65,$P$14:$P$1213,"&gt;=0")&gt;0)+--(COUNTIFS($A$14:$A$1213,$H65,$Q$14:$Q$1213,"&gt;=0")&gt;0)+--(COUNTIFS($A$14:$A$1213,$H65,$R$14:$R$1213,"&gt;=0")&gt;0)+--(COUNTIFS($A$14:$A$1213,$H65,$S$14:$S$1213,"&gt;=0")&gt;0)+--(COUNTIFS($A$14:$A$1213,$H65,$T$14:$T$1213,"&gt;=0")&gt;0))&lt;2,"—",IF(SUMIFS($AH$14:$AH$1213,$A$14:$A$1213,$H65)=0,"Yes","No")))</f>
        <v/>
      </c>
      <c r="M65" s="25">
        <f>IF($H65="","",IF(COUNTIFS($A$14:$A$1213,$H65,$F$14:$F$1213,"&gt;=0")&lt;2,"—",IF(COUNTIFS($A$14:$A$1213,$H65,$F$14:$F$1213,_xlfn.MAXIFS($F$14:$F$1213,$A$14:$A$1213,$H65))&gt;1,"No",IF(NOT(ISNUMBER($AN65)),"—",IF((2*(1-NORMSDIST(ABS($AN65))))&lt;0.05,"Yes","No")))))</f>
        <v/>
      </c>
      <c r="N65" s="21">
        <f>IF($H65="","",IF(NOT(ISNUMBER($AN65)),"—",IF((2*(1-NORMSDIST(ABS($AN65))))&lt;0.001,"&lt;0.001",TEXT((2*(1-NORMSDIST(ABS($AN65)))),"0.000"))))</f>
        <v/>
      </c>
      <c r="P65" s="26" t="n"/>
      <c r="Q65" s="26" t="n"/>
      <c r="R65" s="26" t="n"/>
      <c r="S65" s="26" t="n"/>
      <c r="T65" s="26" t="n"/>
      <c r="V65" s="27">
        <f>IF(ISNUMBER($C65),COUNTIFS($A$14:$A$1213,$A65,$C$14:$C$1213,"&gt;"&amp;$C65)+(COUNTIFS($A$14:$A$1213,$A65,$C$14:$C$1213,"="&amp;$C65)+1)/2,"")</f>
        <v/>
      </c>
      <c r="W65" s="27">
        <f>IF(ISNUMBER($F65),COUNTIFS($A$14:$A$1213,$A65,$F$14:$F$1213,"&gt;"&amp;$F65)+(COUNTIFS($A$14:$A$1213,$A65,$F$14:$F$1213,"="&amp;$F65)+1)/2,"")</f>
        <v/>
      </c>
      <c r="X65" s="27">
        <f>IF(OR(NOT(ISNUMBER($V65)),$AO65=1),"",$V65-(COUNTIFS($A$14:$A$1213,$A65,$C$14:$C$1213,"&gt;=0")+1)/2)</f>
        <v/>
      </c>
      <c r="Y65" s="27">
        <f>IF(OR(NOT(ISNUMBER($W65)),$AO65=1),"",$W65-(COUNTIFS($A$14:$A$1213,$A65,$F$14:$F$1213,"&gt;=0")+1)/2)</f>
        <v/>
      </c>
      <c r="Z65" s="27">
        <f>IF(ISNUMBER($V65),$A65&amp;"|"&amp;$V65,"")</f>
        <v/>
      </c>
      <c r="AA65" s="27">
        <f>IF(ISNUMBER($W65),$A65&amp;"|"&amp;$W65,"")</f>
        <v/>
      </c>
      <c r="AB65" s="27">
        <f>IF(ISNUMBER($F65),$A65&amp;"|"&amp;$F65,"")</f>
        <v/>
      </c>
      <c r="AC65" s="27">
        <f>IF(ISNUMBER($P65),COUNTIFS($A$14:$A$1213,$A65,$P$14:$P$1213,"&gt;"&amp;$P65)+(COUNTIFS($A$14:$A$1213,$A65,$P$14:$P$1213,"="&amp;$P65)+1)/2,"")</f>
        <v/>
      </c>
      <c r="AD65" s="27">
        <f>IF(ISNUMBER($Q65),COUNTIFS($A$14:$A$1213,$A65,$Q$14:$Q$1213,"&gt;"&amp;$Q65)+(COUNTIFS($A$14:$A$1213,$A65,$Q$14:$Q$1213,"="&amp;$Q65)+1)/2,"")</f>
        <v/>
      </c>
      <c r="AE65" s="27">
        <f>IF(ISNUMBER($R65),COUNTIFS($A$14:$A$1213,$A65,$R$14:$R$1213,"&gt;"&amp;$R65)+(COUNTIFS($A$14:$A$1213,$A65,$R$14:$R$1213,"="&amp;$R65)+1)/2,"")</f>
        <v/>
      </c>
      <c r="AF65" s="27">
        <f>IF(ISNUMBER($S65),COUNTIFS($A$14:$A$1213,$A65,$S$14:$S$1213,"&gt;"&amp;$S65)+(COUNTIFS($A$14:$A$1213,$A65,$S$14:$S$1213,"="&amp;$S65)+1)/2,"")</f>
        <v/>
      </c>
      <c r="AG65" s="27">
        <f>IF(ISNUMBER($T65),COUNTIFS($A$14:$A$1213,$A65,$T$14:$T$1213,"&gt;"&amp;$T65)+(COUNTIFS($A$14:$A$1213,$A65,$T$14:$T$1213,"="&amp;$T65)+1)/2,"")</f>
        <v/>
      </c>
      <c r="AH65" s="27">
        <f>IF(COUNT($AC65:$AG65)&lt;2,"",IF(MAX($AC65:$AG65)=MIN($AC65:$AG65),0,1))</f>
        <v/>
      </c>
      <c r="AI65" s="27">
        <f>IF($A65="","",IF(COUNTIF($A$14:$A65,$A65)=1,COUNTIF($AI$13:AI64,"&gt;0")+1,""))</f>
        <v/>
      </c>
      <c r="AJ65" s="27">
        <f>IF(OR($H65="",COUNTIFS($A$14:$A$1213,$H65,$F$14:$F$1213,"&gt;=0")&lt;2,COUNTIFS($A$14:$A$1213,$H65,$F$14:$F$1213,_xlfn.MAXIFS($F$14:$F$1213,$A$14:$A$1213,$H65))&gt;1),"",IFERROR(INDEX($D$14:$D$1213,MATCH($H65&amp;"|"&amp;_xlfn.MAXIFS($F$14:$F$1213,$A$14:$A$1213,$H65),$AB$14:$AB$1213,0)),""))</f>
        <v/>
      </c>
      <c r="AK65" s="27">
        <f>IF(OR($H65="",COUNTIFS($A$14:$A$1213,$H65,$F$14:$F$1213,"&gt;=0")&lt;2,COUNTIFS($A$14:$A$1213,$H65,$F$14:$F$1213,_xlfn.MAXIFS($F$14:$F$1213,$A$14:$A$1213,$H65))&gt;1),"",IFERROR(INDEX($E$14:$E$1213,MATCH($H65&amp;"|"&amp;_xlfn.MAXIFS($F$14:$F$1213,$A$14:$A$1213,$H65),$AB$14:$AB$1213,0)),""))</f>
        <v/>
      </c>
      <c r="AL65" s="27">
        <f>IF(OR($H65="",COUNTIFS($A$14:$A$1213,$H65,$F$14:$F$1213,"&gt;=0")&lt;2,COUNTIFS($A$14:$A$1213,$H65,$F$14:$F$1213,_xlfn.MAXIFS($F$14:$F$1213,$A$14:$A$1213,$H65))&gt;1),"",IFERROR(INDEX($D$14:$D$1213,MATCH($H65&amp;"|"&amp;_xlfn.MAXIFS($F$14:$F$1213,$A$14:$A$1213,$H65,$F$14:$F$1213,"&lt;"&amp;_xlfn.MAXIFS($F$14:$F$1213,$A$14:$A$1213,$H65)),$AB$14:$AB$1213,0)),""))</f>
        <v/>
      </c>
      <c r="AM65" s="27">
        <f>IF(OR($H65="",COUNTIFS($A$14:$A$1213,$H65,$F$14:$F$1213,"&gt;=0")&lt;2,COUNTIFS($A$14:$A$1213,$H65,$F$14:$F$1213,_xlfn.MAXIFS($F$14:$F$1213,$A$14:$A$1213,$H65))&gt;1),"",IFERROR(INDEX($E$14:$E$1213,MATCH($H65&amp;"|"&amp;_xlfn.MAXIFS($F$14:$F$1213,$A$14:$A$1213,$H65,$F$14:$F$1213,"&lt;"&amp;_xlfn.MAXIFS($F$14:$F$1213,$A$14:$A$1213,$H65)),$AB$14:$AB$1213,0)),""))</f>
        <v/>
      </c>
      <c r="AN65" s="27">
        <f>IF(OR(NOT(ISNUMBER($AJ65)),NOT(ISNUMBER($AL65)),$AK65=0,$AM65=0),"",IF(OR((($AJ65+$AL65)/($AK65+$AM65))&lt;=0,(($AJ65+$AL65)/($AK65+$AM65))&gt;=1),"",($AJ65/$AK65-$AL65/$AM65)/SQRT((($AJ65+$AL65)/($AK65+$AM65))*(1-(($AJ65+$AL65)/($AK65+$AM65)))*(1/$AK65+1/$AM65))))</f>
        <v/>
      </c>
      <c r="AO65" s="27">
        <f>IF($A65="","",IF(AND(COUNTIFS($A$14:$A$1213,$A65,$F$14:$F$1213,"&gt;=0")=2,IFERROR(INDEX($M$14:$M$313,MATCH($A65,$H$14:$H$313,0)),"Yes")&lt;&gt;"Yes"),1,0))</f>
        <v/>
      </c>
    </row>
    <row r="66" ht="24" customHeight="1">
      <c r="A66" s="19" t="n"/>
      <c r="B66" s="20" t="n"/>
      <c r="C66" s="21">
        <f>IFERROR(AVERAGE(P66:T66),"")</f>
        <v/>
      </c>
      <c r="D66" s="29" t="n"/>
      <c r="E66" s="29" t="n"/>
      <c r="F66" s="30">
        <f>IF(AND(ISNUMBER($D66),ISNUMBER($E66),$E66&gt;0,$D66&lt;=$E66),$D66/$E66,"")</f>
        <v/>
      </c>
      <c r="H66" s="19">
        <f>IFERROR(INDEX($A$14:$A$1213,MATCH(53,$AI$14:$AI$1213,0)),"")</f>
        <v/>
      </c>
      <c r="I66" s="24">
        <f>IF($H66="","",IF(COUNTIFS($A$14:$A$1213,$H66,$C$14:$C$1213,"&gt;=0")=0,"—",IFERROR(INDEX($B$14:$B$1213,MATCH($H66&amp;"|1",$Z$14:$Z$1213,0)),"(tied)")))</f>
        <v/>
      </c>
      <c r="J66" s="25">
        <f>IF($H66="","",IF(OR(COUNTIFS($A$14:$A$1213,$H66,$C$14:$C$1213,"&gt;=0")=0,COUNTIFS($A$14:$A$1213,$H66,$F$14:$F$1213,"&gt;=0")=0),"—",IF(OR(ISERROR(MATCH($H66&amp;"|1",$Z$14:$Z$1213,0)),ISERROR(MATCH($H66&amp;"|1",$AA$14:$AA$1213,0))),"Tie",IF(MATCH($H66&amp;"|1",$Z$14:$Z$1213,0)=MATCH($H66&amp;"|1",$AA$14:$AA$1213,0),"Hit","Miss"))))</f>
        <v/>
      </c>
      <c r="K66" s="24">
        <f>IF($H66="","",IF(COUNTIFS($A$14:$A$1213,$H66,$F$14:$F$1213,"&gt;=0")=0,"—",IFERROR(INDEX($B$14:$B$1213,MATCH($H66&amp;"|1",$AA$14:$AA$1213,0)),"(tied)")))</f>
        <v/>
      </c>
      <c r="L66" s="25">
        <f>IF($H66="","",IF((--(COUNTIFS($A$14:$A$1213,$H66,$P$14:$P$1213,"&gt;=0")&gt;0)+--(COUNTIFS($A$14:$A$1213,$H66,$Q$14:$Q$1213,"&gt;=0")&gt;0)+--(COUNTIFS($A$14:$A$1213,$H66,$R$14:$R$1213,"&gt;=0")&gt;0)+--(COUNTIFS($A$14:$A$1213,$H66,$S$14:$S$1213,"&gt;=0")&gt;0)+--(COUNTIFS($A$14:$A$1213,$H66,$T$14:$T$1213,"&gt;=0")&gt;0))&lt;2,"—",IF(SUMIFS($AH$14:$AH$1213,$A$14:$A$1213,$H66)=0,"Yes","No")))</f>
        <v/>
      </c>
      <c r="M66" s="25">
        <f>IF($H66="","",IF(COUNTIFS($A$14:$A$1213,$H66,$F$14:$F$1213,"&gt;=0")&lt;2,"—",IF(COUNTIFS($A$14:$A$1213,$H66,$F$14:$F$1213,_xlfn.MAXIFS($F$14:$F$1213,$A$14:$A$1213,$H66))&gt;1,"No",IF(NOT(ISNUMBER($AN66)),"—",IF((2*(1-NORMSDIST(ABS($AN66))))&lt;0.05,"Yes","No")))))</f>
        <v/>
      </c>
      <c r="N66" s="21">
        <f>IF($H66="","",IF(NOT(ISNUMBER($AN66)),"—",IF((2*(1-NORMSDIST(ABS($AN66))))&lt;0.001,"&lt;0.001",TEXT((2*(1-NORMSDIST(ABS($AN66)))),"0.000"))))</f>
        <v/>
      </c>
      <c r="P66" s="26" t="n"/>
      <c r="Q66" s="26" t="n"/>
      <c r="R66" s="26" t="n"/>
      <c r="S66" s="26" t="n"/>
      <c r="T66" s="26" t="n"/>
      <c r="V66" s="27">
        <f>IF(ISNUMBER($C66),COUNTIFS($A$14:$A$1213,$A66,$C$14:$C$1213,"&gt;"&amp;$C66)+(COUNTIFS($A$14:$A$1213,$A66,$C$14:$C$1213,"="&amp;$C66)+1)/2,"")</f>
        <v/>
      </c>
      <c r="W66" s="27">
        <f>IF(ISNUMBER($F66),COUNTIFS($A$14:$A$1213,$A66,$F$14:$F$1213,"&gt;"&amp;$F66)+(COUNTIFS($A$14:$A$1213,$A66,$F$14:$F$1213,"="&amp;$F66)+1)/2,"")</f>
        <v/>
      </c>
      <c r="X66" s="27">
        <f>IF(OR(NOT(ISNUMBER($V66)),$AO66=1),"",$V66-(COUNTIFS($A$14:$A$1213,$A66,$C$14:$C$1213,"&gt;=0")+1)/2)</f>
        <v/>
      </c>
      <c r="Y66" s="27">
        <f>IF(OR(NOT(ISNUMBER($W66)),$AO66=1),"",$W66-(COUNTIFS($A$14:$A$1213,$A66,$F$14:$F$1213,"&gt;=0")+1)/2)</f>
        <v/>
      </c>
      <c r="Z66" s="27">
        <f>IF(ISNUMBER($V66),$A66&amp;"|"&amp;$V66,"")</f>
        <v/>
      </c>
      <c r="AA66" s="27">
        <f>IF(ISNUMBER($W66),$A66&amp;"|"&amp;$W66,"")</f>
        <v/>
      </c>
      <c r="AB66" s="27">
        <f>IF(ISNUMBER($F66),$A66&amp;"|"&amp;$F66,"")</f>
        <v/>
      </c>
      <c r="AC66" s="27">
        <f>IF(ISNUMBER($P66),COUNTIFS($A$14:$A$1213,$A66,$P$14:$P$1213,"&gt;"&amp;$P66)+(COUNTIFS($A$14:$A$1213,$A66,$P$14:$P$1213,"="&amp;$P66)+1)/2,"")</f>
        <v/>
      </c>
      <c r="AD66" s="27">
        <f>IF(ISNUMBER($Q66),COUNTIFS($A$14:$A$1213,$A66,$Q$14:$Q$1213,"&gt;"&amp;$Q66)+(COUNTIFS($A$14:$A$1213,$A66,$Q$14:$Q$1213,"="&amp;$Q66)+1)/2,"")</f>
        <v/>
      </c>
      <c r="AE66" s="27">
        <f>IF(ISNUMBER($R66),COUNTIFS($A$14:$A$1213,$A66,$R$14:$R$1213,"&gt;"&amp;$R66)+(COUNTIFS($A$14:$A$1213,$A66,$R$14:$R$1213,"="&amp;$R66)+1)/2,"")</f>
        <v/>
      </c>
      <c r="AF66" s="27">
        <f>IF(ISNUMBER($S66),COUNTIFS($A$14:$A$1213,$A66,$S$14:$S$1213,"&gt;"&amp;$S66)+(COUNTIFS($A$14:$A$1213,$A66,$S$14:$S$1213,"="&amp;$S66)+1)/2,"")</f>
        <v/>
      </c>
      <c r="AG66" s="27">
        <f>IF(ISNUMBER($T66),COUNTIFS($A$14:$A$1213,$A66,$T$14:$T$1213,"&gt;"&amp;$T66)+(COUNTIFS($A$14:$A$1213,$A66,$T$14:$T$1213,"="&amp;$T66)+1)/2,"")</f>
        <v/>
      </c>
      <c r="AH66" s="27">
        <f>IF(COUNT($AC66:$AG66)&lt;2,"",IF(MAX($AC66:$AG66)=MIN($AC66:$AG66),0,1))</f>
        <v/>
      </c>
      <c r="AI66" s="27">
        <f>IF($A66="","",IF(COUNTIF($A$14:$A66,$A66)=1,COUNTIF($AI$13:AI65,"&gt;0")+1,""))</f>
        <v/>
      </c>
      <c r="AJ66" s="27">
        <f>IF(OR($H66="",COUNTIFS($A$14:$A$1213,$H66,$F$14:$F$1213,"&gt;=0")&lt;2,COUNTIFS($A$14:$A$1213,$H66,$F$14:$F$1213,_xlfn.MAXIFS($F$14:$F$1213,$A$14:$A$1213,$H66))&gt;1),"",IFERROR(INDEX($D$14:$D$1213,MATCH($H66&amp;"|"&amp;_xlfn.MAXIFS($F$14:$F$1213,$A$14:$A$1213,$H66),$AB$14:$AB$1213,0)),""))</f>
        <v/>
      </c>
      <c r="AK66" s="27">
        <f>IF(OR($H66="",COUNTIFS($A$14:$A$1213,$H66,$F$14:$F$1213,"&gt;=0")&lt;2,COUNTIFS($A$14:$A$1213,$H66,$F$14:$F$1213,_xlfn.MAXIFS($F$14:$F$1213,$A$14:$A$1213,$H66))&gt;1),"",IFERROR(INDEX($E$14:$E$1213,MATCH($H66&amp;"|"&amp;_xlfn.MAXIFS($F$14:$F$1213,$A$14:$A$1213,$H66),$AB$14:$AB$1213,0)),""))</f>
        <v/>
      </c>
      <c r="AL66" s="27">
        <f>IF(OR($H66="",COUNTIFS($A$14:$A$1213,$H66,$F$14:$F$1213,"&gt;=0")&lt;2,COUNTIFS($A$14:$A$1213,$H66,$F$14:$F$1213,_xlfn.MAXIFS($F$14:$F$1213,$A$14:$A$1213,$H66))&gt;1),"",IFERROR(INDEX($D$14:$D$1213,MATCH($H66&amp;"|"&amp;_xlfn.MAXIFS($F$14:$F$1213,$A$14:$A$1213,$H66,$F$14:$F$1213,"&lt;"&amp;_xlfn.MAXIFS($F$14:$F$1213,$A$14:$A$1213,$H66)),$AB$14:$AB$1213,0)),""))</f>
        <v/>
      </c>
      <c r="AM66" s="27">
        <f>IF(OR($H66="",COUNTIFS($A$14:$A$1213,$H66,$F$14:$F$1213,"&gt;=0")&lt;2,COUNTIFS($A$14:$A$1213,$H66,$F$14:$F$1213,_xlfn.MAXIFS($F$14:$F$1213,$A$14:$A$1213,$H66))&gt;1),"",IFERROR(INDEX($E$14:$E$1213,MATCH($H66&amp;"|"&amp;_xlfn.MAXIFS($F$14:$F$1213,$A$14:$A$1213,$H66,$F$14:$F$1213,"&lt;"&amp;_xlfn.MAXIFS($F$14:$F$1213,$A$14:$A$1213,$H66)),$AB$14:$AB$1213,0)),""))</f>
        <v/>
      </c>
      <c r="AN66" s="27">
        <f>IF(OR(NOT(ISNUMBER($AJ66)),NOT(ISNUMBER($AL66)),$AK66=0,$AM66=0),"",IF(OR((($AJ66+$AL66)/($AK66+$AM66))&lt;=0,(($AJ66+$AL66)/($AK66+$AM66))&gt;=1),"",($AJ66/$AK66-$AL66/$AM66)/SQRT((($AJ66+$AL66)/($AK66+$AM66))*(1-(($AJ66+$AL66)/($AK66+$AM66)))*(1/$AK66+1/$AM66))))</f>
        <v/>
      </c>
      <c r="AO66" s="27">
        <f>IF($A66="","",IF(AND(COUNTIFS($A$14:$A$1213,$A66,$F$14:$F$1213,"&gt;=0")=2,IFERROR(INDEX($M$14:$M$313,MATCH($A66,$H$14:$H$313,0)),"Yes")&lt;&gt;"Yes"),1,0))</f>
        <v/>
      </c>
    </row>
    <row r="67" ht="24" customHeight="1">
      <c r="A67" s="19" t="n"/>
      <c r="B67" s="20" t="n"/>
      <c r="C67" s="21">
        <f>IFERROR(AVERAGE(P67:T67),"")</f>
        <v/>
      </c>
      <c r="D67" s="29" t="n"/>
      <c r="E67" s="29" t="n"/>
      <c r="F67" s="30">
        <f>IF(AND(ISNUMBER($D67),ISNUMBER($E67),$E67&gt;0,$D67&lt;=$E67),$D67/$E67,"")</f>
        <v/>
      </c>
      <c r="H67" s="19">
        <f>IFERROR(INDEX($A$14:$A$1213,MATCH(54,$AI$14:$AI$1213,0)),"")</f>
        <v/>
      </c>
      <c r="I67" s="24">
        <f>IF($H67="","",IF(COUNTIFS($A$14:$A$1213,$H67,$C$14:$C$1213,"&gt;=0")=0,"—",IFERROR(INDEX($B$14:$B$1213,MATCH($H67&amp;"|1",$Z$14:$Z$1213,0)),"(tied)")))</f>
        <v/>
      </c>
      <c r="J67" s="25">
        <f>IF($H67="","",IF(OR(COUNTIFS($A$14:$A$1213,$H67,$C$14:$C$1213,"&gt;=0")=0,COUNTIFS($A$14:$A$1213,$H67,$F$14:$F$1213,"&gt;=0")=0),"—",IF(OR(ISERROR(MATCH($H67&amp;"|1",$Z$14:$Z$1213,0)),ISERROR(MATCH($H67&amp;"|1",$AA$14:$AA$1213,0))),"Tie",IF(MATCH($H67&amp;"|1",$Z$14:$Z$1213,0)=MATCH($H67&amp;"|1",$AA$14:$AA$1213,0),"Hit","Miss"))))</f>
        <v/>
      </c>
      <c r="K67" s="24">
        <f>IF($H67="","",IF(COUNTIFS($A$14:$A$1213,$H67,$F$14:$F$1213,"&gt;=0")=0,"—",IFERROR(INDEX($B$14:$B$1213,MATCH($H67&amp;"|1",$AA$14:$AA$1213,0)),"(tied)")))</f>
        <v/>
      </c>
      <c r="L67" s="25">
        <f>IF($H67="","",IF((--(COUNTIFS($A$14:$A$1213,$H67,$P$14:$P$1213,"&gt;=0")&gt;0)+--(COUNTIFS($A$14:$A$1213,$H67,$Q$14:$Q$1213,"&gt;=0")&gt;0)+--(COUNTIFS($A$14:$A$1213,$H67,$R$14:$R$1213,"&gt;=0")&gt;0)+--(COUNTIFS($A$14:$A$1213,$H67,$S$14:$S$1213,"&gt;=0")&gt;0)+--(COUNTIFS($A$14:$A$1213,$H67,$T$14:$T$1213,"&gt;=0")&gt;0))&lt;2,"—",IF(SUMIFS($AH$14:$AH$1213,$A$14:$A$1213,$H67)=0,"Yes","No")))</f>
        <v/>
      </c>
      <c r="M67" s="25">
        <f>IF($H67="","",IF(COUNTIFS($A$14:$A$1213,$H67,$F$14:$F$1213,"&gt;=0")&lt;2,"—",IF(COUNTIFS($A$14:$A$1213,$H67,$F$14:$F$1213,_xlfn.MAXIFS($F$14:$F$1213,$A$14:$A$1213,$H67))&gt;1,"No",IF(NOT(ISNUMBER($AN67)),"—",IF((2*(1-NORMSDIST(ABS($AN67))))&lt;0.05,"Yes","No")))))</f>
        <v/>
      </c>
      <c r="N67" s="21">
        <f>IF($H67="","",IF(NOT(ISNUMBER($AN67)),"—",IF((2*(1-NORMSDIST(ABS($AN67))))&lt;0.001,"&lt;0.001",TEXT((2*(1-NORMSDIST(ABS($AN67)))),"0.000"))))</f>
        <v/>
      </c>
      <c r="P67" s="26" t="n"/>
      <c r="Q67" s="26" t="n"/>
      <c r="R67" s="26" t="n"/>
      <c r="S67" s="26" t="n"/>
      <c r="T67" s="26" t="n"/>
      <c r="V67" s="27">
        <f>IF(ISNUMBER($C67),COUNTIFS($A$14:$A$1213,$A67,$C$14:$C$1213,"&gt;"&amp;$C67)+(COUNTIFS($A$14:$A$1213,$A67,$C$14:$C$1213,"="&amp;$C67)+1)/2,"")</f>
        <v/>
      </c>
      <c r="W67" s="27">
        <f>IF(ISNUMBER($F67),COUNTIFS($A$14:$A$1213,$A67,$F$14:$F$1213,"&gt;"&amp;$F67)+(COUNTIFS($A$14:$A$1213,$A67,$F$14:$F$1213,"="&amp;$F67)+1)/2,"")</f>
        <v/>
      </c>
      <c r="X67" s="27">
        <f>IF(OR(NOT(ISNUMBER($V67)),$AO67=1),"",$V67-(COUNTIFS($A$14:$A$1213,$A67,$C$14:$C$1213,"&gt;=0")+1)/2)</f>
        <v/>
      </c>
      <c r="Y67" s="27">
        <f>IF(OR(NOT(ISNUMBER($W67)),$AO67=1),"",$W67-(COUNTIFS($A$14:$A$1213,$A67,$F$14:$F$1213,"&gt;=0")+1)/2)</f>
        <v/>
      </c>
      <c r="Z67" s="27">
        <f>IF(ISNUMBER($V67),$A67&amp;"|"&amp;$V67,"")</f>
        <v/>
      </c>
      <c r="AA67" s="27">
        <f>IF(ISNUMBER($W67),$A67&amp;"|"&amp;$W67,"")</f>
        <v/>
      </c>
      <c r="AB67" s="27">
        <f>IF(ISNUMBER($F67),$A67&amp;"|"&amp;$F67,"")</f>
        <v/>
      </c>
      <c r="AC67" s="27">
        <f>IF(ISNUMBER($P67),COUNTIFS($A$14:$A$1213,$A67,$P$14:$P$1213,"&gt;"&amp;$P67)+(COUNTIFS($A$14:$A$1213,$A67,$P$14:$P$1213,"="&amp;$P67)+1)/2,"")</f>
        <v/>
      </c>
      <c r="AD67" s="27">
        <f>IF(ISNUMBER($Q67),COUNTIFS($A$14:$A$1213,$A67,$Q$14:$Q$1213,"&gt;"&amp;$Q67)+(COUNTIFS($A$14:$A$1213,$A67,$Q$14:$Q$1213,"="&amp;$Q67)+1)/2,"")</f>
        <v/>
      </c>
      <c r="AE67" s="27">
        <f>IF(ISNUMBER($R67),COUNTIFS($A$14:$A$1213,$A67,$R$14:$R$1213,"&gt;"&amp;$R67)+(COUNTIFS($A$14:$A$1213,$A67,$R$14:$R$1213,"="&amp;$R67)+1)/2,"")</f>
        <v/>
      </c>
      <c r="AF67" s="27">
        <f>IF(ISNUMBER($S67),COUNTIFS($A$14:$A$1213,$A67,$S$14:$S$1213,"&gt;"&amp;$S67)+(COUNTIFS($A$14:$A$1213,$A67,$S$14:$S$1213,"="&amp;$S67)+1)/2,"")</f>
        <v/>
      </c>
      <c r="AG67" s="27">
        <f>IF(ISNUMBER($T67),COUNTIFS($A$14:$A$1213,$A67,$T$14:$T$1213,"&gt;"&amp;$T67)+(COUNTIFS($A$14:$A$1213,$A67,$T$14:$T$1213,"="&amp;$T67)+1)/2,"")</f>
        <v/>
      </c>
      <c r="AH67" s="27">
        <f>IF(COUNT($AC67:$AG67)&lt;2,"",IF(MAX($AC67:$AG67)=MIN($AC67:$AG67),0,1))</f>
        <v/>
      </c>
      <c r="AI67" s="27">
        <f>IF($A67="","",IF(COUNTIF($A$14:$A67,$A67)=1,COUNTIF($AI$13:AI66,"&gt;0")+1,""))</f>
        <v/>
      </c>
      <c r="AJ67" s="27">
        <f>IF(OR($H67="",COUNTIFS($A$14:$A$1213,$H67,$F$14:$F$1213,"&gt;=0")&lt;2,COUNTIFS($A$14:$A$1213,$H67,$F$14:$F$1213,_xlfn.MAXIFS($F$14:$F$1213,$A$14:$A$1213,$H67))&gt;1),"",IFERROR(INDEX($D$14:$D$1213,MATCH($H67&amp;"|"&amp;_xlfn.MAXIFS($F$14:$F$1213,$A$14:$A$1213,$H67),$AB$14:$AB$1213,0)),""))</f>
        <v/>
      </c>
      <c r="AK67" s="27">
        <f>IF(OR($H67="",COUNTIFS($A$14:$A$1213,$H67,$F$14:$F$1213,"&gt;=0")&lt;2,COUNTIFS($A$14:$A$1213,$H67,$F$14:$F$1213,_xlfn.MAXIFS($F$14:$F$1213,$A$14:$A$1213,$H67))&gt;1),"",IFERROR(INDEX($E$14:$E$1213,MATCH($H67&amp;"|"&amp;_xlfn.MAXIFS($F$14:$F$1213,$A$14:$A$1213,$H67),$AB$14:$AB$1213,0)),""))</f>
        <v/>
      </c>
      <c r="AL67" s="27">
        <f>IF(OR($H67="",COUNTIFS($A$14:$A$1213,$H67,$F$14:$F$1213,"&gt;=0")&lt;2,COUNTIFS($A$14:$A$1213,$H67,$F$14:$F$1213,_xlfn.MAXIFS($F$14:$F$1213,$A$14:$A$1213,$H67))&gt;1),"",IFERROR(INDEX($D$14:$D$1213,MATCH($H67&amp;"|"&amp;_xlfn.MAXIFS($F$14:$F$1213,$A$14:$A$1213,$H67,$F$14:$F$1213,"&lt;"&amp;_xlfn.MAXIFS($F$14:$F$1213,$A$14:$A$1213,$H67)),$AB$14:$AB$1213,0)),""))</f>
        <v/>
      </c>
      <c r="AM67" s="27">
        <f>IF(OR($H67="",COUNTIFS($A$14:$A$1213,$H67,$F$14:$F$1213,"&gt;=0")&lt;2,COUNTIFS($A$14:$A$1213,$H67,$F$14:$F$1213,_xlfn.MAXIFS($F$14:$F$1213,$A$14:$A$1213,$H67))&gt;1),"",IFERROR(INDEX($E$14:$E$1213,MATCH($H67&amp;"|"&amp;_xlfn.MAXIFS($F$14:$F$1213,$A$14:$A$1213,$H67,$F$14:$F$1213,"&lt;"&amp;_xlfn.MAXIFS($F$14:$F$1213,$A$14:$A$1213,$H67)),$AB$14:$AB$1213,0)),""))</f>
        <v/>
      </c>
      <c r="AN67" s="27">
        <f>IF(OR(NOT(ISNUMBER($AJ67)),NOT(ISNUMBER($AL67)),$AK67=0,$AM67=0),"",IF(OR((($AJ67+$AL67)/($AK67+$AM67))&lt;=0,(($AJ67+$AL67)/($AK67+$AM67))&gt;=1),"",($AJ67/$AK67-$AL67/$AM67)/SQRT((($AJ67+$AL67)/($AK67+$AM67))*(1-(($AJ67+$AL67)/($AK67+$AM67)))*(1/$AK67+1/$AM67))))</f>
        <v/>
      </c>
      <c r="AO67" s="27">
        <f>IF($A67="","",IF(AND(COUNTIFS($A$14:$A$1213,$A67,$F$14:$F$1213,"&gt;=0")=2,IFERROR(INDEX($M$14:$M$313,MATCH($A67,$H$14:$H$313,0)),"Yes")&lt;&gt;"Yes"),1,0))</f>
        <v/>
      </c>
    </row>
    <row r="68" ht="24" customHeight="1">
      <c r="A68" s="19" t="n"/>
      <c r="B68" s="20" t="n"/>
      <c r="C68" s="21">
        <f>IFERROR(AVERAGE(P68:T68),"")</f>
        <v/>
      </c>
      <c r="D68" s="29" t="n"/>
      <c r="E68" s="29" t="n"/>
      <c r="F68" s="30">
        <f>IF(AND(ISNUMBER($D68),ISNUMBER($E68),$E68&gt;0,$D68&lt;=$E68),$D68/$E68,"")</f>
        <v/>
      </c>
      <c r="H68" s="19">
        <f>IFERROR(INDEX($A$14:$A$1213,MATCH(55,$AI$14:$AI$1213,0)),"")</f>
        <v/>
      </c>
      <c r="I68" s="24">
        <f>IF($H68="","",IF(COUNTIFS($A$14:$A$1213,$H68,$C$14:$C$1213,"&gt;=0")=0,"—",IFERROR(INDEX($B$14:$B$1213,MATCH($H68&amp;"|1",$Z$14:$Z$1213,0)),"(tied)")))</f>
        <v/>
      </c>
      <c r="J68" s="25">
        <f>IF($H68="","",IF(OR(COUNTIFS($A$14:$A$1213,$H68,$C$14:$C$1213,"&gt;=0")=0,COUNTIFS($A$14:$A$1213,$H68,$F$14:$F$1213,"&gt;=0")=0),"—",IF(OR(ISERROR(MATCH($H68&amp;"|1",$Z$14:$Z$1213,0)),ISERROR(MATCH($H68&amp;"|1",$AA$14:$AA$1213,0))),"Tie",IF(MATCH($H68&amp;"|1",$Z$14:$Z$1213,0)=MATCH($H68&amp;"|1",$AA$14:$AA$1213,0),"Hit","Miss"))))</f>
        <v/>
      </c>
      <c r="K68" s="24">
        <f>IF($H68="","",IF(COUNTIFS($A$14:$A$1213,$H68,$F$14:$F$1213,"&gt;=0")=0,"—",IFERROR(INDEX($B$14:$B$1213,MATCH($H68&amp;"|1",$AA$14:$AA$1213,0)),"(tied)")))</f>
        <v/>
      </c>
      <c r="L68" s="25">
        <f>IF($H68="","",IF((--(COUNTIFS($A$14:$A$1213,$H68,$P$14:$P$1213,"&gt;=0")&gt;0)+--(COUNTIFS($A$14:$A$1213,$H68,$Q$14:$Q$1213,"&gt;=0")&gt;0)+--(COUNTIFS($A$14:$A$1213,$H68,$R$14:$R$1213,"&gt;=0")&gt;0)+--(COUNTIFS($A$14:$A$1213,$H68,$S$14:$S$1213,"&gt;=0")&gt;0)+--(COUNTIFS($A$14:$A$1213,$H68,$T$14:$T$1213,"&gt;=0")&gt;0))&lt;2,"—",IF(SUMIFS($AH$14:$AH$1213,$A$14:$A$1213,$H68)=0,"Yes","No")))</f>
        <v/>
      </c>
      <c r="M68" s="25">
        <f>IF($H68="","",IF(COUNTIFS($A$14:$A$1213,$H68,$F$14:$F$1213,"&gt;=0")&lt;2,"—",IF(COUNTIFS($A$14:$A$1213,$H68,$F$14:$F$1213,_xlfn.MAXIFS($F$14:$F$1213,$A$14:$A$1213,$H68))&gt;1,"No",IF(NOT(ISNUMBER($AN68)),"—",IF((2*(1-NORMSDIST(ABS($AN68))))&lt;0.05,"Yes","No")))))</f>
        <v/>
      </c>
      <c r="N68" s="21">
        <f>IF($H68="","",IF(NOT(ISNUMBER($AN68)),"—",IF((2*(1-NORMSDIST(ABS($AN68))))&lt;0.001,"&lt;0.001",TEXT((2*(1-NORMSDIST(ABS($AN68)))),"0.000"))))</f>
        <v/>
      </c>
      <c r="P68" s="26" t="n"/>
      <c r="Q68" s="26" t="n"/>
      <c r="R68" s="26" t="n"/>
      <c r="S68" s="26" t="n"/>
      <c r="T68" s="26" t="n"/>
      <c r="V68" s="27">
        <f>IF(ISNUMBER($C68),COUNTIFS($A$14:$A$1213,$A68,$C$14:$C$1213,"&gt;"&amp;$C68)+(COUNTIFS($A$14:$A$1213,$A68,$C$14:$C$1213,"="&amp;$C68)+1)/2,"")</f>
        <v/>
      </c>
      <c r="W68" s="27">
        <f>IF(ISNUMBER($F68),COUNTIFS($A$14:$A$1213,$A68,$F$14:$F$1213,"&gt;"&amp;$F68)+(COUNTIFS($A$14:$A$1213,$A68,$F$14:$F$1213,"="&amp;$F68)+1)/2,"")</f>
        <v/>
      </c>
      <c r="X68" s="27">
        <f>IF(OR(NOT(ISNUMBER($V68)),$AO68=1),"",$V68-(COUNTIFS($A$14:$A$1213,$A68,$C$14:$C$1213,"&gt;=0")+1)/2)</f>
        <v/>
      </c>
      <c r="Y68" s="27">
        <f>IF(OR(NOT(ISNUMBER($W68)),$AO68=1),"",$W68-(COUNTIFS($A$14:$A$1213,$A68,$F$14:$F$1213,"&gt;=0")+1)/2)</f>
        <v/>
      </c>
      <c r="Z68" s="27">
        <f>IF(ISNUMBER($V68),$A68&amp;"|"&amp;$V68,"")</f>
        <v/>
      </c>
      <c r="AA68" s="27">
        <f>IF(ISNUMBER($W68),$A68&amp;"|"&amp;$W68,"")</f>
        <v/>
      </c>
      <c r="AB68" s="27">
        <f>IF(ISNUMBER($F68),$A68&amp;"|"&amp;$F68,"")</f>
        <v/>
      </c>
      <c r="AC68" s="27">
        <f>IF(ISNUMBER($P68),COUNTIFS($A$14:$A$1213,$A68,$P$14:$P$1213,"&gt;"&amp;$P68)+(COUNTIFS($A$14:$A$1213,$A68,$P$14:$P$1213,"="&amp;$P68)+1)/2,"")</f>
        <v/>
      </c>
      <c r="AD68" s="27">
        <f>IF(ISNUMBER($Q68),COUNTIFS($A$14:$A$1213,$A68,$Q$14:$Q$1213,"&gt;"&amp;$Q68)+(COUNTIFS($A$14:$A$1213,$A68,$Q$14:$Q$1213,"="&amp;$Q68)+1)/2,"")</f>
        <v/>
      </c>
      <c r="AE68" s="27">
        <f>IF(ISNUMBER($R68),COUNTIFS($A$14:$A$1213,$A68,$R$14:$R$1213,"&gt;"&amp;$R68)+(COUNTIFS($A$14:$A$1213,$A68,$R$14:$R$1213,"="&amp;$R68)+1)/2,"")</f>
        <v/>
      </c>
      <c r="AF68" s="27">
        <f>IF(ISNUMBER($S68),COUNTIFS($A$14:$A$1213,$A68,$S$14:$S$1213,"&gt;"&amp;$S68)+(COUNTIFS($A$14:$A$1213,$A68,$S$14:$S$1213,"="&amp;$S68)+1)/2,"")</f>
        <v/>
      </c>
      <c r="AG68" s="27">
        <f>IF(ISNUMBER($T68),COUNTIFS($A$14:$A$1213,$A68,$T$14:$T$1213,"&gt;"&amp;$T68)+(COUNTIFS($A$14:$A$1213,$A68,$T$14:$T$1213,"="&amp;$T68)+1)/2,"")</f>
        <v/>
      </c>
      <c r="AH68" s="27">
        <f>IF(COUNT($AC68:$AG68)&lt;2,"",IF(MAX($AC68:$AG68)=MIN($AC68:$AG68),0,1))</f>
        <v/>
      </c>
      <c r="AI68" s="27">
        <f>IF($A68="","",IF(COUNTIF($A$14:$A68,$A68)=1,COUNTIF($AI$13:AI67,"&gt;0")+1,""))</f>
        <v/>
      </c>
      <c r="AJ68" s="27">
        <f>IF(OR($H68="",COUNTIFS($A$14:$A$1213,$H68,$F$14:$F$1213,"&gt;=0")&lt;2,COUNTIFS($A$14:$A$1213,$H68,$F$14:$F$1213,_xlfn.MAXIFS($F$14:$F$1213,$A$14:$A$1213,$H68))&gt;1),"",IFERROR(INDEX($D$14:$D$1213,MATCH($H68&amp;"|"&amp;_xlfn.MAXIFS($F$14:$F$1213,$A$14:$A$1213,$H68),$AB$14:$AB$1213,0)),""))</f>
        <v/>
      </c>
      <c r="AK68" s="27">
        <f>IF(OR($H68="",COUNTIFS($A$14:$A$1213,$H68,$F$14:$F$1213,"&gt;=0")&lt;2,COUNTIFS($A$14:$A$1213,$H68,$F$14:$F$1213,_xlfn.MAXIFS($F$14:$F$1213,$A$14:$A$1213,$H68))&gt;1),"",IFERROR(INDEX($E$14:$E$1213,MATCH($H68&amp;"|"&amp;_xlfn.MAXIFS($F$14:$F$1213,$A$14:$A$1213,$H68),$AB$14:$AB$1213,0)),""))</f>
        <v/>
      </c>
      <c r="AL68" s="27">
        <f>IF(OR($H68="",COUNTIFS($A$14:$A$1213,$H68,$F$14:$F$1213,"&gt;=0")&lt;2,COUNTIFS($A$14:$A$1213,$H68,$F$14:$F$1213,_xlfn.MAXIFS($F$14:$F$1213,$A$14:$A$1213,$H68))&gt;1),"",IFERROR(INDEX($D$14:$D$1213,MATCH($H68&amp;"|"&amp;_xlfn.MAXIFS($F$14:$F$1213,$A$14:$A$1213,$H68,$F$14:$F$1213,"&lt;"&amp;_xlfn.MAXIFS($F$14:$F$1213,$A$14:$A$1213,$H68)),$AB$14:$AB$1213,0)),""))</f>
        <v/>
      </c>
      <c r="AM68" s="27">
        <f>IF(OR($H68="",COUNTIFS($A$14:$A$1213,$H68,$F$14:$F$1213,"&gt;=0")&lt;2,COUNTIFS($A$14:$A$1213,$H68,$F$14:$F$1213,_xlfn.MAXIFS($F$14:$F$1213,$A$14:$A$1213,$H68))&gt;1),"",IFERROR(INDEX($E$14:$E$1213,MATCH($H68&amp;"|"&amp;_xlfn.MAXIFS($F$14:$F$1213,$A$14:$A$1213,$H68,$F$14:$F$1213,"&lt;"&amp;_xlfn.MAXIFS($F$14:$F$1213,$A$14:$A$1213,$H68)),$AB$14:$AB$1213,0)),""))</f>
        <v/>
      </c>
      <c r="AN68" s="27">
        <f>IF(OR(NOT(ISNUMBER($AJ68)),NOT(ISNUMBER($AL68)),$AK68=0,$AM68=0),"",IF(OR((($AJ68+$AL68)/($AK68+$AM68))&lt;=0,(($AJ68+$AL68)/($AK68+$AM68))&gt;=1),"",($AJ68/$AK68-$AL68/$AM68)/SQRT((($AJ68+$AL68)/($AK68+$AM68))*(1-(($AJ68+$AL68)/($AK68+$AM68)))*(1/$AK68+1/$AM68))))</f>
        <v/>
      </c>
      <c r="AO68" s="27">
        <f>IF($A68="","",IF(AND(COUNTIFS($A$14:$A$1213,$A68,$F$14:$F$1213,"&gt;=0")=2,IFERROR(INDEX($M$14:$M$313,MATCH($A68,$H$14:$H$313,0)),"Yes")&lt;&gt;"Yes"),1,0))</f>
        <v/>
      </c>
    </row>
    <row r="69" ht="24" customHeight="1">
      <c r="A69" s="19" t="n"/>
      <c r="B69" s="20" t="n"/>
      <c r="C69" s="21">
        <f>IFERROR(AVERAGE(P69:T69),"")</f>
        <v/>
      </c>
      <c r="D69" s="29" t="n"/>
      <c r="E69" s="29" t="n"/>
      <c r="F69" s="30">
        <f>IF(AND(ISNUMBER($D69),ISNUMBER($E69),$E69&gt;0,$D69&lt;=$E69),$D69/$E69,"")</f>
        <v/>
      </c>
      <c r="H69" s="19">
        <f>IFERROR(INDEX($A$14:$A$1213,MATCH(56,$AI$14:$AI$1213,0)),"")</f>
        <v/>
      </c>
      <c r="I69" s="24">
        <f>IF($H69="","",IF(COUNTIFS($A$14:$A$1213,$H69,$C$14:$C$1213,"&gt;=0")=0,"—",IFERROR(INDEX($B$14:$B$1213,MATCH($H69&amp;"|1",$Z$14:$Z$1213,0)),"(tied)")))</f>
        <v/>
      </c>
      <c r="J69" s="25">
        <f>IF($H69="","",IF(OR(COUNTIFS($A$14:$A$1213,$H69,$C$14:$C$1213,"&gt;=0")=0,COUNTIFS($A$14:$A$1213,$H69,$F$14:$F$1213,"&gt;=0")=0),"—",IF(OR(ISERROR(MATCH($H69&amp;"|1",$Z$14:$Z$1213,0)),ISERROR(MATCH($H69&amp;"|1",$AA$14:$AA$1213,0))),"Tie",IF(MATCH($H69&amp;"|1",$Z$14:$Z$1213,0)=MATCH($H69&amp;"|1",$AA$14:$AA$1213,0),"Hit","Miss"))))</f>
        <v/>
      </c>
      <c r="K69" s="24">
        <f>IF($H69="","",IF(COUNTIFS($A$14:$A$1213,$H69,$F$14:$F$1213,"&gt;=0")=0,"—",IFERROR(INDEX($B$14:$B$1213,MATCH($H69&amp;"|1",$AA$14:$AA$1213,0)),"(tied)")))</f>
        <v/>
      </c>
      <c r="L69" s="25">
        <f>IF($H69="","",IF((--(COUNTIFS($A$14:$A$1213,$H69,$P$14:$P$1213,"&gt;=0")&gt;0)+--(COUNTIFS($A$14:$A$1213,$H69,$Q$14:$Q$1213,"&gt;=0")&gt;0)+--(COUNTIFS($A$14:$A$1213,$H69,$R$14:$R$1213,"&gt;=0")&gt;0)+--(COUNTIFS($A$14:$A$1213,$H69,$S$14:$S$1213,"&gt;=0")&gt;0)+--(COUNTIFS($A$14:$A$1213,$H69,$T$14:$T$1213,"&gt;=0")&gt;0))&lt;2,"—",IF(SUMIFS($AH$14:$AH$1213,$A$14:$A$1213,$H69)=0,"Yes","No")))</f>
        <v/>
      </c>
      <c r="M69" s="25">
        <f>IF($H69="","",IF(COUNTIFS($A$14:$A$1213,$H69,$F$14:$F$1213,"&gt;=0")&lt;2,"—",IF(COUNTIFS($A$14:$A$1213,$H69,$F$14:$F$1213,_xlfn.MAXIFS($F$14:$F$1213,$A$14:$A$1213,$H69))&gt;1,"No",IF(NOT(ISNUMBER($AN69)),"—",IF((2*(1-NORMSDIST(ABS($AN69))))&lt;0.05,"Yes","No")))))</f>
        <v/>
      </c>
      <c r="N69" s="21">
        <f>IF($H69="","",IF(NOT(ISNUMBER($AN69)),"—",IF((2*(1-NORMSDIST(ABS($AN69))))&lt;0.001,"&lt;0.001",TEXT((2*(1-NORMSDIST(ABS($AN69)))),"0.000"))))</f>
        <v/>
      </c>
      <c r="P69" s="26" t="n"/>
      <c r="Q69" s="26" t="n"/>
      <c r="R69" s="26" t="n"/>
      <c r="S69" s="26" t="n"/>
      <c r="T69" s="26" t="n"/>
      <c r="V69" s="27">
        <f>IF(ISNUMBER($C69),COUNTIFS($A$14:$A$1213,$A69,$C$14:$C$1213,"&gt;"&amp;$C69)+(COUNTIFS($A$14:$A$1213,$A69,$C$14:$C$1213,"="&amp;$C69)+1)/2,"")</f>
        <v/>
      </c>
      <c r="W69" s="27">
        <f>IF(ISNUMBER($F69),COUNTIFS($A$14:$A$1213,$A69,$F$14:$F$1213,"&gt;"&amp;$F69)+(COUNTIFS($A$14:$A$1213,$A69,$F$14:$F$1213,"="&amp;$F69)+1)/2,"")</f>
        <v/>
      </c>
      <c r="X69" s="27">
        <f>IF(OR(NOT(ISNUMBER($V69)),$AO69=1),"",$V69-(COUNTIFS($A$14:$A$1213,$A69,$C$14:$C$1213,"&gt;=0")+1)/2)</f>
        <v/>
      </c>
      <c r="Y69" s="27">
        <f>IF(OR(NOT(ISNUMBER($W69)),$AO69=1),"",$W69-(COUNTIFS($A$14:$A$1213,$A69,$F$14:$F$1213,"&gt;=0")+1)/2)</f>
        <v/>
      </c>
      <c r="Z69" s="27">
        <f>IF(ISNUMBER($V69),$A69&amp;"|"&amp;$V69,"")</f>
        <v/>
      </c>
      <c r="AA69" s="27">
        <f>IF(ISNUMBER($W69),$A69&amp;"|"&amp;$W69,"")</f>
        <v/>
      </c>
      <c r="AB69" s="27">
        <f>IF(ISNUMBER($F69),$A69&amp;"|"&amp;$F69,"")</f>
        <v/>
      </c>
      <c r="AC69" s="27">
        <f>IF(ISNUMBER($P69),COUNTIFS($A$14:$A$1213,$A69,$P$14:$P$1213,"&gt;"&amp;$P69)+(COUNTIFS($A$14:$A$1213,$A69,$P$14:$P$1213,"="&amp;$P69)+1)/2,"")</f>
        <v/>
      </c>
      <c r="AD69" s="27">
        <f>IF(ISNUMBER($Q69),COUNTIFS($A$14:$A$1213,$A69,$Q$14:$Q$1213,"&gt;"&amp;$Q69)+(COUNTIFS($A$14:$A$1213,$A69,$Q$14:$Q$1213,"="&amp;$Q69)+1)/2,"")</f>
        <v/>
      </c>
      <c r="AE69" s="27">
        <f>IF(ISNUMBER($R69),COUNTIFS($A$14:$A$1213,$A69,$R$14:$R$1213,"&gt;"&amp;$R69)+(COUNTIFS($A$14:$A$1213,$A69,$R$14:$R$1213,"="&amp;$R69)+1)/2,"")</f>
        <v/>
      </c>
      <c r="AF69" s="27">
        <f>IF(ISNUMBER($S69),COUNTIFS($A$14:$A$1213,$A69,$S$14:$S$1213,"&gt;"&amp;$S69)+(COUNTIFS($A$14:$A$1213,$A69,$S$14:$S$1213,"="&amp;$S69)+1)/2,"")</f>
        <v/>
      </c>
      <c r="AG69" s="27">
        <f>IF(ISNUMBER($T69),COUNTIFS($A$14:$A$1213,$A69,$T$14:$T$1213,"&gt;"&amp;$T69)+(COUNTIFS($A$14:$A$1213,$A69,$T$14:$T$1213,"="&amp;$T69)+1)/2,"")</f>
        <v/>
      </c>
      <c r="AH69" s="27">
        <f>IF(COUNT($AC69:$AG69)&lt;2,"",IF(MAX($AC69:$AG69)=MIN($AC69:$AG69),0,1))</f>
        <v/>
      </c>
      <c r="AI69" s="27">
        <f>IF($A69="","",IF(COUNTIF($A$14:$A69,$A69)=1,COUNTIF($AI$13:AI68,"&gt;0")+1,""))</f>
        <v/>
      </c>
      <c r="AJ69" s="27">
        <f>IF(OR($H69="",COUNTIFS($A$14:$A$1213,$H69,$F$14:$F$1213,"&gt;=0")&lt;2,COUNTIFS($A$14:$A$1213,$H69,$F$14:$F$1213,_xlfn.MAXIFS($F$14:$F$1213,$A$14:$A$1213,$H69))&gt;1),"",IFERROR(INDEX($D$14:$D$1213,MATCH($H69&amp;"|"&amp;_xlfn.MAXIFS($F$14:$F$1213,$A$14:$A$1213,$H69),$AB$14:$AB$1213,0)),""))</f>
        <v/>
      </c>
      <c r="AK69" s="27">
        <f>IF(OR($H69="",COUNTIFS($A$14:$A$1213,$H69,$F$14:$F$1213,"&gt;=0")&lt;2,COUNTIFS($A$14:$A$1213,$H69,$F$14:$F$1213,_xlfn.MAXIFS($F$14:$F$1213,$A$14:$A$1213,$H69))&gt;1),"",IFERROR(INDEX($E$14:$E$1213,MATCH($H69&amp;"|"&amp;_xlfn.MAXIFS($F$14:$F$1213,$A$14:$A$1213,$H69),$AB$14:$AB$1213,0)),""))</f>
        <v/>
      </c>
      <c r="AL69" s="27">
        <f>IF(OR($H69="",COUNTIFS($A$14:$A$1213,$H69,$F$14:$F$1213,"&gt;=0")&lt;2,COUNTIFS($A$14:$A$1213,$H69,$F$14:$F$1213,_xlfn.MAXIFS($F$14:$F$1213,$A$14:$A$1213,$H69))&gt;1),"",IFERROR(INDEX($D$14:$D$1213,MATCH($H69&amp;"|"&amp;_xlfn.MAXIFS($F$14:$F$1213,$A$14:$A$1213,$H69,$F$14:$F$1213,"&lt;"&amp;_xlfn.MAXIFS($F$14:$F$1213,$A$14:$A$1213,$H69)),$AB$14:$AB$1213,0)),""))</f>
        <v/>
      </c>
      <c r="AM69" s="27">
        <f>IF(OR($H69="",COUNTIFS($A$14:$A$1213,$H69,$F$14:$F$1213,"&gt;=0")&lt;2,COUNTIFS($A$14:$A$1213,$H69,$F$14:$F$1213,_xlfn.MAXIFS($F$14:$F$1213,$A$14:$A$1213,$H69))&gt;1),"",IFERROR(INDEX($E$14:$E$1213,MATCH($H69&amp;"|"&amp;_xlfn.MAXIFS($F$14:$F$1213,$A$14:$A$1213,$H69,$F$14:$F$1213,"&lt;"&amp;_xlfn.MAXIFS($F$14:$F$1213,$A$14:$A$1213,$H69)),$AB$14:$AB$1213,0)),""))</f>
        <v/>
      </c>
      <c r="AN69" s="27">
        <f>IF(OR(NOT(ISNUMBER($AJ69)),NOT(ISNUMBER($AL69)),$AK69=0,$AM69=0),"",IF(OR((($AJ69+$AL69)/($AK69+$AM69))&lt;=0,(($AJ69+$AL69)/($AK69+$AM69))&gt;=1),"",($AJ69/$AK69-$AL69/$AM69)/SQRT((($AJ69+$AL69)/($AK69+$AM69))*(1-(($AJ69+$AL69)/($AK69+$AM69)))*(1/$AK69+1/$AM69))))</f>
        <v/>
      </c>
      <c r="AO69" s="27">
        <f>IF($A69="","",IF(AND(COUNTIFS($A$14:$A$1213,$A69,$F$14:$F$1213,"&gt;=0")=2,IFERROR(INDEX($M$14:$M$313,MATCH($A69,$H$14:$H$313,0)),"Yes")&lt;&gt;"Yes"),1,0))</f>
        <v/>
      </c>
    </row>
    <row r="70" ht="24" customHeight="1">
      <c r="A70" s="19" t="n"/>
      <c r="B70" s="20" t="n"/>
      <c r="C70" s="21">
        <f>IFERROR(AVERAGE(P70:T70),"")</f>
        <v/>
      </c>
      <c r="D70" s="29" t="n"/>
      <c r="E70" s="29" t="n"/>
      <c r="F70" s="30">
        <f>IF(AND(ISNUMBER($D70),ISNUMBER($E70),$E70&gt;0,$D70&lt;=$E70),$D70/$E70,"")</f>
        <v/>
      </c>
      <c r="H70" s="19">
        <f>IFERROR(INDEX($A$14:$A$1213,MATCH(57,$AI$14:$AI$1213,0)),"")</f>
        <v/>
      </c>
      <c r="I70" s="24">
        <f>IF($H70="","",IF(COUNTIFS($A$14:$A$1213,$H70,$C$14:$C$1213,"&gt;=0")=0,"—",IFERROR(INDEX($B$14:$B$1213,MATCH($H70&amp;"|1",$Z$14:$Z$1213,0)),"(tied)")))</f>
        <v/>
      </c>
      <c r="J70" s="25">
        <f>IF($H70="","",IF(OR(COUNTIFS($A$14:$A$1213,$H70,$C$14:$C$1213,"&gt;=0")=0,COUNTIFS($A$14:$A$1213,$H70,$F$14:$F$1213,"&gt;=0")=0),"—",IF(OR(ISERROR(MATCH($H70&amp;"|1",$Z$14:$Z$1213,0)),ISERROR(MATCH($H70&amp;"|1",$AA$14:$AA$1213,0))),"Tie",IF(MATCH($H70&amp;"|1",$Z$14:$Z$1213,0)=MATCH($H70&amp;"|1",$AA$14:$AA$1213,0),"Hit","Miss"))))</f>
        <v/>
      </c>
      <c r="K70" s="24">
        <f>IF($H70="","",IF(COUNTIFS($A$14:$A$1213,$H70,$F$14:$F$1213,"&gt;=0")=0,"—",IFERROR(INDEX($B$14:$B$1213,MATCH($H70&amp;"|1",$AA$14:$AA$1213,0)),"(tied)")))</f>
        <v/>
      </c>
      <c r="L70" s="25">
        <f>IF($H70="","",IF((--(COUNTIFS($A$14:$A$1213,$H70,$P$14:$P$1213,"&gt;=0")&gt;0)+--(COUNTIFS($A$14:$A$1213,$H70,$Q$14:$Q$1213,"&gt;=0")&gt;0)+--(COUNTIFS($A$14:$A$1213,$H70,$R$14:$R$1213,"&gt;=0")&gt;0)+--(COUNTIFS($A$14:$A$1213,$H70,$S$14:$S$1213,"&gt;=0")&gt;0)+--(COUNTIFS($A$14:$A$1213,$H70,$T$14:$T$1213,"&gt;=0")&gt;0))&lt;2,"—",IF(SUMIFS($AH$14:$AH$1213,$A$14:$A$1213,$H70)=0,"Yes","No")))</f>
        <v/>
      </c>
      <c r="M70" s="25">
        <f>IF($H70="","",IF(COUNTIFS($A$14:$A$1213,$H70,$F$14:$F$1213,"&gt;=0")&lt;2,"—",IF(COUNTIFS($A$14:$A$1213,$H70,$F$14:$F$1213,_xlfn.MAXIFS($F$14:$F$1213,$A$14:$A$1213,$H70))&gt;1,"No",IF(NOT(ISNUMBER($AN70)),"—",IF((2*(1-NORMSDIST(ABS($AN70))))&lt;0.05,"Yes","No")))))</f>
        <v/>
      </c>
      <c r="N70" s="21">
        <f>IF($H70="","",IF(NOT(ISNUMBER($AN70)),"—",IF((2*(1-NORMSDIST(ABS($AN70))))&lt;0.001,"&lt;0.001",TEXT((2*(1-NORMSDIST(ABS($AN70)))),"0.000"))))</f>
        <v/>
      </c>
      <c r="P70" s="26" t="n"/>
      <c r="Q70" s="26" t="n"/>
      <c r="R70" s="26" t="n"/>
      <c r="S70" s="26" t="n"/>
      <c r="T70" s="26" t="n"/>
      <c r="V70" s="27">
        <f>IF(ISNUMBER($C70),COUNTIFS($A$14:$A$1213,$A70,$C$14:$C$1213,"&gt;"&amp;$C70)+(COUNTIFS($A$14:$A$1213,$A70,$C$14:$C$1213,"="&amp;$C70)+1)/2,"")</f>
        <v/>
      </c>
      <c r="W70" s="27">
        <f>IF(ISNUMBER($F70),COUNTIFS($A$14:$A$1213,$A70,$F$14:$F$1213,"&gt;"&amp;$F70)+(COUNTIFS($A$14:$A$1213,$A70,$F$14:$F$1213,"="&amp;$F70)+1)/2,"")</f>
        <v/>
      </c>
      <c r="X70" s="27">
        <f>IF(OR(NOT(ISNUMBER($V70)),$AO70=1),"",$V70-(COUNTIFS($A$14:$A$1213,$A70,$C$14:$C$1213,"&gt;=0")+1)/2)</f>
        <v/>
      </c>
      <c r="Y70" s="27">
        <f>IF(OR(NOT(ISNUMBER($W70)),$AO70=1),"",$W70-(COUNTIFS($A$14:$A$1213,$A70,$F$14:$F$1213,"&gt;=0")+1)/2)</f>
        <v/>
      </c>
      <c r="Z70" s="27">
        <f>IF(ISNUMBER($V70),$A70&amp;"|"&amp;$V70,"")</f>
        <v/>
      </c>
      <c r="AA70" s="27">
        <f>IF(ISNUMBER($W70),$A70&amp;"|"&amp;$W70,"")</f>
        <v/>
      </c>
      <c r="AB70" s="27">
        <f>IF(ISNUMBER($F70),$A70&amp;"|"&amp;$F70,"")</f>
        <v/>
      </c>
      <c r="AC70" s="27">
        <f>IF(ISNUMBER($P70),COUNTIFS($A$14:$A$1213,$A70,$P$14:$P$1213,"&gt;"&amp;$P70)+(COUNTIFS($A$14:$A$1213,$A70,$P$14:$P$1213,"="&amp;$P70)+1)/2,"")</f>
        <v/>
      </c>
      <c r="AD70" s="27">
        <f>IF(ISNUMBER($Q70),COUNTIFS($A$14:$A$1213,$A70,$Q$14:$Q$1213,"&gt;"&amp;$Q70)+(COUNTIFS($A$14:$A$1213,$A70,$Q$14:$Q$1213,"="&amp;$Q70)+1)/2,"")</f>
        <v/>
      </c>
      <c r="AE70" s="27">
        <f>IF(ISNUMBER($R70),COUNTIFS($A$14:$A$1213,$A70,$R$14:$R$1213,"&gt;"&amp;$R70)+(COUNTIFS($A$14:$A$1213,$A70,$R$14:$R$1213,"="&amp;$R70)+1)/2,"")</f>
        <v/>
      </c>
      <c r="AF70" s="27">
        <f>IF(ISNUMBER($S70),COUNTIFS($A$14:$A$1213,$A70,$S$14:$S$1213,"&gt;"&amp;$S70)+(COUNTIFS($A$14:$A$1213,$A70,$S$14:$S$1213,"="&amp;$S70)+1)/2,"")</f>
        <v/>
      </c>
      <c r="AG70" s="27">
        <f>IF(ISNUMBER($T70),COUNTIFS($A$14:$A$1213,$A70,$T$14:$T$1213,"&gt;"&amp;$T70)+(COUNTIFS($A$14:$A$1213,$A70,$T$14:$T$1213,"="&amp;$T70)+1)/2,"")</f>
        <v/>
      </c>
      <c r="AH70" s="27">
        <f>IF(COUNT($AC70:$AG70)&lt;2,"",IF(MAX($AC70:$AG70)=MIN($AC70:$AG70),0,1))</f>
        <v/>
      </c>
      <c r="AI70" s="27">
        <f>IF($A70="","",IF(COUNTIF($A$14:$A70,$A70)=1,COUNTIF($AI$13:AI69,"&gt;0")+1,""))</f>
        <v/>
      </c>
      <c r="AJ70" s="27">
        <f>IF(OR($H70="",COUNTIFS($A$14:$A$1213,$H70,$F$14:$F$1213,"&gt;=0")&lt;2,COUNTIFS($A$14:$A$1213,$H70,$F$14:$F$1213,_xlfn.MAXIFS($F$14:$F$1213,$A$14:$A$1213,$H70))&gt;1),"",IFERROR(INDEX($D$14:$D$1213,MATCH($H70&amp;"|"&amp;_xlfn.MAXIFS($F$14:$F$1213,$A$14:$A$1213,$H70),$AB$14:$AB$1213,0)),""))</f>
        <v/>
      </c>
      <c r="AK70" s="27">
        <f>IF(OR($H70="",COUNTIFS($A$14:$A$1213,$H70,$F$14:$F$1213,"&gt;=0")&lt;2,COUNTIFS($A$14:$A$1213,$H70,$F$14:$F$1213,_xlfn.MAXIFS($F$14:$F$1213,$A$14:$A$1213,$H70))&gt;1),"",IFERROR(INDEX($E$14:$E$1213,MATCH($H70&amp;"|"&amp;_xlfn.MAXIFS($F$14:$F$1213,$A$14:$A$1213,$H70),$AB$14:$AB$1213,0)),""))</f>
        <v/>
      </c>
      <c r="AL70" s="27">
        <f>IF(OR($H70="",COUNTIFS($A$14:$A$1213,$H70,$F$14:$F$1213,"&gt;=0")&lt;2,COUNTIFS($A$14:$A$1213,$H70,$F$14:$F$1213,_xlfn.MAXIFS($F$14:$F$1213,$A$14:$A$1213,$H70))&gt;1),"",IFERROR(INDEX($D$14:$D$1213,MATCH($H70&amp;"|"&amp;_xlfn.MAXIFS($F$14:$F$1213,$A$14:$A$1213,$H70,$F$14:$F$1213,"&lt;"&amp;_xlfn.MAXIFS($F$14:$F$1213,$A$14:$A$1213,$H70)),$AB$14:$AB$1213,0)),""))</f>
        <v/>
      </c>
      <c r="AM70" s="27">
        <f>IF(OR($H70="",COUNTIFS($A$14:$A$1213,$H70,$F$14:$F$1213,"&gt;=0")&lt;2,COUNTIFS($A$14:$A$1213,$H70,$F$14:$F$1213,_xlfn.MAXIFS($F$14:$F$1213,$A$14:$A$1213,$H70))&gt;1),"",IFERROR(INDEX($E$14:$E$1213,MATCH($H70&amp;"|"&amp;_xlfn.MAXIFS($F$14:$F$1213,$A$14:$A$1213,$H70,$F$14:$F$1213,"&lt;"&amp;_xlfn.MAXIFS($F$14:$F$1213,$A$14:$A$1213,$H70)),$AB$14:$AB$1213,0)),""))</f>
        <v/>
      </c>
      <c r="AN70" s="27">
        <f>IF(OR(NOT(ISNUMBER($AJ70)),NOT(ISNUMBER($AL70)),$AK70=0,$AM70=0),"",IF(OR((($AJ70+$AL70)/($AK70+$AM70))&lt;=0,(($AJ70+$AL70)/($AK70+$AM70))&gt;=1),"",($AJ70/$AK70-$AL70/$AM70)/SQRT((($AJ70+$AL70)/($AK70+$AM70))*(1-(($AJ70+$AL70)/($AK70+$AM70)))*(1/$AK70+1/$AM70))))</f>
        <v/>
      </c>
      <c r="AO70" s="27">
        <f>IF($A70="","",IF(AND(COUNTIFS($A$14:$A$1213,$A70,$F$14:$F$1213,"&gt;=0")=2,IFERROR(INDEX($M$14:$M$313,MATCH($A70,$H$14:$H$313,0)),"Yes")&lt;&gt;"Yes"),1,0))</f>
        <v/>
      </c>
    </row>
    <row r="71" ht="24" customHeight="1">
      <c r="A71" s="19" t="n"/>
      <c r="B71" s="20" t="n"/>
      <c r="C71" s="21">
        <f>IFERROR(AVERAGE(P71:T71),"")</f>
        <v/>
      </c>
      <c r="D71" s="29" t="n"/>
      <c r="E71" s="29" t="n"/>
      <c r="F71" s="30">
        <f>IF(AND(ISNUMBER($D71),ISNUMBER($E71),$E71&gt;0,$D71&lt;=$E71),$D71/$E71,"")</f>
        <v/>
      </c>
      <c r="H71" s="19">
        <f>IFERROR(INDEX($A$14:$A$1213,MATCH(58,$AI$14:$AI$1213,0)),"")</f>
        <v/>
      </c>
      <c r="I71" s="24">
        <f>IF($H71="","",IF(COUNTIFS($A$14:$A$1213,$H71,$C$14:$C$1213,"&gt;=0")=0,"—",IFERROR(INDEX($B$14:$B$1213,MATCH($H71&amp;"|1",$Z$14:$Z$1213,0)),"(tied)")))</f>
        <v/>
      </c>
      <c r="J71" s="25">
        <f>IF($H71="","",IF(OR(COUNTIFS($A$14:$A$1213,$H71,$C$14:$C$1213,"&gt;=0")=0,COUNTIFS($A$14:$A$1213,$H71,$F$14:$F$1213,"&gt;=0")=0),"—",IF(OR(ISERROR(MATCH($H71&amp;"|1",$Z$14:$Z$1213,0)),ISERROR(MATCH($H71&amp;"|1",$AA$14:$AA$1213,0))),"Tie",IF(MATCH($H71&amp;"|1",$Z$14:$Z$1213,0)=MATCH($H71&amp;"|1",$AA$14:$AA$1213,0),"Hit","Miss"))))</f>
        <v/>
      </c>
      <c r="K71" s="24">
        <f>IF($H71="","",IF(COUNTIFS($A$14:$A$1213,$H71,$F$14:$F$1213,"&gt;=0")=0,"—",IFERROR(INDEX($B$14:$B$1213,MATCH($H71&amp;"|1",$AA$14:$AA$1213,0)),"(tied)")))</f>
        <v/>
      </c>
      <c r="L71" s="25">
        <f>IF($H71="","",IF((--(COUNTIFS($A$14:$A$1213,$H71,$P$14:$P$1213,"&gt;=0")&gt;0)+--(COUNTIFS($A$14:$A$1213,$H71,$Q$14:$Q$1213,"&gt;=0")&gt;0)+--(COUNTIFS($A$14:$A$1213,$H71,$R$14:$R$1213,"&gt;=0")&gt;0)+--(COUNTIFS($A$14:$A$1213,$H71,$S$14:$S$1213,"&gt;=0")&gt;0)+--(COUNTIFS($A$14:$A$1213,$H71,$T$14:$T$1213,"&gt;=0")&gt;0))&lt;2,"—",IF(SUMIFS($AH$14:$AH$1213,$A$14:$A$1213,$H71)=0,"Yes","No")))</f>
        <v/>
      </c>
      <c r="M71" s="25">
        <f>IF($H71="","",IF(COUNTIFS($A$14:$A$1213,$H71,$F$14:$F$1213,"&gt;=0")&lt;2,"—",IF(COUNTIFS($A$14:$A$1213,$H71,$F$14:$F$1213,_xlfn.MAXIFS($F$14:$F$1213,$A$14:$A$1213,$H71))&gt;1,"No",IF(NOT(ISNUMBER($AN71)),"—",IF((2*(1-NORMSDIST(ABS($AN71))))&lt;0.05,"Yes","No")))))</f>
        <v/>
      </c>
      <c r="N71" s="21">
        <f>IF($H71="","",IF(NOT(ISNUMBER($AN71)),"—",IF((2*(1-NORMSDIST(ABS($AN71))))&lt;0.001,"&lt;0.001",TEXT((2*(1-NORMSDIST(ABS($AN71)))),"0.000"))))</f>
        <v/>
      </c>
      <c r="P71" s="26" t="n"/>
      <c r="Q71" s="26" t="n"/>
      <c r="R71" s="26" t="n"/>
      <c r="S71" s="26" t="n"/>
      <c r="T71" s="26" t="n"/>
      <c r="V71" s="27">
        <f>IF(ISNUMBER($C71),COUNTIFS($A$14:$A$1213,$A71,$C$14:$C$1213,"&gt;"&amp;$C71)+(COUNTIFS($A$14:$A$1213,$A71,$C$14:$C$1213,"="&amp;$C71)+1)/2,"")</f>
        <v/>
      </c>
      <c r="W71" s="27">
        <f>IF(ISNUMBER($F71),COUNTIFS($A$14:$A$1213,$A71,$F$14:$F$1213,"&gt;"&amp;$F71)+(COUNTIFS($A$14:$A$1213,$A71,$F$14:$F$1213,"="&amp;$F71)+1)/2,"")</f>
        <v/>
      </c>
      <c r="X71" s="27">
        <f>IF(OR(NOT(ISNUMBER($V71)),$AO71=1),"",$V71-(COUNTIFS($A$14:$A$1213,$A71,$C$14:$C$1213,"&gt;=0")+1)/2)</f>
        <v/>
      </c>
      <c r="Y71" s="27">
        <f>IF(OR(NOT(ISNUMBER($W71)),$AO71=1),"",$W71-(COUNTIFS($A$14:$A$1213,$A71,$F$14:$F$1213,"&gt;=0")+1)/2)</f>
        <v/>
      </c>
      <c r="Z71" s="27">
        <f>IF(ISNUMBER($V71),$A71&amp;"|"&amp;$V71,"")</f>
        <v/>
      </c>
      <c r="AA71" s="27">
        <f>IF(ISNUMBER($W71),$A71&amp;"|"&amp;$W71,"")</f>
        <v/>
      </c>
      <c r="AB71" s="27">
        <f>IF(ISNUMBER($F71),$A71&amp;"|"&amp;$F71,"")</f>
        <v/>
      </c>
      <c r="AC71" s="27">
        <f>IF(ISNUMBER($P71),COUNTIFS($A$14:$A$1213,$A71,$P$14:$P$1213,"&gt;"&amp;$P71)+(COUNTIFS($A$14:$A$1213,$A71,$P$14:$P$1213,"="&amp;$P71)+1)/2,"")</f>
        <v/>
      </c>
      <c r="AD71" s="27">
        <f>IF(ISNUMBER($Q71),COUNTIFS($A$14:$A$1213,$A71,$Q$14:$Q$1213,"&gt;"&amp;$Q71)+(COUNTIFS($A$14:$A$1213,$A71,$Q$14:$Q$1213,"="&amp;$Q71)+1)/2,"")</f>
        <v/>
      </c>
      <c r="AE71" s="27">
        <f>IF(ISNUMBER($R71),COUNTIFS($A$14:$A$1213,$A71,$R$14:$R$1213,"&gt;"&amp;$R71)+(COUNTIFS($A$14:$A$1213,$A71,$R$14:$R$1213,"="&amp;$R71)+1)/2,"")</f>
        <v/>
      </c>
      <c r="AF71" s="27">
        <f>IF(ISNUMBER($S71),COUNTIFS($A$14:$A$1213,$A71,$S$14:$S$1213,"&gt;"&amp;$S71)+(COUNTIFS($A$14:$A$1213,$A71,$S$14:$S$1213,"="&amp;$S71)+1)/2,"")</f>
        <v/>
      </c>
      <c r="AG71" s="27">
        <f>IF(ISNUMBER($T71),COUNTIFS($A$14:$A$1213,$A71,$T$14:$T$1213,"&gt;"&amp;$T71)+(COUNTIFS($A$14:$A$1213,$A71,$T$14:$T$1213,"="&amp;$T71)+1)/2,"")</f>
        <v/>
      </c>
      <c r="AH71" s="27">
        <f>IF(COUNT($AC71:$AG71)&lt;2,"",IF(MAX($AC71:$AG71)=MIN($AC71:$AG71),0,1))</f>
        <v/>
      </c>
      <c r="AI71" s="27">
        <f>IF($A71="","",IF(COUNTIF($A$14:$A71,$A71)=1,COUNTIF($AI$13:AI70,"&gt;0")+1,""))</f>
        <v/>
      </c>
      <c r="AJ71" s="27">
        <f>IF(OR($H71="",COUNTIFS($A$14:$A$1213,$H71,$F$14:$F$1213,"&gt;=0")&lt;2,COUNTIFS($A$14:$A$1213,$H71,$F$14:$F$1213,_xlfn.MAXIFS($F$14:$F$1213,$A$14:$A$1213,$H71))&gt;1),"",IFERROR(INDEX($D$14:$D$1213,MATCH($H71&amp;"|"&amp;_xlfn.MAXIFS($F$14:$F$1213,$A$14:$A$1213,$H71),$AB$14:$AB$1213,0)),""))</f>
        <v/>
      </c>
      <c r="AK71" s="27">
        <f>IF(OR($H71="",COUNTIFS($A$14:$A$1213,$H71,$F$14:$F$1213,"&gt;=0")&lt;2,COUNTIFS($A$14:$A$1213,$H71,$F$14:$F$1213,_xlfn.MAXIFS($F$14:$F$1213,$A$14:$A$1213,$H71))&gt;1),"",IFERROR(INDEX($E$14:$E$1213,MATCH($H71&amp;"|"&amp;_xlfn.MAXIFS($F$14:$F$1213,$A$14:$A$1213,$H71),$AB$14:$AB$1213,0)),""))</f>
        <v/>
      </c>
      <c r="AL71" s="27">
        <f>IF(OR($H71="",COUNTIFS($A$14:$A$1213,$H71,$F$14:$F$1213,"&gt;=0")&lt;2,COUNTIFS($A$14:$A$1213,$H71,$F$14:$F$1213,_xlfn.MAXIFS($F$14:$F$1213,$A$14:$A$1213,$H71))&gt;1),"",IFERROR(INDEX($D$14:$D$1213,MATCH($H71&amp;"|"&amp;_xlfn.MAXIFS($F$14:$F$1213,$A$14:$A$1213,$H71,$F$14:$F$1213,"&lt;"&amp;_xlfn.MAXIFS($F$14:$F$1213,$A$14:$A$1213,$H71)),$AB$14:$AB$1213,0)),""))</f>
        <v/>
      </c>
      <c r="AM71" s="27">
        <f>IF(OR($H71="",COUNTIFS($A$14:$A$1213,$H71,$F$14:$F$1213,"&gt;=0")&lt;2,COUNTIFS($A$14:$A$1213,$H71,$F$14:$F$1213,_xlfn.MAXIFS($F$14:$F$1213,$A$14:$A$1213,$H71))&gt;1),"",IFERROR(INDEX($E$14:$E$1213,MATCH($H71&amp;"|"&amp;_xlfn.MAXIFS($F$14:$F$1213,$A$14:$A$1213,$H71,$F$14:$F$1213,"&lt;"&amp;_xlfn.MAXIFS($F$14:$F$1213,$A$14:$A$1213,$H71)),$AB$14:$AB$1213,0)),""))</f>
        <v/>
      </c>
      <c r="AN71" s="27">
        <f>IF(OR(NOT(ISNUMBER($AJ71)),NOT(ISNUMBER($AL71)),$AK71=0,$AM71=0),"",IF(OR((($AJ71+$AL71)/($AK71+$AM71))&lt;=0,(($AJ71+$AL71)/($AK71+$AM71))&gt;=1),"",($AJ71/$AK71-$AL71/$AM71)/SQRT((($AJ71+$AL71)/($AK71+$AM71))*(1-(($AJ71+$AL71)/($AK71+$AM71)))*(1/$AK71+1/$AM71))))</f>
        <v/>
      </c>
      <c r="AO71" s="27">
        <f>IF($A71="","",IF(AND(COUNTIFS($A$14:$A$1213,$A71,$F$14:$F$1213,"&gt;=0")=2,IFERROR(INDEX($M$14:$M$313,MATCH($A71,$H$14:$H$313,0)),"Yes")&lt;&gt;"Yes"),1,0))</f>
        <v/>
      </c>
    </row>
    <row r="72" ht="24" customHeight="1">
      <c r="A72" s="19" t="n"/>
      <c r="B72" s="20" t="n"/>
      <c r="C72" s="21">
        <f>IFERROR(AVERAGE(P72:T72),"")</f>
        <v/>
      </c>
      <c r="D72" s="29" t="n"/>
      <c r="E72" s="29" t="n"/>
      <c r="F72" s="30">
        <f>IF(AND(ISNUMBER($D72),ISNUMBER($E72),$E72&gt;0,$D72&lt;=$E72),$D72/$E72,"")</f>
        <v/>
      </c>
      <c r="H72" s="19">
        <f>IFERROR(INDEX($A$14:$A$1213,MATCH(59,$AI$14:$AI$1213,0)),"")</f>
        <v/>
      </c>
      <c r="I72" s="24">
        <f>IF($H72="","",IF(COUNTIFS($A$14:$A$1213,$H72,$C$14:$C$1213,"&gt;=0")=0,"—",IFERROR(INDEX($B$14:$B$1213,MATCH($H72&amp;"|1",$Z$14:$Z$1213,0)),"(tied)")))</f>
        <v/>
      </c>
      <c r="J72" s="25">
        <f>IF($H72="","",IF(OR(COUNTIFS($A$14:$A$1213,$H72,$C$14:$C$1213,"&gt;=0")=0,COUNTIFS($A$14:$A$1213,$H72,$F$14:$F$1213,"&gt;=0")=0),"—",IF(OR(ISERROR(MATCH($H72&amp;"|1",$Z$14:$Z$1213,0)),ISERROR(MATCH($H72&amp;"|1",$AA$14:$AA$1213,0))),"Tie",IF(MATCH($H72&amp;"|1",$Z$14:$Z$1213,0)=MATCH($H72&amp;"|1",$AA$14:$AA$1213,0),"Hit","Miss"))))</f>
        <v/>
      </c>
      <c r="K72" s="24">
        <f>IF($H72="","",IF(COUNTIFS($A$14:$A$1213,$H72,$F$14:$F$1213,"&gt;=0")=0,"—",IFERROR(INDEX($B$14:$B$1213,MATCH($H72&amp;"|1",$AA$14:$AA$1213,0)),"(tied)")))</f>
        <v/>
      </c>
      <c r="L72" s="25">
        <f>IF($H72="","",IF((--(COUNTIFS($A$14:$A$1213,$H72,$P$14:$P$1213,"&gt;=0")&gt;0)+--(COUNTIFS($A$14:$A$1213,$H72,$Q$14:$Q$1213,"&gt;=0")&gt;0)+--(COUNTIFS($A$14:$A$1213,$H72,$R$14:$R$1213,"&gt;=0")&gt;0)+--(COUNTIFS($A$14:$A$1213,$H72,$S$14:$S$1213,"&gt;=0")&gt;0)+--(COUNTIFS($A$14:$A$1213,$H72,$T$14:$T$1213,"&gt;=0")&gt;0))&lt;2,"—",IF(SUMIFS($AH$14:$AH$1213,$A$14:$A$1213,$H72)=0,"Yes","No")))</f>
        <v/>
      </c>
      <c r="M72" s="25">
        <f>IF($H72="","",IF(COUNTIFS($A$14:$A$1213,$H72,$F$14:$F$1213,"&gt;=0")&lt;2,"—",IF(COUNTIFS($A$14:$A$1213,$H72,$F$14:$F$1213,_xlfn.MAXIFS($F$14:$F$1213,$A$14:$A$1213,$H72))&gt;1,"No",IF(NOT(ISNUMBER($AN72)),"—",IF((2*(1-NORMSDIST(ABS($AN72))))&lt;0.05,"Yes","No")))))</f>
        <v/>
      </c>
      <c r="N72" s="21">
        <f>IF($H72="","",IF(NOT(ISNUMBER($AN72)),"—",IF((2*(1-NORMSDIST(ABS($AN72))))&lt;0.001,"&lt;0.001",TEXT((2*(1-NORMSDIST(ABS($AN72)))),"0.000"))))</f>
        <v/>
      </c>
      <c r="P72" s="26" t="n"/>
      <c r="Q72" s="26" t="n"/>
      <c r="R72" s="26" t="n"/>
      <c r="S72" s="26" t="n"/>
      <c r="T72" s="26" t="n"/>
      <c r="V72" s="27">
        <f>IF(ISNUMBER($C72),COUNTIFS($A$14:$A$1213,$A72,$C$14:$C$1213,"&gt;"&amp;$C72)+(COUNTIFS($A$14:$A$1213,$A72,$C$14:$C$1213,"="&amp;$C72)+1)/2,"")</f>
        <v/>
      </c>
      <c r="W72" s="27">
        <f>IF(ISNUMBER($F72),COUNTIFS($A$14:$A$1213,$A72,$F$14:$F$1213,"&gt;"&amp;$F72)+(COUNTIFS($A$14:$A$1213,$A72,$F$14:$F$1213,"="&amp;$F72)+1)/2,"")</f>
        <v/>
      </c>
      <c r="X72" s="27">
        <f>IF(OR(NOT(ISNUMBER($V72)),$AO72=1),"",$V72-(COUNTIFS($A$14:$A$1213,$A72,$C$14:$C$1213,"&gt;=0")+1)/2)</f>
        <v/>
      </c>
      <c r="Y72" s="27">
        <f>IF(OR(NOT(ISNUMBER($W72)),$AO72=1),"",$W72-(COUNTIFS($A$14:$A$1213,$A72,$F$14:$F$1213,"&gt;=0")+1)/2)</f>
        <v/>
      </c>
      <c r="Z72" s="27">
        <f>IF(ISNUMBER($V72),$A72&amp;"|"&amp;$V72,"")</f>
        <v/>
      </c>
      <c r="AA72" s="27">
        <f>IF(ISNUMBER($W72),$A72&amp;"|"&amp;$W72,"")</f>
        <v/>
      </c>
      <c r="AB72" s="27">
        <f>IF(ISNUMBER($F72),$A72&amp;"|"&amp;$F72,"")</f>
        <v/>
      </c>
      <c r="AC72" s="27">
        <f>IF(ISNUMBER($P72),COUNTIFS($A$14:$A$1213,$A72,$P$14:$P$1213,"&gt;"&amp;$P72)+(COUNTIFS($A$14:$A$1213,$A72,$P$14:$P$1213,"="&amp;$P72)+1)/2,"")</f>
        <v/>
      </c>
      <c r="AD72" s="27">
        <f>IF(ISNUMBER($Q72),COUNTIFS($A$14:$A$1213,$A72,$Q$14:$Q$1213,"&gt;"&amp;$Q72)+(COUNTIFS($A$14:$A$1213,$A72,$Q$14:$Q$1213,"="&amp;$Q72)+1)/2,"")</f>
        <v/>
      </c>
      <c r="AE72" s="27">
        <f>IF(ISNUMBER($R72),COUNTIFS($A$14:$A$1213,$A72,$R$14:$R$1213,"&gt;"&amp;$R72)+(COUNTIFS($A$14:$A$1213,$A72,$R$14:$R$1213,"="&amp;$R72)+1)/2,"")</f>
        <v/>
      </c>
      <c r="AF72" s="27">
        <f>IF(ISNUMBER($S72),COUNTIFS($A$14:$A$1213,$A72,$S$14:$S$1213,"&gt;"&amp;$S72)+(COUNTIFS($A$14:$A$1213,$A72,$S$14:$S$1213,"="&amp;$S72)+1)/2,"")</f>
        <v/>
      </c>
      <c r="AG72" s="27">
        <f>IF(ISNUMBER($T72),COUNTIFS($A$14:$A$1213,$A72,$T$14:$T$1213,"&gt;"&amp;$T72)+(COUNTIFS($A$14:$A$1213,$A72,$T$14:$T$1213,"="&amp;$T72)+1)/2,"")</f>
        <v/>
      </c>
      <c r="AH72" s="27">
        <f>IF(COUNT($AC72:$AG72)&lt;2,"",IF(MAX($AC72:$AG72)=MIN($AC72:$AG72),0,1))</f>
        <v/>
      </c>
      <c r="AI72" s="27">
        <f>IF($A72="","",IF(COUNTIF($A$14:$A72,$A72)=1,COUNTIF($AI$13:AI71,"&gt;0")+1,""))</f>
        <v/>
      </c>
      <c r="AJ72" s="27">
        <f>IF(OR($H72="",COUNTIFS($A$14:$A$1213,$H72,$F$14:$F$1213,"&gt;=0")&lt;2,COUNTIFS($A$14:$A$1213,$H72,$F$14:$F$1213,_xlfn.MAXIFS($F$14:$F$1213,$A$14:$A$1213,$H72))&gt;1),"",IFERROR(INDEX($D$14:$D$1213,MATCH($H72&amp;"|"&amp;_xlfn.MAXIFS($F$14:$F$1213,$A$14:$A$1213,$H72),$AB$14:$AB$1213,0)),""))</f>
        <v/>
      </c>
      <c r="AK72" s="27">
        <f>IF(OR($H72="",COUNTIFS($A$14:$A$1213,$H72,$F$14:$F$1213,"&gt;=0")&lt;2,COUNTIFS($A$14:$A$1213,$H72,$F$14:$F$1213,_xlfn.MAXIFS($F$14:$F$1213,$A$14:$A$1213,$H72))&gt;1),"",IFERROR(INDEX($E$14:$E$1213,MATCH($H72&amp;"|"&amp;_xlfn.MAXIFS($F$14:$F$1213,$A$14:$A$1213,$H72),$AB$14:$AB$1213,0)),""))</f>
        <v/>
      </c>
      <c r="AL72" s="27">
        <f>IF(OR($H72="",COUNTIFS($A$14:$A$1213,$H72,$F$14:$F$1213,"&gt;=0")&lt;2,COUNTIFS($A$14:$A$1213,$H72,$F$14:$F$1213,_xlfn.MAXIFS($F$14:$F$1213,$A$14:$A$1213,$H72))&gt;1),"",IFERROR(INDEX($D$14:$D$1213,MATCH($H72&amp;"|"&amp;_xlfn.MAXIFS($F$14:$F$1213,$A$14:$A$1213,$H72,$F$14:$F$1213,"&lt;"&amp;_xlfn.MAXIFS($F$14:$F$1213,$A$14:$A$1213,$H72)),$AB$14:$AB$1213,0)),""))</f>
        <v/>
      </c>
      <c r="AM72" s="27">
        <f>IF(OR($H72="",COUNTIFS($A$14:$A$1213,$H72,$F$14:$F$1213,"&gt;=0")&lt;2,COUNTIFS($A$14:$A$1213,$H72,$F$14:$F$1213,_xlfn.MAXIFS($F$14:$F$1213,$A$14:$A$1213,$H72))&gt;1),"",IFERROR(INDEX($E$14:$E$1213,MATCH($H72&amp;"|"&amp;_xlfn.MAXIFS($F$14:$F$1213,$A$14:$A$1213,$H72,$F$14:$F$1213,"&lt;"&amp;_xlfn.MAXIFS($F$14:$F$1213,$A$14:$A$1213,$H72)),$AB$14:$AB$1213,0)),""))</f>
        <v/>
      </c>
      <c r="AN72" s="27">
        <f>IF(OR(NOT(ISNUMBER($AJ72)),NOT(ISNUMBER($AL72)),$AK72=0,$AM72=0),"",IF(OR((($AJ72+$AL72)/($AK72+$AM72))&lt;=0,(($AJ72+$AL72)/($AK72+$AM72))&gt;=1),"",($AJ72/$AK72-$AL72/$AM72)/SQRT((($AJ72+$AL72)/($AK72+$AM72))*(1-(($AJ72+$AL72)/($AK72+$AM72)))*(1/$AK72+1/$AM72))))</f>
        <v/>
      </c>
      <c r="AO72" s="27">
        <f>IF($A72="","",IF(AND(COUNTIFS($A$14:$A$1213,$A72,$F$14:$F$1213,"&gt;=0")=2,IFERROR(INDEX($M$14:$M$313,MATCH($A72,$H$14:$H$313,0)),"Yes")&lt;&gt;"Yes"),1,0))</f>
        <v/>
      </c>
    </row>
    <row r="73" ht="24" customHeight="1">
      <c r="A73" s="19" t="n"/>
      <c r="B73" s="20" t="n"/>
      <c r="C73" s="21">
        <f>IFERROR(AVERAGE(P73:T73),"")</f>
        <v/>
      </c>
      <c r="D73" s="29" t="n"/>
      <c r="E73" s="29" t="n"/>
      <c r="F73" s="30">
        <f>IF(AND(ISNUMBER($D73),ISNUMBER($E73),$E73&gt;0,$D73&lt;=$E73),$D73/$E73,"")</f>
        <v/>
      </c>
      <c r="H73" s="19">
        <f>IFERROR(INDEX($A$14:$A$1213,MATCH(60,$AI$14:$AI$1213,0)),"")</f>
        <v/>
      </c>
      <c r="I73" s="24">
        <f>IF($H73="","",IF(COUNTIFS($A$14:$A$1213,$H73,$C$14:$C$1213,"&gt;=0")=0,"—",IFERROR(INDEX($B$14:$B$1213,MATCH($H73&amp;"|1",$Z$14:$Z$1213,0)),"(tied)")))</f>
        <v/>
      </c>
      <c r="J73" s="25">
        <f>IF($H73="","",IF(OR(COUNTIFS($A$14:$A$1213,$H73,$C$14:$C$1213,"&gt;=0")=0,COUNTIFS($A$14:$A$1213,$H73,$F$14:$F$1213,"&gt;=0")=0),"—",IF(OR(ISERROR(MATCH($H73&amp;"|1",$Z$14:$Z$1213,0)),ISERROR(MATCH($H73&amp;"|1",$AA$14:$AA$1213,0))),"Tie",IF(MATCH($H73&amp;"|1",$Z$14:$Z$1213,0)=MATCH($H73&amp;"|1",$AA$14:$AA$1213,0),"Hit","Miss"))))</f>
        <v/>
      </c>
      <c r="K73" s="24">
        <f>IF($H73="","",IF(COUNTIFS($A$14:$A$1213,$H73,$F$14:$F$1213,"&gt;=0")=0,"—",IFERROR(INDEX($B$14:$B$1213,MATCH($H73&amp;"|1",$AA$14:$AA$1213,0)),"(tied)")))</f>
        <v/>
      </c>
      <c r="L73" s="25">
        <f>IF($H73="","",IF((--(COUNTIFS($A$14:$A$1213,$H73,$P$14:$P$1213,"&gt;=0")&gt;0)+--(COUNTIFS($A$14:$A$1213,$H73,$Q$14:$Q$1213,"&gt;=0")&gt;0)+--(COUNTIFS($A$14:$A$1213,$H73,$R$14:$R$1213,"&gt;=0")&gt;0)+--(COUNTIFS($A$14:$A$1213,$H73,$S$14:$S$1213,"&gt;=0")&gt;0)+--(COUNTIFS($A$14:$A$1213,$H73,$T$14:$T$1213,"&gt;=0")&gt;0))&lt;2,"—",IF(SUMIFS($AH$14:$AH$1213,$A$14:$A$1213,$H73)=0,"Yes","No")))</f>
        <v/>
      </c>
      <c r="M73" s="25">
        <f>IF($H73="","",IF(COUNTIFS($A$14:$A$1213,$H73,$F$14:$F$1213,"&gt;=0")&lt;2,"—",IF(COUNTIFS($A$14:$A$1213,$H73,$F$14:$F$1213,_xlfn.MAXIFS($F$14:$F$1213,$A$14:$A$1213,$H73))&gt;1,"No",IF(NOT(ISNUMBER($AN73)),"—",IF((2*(1-NORMSDIST(ABS($AN73))))&lt;0.05,"Yes","No")))))</f>
        <v/>
      </c>
      <c r="N73" s="21">
        <f>IF($H73="","",IF(NOT(ISNUMBER($AN73)),"—",IF((2*(1-NORMSDIST(ABS($AN73))))&lt;0.001,"&lt;0.001",TEXT((2*(1-NORMSDIST(ABS($AN73)))),"0.000"))))</f>
        <v/>
      </c>
      <c r="P73" s="26" t="n"/>
      <c r="Q73" s="26" t="n"/>
      <c r="R73" s="26" t="n"/>
      <c r="S73" s="26" t="n"/>
      <c r="T73" s="26" t="n"/>
      <c r="V73" s="27">
        <f>IF(ISNUMBER($C73),COUNTIFS($A$14:$A$1213,$A73,$C$14:$C$1213,"&gt;"&amp;$C73)+(COUNTIFS($A$14:$A$1213,$A73,$C$14:$C$1213,"="&amp;$C73)+1)/2,"")</f>
        <v/>
      </c>
      <c r="W73" s="27">
        <f>IF(ISNUMBER($F73),COUNTIFS($A$14:$A$1213,$A73,$F$14:$F$1213,"&gt;"&amp;$F73)+(COUNTIFS($A$14:$A$1213,$A73,$F$14:$F$1213,"="&amp;$F73)+1)/2,"")</f>
        <v/>
      </c>
      <c r="X73" s="27">
        <f>IF(OR(NOT(ISNUMBER($V73)),$AO73=1),"",$V73-(COUNTIFS($A$14:$A$1213,$A73,$C$14:$C$1213,"&gt;=0")+1)/2)</f>
        <v/>
      </c>
      <c r="Y73" s="27">
        <f>IF(OR(NOT(ISNUMBER($W73)),$AO73=1),"",$W73-(COUNTIFS($A$14:$A$1213,$A73,$F$14:$F$1213,"&gt;=0")+1)/2)</f>
        <v/>
      </c>
      <c r="Z73" s="27">
        <f>IF(ISNUMBER($V73),$A73&amp;"|"&amp;$V73,"")</f>
        <v/>
      </c>
      <c r="AA73" s="27">
        <f>IF(ISNUMBER($W73),$A73&amp;"|"&amp;$W73,"")</f>
        <v/>
      </c>
      <c r="AB73" s="27">
        <f>IF(ISNUMBER($F73),$A73&amp;"|"&amp;$F73,"")</f>
        <v/>
      </c>
      <c r="AC73" s="27">
        <f>IF(ISNUMBER($P73),COUNTIFS($A$14:$A$1213,$A73,$P$14:$P$1213,"&gt;"&amp;$P73)+(COUNTIFS($A$14:$A$1213,$A73,$P$14:$P$1213,"="&amp;$P73)+1)/2,"")</f>
        <v/>
      </c>
      <c r="AD73" s="27">
        <f>IF(ISNUMBER($Q73),COUNTIFS($A$14:$A$1213,$A73,$Q$14:$Q$1213,"&gt;"&amp;$Q73)+(COUNTIFS($A$14:$A$1213,$A73,$Q$14:$Q$1213,"="&amp;$Q73)+1)/2,"")</f>
        <v/>
      </c>
      <c r="AE73" s="27">
        <f>IF(ISNUMBER($R73),COUNTIFS($A$14:$A$1213,$A73,$R$14:$R$1213,"&gt;"&amp;$R73)+(COUNTIFS($A$14:$A$1213,$A73,$R$14:$R$1213,"="&amp;$R73)+1)/2,"")</f>
        <v/>
      </c>
      <c r="AF73" s="27">
        <f>IF(ISNUMBER($S73),COUNTIFS($A$14:$A$1213,$A73,$S$14:$S$1213,"&gt;"&amp;$S73)+(COUNTIFS($A$14:$A$1213,$A73,$S$14:$S$1213,"="&amp;$S73)+1)/2,"")</f>
        <v/>
      </c>
      <c r="AG73" s="27">
        <f>IF(ISNUMBER($T73),COUNTIFS($A$14:$A$1213,$A73,$T$14:$T$1213,"&gt;"&amp;$T73)+(COUNTIFS($A$14:$A$1213,$A73,$T$14:$T$1213,"="&amp;$T73)+1)/2,"")</f>
        <v/>
      </c>
      <c r="AH73" s="27">
        <f>IF(COUNT($AC73:$AG73)&lt;2,"",IF(MAX($AC73:$AG73)=MIN($AC73:$AG73),0,1))</f>
        <v/>
      </c>
      <c r="AI73" s="27">
        <f>IF($A73="","",IF(COUNTIF($A$14:$A73,$A73)=1,COUNTIF($AI$13:AI72,"&gt;0")+1,""))</f>
        <v/>
      </c>
      <c r="AJ73" s="27">
        <f>IF(OR($H73="",COUNTIFS($A$14:$A$1213,$H73,$F$14:$F$1213,"&gt;=0")&lt;2,COUNTIFS($A$14:$A$1213,$H73,$F$14:$F$1213,_xlfn.MAXIFS($F$14:$F$1213,$A$14:$A$1213,$H73))&gt;1),"",IFERROR(INDEX($D$14:$D$1213,MATCH($H73&amp;"|"&amp;_xlfn.MAXIFS($F$14:$F$1213,$A$14:$A$1213,$H73),$AB$14:$AB$1213,0)),""))</f>
        <v/>
      </c>
      <c r="AK73" s="27">
        <f>IF(OR($H73="",COUNTIFS($A$14:$A$1213,$H73,$F$14:$F$1213,"&gt;=0")&lt;2,COUNTIFS($A$14:$A$1213,$H73,$F$14:$F$1213,_xlfn.MAXIFS($F$14:$F$1213,$A$14:$A$1213,$H73))&gt;1),"",IFERROR(INDEX($E$14:$E$1213,MATCH($H73&amp;"|"&amp;_xlfn.MAXIFS($F$14:$F$1213,$A$14:$A$1213,$H73),$AB$14:$AB$1213,0)),""))</f>
        <v/>
      </c>
      <c r="AL73" s="27">
        <f>IF(OR($H73="",COUNTIFS($A$14:$A$1213,$H73,$F$14:$F$1213,"&gt;=0")&lt;2,COUNTIFS($A$14:$A$1213,$H73,$F$14:$F$1213,_xlfn.MAXIFS($F$14:$F$1213,$A$14:$A$1213,$H73))&gt;1),"",IFERROR(INDEX($D$14:$D$1213,MATCH($H73&amp;"|"&amp;_xlfn.MAXIFS($F$14:$F$1213,$A$14:$A$1213,$H73,$F$14:$F$1213,"&lt;"&amp;_xlfn.MAXIFS($F$14:$F$1213,$A$14:$A$1213,$H73)),$AB$14:$AB$1213,0)),""))</f>
        <v/>
      </c>
      <c r="AM73" s="27">
        <f>IF(OR($H73="",COUNTIFS($A$14:$A$1213,$H73,$F$14:$F$1213,"&gt;=0")&lt;2,COUNTIFS($A$14:$A$1213,$H73,$F$14:$F$1213,_xlfn.MAXIFS($F$14:$F$1213,$A$14:$A$1213,$H73))&gt;1),"",IFERROR(INDEX($E$14:$E$1213,MATCH($H73&amp;"|"&amp;_xlfn.MAXIFS($F$14:$F$1213,$A$14:$A$1213,$H73,$F$14:$F$1213,"&lt;"&amp;_xlfn.MAXIFS($F$14:$F$1213,$A$14:$A$1213,$H73)),$AB$14:$AB$1213,0)),""))</f>
        <v/>
      </c>
      <c r="AN73" s="27">
        <f>IF(OR(NOT(ISNUMBER($AJ73)),NOT(ISNUMBER($AL73)),$AK73=0,$AM73=0),"",IF(OR((($AJ73+$AL73)/($AK73+$AM73))&lt;=0,(($AJ73+$AL73)/($AK73+$AM73))&gt;=1),"",($AJ73/$AK73-$AL73/$AM73)/SQRT((($AJ73+$AL73)/($AK73+$AM73))*(1-(($AJ73+$AL73)/($AK73+$AM73)))*(1/$AK73+1/$AM73))))</f>
        <v/>
      </c>
      <c r="AO73" s="27">
        <f>IF($A73="","",IF(AND(COUNTIFS($A$14:$A$1213,$A73,$F$14:$F$1213,"&gt;=0")=2,IFERROR(INDEX($M$14:$M$313,MATCH($A73,$H$14:$H$313,0)),"Yes")&lt;&gt;"Yes"),1,0))</f>
        <v/>
      </c>
    </row>
    <row r="74" ht="24" customHeight="1">
      <c r="A74" s="19" t="n"/>
      <c r="B74" s="20" t="n"/>
      <c r="C74" s="21">
        <f>IFERROR(AVERAGE(P74:T74),"")</f>
        <v/>
      </c>
      <c r="D74" s="29" t="n"/>
      <c r="E74" s="29" t="n"/>
      <c r="F74" s="30">
        <f>IF(AND(ISNUMBER($D74),ISNUMBER($E74),$E74&gt;0,$D74&lt;=$E74),$D74/$E74,"")</f>
        <v/>
      </c>
      <c r="H74" s="19">
        <f>IFERROR(INDEX($A$14:$A$1213,MATCH(61,$AI$14:$AI$1213,0)),"")</f>
        <v/>
      </c>
      <c r="I74" s="24">
        <f>IF($H74="","",IF(COUNTIFS($A$14:$A$1213,$H74,$C$14:$C$1213,"&gt;=0")=0,"—",IFERROR(INDEX($B$14:$B$1213,MATCH($H74&amp;"|1",$Z$14:$Z$1213,0)),"(tied)")))</f>
        <v/>
      </c>
      <c r="J74" s="25">
        <f>IF($H74="","",IF(OR(COUNTIFS($A$14:$A$1213,$H74,$C$14:$C$1213,"&gt;=0")=0,COUNTIFS($A$14:$A$1213,$H74,$F$14:$F$1213,"&gt;=0")=0),"—",IF(OR(ISERROR(MATCH($H74&amp;"|1",$Z$14:$Z$1213,0)),ISERROR(MATCH($H74&amp;"|1",$AA$14:$AA$1213,0))),"Tie",IF(MATCH($H74&amp;"|1",$Z$14:$Z$1213,0)=MATCH($H74&amp;"|1",$AA$14:$AA$1213,0),"Hit","Miss"))))</f>
        <v/>
      </c>
      <c r="K74" s="24">
        <f>IF($H74="","",IF(COUNTIFS($A$14:$A$1213,$H74,$F$14:$F$1213,"&gt;=0")=0,"—",IFERROR(INDEX($B$14:$B$1213,MATCH($H74&amp;"|1",$AA$14:$AA$1213,0)),"(tied)")))</f>
        <v/>
      </c>
      <c r="L74" s="25">
        <f>IF($H74="","",IF((--(COUNTIFS($A$14:$A$1213,$H74,$P$14:$P$1213,"&gt;=0")&gt;0)+--(COUNTIFS($A$14:$A$1213,$H74,$Q$14:$Q$1213,"&gt;=0")&gt;0)+--(COUNTIFS($A$14:$A$1213,$H74,$R$14:$R$1213,"&gt;=0")&gt;0)+--(COUNTIFS($A$14:$A$1213,$H74,$S$14:$S$1213,"&gt;=0")&gt;0)+--(COUNTIFS($A$14:$A$1213,$H74,$T$14:$T$1213,"&gt;=0")&gt;0))&lt;2,"—",IF(SUMIFS($AH$14:$AH$1213,$A$14:$A$1213,$H74)=0,"Yes","No")))</f>
        <v/>
      </c>
      <c r="M74" s="25">
        <f>IF($H74="","",IF(COUNTIFS($A$14:$A$1213,$H74,$F$14:$F$1213,"&gt;=0")&lt;2,"—",IF(COUNTIFS($A$14:$A$1213,$H74,$F$14:$F$1213,_xlfn.MAXIFS($F$14:$F$1213,$A$14:$A$1213,$H74))&gt;1,"No",IF(NOT(ISNUMBER($AN74)),"—",IF((2*(1-NORMSDIST(ABS($AN74))))&lt;0.05,"Yes","No")))))</f>
        <v/>
      </c>
      <c r="N74" s="21">
        <f>IF($H74="","",IF(NOT(ISNUMBER($AN74)),"—",IF((2*(1-NORMSDIST(ABS($AN74))))&lt;0.001,"&lt;0.001",TEXT((2*(1-NORMSDIST(ABS($AN74)))),"0.000"))))</f>
        <v/>
      </c>
      <c r="P74" s="26" t="n"/>
      <c r="Q74" s="26" t="n"/>
      <c r="R74" s="26" t="n"/>
      <c r="S74" s="26" t="n"/>
      <c r="T74" s="26" t="n"/>
      <c r="V74" s="27">
        <f>IF(ISNUMBER($C74),COUNTIFS($A$14:$A$1213,$A74,$C$14:$C$1213,"&gt;"&amp;$C74)+(COUNTIFS($A$14:$A$1213,$A74,$C$14:$C$1213,"="&amp;$C74)+1)/2,"")</f>
        <v/>
      </c>
      <c r="W74" s="27">
        <f>IF(ISNUMBER($F74),COUNTIFS($A$14:$A$1213,$A74,$F$14:$F$1213,"&gt;"&amp;$F74)+(COUNTIFS($A$14:$A$1213,$A74,$F$14:$F$1213,"="&amp;$F74)+1)/2,"")</f>
        <v/>
      </c>
      <c r="X74" s="27">
        <f>IF(OR(NOT(ISNUMBER($V74)),$AO74=1),"",$V74-(COUNTIFS($A$14:$A$1213,$A74,$C$14:$C$1213,"&gt;=0")+1)/2)</f>
        <v/>
      </c>
      <c r="Y74" s="27">
        <f>IF(OR(NOT(ISNUMBER($W74)),$AO74=1),"",$W74-(COUNTIFS($A$14:$A$1213,$A74,$F$14:$F$1213,"&gt;=0")+1)/2)</f>
        <v/>
      </c>
      <c r="Z74" s="27">
        <f>IF(ISNUMBER($V74),$A74&amp;"|"&amp;$V74,"")</f>
        <v/>
      </c>
      <c r="AA74" s="27">
        <f>IF(ISNUMBER($W74),$A74&amp;"|"&amp;$W74,"")</f>
        <v/>
      </c>
      <c r="AB74" s="27">
        <f>IF(ISNUMBER($F74),$A74&amp;"|"&amp;$F74,"")</f>
        <v/>
      </c>
      <c r="AC74" s="27">
        <f>IF(ISNUMBER($P74),COUNTIFS($A$14:$A$1213,$A74,$P$14:$P$1213,"&gt;"&amp;$P74)+(COUNTIFS($A$14:$A$1213,$A74,$P$14:$P$1213,"="&amp;$P74)+1)/2,"")</f>
        <v/>
      </c>
      <c r="AD74" s="27">
        <f>IF(ISNUMBER($Q74),COUNTIFS($A$14:$A$1213,$A74,$Q$14:$Q$1213,"&gt;"&amp;$Q74)+(COUNTIFS($A$14:$A$1213,$A74,$Q$14:$Q$1213,"="&amp;$Q74)+1)/2,"")</f>
        <v/>
      </c>
      <c r="AE74" s="27">
        <f>IF(ISNUMBER($R74),COUNTIFS($A$14:$A$1213,$A74,$R$14:$R$1213,"&gt;"&amp;$R74)+(COUNTIFS($A$14:$A$1213,$A74,$R$14:$R$1213,"="&amp;$R74)+1)/2,"")</f>
        <v/>
      </c>
      <c r="AF74" s="27">
        <f>IF(ISNUMBER($S74),COUNTIFS($A$14:$A$1213,$A74,$S$14:$S$1213,"&gt;"&amp;$S74)+(COUNTIFS($A$14:$A$1213,$A74,$S$14:$S$1213,"="&amp;$S74)+1)/2,"")</f>
        <v/>
      </c>
      <c r="AG74" s="27">
        <f>IF(ISNUMBER($T74),COUNTIFS($A$14:$A$1213,$A74,$T$14:$T$1213,"&gt;"&amp;$T74)+(COUNTIFS($A$14:$A$1213,$A74,$T$14:$T$1213,"="&amp;$T74)+1)/2,"")</f>
        <v/>
      </c>
      <c r="AH74" s="27">
        <f>IF(COUNT($AC74:$AG74)&lt;2,"",IF(MAX($AC74:$AG74)=MIN($AC74:$AG74),0,1))</f>
        <v/>
      </c>
      <c r="AI74" s="27">
        <f>IF($A74="","",IF(COUNTIF($A$14:$A74,$A74)=1,COUNTIF($AI$13:AI73,"&gt;0")+1,""))</f>
        <v/>
      </c>
      <c r="AJ74" s="27">
        <f>IF(OR($H74="",COUNTIFS($A$14:$A$1213,$H74,$F$14:$F$1213,"&gt;=0")&lt;2,COUNTIFS($A$14:$A$1213,$H74,$F$14:$F$1213,_xlfn.MAXIFS($F$14:$F$1213,$A$14:$A$1213,$H74))&gt;1),"",IFERROR(INDEX($D$14:$D$1213,MATCH($H74&amp;"|"&amp;_xlfn.MAXIFS($F$14:$F$1213,$A$14:$A$1213,$H74),$AB$14:$AB$1213,0)),""))</f>
        <v/>
      </c>
      <c r="AK74" s="27">
        <f>IF(OR($H74="",COUNTIFS($A$14:$A$1213,$H74,$F$14:$F$1213,"&gt;=0")&lt;2,COUNTIFS($A$14:$A$1213,$H74,$F$14:$F$1213,_xlfn.MAXIFS($F$14:$F$1213,$A$14:$A$1213,$H74))&gt;1),"",IFERROR(INDEX($E$14:$E$1213,MATCH($H74&amp;"|"&amp;_xlfn.MAXIFS($F$14:$F$1213,$A$14:$A$1213,$H74),$AB$14:$AB$1213,0)),""))</f>
        <v/>
      </c>
      <c r="AL74" s="27">
        <f>IF(OR($H74="",COUNTIFS($A$14:$A$1213,$H74,$F$14:$F$1213,"&gt;=0")&lt;2,COUNTIFS($A$14:$A$1213,$H74,$F$14:$F$1213,_xlfn.MAXIFS($F$14:$F$1213,$A$14:$A$1213,$H74))&gt;1),"",IFERROR(INDEX($D$14:$D$1213,MATCH($H74&amp;"|"&amp;_xlfn.MAXIFS($F$14:$F$1213,$A$14:$A$1213,$H74,$F$14:$F$1213,"&lt;"&amp;_xlfn.MAXIFS($F$14:$F$1213,$A$14:$A$1213,$H74)),$AB$14:$AB$1213,0)),""))</f>
        <v/>
      </c>
      <c r="AM74" s="27">
        <f>IF(OR($H74="",COUNTIFS($A$14:$A$1213,$H74,$F$14:$F$1213,"&gt;=0")&lt;2,COUNTIFS($A$14:$A$1213,$H74,$F$14:$F$1213,_xlfn.MAXIFS($F$14:$F$1213,$A$14:$A$1213,$H74))&gt;1),"",IFERROR(INDEX($E$14:$E$1213,MATCH($H74&amp;"|"&amp;_xlfn.MAXIFS($F$14:$F$1213,$A$14:$A$1213,$H74,$F$14:$F$1213,"&lt;"&amp;_xlfn.MAXIFS($F$14:$F$1213,$A$14:$A$1213,$H74)),$AB$14:$AB$1213,0)),""))</f>
        <v/>
      </c>
      <c r="AN74" s="27">
        <f>IF(OR(NOT(ISNUMBER($AJ74)),NOT(ISNUMBER($AL74)),$AK74=0,$AM74=0),"",IF(OR((($AJ74+$AL74)/($AK74+$AM74))&lt;=0,(($AJ74+$AL74)/($AK74+$AM74))&gt;=1),"",($AJ74/$AK74-$AL74/$AM74)/SQRT((($AJ74+$AL74)/($AK74+$AM74))*(1-(($AJ74+$AL74)/($AK74+$AM74)))*(1/$AK74+1/$AM74))))</f>
        <v/>
      </c>
      <c r="AO74" s="27">
        <f>IF($A74="","",IF(AND(COUNTIFS($A$14:$A$1213,$A74,$F$14:$F$1213,"&gt;=0")=2,IFERROR(INDEX($M$14:$M$313,MATCH($A74,$H$14:$H$313,0)),"Yes")&lt;&gt;"Yes"),1,0))</f>
        <v/>
      </c>
    </row>
    <row r="75" ht="24" customHeight="1">
      <c r="A75" s="19" t="n"/>
      <c r="B75" s="20" t="n"/>
      <c r="C75" s="21">
        <f>IFERROR(AVERAGE(P75:T75),"")</f>
        <v/>
      </c>
      <c r="D75" s="29" t="n"/>
      <c r="E75" s="29" t="n"/>
      <c r="F75" s="30">
        <f>IF(AND(ISNUMBER($D75),ISNUMBER($E75),$E75&gt;0,$D75&lt;=$E75),$D75/$E75,"")</f>
        <v/>
      </c>
      <c r="H75" s="19">
        <f>IFERROR(INDEX($A$14:$A$1213,MATCH(62,$AI$14:$AI$1213,0)),"")</f>
        <v/>
      </c>
      <c r="I75" s="24">
        <f>IF($H75="","",IF(COUNTIFS($A$14:$A$1213,$H75,$C$14:$C$1213,"&gt;=0")=0,"—",IFERROR(INDEX($B$14:$B$1213,MATCH($H75&amp;"|1",$Z$14:$Z$1213,0)),"(tied)")))</f>
        <v/>
      </c>
      <c r="J75" s="25">
        <f>IF($H75="","",IF(OR(COUNTIFS($A$14:$A$1213,$H75,$C$14:$C$1213,"&gt;=0")=0,COUNTIFS($A$14:$A$1213,$H75,$F$14:$F$1213,"&gt;=0")=0),"—",IF(OR(ISERROR(MATCH($H75&amp;"|1",$Z$14:$Z$1213,0)),ISERROR(MATCH($H75&amp;"|1",$AA$14:$AA$1213,0))),"Tie",IF(MATCH($H75&amp;"|1",$Z$14:$Z$1213,0)=MATCH($H75&amp;"|1",$AA$14:$AA$1213,0),"Hit","Miss"))))</f>
        <v/>
      </c>
      <c r="K75" s="24">
        <f>IF($H75="","",IF(COUNTIFS($A$14:$A$1213,$H75,$F$14:$F$1213,"&gt;=0")=0,"—",IFERROR(INDEX($B$14:$B$1213,MATCH($H75&amp;"|1",$AA$14:$AA$1213,0)),"(tied)")))</f>
        <v/>
      </c>
      <c r="L75" s="25">
        <f>IF($H75="","",IF((--(COUNTIFS($A$14:$A$1213,$H75,$P$14:$P$1213,"&gt;=0")&gt;0)+--(COUNTIFS($A$14:$A$1213,$H75,$Q$14:$Q$1213,"&gt;=0")&gt;0)+--(COUNTIFS($A$14:$A$1213,$H75,$R$14:$R$1213,"&gt;=0")&gt;0)+--(COUNTIFS($A$14:$A$1213,$H75,$S$14:$S$1213,"&gt;=0")&gt;0)+--(COUNTIFS($A$14:$A$1213,$H75,$T$14:$T$1213,"&gt;=0")&gt;0))&lt;2,"—",IF(SUMIFS($AH$14:$AH$1213,$A$14:$A$1213,$H75)=0,"Yes","No")))</f>
        <v/>
      </c>
      <c r="M75" s="25">
        <f>IF($H75="","",IF(COUNTIFS($A$14:$A$1213,$H75,$F$14:$F$1213,"&gt;=0")&lt;2,"—",IF(COUNTIFS($A$14:$A$1213,$H75,$F$14:$F$1213,_xlfn.MAXIFS($F$14:$F$1213,$A$14:$A$1213,$H75))&gt;1,"No",IF(NOT(ISNUMBER($AN75)),"—",IF((2*(1-NORMSDIST(ABS($AN75))))&lt;0.05,"Yes","No")))))</f>
        <v/>
      </c>
      <c r="N75" s="21">
        <f>IF($H75="","",IF(NOT(ISNUMBER($AN75)),"—",IF((2*(1-NORMSDIST(ABS($AN75))))&lt;0.001,"&lt;0.001",TEXT((2*(1-NORMSDIST(ABS($AN75)))),"0.000"))))</f>
        <v/>
      </c>
      <c r="P75" s="26" t="n"/>
      <c r="Q75" s="26" t="n"/>
      <c r="R75" s="26" t="n"/>
      <c r="S75" s="26" t="n"/>
      <c r="T75" s="26" t="n"/>
      <c r="V75" s="27">
        <f>IF(ISNUMBER($C75),COUNTIFS($A$14:$A$1213,$A75,$C$14:$C$1213,"&gt;"&amp;$C75)+(COUNTIFS($A$14:$A$1213,$A75,$C$14:$C$1213,"="&amp;$C75)+1)/2,"")</f>
        <v/>
      </c>
      <c r="W75" s="27">
        <f>IF(ISNUMBER($F75),COUNTIFS($A$14:$A$1213,$A75,$F$14:$F$1213,"&gt;"&amp;$F75)+(COUNTIFS($A$14:$A$1213,$A75,$F$14:$F$1213,"="&amp;$F75)+1)/2,"")</f>
        <v/>
      </c>
      <c r="X75" s="27">
        <f>IF(OR(NOT(ISNUMBER($V75)),$AO75=1),"",$V75-(COUNTIFS($A$14:$A$1213,$A75,$C$14:$C$1213,"&gt;=0")+1)/2)</f>
        <v/>
      </c>
      <c r="Y75" s="27">
        <f>IF(OR(NOT(ISNUMBER($W75)),$AO75=1),"",$W75-(COUNTIFS($A$14:$A$1213,$A75,$F$14:$F$1213,"&gt;=0")+1)/2)</f>
        <v/>
      </c>
      <c r="Z75" s="27">
        <f>IF(ISNUMBER($V75),$A75&amp;"|"&amp;$V75,"")</f>
        <v/>
      </c>
      <c r="AA75" s="27">
        <f>IF(ISNUMBER($W75),$A75&amp;"|"&amp;$W75,"")</f>
        <v/>
      </c>
      <c r="AB75" s="27">
        <f>IF(ISNUMBER($F75),$A75&amp;"|"&amp;$F75,"")</f>
        <v/>
      </c>
      <c r="AC75" s="27">
        <f>IF(ISNUMBER($P75),COUNTIFS($A$14:$A$1213,$A75,$P$14:$P$1213,"&gt;"&amp;$P75)+(COUNTIFS($A$14:$A$1213,$A75,$P$14:$P$1213,"="&amp;$P75)+1)/2,"")</f>
        <v/>
      </c>
      <c r="AD75" s="27">
        <f>IF(ISNUMBER($Q75),COUNTIFS($A$14:$A$1213,$A75,$Q$14:$Q$1213,"&gt;"&amp;$Q75)+(COUNTIFS($A$14:$A$1213,$A75,$Q$14:$Q$1213,"="&amp;$Q75)+1)/2,"")</f>
        <v/>
      </c>
      <c r="AE75" s="27">
        <f>IF(ISNUMBER($R75),COUNTIFS($A$14:$A$1213,$A75,$R$14:$R$1213,"&gt;"&amp;$R75)+(COUNTIFS($A$14:$A$1213,$A75,$R$14:$R$1213,"="&amp;$R75)+1)/2,"")</f>
        <v/>
      </c>
      <c r="AF75" s="27">
        <f>IF(ISNUMBER($S75),COUNTIFS($A$14:$A$1213,$A75,$S$14:$S$1213,"&gt;"&amp;$S75)+(COUNTIFS($A$14:$A$1213,$A75,$S$14:$S$1213,"="&amp;$S75)+1)/2,"")</f>
        <v/>
      </c>
      <c r="AG75" s="27">
        <f>IF(ISNUMBER($T75),COUNTIFS($A$14:$A$1213,$A75,$T$14:$T$1213,"&gt;"&amp;$T75)+(COUNTIFS($A$14:$A$1213,$A75,$T$14:$T$1213,"="&amp;$T75)+1)/2,"")</f>
        <v/>
      </c>
      <c r="AH75" s="27">
        <f>IF(COUNT($AC75:$AG75)&lt;2,"",IF(MAX($AC75:$AG75)=MIN($AC75:$AG75),0,1))</f>
        <v/>
      </c>
      <c r="AI75" s="27">
        <f>IF($A75="","",IF(COUNTIF($A$14:$A75,$A75)=1,COUNTIF($AI$13:AI74,"&gt;0")+1,""))</f>
        <v/>
      </c>
      <c r="AJ75" s="27">
        <f>IF(OR($H75="",COUNTIFS($A$14:$A$1213,$H75,$F$14:$F$1213,"&gt;=0")&lt;2,COUNTIFS($A$14:$A$1213,$H75,$F$14:$F$1213,_xlfn.MAXIFS($F$14:$F$1213,$A$14:$A$1213,$H75))&gt;1),"",IFERROR(INDEX($D$14:$D$1213,MATCH($H75&amp;"|"&amp;_xlfn.MAXIFS($F$14:$F$1213,$A$14:$A$1213,$H75),$AB$14:$AB$1213,0)),""))</f>
        <v/>
      </c>
      <c r="AK75" s="27">
        <f>IF(OR($H75="",COUNTIFS($A$14:$A$1213,$H75,$F$14:$F$1213,"&gt;=0")&lt;2,COUNTIFS($A$14:$A$1213,$H75,$F$14:$F$1213,_xlfn.MAXIFS($F$14:$F$1213,$A$14:$A$1213,$H75))&gt;1),"",IFERROR(INDEX($E$14:$E$1213,MATCH($H75&amp;"|"&amp;_xlfn.MAXIFS($F$14:$F$1213,$A$14:$A$1213,$H75),$AB$14:$AB$1213,0)),""))</f>
        <v/>
      </c>
      <c r="AL75" s="27">
        <f>IF(OR($H75="",COUNTIFS($A$14:$A$1213,$H75,$F$14:$F$1213,"&gt;=0")&lt;2,COUNTIFS($A$14:$A$1213,$H75,$F$14:$F$1213,_xlfn.MAXIFS($F$14:$F$1213,$A$14:$A$1213,$H75))&gt;1),"",IFERROR(INDEX($D$14:$D$1213,MATCH($H75&amp;"|"&amp;_xlfn.MAXIFS($F$14:$F$1213,$A$14:$A$1213,$H75,$F$14:$F$1213,"&lt;"&amp;_xlfn.MAXIFS($F$14:$F$1213,$A$14:$A$1213,$H75)),$AB$14:$AB$1213,0)),""))</f>
        <v/>
      </c>
      <c r="AM75" s="27">
        <f>IF(OR($H75="",COUNTIFS($A$14:$A$1213,$H75,$F$14:$F$1213,"&gt;=0")&lt;2,COUNTIFS($A$14:$A$1213,$H75,$F$14:$F$1213,_xlfn.MAXIFS($F$14:$F$1213,$A$14:$A$1213,$H75))&gt;1),"",IFERROR(INDEX($E$14:$E$1213,MATCH($H75&amp;"|"&amp;_xlfn.MAXIFS($F$14:$F$1213,$A$14:$A$1213,$H75,$F$14:$F$1213,"&lt;"&amp;_xlfn.MAXIFS($F$14:$F$1213,$A$14:$A$1213,$H75)),$AB$14:$AB$1213,0)),""))</f>
        <v/>
      </c>
      <c r="AN75" s="27">
        <f>IF(OR(NOT(ISNUMBER($AJ75)),NOT(ISNUMBER($AL75)),$AK75=0,$AM75=0),"",IF(OR((($AJ75+$AL75)/($AK75+$AM75))&lt;=0,(($AJ75+$AL75)/($AK75+$AM75))&gt;=1),"",($AJ75/$AK75-$AL75/$AM75)/SQRT((($AJ75+$AL75)/($AK75+$AM75))*(1-(($AJ75+$AL75)/($AK75+$AM75)))*(1/$AK75+1/$AM75))))</f>
        <v/>
      </c>
      <c r="AO75" s="27">
        <f>IF($A75="","",IF(AND(COUNTIFS($A$14:$A$1213,$A75,$F$14:$F$1213,"&gt;=0")=2,IFERROR(INDEX($M$14:$M$313,MATCH($A75,$H$14:$H$313,0)),"Yes")&lt;&gt;"Yes"),1,0))</f>
        <v/>
      </c>
    </row>
    <row r="76" ht="24" customHeight="1">
      <c r="A76" s="19" t="n"/>
      <c r="B76" s="20" t="n"/>
      <c r="C76" s="21">
        <f>IFERROR(AVERAGE(P76:T76),"")</f>
        <v/>
      </c>
      <c r="D76" s="29" t="n"/>
      <c r="E76" s="29" t="n"/>
      <c r="F76" s="30">
        <f>IF(AND(ISNUMBER($D76),ISNUMBER($E76),$E76&gt;0,$D76&lt;=$E76),$D76/$E76,"")</f>
        <v/>
      </c>
      <c r="H76" s="19">
        <f>IFERROR(INDEX($A$14:$A$1213,MATCH(63,$AI$14:$AI$1213,0)),"")</f>
        <v/>
      </c>
      <c r="I76" s="24">
        <f>IF($H76="","",IF(COUNTIFS($A$14:$A$1213,$H76,$C$14:$C$1213,"&gt;=0")=0,"—",IFERROR(INDEX($B$14:$B$1213,MATCH($H76&amp;"|1",$Z$14:$Z$1213,0)),"(tied)")))</f>
        <v/>
      </c>
      <c r="J76" s="25">
        <f>IF($H76="","",IF(OR(COUNTIFS($A$14:$A$1213,$H76,$C$14:$C$1213,"&gt;=0")=0,COUNTIFS($A$14:$A$1213,$H76,$F$14:$F$1213,"&gt;=0")=0),"—",IF(OR(ISERROR(MATCH($H76&amp;"|1",$Z$14:$Z$1213,0)),ISERROR(MATCH($H76&amp;"|1",$AA$14:$AA$1213,0))),"Tie",IF(MATCH($H76&amp;"|1",$Z$14:$Z$1213,0)=MATCH($H76&amp;"|1",$AA$14:$AA$1213,0),"Hit","Miss"))))</f>
        <v/>
      </c>
      <c r="K76" s="24">
        <f>IF($H76="","",IF(COUNTIFS($A$14:$A$1213,$H76,$F$14:$F$1213,"&gt;=0")=0,"—",IFERROR(INDEX($B$14:$B$1213,MATCH($H76&amp;"|1",$AA$14:$AA$1213,0)),"(tied)")))</f>
        <v/>
      </c>
      <c r="L76" s="25">
        <f>IF($H76="","",IF((--(COUNTIFS($A$14:$A$1213,$H76,$P$14:$P$1213,"&gt;=0")&gt;0)+--(COUNTIFS($A$14:$A$1213,$H76,$Q$14:$Q$1213,"&gt;=0")&gt;0)+--(COUNTIFS($A$14:$A$1213,$H76,$R$14:$R$1213,"&gt;=0")&gt;0)+--(COUNTIFS($A$14:$A$1213,$H76,$S$14:$S$1213,"&gt;=0")&gt;0)+--(COUNTIFS($A$14:$A$1213,$H76,$T$14:$T$1213,"&gt;=0")&gt;0))&lt;2,"—",IF(SUMIFS($AH$14:$AH$1213,$A$14:$A$1213,$H76)=0,"Yes","No")))</f>
        <v/>
      </c>
      <c r="M76" s="25">
        <f>IF($H76="","",IF(COUNTIFS($A$14:$A$1213,$H76,$F$14:$F$1213,"&gt;=0")&lt;2,"—",IF(COUNTIFS($A$14:$A$1213,$H76,$F$14:$F$1213,_xlfn.MAXIFS($F$14:$F$1213,$A$14:$A$1213,$H76))&gt;1,"No",IF(NOT(ISNUMBER($AN76)),"—",IF((2*(1-NORMSDIST(ABS($AN76))))&lt;0.05,"Yes","No")))))</f>
        <v/>
      </c>
      <c r="N76" s="21">
        <f>IF($H76="","",IF(NOT(ISNUMBER($AN76)),"—",IF((2*(1-NORMSDIST(ABS($AN76))))&lt;0.001,"&lt;0.001",TEXT((2*(1-NORMSDIST(ABS($AN76)))),"0.000"))))</f>
        <v/>
      </c>
      <c r="P76" s="26" t="n"/>
      <c r="Q76" s="26" t="n"/>
      <c r="R76" s="26" t="n"/>
      <c r="S76" s="26" t="n"/>
      <c r="T76" s="26" t="n"/>
      <c r="V76" s="27">
        <f>IF(ISNUMBER($C76),COUNTIFS($A$14:$A$1213,$A76,$C$14:$C$1213,"&gt;"&amp;$C76)+(COUNTIFS($A$14:$A$1213,$A76,$C$14:$C$1213,"="&amp;$C76)+1)/2,"")</f>
        <v/>
      </c>
      <c r="W76" s="27">
        <f>IF(ISNUMBER($F76),COUNTIFS($A$14:$A$1213,$A76,$F$14:$F$1213,"&gt;"&amp;$F76)+(COUNTIFS($A$14:$A$1213,$A76,$F$14:$F$1213,"="&amp;$F76)+1)/2,"")</f>
        <v/>
      </c>
      <c r="X76" s="27">
        <f>IF(OR(NOT(ISNUMBER($V76)),$AO76=1),"",$V76-(COUNTIFS($A$14:$A$1213,$A76,$C$14:$C$1213,"&gt;=0")+1)/2)</f>
        <v/>
      </c>
      <c r="Y76" s="27">
        <f>IF(OR(NOT(ISNUMBER($W76)),$AO76=1),"",$W76-(COUNTIFS($A$14:$A$1213,$A76,$F$14:$F$1213,"&gt;=0")+1)/2)</f>
        <v/>
      </c>
      <c r="Z76" s="27">
        <f>IF(ISNUMBER($V76),$A76&amp;"|"&amp;$V76,"")</f>
        <v/>
      </c>
      <c r="AA76" s="27">
        <f>IF(ISNUMBER($W76),$A76&amp;"|"&amp;$W76,"")</f>
        <v/>
      </c>
      <c r="AB76" s="27">
        <f>IF(ISNUMBER($F76),$A76&amp;"|"&amp;$F76,"")</f>
        <v/>
      </c>
      <c r="AC76" s="27">
        <f>IF(ISNUMBER($P76),COUNTIFS($A$14:$A$1213,$A76,$P$14:$P$1213,"&gt;"&amp;$P76)+(COUNTIFS($A$14:$A$1213,$A76,$P$14:$P$1213,"="&amp;$P76)+1)/2,"")</f>
        <v/>
      </c>
      <c r="AD76" s="27">
        <f>IF(ISNUMBER($Q76),COUNTIFS($A$14:$A$1213,$A76,$Q$14:$Q$1213,"&gt;"&amp;$Q76)+(COUNTIFS($A$14:$A$1213,$A76,$Q$14:$Q$1213,"="&amp;$Q76)+1)/2,"")</f>
        <v/>
      </c>
      <c r="AE76" s="27">
        <f>IF(ISNUMBER($R76),COUNTIFS($A$14:$A$1213,$A76,$R$14:$R$1213,"&gt;"&amp;$R76)+(COUNTIFS($A$14:$A$1213,$A76,$R$14:$R$1213,"="&amp;$R76)+1)/2,"")</f>
        <v/>
      </c>
      <c r="AF76" s="27">
        <f>IF(ISNUMBER($S76),COUNTIFS($A$14:$A$1213,$A76,$S$14:$S$1213,"&gt;"&amp;$S76)+(COUNTIFS($A$14:$A$1213,$A76,$S$14:$S$1213,"="&amp;$S76)+1)/2,"")</f>
        <v/>
      </c>
      <c r="AG76" s="27">
        <f>IF(ISNUMBER($T76),COUNTIFS($A$14:$A$1213,$A76,$T$14:$T$1213,"&gt;"&amp;$T76)+(COUNTIFS($A$14:$A$1213,$A76,$T$14:$T$1213,"="&amp;$T76)+1)/2,"")</f>
        <v/>
      </c>
      <c r="AH76" s="27">
        <f>IF(COUNT($AC76:$AG76)&lt;2,"",IF(MAX($AC76:$AG76)=MIN($AC76:$AG76),0,1))</f>
        <v/>
      </c>
      <c r="AI76" s="27">
        <f>IF($A76="","",IF(COUNTIF($A$14:$A76,$A76)=1,COUNTIF($AI$13:AI75,"&gt;0")+1,""))</f>
        <v/>
      </c>
      <c r="AJ76" s="27">
        <f>IF(OR($H76="",COUNTIFS($A$14:$A$1213,$H76,$F$14:$F$1213,"&gt;=0")&lt;2,COUNTIFS($A$14:$A$1213,$H76,$F$14:$F$1213,_xlfn.MAXIFS($F$14:$F$1213,$A$14:$A$1213,$H76))&gt;1),"",IFERROR(INDEX($D$14:$D$1213,MATCH($H76&amp;"|"&amp;_xlfn.MAXIFS($F$14:$F$1213,$A$14:$A$1213,$H76),$AB$14:$AB$1213,0)),""))</f>
        <v/>
      </c>
      <c r="AK76" s="27">
        <f>IF(OR($H76="",COUNTIFS($A$14:$A$1213,$H76,$F$14:$F$1213,"&gt;=0")&lt;2,COUNTIFS($A$14:$A$1213,$H76,$F$14:$F$1213,_xlfn.MAXIFS($F$14:$F$1213,$A$14:$A$1213,$H76))&gt;1),"",IFERROR(INDEX($E$14:$E$1213,MATCH($H76&amp;"|"&amp;_xlfn.MAXIFS($F$14:$F$1213,$A$14:$A$1213,$H76),$AB$14:$AB$1213,0)),""))</f>
        <v/>
      </c>
      <c r="AL76" s="27">
        <f>IF(OR($H76="",COUNTIFS($A$14:$A$1213,$H76,$F$14:$F$1213,"&gt;=0")&lt;2,COUNTIFS($A$14:$A$1213,$H76,$F$14:$F$1213,_xlfn.MAXIFS($F$14:$F$1213,$A$14:$A$1213,$H76))&gt;1),"",IFERROR(INDEX($D$14:$D$1213,MATCH($H76&amp;"|"&amp;_xlfn.MAXIFS($F$14:$F$1213,$A$14:$A$1213,$H76,$F$14:$F$1213,"&lt;"&amp;_xlfn.MAXIFS($F$14:$F$1213,$A$14:$A$1213,$H76)),$AB$14:$AB$1213,0)),""))</f>
        <v/>
      </c>
      <c r="AM76" s="27">
        <f>IF(OR($H76="",COUNTIFS($A$14:$A$1213,$H76,$F$14:$F$1213,"&gt;=0")&lt;2,COUNTIFS($A$14:$A$1213,$H76,$F$14:$F$1213,_xlfn.MAXIFS($F$14:$F$1213,$A$14:$A$1213,$H76))&gt;1),"",IFERROR(INDEX($E$14:$E$1213,MATCH($H76&amp;"|"&amp;_xlfn.MAXIFS($F$14:$F$1213,$A$14:$A$1213,$H76,$F$14:$F$1213,"&lt;"&amp;_xlfn.MAXIFS($F$14:$F$1213,$A$14:$A$1213,$H76)),$AB$14:$AB$1213,0)),""))</f>
        <v/>
      </c>
      <c r="AN76" s="27">
        <f>IF(OR(NOT(ISNUMBER($AJ76)),NOT(ISNUMBER($AL76)),$AK76=0,$AM76=0),"",IF(OR((($AJ76+$AL76)/($AK76+$AM76))&lt;=0,(($AJ76+$AL76)/($AK76+$AM76))&gt;=1),"",($AJ76/$AK76-$AL76/$AM76)/SQRT((($AJ76+$AL76)/($AK76+$AM76))*(1-(($AJ76+$AL76)/($AK76+$AM76)))*(1/$AK76+1/$AM76))))</f>
        <v/>
      </c>
      <c r="AO76" s="27">
        <f>IF($A76="","",IF(AND(COUNTIFS($A$14:$A$1213,$A76,$F$14:$F$1213,"&gt;=0")=2,IFERROR(INDEX($M$14:$M$313,MATCH($A76,$H$14:$H$313,0)),"Yes")&lt;&gt;"Yes"),1,0))</f>
        <v/>
      </c>
    </row>
    <row r="77" ht="24" customHeight="1">
      <c r="A77" s="19" t="n"/>
      <c r="B77" s="20" t="n"/>
      <c r="C77" s="21">
        <f>IFERROR(AVERAGE(P77:T77),"")</f>
        <v/>
      </c>
      <c r="D77" s="29" t="n"/>
      <c r="E77" s="29" t="n"/>
      <c r="F77" s="30">
        <f>IF(AND(ISNUMBER($D77),ISNUMBER($E77),$E77&gt;0,$D77&lt;=$E77),$D77/$E77,"")</f>
        <v/>
      </c>
      <c r="H77" s="19">
        <f>IFERROR(INDEX($A$14:$A$1213,MATCH(64,$AI$14:$AI$1213,0)),"")</f>
        <v/>
      </c>
      <c r="I77" s="24">
        <f>IF($H77="","",IF(COUNTIFS($A$14:$A$1213,$H77,$C$14:$C$1213,"&gt;=0")=0,"—",IFERROR(INDEX($B$14:$B$1213,MATCH($H77&amp;"|1",$Z$14:$Z$1213,0)),"(tied)")))</f>
        <v/>
      </c>
      <c r="J77" s="25">
        <f>IF($H77="","",IF(OR(COUNTIFS($A$14:$A$1213,$H77,$C$14:$C$1213,"&gt;=0")=0,COUNTIFS($A$14:$A$1213,$H77,$F$14:$F$1213,"&gt;=0")=0),"—",IF(OR(ISERROR(MATCH($H77&amp;"|1",$Z$14:$Z$1213,0)),ISERROR(MATCH($H77&amp;"|1",$AA$14:$AA$1213,0))),"Tie",IF(MATCH($H77&amp;"|1",$Z$14:$Z$1213,0)=MATCH($H77&amp;"|1",$AA$14:$AA$1213,0),"Hit","Miss"))))</f>
        <v/>
      </c>
      <c r="K77" s="24">
        <f>IF($H77="","",IF(COUNTIFS($A$14:$A$1213,$H77,$F$14:$F$1213,"&gt;=0")=0,"—",IFERROR(INDEX($B$14:$B$1213,MATCH($H77&amp;"|1",$AA$14:$AA$1213,0)),"(tied)")))</f>
        <v/>
      </c>
      <c r="L77" s="25">
        <f>IF($H77="","",IF((--(COUNTIFS($A$14:$A$1213,$H77,$P$14:$P$1213,"&gt;=0")&gt;0)+--(COUNTIFS($A$14:$A$1213,$H77,$Q$14:$Q$1213,"&gt;=0")&gt;0)+--(COUNTIFS($A$14:$A$1213,$H77,$R$14:$R$1213,"&gt;=0")&gt;0)+--(COUNTIFS($A$14:$A$1213,$H77,$S$14:$S$1213,"&gt;=0")&gt;0)+--(COUNTIFS($A$14:$A$1213,$H77,$T$14:$T$1213,"&gt;=0")&gt;0))&lt;2,"—",IF(SUMIFS($AH$14:$AH$1213,$A$14:$A$1213,$H77)=0,"Yes","No")))</f>
        <v/>
      </c>
      <c r="M77" s="25">
        <f>IF($H77="","",IF(COUNTIFS($A$14:$A$1213,$H77,$F$14:$F$1213,"&gt;=0")&lt;2,"—",IF(COUNTIFS($A$14:$A$1213,$H77,$F$14:$F$1213,_xlfn.MAXIFS($F$14:$F$1213,$A$14:$A$1213,$H77))&gt;1,"No",IF(NOT(ISNUMBER($AN77)),"—",IF((2*(1-NORMSDIST(ABS($AN77))))&lt;0.05,"Yes","No")))))</f>
        <v/>
      </c>
      <c r="N77" s="21">
        <f>IF($H77="","",IF(NOT(ISNUMBER($AN77)),"—",IF((2*(1-NORMSDIST(ABS($AN77))))&lt;0.001,"&lt;0.001",TEXT((2*(1-NORMSDIST(ABS($AN77)))),"0.000"))))</f>
        <v/>
      </c>
      <c r="P77" s="26" t="n"/>
      <c r="Q77" s="26" t="n"/>
      <c r="R77" s="26" t="n"/>
      <c r="S77" s="26" t="n"/>
      <c r="T77" s="26" t="n"/>
      <c r="V77" s="27">
        <f>IF(ISNUMBER($C77),COUNTIFS($A$14:$A$1213,$A77,$C$14:$C$1213,"&gt;"&amp;$C77)+(COUNTIFS($A$14:$A$1213,$A77,$C$14:$C$1213,"="&amp;$C77)+1)/2,"")</f>
        <v/>
      </c>
      <c r="W77" s="27">
        <f>IF(ISNUMBER($F77),COUNTIFS($A$14:$A$1213,$A77,$F$14:$F$1213,"&gt;"&amp;$F77)+(COUNTIFS($A$14:$A$1213,$A77,$F$14:$F$1213,"="&amp;$F77)+1)/2,"")</f>
        <v/>
      </c>
      <c r="X77" s="27">
        <f>IF(OR(NOT(ISNUMBER($V77)),$AO77=1),"",$V77-(COUNTIFS($A$14:$A$1213,$A77,$C$14:$C$1213,"&gt;=0")+1)/2)</f>
        <v/>
      </c>
      <c r="Y77" s="27">
        <f>IF(OR(NOT(ISNUMBER($W77)),$AO77=1),"",$W77-(COUNTIFS($A$14:$A$1213,$A77,$F$14:$F$1213,"&gt;=0")+1)/2)</f>
        <v/>
      </c>
      <c r="Z77" s="27">
        <f>IF(ISNUMBER($V77),$A77&amp;"|"&amp;$V77,"")</f>
        <v/>
      </c>
      <c r="AA77" s="27">
        <f>IF(ISNUMBER($W77),$A77&amp;"|"&amp;$W77,"")</f>
        <v/>
      </c>
      <c r="AB77" s="27">
        <f>IF(ISNUMBER($F77),$A77&amp;"|"&amp;$F77,"")</f>
        <v/>
      </c>
      <c r="AC77" s="27">
        <f>IF(ISNUMBER($P77),COUNTIFS($A$14:$A$1213,$A77,$P$14:$P$1213,"&gt;"&amp;$P77)+(COUNTIFS($A$14:$A$1213,$A77,$P$14:$P$1213,"="&amp;$P77)+1)/2,"")</f>
        <v/>
      </c>
      <c r="AD77" s="27">
        <f>IF(ISNUMBER($Q77),COUNTIFS($A$14:$A$1213,$A77,$Q$14:$Q$1213,"&gt;"&amp;$Q77)+(COUNTIFS($A$14:$A$1213,$A77,$Q$14:$Q$1213,"="&amp;$Q77)+1)/2,"")</f>
        <v/>
      </c>
      <c r="AE77" s="27">
        <f>IF(ISNUMBER($R77),COUNTIFS($A$14:$A$1213,$A77,$R$14:$R$1213,"&gt;"&amp;$R77)+(COUNTIFS($A$14:$A$1213,$A77,$R$14:$R$1213,"="&amp;$R77)+1)/2,"")</f>
        <v/>
      </c>
      <c r="AF77" s="27">
        <f>IF(ISNUMBER($S77),COUNTIFS($A$14:$A$1213,$A77,$S$14:$S$1213,"&gt;"&amp;$S77)+(COUNTIFS($A$14:$A$1213,$A77,$S$14:$S$1213,"="&amp;$S77)+1)/2,"")</f>
        <v/>
      </c>
      <c r="AG77" s="27">
        <f>IF(ISNUMBER($T77),COUNTIFS($A$14:$A$1213,$A77,$T$14:$T$1213,"&gt;"&amp;$T77)+(COUNTIFS($A$14:$A$1213,$A77,$T$14:$T$1213,"="&amp;$T77)+1)/2,"")</f>
        <v/>
      </c>
      <c r="AH77" s="27">
        <f>IF(COUNT($AC77:$AG77)&lt;2,"",IF(MAX($AC77:$AG77)=MIN($AC77:$AG77),0,1))</f>
        <v/>
      </c>
      <c r="AI77" s="27">
        <f>IF($A77="","",IF(COUNTIF($A$14:$A77,$A77)=1,COUNTIF($AI$13:AI76,"&gt;0")+1,""))</f>
        <v/>
      </c>
      <c r="AJ77" s="27">
        <f>IF(OR($H77="",COUNTIFS($A$14:$A$1213,$H77,$F$14:$F$1213,"&gt;=0")&lt;2,COUNTIFS($A$14:$A$1213,$H77,$F$14:$F$1213,_xlfn.MAXIFS($F$14:$F$1213,$A$14:$A$1213,$H77))&gt;1),"",IFERROR(INDEX($D$14:$D$1213,MATCH($H77&amp;"|"&amp;_xlfn.MAXIFS($F$14:$F$1213,$A$14:$A$1213,$H77),$AB$14:$AB$1213,0)),""))</f>
        <v/>
      </c>
      <c r="AK77" s="27">
        <f>IF(OR($H77="",COUNTIFS($A$14:$A$1213,$H77,$F$14:$F$1213,"&gt;=0")&lt;2,COUNTIFS($A$14:$A$1213,$H77,$F$14:$F$1213,_xlfn.MAXIFS($F$14:$F$1213,$A$14:$A$1213,$H77))&gt;1),"",IFERROR(INDEX($E$14:$E$1213,MATCH($H77&amp;"|"&amp;_xlfn.MAXIFS($F$14:$F$1213,$A$14:$A$1213,$H77),$AB$14:$AB$1213,0)),""))</f>
        <v/>
      </c>
      <c r="AL77" s="27">
        <f>IF(OR($H77="",COUNTIFS($A$14:$A$1213,$H77,$F$14:$F$1213,"&gt;=0")&lt;2,COUNTIFS($A$14:$A$1213,$H77,$F$14:$F$1213,_xlfn.MAXIFS($F$14:$F$1213,$A$14:$A$1213,$H77))&gt;1),"",IFERROR(INDEX($D$14:$D$1213,MATCH($H77&amp;"|"&amp;_xlfn.MAXIFS($F$14:$F$1213,$A$14:$A$1213,$H77,$F$14:$F$1213,"&lt;"&amp;_xlfn.MAXIFS($F$14:$F$1213,$A$14:$A$1213,$H77)),$AB$14:$AB$1213,0)),""))</f>
        <v/>
      </c>
      <c r="AM77" s="27">
        <f>IF(OR($H77="",COUNTIFS($A$14:$A$1213,$H77,$F$14:$F$1213,"&gt;=0")&lt;2,COUNTIFS($A$14:$A$1213,$H77,$F$14:$F$1213,_xlfn.MAXIFS($F$14:$F$1213,$A$14:$A$1213,$H77))&gt;1),"",IFERROR(INDEX($E$14:$E$1213,MATCH($H77&amp;"|"&amp;_xlfn.MAXIFS($F$14:$F$1213,$A$14:$A$1213,$H77,$F$14:$F$1213,"&lt;"&amp;_xlfn.MAXIFS($F$14:$F$1213,$A$14:$A$1213,$H77)),$AB$14:$AB$1213,0)),""))</f>
        <v/>
      </c>
      <c r="AN77" s="27">
        <f>IF(OR(NOT(ISNUMBER($AJ77)),NOT(ISNUMBER($AL77)),$AK77=0,$AM77=0),"",IF(OR((($AJ77+$AL77)/($AK77+$AM77))&lt;=0,(($AJ77+$AL77)/($AK77+$AM77))&gt;=1),"",($AJ77/$AK77-$AL77/$AM77)/SQRT((($AJ77+$AL77)/($AK77+$AM77))*(1-(($AJ77+$AL77)/($AK77+$AM77)))*(1/$AK77+1/$AM77))))</f>
        <v/>
      </c>
      <c r="AO77" s="27">
        <f>IF($A77="","",IF(AND(COUNTIFS($A$14:$A$1213,$A77,$F$14:$F$1213,"&gt;=0")=2,IFERROR(INDEX($M$14:$M$313,MATCH($A77,$H$14:$H$313,0)),"Yes")&lt;&gt;"Yes"),1,0))</f>
        <v/>
      </c>
    </row>
    <row r="78" ht="24" customHeight="1">
      <c r="A78" s="19" t="n"/>
      <c r="B78" s="20" t="n"/>
      <c r="C78" s="21">
        <f>IFERROR(AVERAGE(P78:T78),"")</f>
        <v/>
      </c>
      <c r="D78" s="29" t="n"/>
      <c r="E78" s="29" t="n"/>
      <c r="F78" s="30">
        <f>IF(AND(ISNUMBER($D78),ISNUMBER($E78),$E78&gt;0,$D78&lt;=$E78),$D78/$E78,"")</f>
        <v/>
      </c>
      <c r="H78" s="19">
        <f>IFERROR(INDEX($A$14:$A$1213,MATCH(65,$AI$14:$AI$1213,0)),"")</f>
        <v/>
      </c>
      <c r="I78" s="24">
        <f>IF($H78="","",IF(COUNTIFS($A$14:$A$1213,$H78,$C$14:$C$1213,"&gt;=0")=0,"—",IFERROR(INDEX($B$14:$B$1213,MATCH($H78&amp;"|1",$Z$14:$Z$1213,0)),"(tied)")))</f>
        <v/>
      </c>
      <c r="J78" s="25">
        <f>IF($H78="","",IF(OR(COUNTIFS($A$14:$A$1213,$H78,$C$14:$C$1213,"&gt;=0")=0,COUNTIFS($A$14:$A$1213,$H78,$F$14:$F$1213,"&gt;=0")=0),"—",IF(OR(ISERROR(MATCH($H78&amp;"|1",$Z$14:$Z$1213,0)),ISERROR(MATCH($H78&amp;"|1",$AA$14:$AA$1213,0))),"Tie",IF(MATCH($H78&amp;"|1",$Z$14:$Z$1213,0)=MATCH($H78&amp;"|1",$AA$14:$AA$1213,0),"Hit","Miss"))))</f>
        <v/>
      </c>
      <c r="K78" s="24">
        <f>IF($H78="","",IF(COUNTIFS($A$14:$A$1213,$H78,$F$14:$F$1213,"&gt;=0")=0,"—",IFERROR(INDEX($B$14:$B$1213,MATCH($H78&amp;"|1",$AA$14:$AA$1213,0)),"(tied)")))</f>
        <v/>
      </c>
      <c r="L78" s="25">
        <f>IF($H78="","",IF((--(COUNTIFS($A$14:$A$1213,$H78,$P$14:$P$1213,"&gt;=0")&gt;0)+--(COUNTIFS($A$14:$A$1213,$H78,$Q$14:$Q$1213,"&gt;=0")&gt;0)+--(COUNTIFS($A$14:$A$1213,$H78,$R$14:$R$1213,"&gt;=0")&gt;0)+--(COUNTIFS($A$14:$A$1213,$H78,$S$14:$S$1213,"&gt;=0")&gt;0)+--(COUNTIFS($A$14:$A$1213,$H78,$T$14:$T$1213,"&gt;=0")&gt;0))&lt;2,"—",IF(SUMIFS($AH$14:$AH$1213,$A$14:$A$1213,$H78)=0,"Yes","No")))</f>
        <v/>
      </c>
      <c r="M78" s="25">
        <f>IF($H78="","",IF(COUNTIFS($A$14:$A$1213,$H78,$F$14:$F$1213,"&gt;=0")&lt;2,"—",IF(COUNTIFS($A$14:$A$1213,$H78,$F$14:$F$1213,_xlfn.MAXIFS($F$14:$F$1213,$A$14:$A$1213,$H78))&gt;1,"No",IF(NOT(ISNUMBER($AN78)),"—",IF((2*(1-NORMSDIST(ABS($AN78))))&lt;0.05,"Yes","No")))))</f>
        <v/>
      </c>
      <c r="N78" s="21">
        <f>IF($H78="","",IF(NOT(ISNUMBER($AN78)),"—",IF((2*(1-NORMSDIST(ABS($AN78))))&lt;0.001,"&lt;0.001",TEXT((2*(1-NORMSDIST(ABS($AN78)))),"0.000"))))</f>
        <v/>
      </c>
      <c r="P78" s="26" t="n"/>
      <c r="Q78" s="26" t="n"/>
      <c r="R78" s="26" t="n"/>
      <c r="S78" s="26" t="n"/>
      <c r="T78" s="26" t="n"/>
      <c r="V78" s="27">
        <f>IF(ISNUMBER($C78),COUNTIFS($A$14:$A$1213,$A78,$C$14:$C$1213,"&gt;"&amp;$C78)+(COUNTIFS($A$14:$A$1213,$A78,$C$14:$C$1213,"="&amp;$C78)+1)/2,"")</f>
        <v/>
      </c>
      <c r="W78" s="27">
        <f>IF(ISNUMBER($F78),COUNTIFS($A$14:$A$1213,$A78,$F$14:$F$1213,"&gt;"&amp;$F78)+(COUNTIFS($A$14:$A$1213,$A78,$F$14:$F$1213,"="&amp;$F78)+1)/2,"")</f>
        <v/>
      </c>
      <c r="X78" s="27">
        <f>IF(OR(NOT(ISNUMBER($V78)),$AO78=1),"",$V78-(COUNTIFS($A$14:$A$1213,$A78,$C$14:$C$1213,"&gt;=0")+1)/2)</f>
        <v/>
      </c>
      <c r="Y78" s="27">
        <f>IF(OR(NOT(ISNUMBER($W78)),$AO78=1),"",$W78-(COUNTIFS($A$14:$A$1213,$A78,$F$14:$F$1213,"&gt;=0")+1)/2)</f>
        <v/>
      </c>
      <c r="Z78" s="27">
        <f>IF(ISNUMBER($V78),$A78&amp;"|"&amp;$V78,"")</f>
        <v/>
      </c>
      <c r="AA78" s="27">
        <f>IF(ISNUMBER($W78),$A78&amp;"|"&amp;$W78,"")</f>
        <v/>
      </c>
      <c r="AB78" s="27">
        <f>IF(ISNUMBER($F78),$A78&amp;"|"&amp;$F78,"")</f>
        <v/>
      </c>
      <c r="AC78" s="27">
        <f>IF(ISNUMBER($P78),COUNTIFS($A$14:$A$1213,$A78,$P$14:$P$1213,"&gt;"&amp;$P78)+(COUNTIFS($A$14:$A$1213,$A78,$P$14:$P$1213,"="&amp;$P78)+1)/2,"")</f>
        <v/>
      </c>
      <c r="AD78" s="27">
        <f>IF(ISNUMBER($Q78),COUNTIFS($A$14:$A$1213,$A78,$Q$14:$Q$1213,"&gt;"&amp;$Q78)+(COUNTIFS($A$14:$A$1213,$A78,$Q$14:$Q$1213,"="&amp;$Q78)+1)/2,"")</f>
        <v/>
      </c>
      <c r="AE78" s="27">
        <f>IF(ISNUMBER($R78),COUNTIFS($A$14:$A$1213,$A78,$R$14:$R$1213,"&gt;"&amp;$R78)+(COUNTIFS($A$14:$A$1213,$A78,$R$14:$R$1213,"="&amp;$R78)+1)/2,"")</f>
        <v/>
      </c>
      <c r="AF78" s="27">
        <f>IF(ISNUMBER($S78),COUNTIFS($A$14:$A$1213,$A78,$S$14:$S$1213,"&gt;"&amp;$S78)+(COUNTIFS($A$14:$A$1213,$A78,$S$14:$S$1213,"="&amp;$S78)+1)/2,"")</f>
        <v/>
      </c>
      <c r="AG78" s="27">
        <f>IF(ISNUMBER($T78),COUNTIFS($A$14:$A$1213,$A78,$T$14:$T$1213,"&gt;"&amp;$T78)+(COUNTIFS($A$14:$A$1213,$A78,$T$14:$T$1213,"="&amp;$T78)+1)/2,"")</f>
        <v/>
      </c>
      <c r="AH78" s="27">
        <f>IF(COUNT($AC78:$AG78)&lt;2,"",IF(MAX($AC78:$AG78)=MIN($AC78:$AG78),0,1))</f>
        <v/>
      </c>
      <c r="AI78" s="27">
        <f>IF($A78="","",IF(COUNTIF($A$14:$A78,$A78)=1,COUNTIF($AI$13:AI77,"&gt;0")+1,""))</f>
        <v/>
      </c>
      <c r="AJ78" s="27">
        <f>IF(OR($H78="",COUNTIFS($A$14:$A$1213,$H78,$F$14:$F$1213,"&gt;=0")&lt;2,COUNTIFS($A$14:$A$1213,$H78,$F$14:$F$1213,_xlfn.MAXIFS($F$14:$F$1213,$A$14:$A$1213,$H78))&gt;1),"",IFERROR(INDEX($D$14:$D$1213,MATCH($H78&amp;"|"&amp;_xlfn.MAXIFS($F$14:$F$1213,$A$14:$A$1213,$H78),$AB$14:$AB$1213,0)),""))</f>
        <v/>
      </c>
      <c r="AK78" s="27">
        <f>IF(OR($H78="",COUNTIFS($A$14:$A$1213,$H78,$F$14:$F$1213,"&gt;=0")&lt;2,COUNTIFS($A$14:$A$1213,$H78,$F$14:$F$1213,_xlfn.MAXIFS($F$14:$F$1213,$A$14:$A$1213,$H78))&gt;1),"",IFERROR(INDEX($E$14:$E$1213,MATCH($H78&amp;"|"&amp;_xlfn.MAXIFS($F$14:$F$1213,$A$14:$A$1213,$H78),$AB$14:$AB$1213,0)),""))</f>
        <v/>
      </c>
      <c r="AL78" s="27">
        <f>IF(OR($H78="",COUNTIFS($A$14:$A$1213,$H78,$F$14:$F$1213,"&gt;=0")&lt;2,COUNTIFS($A$14:$A$1213,$H78,$F$14:$F$1213,_xlfn.MAXIFS($F$14:$F$1213,$A$14:$A$1213,$H78))&gt;1),"",IFERROR(INDEX($D$14:$D$1213,MATCH($H78&amp;"|"&amp;_xlfn.MAXIFS($F$14:$F$1213,$A$14:$A$1213,$H78,$F$14:$F$1213,"&lt;"&amp;_xlfn.MAXIFS($F$14:$F$1213,$A$14:$A$1213,$H78)),$AB$14:$AB$1213,0)),""))</f>
        <v/>
      </c>
      <c r="AM78" s="27">
        <f>IF(OR($H78="",COUNTIFS($A$14:$A$1213,$H78,$F$14:$F$1213,"&gt;=0")&lt;2,COUNTIFS($A$14:$A$1213,$H78,$F$14:$F$1213,_xlfn.MAXIFS($F$14:$F$1213,$A$14:$A$1213,$H78))&gt;1),"",IFERROR(INDEX($E$14:$E$1213,MATCH($H78&amp;"|"&amp;_xlfn.MAXIFS($F$14:$F$1213,$A$14:$A$1213,$H78,$F$14:$F$1213,"&lt;"&amp;_xlfn.MAXIFS($F$14:$F$1213,$A$14:$A$1213,$H78)),$AB$14:$AB$1213,0)),""))</f>
        <v/>
      </c>
      <c r="AN78" s="27">
        <f>IF(OR(NOT(ISNUMBER($AJ78)),NOT(ISNUMBER($AL78)),$AK78=0,$AM78=0),"",IF(OR((($AJ78+$AL78)/($AK78+$AM78))&lt;=0,(($AJ78+$AL78)/($AK78+$AM78))&gt;=1),"",($AJ78/$AK78-$AL78/$AM78)/SQRT((($AJ78+$AL78)/($AK78+$AM78))*(1-(($AJ78+$AL78)/($AK78+$AM78)))*(1/$AK78+1/$AM78))))</f>
        <v/>
      </c>
      <c r="AO78" s="27">
        <f>IF($A78="","",IF(AND(COUNTIFS($A$14:$A$1213,$A78,$F$14:$F$1213,"&gt;=0")=2,IFERROR(INDEX($M$14:$M$313,MATCH($A78,$H$14:$H$313,0)),"Yes")&lt;&gt;"Yes"),1,0))</f>
        <v/>
      </c>
    </row>
    <row r="79" ht="24" customHeight="1">
      <c r="A79" s="19" t="n"/>
      <c r="B79" s="20" t="n"/>
      <c r="C79" s="21">
        <f>IFERROR(AVERAGE(P79:T79),"")</f>
        <v/>
      </c>
      <c r="D79" s="29" t="n"/>
      <c r="E79" s="29" t="n"/>
      <c r="F79" s="30">
        <f>IF(AND(ISNUMBER($D79),ISNUMBER($E79),$E79&gt;0,$D79&lt;=$E79),$D79/$E79,"")</f>
        <v/>
      </c>
      <c r="H79" s="19">
        <f>IFERROR(INDEX($A$14:$A$1213,MATCH(66,$AI$14:$AI$1213,0)),"")</f>
        <v/>
      </c>
      <c r="I79" s="24">
        <f>IF($H79="","",IF(COUNTIFS($A$14:$A$1213,$H79,$C$14:$C$1213,"&gt;=0")=0,"—",IFERROR(INDEX($B$14:$B$1213,MATCH($H79&amp;"|1",$Z$14:$Z$1213,0)),"(tied)")))</f>
        <v/>
      </c>
      <c r="J79" s="25">
        <f>IF($H79="","",IF(OR(COUNTIFS($A$14:$A$1213,$H79,$C$14:$C$1213,"&gt;=0")=0,COUNTIFS($A$14:$A$1213,$H79,$F$14:$F$1213,"&gt;=0")=0),"—",IF(OR(ISERROR(MATCH($H79&amp;"|1",$Z$14:$Z$1213,0)),ISERROR(MATCH($H79&amp;"|1",$AA$14:$AA$1213,0))),"Tie",IF(MATCH($H79&amp;"|1",$Z$14:$Z$1213,0)=MATCH($H79&amp;"|1",$AA$14:$AA$1213,0),"Hit","Miss"))))</f>
        <v/>
      </c>
      <c r="K79" s="24">
        <f>IF($H79="","",IF(COUNTIFS($A$14:$A$1213,$H79,$F$14:$F$1213,"&gt;=0")=0,"—",IFERROR(INDEX($B$14:$B$1213,MATCH($H79&amp;"|1",$AA$14:$AA$1213,0)),"(tied)")))</f>
        <v/>
      </c>
      <c r="L79" s="25">
        <f>IF($H79="","",IF((--(COUNTIFS($A$14:$A$1213,$H79,$P$14:$P$1213,"&gt;=0")&gt;0)+--(COUNTIFS($A$14:$A$1213,$H79,$Q$14:$Q$1213,"&gt;=0")&gt;0)+--(COUNTIFS($A$14:$A$1213,$H79,$R$14:$R$1213,"&gt;=0")&gt;0)+--(COUNTIFS($A$14:$A$1213,$H79,$S$14:$S$1213,"&gt;=0")&gt;0)+--(COUNTIFS($A$14:$A$1213,$H79,$T$14:$T$1213,"&gt;=0")&gt;0))&lt;2,"—",IF(SUMIFS($AH$14:$AH$1213,$A$14:$A$1213,$H79)=0,"Yes","No")))</f>
        <v/>
      </c>
      <c r="M79" s="25">
        <f>IF($H79="","",IF(COUNTIFS($A$14:$A$1213,$H79,$F$14:$F$1213,"&gt;=0")&lt;2,"—",IF(COUNTIFS($A$14:$A$1213,$H79,$F$14:$F$1213,_xlfn.MAXIFS($F$14:$F$1213,$A$14:$A$1213,$H79))&gt;1,"No",IF(NOT(ISNUMBER($AN79)),"—",IF((2*(1-NORMSDIST(ABS($AN79))))&lt;0.05,"Yes","No")))))</f>
        <v/>
      </c>
      <c r="N79" s="21">
        <f>IF($H79="","",IF(NOT(ISNUMBER($AN79)),"—",IF((2*(1-NORMSDIST(ABS($AN79))))&lt;0.001,"&lt;0.001",TEXT((2*(1-NORMSDIST(ABS($AN79)))),"0.000"))))</f>
        <v/>
      </c>
      <c r="P79" s="26" t="n"/>
      <c r="Q79" s="26" t="n"/>
      <c r="R79" s="26" t="n"/>
      <c r="S79" s="26" t="n"/>
      <c r="T79" s="26" t="n"/>
      <c r="V79" s="27">
        <f>IF(ISNUMBER($C79),COUNTIFS($A$14:$A$1213,$A79,$C$14:$C$1213,"&gt;"&amp;$C79)+(COUNTIFS($A$14:$A$1213,$A79,$C$14:$C$1213,"="&amp;$C79)+1)/2,"")</f>
        <v/>
      </c>
      <c r="W79" s="27">
        <f>IF(ISNUMBER($F79),COUNTIFS($A$14:$A$1213,$A79,$F$14:$F$1213,"&gt;"&amp;$F79)+(COUNTIFS($A$14:$A$1213,$A79,$F$14:$F$1213,"="&amp;$F79)+1)/2,"")</f>
        <v/>
      </c>
      <c r="X79" s="27">
        <f>IF(OR(NOT(ISNUMBER($V79)),$AO79=1),"",$V79-(COUNTIFS($A$14:$A$1213,$A79,$C$14:$C$1213,"&gt;=0")+1)/2)</f>
        <v/>
      </c>
      <c r="Y79" s="27">
        <f>IF(OR(NOT(ISNUMBER($W79)),$AO79=1),"",$W79-(COUNTIFS($A$14:$A$1213,$A79,$F$14:$F$1213,"&gt;=0")+1)/2)</f>
        <v/>
      </c>
      <c r="Z79" s="27">
        <f>IF(ISNUMBER($V79),$A79&amp;"|"&amp;$V79,"")</f>
        <v/>
      </c>
      <c r="AA79" s="27">
        <f>IF(ISNUMBER($W79),$A79&amp;"|"&amp;$W79,"")</f>
        <v/>
      </c>
      <c r="AB79" s="27">
        <f>IF(ISNUMBER($F79),$A79&amp;"|"&amp;$F79,"")</f>
        <v/>
      </c>
      <c r="AC79" s="27">
        <f>IF(ISNUMBER($P79),COUNTIFS($A$14:$A$1213,$A79,$P$14:$P$1213,"&gt;"&amp;$P79)+(COUNTIFS($A$14:$A$1213,$A79,$P$14:$P$1213,"="&amp;$P79)+1)/2,"")</f>
        <v/>
      </c>
      <c r="AD79" s="27">
        <f>IF(ISNUMBER($Q79),COUNTIFS($A$14:$A$1213,$A79,$Q$14:$Q$1213,"&gt;"&amp;$Q79)+(COUNTIFS($A$14:$A$1213,$A79,$Q$14:$Q$1213,"="&amp;$Q79)+1)/2,"")</f>
        <v/>
      </c>
      <c r="AE79" s="27">
        <f>IF(ISNUMBER($R79),COUNTIFS($A$14:$A$1213,$A79,$R$14:$R$1213,"&gt;"&amp;$R79)+(COUNTIFS($A$14:$A$1213,$A79,$R$14:$R$1213,"="&amp;$R79)+1)/2,"")</f>
        <v/>
      </c>
      <c r="AF79" s="27">
        <f>IF(ISNUMBER($S79),COUNTIFS($A$14:$A$1213,$A79,$S$14:$S$1213,"&gt;"&amp;$S79)+(COUNTIFS($A$14:$A$1213,$A79,$S$14:$S$1213,"="&amp;$S79)+1)/2,"")</f>
        <v/>
      </c>
      <c r="AG79" s="27">
        <f>IF(ISNUMBER($T79),COUNTIFS($A$14:$A$1213,$A79,$T$14:$T$1213,"&gt;"&amp;$T79)+(COUNTIFS($A$14:$A$1213,$A79,$T$14:$T$1213,"="&amp;$T79)+1)/2,"")</f>
        <v/>
      </c>
      <c r="AH79" s="27">
        <f>IF(COUNT($AC79:$AG79)&lt;2,"",IF(MAX($AC79:$AG79)=MIN($AC79:$AG79),0,1))</f>
        <v/>
      </c>
      <c r="AI79" s="27">
        <f>IF($A79="","",IF(COUNTIF($A$14:$A79,$A79)=1,COUNTIF($AI$13:AI78,"&gt;0")+1,""))</f>
        <v/>
      </c>
      <c r="AJ79" s="27">
        <f>IF(OR($H79="",COUNTIFS($A$14:$A$1213,$H79,$F$14:$F$1213,"&gt;=0")&lt;2,COUNTIFS($A$14:$A$1213,$H79,$F$14:$F$1213,_xlfn.MAXIFS($F$14:$F$1213,$A$14:$A$1213,$H79))&gt;1),"",IFERROR(INDEX($D$14:$D$1213,MATCH($H79&amp;"|"&amp;_xlfn.MAXIFS($F$14:$F$1213,$A$14:$A$1213,$H79),$AB$14:$AB$1213,0)),""))</f>
        <v/>
      </c>
      <c r="AK79" s="27">
        <f>IF(OR($H79="",COUNTIFS($A$14:$A$1213,$H79,$F$14:$F$1213,"&gt;=0")&lt;2,COUNTIFS($A$14:$A$1213,$H79,$F$14:$F$1213,_xlfn.MAXIFS($F$14:$F$1213,$A$14:$A$1213,$H79))&gt;1),"",IFERROR(INDEX($E$14:$E$1213,MATCH($H79&amp;"|"&amp;_xlfn.MAXIFS($F$14:$F$1213,$A$14:$A$1213,$H79),$AB$14:$AB$1213,0)),""))</f>
        <v/>
      </c>
      <c r="AL79" s="27">
        <f>IF(OR($H79="",COUNTIFS($A$14:$A$1213,$H79,$F$14:$F$1213,"&gt;=0")&lt;2,COUNTIFS($A$14:$A$1213,$H79,$F$14:$F$1213,_xlfn.MAXIFS($F$14:$F$1213,$A$14:$A$1213,$H79))&gt;1),"",IFERROR(INDEX($D$14:$D$1213,MATCH($H79&amp;"|"&amp;_xlfn.MAXIFS($F$14:$F$1213,$A$14:$A$1213,$H79,$F$14:$F$1213,"&lt;"&amp;_xlfn.MAXIFS($F$14:$F$1213,$A$14:$A$1213,$H79)),$AB$14:$AB$1213,0)),""))</f>
        <v/>
      </c>
      <c r="AM79" s="27">
        <f>IF(OR($H79="",COUNTIFS($A$14:$A$1213,$H79,$F$14:$F$1213,"&gt;=0")&lt;2,COUNTIFS($A$14:$A$1213,$H79,$F$14:$F$1213,_xlfn.MAXIFS($F$14:$F$1213,$A$14:$A$1213,$H79))&gt;1),"",IFERROR(INDEX($E$14:$E$1213,MATCH($H79&amp;"|"&amp;_xlfn.MAXIFS($F$14:$F$1213,$A$14:$A$1213,$H79,$F$14:$F$1213,"&lt;"&amp;_xlfn.MAXIFS($F$14:$F$1213,$A$14:$A$1213,$H79)),$AB$14:$AB$1213,0)),""))</f>
        <v/>
      </c>
      <c r="AN79" s="27">
        <f>IF(OR(NOT(ISNUMBER($AJ79)),NOT(ISNUMBER($AL79)),$AK79=0,$AM79=0),"",IF(OR((($AJ79+$AL79)/($AK79+$AM79))&lt;=0,(($AJ79+$AL79)/($AK79+$AM79))&gt;=1),"",($AJ79/$AK79-$AL79/$AM79)/SQRT((($AJ79+$AL79)/($AK79+$AM79))*(1-(($AJ79+$AL79)/($AK79+$AM79)))*(1/$AK79+1/$AM79))))</f>
        <v/>
      </c>
      <c r="AO79" s="27">
        <f>IF($A79="","",IF(AND(COUNTIFS($A$14:$A$1213,$A79,$F$14:$F$1213,"&gt;=0")=2,IFERROR(INDEX($M$14:$M$313,MATCH($A79,$H$14:$H$313,0)),"Yes")&lt;&gt;"Yes"),1,0))</f>
        <v/>
      </c>
    </row>
    <row r="80" ht="24" customHeight="1">
      <c r="A80" s="19" t="n"/>
      <c r="B80" s="20" t="n"/>
      <c r="C80" s="21">
        <f>IFERROR(AVERAGE(P80:T80),"")</f>
        <v/>
      </c>
      <c r="D80" s="29" t="n"/>
      <c r="E80" s="29" t="n"/>
      <c r="F80" s="30">
        <f>IF(AND(ISNUMBER($D80),ISNUMBER($E80),$E80&gt;0,$D80&lt;=$E80),$D80/$E80,"")</f>
        <v/>
      </c>
      <c r="H80" s="19">
        <f>IFERROR(INDEX($A$14:$A$1213,MATCH(67,$AI$14:$AI$1213,0)),"")</f>
        <v/>
      </c>
      <c r="I80" s="24">
        <f>IF($H80="","",IF(COUNTIFS($A$14:$A$1213,$H80,$C$14:$C$1213,"&gt;=0")=0,"—",IFERROR(INDEX($B$14:$B$1213,MATCH($H80&amp;"|1",$Z$14:$Z$1213,0)),"(tied)")))</f>
        <v/>
      </c>
      <c r="J80" s="25">
        <f>IF($H80="","",IF(OR(COUNTIFS($A$14:$A$1213,$H80,$C$14:$C$1213,"&gt;=0")=0,COUNTIFS($A$14:$A$1213,$H80,$F$14:$F$1213,"&gt;=0")=0),"—",IF(OR(ISERROR(MATCH($H80&amp;"|1",$Z$14:$Z$1213,0)),ISERROR(MATCH($H80&amp;"|1",$AA$14:$AA$1213,0))),"Tie",IF(MATCH($H80&amp;"|1",$Z$14:$Z$1213,0)=MATCH($H80&amp;"|1",$AA$14:$AA$1213,0),"Hit","Miss"))))</f>
        <v/>
      </c>
      <c r="K80" s="24">
        <f>IF($H80="","",IF(COUNTIFS($A$14:$A$1213,$H80,$F$14:$F$1213,"&gt;=0")=0,"—",IFERROR(INDEX($B$14:$B$1213,MATCH($H80&amp;"|1",$AA$14:$AA$1213,0)),"(tied)")))</f>
        <v/>
      </c>
      <c r="L80" s="25">
        <f>IF($H80="","",IF((--(COUNTIFS($A$14:$A$1213,$H80,$P$14:$P$1213,"&gt;=0")&gt;0)+--(COUNTIFS($A$14:$A$1213,$H80,$Q$14:$Q$1213,"&gt;=0")&gt;0)+--(COUNTIFS($A$14:$A$1213,$H80,$R$14:$R$1213,"&gt;=0")&gt;0)+--(COUNTIFS($A$14:$A$1213,$H80,$S$14:$S$1213,"&gt;=0")&gt;0)+--(COUNTIFS($A$14:$A$1213,$H80,$T$14:$T$1213,"&gt;=0")&gt;0))&lt;2,"—",IF(SUMIFS($AH$14:$AH$1213,$A$14:$A$1213,$H80)=0,"Yes","No")))</f>
        <v/>
      </c>
      <c r="M80" s="25">
        <f>IF($H80="","",IF(COUNTIFS($A$14:$A$1213,$H80,$F$14:$F$1213,"&gt;=0")&lt;2,"—",IF(COUNTIFS($A$14:$A$1213,$H80,$F$14:$F$1213,_xlfn.MAXIFS($F$14:$F$1213,$A$14:$A$1213,$H80))&gt;1,"No",IF(NOT(ISNUMBER($AN80)),"—",IF((2*(1-NORMSDIST(ABS($AN80))))&lt;0.05,"Yes","No")))))</f>
        <v/>
      </c>
      <c r="N80" s="21">
        <f>IF($H80="","",IF(NOT(ISNUMBER($AN80)),"—",IF((2*(1-NORMSDIST(ABS($AN80))))&lt;0.001,"&lt;0.001",TEXT((2*(1-NORMSDIST(ABS($AN80)))),"0.000"))))</f>
        <v/>
      </c>
      <c r="P80" s="26" t="n"/>
      <c r="Q80" s="26" t="n"/>
      <c r="R80" s="26" t="n"/>
      <c r="S80" s="26" t="n"/>
      <c r="T80" s="26" t="n"/>
      <c r="V80" s="27">
        <f>IF(ISNUMBER($C80),COUNTIFS($A$14:$A$1213,$A80,$C$14:$C$1213,"&gt;"&amp;$C80)+(COUNTIFS($A$14:$A$1213,$A80,$C$14:$C$1213,"="&amp;$C80)+1)/2,"")</f>
        <v/>
      </c>
      <c r="W80" s="27">
        <f>IF(ISNUMBER($F80),COUNTIFS($A$14:$A$1213,$A80,$F$14:$F$1213,"&gt;"&amp;$F80)+(COUNTIFS($A$14:$A$1213,$A80,$F$14:$F$1213,"="&amp;$F80)+1)/2,"")</f>
        <v/>
      </c>
      <c r="X80" s="27">
        <f>IF(OR(NOT(ISNUMBER($V80)),$AO80=1),"",$V80-(COUNTIFS($A$14:$A$1213,$A80,$C$14:$C$1213,"&gt;=0")+1)/2)</f>
        <v/>
      </c>
      <c r="Y80" s="27">
        <f>IF(OR(NOT(ISNUMBER($W80)),$AO80=1),"",$W80-(COUNTIFS($A$14:$A$1213,$A80,$F$14:$F$1213,"&gt;=0")+1)/2)</f>
        <v/>
      </c>
      <c r="Z80" s="27">
        <f>IF(ISNUMBER($V80),$A80&amp;"|"&amp;$V80,"")</f>
        <v/>
      </c>
      <c r="AA80" s="27">
        <f>IF(ISNUMBER($W80),$A80&amp;"|"&amp;$W80,"")</f>
        <v/>
      </c>
      <c r="AB80" s="27">
        <f>IF(ISNUMBER($F80),$A80&amp;"|"&amp;$F80,"")</f>
        <v/>
      </c>
      <c r="AC80" s="27">
        <f>IF(ISNUMBER($P80),COUNTIFS($A$14:$A$1213,$A80,$P$14:$P$1213,"&gt;"&amp;$P80)+(COUNTIFS($A$14:$A$1213,$A80,$P$14:$P$1213,"="&amp;$P80)+1)/2,"")</f>
        <v/>
      </c>
      <c r="AD80" s="27">
        <f>IF(ISNUMBER($Q80),COUNTIFS($A$14:$A$1213,$A80,$Q$14:$Q$1213,"&gt;"&amp;$Q80)+(COUNTIFS($A$14:$A$1213,$A80,$Q$14:$Q$1213,"="&amp;$Q80)+1)/2,"")</f>
        <v/>
      </c>
      <c r="AE80" s="27">
        <f>IF(ISNUMBER($R80),COUNTIFS($A$14:$A$1213,$A80,$R$14:$R$1213,"&gt;"&amp;$R80)+(COUNTIFS($A$14:$A$1213,$A80,$R$14:$R$1213,"="&amp;$R80)+1)/2,"")</f>
        <v/>
      </c>
      <c r="AF80" s="27">
        <f>IF(ISNUMBER($S80),COUNTIFS($A$14:$A$1213,$A80,$S$14:$S$1213,"&gt;"&amp;$S80)+(COUNTIFS($A$14:$A$1213,$A80,$S$14:$S$1213,"="&amp;$S80)+1)/2,"")</f>
        <v/>
      </c>
      <c r="AG80" s="27">
        <f>IF(ISNUMBER($T80),COUNTIFS($A$14:$A$1213,$A80,$T$14:$T$1213,"&gt;"&amp;$T80)+(COUNTIFS($A$14:$A$1213,$A80,$T$14:$T$1213,"="&amp;$T80)+1)/2,"")</f>
        <v/>
      </c>
      <c r="AH80" s="27">
        <f>IF(COUNT($AC80:$AG80)&lt;2,"",IF(MAX($AC80:$AG80)=MIN($AC80:$AG80),0,1))</f>
        <v/>
      </c>
      <c r="AI80" s="27">
        <f>IF($A80="","",IF(COUNTIF($A$14:$A80,$A80)=1,COUNTIF($AI$13:AI79,"&gt;0")+1,""))</f>
        <v/>
      </c>
      <c r="AJ80" s="27">
        <f>IF(OR($H80="",COUNTIFS($A$14:$A$1213,$H80,$F$14:$F$1213,"&gt;=0")&lt;2,COUNTIFS($A$14:$A$1213,$H80,$F$14:$F$1213,_xlfn.MAXIFS($F$14:$F$1213,$A$14:$A$1213,$H80))&gt;1),"",IFERROR(INDEX($D$14:$D$1213,MATCH($H80&amp;"|"&amp;_xlfn.MAXIFS($F$14:$F$1213,$A$14:$A$1213,$H80),$AB$14:$AB$1213,0)),""))</f>
        <v/>
      </c>
      <c r="AK80" s="27">
        <f>IF(OR($H80="",COUNTIFS($A$14:$A$1213,$H80,$F$14:$F$1213,"&gt;=0")&lt;2,COUNTIFS($A$14:$A$1213,$H80,$F$14:$F$1213,_xlfn.MAXIFS($F$14:$F$1213,$A$14:$A$1213,$H80))&gt;1),"",IFERROR(INDEX($E$14:$E$1213,MATCH($H80&amp;"|"&amp;_xlfn.MAXIFS($F$14:$F$1213,$A$14:$A$1213,$H80),$AB$14:$AB$1213,0)),""))</f>
        <v/>
      </c>
      <c r="AL80" s="27">
        <f>IF(OR($H80="",COUNTIFS($A$14:$A$1213,$H80,$F$14:$F$1213,"&gt;=0")&lt;2,COUNTIFS($A$14:$A$1213,$H80,$F$14:$F$1213,_xlfn.MAXIFS($F$14:$F$1213,$A$14:$A$1213,$H80))&gt;1),"",IFERROR(INDEX($D$14:$D$1213,MATCH($H80&amp;"|"&amp;_xlfn.MAXIFS($F$14:$F$1213,$A$14:$A$1213,$H80,$F$14:$F$1213,"&lt;"&amp;_xlfn.MAXIFS($F$14:$F$1213,$A$14:$A$1213,$H80)),$AB$14:$AB$1213,0)),""))</f>
        <v/>
      </c>
      <c r="AM80" s="27">
        <f>IF(OR($H80="",COUNTIFS($A$14:$A$1213,$H80,$F$14:$F$1213,"&gt;=0")&lt;2,COUNTIFS($A$14:$A$1213,$H80,$F$14:$F$1213,_xlfn.MAXIFS($F$14:$F$1213,$A$14:$A$1213,$H80))&gt;1),"",IFERROR(INDEX($E$14:$E$1213,MATCH($H80&amp;"|"&amp;_xlfn.MAXIFS($F$14:$F$1213,$A$14:$A$1213,$H80,$F$14:$F$1213,"&lt;"&amp;_xlfn.MAXIFS($F$14:$F$1213,$A$14:$A$1213,$H80)),$AB$14:$AB$1213,0)),""))</f>
        <v/>
      </c>
      <c r="AN80" s="27">
        <f>IF(OR(NOT(ISNUMBER($AJ80)),NOT(ISNUMBER($AL80)),$AK80=0,$AM80=0),"",IF(OR((($AJ80+$AL80)/($AK80+$AM80))&lt;=0,(($AJ80+$AL80)/($AK80+$AM80))&gt;=1),"",($AJ80/$AK80-$AL80/$AM80)/SQRT((($AJ80+$AL80)/($AK80+$AM80))*(1-(($AJ80+$AL80)/($AK80+$AM80)))*(1/$AK80+1/$AM80))))</f>
        <v/>
      </c>
      <c r="AO80" s="27">
        <f>IF($A80="","",IF(AND(COUNTIFS($A$14:$A$1213,$A80,$F$14:$F$1213,"&gt;=0")=2,IFERROR(INDEX($M$14:$M$313,MATCH($A80,$H$14:$H$313,0)),"Yes")&lt;&gt;"Yes"),1,0))</f>
        <v/>
      </c>
    </row>
    <row r="81" ht="24" customHeight="1">
      <c r="A81" s="19" t="n"/>
      <c r="B81" s="20" t="n"/>
      <c r="C81" s="21">
        <f>IFERROR(AVERAGE(P81:T81),"")</f>
        <v/>
      </c>
      <c r="D81" s="29" t="n"/>
      <c r="E81" s="29" t="n"/>
      <c r="F81" s="30">
        <f>IF(AND(ISNUMBER($D81),ISNUMBER($E81),$E81&gt;0,$D81&lt;=$E81),$D81/$E81,"")</f>
        <v/>
      </c>
      <c r="H81" s="19">
        <f>IFERROR(INDEX($A$14:$A$1213,MATCH(68,$AI$14:$AI$1213,0)),"")</f>
        <v/>
      </c>
      <c r="I81" s="24">
        <f>IF($H81="","",IF(COUNTIFS($A$14:$A$1213,$H81,$C$14:$C$1213,"&gt;=0")=0,"—",IFERROR(INDEX($B$14:$B$1213,MATCH($H81&amp;"|1",$Z$14:$Z$1213,0)),"(tied)")))</f>
        <v/>
      </c>
      <c r="J81" s="25">
        <f>IF($H81="","",IF(OR(COUNTIFS($A$14:$A$1213,$H81,$C$14:$C$1213,"&gt;=0")=0,COUNTIFS($A$14:$A$1213,$H81,$F$14:$F$1213,"&gt;=0")=0),"—",IF(OR(ISERROR(MATCH($H81&amp;"|1",$Z$14:$Z$1213,0)),ISERROR(MATCH($H81&amp;"|1",$AA$14:$AA$1213,0))),"Tie",IF(MATCH($H81&amp;"|1",$Z$14:$Z$1213,0)=MATCH($H81&amp;"|1",$AA$14:$AA$1213,0),"Hit","Miss"))))</f>
        <v/>
      </c>
      <c r="K81" s="24">
        <f>IF($H81="","",IF(COUNTIFS($A$14:$A$1213,$H81,$F$14:$F$1213,"&gt;=0")=0,"—",IFERROR(INDEX($B$14:$B$1213,MATCH($H81&amp;"|1",$AA$14:$AA$1213,0)),"(tied)")))</f>
        <v/>
      </c>
      <c r="L81" s="25">
        <f>IF($H81="","",IF((--(COUNTIFS($A$14:$A$1213,$H81,$P$14:$P$1213,"&gt;=0")&gt;0)+--(COUNTIFS($A$14:$A$1213,$H81,$Q$14:$Q$1213,"&gt;=0")&gt;0)+--(COUNTIFS($A$14:$A$1213,$H81,$R$14:$R$1213,"&gt;=0")&gt;0)+--(COUNTIFS($A$14:$A$1213,$H81,$S$14:$S$1213,"&gt;=0")&gt;0)+--(COUNTIFS($A$14:$A$1213,$H81,$T$14:$T$1213,"&gt;=0")&gt;0))&lt;2,"—",IF(SUMIFS($AH$14:$AH$1213,$A$14:$A$1213,$H81)=0,"Yes","No")))</f>
        <v/>
      </c>
      <c r="M81" s="25">
        <f>IF($H81="","",IF(COUNTIFS($A$14:$A$1213,$H81,$F$14:$F$1213,"&gt;=0")&lt;2,"—",IF(COUNTIFS($A$14:$A$1213,$H81,$F$14:$F$1213,_xlfn.MAXIFS($F$14:$F$1213,$A$14:$A$1213,$H81))&gt;1,"No",IF(NOT(ISNUMBER($AN81)),"—",IF((2*(1-NORMSDIST(ABS($AN81))))&lt;0.05,"Yes","No")))))</f>
        <v/>
      </c>
      <c r="N81" s="21">
        <f>IF($H81="","",IF(NOT(ISNUMBER($AN81)),"—",IF((2*(1-NORMSDIST(ABS($AN81))))&lt;0.001,"&lt;0.001",TEXT((2*(1-NORMSDIST(ABS($AN81)))),"0.000"))))</f>
        <v/>
      </c>
      <c r="P81" s="26" t="n"/>
      <c r="Q81" s="26" t="n"/>
      <c r="R81" s="26" t="n"/>
      <c r="S81" s="26" t="n"/>
      <c r="T81" s="26" t="n"/>
      <c r="V81" s="27">
        <f>IF(ISNUMBER($C81),COUNTIFS($A$14:$A$1213,$A81,$C$14:$C$1213,"&gt;"&amp;$C81)+(COUNTIFS($A$14:$A$1213,$A81,$C$14:$C$1213,"="&amp;$C81)+1)/2,"")</f>
        <v/>
      </c>
      <c r="W81" s="27">
        <f>IF(ISNUMBER($F81),COUNTIFS($A$14:$A$1213,$A81,$F$14:$F$1213,"&gt;"&amp;$F81)+(COUNTIFS($A$14:$A$1213,$A81,$F$14:$F$1213,"="&amp;$F81)+1)/2,"")</f>
        <v/>
      </c>
      <c r="X81" s="27">
        <f>IF(OR(NOT(ISNUMBER($V81)),$AO81=1),"",$V81-(COUNTIFS($A$14:$A$1213,$A81,$C$14:$C$1213,"&gt;=0")+1)/2)</f>
        <v/>
      </c>
      <c r="Y81" s="27">
        <f>IF(OR(NOT(ISNUMBER($W81)),$AO81=1),"",$W81-(COUNTIFS($A$14:$A$1213,$A81,$F$14:$F$1213,"&gt;=0")+1)/2)</f>
        <v/>
      </c>
      <c r="Z81" s="27">
        <f>IF(ISNUMBER($V81),$A81&amp;"|"&amp;$V81,"")</f>
        <v/>
      </c>
      <c r="AA81" s="27">
        <f>IF(ISNUMBER($W81),$A81&amp;"|"&amp;$W81,"")</f>
        <v/>
      </c>
      <c r="AB81" s="27">
        <f>IF(ISNUMBER($F81),$A81&amp;"|"&amp;$F81,"")</f>
        <v/>
      </c>
      <c r="AC81" s="27">
        <f>IF(ISNUMBER($P81),COUNTIFS($A$14:$A$1213,$A81,$P$14:$P$1213,"&gt;"&amp;$P81)+(COUNTIFS($A$14:$A$1213,$A81,$P$14:$P$1213,"="&amp;$P81)+1)/2,"")</f>
        <v/>
      </c>
      <c r="AD81" s="27">
        <f>IF(ISNUMBER($Q81),COUNTIFS($A$14:$A$1213,$A81,$Q$14:$Q$1213,"&gt;"&amp;$Q81)+(COUNTIFS($A$14:$A$1213,$A81,$Q$14:$Q$1213,"="&amp;$Q81)+1)/2,"")</f>
        <v/>
      </c>
      <c r="AE81" s="27">
        <f>IF(ISNUMBER($R81),COUNTIFS($A$14:$A$1213,$A81,$R$14:$R$1213,"&gt;"&amp;$R81)+(COUNTIFS($A$14:$A$1213,$A81,$R$14:$R$1213,"="&amp;$R81)+1)/2,"")</f>
        <v/>
      </c>
      <c r="AF81" s="27">
        <f>IF(ISNUMBER($S81),COUNTIFS($A$14:$A$1213,$A81,$S$14:$S$1213,"&gt;"&amp;$S81)+(COUNTIFS($A$14:$A$1213,$A81,$S$14:$S$1213,"="&amp;$S81)+1)/2,"")</f>
        <v/>
      </c>
      <c r="AG81" s="27">
        <f>IF(ISNUMBER($T81),COUNTIFS($A$14:$A$1213,$A81,$T$14:$T$1213,"&gt;"&amp;$T81)+(COUNTIFS($A$14:$A$1213,$A81,$T$14:$T$1213,"="&amp;$T81)+1)/2,"")</f>
        <v/>
      </c>
      <c r="AH81" s="27">
        <f>IF(COUNT($AC81:$AG81)&lt;2,"",IF(MAX($AC81:$AG81)=MIN($AC81:$AG81),0,1))</f>
        <v/>
      </c>
      <c r="AI81" s="27">
        <f>IF($A81="","",IF(COUNTIF($A$14:$A81,$A81)=1,COUNTIF($AI$13:AI80,"&gt;0")+1,""))</f>
        <v/>
      </c>
      <c r="AJ81" s="27">
        <f>IF(OR($H81="",COUNTIFS($A$14:$A$1213,$H81,$F$14:$F$1213,"&gt;=0")&lt;2,COUNTIFS($A$14:$A$1213,$H81,$F$14:$F$1213,_xlfn.MAXIFS($F$14:$F$1213,$A$14:$A$1213,$H81))&gt;1),"",IFERROR(INDEX($D$14:$D$1213,MATCH($H81&amp;"|"&amp;_xlfn.MAXIFS($F$14:$F$1213,$A$14:$A$1213,$H81),$AB$14:$AB$1213,0)),""))</f>
        <v/>
      </c>
      <c r="AK81" s="27">
        <f>IF(OR($H81="",COUNTIFS($A$14:$A$1213,$H81,$F$14:$F$1213,"&gt;=0")&lt;2,COUNTIFS($A$14:$A$1213,$H81,$F$14:$F$1213,_xlfn.MAXIFS($F$14:$F$1213,$A$14:$A$1213,$H81))&gt;1),"",IFERROR(INDEX($E$14:$E$1213,MATCH($H81&amp;"|"&amp;_xlfn.MAXIFS($F$14:$F$1213,$A$14:$A$1213,$H81),$AB$14:$AB$1213,0)),""))</f>
        <v/>
      </c>
      <c r="AL81" s="27">
        <f>IF(OR($H81="",COUNTIFS($A$14:$A$1213,$H81,$F$14:$F$1213,"&gt;=0")&lt;2,COUNTIFS($A$14:$A$1213,$H81,$F$14:$F$1213,_xlfn.MAXIFS($F$14:$F$1213,$A$14:$A$1213,$H81))&gt;1),"",IFERROR(INDEX($D$14:$D$1213,MATCH($H81&amp;"|"&amp;_xlfn.MAXIFS($F$14:$F$1213,$A$14:$A$1213,$H81,$F$14:$F$1213,"&lt;"&amp;_xlfn.MAXIFS($F$14:$F$1213,$A$14:$A$1213,$H81)),$AB$14:$AB$1213,0)),""))</f>
        <v/>
      </c>
      <c r="AM81" s="27">
        <f>IF(OR($H81="",COUNTIFS($A$14:$A$1213,$H81,$F$14:$F$1213,"&gt;=0")&lt;2,COUNTIFS($A$14:$A$1213,$H81,$F$14:$F$1213,_xlfn.MAXIFS($F$14:$F$1213,$A$14:$A$1213,$H81))&gt;1),"",IFERROR(INDEX($E$14:$E$1213,MATCH($H81&amp;"|"&amp;_xlfn.MAXIFS($F$14:$F$1213,$A$14:$A$1213,$H81,$F$14:$F$1213,"&lt;"&amp;_xlfn.MAXIFS($F$14:$F$1213,$A$14:$A$1213,$H81)),$AB$14:$AB$1213,0)),""))</f>
        <v/>
      </c>
      <c r="AN81" s="27">
        <f>IF(OR(NOT(ISNUMBER($AJ81)),NOT(ISNUMBER($AL81)),$AK81=0,$AM81=0),"",IF(OR((($AJ81+$AL81)/($AK81+$AM81))&lt;=0,(($AJ81+$AL81)/($AK81+$AM81))&gt;=1),"",($AJ81/$AK81-$AL81/$AM81)/SQRT((($AJ81+$AL81)/($AK81+$AM81))*(1-(($AJ81+$AL81)/($AK81+$AM81)))*(1/$AK81+1/$AM81))))</f>
        <v/>
      </c>
      <c r="AO81" s="27">
        <f>IF($A81="","",IF(AND(COUNTIFS($A$14:$A$1213,$A81,$F$14:$F$1213,"&gt;=0")=2,IFERROR(INDEX($M$14:$M$313,MATCH($A81,$H$14:$H$313,0)),"Yes")&lt;&gt;"Yes"),1,0))</f>
        <v/>
      </c>
    </row>
    <row r="82" ht="24" customHeight="1">
      <c r="A82" s="19" t="n"/>
      <c r="B82" s="20" t="n"/>
      <c r="C82" s="21">
        <f>IFERROR(AVERAGE(P82:T82),"")</f>
        <v/>
      </c>
      <c r="D82" s="29" t="n"/>
      <c r="E82" s="29" t="n"/>
      <c r="F82" s="30">
        <f>IF(AND(ISNUMBER($D82),ISNUMBER($E82),$E82&gt;0,$D82&lt;=$E82),$D82/$E82,"")</f>
        <v/>
      </c>
      <c r="H82" s="19">
        <f>IFERROR(INDEX($A$14:$A$1213,MATCH(69,$AI$14:$AI$1213,0)),"")</f>
        <v/>
      </c>
      <c r="I82" s="24">
        <f>IF($H82="","",IF(COUNTIFS($A$14:$A$1213,$H82,$C$14:$C$1213,"&gt;=0")=0,"—",IFERROR(INDEX($B$14:$B$1213,MATCH($H82&amp;"|1",$Z$14:$Z$1213,0)),"(tied)")))</f>
        <v/>
      </c>
      <c r="J82" s="25">
        <f>IF($H82="","",IF(OR(COUNTIFS($A$14:$A$1213,$H82,$C$14:$C$1213,"&gt;=0")=0,COUNTIFS($A$14:$A$1213,$H82,$F$14:$F$1213,"&gt;=0")=0),"—",IF(OR(ISERROR(MATCH($H82&amp;"|1",$Z$14:$Z$1213,0)),ISERROR(MATCH($H82&amp;"|1",$AA$14:$AA$1213,0))),"Tie",IF(MATCH($H82&amp;"|1",$Z$14:$Z$1213,0)=MATCH($H82&amp;"|1",$AA$14:$AA$1213,0),"Hit","Miss"))))</f>
        <v/>
      </c>
      <c r="K82" s="24">
        <f>IF($H82="","",IF(COUNTIFS($A$14:$A$1213,$H82,$F$14:$F$1213,"&gt;=0")=0,"—",IFERROR(INDEX($B$14:$B$1213,MATCH($H82&amp;"|1",$AA$14:$AA$1213,0)),"(tied)")))</f>
        <v/>
      </c>
      <c r="L82" s="25">
        <f>IF($H82="","",IF((--(COUNTIFS($A$14:$A$1213,$H82,$P$14:$P$1213,"&gt;=0")&gt;0)+--(COUNTIFS($A$14:$A$1213,$H82,$Q$14:$Q$1213,"&gt;=0")&gt;0)+--(COUNTIFS($A$14:$A$1213,$H82,$R$14:$R$1213,"&gt;=0")&gt;0)+--(COUNTIFS($A$14:$A$1213,$H82,$S$14:$S$1213,"&gt;=0")&gt;0)+--(COUNTIFS($A$14:$A$1213,$H82,$T$14:$T$1213,"&gt;=0")&gt;0))&lt;2,"—",IF(SUMIFS($AH$14:$AH$1213,$A$14:$A$1213,$H82)=0,"Yes","No")))</f>
        <v/>
      </c>
      <c r="M82" s="25">
        <f>IF($H82="","",IF(COUNTIFS($A$14:$A$1213,$H82,$F$14:$F$1213,"&gt;=0")&lt;2,"—",IF(COUNTIFS($A$14:$A$1213,$H82,$F$14:$F$1213,_xlfn.MAXIFS($F$14:$F$1213,$A$14:$A$1213,$H82))&gt;1,"No",IF(NOT(ISNUMBER($AN82)),"—",IF((2*(1-NORMSDIST(ABS($AN82))))&lt;0.05,"Yes","No")))))</f>
        <v/>
      </c>
      <c r="N82" s="21">
        <f>IF($H82="","",IF(NOT(ISNUMBER($AN82)),"—",IF((2*(1-NORMSDIST(ABS($AN82))))&lt;0.001,"&lt;0.001",TEXT((2*(1-NORMSDIST(ABS($AN82)))),"0.000"))))</f>
        <v/>
      </c>
      <c r="P82" s="26" t="n"/>
      <c r="Q82" s="26" t="n"/>
      <c r="R82" s="26" t="n"/>
      <c r="S82" s="26" t="n"/>
      <c r="T82" s="26" t="n"/>
      <c r="V82" s="27">
        <f>IF(ISNUMBER($C82),COUNTIFS($A$14:$A$1213,$A82,$C$14:$C$1213,"&gt;"&amp;$C82)+(COUNTIFS($A$14:$A$1213,$A82,$C$14:$C$1213,"="&amp;$C82)+1)/2,"")</f>
        <v/>
      </c>
      <c r="W82" s="27">
        <f>IF(ISNUMBER($F82),COUNTIFS($A$14:$A$1213,$A82,$F$14:$F$1213,"&gt;"&amp;$F82)+(COUNTIFS($A$14:$A$1213,$A82,$F$14:$F$1213,"="&amp;$F82)+1)/2,"")</f>
        <v/>
      </c>
      <c r="X82" s="27">
        <f>IF(OR(NOT(ISNUMBER($V82)),$AO82=1),"",$V82-(COUNTIFS($A$14:$A$1213,$A82,$C$14:$C$1213,"&gt;=0")+1)/2)</f>
        <v/>
      </c>
      <c r="Y82" s="27">
        <f>IF(OR(NOT(ISNUMBER($W82)),$AO82=1),"",$W82-(COUNTIFS($A$14:$A$1213,$A82,$F$14:$F$1213,"&gt;=0")+1)/2)</f>
        <v/>
      </c>
      <c r="Z82" s="27">
        <f>IF(ISNUMBER($V82),$A82&amp;"|"&amp;$V82,"")</f>
        <v/>
      </c>
      <c r="AA82" s="27">
        <f>IF(ISNUMBER($W82),$A82&amp;"|"&amp;$W82,"")</f>
        <v/>
      </c>
      <c r="AB82" s="27">
        <f>IF(ISNUMBER($F82),$A82&amp;"|"&amp;$F82,"")</f>
        <v/>
      </c>
      <c r="AC82" s="27">
        <f>IF(ISNUMBER($P82),COUNTIFS($A$14:$A$1213,$A82,$P$14:$P$1213,"&gt;"&amp;$P82)+(COUNTIFS($A$14:$A$1213,$A82,$P$14:$P$1213,"="&amp;$P82)+1)/2,"")</f>
        <v/>
      </c>
      <c r="AD82" s="27">
        <f>IF(ISNUMBER($Q82),COUNTIFS($A$14:$A$1213,$A82,$Q$14:$Q$1213,"&gt;"&amp;$Q82)+(COUNTIFS($A$14:$A$1213,$A82,$Q$14:$Q$1213,"="&amp;$Q82)+1)/2,"")</f>
        <v/>
      </c>
      <c r="AE82" s="27">
        <f>IF(ISNUMBER($R82),COUNTIFS($A$14:$A$1213,$A82,$R$14:$R$1213,"&gt;"&amp;$R82)+(COUNTIFS($A$14:$A$1213,$A82,$R$14:$R$1213,"="&amp;$R82)+1)/2,"")</f>
        <v/>
      </c>
      <c r="AF82" s="27">
        <f>IF(ISNUMBER($S82),COUNTIFS($A$14:$A$1213,$A82,$S$14:$S$1213,"&gt;"&amp;$S82)+(COUNTIFS($A$14:$A$1213,$A82,$S$14:$S$1213,"="&amp;$S82)+1)/2,"")</f>
        <v/>
      </c>
      <c r="AG82" s="27">
        <f>IF(ISNUMBER($T82),COUNTIFS($A$14:$A$1213,$A82,$T$14:$T$1213,"&gt;"&amp;$T82)+(COUNTIFS($A$14:$A$1213,$A82,$T$14:$T$1213,"="&amp;$T82)+1)/2,"")</f>
        <v/>
      </c>
      <c r="AH82" s="27">
        <f>IF(COUNT($AC82:$AG82)&lt;2,"",IF(MAX($AC82:$AG82)=MIN($AC82:$AG82),0,1))</f>
        <v/>
      </c>
      <c r="AI82" s="27">
        <f>IF($A82="","",IF(COUNTIF($A$14:$A82,$A82)=1,COUNTIF($AI$13:AI81,"&gt;0")+1,""))</f>
        <v/>
      </c>
      <c r="AJ82" s="27">
        <f>IF(OR($H82="",COUNTIFS($A$14:$A$1213,$H82,$F$14:$F$1213,"&gt;=0")&lt;2,COUNTIFS($A$14:$A$1213,$H82,$F$14:$F$1213,_xlfn.MAXIFS($F$14:$F$1213,$A$14:$A$1213,$H82))&gt;1),"",IFERROR(INDEX($D$14:$D$1213,MATCH($H82&amp;"|"&amp;_xlfn.MAXIFS($F$14:$F$1213,$A$14:$A$1213,$H82),$AB$14:$AB$1213,0)),""))</f>
        <v/>
      </c>
      <c r="AK82" s="27">
        <f>IF(OR($H82="",COUNTIFS($A$14:$A$1213,$H82,$F$14:$F$1213,"&gt;=0")&lt;2,COUNTIFS($A$14:$A$1213,$H82,$F$14:$F$1213,_xlfn.MAXIFS($F$14:$F$1213,$A$14:$A$1213,$H82))&gt;1),"",IFERROR(INDEX($E$14:$E$1213,MATCH($H82&amp;"|"&amp;_xlfn.MAXIFS($F$14:$F$1213,$A$14:$A$1213,$H82),$AB$14:$AB$1213,0)),""))</f>
        <v/>
      </c>
      <c r="AL82" s="27">
        <f>IF(OR($H82="",COUNTIFS($A$14:$A$1213,$H82,$F$14:$F$1213,"&gt;=0")&lt;2,COUNTIFS($A$14:$A$1213,$H82,$F$14:$F$1213,_xlfn.MAXIFS($F$14:$F$1213,$A$14:$A$1213,$H82))&gt;1),"",IFERROR(INDEX($D$14:$D$1213,MATCH($H82&amp;"|"&amp;_xlfn.MAXIFS($F$14:$F$1213,$A$14:$A$1213,$H82,$F$14:$F$1213,"&lt;"&amp;_xlfn.MAXIFS($F$14:$F$1213,$A$14:$A$1213,$H82)),$AB$14:$AB$1213,0)),""))</f>
        <v/>
      </c>
      <c r="AM82" s="27">
        <f>IF(OR($H82="",COUNTIFS($A$14:$A$1213,$H82,$F$14:$F$1213,"&gt;=0")&lt;2,COUNTIFS($A$14:$A$1213,$H82,$F$14:$F$1213,_xlfn.MAXIFS($F$14:$F$1213,$A$14:$A$1213,$H82))&gt;1),"",IFERROR(INDEX($E$14:$E$1213,MATCH($H82&amp;"|"&amp;_xlfn.MAXIFS($F$14:$F$1213,$A$14:$A$1213,$H82,$F$14:$F$1213,"&lt;"&amp;_xlfn.MAXIFS($F$14:$F$1213,$A$14:$A$1213,$H82)),$AB$14:$AB$1213,0)),""))</f>
        <v/>
      </c>
      <c r="AN82" s="27">
        <f>IF(OR(NOT(ISNUMBER($AJ82)),NOT(ISNUMBER($AL82)),$AK82=0,$AM82=0),"",IF(OR((($AJ82+$AL82)/($AK82+$AM82))&lt;=0,(($AJ82+$AL82)/($AK82+$AM82))&gt;=1),"",($AJ82/$AK82-$AL82/$AM82)/SQRT((($AJ82+$AL82)/($AK82+$AM82))*(1-(($AJ82+$AL82)/($AK82+$AM82)))*(1/$AK82+1/$AM82))))</f>
        <v/>
      </c>
      <c r="AO82" s="27">
        <f>IF($A82="","",IF(AND(COUNTIFS($A$14:$A$1213,$A82,$F$14:$F$1213,"&gt;=0")=2,IFERROR(INDEX($M$14:$M$313,MATCH($A82,$H$14:$H$313,0)),"Yes")&lt;&gt;"Yes"),1,0))</f>
        <v/>
      </c>
    </row>
    <row r="83" ht="24" customHeight="1">
      <c r="A83" s="19" t="n"/>
      <c r="B83" s="20" t="n"/>
      <c r="C83" s="21">
        <f>IFERROR(AVERAGE(P83:T83),"")</f>
        <v/>
      </c>
      <c r="D83" s="29" t="n"/>
      <c r="E83" s="29" t="n"/>
      <c r="F83" s="30">
        <f>IF(AND(ISNUMBER($D83),ISNUMBER($E83),$E83&gt;0,$D83&lt;=$E83),$D83/$E83,"")</f>
        <v/>
      </c>
      <c r="H83" s="19">
        <f>IFERROR(INDEX($A$14:$A$1213,MATCH(70,$AI$14:$AI$1213,0)),"")</f>
        <v/>
      </c>
      <c r="I83" s="24">
        <f>IF($H83="","",IF(COUNTIFS($A$14:$A$1213,$H83,$C$14:$C$1213,"&gt;=0")=0,"—",IFERROR(INDEX($B$14:$B$1213,MATCH($H83&amp;"|1",$Z$14:$Z$1213,0)),"(tied)")))</f>
        <v/>
      </c>
      <c r="J83" s="25">
        <f>IF($H83="","",IF(OR(COUNTIFS($A$14:$A$1213,$H83,$C$14:$C$1213,"&gt;=0")=0,COUNTIFS($A$14:$A$1213,$H83,$F$14:$F$1213,"&gt;=0")=0),"—",IF(OR(ISERROR(MATCH($H83&amp;"|1",$Z$14:$Z$1213,0)),ISERROR(MATCH($H83&amp;"|1",$AA$14:$AA$1213,0))),"Tie",IF(MATCH($H83&amp;"|1",$Z$14:$Z$1213,0)=MATCH($H83&amp;"|1",$AA$14:$AA$1213,0),"Hit","Miss"))))</f>
        <v/>
      </c>
      <c r="K83" s="24">
        <f>IF($H83="","",IF(COUNTIFS($A$14:$A$1213,$H83,$F$14:$F$1213,"&gt;=0")=0,"—",IFERROR(INDEX($B$14:$B$1213,MATCH($H83&amp;"|1",$AA$14:$AA$1213,0)),"(tied)")))</f>
        <v/>
      </c>
      <c r="L83" s="25">
        <f>IF($H83="","",IF((--(COUNTIFS($A$14:$A$1213,$H83,$P$14:$P$1213,"&gt;=0")&gt;0)+--(COUNTIFS($A$14:$A$1213,$H83,$Q$14:$Q$1213,"&gt;=0")&gt;0)+--(COUNTIFS($A$14:$A$1213,$H83,$R$14:$R$1213,"&gt;=0")&gt;0)+--(COUNTIFS($A$14:$A$1213,$H83,$S$14:$S$1213,"&gt;=0")&gt;0)+--(COUNTIFS($A$14:$A$1213,$H83,$T$14:$T$1213,"&gt;=0")&gt;0))&lt;2,"—",IF(SUMIFS($AH$14:$AH$1213,$A$14:$A$1213,$H83)=0,"Yes","No")))</f>
        <v/>
      </c>
      <c r="M83" s="25">
        <f>IF($H83="","",IF(COUNTIFS($A$14:$A$1213,$H83,$F$14:$F$1213,"&gt;=0")&lt;2,"—",IF(COUNTIFS($A$14:$A$1213,$H83,$F$14:$F$1213,_xlfn.MAXIFS($F$14:$F$1213,$A$14:$A$1213,$H83))&gt;1,"No",IF(NOT(ISNUMBER($AN83)),"—",IF((2*(1-NORMSDIST(ABS($AN83))))&lt;0.05,"Yes","No")))))</f>
        <v/>
      </c>
      <c r="N83" s="21">
        <f>IF($H83="","",IF(NOT(ISNUMBER($AN83)),"—",IF((2*(1-NORMSDIST(ABS($AN83))))&lt;0.001,"&lt;0.001",TEXT((2*(1-NORMSDIST(ABS($AN83)))),"0.000"))))</f>
        <v/>
      </c>
      <c r="P83" s="26" t="n"/>
      <c r="Q83" s="26" t="n"/>
      <c r="R83" s="26" t="n"/>
      <c r="S83" s="26" t="n"/>
      <c r="T83" s="26" t="n"/>
      <c r="V83" s="27">
        <f>IF(ISNUMBER($C83),COUNTIFS($A$14:$A$1213,$A83,$C$14:$C$1213,"&gt;"&amp;$C83)+(COUNTIFS($A$14:$A$1213,$A83,$C$14:$C$1213,"="&amp;$C83)+1)/2,"")</f>
        <v/>
      </c>
      <c r="W83" s="27">
        <f>IF(ISNUMBER($F83),COUNTIFS($A$14:$A$1213,$A83,$F$14:$F$1213,"&gt;"&amp;$F83)+(COUNTIFS($A$14:$A$1213,$A83,$F$14:$F$1213,"="&amp;$F83)+1)/2,"")</f>
        <v/>
      </c>
      <c r="X83" s="27">
        <f>IF(OR(NOT(ISNUMBER($V83)),$AO83=1),"",$V83-(COUNTIFS($A$14:$A$1213,$A83,$C$14:$C$1213,"&gt;=0")+1)/2)</f>
        <v/>
      </c>
      <c r="Y83" s="27">
        <f>IF(OR(NOT(ISNUMBER($W83)),$AO83=1),"",$W83-(COUNTIFS($A$14:$A$1213,$A83,$F$14:$F$1213,"&gt;=0")+1)/2)</f>
        <v/>
      </c>
      <c r="Z83" s="27">
        <f>IF(ISNUMBER($V83),$A83&amp;"|"&amp;$V83,"")</f>
        <v/>
      </c>
      <c r="AA83" s="27">
        <f>IF(ISNUMBER($W83),$A83&amp;"|"&amp;$W83,"")</f>
        <v/>
      </c>
      <c r="AB83" s="27">
        <f>IF(ISNUMBER($F83),$A83&amp;"|"&amp;$F83,"")</f>
        <v/>
      </c>
      <c r="AC83" s="27">
        <f>IF(ISNUMBER($P83),COUNTIFS($A$14:$A$1213,$A83,$P$14:$P$1213,"&gt;"&amp;$P83)+(COUNTIFS($A$14:$A$1213,$A83,$P$14:$P$1213,"="&amp;$P83)+1)/2,"")</f>
        <v/>
      </c>
      <c r="AD83" s="27">
        <f>IF(ISNUMBER($Q83),COUNTIFS($A$14:$A$1213,$A83,$Q$14:$Q$1213,"&gt;"&amp;$Q83)+(COUNTIFS($A$14:$A$1213,$A83,$Q$14:$Q$1213,"="&amp;$Q83)+1)/2,"")</f>
        <v/>
      </c>
      <c r="AE83" s="27">
        <f>IF(ISNUMBER($R83),COUNTIFS($A$14:$A$1213,$A83,$R$14:$R$1213,"&gt;"&amp;$R83)+(COUNTIFS($A$14:$A$1213,$A83,$R$14:$R$1213,"="&amp;$R83)+1)/2,"")</f>
        <v/>
      </c>
      <c r="AF83" s="27">
        <f>IF(ISNUMBER($S83),COUNTIFS($A$14:$A$1213,$A83,$S$14:$S$1213,"&gt;"&amp;$S83)+(COUNTIFS($A$14:$A$1213,$A83,$S$14:$S$1213,"="&amp;$S83)+1)/2,"")</f>
        <v/>
      </c>
      <c r="AG83" s="27">
        <f>IF(ISNUMBER($T83),COUNTIFS($A$14:$A$1213,$A83,$T$14:$T$1213,"&gt;"&amp;$T83)+(COUNTIFS($A$14:$A$1213,$A83,$T$14:$T$1213,"="&amp;$T83)+1)/2,"")</f>
        <v/>
      </c>
      <c r="AH83" s="27">
        <f>IF(COUNT($AC83:$AG83)&lt;2,"",IF(MAX($AC83:$AG83)=MIN($AC83:$AG83),0,1))</f>
        <v/>
      </c>
      <c r="AI83" s="27">
        <f>IF($A83="","",IF(COUNTIF($A$14:$A83,$A83)=1,COUNTIF($AI$13:AI82,"&gt;0")+1,""))</f>
        <v/>
      </c>
      <c r="AJ83" s="27">
        <f>IF(OR($H83="",COUNTIFS($A$14:$A$1213,$H83,$F$14:$F$1213,"&gt;=0")&lt;2,COUNTIFS($A$14:$A$1213,$H83,$F$14:$F$1213,_xlfn.MAXIFS($F$14:$F$1213,$A$14:$A$1213,$H83))&gt;1),"",IFERROR(INDEX($D$14:$D$1213,MATCH($H83&amp;"|"&amp;_xlfn.MAXIFS($F$14:$F$1213,$A$14:$A$1213,$H83),$AB$14:$AB$1213,0)),""))</f>
        <v/>
      </c>
      <c r="AK83" s="27">
        <f>IF(OR($H83="",COUNTIFS($A$14:$A$1213,$H83,$F$14:$F$1213,"&gt;=0")&lt;2,COUNTIFS($A$14:$A$1213,$H83,$F$14:$F$1213,_xlfn.MAXIFS($F$14:$F$1213,$A$14:$A$1213,$H83))&gt;1),"",IFERROR(INDEX($E$14:$E$1213,MATCH($H83&amp;"|"&amp;_xlfn.MAXIFS($F$14:$F$1213,$A$14:$A$1213,$H83),$AB$14:$AB$1213,0)),""))</f>
        <v/>
      </c>
      <c r="AL83" s="27">
        <f>IF(OR($H83="",COUNTIFS($A$14:$A$1213,$H83,$F$14:$F$1213,"&gt;=0")&lt;2,COUNTIFS($A$14:$A$1213,$H83,$F$14:$F$1213,_xlfn.MAXIFS($F$14:$F$1213,$A$14:$A$1213,$H83))&gt;1),"",IFERROR(INDEX($D$14:$D$1213,MATCH($H83&amp;"|"&amp;_xlfn.MAXIFS($F$14:$F$1213,$A$14:$A$1213,$H83,$F$14:$F$1213,"&lt;"&amp;_xlfn.MAXIFS($F$14:$F$1213,$A$14:$A$1213,$H83)),$AB$14:$AB$1213,0)),""))</f>
        <v/>
      </c>
      <c r="AM83" s="27">
        <f>IF(OR($H83="",COUNTIFS($A$14:$A$1213,$H83,$F$14:$F$1213,"&gt;=0")&lt;2,COUNTIFS($A$14:$A$1213,$H83,$F$14:$F$1213,_xlfn.MAXIFS($F$14:$F$1213,$A$14:$A$1213,$H83))&gt;1),"",IFERROR(INDEX($E$14:$E$1213,MATCH($H83&amp;"|"&amp;_xlfn.MAXIFS($F$14:$F$1213,$A$14:$A$1213,$H83,$F$14:$F$1213,"&lt;"&amp;_xlfn.MAXIFS($F$14:$F$1213,$A$14:$A$1213,$H83)),$AB$14:$AB$1213,0)),""))</f>
        <v/>
      </c>
      <c r="AN83" s="27">
        <f>IF(OR(NOT(ISNUMBER($AJ83)),NOT(ISNUMBER($AL83)),$AK83=0,$AM83=0),"",IF(OR((($AJ83+$AL83)/($AK83+$AM83))&lt;=0,(($AJ83+$AL83)/($AK83+$AM83))&gt;=1),"",($AJ83/$AK83-$AL83/$AM83)/SQRT((($AJ83+$AL83)/($AK83+$AM83))*(1-(($AJ83+$AL83)/($AK83+$AM83)))*(1/$AK83+1/$AM83))))</f>
        <v/>
      </c>
      <c r="AO83" s="27">
        <f>IF($A83="","",IF(AND(COUNTIFS($A$14:$A$1213,$A83,$F$14:$F$1213,"&gt;=0")=2,IFERROR(INDEX($M$14:$M$313,MATCH($A83,$H$14:$H$313,0)),"Yes")&lt;&gt;"Yes"),1,0))</f>
        <v/>
      </c>
    </row>
    <row r="84" ht="24" customHeight="1">
      <c r="A84" s="19" t="n"/>
      <c r="B84" s="20" t="n"/>
      <c r="C84" s="21">
        <f>IFERROR(AVERAGE(P84:T84),"")</f>
        <v/>
      </c>
      <c r="D84" s="29" t="n"/>
      <c r="E84" s="29" t="n"/>
      <c r="F84" s="30">
        <f>IF(AND(ISNUMBER($D84),ISNUMBER($E84),$E84&gt;0,$D84&lt;=$E84),$D84/$E84,"")</f>
        <v/>
      </c>
      <c r="H84" s="19">
        <f>IFERROR(INDEX($A$14:$A$1213,MATCH(71,$AI$14:$AI$1213,0)),"")</f>
        <v/>
      </c>
      <c r="I84" s="24">
        <f>IF($H84="","",IF(COUNTIFS($A$14:$A$1213,$H84,$C$14:$C$1213,"&gt;=0")=0,"—",IFERROR(INDEX($B$14:$B$1213,MATCH($H84&amp;"|1",$Z$14:$Z$1213,0)),"(tied)")))</f>
        <v/>
      </c>
      <c r="J84" s="25">
        <f>IF($H84="","",IF(OR(COUNTIFS($A$14:$A$1213,$H84,$C$14:$C$1213,"&gt;=0")=0,COUNTIFS($A$14:$A$1213,$H84,$F$14:$F$1213,"&gt;=0")=0),"—",IF(OR(ISERROR(MATCH($H84&amp;"|1",$Z$14:$Z$1213,0)),ISERROR(MATCH($H84&amp;"|1",$AA$14:$AA$1213,0))),"Tie",IF(MATCH($H84&amp;"|1",$Z$14:$Z$1213,0)=MATCH($H84&amp;"|1",$AA$14:$AA$1213,0),"Hit","Miss"))))</f>
        <v/>
      </c>
      <c r="K84" s="24">
        <f>IF($H84="","",IF(COUNTIFS($A$14:$A$1213,$H84,$F$14:$F$1213,"&gt;=0")=0,"—",IFERROR(INDEX($B$14:$B$1213,MATCH($H84&amp;"|1",$AA$14:$AA$1213,0)),"(tied)")))</f>
        <v/>
      </c>
      <c r="L84" s="25">
        <f>IF($H84="","",IF((--(COUNTIFS($A$14:$A$1213,$H84,$P$14:$P$1213,"&gt;=0")&gt;0)+--(COUNTIFS($A$14:$A$1213,$H84,$Q$14:$Q$1213,"&gt;=0")&gt;0)+--(COUNTIFS($A$14:$A$1213,$H84,$R$14:$R$1213,"&gt;=0")&gt;0)+--(COUNTIFS($A$14:$A$1213,$H84,$S$14:$S$1213,"&gt;=0")&gt;0)+--(COUNTIFS($A$14:$A$1213,$H84,$T$14:$T$1213,"&gt;=0")&gt;0))&lt;2,"—",IF(SUMIFS($AH$14:$AH$1213,$A$14:$A$1213,$H84)=0,"Yes","No")))</f>
        <v/>
      </c>
      <c r="M84" s="25">
        <f>IF($H84="","",IF(COUNTIFS($A$14:$A$1213,$H84,$F$14:$F$1213,"&gt;=0")&lt;2,"—",IF(COUNTIFS($A$14:$A$1213,$H84,$F$14:$F$1213,_xlfn.MAXIFS($F$14:$F$1213,$A$14:$A$1213,$H84))&gt;1,"No",IF(NOT(ISNUMBER($AN84)),"—",IF((2*(1-NORMSDIST(ABS($AN84))))&lt;0.05,"Yes","No")))))</f>
        <v/>
      </c>
      <c r="N84" s="21">
        <f>IF($H84="","",IF(NOT(ISNUMBER($AN84)),"—",IF((2*(1-NORMSDIST(ABS($AN84))))&lt;0.001,"&lt;0.001",TEXT((2*(1-NORMSDIST(ABS($AN84)))),"0.000"))))</f>
        <v/>
      </c>
      <c r="P84" s="26" t="n"/>
      <c r="Q84" s="26" t="n"/>
      <c r="R84" s="26" t="n"/>
      <c r="S84" s="26" t="n"/>
      <c r="T84" s="26" t="n"/>
      <c r="V84" s="27">
        <f>IF(ISNUMBER($C84),COUNTIFS($A$14:$A$1213,$A84,$C$14:$C$1213,"&gt;"&amp;$C84)+(COUNTIFS($A$14:$A$1213,$A84,$C$14:$C$1213,"="&amp;$C84)+1)/2,"")</f>
        <v/>
      </c>
      <c r="W84" s="27">
        <f>IF(ISNUMBER($F84),COUNTIFS($A$14:$A$1213,$A84,$F$14:$F$1213,"&gt;"&amp;$F84)+(COUNTIFS($A$14:$A$1213,$A84,$F$14:$F$1213,"="&amp;$F84)+1)/2,"")</f>
        <v/>
      </c>
      <c r="X84" s="27">
        <f>IF(OR(NOT(ISNUMBER($V84)),$AO84=1),"",$V84-(COUNTIFS($A$14:$A$1213,$A84,$C$14:$C$1213,"&gt;=0")+1)/2)</f>
        <v/>
      </c>
      <c r="Y84" s="27">
        <f>IF(OR(NOT(ISNUMBER($W84)),$AO84=1),"",$W84-(COUNTIFS($A$14:$A$1213,$A84,$F$14:$F$1213,"&gt;=0")+1)/2)</f>
        <v/>
      </c>
      <c r="Z84" s="27">
        <f>IF(ISNUMBER($V84),$A84&amp;"|"&amp;$V84,"")</f>
        <v/>
      </c>
      <c r="AA84" s="27">
        <f>IF(ISNUMBER($W84),$A84&amp;"|"&amp;$W84,"")</f>
        <v/>
      </c>
      <c r="AB84" s="27">
        <f>IF(ISNUMBER($F84),$A84&amp;"|"&amp;$F84,"")</f>
        <v/>
      </c>
      <c r="AC84" s="27">
        <f>IF(ISNUMBER($P84),COUNTIFS($A$14:$A$1213,$A84,$P$14:$P$1213,"&gt;"&amp;$P84)+(COUNTIFS($A$14:$A$1213,$A84,$P$14:$P$1213,"="&amp;$P84)+1)/2,"")</f>
        <v/>
      </c>
      <c r="AD84" s="27">
        <f>IF(ISNUMBER($Q84),COUNTIFS($A$14:$A$1213,$A84,$Q$14:$Q$1213,"&gt;"&amp;$Q84)+(COUNTIFS($A$14:$A$1213,$A84,$Q$14:$Q$1213,"="&amp;$Q84)+1)/2,"")</f>
        <v/>
      </c>
      <c r="AE84" s="27">
        <f>IF(ISNUMBER($R84),COUNTIFS($A$14:$A$1213,$A84,$R$14:$R$1213,"&gt;"&amp;$R84)+(COUNTIFS($A$14:$A$1213,$A84,$R$14:$R$1213,"="&amp;$R84)+1)/2,"")</f>
        <v/>
      </c>
      <c r="AF84" s="27">
        <f>IF(ISNUMBER($S84),COUNTIFS($A$14:$A$1213,$A84,$S$14:$S$1213,"&gt;"&amp;$S84)+(COUNTIFS($A$14:$A$1213,$A84,$S$14:$S$1213,"="&amp;$S84)+1)/2,"")</f>
        <v/>
      </c>
      <c r="AG84" s="27">
        <f>IF(ISNUMBER($T84),COUNTIFS($A$14:$A$1213,$A84,$T$14:$T$1213,"&gt;"&amp;$T84)+(COUNTIFS($A$14:$A$1213,$A84,$T$14:$T$1213,"="&amp;$T84)+1)/2,"")</f>
        <v/>
      </c>
      <c r="AH84" s="27">
        <f>IF(COUNT($AC84:$AG84)&lt;2,"",IF(MAX($AC84:$AG84)=MIN($AC84:$AG84),0,1))</f>
        <v/>
      </c>
      <c r="AI84" s="27">
        <f>IF($A84="","",IF(COUNTIF($A$14:$A84,$A84)=1,COUNTIF($AI$13:AI83,"&gt;0")+1,""))</f>
        <v/>
      </c>
      <c r="AJ84" s="27">
        <f>IF(OR($H84="",COUNTIFS($A$14:$A$1213,$H84,$F$14:$F$1213,"&gt;=0")&lt;2,COUNTIFS($A$14:$A$1213,$H84,$F$14:$F$1213,_xlfn.MAXIFS($F$14:$F$1213,$A$14:$A$1213,$H84))&gt;1),"",IFERROR(INDEX($D$14:$D$1213,MATCH($H84&amp;"|"&amp;_xlfn.MAXIFS($F$14:$F$1213,$A$14:$A$1213,$H84),$AB$14:$AB$1213,0)),""))</f>
        <v/>
      </c>
      <c r="AK84" s="27">
        <f>IF(OR($H84="",COUNTIFS($A$14:$A$1213,$H84,$F$14:$F$1213,"&gt;=0")&lt;2,COUNTIFS($A$14:$A$1213,$H84,$F$14:$F$1213,_xlfn.MAXIFS($F$14:$F$1213,$A$14:$A$1213,$H84))&gt;1),"",IFERROR(INDEX($E$14:$E$1213,MATCH($H84&amp;"|"&amp;_xlfn.MAXIFS($F$14:$F$1213,$A$14:$A$1213,$H84),$AB$14:$AB$1213,0)),""))</f>
        <v/>
      </c>
      <c r="AL84" s="27">
        <f>IF(OR($H84="",COUNTIFS($A$14:$A$1213,$H84,$F$14:$F$1213,"&gt;=0")&lt;2,COUNTIFS($A$14:$A$1213,$H84,$F$14:$F$1213,_xlfn.MAXIFS($F$14:$F$1213,$A$14:$A$1213,$H84))&gt;1),"",IFERROR(INDEX($D$14:$D$1213,MATCH($H84&amp;"|"&amp;_xlfn.MAXIFS($F$14:$F$1213,$A$14:$A$1213,$H84,$F$14:$F$1213,"&lt;"&amp;_xlfn.MAXIFS($F$14:$F$1213,$A$14:$A$1213,$H84)),$AB$14:$AB$1213,0)),""))</f>
        <v/>
      </c>
      <c r="AM84" s="27">
        <f>IF(OR($H84="",COUNTIFS($A$14:$A$1213,$H84,$F$14:$F$1213,"&gt;=0")&lt;2,COUNTIFS($A$14:$A$1213,$H84,$F$14:$F$1213,_xlfn.MAXIFS($F$14:$F$1213,$A$14:$A$1213,$H84))&gt;1),"",IFERROR(INDEX($E$14:$E$1213,MATCH($H84&amp;"|"&amp;_xlfn.MAXIFS($F$14:$F$1213,$A$14:$A$1213,$H84,$F$14:$F$1213,"&lt;"&amp;_xlfn.MAXIFS($F$14:$F$1213,$A$14:$A$1213,$H84)),$AB$14:$AB$1213,0)),""))</f>
        <v/>
      </c>
      <c r="AN84" s="27">
        <f>IF(OR(NOT(ISNUMBER($AJ84)),NOT(ISNUMBER($AL84)),$AK84=0,$AM84=0),"",IF(OR((($AJ84+$AL84)/($AK84+$AM84))&lt;=0,(($AJ84+$AL84)/($AK84+$AM84))&gt;=1),"",($AJ84/$AK84-$AL84/$AM84)/SQRT((($AJ84+$AL84)/($AK84+$AM84))*(1-(($AJ84+$AL84)/($AK84+$AM84)))*(1/$AK84+1/$AM84))))</f>
        <v/>
      </c>
      <c r="AO84" s="27">
        <f>IF($A84="","",IF(AND(COUNTIFS($A$14:$A$1213,$A84,$F$14:$F$1213,"&gt;=0")=2,IFERROR(INDEX($M$14:$M$313,MATCH($A84,$H$14:$H$313,0)),"Yes")&lt;&gt;"Yes"),1,0))</f>
        <v/>
      </c>
    </row>
    <row r="85" ht="24" customHeight="1">
      <c r="A85" s="19" t="n"/>
      <c r="B85" s="20" t="n"/>
      <c r="C85" s="21">
        <f>IFERROR(AVERAGE(P85:T85),"")</f>
        <v/>
      </c>
      <c r="D85" s="29" t="n"/>
      <c r="E85" s="29" t="n"/>
      <c r="F85" s="30">
        <f>IF(AND(ISNUMBER($D85),ISNUMBER($E85),$E85&gt;0,$D85&lt;=$E85),$D85/$E85,"")</f>
        <v/>
      </c>
      <c r="H85" s="19">
        <f>IFERROR(INDEX($A$14:$A$1213,MATCH(72,$AI$14:$AI$1213,0)),"")</f>
        <v/>
      </c>
      <c r="I85" s="24">
        <f>IF($H85="","",IF(COUNTIFS($A$14:$A$1213,$H85,$C$14:$C$1213,"&gt;=0")=0,"—",IFERROR(INDEX($B$14:$B$1213,MATCH($H85&amp;"|1",$Z$14:$Z$1213,0)),"(tied)")))</f>
        <v/>
      </c>
      <c r="J85" s="25">
        <f>IF($H85="","",IF(OR(COUNTIFS($A$14:$A$1213,$H85,$C$14:$C$1213,"&gt;=0")=0,COUNTIFS($A$14:$A$1213,$H85,$F$14:$F$1213,"&gt;=0")=0),"—",IF(OR(ISERROR(MATCH($H85&amp;"|1",$Z$14:$Z$1213,0)),ISERROR(MATCH($H85&amp;"|1",$AA$14:$AA$1213,0))),"Tie",IF(MATCH($H85&amp;"|1",$Z$14:$Z$1213,0)=MATCH($H85&amp;"|1",$AA$14:$AA$1213,0),"Hit","Miss"))))</f>
        <v/>
      </c>
      <c r="K85" s="24">
        <f>IF($H85="","",IF(COUNTIFS($A$14:$A$1213,$H85,$F$14:$F$1213,"&gt;=0")=0,"—",IFERROR(INDEX($B$14:$B$1213,MATCH($H85&amp;"|1",$AA$14:$AA$1213,0)),"(tied)")))</f>
        <v/>
      </c>
      <c r="L85" s="25">
        <f>IF($H85="","",IF((--(COUNTIFS($A$14:$A$1213,$H85,$P$14:$P$1213,"&gt;=0")&gt;0)+--(COUNTIFS($A$14:$A$1213,$H85,$Q$14:$Q$1213,"&gt;=0")&gt;0)+--(COUNTIFS($A$14:$A$1213,$H85,$R$14:$R$1213,"&gt;=0")&gt;0)+--(COUNTIFS($A$14:$A$1213,$H85,$S$14:$S$1213,"&gt;=0")&gt;0)+--(COUNTIFS($A$14:$A$1213,$H85,$T$14:$T$1213,"&gt;=0")&gt;0))&lt;2,"—",IF(SUMIFS($AH$14:$AH$1213,$A$14:$A$1213,$H85)=0,"Yes","No")))</f>
        <v/>
      </c>
      <c r="M85" s="25">
        <f>IF($H85="","",IF(COUNTIFS($A$14:$A$1213,$H85,$F$14:$F$1213,"&gt;=0")&lt;2,"—",IF(COUNTIFS($A$14:$A$1213,$H85,$F$14:$F$1213,_xlfn.MAXIFS($F$14:$F$1213,$A$14:$A$1213,$H85))&gt;1,"No",IF(NOT(ISNUMBER($AN85)),"—",IF((2*(1-NORMSDIST(ABS($AN85))))&lt;0.05,"Yes","No")))))</f>
        <v/>
      </c>
      <c r="N85" s="21">
        <f>IF($H85="","",IF(NOT(ISNUMBER($AN85)),"—",IF((2*(1-NORMSDIST(ABS($AN85))))&lt;0.001,"&lt;0.001",TEXT((2*(1-NORMSDIST(ABS($AN85)))),"0.000"))))</f>
        <v/>
      </c>
      <c r="P85" s="26" t="n"/>
      <c r="Q85" s="26" t="n"/>
      <c r="R85" s="26" t="n"/>
      <c r="S85" s="26" t="n"/>
      <c r="T85" s="26" t="n"/>
      <c r="V85" s="27">
        <f>IF(ISNUMBER($C85),COUNTIFS($A$14:$A$1213,$A85,$C$14:$C$1213,"&gt;"&amp;$C85)+(COUNTIFS($A$14:$A$1213,$A85,$C$14:$C$1213,"="&amp;$C85)+1)/2,"")</f>
        <v/>
      </c>
      <c r="W85" s="27">
        <f>IF(ISNUMBER($F85),COUNTIFS($A$14:$A$1213,$A85,$F$14:$F$1213,"&gt;"&amp;$F85)+(COUNTIFS($A$14:$A$1213,$A85,$F$14:$F$1213,"="&amp;$F85)+1)/2,"")</f>
        <v/>
      </c>
      <c r="X85" s="27">
        <f>IF(OR(NOT(ISNUMBER($V85)),$AO85=1),"",$V85-(COUNTIFS($A$14:$A$1213,$A85,$C$14:$C$1213,"&gt;=0")+1)/2)</f>
        <v/>
      </c>
      <c r="Y85" s="27">
        <f>IF(OR(NOT(ISNUMBER($W85)),$AO85=1),"",$W85-(COUNTIFS($A$14:$A$1213,$A85,$F$14:$F$1213,"&gt;=0")+1)/2)</f>
        <v/>
      </c>
      <c r="Z85" s="27">
        <f>IF(ISNUMBER($V85),$A85&amp;"|"&amp;$V85,"")</f>
        <v/>
      </c>
      <c r="AA85" s="27">
        <f>IF(ISNUMBER($W85),$A85&amp;"|"&amp;$W85,"")</f>
        <v/>
      </c>
      <c r="AB85" s="27">
        <f>IF(ISNUMBER($F85),$A85&amp;"|"&amp;$F85,"")</f>
        <v/>
      </c>
      <c r="AC85" s="27">
        <f>IF(ISNUMBER($P85),COUNTIFS($A$14:$A$1213,$A85,$P$14:$P$1213,"&gt;"&amp;$P85)+(COUNTIFS($A$14:$A$1213,$A85,$P$14:$P$1213,"="&amp;$P85)+1)/2,"")</f>
        <v/>
      </c>
      <c r="AD85" s="27">
        <f>IF(ISNUMBER($Q85),COUNTIFS($A$14:$A$1213,$A85,$Q$14:$Q$1213,"&gt;"&amp;$Q85)+(COUNTIFS($A$14:$A$1213,$A85,$Q$14:$Q$1213,"="&amp;$Q85)+1)/2,"")</f>
        <v/>
      </c>
      <c r="AE85" s="27">
        <f>IF(ISNUMBER($R85),COUNTIFS($A$14:$A$1213,$A85,$R$14:$R$1213,"&gt;"&amp;$R85)+(COUNTIFS($A$14:$A$1213,$A85,$R$14:$R$1213,"="&amp;$R85)+1)/2,"")</f>
        <v/>
      </c>
      <c r="AF85" s="27">
        <f>IF(ISNUMBER($S85),COUNTIFS($A$14:$A$1213,$A85,$S$14:$S$1213,"&gt;"&amp;$S85)+(COUNTIFS($A$14:$A$1213,$A85,$S$14:$S$1213,"="&amp;$S85)+1)/2,"")</f>
        <v/>
      </c>
      <c r="AG85" s="27">
        <f>IF(ISNUMBER($T85),COUNTIFS($A$14:$A$1213,$A85,$T$14:$T$1213,"&gt;"&amp;$T85)+(COUNTIFS($A$14:$A$1213,$A85,$T$14:$T$1213,"="&amp;$T85)+1)/2,"")</f>
        <v/>
      </c>
      <c r="AH85" s="27">
        <f>IF(COUNT($AC85:$AG85)&lt;2,"",IF(MAX($AC85:$AG85)=MIN($AC85:$AG85),0,1))</f>
        <v/>
      </c>
      <c r="AI85" s="27">
        <f>IF($A85="","",IF(COUNTIF($A$14:$A85,$A85)=1,COUNTIF($AI$13:AI84,"&gt;0")+1,""))</f>
        <v/>
      </c>
      <c r="AJ85" s="27">
        <f>IF(OR($H85="",COUNTIFS($A$14:$A$1213,$H85,$F$14:$F$1213,"&gt;=0")&lt;2,COUNTIFS($A$14:$A$1213,$H85,$F$14:$F$1213,_xlfn.MAXIFS($F$14:$F$1213,$A$14:$A$1213,$H85))&gt;1),"",IFERROR(INDEX($D$14:$D$1213,MATCH($H85&amp;"|"&amp;_xlfn.MAXIFS($F$14:$F$1213,$A$14:$A$1213,$H85),$AB$14:$AB$1213,0)),""))</f>
        <v/>
      </c>
      <c r="AK85" s="27">
        <f>IF(OR($H85="",COUNTIFS($A$14:$A$1213,$H85,$F$14:$F$1213,"&gt;=0")&lt;2,COUNTIFS($A$14:$A$1213,$H85,$F$14:$F$1213,_xlfn.MAXIFS($F$14:$F$1213,$A$14:$A$1213,$H85))&gt;1),"",IFERROR(INDEX($E$14:$E$1213,MATCH($H85&amp;"|"&amp;_xlfn.MAXIFS($F$14:$F$1213,$A$14:$A$1213,$H85),$AB$14:$AB$1213,0)),""))</f>
        <v/>
      </c>
      <c r="AL85" s="27">
        <f>IF(OR($H85="",COUNTIFS($A$14:$A$1213,$H85,$F$14:$F$1213,"&gt;=0")&lt;2,COUNTIFS($A$14:$A$1213,$H85,$F$14:$F$1213,_xlfn.MAXIFS($F$14:$F$1213,$A$14:$A$1213,$H85))&gt;1),"",IFERROR(INDEX($D$14:$D$1213,MATCH($H85&amp;"|"&amp;_xlfn.MAXIFS($F$14:$F$1213,$A$14:$A$1213,$H85,$F$14:$F$1213,"&lt;"&amp;_xlfn.MAXIFS($F$14:$F$1213,$A$14:$A$1213,$H85)),$AB$14:$AB$1213,0)),""))</f>
        <v/>
      </c>
      <c r="AM85" s="27">
        <f>IF(OR($H85="",COUNTIFS($A$14:$A$1213,$H85,$F$14:$F$1213,"&gt;=0")&lt;2,COUNTIFS($A$14:$A$1213,$H85,$F$14:$F$1213,_xlfn.MAXIFS($F$14:$F$1213,$A$14:$A$1213,$H85))&gt;1),"",IFERROR(INDEX($E$14:$E$1213,MATCH($H85&amp;"|"&amp;_xlfn.MAXIFS($F$14:$F$1213,$A$14:$A$1213,$H85,$F$14:$F$1213,"&lt;"&amp;_xlfn.MAXIFS($F$14:$F$1213,$A$14:$A$1213,$H85)),$AB$14:$AB$1213,0)),""))</f>
        <v/>
      </c>
      <c r="AN85" s="27">
        <f>IF(OR(NOT(ISNUMBER($AJ85)),NOT(ISNUMBER($AL85)),$AK85=0,$AM85=0),"",IF(OR((($AJ85+$AL85)/($AK85+$AM85))&lt;=0,(($AJ85+$AL85)/($AK85+$AM85))&gt;=1),"",($AJ85/$AK85-$AL85/$AM85)/SQRT((($AJ85+$AL85)/($AK85+$AM85))*(1-(($AJ85+$AL85)/($AK85+$AM85)))*(1/$AK85+1/$AM85))))</f>
        <v/>
      </c>
      <c r="AO85" s="27">
        <f>IF($A85="","",IF(AND(COUNTIFS($A$14:$A$1213,$A85,$F$14:$F$1213,"&gt;=0")=2,IFERROR(INDEX($M$14:$M$313,MATCH($A85,$H$14:$H$313,0)),"Yes")&lt;&gt;"Yes"),1,0))</f>
        <v/>
      </c>
    </row>
    <row r="86" ht="24" customHeight="1">
      <c r="A86" s="19" t="n"/>
      <c r="B86" s="20" t="n"/>
      <c r="C86" s="21">
        <f>IFERROR(AVERAGE(P86:T86),"")</f>
        <v/>
      </c>
      <c r="D86" s="29" t="n"/>
      <c r="E86" s="29" t="n"/>
      <c r="F86" s="30">
        <f>IF(AND(ISNUMBER($D86),ISNUMBER($E86),$E86&gt;0,$D86&lt;=$E86),$D86/$E86,"")</f>
        <v/>
      </c>
      <c r="H86" s="19">
        <f>IFERROR(INDEX($A$14:$A$1213,MATCH(73,$AI$14:$AI$1213,0)),"")</f>
        <v/>
      </c>
      <c r="I86" s="24">
        <f>IF($H86="","",IF(COUNTIFS($A$14:$A$1213,$H86,$C$14:$C$1213,"&gt;=0")=0,"—",IFERROR(INDEX($B$14:$B$1213,MATCH($H86&amp;"|1",$Z$14:$Z$1213,0)),"(tied)")))</f>
        <v/>
      </c>
      <c r="J86" s="25">
        <f>IF($H86="","",IF(OR(COUNTIFS($A$14:$A$1213,$H86,$C$14:$C$1213,"&gt;=0")=0,COUNTIFS($A$14:$A$1213,$H86,$F$14:$F$1213,"&gt;=0")=0),"—",IF(OR(ISERROR(MATCH($H86&amp;"|1",$Z$14:$Z$1213,0)),ISERROR(MATCH($H86&amp;"|1",$AA$14:$AA$1213,0))),"Tie",IF(MATCH($H86&amp;"|1",$Z$14:$Z$1213,0)=MATCH($H86&amp;"|1",$AA$14:$AA$1213,0),"Hit","Miss"))))</f>
        <v/>
      </c>
      <c r="K86" s="24">
        <f>IF($H86="","",IF(COUNTIFS($A$14:$A$1213,$H86,$F$14:$F$1213,"&gt;=0")=0,"—",IFERROR(INDEX($B$14:$B$1213,MATCH($H86&amp;"|1",$AA$14:$AA$1213,0)),"(tied)")))</f>
        <v/>
      </c>
      <c r="L86" s="25">
        <f>IF($H86="","",IF((--(COUNTIFS($A$14:$A$1213,$H86,$P$14:$P$1213,"&gt;=0")&gt;0)+--(COUNTIFS($A$14:$A$1213,$H86,$Q$14:$Q$1213,"&gt;=0")&gt;0)+--(COUNTIFS($A$14:$A$1213,$H86,$R$14:$R$1213,"&gt;=0")&gt;0)+--(COUNTIFS($A$14:$A$1213,$H86,$S$14:$S$1213,"&gt;=0")&gt;0)+--(COUNTIFS($A$14:$A$1213,$H86,$T$14:$T$1213,"&gt;=0")&gt;0))&lt;2,"—",IF(SUMIFS($AH$14:$AH$1213,$A$14:$A$1213,$H86)=0,"Yes","No")))</f>
        <v/>
      </c>
      <c r="M86" s="25">
        <f>IF($H86="","",IF(COUNTIFS($A$14:$A$1213,$H86,$F$14:$F$1213,"&gt;=0")&lt;2,"—",IF(COUNTIFS($A$14:$A$1213,$H86,$F$14:$F$1213,_xlfn.MAXIFS($F$14:$F$1213,$A$14:$A$1213,$H86))&gt;1,"No",IF(NOT(ISNUMBER($AN86)),"—",IF((2*(1-NORMSDIST(ABS($AN86))))&lt;0.05,"Yes","No")))))</f>
        <v/>
      </c>
      <c r="N86" s="21">
        <f>IF($H86="","",IF(NOT(ISNUMBER($AN86)),"—",IF((2*(1-NORMSDIST(ABS($AN86))))&lt;0.001,"&lt;0.001",TEXT((2*(1-NORMSDIST(ABS($AN86)))),"0.000"))))</f>
        <v/>
      </c>
      <c r="P86" s="26" t="n"/>
      <c r="Q86" s="26" t="n"/>
      <c r="R86" s="26" t="n"/>
      <c r="S86" s="26" t="n"/>
      <c r="T86" s="26" t="n"/>
      <c r="V86" s="27">
        <f>IF(ISNUMBER($C86),COUNTIFS($A$14:$A$1213,$A86,$C$14:$C$1213,"&gt;"&amp;$C86)+(COUNTIFS($A$14:$A$1213,$A86,$C$14:$C$1213,"="&amp;$C86)+1)/2,"")</f>
        <v/>
      </c>
      <c r="W86" s="27">
        <f>IF(ISNUMBER($F86),COUNTIFS($A$14:$A$1213,$A86,$F$14:$F$1213,"&gt;"&amp;$F86)+(COUNTIFS($A$14:$A$1213,$A86,$F$14:$F$1213,"="&amp;$F86)+1)/2,"")</f>
        <v/>
      </c>
      <c r="X86" s="27">
        <f>IF(OR(NOT(ISNUMBER($V86)),$AO86=1),"",$V86-(COUNTIFS($A$14:$A$1213,$A86,$C$14:$C$1213,"&gt;=0")+1)/2)</f>
        <v/>
      </c>
      <c r="Y86" s="27">
        <f>IF(OR(NOT(ISNUMBER($W86)),$AO86=1),"",$W86-(COUNTIFS($A$14:$A$1213,$A86,$F$14:$F$1213,"&gt;=0")+1)/2)</f>
        <v/>
      </c>
      <c r="Z86" s="27">
        <f>IF(ISNUMBER($V86),$A86&amp;"|"&amp;$V86,"")</f>
        <v/>
      </c>
      <c r="AA86" s="27">
        <f>IF(ISNUMBER($W86),$A86&amp;"|"&amp;$W86,"")</f>
        <v/>
      </c>
      <c r="AB86" s="27">
        <f>IF(ISNUMBER($F86),$A86&amp;"|"&amp;$F86,"")</f>
        <v/>
      </c>
      <c r="AC86" s="27">
        <f>IF(ISNUMBER($P86),COUNTIFS($A$14:$A$1213,$A86,$P$14:$P$1213,"&gt;"&amp;$P86)+(COUNTIFS($A$14:$A$1213,$A86,$P$14:$P$1213,"="&amp;$P86)+1)/2,"")</f>
        <v/>
      </c>
      <c r="AD86" s="27">
        <f>IF(ISNUMBER($Q86),COUNTIFS($A$14:$A$1213,$A86,$Q$14:$Q$1213,"&gt;"&amp;$Q86)+(COUNTIFS($A$14:$A$1213,$A86,$Q$14:$Q$1213,"="&amp;$Q86)+1)/2,"")</f>
        <v/>
      </c>
      <c r="AE86" s="27">
        <f>IF(ISNUMBER($R86),COUNTIFS($A$14:$A$1213,$A86,$R$14:$R$1213,"&gt;"&amp;$R86)+(COUNTIFS($A$14:$A$1213,$A86,$R$14:$R$1213,"="&amp;$R86)+1)/2,"")</f>
        <v/>
      </c>
      <c r="AF86" s="27">
        <f>IF(ISNUMBER($S86),COUNTIFS($A$14:$A$1213,$A86,$S$14:$S$1213,"&gt;"&amp;$S86)+(COUNTIFS($A$14:$A$1213,$A86,$S$14:$S$1213,"="&amp;$S86)+1)/2,"")</f>
        <v/>
      </c>
      <c r="AG86" s="27">
        <f>IF(ISNUMBER($T86),COUNTIFS($A$14:$A$1213,$A86,$T$14:$T$1213,"&gt;"&amp;$T86)+(COUNTIFS($A$14:$A$1213,$A86,$T$14:$T$1213,"="&amp;$T86)+1)/2,"")</f>
        <v/>
      </c>
      <c r="AH86" s="27">
        <f>IF(COUNT($AC86:$AG86)&lt;2,"",IF(MAX($AC86:$AG86)=MIN($AC86:$AG86),0,1))</f>
        <v/>
      </c>
      <c r="AI86" s="27">
        <f>IF($A86="","",IF(COUNTIF($A$14:$A86,$A86)=1,COUNTIF($AI$13:AI85,"&gt;0")+1,""))</f>
        <v/>
      </c>
      <c r="AJ86" s="27">
        <f>IF(OR($H86="",COUNTIFS($A$14:$A$1213,$H86,$F$14:$F$1213,"&gt;=0")&lt;2,COUNTIFS($A$14:$A$1213,$H86,$F$14:$F$1213,_xlfn.MAXIFS($F$14:$F$1213,$A$14:$A$1213,$H86))&gt;1),"",IFERROR(INDEX($D$14:$D$1213,MATCH($H86&amp;"|"&amp;_xlfn.MAXIFS($F$14:$F$1213,$A$14:$A$1213,$H86),$AB$14:$AB$1213,0)),""))</f>
        <v/>
      </c>
      <c r="AK86" s="27">
        <f>IF(OR($H86="",COUNTIFS($A$14:$A$1213,$H86,$F$14:$F$1213,"&gt;=0")&lt;2,COUNTIFS($A$14:$A$1213,$H86,$F$14:$F$1213,_xlfn.MAXIFS($F$14:$F$1213,$A$14:$A$1213,$H86))&gt;1),"",IFERROR(INDEX($E$14:$E$1213,MATCH($H86&amp;"|"&amp;_xlfn.MAXIFS($F$14:$F$1213,$A$14:$A$1213,$H86),$AB$14:$AB$1213,0)),""))</f>
        <v/>
      </c>
      <c r="AL86" s="27">
        <f>IF(OR($H86="",COUNTIFS($A$14:$A$1213,$H86,$F$14:$F$1213,"&gt;=0")&lt;2,COUNTIFS($A$14:$A$1213,$H86,$F$14:$F$1213,_xlfn.MAXIFS($F$14:$F$1213,$A$14:$A$1213,$H86))&gt;1),"",IFERROR(INDEX($D$14:$D$1213,MATCH($H86&amp;"|"&amp;_xlfn.MAXIFS($F$14:$F$1213,$A$14:$A$1213,$H86,$F$14:$F$1213,"&lt;"&amp;_xlfn.MAXIFS($F$14:$F$1213,$A$14:$A$1213,$H86)),$AB$14:$AB$1213,0)),""))</f>
        <v/>
      </c>
      <c r="AM86" s="27">
        <f>IF(OR($H86="",COUNTIFS($A$14:$A$1213,$H86,$F$14:$F$1213,"&gt;=0")&lt;2,COUNTIFS($A$14:$A$1213,$H86,$F$14:$F$1213,_xlfn.MAXIFS($F$14:$F$1213,$A$14:$A$1213,$H86))&gt;1),"",IFERROR(INDEX($E$14:$E$1213,MATCH($H86&amp;"|"&amp;_xlfn.MAXIFS($F$14:$F$1213,$A$14:$A$1213,$H86,$F$14:$F$1213,"&lt;"&amp;_xlfn.MAXIFS($F$14:$F$1213,$A$14:$A$1213,$H86)),$AB$14:$AB$1213,0)),""))</f>
        <v/>
      </c>
      <c r="AN86" s="27">
        <f>IF(OR(NOT(ISNUMBER($AJ86)),NOT(ISNUMBER($AL86)),$AK86=0,$AM86=0),"",IF(OR((($AJ86+$AL86)/($AK86+$AM86))&lt;=0,(($AJ86+$AL86)/($AK86+$AM86))&gt;=1),"",($AJ86/$AK86-$AL86/$AM86)/SQRT((($AJ86+$AL86)/($AK86+$AM86))*(1-(($AJ86+$AL86)/($AK86+$AM86)))*(1/$AK86+1/$AM86))))</f>
        <v/>
      </c>
      <c r="AO86" s="27">
        <f>IF($A86="","",IF(AND(COUNTIFS($A$14:$A$1213,$A86,$F$14:$F$1213,"&gt;=0")=2,IFERROR(INDEX($M$14:$M$313,MATCH($A86,$H$14:$H$313,0)),"Yes")&lt;&gt;"Yes"),1,0))</f>
        <v/>
      </c>
    </row>
    <row r="87" ht="24" customHeight="1">
      <c r="A87" s="19" t="n"/>
      <c r="B87" s="20" t="n"/>
      <c r="C87" s="21">
        <f>IFERROR(AVERAGE(P87:T87),"")</f>
        <v/>
      </c>
      <c r="D87" s="29" t="n"/>
      <c r="E87" s="29" t="n"/>
      <c r="F87" s="30">
        <f>IF(AND(ISNUMBER($D87),ISNUMBER($E87),$E87&gt;0,$D87&lt;=$E87),$D87/$E87,"")</f>
        <v/>
      </c>
      <c r="H87" s="19">
        <f>IFERROR(INDEX($A$14:$A$1213,MATCH(74,$AI$14:$AI$1213,0)),"")</f>
        <v/>
      </c>
      <c r="I87" s="24">
        <f>IF($H87="","",IF(COUNTIFS($A$14:$A$1213,$H87,$C$14:$C$1213,"&gt;=0")=0,"—",IFERROR(INDEX($B$14:$B$1213,MATCH($H87&amp;"|1",$Z$14:$Z$1213,0)),"(tied)")))</f>
        <v/>
      </c>
      <c r="J87" s="25">
        <f>IF($H87="","",IF(OR(COUNTIFS($A$14:$A$1213,$H87,$C$14:$C$1213,"&gt;=0")=0,COUNTIFS($A$14:$A$1213,$H87,$F$14:$F$1213,"&gt;=0")=0),"—",IF(OR(ISERROR(MATCH($H87&amp;"|1",$Z$14:$Z$1213,0)),ISERROR(MATCH($H87&amp;"|1",$AA$14:$AA$1213,0))),"Tie",IF(MATCH($H87&amp;"|1",$Z$14:$Z$1213,0)=MATCH($H87&amp;"|1",$AA$14:$AA$1213,0),"Hit","Miss"))))</f>
        <v/>
      </c>
      <c r="K87" s="24">
        <f>IF($H87="","",IF(COUNTIFS($A$14:$A$1213,$H87,$F$14:$F$1213,"&gt;=0")=0,"—",IFERROR(INDEX($B$14:$B$1213,MATCH($H87&amp;"|1",$AA$14:$AA$1213,0)),"(tied)")))</f>
        <v/>
      </c>
      <c r="L87" s="25">
        <f>IF($H87="","",IF((--(COUNTIFS($A$14:$A$1213,$H87,$P$14:$P$1213,"&gt;=0")&gt;0)+--(COUNTIFS($A$14:$A$1213,$H87,$Q$14:$Q$1213,"&gt;=0")&gt;0)+--(COUNTIFS($A$14:$A$1213,$H87,$R$14:$R$1213,"&gt;=0")&gt;0)+--(COUNTIFS($A$14:$A$1213,$H87,$S$14:$S$1213,"&gt;=0")&gt;0)+--(COUNTIFS($A$14:$A$1213,$H87,$T$14:$T$1213,"&gt;=0")&gt;0))&lt;2,"—",IF(SUMIFS($AH$14:$AH$1213,$A$14:$A$1213,$H87)=0,"Yes","No")))</f>
        <v/>
      </c>
      <c r="M87" s="25">
        <f>IF($H87="","",IF(COUNTIFS($A$14:$A$1213,$H87,$F$14:$F$1213,"&gt;=0")&lt;2,"—",IF(COUNTIFS($A$14:$A$1213,$H87,$F$14:$F$1213,_xlfn.MAXIFS($F$14:$F$1213,$A$14:$A$1213,$H87))&gt;1,"No",IF(NOT(ISNUMBER($AN87)),"—",IF((2*(1-NORMSDIST(ABS($AN87))))&lt;0.05,"Yes","No")))))</f>
        <v/>
      </c>
      <c r="N87" s="21">
        <f>IF($H87="","",IF(NOT(ISNUMBER($AN87)),"—",IF((2*(1-NORMSDIST(ABS($AN87))))&lt;0.001,"&lt;0.001",TEXT((2*(1-NORMSDIST(ABS($AN87)))),"0.000"))))</f>
        <v/>
      </c>
      <c r="P87" s="26" t="n"/>
      <c r="Q87" s="26" t="n"/>
      <c r="R87" s="26" t="n"/>
      <c r="S87" s="26" t="n"/>
      <c r="T87" s="26" t="n"/>
      <c r="V87" s="27">
        <f>IF(ISNUMBER($C87),COUNTIFS($A$14:$A$1213,$A87,$C$14:$C$1213,"&gt;"&amp;$C87)+(COUNTIFS($A$14:$A$1213,$A87,$C$14:$C$1213,"="&amp;$C87)+1)/2,"")</f>
        <v/>
      </c>
      <c r="W87" s="27">
        <f>IF(ISNUMBER($F87),COUNTIFS($A$14:$A$1213,$A87,$F$14:$F$1213,"&gt;"&amp;$F87)+(COUNTIFS($A$14:$A$1213,$A87,$F$14:$F$1213,"="&amp;$F87)+1)/2,"")</f>
        <v/>
      </c>
      <c r="X87" s="27">
        <f>IF(OR(NOT(ISNUMBER($V87)),$AO87=1),"",$V87-(COUNTIFS($A$14:$A$1213,$A87,$C$14:$C$1213,"&gt;=0")+1)/2)</f>
        <v/>
      </c>
      <c r="Y87" s="27">
        <f>IF(OR(NOT(ISNUMBER($W87)),$AO87=1),"",$W87-(COUNTIFS($A$14:$A$1213,$A87,$F$14:$F$1213,"&gt;=0")+1)/2)</f>
        <v/>
      </c>
      <c r="Z87" s="27">
        <f>IF(ISNUMBER($V87),$A87&amp;"|"&amp;$V87,"")</f>
        <v/>
      </c>
      <c r="AA87" s="27">
        <f>IF(ISNUMBER($W87),$A87&amp;"|"&amp;$W87,"")</f>
        <v/>
      </c>
      <c r="AB87" s="27">
        <f>IF(ISNUMBER($F87),$A87&amp;"|"&amp;$F87,"")</f>
        <v/>
      </c>
      <c r="AC87" s="27">
        <f>IF(ISNUMBER($P87),COUNTIFS($A$14:$A$1213,$A87,$P$14:$P$1213,"&gt;"&amp;$P87)+(COUNTIFS($A$14:$A$1213,$A87,$P$14:$P$1213,"="&amp;$P87)+1)/2,"")</f>
        <v/>
      </c>
      <c r="AD87" s="27">
        <f>IF(ISNUMBER($Q87),COUNTIFS($A$14:$A$1213,$A87,$Q$14:$Q$1213,"&gt;"&amp;$Q87)+(COUNTIFS($A$14:$A$1213,$A87,$Q$14:$Q$1213,"="&amp;$Q87)+1)/2,"")</f>
        <v/>
      </c>
      <c r="AE87" s="27">
        <f>IF(ISNUMBER($R87),COUNTIFS($A$14:$A$1213,$A87,$R$14:$R$1213,"&gt;"&amp;$R87)+(COUNTIFS($A$14:$A$1213,$A87,$R$14:$R$1213,"="&amp;$R87)+1)/2,"")</f>
        <v/>
      </c>
      <c r="AF87" s="27">
        <f>IF(ISNUMBER($S87),COUNTIFS($A$14:$A$1213,$A87,$S$14:$S$1213,"&gt;"&amp;$S87)+(COUNTIFS($A$14:$A$1213,$A87,$S$14:$S$1213,"="&amp;$S87)+1)/2,"")</f>
        <v/>
      </c>
      <c r="AG87" s="27">
        <f>IF(ISNUMBER($T87),COUNTIFS($A$14:$A$1213,$A87,$T$14:$T$1213,"&gt;"&amp;$T87)+(COUNTIFS($A$14:$A$1213,$A87,$T$14:$T$1213,"="&amp;$T87)+1)/2,"")</f>
        <v/>
      </c>
      <c r="AH87" s="27">
        <f>IF(COUNT($AC87:$AG87)&lt;2,"",IF(MAX($AC87:$AG87)=MIN($AC87:$AG87),0,1))</f>
        <v/>
      </c>
      <c r="AI87" s="27">
        <f>IF($A87="","",IF(COUNTIF($A$14:$A87,$A87)=1,COUNTIF($AI$13:AI86,"&gt;0")+1,""))</f>
        <v/>
      </c>
      <c r="AJ87" s="27">
        <f>IF(OR($H87="",COUNTIFS($A$14:$A$1213,$H87,$F$14:$F$1213,"&gt;=0")&lt;2,COUNTIFS($A$14:$A$1213,$H87,$F$14:$F$1213,_xlfn.MAXIFS($F$14:$F$1213,$A$14:$A$1213,$H87))&gt;1),"",IFERROR(INDEX($D$14:$D$1213,MATCH($H87&amp;"|"&amp;_xlfn.MAXIFS($F$14:$F$1213,$A$14:$A$1213,$H87),$AB$14:$AB$1213,0)),""))</f>
        <v/>
      </c>
      <c r="AK87" s="27">
        <f>IF(OR($H87="",COUNTIFS($A$14:$A$1213,$H87,$F$14:$F$1213,"&gt;=0")&lt;2,COUNTIFS($A$14:$A$1213,$H87,$F$14:$F$1213,_xlfn.MAXIFS($F$14:$F$1213,$A$14:$A$1213,$H87))&gt;1),"",IFERROR(INDEX($E$14:$E$1213,MATCH($H87&amp;"|"&amp;_xlfn.MAXIFS($F$14:$F$1213,$A$14:$A$1213,$H87),$AB$14:$AB$1213,0)),""))</f>
        <v/>
      </c>
      <c r="AL87" s="27">
        <f>IF(OR($H87="",COUNTIFS($A$14:$A$1213,$H87,$F$14:$F$1213,"&gt;=0")&lt;2,COUNTIFS($A$14:$A$1213,$H87,$F$14:$F$1213,_xlfn.MAXIFS($F$14:$F$1213,$A$14:$A$1213,$H87))&gt;1),"",IFERROR(INDEX($D$14:$D$1213,MATCH($H87&amp;"|"&amp;_xlfn.MAXIFS($F$14:$F$1213,$A$14:$A$1213,$H87,$F$14:$F$1213,"&lt;"&amp;_xlfn.MAXIFS($F$14:$F$1213,$A$14:$A$1213,$H87)),$AB$14:$AB$1213,0)),""))</f>
        <v/>
      </c>
      <c r="AM87" s="27">
        <f>IF(OR($H87="",COUNTIFS($A$14:$A$1213,$H87,$F$14:$F$1213,"&gt;=0")&lt;2,COUNTIFS($A$14:$A$1213,$H87,$F$14:$F$1213,_xlfn.MAXIFS($F$14:$F$1213,$A$14:$A$1213,$H87))&gt;1),"",IFERROR(INDEX($E$14:$E$1213,MATCH($H87&amp;"|"&amp;_xlfn.MAXIFS($F$14:$F$1213,$A$14:$A$1213,$H87,$F$14:$F$1213,"&lt;"&amp;_xlfn.MAXIFS($F$14:$F$1213,$A$14:$A$1213,$H87)),$AB$14:$AB$1213,0)),""))</f>
        <v/>
      </c>
      <c r="AN87" s="27">
        <f>IF(OR(NOT(ISNUMBER($AJ87)),NOT(ISNUMBER($AL87)),$AK87=0,$AM87=0),"",IF(OR((($AJ87+$AL87)/($AK87+$AM87))&lt;=0,(($AJ87+$AL87)/($AK87+$AM87))&gt;=1),"",($AJ87/$AK87-$AL87/$AM87)/SQRT((($AJ87+$AL87)/($AK87+$AM87))*(1-(($AJ87+$AL87)/($AK87+$AM87)))*(1/$AK87+1/$AM87))))</f>
        <v/>
      </c>
      <c r="AO87" s="27">
        <f>IF($A87="","",IF(AND(COUNTIFS($A$14:$A$1213,$A87,$F$14:$F$1213,"&gt;=0")=2,IFERROR(INDEX($M$14:$M$313,MATCH($A87,$H$14:$H$313,0)),"Yes")&lt;&gt;"Yes"),1,0))</f>
        <v/>
      </c>
    </row>
    <row r="88" ht="24" customHeight="1">
      <c r="A88" s="19" t="n"/>
      <c r="B88" s="20" t="n"/>
      <c r="C88" s="21">
        <f>IFERROR(AVERAGE(P88:T88),"")</f>
        <v/>
      </c>
      <c r="D88" s="29" t="n"/>
      <c r="E88" s="29" t="n"/>
      <c r="F88" s="30">
        <f>IF(AND(ISNUMBER($D88),ISNUMBER($E88),$E88&gt;0,$D88&lt;=$E88),$D88/$E88,"")</f>
        <v/>
      </c>
      <c r="H88" s="19">
        <f>IFERROR(INDEX($A$14:$A$1213,MATCH(75,$AI$14:$AI$1213,0)),"")</f>
        <v/>
      </c>
      <c r="I88" s="24">
        <f>IF($H88="","",IF(COUNTIFS($A$14:$A$1213,$H88,$C$14:$C$1213,"&gt;=0")=0,"—",IFERROR(INDEX($B$14:$B$1213,MATCH($H88&amp;"|1",$Z$14:$Z$1213,0)),"(tied)")))</f>
        <v/>
      </c>
      <c r="J88" s="25">
        <f>IF($H88="","",IF(OR(COUNTIFS($A$14:$A$1213,$H88,$C$14:$C$1213,"&gt;=0")=0,COUNTIFS($A$14:$A$1213,$H88,$F$14:$F$1213,"&gt;=0")=0),"—",IF(OR(ISERROR(MATCH($H88&amp;"|1",$Z$14:$Z$1213,0)),ISERROR(MATCH($H88&amp;"|1",$AA$14:$AA$1213,0))),"Tie",IF(MATCH($H88&amp;"|1",$Z$14:$Z$1213,0)=MATCH($H88&amp;"|1",$AA$14:$AA$1213,0),"Hit","Miss"))))</f>
        <v/>
      </c>
      <c r="K88" s="24">
        <f>IF($H88="","",IF(COUNTIFS($A$14:$A$1213,$H88,$F$14:$F$1213,"&gt;=0")=0,"—",IFERROR(INDEX($B$14:$B$1213,MATCH($H88&amp;"|1",$AA$14:$AA$1213,0)),"(tied)")))</f>
        <v/>
      </c>
      <c r="L88" s="25">
        <f>IF($H88="","",IF((--(COUNTIFS($A$14:$A$1213,$H88,$P$14:$P$1213,"&gt;=0")&gt;0)+--(COUNTIFS($A$14:$A$1213,$H88,$Q$14:$Q$1213,"&gt;=0")&gt;0)+--(COUNTIFS($A$14:$A$1213,$H88,$R$14:$R$1213,"&gt;=0")&gt;0)+--(COUNTIFS($A$14:$A$1213,$H88,$S$14:$S$1213,"&gt;=0")&gt;0)+--(COUNTIFS($A$14:$A$1213,$H88,$T$14:$T$1213,"&gt;=0")&gt;0))&lt;2,"—",IF(SUMIFS($AH$14:$AH$1213,$A$14:$A$1213,$H88)=0,"Yes","No")))</f>
        <v/>
      </c>
      <c r="M88" s="25">
        <f>IF($H88="","",IF(COUNTIFS($A$14:$A$1213,$H88,$F$14:$F$1213,"&gt;=0")&lt;2,"—",IF(COUNTIFS($A$14:$A$1213,$H88,$F$14:$F$1213,_xlfn.MAXIFS($F$14:$F$1213,$A$14:$A$1213,$H88))&gt;1,"No",IF(NOT(ISNUMBER($AN88)),"—",IF((2*(1-NORMSDIST(ABS($AN88))))&lt;0.05,"Yes","No")))))</f>
        <v/>
      </c>
      <c r="N88" s="21">
        <f>IF($H88="","",IF(NOT(ISNUMBER($AN88)),"—",IF((2*(1-NORMSDIST(ABS($AN88))))&lt;0.001,"&lt;0.001",TEXT((2*(1-NORMSDIST(ABS($AN88)))),"0.000"))))</f>
        <v/>
      </c>
      <c r="P88" s="26" t="n"/>
      <c r="Q88" s="26" t="n"/>
      <c r="R88" s="26" t="n"/>
      <c r="S88" s="26" t="n"/>
      <c r="T88" s="26" t="n"/>
      <c r="V88" s="27">
        <f>IF(ISNUMBER($C88),COUNTIFS($A$14:$A$1213,$A88,$C$14:$C$1213,"&gt;"&amp;$C88)+(COUNTIFS($A$14:$A$1213,$A88,$C$14:$C$1213,"="&amp;$C88)+1)/2,"")</f>
        <v/>
      </c>
      <c r="W88" s="27">
        <f>IF(ISNUMBER($F88),COUNTIFS($A$14:$A$1213,$A88,$F$14:$F$1213,"&gt;"&amp;$F88)+(COUNTIFS($A$14:$A$1213,$A88,$F$14:$F$1213,"="&amp;$F88)+1)/2,"")</f>
        <v/>
      </c>
      <c r="X88" s="27">
        <f>IF(OR(NOT(ISNUMBER($V88)),$AO88=1),"",$V88-(COUNTIFS($A$14:$A$1213,$A88,$C$14:$C$1213,"&gt;=0")+1)/2)</f>
        <v/>
      </c>
      <c r="Y88" s="27">
        <f>IF(OR(NOT(ISNUMBER($W88)),$AO88=1),"",$W88-(COUNTIFS($A$14:$A$1213,$A88,$F$14:$F$1213,"&gt;=0")+1)/2)</f>
        <v/>
      </c>
      <c r="Z88" s="27">
        <f>IF(ISNUMBER($V88),$A88&amp;"|"&amp;$V88,"")</f>
        <v/>
      </c>
      <c r="AA88" s="27">
        <f>IF(ISNUMBER($W88),$A88&amp;"|"&amp;$W88,"")</f>
        <v/>
      </c>
      <c r="AB88" s="27">
        <f>IF(ISNUMBER($F88),$A88&amp;"|"&amp;$F88,"")</f>
        <v/>
      </c>
      <c r="AC88" s="27">
        <f>IF(ISNUMBER($P88),COUNTIFS($A$14:$A$1213,$A88,$P$14:$P$1213,"&gt;"&amp;$P88)+(COUNTIFS($A$14:$A$1213,$A88,$P$14:$P$1213,"="&amp;$P88)+1)/2,"")</f>
        <v/>
      </c>
      <c r="AD88" s="27">
        <f>IF(ISNUMBER($Q88),COUNTIFS($A$14:$A$1213,$A88,$Q$14:$Q$1213,"&gt;"&amp;$Q88)+(COUNTIFS($A$14:$A$1213,$A88,$Q$14:$Q$1213,"="&amp;$Q88)+1)/2,"")</f>
        <v/>
      </c>
      <c r="AE88" s="27">
        <f>IF(ISNUMBER($R88),COUNTIFS($A$14:$A$1213,$A88,$R$14:$R$1213,"&gt;"&amp;$R88)+(COUNTIFS($A$14:$A$1213,$A88,$R$14:$R$1213,"="&amp;$R88)+1)/2,"")</f>
        <v/>
      </c>
      <c r="AF88" s="27">
        <f>IF(ISNUMBER($S88),COUNTIFS($A$14:$A$1213,$A88,$S$14:$S$1213,"&gt;"&amp;$S88)+(COUNTIFS($A$14:$A$1213,$A88,$S$14:$S$1213,"="&amp;$S88)+1)/2,"")</f>
        <v/>
      </c>
      <c r="AG88" s="27">
        <f>IF(ISNUMBER($T88),COUNTIFS($A$14:$A$1213,$A88,$T$14:$T$1213,"&gt;"&amp;$T88)+(COUNTIFS($A$14:$A$1213,$A88,$T$14:$T$1213,"="&amp;$T88)+1)/2,"")</f>
        <v/>
      </c>
      <c r="AH88" s="27">
        <f>IF(COUNT($AC88:$AG88)&lt;2,"",IF(MAX($AC88:$AG88)=MIN($AC88:$AG88),0,1))</f>
        <v/>
      </c>
      <c r="AI88" s="27">
        <f>IF($A88="","",IF(COUNTIF($A$14:$A88,$A88)=1,COUNTIF($AI$13:AI87,"&gt;0")+1,""))</f>
        <v/>
      </c>
      <c r="AJ88" s="27">
        <f>IF(OR($H88="",COUNTIFS($A$14:$A$1213,$H88,$F$14:$F$1213,"&gt;=0")&lt;2,COUNTIFS($A$14:$A$1213,$H88,$F$14:$F$1213,_xlfn.MAXIFS($F$14:$F$1213,$A$14:$A$1213,$H88))&gt;1),"",IFERROR(INDEX($D$14:$D$1213,MATCH($H88&amp;"|"&amp;_xlfn.MAXIFS($F$14:$F$1213,$A$14:$A$1213,$H88),$AB$14:$AB$1213,0)),""))</f>
        <v/>
      </c>
      <c r="AK88" s="27">
        <f>IF(OR($H88="",COUNTIFS($A$14:$A$1213,$H88,$F$14:$F$1213,"&gt;=0")&lt;2,COUNTIFS($A$14:$A$1213,$H88,$F$14:$F$1213,_xlfn.MAXIFS($F$14:$F$1213,$A$14:$A$1213,$H88))&gt;1),"",IFERROR(INDEX($E$14:$E$1213,MATCH($H88&amp;"|"&amp;_xlfn.MAXIFS($F$14:$F$1213,$A$14:$A$1213,$H88),$AB$14:$AB$1213,0)),""))</f>
        <v/>
      </c>
      <c r="AL88" s="27">
        <f>IF(OR($H88="",COUNTIFS($A$14:$A$1213,$H88,$F$14:$F$1213,"&gt;=0")&lt;2,COUNTIFS($A$14:$A$1213,$H88,$F$14:$F$1213,_xlfn.MAXIFS($F$14:$F$1213,$A$14:$A$1213,$H88))&gt;1),"",IFERROR(INDEX($D$14:$D$1213,MATCH($H88&amp;"|"&amp;_xlfn.MAXIFS($F$14:$F$1213,$A$14:$A$1213,$H88,$F$14:$F$1213,"&lt;"&amp;_xlfn.MAXIFS($F$14:$F$1213,$A$14:$A$1213,$H88)),$AB$14:$AB$1213,0)),""))</f>
        <v/>
      </c>
      <c r="AM88" s="27">
        <f>IF(OR($H88="",COUNTIFS($A$14:$A$1213,$H88,$F$14:$F$1213,"&gt;=0")&lt;2,COUNTIFS($A$14:$A$1213,$H88,$F$14:$F$1213,_xlfn.MAXIFS($F$14:$F$1213,$A$14:$A$1213,$H88))&gt;1),"",IFERROR(INDEX($E$14:$E$1213,MATCH($H88&amp;"|"&amp;_xlfn.MAXIFS($F$14:$F$1213,$A$14:$A$1213,$H88,$F$14:$F$1213,"&lt;"&amp;_xlfn.MAXIFS($F$14:$F$1213,$A$14:$A$1213,$H88)),$AB$14:$AB$1213,0)),""))</f>
        <v/>
      </c>
      <c r="AN88" s="27">
        <f>IF(OR(NOT(ISNUMBER($AJ88)),NOT(ISNUMBER($AL88)),$AK88=0,$AM88=0),"",IF(OR((($AJ88+$AL88)/($AK88+$AM88))&lt;=0,(($AJ88+$AL88)/($AK88+$AM88))&gt;=1),"",($AJ88/$AK88-$AL88/$AM88)/SQRT((($AJ88+$AL88)/($AK88+$AM88))*(1-(($AJ88+$AL88)/($AK88+$AM88)))*(1/$AK88+1/$AM88))))</f>
        <v/>
      </c>
      <c r="AO88" s="27">
        <f>IF($A88="","",IF(AND(COUNTIFS($A$14:$A$1213,$A88,$F$14:$F$1213,"&gt;=0")=2,IFERROR(INDEX($M$14:$M$313,MATCH($A88,$H$14:$H$313,0)),"Yes")&lt;&gt;"Yes"),1,0))</f>
        <v/>
      </c>
    </row>
    <row r="89" ht="24" customHeight="1">
      <c r="A89" s="19" t="n"/>
      <c r="B89" s="20" t="n"/>
      <c r="C89" s="21">
        <f>IFERROR(AVERAGE(P89:T89),"")</f>
        <v/>
      </c>
      <c r="D89" s="29" t="n"/>
      <c r="E89" s="29" t="n"/>
      <c r="F89" s="30">
        <f>IF(AND(ISNUMBER($D89),ISNUMBER($E89),$E89&gt;0,$D89&lt;=$E89),$D89/$E89,"")</f>
        <v/>
      </c>
      <c r="H89" s="19">
        <f>IFERROR(INDEX($A$14:$A$1213,MATCH(76,$AI$14:$AI$1213,0)),"")</f>
        <v/>
      </c>
      <c r="I89" s="24">
        <f>IF($H89="","",IF(COUNTIFS($A$14:$A$1213,$H89,$C$14:$C$1213,"&gt;=0")=0,"—",IFERROR(INDEX($B$14:$B$1213,MATCH($H89&amp;"|1",$Z$14:$Z$1213,0)),"(tied)")))</f>
        <v/>
      </c>
      <c r="J89" s="25">
        <f>IF($H89="","",IF(OR(COUNTIFS($A$14:$A$1213,$H89,$C$14:$C$1213,"&gt;=0")=0,COUNTIFS($A$14:$A$1213,$H89,$F$14:$F$1213,"&gt;=0")=0),"—",IF(OR(ISERROR(MATCH($H89&amp;"|1",$Z$14:$Z$1213,0)),ISERROR(MATCH($H89&amp;"|1",$AA$14:$AA$1213,0))),"Tie",IF(MATCH($H89&amp;"|1",$Z$14:$Z$1213,0)=MATCH($H89&amp;"|1",$AA$14:$AA$1213,0),"Hit","Miss"))))</f>
        <v/>
      </c>
      <c r="K89" s="24">
        <f>IF($H89="","",IF(COUNTIFS($A$14:$A$1213,$H89,$F$14:$F$1213,"&gt;=0")=0,"—",IFERROR(INDEX($B$14:$B$1213,MATCH($H89&amp;"|1",$AA$14:$AA$1213,0)),"(tied)")))</f>
        <v/>
      </c>
      <c r="L89" s="25">
        <f>IF($H89="","",IF((--(COUNTIFS($A$14:$A$1213,$H89,$P$14:$P$1213,"&gt;=0")&gt;0)+--(COUNTIFS($A$14:$A$1213,$H89,$Q$14:$Q$1213,"&gt;=0")&gt;0)+--(COUNTIFS($A$14:$A$1213,$H89,$R$14:$R$1213,"&gt;=0")&gt;0)+--(COUNTIFS($A$14:$A$1213,$H89,$S$14:$S$1213,"&gt;=0")&gt;0)+--(COUNTIFS($A$14:$A$1213,$H89,$T$14:$T$1213,"&gt;=0")&gt;0))&lt;2,"—",IF(SUMIFS($AH$14:$AH$1213,$A$14:$A$1213,$H89)=0,"Yes","No")))</f>
        <v/>
      </c>
      <c r="M89" s="25">
        <f>IF($H89="","",IF(COUNTIFS($A$14:$A$1213,$H89,$F$14:$F$1213,"&gt;=0")&lt;2,"—",IF(COUNTIFS($A$14:$A$1213,$H89,$F$14:$F$1213,_xlfn.MAXIFS($F$14:$F$1213,$A$14:$A$1213,$H89))&gt;1,"No",IF(NOT(ISNUMBER($AN89)),"—",IF((2*(1-NORMSDIST(ABS($AN89))))&lt;0.05,"Yes","No")))))</f>
        <v/>
      </c>
      <c r="N89" s="21">
        <f>IF($H89="","",IF(NOT(ISNUMBER($AN89)),"—",IF((2*(1-NORMSDIST(ABS($AN89))))&lt;0.001,"&lt;0.001",TEXT((2*(1-NORMSDIST(ABS($AN89)))),"0.000"))))</f>
        <v/>
      </c>
      <c r="P89" s="26" t="n"/>
      <c r="Q89" s="26" t="n"/>
      <c r="R89" s="26" t="n"/>
      <c r="S89" s="26" t="n"/>
      <c r="T89" s="26" t="n"/>
      <c r="V89" s="27">
        <f>IF(ISNUMBER($C89),COUNTIFS($A$14:$A$1213,$A89,$C$14:$C$1213,"&gt;"&amp;$C89)+(COUNTIFS($A$14:$A$1213,$A89,$C$14:$C$1213,"="&amp;$C89)+1)/2,"")</f>
        <v/>
      </c>
      <c r="W89" s="27">
        <f>IF(ISNUMBER($F89),COUNTIFS($A$14:$A$1213,$A89,$F$14:$F$1213,"&gt;"&amp;$F89)+(COUNTIFS($A$14:$A$1213,$A89,$F$14:$F$1213,"="&amp;$F89)+1)/2,"")</f>
        <v/>
      </c>
      <c r="X89" s="27">
        <f>IF(OR(NOT(ISNUMBER($V89)),$AO89=1),"",$V89-(COUNTIFS($A$14:$A$1213,$A89,$C$14:$C$1213,"&gt;=0")+1)/2)</f>
        <v/>
      </c>
      <c r="Y89" s="27">
        <f>IF(OR(NOT(ISNUMBER($W89)),$AO89=1),"",$W89-(COUNTIFS($A$14:$A$1213,$A89,$F$14:$F$1213,"&gt;=0")+1)/2)</f>
        <v/>
      </c>
      <c r="Z89" s="27">
        <f>IF(ISNUMBER($V89),$A89&amp;"|"&amp;$V89,"")</f>
        <v/>
      </c>
      <c r="AA89" s="27">
        <f>IF(ISNUMBER($W89),$A89&amp;"|"&amp;$W89,"")</f>
        <v/>
      </c>
      <c r="AB89" s="27">
        <f>IF(ISNUMBER($F89),$A89&amp;"|"&amp;$F89,"")</f>
        <v/>
      </c>
      <c r="AC89" s="27">
        <f>IF(ISNUMBER($P89),COUNTIFS($A$14:$A$1213,$A89,$P$14:$P$1213,"&gt;"&amp;$P89)+(COUNTIFS($A$14:$A$1213,$A89,$P$14:$P$1213,"="&amp;$P89)+1)/2,"")</f>
        <v/>
      </c>
      <c r="AD89" s="27">
        <f>IF(ISNUMBER($Q89),COUNTIFS($A$14:$A$1213,$A89,$Q$14:$Q$1213,"&gt;"&amp;$Q89)+(COUNTIFS($A$14:$A$1213,$A89,$Q$14:$Q$1213,"="&amp;$Q89)+1)/2,"")</f>
        <v/>
      </c>
      <c r="AE89" s="27">
        <f>IF(ISNUMBER($R89),COUNTIFS($A$14:$A$1213,$A89,$R$14:$R$1213,"&gt;"&amp;$R89)+(COUNTIFS($A$14:$A$1213,$A89,$R$14:$R$1213,"="&amp;$R89)+1)/2,"")</f>
        <v/>
      </c>
      <c r="AF89" s="27">
        <f>IF(ISNUMBER($S89),COUNTIFS($A$14:$A$1213,$A89,$S$14:$S$1213,"&gt;"&amp;$S89)+(COUNTIFS($A$14:$A$1213,$A89,$S$14:$S$1213,"="&amp;$S89)+1)/2,"")</f>
        <v/>
      </c>
      <c r="AG89" s="27">
        <f>IF(ISNUMBER($T89),COUNTIFS($A$14:$A$1213,$A89,$T$14:$T$1213,"&gt;"&amp;$T89)+(COUNTIFS($A$14:$A$1213,$A89,$T$14:$T$1213,"="&amp;$T89)+1)/2,"")</f>
        <v/>
      </c>
      <c r="AH89" s="27">
        <f>IF(COUNT($AC89:$AG89)&lt;2,"",IF(MAX($AC89:$AG89)=MIN($AC89:$AG89),0,1))</f>
        <v/>
      </c>
      <c r="AI89" s="27">
        <f>IF($A89="","",IF(COUNTIF($A$14:$A89,$A89)=1,COUNTIF($AI$13:AI88,"&gt;0")+1,""))</f>
        <v/>
      </c>
      <c r="AJ89" s="27">
        <f>IF(OR($H89="",COUNTIFS($A$14:$A$1213,$H89,$F$14:$F$1213,"&gt;=0")&lt;2,COUNTIFS($A$14:$A$1213,$H89,$F$14:$F$1213,_xlfn.MAXIFS($F$14:$F$1213,$A$14:$A$1213,$H89))&gt;1),"",IFERROR(INDEX($D$14:$D$1213,MATCH($H89&amp;"|"&amp;_xlfn.MAXIFS($F$14:$F$1213,$A$14:$A$1213,$H89),$AB$14:$AB$1213,0)),""))</f>
        <v/>
      </c>
      <c r="AK89" s="27">
        <f>IF(OR($H89="",COUNTIFS($A$14:$A$1213,$H89,$F$14:$F$1213,"&gt;=0")&lt;2,COUNTIFS($A$14:$A$1213,$H89,$F$14:$F$1213,_xlfn.MAXIFS($F$14:$F$1213,$A$14:$A$1213,$H89))&gt;1),"",IFERROR(INDEX($E$14:$E$1213,MATCH($H89&amp;"|"&amp;_xlfn.MAXIFS($F$14:$F$1213,$A$14:$A$1213,$H89),$AB$14:$AB$1213,0)),""))</f>
        <v/>
      </c>
      <c r="AL89" s="27">
        <f>IF(OR($H89="",COUNTIFS($A$14:$A$1213,$H89,$F$14:$F$1213,"&gt;=0")&lt;2,COUNTIFS($A$14:$A$1213,$H89,$F$14:$F$1213,_xlfn.MAXIFS($F$14:$F$1213,$A$14:$A$1213,$H89))&gt;1),"",IFERROR(INDEX($D$14:$D$1213,MATCH($H89&amp;"|"&amp;_xlfn.MAXIFS($F$14:$F$1213,$A$14:$A$1213,$H89,$F$14:$F$1213,"&lt;"&amp;_xlfn.MAXIFS($F$14:$F$1213,$A$14:$A$1213,$H89)),$AB$14:$AB$1213,0)),""))</f>
        <v/>
      </c>
      <c r="AM89" s="27">
        <f>IF(OR($H89="",COUNTIFS($A$14:$A$1213,$H89,$F$14:$F$1213,"&gt;=0")&lt;2,COUNTIFS($A$14:$A$1213,$H89,$F$14:$F$1213,_xlfn.MAXIFS($F$14:$F$1213,$A$14:$A$1213,$H89))&gt;1),"",IFERROR(INDEX($E$14:$E$1213,MATCH($H89&amp;"|"&amp;_xlfn.MAXIFS($F$14:$F$1213,$A$14:$A$1213,$H89,$F$14:$F$1213,"&lt;"&amp;_xlfn.MAXIFS($F$14:$F$1213,$A$14:$A$1213,$H89)),$AB$14:$AB$1213,0)),""))</f>
        <v/>
      </c>
      <c r="AN89" s="27">
        <f>IF(OR(NOT(ISNUMBER($AJ89)),NOT(ISNUMBER($AL89)),$AK89=0,$AM89=0),"",IF(OR((($AJ89+$AL89)/($AK89+$AM89))&lt;=0,(($AJ89+$AL89)/($AK89+$AM89))&gt;=1),"",($AJ89/$AK89-$AL89/$AM89)/SQRT((($AJ89+$AL89)/($AK89+$AM89))*(1-(($AJ89+$AL89)/($AK89+$AM89)))*(1/$AK89+1/$AM89))))</f>
        <v/>
      </c>
      <c r="AO89" s="27">
        <f>IF($A89="","",IF(AND(COUNTIFS($A$14:$A$1213,$A89,$F$14:$F$1213,"&gt;=0")=2,IFERROR(INDEX($M$14:$M$313,MATCH($A89,$H$14:$H$313,0)),"Yes")&lt;&gt;"Yes"),1,0))</f>
        <v/>
      </c>
    </row>
    <row r="90" ht="24" customHeight="1">
      <c r="A90" s="19" t="n"/>
      <c r="B90" s="20" t="n"/>
      <c r="C90" s="21">
        <f>IFERROR(AVERAGE(P90:T90),"")</f>
        <v/>
      </c>
      <c r="D90" s="29" t="n"/>
      <c r="E90" s="29" t="n"/>
      <c r="F90" s="30">
        <f>IF(AND(ISNUMBER($D90),ISNUMBER($E90),$E90&gt;0,$D90&lt;=$E90),$D90/$E90,"")</f>
        <v/>
      </c>
      <c r="H90" s="19">
        <f>IFERROR(INDEX($A$14:$A$1213,MATCH(77,$AI$14:$AI$1213,0)),"")</f>
        <v/>
      </c>
      <c r="I90" s="24">
        <f>IF($H90="","",IF(COUNTIFS($A$14:$A$1213,$H90,$C$14:$C$1213,"&gt;=0")=0,"—",IFERROR(INDEX($B$14:$B$1213,MATCH($H90&amp;"|1",$Z$14:$Z$1213,0)),"(tied)")))</f>
        <v/>
      </c>
      <c r="J90" s="25">
        <f>IF($H90="","",IF(OR(COUNTIFS($A$14:$A$1213,$H90,$C$14:$C$1213,"&gt;=0")=0,COUNTIFS($A$14:$A$1213,$H90,$F$14:$F$1213,"&gt;=0")=0),"—",IF(OR(ISERROR(MATCH($H90&amp;"|1",$Z$14:$Z$1213,0)),ISERROR(MATCH($H90&amp;"|1",$AA$14:$AA$1213,0))),"Tie",IF(MATCH($H90&amp;"|1",$Z$14:$Z$1213,0)=MATCH($H90&amp;"|1",$AA$14:$AA$1213,0),"Hit","Miss"))))</f>
        <v/>
      </c>
      <c r="K90" s="24">
        <f>IF($H90="","",IF(COUNTIFS($A$14:$A$1213,$H90,$F$14:$F$1213,"&gt;=0")=0,"—",IFERROR(INDEX($B$14:$B$1213,MATCH($H90&amp;"|1",$AA$14:$AA$1213,0)),"(tied)")))</f>
        <v/>
      </c>
      <c r="L90" s="25">
        <f>IF($H90="","",IF((--(COUNTIFS($A$14:$A$1213,$H90,$P$14:$P$1213,"&gt;=0")&gt;0)+--(COUNTIFS($A$14:$A$1213,$H90,$Q$14:$Q$1213,"&gt;=0")&gt;0)+--(COUNTIFS($A$14:$A$1213,$H90,$R$14:$R$1213,"&gt;=0")&gt;0)+--(COUNTIFS($A$14:$A$1213,$H90,$S$14:$S$1213,"&gt;=0")&gt;0)+--(COUNTIFS($A$14:$A$1213,$H90,$T$14:$T$1213,"&gt;=0")&gt;0))&lt;2,"—",IF(SUMIFS($AH$14:$AH$1213,$A$14:$A$1213,$H90)=0,"Yes","No")))</f>
        <v/>
      </c>
      <c r="M90" s="25">
        <f>IF($H90="","",IF(COUNTIFS($A$14:$A$1213,$H90,$F$14:$F$1213,"&gt;=0")&lt;2,"—",IF(COUNTIFS($A$14:$A$1213,$H90,$F$14:$F$1213,_xlfn.MAXIFS($F$14:$F$1213,$A$14:$A$1213,$H90))&gt;1,"No",IF(NOT(ISNUMBER($AN90)),"—",IF((2*(1-NORMSDIST(ABS($AN90))))&lt;0.05,"Yes","No")))))</f>
        <v/>
      </c>
      <c r="N90" s="21">
        <f>IF($H90="","",IF(NOT(ISNUMBER($AN90)),"—",IF((2*(1-NORMSDIST(ABS($AN90))))&lt;0.001,"&lt;0.001",TEXT((2*(1-NORMSDIST(ABS($AN90)))),"0.000"))))</f>
        <v/>
      </c>
      <c r="P90" s="26" t="n"/>
      <c r="Q90" s="26" t="n"/>
      <c r="R90" s="26" t="n"/>
      <c r="S90" s="26" t="n"/>
      <c r="T90" s="26" t="n"/>
      <c r="V90" s="27">
        <f>IF(ISNUMBER($C90),COUNTIFS($A$14:$A$1213,$A90,$C$14:$C$1213,"&gt;"&amp;$C90)+(COUNTIFS($A$14:$A$1213,$A90,$C$14:$C$1213,"="&amp;$C90)+1)/2,"")</f>
        <v/>
      </c>
      <c r="W90" s="27">
        <f>IF(ISNUMBER($F90),COUNTIFS($A$14:$A$1213,$A90,$F$14:$F$1213,"&gt;"&amp;$F90)+(COUNTIFS($A$14:$A$1213,$A90,$F$14:$F$1213,"="&amp;$F90)+1)/2,"")</f>
        <v/>
      </c>
      <c r="X90" s="27">
        <f>IF(OR(NOT(ISNUMBER($V90)),$AO90=1),"",$V90-(COUNTIFS($A$14:$A$1213,$A90,$C$14:$C$1213,"&gt;=0")+1)/2)</f>
        <v/>
      </c>
      <c r="Y90" s="27">
        <f>IF(OR(NOT(ISNUMBER($W90)),$AO90=1),"",$W90-(COUNTIFS($A$14:$A$1213,$A90,$F$14:$F$1213,"&gt;=0")+1)/2)</f>
        <v/>
      </c>
      <c r="Z90" s="27">
        <f>IF(ISNUMBER($V90),$A90&amp;"|"&amp;$V90,"")</f>
        <v/>
      </c>
      <c r="AA90" s="27">
        <f>IF(ISNUMBER($W90),$A90&amp;"|"&amp;$W90,"")</f>
        <v/>
      </c>
      <c r="AB90" s="27">
        <f>IF(ISNUMBER($F90),$A90&amp;"|"&amp;$F90,"")</f>
        <v/>
      </c>
      <c r="AC90" s="27">
        <f>IF(ISNUMBER($P90),COUNTIFS($A$14:$A$1213,$A90,$P$14:$P$1213,"&gt;"&amp;$P90)+(COUNTIFS($A$14:$A$1213,$A90,$P$14:$P$1213,"="&amp;$P90)+1)/2,"")</f>
        <v/>
      </c>
      <c r="AD90" s="27">
        <f>IF(ISNUMBER($Q90),COUNTIFS($A$14:$A$1213,$A90,$Q$14:$Q$1213,"&gt;"&amp;$Q90)+(COUNTIFS($A$14:$A$1213,$A90,$Q$14:$Q$1213,"="&amp;$Q90)+1)/2,"")</f>
        <v/>
      </c>
      <c r="AE90" s="27">
        <f>IF(ISNUMBER($R90),COUNTIFS($A$14:$A$1213,$A90,$R$14:$R$1213,"&gt;"&amp;$R90)+(COUNTIFS($A$14:$A$1213,$A90,$R$14:$R$1213,"="&amp;$R90)+1)/2,"")</f>
        <v/>
      </c>
      <c r="AF90" s="27">
        <f>IF(ISNUMBER($S90),COUNTIFS($A$14:$A$1213,$A90,$S$14:$S$1213,"&gt;"&amp;$S90)+(COUNTIFS($A$14:$A$1213,$A90,$S$14:$S$1213,"="&amp;$S90)+1)/2,"")</f>
        <v/>
      </c>
      <c r="AG90" s="27">
        <f>IF(ISNUMBER($T90),COUNTIFS($A$14:$A$1213,$A90,$T$14:$T$1213,"&gt;"&amp;$T90)+(COUNTIFS($A$14:$A$1213,$A90,$T$14:$T$1213,"="&amp;$T90)+1)/2,"")</f>
        <v/>
      </c>
      <c r="AH90" s="27">
        <f>IF(COUNT($AC90:$AG90)&lt;2,"",IF(MAX($AC90:$AG90)=MIN($AC90:$AG90),0,1))</f>
        <v/>
      </c>
      <c r="AI90" s="27">
        <f>IF($A90="","",IF(COUNTIF($A$14:$A90,$A90)=1,COUNTIF($AI$13:AI89,"&gt;0")+1,""))</f>
        <v/>
      </c>
      <c r="AJ90" s="27">
        <f>IF(OR($H90="",COUNTIFS($A$14:$A$1213,$H90,$F$14:$F$1213,"&gt;=0")&lt;2,COUNTIFS($A$14:$A$1213,$H90,$F$14:$F$1213,_xlfn.MAXIFS($F$14:$F$1213,$A$14:$A$1213,$H90))&gt;1),"",IFERROR(INDEX($D$14:$D$1213,MATCH($H90&amp;"|"&amp;_xlfn.MAXIFS($F$14:$F$1213,$A$14:$A$1213,$H90),$AB$14:$AB$1213,0)),""))</f>
        <v/>
      </c>
      <c r="AK90" s="27">
        <f>IF(OR($H90="",COUNTIFS($A$14:$A$1213,$H90,$F$14:$F$1213,"&gt;=0")&lt;2,COUNTIFS($A$14:$A$1213,$H90,$F$14:$F$1213,_xlfn.MAXIFS($F$14:$F$1213,$A$14:$A$1213,$H90))&gt;1),"",IFERROR(INDEX($E$14:$E$1213,MATCH($H90&amp;"|"&amp;_xlfn.MAXIFS($F$14:$F$1213,$A$14:$A$1213,$H90),$AB$14:$AB$1213,0)),""))</f>
        <v/>
      </c>
      <c r="AL90" s="27">
        <f>IF(OR($H90="",COUNTIFS($A$14:$A$1213,$H90,$F$14:$F$1213,"&gt;=0")&lt;2,COUNTIFS($A$14:$A$1213,$H90,$F$14:$F$1213,_xlfn.MAXIFS($F$14:$F$1213,$A$14:$A$1213,$H90))&gt;1),"",IFERROR(INDEX($D$14:$D$1213,MATCH($H90&amp;"|"&amp;_xlfn.MAXIFS($F$14:$F$1213,$A$14:$A$1213,$H90,$F$14:$F$1213,"&lt;"&amp;_xlfn.MAXIFS($F$14:$F$1213,$A$14:$A$1213,$H90)),$AB$14:$AB$1213,0)),""))</f>
        <v/>
      </c>
      <c r="AM90" s="27">
        <f>IF(OR($H90="",COUNTIFS($A$14:$A$1213,$H90,$F$14:$F$1213,"&gt;=0")&lt;2,COUNTIFS($A$14:$A$1213,$H90,$F$14:$F$1213,_xlfn.MAXIFS($F$14:$F$1213,$A$14:$A$1213,$H90))&gt;1),"",IFERROR(INDEX($E$14:$E$1213,MATCH($H90&amp;"|"&amp;_xlfn.MAXIFS($F$14:$F$1213,$A$14:$A$1213,$H90,$F$14:$F$1213,"&lt;"&amp;_xlfn.MAXIFS($F$14:$F$1213,$A$14:$A$1213,$H90)),$AB$14:$AB$1213,0)),""))</f>
        <v/>
      </c>
      <c r="AN90" s="27">
        <f>IF(OR(NOT(ISNUMBER($AJ90)),NOT(ISNUMBER($AL90)),$AK90=0,$AM90=0),"",IF(OR((($AJ90+$AL90)/($AK90+$AM90))&lt;=0,(($AJ90+$AL90)/($AK90+$AM90))&gt;=1),"",($AJ90/$AK90-$AL90/$AM90)/SQRT((($AJ90+$AL90)/($AK90+$AM90))*(1-(($AJ90+$AL90)/($AK90+$AM90)))*(1/$AK90+1/$AM90))))</f>
        <v/>
      </c>
      <c r="AO90" s="27">
        <f>IF($A90="","",IF(AND(COUNTIFS($A$14:$A$1213,$A90,$F$14:$F$1213,"&gt;=0")=2,IFERROR(INDEX($M$14:$M$313,MATCH($A90,$H$14:$H$313,0)),"Yes")&lt;&gt;"Yes"),1,0))</f>
        <v/>
      </c>
    </row>
    <row r="91" ht="24" customHeight="1">
      <c r="A91" s="19" t="n"/>
      <c r="B91" s="20" t="n"/>
      <c r="C91" s="21">
        <f>IFERROR(AVERAGE(P91:T91),"")</f>
        <v/>
      </c>
      <c r="D91" s="29" t="n"/>
      <c r="E91" s="29" t="n"/>
      <c r="F91" s="30">
        <f>IF(AND(ISNUMBER($D91),ISNUMBER($E91),$E91&gt;0,$D91&lt;=$E91),$D91/$E91,"")</f>
        <v/>
      </c>
      <c r="H91" s="19">
        <f>IFERROR(INDEX($A$14:$A$1213,MATCH(78,$AI$14:$AI$1213,0)),"")</f>
        <v/>
      </c>
      <c r="I91" s="24">
        <f>IF($H91="","",IF(COUNTIFS($A$14:$A$1213,$H91,$C$14:$C$1213,"&gt;=0")=0,"—",IFERROR(INDEX($B$14:$B$1213,MATCH($H91&amp;"|1",$Z$14:$Z$1213,0)),"(tied)")))</f>
        <v/>
      </c>
      <c r="J91" s="25">
        <f>IF($H91="","",IF(OR(COUNTIFS($A$14:$A$1213,$H91,$C$14:$C$1213,"&gt;=0")=0,COUNTIFS($A$14:$A$1213,$H91,$F$14:$F$1213,"&gt;=0")=0),"—",IF(OR(ISERROR(MATCH($H91&amp;"|1",$Z$14:$Z$1213,0)),ISERROR(MATCH($H91&amp;"|1",$AA$14:$AA$1213,0))),"Tie",IF(MATCH($H91&amp;"|1",$Z$14:$Z$1213,0)=MATCH($H91&amp;"|1",$AA$14:$AA$1213,0),"Hit","Miss"))))</f>
        <v/>
      </c>
      <c r="K91" s="24">
        <f>IF($H91="","",IF(COUNTIFS($A$14:$A$1213,$H91,$F$14:$F$1213,"&gt;=0")=0,"—",IFERROR(INDEX($B$14:$B$1213,MATCH($H91&amp;"|1",$AA$14:$AA$1213,0)),"(tied)")))</f>
        <v/>
      </c>
      <c r="L91" s="25">
        <f>IF($H91="","",IF((--(COUNTIFS($A$14:$A$1213,$H91,$P$14:$P$1213,"&gt;=0")&gt;0)+--(COUNTIFS($A$14:$A$1213,$H91,$Q$14:$Q$1213,"&gt;=0")&gt;0)+--(COUNTIFS($A$14:$A$1213,$H91,$R$14:$R$1213,"&gt;=0")&gt;0)+--(COUNTIFS($A$14:$A$1213,$H91,$S$14:$S$1213,"&gt;=0")&gt;0)+--(COUNTIFS($A$14:$A$1213,$H91,$T$14:$T$1213,"&gt;=0")&gt;0))&lt;2,"—",IF(SUMIFS($AH$14:$AH$1213,$A$14:$A$1213,$H91)=0,"Yes","No")))</f>
        <v/>
      </c>
      <c r="M91" s="25">
        <f>IF($H91="","",IF(COUNTIFS($A$14:$A$1213,$H91,$F$14:$F$1213,"&gt;=0")&lt;2,"—",IF(COUNTIFS($A$14:$A$1213,$H91,$F$14:$F$1213,_xlfn.MAXIFS($F$14:$F$1213,$A$14:$A$1213,$H91))&gt;1,"No",IF(NOT(ISNUMBER($AN91)),"—",IF((2*(1-NORMSDIST(ABS($AN91))))&lt;0.05,"Yes","No")))))</f>
        <v/>
      </c>
      <c r="N91" s="21">
        <f>IF($H91="","",IF(NOT(ISNUMBER($AN91)),"—",IF((2*(1-NORMSDIST(ABS($AN91))))&lt;0.001,"&lt;0.001",TEXT((2*(1-NORMSDIST(ABS($AN91)))),"0.000"))))</f>
        <v/>
      </c>
      <c r="P91" s="26" t="n"/>
      <c r="Q91" s="26" t="n"/>
      <c r="R91" s="26" t="n"/>
      <c r="S91" s="26" t="n"/>
      <c r="T91" s="26" t="n"/>
      <c r="V91" s="27">
        <f>IF(ISNUMBER($C91),COUNTIFS($A$14:$A$1213,$A91,$C$14:$C$1213,"&gt;"&amp;$C91)+(COUNTIFS($A$14:$A$1213,$A91,$C$14:$C$1213,"="&amp;$C91)+1)/2,"")</f>
        <v/>
      </c>
      <c r="W91" s="27">
        <f>IF(ISNUMBER($F91),COUNTIFS($A$14:$A$1213,$A91,$F$14:$F$1213,"&gt;"&amp;$F91)+(COUNTIFS($A$14:$A$1213,$A91,$F$14:$F$1213,"="&amp;$F91)+1)/2,"")</f>
        <v/>
      </c>
      <c r="X91" s="27">
        <f>IF(OR(NOT(ISNUMBER($V91)),$AO91=1),"",$V91-(COUNTIFS($A$14:$A$1213,$A91,$C$14:$C$1213,"&gt;=0")+1)/2)</f>
        <v/>
      </c>
      <c r="Y91" s="27">
        <f>IF(OR(NOT(ISNUMBER($W91)),$AO91=1),"",$W91-(COUNTIFS($A$14:$A$1213,$A91,$F$14:$F$1213,"&gt;=0")+1)/2)</f>
        <v/>
      </c>
      <c r="Z91" s="27">
        <f>IF(ISNUMBER($V91),$A91&amp;"|"&amp;$V91,"")</f>
        <v/>
      </c>
      <c r="AA91" s="27">
        <f>IF(ISNUMBER($W91),$A91&amp;"|"&amp;$W91,"")</f>
        <v/>
      </c>
      <c r="AB91" s="27">
        <f>IF(ISNUMBER($F91),$A91&amp;"|"&amp;$F91,"")</f>
        <v/>
      </c>
      <c r="AC91" s="27">
        <f>IF(ISNUMBER($P91),COUNTIFS($A$14:$A$1213,$A91,$P$14:$P$1213,"&gt;"&amp;$P91)+(COUNTIFS($A$14:$A$1213,$A91,$P$14:$P$1213,"="&amp;$P91)+1)/2,"")</f>
        <v/>
      </c>
      <c r="AD91" s="27">
        <f>IF(ISNUMBER($Q91),COUNTIFS($A$14:$A$1213,$A91,$Q$14:$Q$1213,"&gt;"&amp;$Q91)+(COUNTIFS($A$14:$A$1213,$A91,$Q$14:$Q$1213,"="&amp;$Q91)+1)/2,"")</f>
        <v/>
      </c>
      <c r="AE91" s="27">
        <f>IF(ISNUMBER($R91),COUNTIFS($A$14:$A$1213,$A91,$R$14:$R$1213,"&gt;"&amp;$R91)+(COUNTIFS($A$14:$A$1213,$A91,$R$14:$R$1213,"="&amp;$R91)+1)/2,"")</f>
        <v/>
      </c>
      <c r="AF91" s="27">
        <f>IF(ISNUMBER($S91),COUNTIFS($A$14:$A$1213,$A91,$S$14:$S$1213,"&gt;"&amp;$S91)+(COUNTIFS($A$14:$A$1213,$A91,$S$14:$S$1213,"="&amp;$S91)+1)/2,"")</f>
        <v/>
      </c>
      <c r="AG91" s="27">
        <f>IF(ISNUMBER($T91),COUNTIFS($A$14:$A$1213,$A91,$T$14:$T$1213,"&gt;"&amp;$T91)+(COUNTIFS($A$14:$A$1213,$A91,$T$14:$T$1213,"="&amp;$T91)+1)/2,"")</f>
        <v/>
      </c>
      <c r="AH91" s="27">
        <f>IF(COUNT($AC91:$AG91)&lt;2,"",IF(MAX($AC91:$AG91)=MIN($AC91:$AG91),0,1))</f>
        <v/>
      </c>
      <c r="AI91" s="27">
        <f>IF($A91="","",IF(COUNTIF($A$14:$A91,$A91)=1,COUNTIF($AI$13:AI90,"&gt;0")+1,""))</f>
        <v/>
      </c>
      <c r="AJ91" s="27">
        <f>IF(OR($H91="",COUNTIFS($A$14:$A$1213,$H91,$F$14:$F$1213,"&gt;=0")&lt;2,COUNTIFS($A$14:$A$1213,$H91,$F$14:$F$1213,_xlfn.MAXIFS($F$14:$F$1213,$A$14:$A$1213,$H91))&gt;1),"",IFERROR(INDEX($D$14:$D$1213,MATCH($H91&amp;"|"&amp;_xlfn.MAXIFS($F$14:$F$1213,$A$14:$A$1213,$H91),$AB$14:$AB$1213,0)),""))</f>
        <v/>
      </c>
      <c r="AK91" s="27">
        <f>IF(OR($H91="",COUNTIFS($A$14:$A$1213,$H91,$F$14:$F$1213,"&gt;=0")&lt;2,COUNTIFS($A$14:$A$1213,$H91,$F$14:$F$1213,_xlfn.MAXIFS($F$14:$F$1213,$A$14:$A$1213,$H91))&gt;1),"",IFERROR(INDEX($E$14:$E$1213,MATCH($H91&amp;"|"&amp;_xlfn.MAXIFS($F$14:$F$1213,$A$14:$A$1213,$H91),$AB$14:$AB$1213,0)),""))</f>
        <v/>
      </c>
      <c r="AL91" s="27">
        <f>IF(OR($H91="",COUNTIFS($A$14:$A$1213,$H91,$F$14:$F$1213,"&gt;=0")&lt;2,COUNTIFS($A$14:$A$1213,$H91,$F$14:$F$1213,_xlfn.MAXIFS($F$14:$F$1213,$A$14:$A$1213,$H91))&gt;1),"",IFERROR(INDEX($D$14:$D$1213,MATCH($H91&amp;"|"&amp;_xlfn.MAXIFS($F$14:$F$1213,$A$14:$A$1213,$H91,$F$14:$F$1213,"&lt;"&amp;_xlfn.MAXIFS($F$14:$F$1213,$A$14:$A$1213,$H91)),$AB$14:$AB$1213,0)),""))</f>
        <v/>
      </c>
      <c r="AM91" s="27">
        <f>IF(OR($H91="",COUNTIFS($A$14:$A$1213,$H91,$F$14:$F$1213,"&gt;=0")&lt;2,COUNTIFS($A$14:$A$1213,$H91,$F$14:$F$1213,_xlfn.MAXIFS($F$14:$F$1213,$A$14:$A$1213,$H91))&gt;1),"",IFERROR(INDEX($E$14:$E$1213,MATCH($H91&amp;"|"&amp;_xlfn.MAXIFS($F$14:$F$1213,$A$14:$A$1213,$H91,$F$14:$F$1213,"&lt;"&amp;_xlfn.MAXIFS($F$14:$F$1213,$A$14:$A$1213,$H91)),$AB$14:$AB$1213,0)),""))</f>
        <v/>
      </c>
      <c r="AN91" s="27">
        <f>IF(OR(NOT(ISNUMBER($AJ91)),NOT(ISNUMBER($AL91)),$AK91=0,$AM91=0),"",IF(OR((($AJ91+$AL91)/($AK91+$AM91))&lt;=0,(($AJ91+$AL91)/($AK91+$AM91))&gt;=1),"",($AJ91/$AK91-$AL91/$AM91)/SQRT((($AJ91+$AL91)/($AK91+$AM91))*(1-(($AJ91+$AL91)/($AK91+$AM91)))*(1/$AK91+1/$AM91))))</f>
        <v/>
      </c>
      <c r="AO91" s="27">
        <f>IF($A91="","",IF(AND(COUNTIFS($A$14:$A$1213,$A91,$F$14:$F$1213,"&gt;=0")=2,IFERROR(INDEX($M$14:$M$313,MATCH($A91,$H$14:$H$313,0)),"Yes")&lt;&gt;"Yes"),1,0))</f>
        <v/>
      </c>
    </row>
    <row r="92" ht="24" customHeight="1">
      <c r="A92" s="19" t="n"/>
      <c r="B92" s="20" t="n"/>
      <c r="C92" s="21">
        <f>IFERROR(AVERAGE(P92:T92),"")</f>
        <v/>
      </c>
      <c r="D92" s="29" t="n"/>
      <c r="E92" s="29" t="n"/>
      <c r="F92" s="30">
        <f>IF(AND(ISNUMBER($D92),ISNUMBER($E92),$E92&gt;0,$D92&lt;=$E92),$D92/$E92,"")</f>
        <v/>
      </c>
      <c r="H92" s="19">
        <f>IFERROR(INDEX($A$14:$A$1213,MATCH(79,$AI$14:$AI$1213,0)),"")</f>
        <v/>
      </c>
      <c r="I92" s="24">
        <f>IF($H92="","",IF(COUNTIFS($A$14:$A$1213,$H92,$C$14:$C$1213,"&gt;=0")=0,"—",IFERROR(INDEX($B$14:$B$1213,MATCH($H92&amp;"|1",$Z$14:$Z$1213,0)),"(tied)")))</f>
        <v/>
      </c>
      <c r="J92" s="25">
        <f>IF($H92="","",IF(OR(COUNTIFS($A$14:$A$1213,$H92,$C$14:$C$1213,"&gt;=0")=0,COUNTIFS($A$14:$A$1213,$H92,$F$14:$F$1213,"&gt;=0")=0),"—",IF(OR(ISERROR(MATCH($H92&amp;"|1",$Z$14:$Z$1213,0)),ISERROR(MATCH($H92&amp;"|1",$AA$14:$AA$1213,0))),"Tie",IF(MATCH($H92&amp;"|1",$Z$14:$Z$1213,0)=MATCH($H92&amp;"|1",$AA$14:$AA$1213,0),"Hit","Miss"))))</f>
        <v/>
      </c>
      <c r="K92" s="24">
        <f>IF($H92="","",IF(COUNTIFS($A$14:$A$1213,$H92,$F$14:$F$1213,"&gt;=0")=0,"—",IFERROR(INDEX($B$14:$B$1213,MATCH($H92&amp;"|1",$AA$14:$AA$1213,0)),"(tied)")))</f>
        <v/>
      </c>
      <c r="L92" s="25">
        <f>IF($H92="","",IF((--(COUNTIFS($A$14:$A$1213,$H92,$P$14:$P$1213,"&gt;=0")&gt;0)+--(COUNTIFS($A$14:$A$1213,$H92,$Q$14:$Q$1213,"&gt;=0")&gt;0)+--(COUNTIFS($A$14:$A$1213,$H92,$R$14:$R$1213,"&gt;=0")&gt;0)+--(COUNTIFS($A$14:$A$1213,$H92,$S$14:$S$1213,"&gt;=0")&gt;0)+--(COUNTIFS($A$14:$A$1213,$H92,$T$14:$T$1213,"&gt;=0")&gt;0))&lt;2,"—",IF(SUMIFS($AH$14:$AH$1213,$A$14:$A$1213,$H92)=0,"Yes","No")))</f>
        <v/>
      </c>
      <c r="M92" s="25">
        <f>IF($H92="","",IF(COUNTIFS($A$14:$A$1213,$H92,$F$14:$F$1213,"&gt;=0")&lt;2,"—",IF(COUNTIFS($A$14:$A$1213,$H92,$F$14:$F$1213,_xlfn.MAXIFS($F$14:$F$1213,$A$14:$A$1213,$H92))&gt;1,"No",IF(NOT(ISNUMBER($AN92)),"—",IF((2*(1-NORMSDIST(ABS($AN92))))&lt;0.05,"Yes","No")))))</f>
        <v/>
      </c>
      <c r="N92" s="21">
        <f>IF($H92="","",IF(NOT(ISNUMBER($AN92)),"—",IF((2*(1-NORMSDIST(ABS($AN92))))&lt;0.001,"&lt;0.001",TEXT((2*(1-NORMSDIST(ABS($AN92)))),"0.000"))))</f>
        <v/>
      </c>
      <c r="P92" s="26" t="n"/>
      <c r="Q92" s="26" t="n"/>
      <c r="R92" s="26" t="n"/>
      <c r="S92" s="26" t="n"/>
      <c r="T92" s="26" t="n"/>
      <c r="V92" s="27">
        <f>IF(ISNUMBER($C92),COUNTIFS($A$14:$A$1213,$A92,$C$14:$C$1213,"&gt;"&amp;$C92)+(COUNTIFS($A$14:$A$1213,$A92,$C$14:$C$1213,"="&amp;$C92)+1)/2,"")</f>
        <v/>
      </c>
      <c r="W92" s="27">
        <f>IF(ISNUMBER($F92),COUNTIFS($A$14:$A$1213,$A92,$F$14:$F$1213,"&gt;"&amp;$F92)+(COUNTIFS($A$14:$A$1213,$A92,$F$14:$F$1213,"="&amp;$F92)+1)/2,"")</f>
        <v/>
      </c>
      <c r="X92" s="27">
        <f>IF(OR(NOT(ISNUMBER($V92)),$AO92=1),"",$V92-(COUNTIFS($A$14:$A$1213,$A92,$C$14:$C$1213,"&gt;=0")+1)/2)</f>
        <v/>
      </c>
      <c r="Y92" s="27">
        <f>IF(OR(NOT(ISNUMBER($W92)),$AO92=1),"",$W92-(COUNTIFS($A$14:$A$1213,$A92,$F$14:$F$1213,"&gt;=0")+1)/2)</f>
        <v/>
      </c>
      <c r="Z92" s="27">
        <f>IF(ISNUMBER($V92),$A92&amp;"|"&amp;$V92,"")</f>
        <v/>
      </c>
      <c r="AA92" s="27">
        <f>IF(ISNUMBER($W92),$A92&amp;"|"&amp;$W92,"")</f>
        <v/>
      </c>
      <c r="AB92" s="27">
        <f>IF(ISNUMBER($F92),$A92&amp;"|"&amp;$F92,"")</f>
        <v/>
      </c>
      <c r="AC92" s="27">
        <f>IF(ISNUMBER($P92),COUNTIFS($A$14:$A$1213,$A92,$P$14:$P$1213,"&gt;"&amp;$P92)+(COUNTIFS($A$14:$A$1213,$A92,$P$14:$P$1213,"="&amp;$P92)+1)/2,"")</f>
        <v/>
      </c>
      <c r="AD92" s="27">
        <f>IF(ISNUMBER($Q92),COUNTIFS($A$14:$A$1213,$A92,$Q$14:$Q$1213,"&gt;"&amp;$Q92)+(COUNTIFS($A$14:$A$1213,$A92,$Q$14:$Q$1213,"="&amp;$Q92)+1)/2,"")</f>
        <v/>
      </c>
      <c r="AE92" s="27">
        <f>IF(ISNUMBER($R92),COUNTIFS($A$14:$A$1213,$A92,$R$14:$R$1213,"&gt;"&amp;$R92)+(COUNTIFS($A$14:$A$1213,$A92,$R$14:$R$1213,"="&amp;$R92)+1)/2,"")</f>
        <v/>
      </c>
      <c r="AF92" s="27">
        <f>IF(ISNUMBER($S92),COUNTIFS($A$14:$A$1213,$A92,$S$14:$S$1213,"&gt;"&amp;$S92)+(COUNTIFS($A$14:$A$1213,$A92,$S$14:$S$1213,"="&amp;$S92)+1)/2,"")</f>
        <v/>
      </c>
      <c r="AG92" s="27">
        <f>IF(ISNUMBER($T92),COUNTIFS($A$14:$A$1213,$A92,$T$14:$T$1213,"&gt;"&amp;$T92)+(COUNTIFS($A$14:$A$1213,$A92,$T$14:$T$1213,"="&amp;$T92)+1)/2,"")</f>
        <v/>
      </c>
      <c r="AH92" s="27">
        <f>IF(COUNT($AC92:$AG92)&lt;2,"",IF(MAX($AC92:$AG92)=MIN($AC92:$AG92),0,1))</f>
        <v/>
      </c>
      <c r="AI92" s="27">
        <f>IF($A92="","",IF(COUNTIF($A$14:$A92,$A92)=1,COUNTIF($AI$13:AI91,"&gt;0")+1,""))</f>
        <v/>
      </c>
      <c r="AJ92" s="27">
        <f>IF(OR($H92="",COUNTIFS($A$14:$A$1213,$H92,$F$14:$F$1213,"&gt;=0")&lt;2,COUNTIFS($A$14:$A$1213,$H92,$F$14:$F$1213,_xlfn.MAXIFS($F$14:$F$1213,$A$14:$A$1213,$H92))&gt;1),"",IFERROR(INDEX($D$14:$D$1213,MATCH($H92&amp;"|"&amp;_xlfn.MAXIFS($F$14:$F$1213,$A$14:$A$1213,$H92),$AB$14:$AB$1213,0)),""))</f>
        <v/>
      </c>
      <c r="AK92" s="27">
        <f>IF(OR($H92="",COUNTIFS($A$14:$A$1213,$H92,$F$14:$F$1213,"&gt;=0")&lt;2,COUNTIFS($A$14:$A$1213,$H92,$F$14:$F$1213,_xlfn.MAXIFS($F$14:$F$1213,$A$14:$A$1213,$H92))&gt;1),"",IFERROR(INDEX($E$14:$E$1213,MATCH($H92&amp;"|"&amp;_xlfn.MAXIFS($F$14:$F$1213,$A$14:$A$1213,$H92),$AB$14:$AB$1213,0)),""))</f>
        <v/>
      </c>
      <c r="AL92" s="27">
        <f>IF(OR($H92="",COUNTIFS($A$14:$A$1213,$H92,$F$14:$F$1213,"&gt;=0")&lt;2,COUNTIFS($A$14:$A$1213,$H92,$F$14:$F$1213,_xlfn.MAXIFS($F$14:$F$1213,$A$14:$A$1213,$H92))&gt;1),"",IFERROR(INDEX($D$14:$D$1213,MATCH($H92&amp;"|"&amp;_xlfn.MAXIFS($F$14:$F$1213,$A$14:$A$1213,$H92,$F$14:$F$1213,"&lt;"&amp;_xlfn.MAXIFS($F$14:$F$1213,$A$14:$A$1213,$H92)),$AB$14:$AB$1213,0)),""))</f>
        <v/>
      </c>
      <c r="AM92" s="27">
        <f>IF(OR($H92="",COUNTIFS($A$14:$A$1213,$H92,$F$14:$F$1213,"&gt;=0")&lt;2,COUNTIFS($A$14:$A$1213,$H92,$F$14:$F$1213,_xlfn.MAXIFS($F$14:$F$1213,$A$14:$A$1213,$H92))&gt;1),"",IFERROR(INDEX($E$14:$E$1213,MATCH($H92&amp;"|"&amp;_xlfn.MAXIFS($F$14:$F$1213,$A$14:$A$1213,$H92,$F$14:$F$1213,"&lt;"&amp;_xlfn.MAXIFS($F$14:$F$1213,$A$14:$A$1213,$H92)),$AB$14:$AB$1213,0)),""))</f>
        <v/>
      </c>
      <c r="AN92" s="27">
        <f>IF(OR(NOT(ISNUMBER($AJ92)),NOT(ISNUMBER($AL92)),$AK92=0,$AM92=0),"",IF(OR((($AJ92+$AL92)/($AK92+$AM92))&lt;=0,(($AJ92+$AL92)/($AK92+$AM92))&gt;=1),"",($AJ92/$AK92-$AL92/$AM92)/SQRT((($AJ92+$AL92)/($AK92+$AM92))*(1-(($AJ92+$AL92)/($AK92+$AM92)))*(1/$AK92+1/$AM92))))</f>
        <v/>
      </c>
      <c r="AO92" s="27">
        <f>IF($A92="","",IF(AND(COUNTIFS($A$14:$A$1213,$A92,$F$14:$F$1213,"&gt;=0")=2,IFERROR(INDEX($M$14:$M$313,MATCH($A92,$H$14:$H$313,0)),"Yes")&lt;&gt;"Yes"),1,0))</f>
        <v/>
      </c>
    </row>
    <row r="93" ht="24" customHeight="1">
      <c r="A93" s="19" t="n"/>
      <c r="B93" s="20" t="n"/>
      <c r="C93" s="21">
        <f>IFERROR(AVERAGE(P93:T93),"")</f>
        <v/>
      </c>
      <c r="D93" s="29" t="n"/>
      <c r="E93" s="29" t="n"/>
      <c r="F93" s="30">
        <f>IF(AND(ISNUMBER($D93),ISNUMBER($E93),$E93&gt;0,$D93&lt;=$E93),$D93/$E93,"")</f>
        <v/>
      </c>
      <c r="H93" s="19">
        <f>IFERROR(INDEX($A$14:$A$1213,MATCH(80,$AI$14:$AI$1213,0)),"")</f>
        <v/>
      </c>
      <c r="I93" s="24">
        <f>IF($H93="","",IF(COUNTIFS($A$14:$A$1213,$H93,$C$14:$C$1213,"&gt;=0")=0,"—",IFERROR(INDEX($B$14:$B$1213,MATCH($H93&amp;"|1",$Z$14:$Z$1213,0)),"(tied)")))</f>
        <v/>
      </c>
      <c r="J93" s="25">
        <f>IF($H93="","",IF(OR(COUNTIFS($A$14:$A$1213,$H93,$C$14:$C$1213,"&gt;=0")=0,COUNTIFS($A$14:$A$1213,$H93,$F$14:$F$1213,"&gt;=0")=0),"—",IF(OR(ISERROR(MATCH($H93&amp;"|1",$Z$14:$Z$1213,0)),ISERROR(MATCH($H93&amp;"|1",$AA$14:$AA$1213,0))),"Tie",IF(MATCH($H93&amp;"|1",$Z$14:$Z$1213,0)=MATCH($H93&amp;"|1",$AA$14:$AA$1213,0),"Hit","Miss"))))</f>
        <v/>
      </c>
      <c r="K93" s="24">
        <f>IF($H93="","",IF(COUNTIFS($A$14:$A$1213,$H93,$F$14:$F$1213,"&gt;=0")=0,"—",IFERROR(INDEX($B$14:$B$1213,MATCH($H93&amp;"|1",$AA$14:$AA$1213,0)),"(tied)")))</f>
        <v/>
      </c>
      <c r="L93" s="25">
        <f>IF($H93="","",IF((--(COUNTIFS($A$14:$A$1213,$H93,$P$14:$P$1213,"&gt;=0")&gt;0)+--(COUNTIFS($A$14:$A$1213,$H93,$Q$14:$Q$1213,"&gt;=0")&gt;0)+--(COUNTIFS($A$14:$A$1213,$H93,$R$14:$R$1213,"&gt;=0")&gt;0)+--(COUNTIFS($A$14:$A$1213,$H93,$S$14:$S$1213,"&gt;=0")&gt;0)+--(COUNTIFS($A$14:$A$1213,$H93,$T$14:$T$1213,"&gt;=0")&gt;0))&lt;2,"—",IF(SUMIFS($AH$14:$AH$1213,$A$14:$A$1213,$H93)=0,"Yes","No")))</f>
        <v/>
      </c>
      <c r="M93" s="25">
        <f>IF($H93="","",IF(COUNTIFS($A$14:$A$1213,$H93,$F$14:$F$1213,"&gt;=0")&lt;2,"—",IF(COUNTIFS($A$14:$A$1213,$H93,$F$14:$F$1213,_xlfn.MAXIFS($F$14:$F$1213,$A$14:$A$1213,$H93))&gt;1,"No",IF(NOT(ISNUMBER($AN93)),"—",IF((2*(1-NORMSDIST(ABS($AN93))))&lt;0.05,"Yes","No")))))</f>
        <v/>
      </c>
      <c r="N93" s="21">
        <f>IF($H93="","",IF(NOT(ISNUMBER($AN93)),"—",IF((2*(1-NORMSDIST(ABS($AN93))))&lt;0.001,"&lt;0.001",TEXT((2*(1-NORMSDIST(ABS($AN93)))),"0.000"))))</f>
        <v/>
      </c>
      <c r="P93" s="26" t="n"/>
      <c r="Q93" s="26" t="n"/>
      <c r="R93" s="26" t="n"/>
      <c r="S93" s="26" t="n"/>
      <c r="T93" s="26" t="n"/>
      <c r="V93" s="27">
        <f>IF(ISNUMBER($C93),COUNTIFS($A$14:$A$1213,$A93,$C$14:$C$1213,"&gt;"&amp;$C93)+(COUNTIFS($A$14:$A$1213,$A93,$C$14:$C$1213,"="&amp;$C93)+1)/2,"")</f>
        <v/>
      </c>
      <c r="W93" s="27">
        <f>IF(ISNUMBER($F93),COUNTIFS($A$14:$A$1213,$A93,$F$14:$F$1213,"&gt;"&amp;$F93)+(COUNTIFS($A$14:$A$1213,$A93,$F$14:$F$1213,"="&amp;$F93)+1)/2,"")</f>
        <v/>
      </c>
      <c r="X93" s="27">
        <f>IF(OR(NOT(ISNUMBER($V93)),$AO93=1),"",$V93-(COUNTIFS($A$14:$A$1213,$A93,$C$14:$C$1213,"&gt;=0")+1)/2)</f>
        <v/>
      </c>
      <c r="Y93" s="27">
        <f>IF(OR(NOT(ISNUMBER($W93)),$AO93=1),"",$W93-(COUNTIFS($A$14:$A$1213,$A93,$F$14:$F$1213,"&gt;=0")+1)/2)</f>
        <v/>
      </c>
      <c r="Z93" s="27">
        <f>IF(ISNUMBER($V93),$A93&amp;"|"&amp;$V93,"")</f>
        <v/>
      </c>
      <c r="AA93" s="27">
        <f>IF(ISNUMBER($W93),$A93&amp;"|"&amp;$W93,"")</f>
        <v/>
      </c>
      <c r="AB93" s="27">
        <f>IF(ISNUMBER($F93),$A93&amp;"|"&amp;$F93,"")</f>
        <v/>
      </c>
      <c r="AC93" s="27">
        <f>IF(ISNUMBER($P93),COUNTIFS($A$14:$A$1213,$A93,$P$14:$P$1213,"&gt;"&amp;$P93)+(COUNTIFS($A$14:$A$1213,$A93,$P$14:$P$1213,"="&amp;$P93)+1)/2,"")</f>
        <v/>
      </c>
      <c r="AD93" s="27">
        <f>IF(ISNUMBER($Q93),COUNTIFS($A$14:$A$1213,$A93,$Q$14:$Q$1213,"&gt;"&amp;$Q93)+(COUNTIFS($A$14:$A$1213,$A93,$Q$14:$Q$1213,"="&amp;$Q93)+1)/2,"")</f>
        <v/>
      </c>
      <c r="AE93" s="27">
        <f>IF(ISNUMBER($R93),COUNTIFS($A$14:$A$1213,$A93,$R$14:$R$1213,"&gt;"&amp;$R93)+(COUNTIFS($A$14:$A$1213,$A93,$R$14:$R$1213,"="&amp;$R93)+1)/2,"")</f>
        <v/>
      </c>
      <c r="AF93" s="27">
        <f>IF(ISNUMBER($S93),COUNTIFS($A$14:$A$1213,$A93,$S$14:$S$1213,"&gt;"&amp;$S93)+(COUNTIFS($A$14:$A$1213,$A93,$S$14:$S$1213,"="&amp;$S93)+1)/2,"")</f>
        <v/>
      </c>
      <c r="AG93" s="27">
        <f>IF(ISNUMBER($T93),COUNTIFS($A$14:$A$1213,$A93,$T$14:$T$1213,"&gt;"&amp;$T93)+(COUNTIFS($A$14:$A$1213,$A93,$T$14:$T$1213,"="&amp;$T93)+1)/2,"")</f>
        <v/>
      </c>
      <c r="AH93" s="27">
        <f>IF(COUNT($AC93:$AG93)&lt;2,"",IF(MAX($AC93:$AG93)=MIN($AC93:$AG93),0,1))</f>
        <v/>
      </c>
      <c r="AI93" s="27">
        <f>IF($A93="","",IF(COUNTIF($A$14:$A93,$A93)=1,COUNTIF($AI$13:AI92,"&gt;0")+1,""))</f>
        <v/>
      </c>
      <c r="AJ93" s="27">
        <f>IF(OR($H93="",COUNTIFS($A$14:$A$1213,$H93,$F$14:$F$1213,"&gt;=0")&lt;2,COUNTIFS($A$14:$A$1213,$H93,$F$14:$F$1213,_xlfn.MAXIFS($F$14:$F$1213,$A$14:$A$1213,$H93))&gt;1),"",IFERROR(INDEX($D$14:$D$1213,MATCH($H93&amp;"|"&amp;_xlfn.MAXIFS($F$14:$F$1213,$A$14:$A$1213,$H93),$AB$14:$AB$1213,0)),""))</f>
        <v/>
      </c>
      <c r="AK93" s="27">
        <f>IF(OR($H93="",COUNTIFS($A$14:$A$1213,$H93,$F$14:$F$1213,"&gt;=0")&lt;2,COUNTIFS($A$14:$A$1213,$H93,$F$14:$F$1213,_xlfn.MAXIFS($F$14:$F$1213,$A$14:$A$1213,$H93))&gt;1),"",IFERROR(INDEX($E$14:$E$1213,MATCH($H93&amp;"|"&amp;_xlfn.MAXIFS($F$14:$F$1213,$A$14:$A$1213,$H93),$AB$14:$AB$1213,0)),""))</f>
        <v/>
      </c>
      <c r="AL93" s="27">
        <f>IF(OR($H93="",COUNTIFS($A$14:$A$1213,$H93,$F$14:$F$1213,"&gt;=0")&lt;2,COUNTIFS($A$14:$A$1213,$H93,$F$14:$F$1213,_xlfn.MAXIFS($F$14:$F$1213,$A$14:$A$1213,$H93))&gt;1),"",IFERROR(INDEX($D$14:$D$1213,MATCH($H93&amp;"|"&amp;_xlfn.MAXIFS($F$14:$F$1213,$A$14:$A$1213,$H93,$F$14:$F$1213,"&lt;"&amp;_xlfn.MAXIFS($F$14:$F$1213,$A$14:$A$1213,$H93)),$AB$14:$AB$1213,0)),""))</f>
        <v/>
      </c>
      <c r="AM93" s="27">
        <f>IF(OR($H93="",COUNTIFS($A$14:$A$1213,$H93,$F$14:$F$1213,"&gt;=0")&lt;2,COUNTIFS($A$14:$A$1213,$H93,$F$14:$F$1213,_xlfn.MAXIFS($F$14:$F$1213,$A$14:$A$1213,$H93))&gt;1),"",IFERROR(INDEX($E$14:$E$1213,MATCH($H93&amp;"|"&amp;_xlfn.MAXIFS($F$14:$F$1213,$A$14:$A$1213,$H93,$F$14:$F$1213,"&lt;"&amp;_xlfn.MAXIFS($F$14:$F$1213,$A$14:$A$1213,$H93)),$AB$14:$AB$1213,0)),""))</f>
        <v/>
      </c>
      <c r="AN93" s="27">
        <f>IF(OR(NOT(ISNUMBER($AJ93)),NOT(ISNUMBER($AL93)),$AK93=0,$AM93=0),"",IF(OR((($AJ93+$AL93)/($AK93+$AM93))&lt;=0,(($AJ93+$AL93)/($AK93+$AM93))&gt;=1),"",($AJ93/$AK93-$AL93/$AM93)/SQRT((($AJ93+$AL93)/($AK93+$AM93))*(1-(($AJ93+$AL93)/($AK93+$AM93)))*(1/$AK93+1/$AM93))))</f>
        <v/>
      </c>
      <c r="AO93" s="27">
        <f>IF($A93="","",IF(AND(COUNTIFS($A$14:$A$1213,$A93,$F$14:$F$1213,"&gt;=0")=2,IFERROR(INDEX($M$14:$M$313,MATCH($A93,$H$14:$H$313,0)),"Yes")&lt;&gt;"Yes"),1,0))</f>
        <v/>
      </c>
    </row>
    <row r="94" ht="24" customHeight="1">
      <c r="A94" s="19" t="n"/>
      <c r="B94" s="20" t="n"/>
      <c r="C94" s="21">
        <f>IFERROR(AVERAGE(P94:T94),"")</f>
        <v/>
      </c>
      <c r="D94" s="29" t="n"/>
      <c r="E94" s="29" t="n"/>
      <c r="F94" s="30">
        <f>IF(AND(ISNUMBER($D94),ISNUMBER($E94),$E94&gt;0,$D94&lt;=$E94),$D94/$E94,"")</f>
        <v/>
      </c>
      <c r="H94" s="19">
        <f>IFERROR(INDEX($A$14:$A$1213,MATCH(81,$AI$14:$AI$1213,0)),"")</f>
        <v/>
      </c>
      <c r="I94" s="24">
        <f>IF($H94="","",IF(COUNTIFS($A$14:$A$1213,$H94,$C$14:$C$1213,"&gt;=0")=0,"—",IFERROR(INDEX($B$14:$B$1213,MATCH($H94&amp;"|1",$Z$14:$Z$1213,0)),"(tied)")))</f>
        <v/>
      </c>
      <c r="J94" s="25">
        <f>IF($H94="","",IF(OR(COUNTIFS($A$14:$A$1213,$H94,$C$14:$C$1213,"&gt;=0")=0,COUNTIFS($A$14:$A$1213,$H94,$F$14:$F$1213,"&gt;=0")=0),"—",IF(OR(ISERROR(MATCH($H94&amp;"|1",$Z$14:$Z$1213,0)),ISERROR(MATCH($H94&amp;"|1",$AA$14:$AA$1213,0))),"Tie",IF(MATCH($H94&amp;"|1",$Z$14:$Z$1213,0)=MATCH($H94&amp;"|1",$AA$14:$AA$1213,0),"Hit","Miss"))))</f>
        <v/>
      </c>
      <c r="K94" s="24">
        <f>IF($H94="","",IF(COUNTIFS($A$14:$A$1213,$H94,$F$14:$F$1213,"&gt;=0")=0,"—",IFERROR(INDEX($B$14:$B$1213,MATCH($H94&amp;"|1",$AA$14:$AA$1213,0)),"(tied)")))</f>
        <v/>
      </c>
      <c r="L94" s="25">
        <f>IF($H94="","",IF((--(COUNTIFS($A$14:$A$1213,$H94,$P$14:$P$1213,"&gt;=0")&gt;0)+--(COUNTIFS($A$14:$A$1213,$H94,$Q$14:$Q$1213,"&gt;=0")&gt;0)+--(COUNTIFS($A$14:$A$1213,$H94,$R$14:$R$1213,"&gt;=0")&gt;0)+--(COUNTIFS($A$14:$A$1213,$H94,$S$14:$S$1213,"&gt;=0")&gt;0)+--(COUNTIFS($A$14:$A$1213,$H94,$T$14:$T$1213,"&gt;=0")&gt;0))&lt;2,"—",IF(SUMIFS($AH$14:$AH$1213,$A$14:$A$1213,$H94)=0,"Yes","No")))</f>
        <v/>
      </c>
      <c r="M94" s="25">
        <f>IF($H94="","",IF(COUNTIFS($A$14:$A$1213,$H94,$F$14:$F$1213,"&gt;=0")&lt;2,"—",IF(COUNTIFS($A$14:$A$1213,$H94,$F$14:$F$1213,_xlfn.MAXIFS($F$14:$F$1213,$A$14:$A$1213,$H94))&gt;1,"No",IF(NOT(ISNUMBER($AN94)),"—",IF((2*(1-NORMSDIST(ABS($AN94))))&lt;0.05,"Yes","No")))))</f>
        <v/>
      </c>
      <c r="N94" s="21">
        <f>IF($H94="","",IF(NOT(ISNUMBER($AN94)),"—",IF((2*(1-NORMSDIST(ABS($AN94))))&lt;0.001,"&lt;0.001",TEXT((2*(1-NORMSDIST(ABS($AN94)))),"0.000"))))</f>
        <v/>
      </c>
      <c r="P94" s="26" t="n"/>
      <c r="Q94" s="26" t="n"/>
      <c r="R94" s="26" t="n"/>
      <c r="S94" s="26" t="n"/>
      <c r="T94" s="26" t="n"/>
      <c r="V94" s="27">
        <f>IF(ISNUMBER($C94),COUNTIFS($A$14:$A$1213,$A94,$C$14:$C$1213,"&gt;"&amp;$C94)+(COUNTIFS($A$14:$A$1213,$A94,$C$14:$C$1213,"="&amp;$C94)+1)/2,"")</f>
        <v/>
      </c>
      <c r="W94" s="27">
        <f>IF(ISNUMBER($F94),COUNTIFS($A$14:$A$1213,$A94,$F$14:$F$1213,"&gt;"&amp;$F94)+(COUNTIFS($A$14:$A$1213,$A94,$F$14:$F$1213,"="&amp;$F94)+1)/2,"")</f>
        <v/>
      </c>
      <c r="X94" s="27">
        <f>IF(OR(NOT(ISNUMBER($V94)),$AO94=1),"",$V94-(COUNTIFS($A$14:$A$1213,$A94,$C$14:$C$1213,"&gt;=0")+1)/2)</f>
        <v/>
      </c>
      <c r="Y94" s="27">
        <f>IF(OR(NOT(ISNUMBER($W94)),$AO94=1),"",$W94-(COUNTIFS($A$14:$A$1213,$A94,$F$14:$F$1213,"&gt;=0")+1)/2)</f>
        <v/>
      </c>
      <c r="Z94" s="27">
        <f>IF(ISNUMBER($V94),$A94&amp;"|"&amp;$V94,"")</f>
        <v/>
      </c>
      <c r="AA94" s="27">
        <f>IF(ISNUMBER($W94),$A94&amp;"|"&amp;$W94,"")</f>
        <v/>
      </c>
      <c r="AB94" s="27">
        <f>IF(ISNUMBER($F94),$A94&amp;"|"&amp;$F94,"")</f>
        <v/>
      </c>
      <c r="AC94" s="27">
        <f>IF(ISNUMBER($P94),COUNTIFS($A$14:$A$1213,$A94,$P$14:$P$1213,"&gt;"&amp;$P94)+(COUNTIFS($A$14:$A$1213,$A94,$P$14:$P$1213,"="&amp;$P94)+1)/2,"")</f>
        <v/>
      </c>
      <c r="AD94" s="27">
        <f>IF(ISNUMBER($Q94),COUNTIFS($A$14:$A$1213,$A94,$Q$14:$Q$1213,"&gt;"&amp;$Q94)+(COUNTIFS($A$14:$A$1213,$A94,$Q$14:$Q$1213,"="&amp;$Q94)+1)/2,"")</f>
        <v/>
      </c>
      <c r="AE94" s="27">
        <f>IF(ISNUMBER($R94),COUNTIFS($A$14:$A$1213,$A94,$R$14:$R$1213,"&gt;"&amp;$R94)+(COUNTIFS($A$14:$A$1213,$A94,$R$14:$R$1213,"="&amp;$R94)+1)/2,"")</f>
        <v/>
      </c>
      <c r="AF94" s="27">
        <f>IF(ISNUMBER($S94),COUNTIFS($A$14:$A$1213,$A94,$S$14:$S$1213,"&gt;"&amp;$S94)+(COUNTIFS($A$14:$A$1213,$A94,$S$14:$S$1213,"="&amp;$S94)+1)/2,"")</f>
        <v/>
      </c>
      <c r="AG94" s="27">
        <f>IF(ISNUMBER($T94),COUNTIFS($A$14:$A$1213,$A94,$T$14:$T$1213,"&gt;"&amp;$T94)+(COUNTIFS($A$14:$A$1213,$A94,$T$14:$T$1213,"="&amp;$T94)+1)/2,"")</f>
        <v/>
      </c>
      <c r="AH94" s="27">
        <f>IF(COUNT($AC94:$AG94)&lt;2,"",IF(MAX($AC94:$AG94)=MIN($AC94:$AG94),0,1))</f>
        <v/>
      </c>
      <c r="AI94" s="27">
        <f>IF($A94="","",IF(COUNTIF($A$14:$A94,$A94)=1,COUNTIF($AI$13:AI93,"&gt;0")+1,""))</f>
        <v/>
      </c>
      <c r="AJ94" s="27">
        <f>IF(OR($H94="",COUNTIFS($A$14:$A$1213,$H94,$F$14:$F$1213,"&gt;=0")&lt;2,COUNTIFS($A$14:$A$1213,$H94,$F$14:$F$1213,_xlfn.MAXIFS($F$14:$F$1213,$A$14:$A$1213,$H94))&gt;1),"",IFERROR(INDEX($D$14:$D$1213,MATCH($H94&amp;"|"&amp;_xlfn.MAXIFS($F$14:$F$1213,$A$14:$A$1213,$H94),$AB$14:$AB$1213,0)),""))</f>
        <v/>
      </c>
      <c r="AK94" s="27">
        <f>IF(OR($H94="",COUNTIFS($A$14:$A$1213,$H94,$F$14:$F$1213,"&gt;=0")&lt;2,COUNTIFS($A$14:$A$1213,$H94,$F$14:$F$1213,_xlfn.MAXIFS($F$14:$F$1213,$A$14:$A$1213,$H94))&gt;1),"",IFERROR(INDEX($E$14:$E$1213,MATCH($H94&amp;"|"&amp;_xlfn.MAXIFS($F$14:$F$1213,$A$14:$A$1213,$H94),$AB$14:$AB$1213,0)),""))</f>
        <v/>
      </c>
      <c r="AL94" s="27">
        <f>IF(OR($H94="",COUNTIFS($A$14:$A$1213,$H94,$F$14:$F$1213,"&gt;=0")&lt;2,COUNTIFS($A$14:$A$1213,$H94,$F$14:$F$1213,_xlfn.MAXIFS($F$14:$F$1213,$A$14:$A$1213,$H94))&gt;1),"",IFERROR(INDEX($D$14:$D$1213,MATCH($H94&amp;"|"&amp;_xlfn.MAXIFS($F$14:$F$1213,$A$14:$A$1213,$H94,$F$14:$F$1213,"&lt;"&amp;_xlfn.MAXIFS($F$14:$F$1213,$A$14:$A$1213,$H94)),$AB$14:$AB$1213,0)),""))</f>
        <v/>
      </c>
      <c r="AM94" s="27">
        <f>IF(OR($H94="",COUNTIFS($A$14:$A$1213,$H94,$F$14:$F$1213,"&gt;=0")&lt;2,COUNTIFS($A$14:$A$1213,$H94,$F$14:$F$1213,_xlfn.MAXIFS($F$14:$F$1213,$A$14:$A$1213,$H94))&gt;1),"",IFERROR(INDEX($E$14:$E$1213,MATCH($H94&amp;"|"&amp;_xlfn.MAXIFS($F$14:$F$1213,$A$14:$A$1213,$H94,$F$14:$F$1213,"&lt;"&amp;_xlfn.MAXIFS($F$14:$F$1213,$A$14:$A$1213,$H94)),$AB$14:$AB$1213,0)),""))</f>
        <v/>
      </c>
      <c r="AN94" s="27">
        <f>IF(OR(NOT(ISNUMBER($AJ94)),NOT(ISNUMBER($AL94)),$AK94=0,$AM94=0),"",IF(OR((($AJ94+$AL94)/($AK94+$AM94))&lt;=0,(($AJ94+$AL94)/($AK94+$AM94))&gt;=1),"",($AJ94/$AK94-$AL94/$AM94)/SQRT((($AJ94+$AL94)/($AK94+$AM94))*(1-(($AJ94+$AL94)/($AK94+$AM94)))*(1/$AK94+1/$AM94))))</f>
        <v/>
      </c>
      <c r="AO94" s="27">
        <f>IF($A94="","",IF(AND(COUNTIFS($A$14:$A$1213,$A94,$F$14:$F$1213,"&gt;=0")=2,IFERROR(INDEX($M$14:$M$313,MATCH($A94,$H$14:$H$313,0)),"Yes")&lt;&gt;"Yes"),1,0))</f>
        <v/>
      </c>
    </row>
    <row r="95" ht="24" customHeight="1">
      <c r="A95" s="19" t="n"/>
      <c r="B95" s="20" t="n"/>
      <c r="C95" s="21">
        <f>IFERROR(AVERAGE(P95:T95),"")</f>
        <v/>
      </c>
      <c r="D95" s="29" t="n"/>
      <c r="E95" s="29" t="n"/>
      <c r="F95" s="30">
        <f>IF(AND(ISNUMBER($D95),ISNUMBER($E95),$E95&gt;0,$D95&lt;=$E95),$D95/$E95,"")</f>
        <v/>
      </c>
      <c r="H95" s="19">
        <f>IFERROR(INDEX($A$14:$A$1213,MATCH(82,$AI$14:$AI$1213,0)),"")</f>
        <v/>
      </c>
      <c r="I95" s="24">
        <f>IF($H95="","",IF(COUNTIFS($A$14:$A$1213,$H95,$C$14:$C$1213,"&gt;=0")=0,"—",IFERROR(INDEX($B$14:$B$1213,MATCH($H95&amp;"|1",$Z$14:$Z$1213,0)),"(tied)")))</f>
        <v/>
      </c>
      <c r="J95" s="25">
        <f>IF($H95="","",IF(OR(COUNTIFS($A$14:$A$1213,$H95,$C$14:$C$1213,"&gt;=0")=0,COUNTIFS($A$14:$A$1213,$H95,$F$14:$F$1213,"&gt;=0")=0),"—",IF(OR(ISERROR(MATCH($H95&amp;"|1",$Z$14:$Z$1213,0)),ISERROR(MATCH($H95&amp;"|1",$AA$14:$AA$1213,0))),"Tie",IF(MATCH($H95&amp;"|1",$Z$14:$Z$1213,0)=MATCH($H95&amp;"|1",$AA$14:$AA$1213,0),"Hit","Miss"))))</f>
        <v/>
      </c>
      <c r="K95" s="24">
        <f>IF($H95="","",IF(COUNTIFS($A$14:$A$1213,$H95,$F$14:$F$1213,"&gt;=0")=0,"—",IFERROR(INDEX($B$14:$B$1213,MATCH($H95&amp;"|1",$AA$14:$AA$1213,0)),"(tied)")))</f>
        <v/>
      </c>
      <c r="L95" s="25">
        <f>IF($H95="","",IF((--(COUNTIFS($A$14:$A$1213,$H95,$P$14:$P$1213,"&gt;=0")&gt;0)+--(COUNTIFS($A$14:$A$1213,$H95,$Q$14:$Q$1213,"&gt;=0")&gt;0)+--(COUNTIFS($A$14:$A$1213,$H95,$R$14:$R$1213,"&gt;=0")&gt;0)+--(COUNTIFS($A$14:$A$1213,$H95,$S$14:$S$1213,"&gt;=0")&gt;0)+--(COUNTIFS($A$14:$A$1213,$H95,$T$14:$T$1213,"&gt;=0")&gt;0))&lt;2,"—",IF(SUMIFS($AH$14:$AH$1213,$A$14:$A$1213,$H95)=0,"Yes","No")))</f>
        <v/>
      </c>
      <c r="M95" s="25">
        <f>IF($H95="","",IF(COUNTIFS($A$14:$A$1213,$H95,$F$14:$F$1213,"&gt;=0")&lt;2,"—",IF(COUNTIFS($A$14:$A$1213,$H95,$F$14:$F$1213,_xlfn.MAXIFS($F$14:$F$1213,$A$14:$A$1213,$H95))&gt;1,"No",IF(NOT(ISNUMBER($AN95)),"—",IF((2*(1-NORMSDIST(ABS($AN95))))&lt;0.05,"Yes","No")))))</f>
        <v/>
      </c>
      <c r="N95" s="21">
        <f>IF($H95="","",IF(NOT(ISNUMBER($AN95)),"—",IF((2*(1-NORMSDIST(ABS($AN95))))&lt;0.001,"&lt;0.001",TEXT((2*(1-NORMSDIST(ABS($AN95)))),"0.000"))))</f>
        <v/>
      </c>
      <c r="P95" s="26" t="n"/>
      <c r="Q95" s="26" t="n"/>
      <c r="R95" s="26" t="n"/>
      <c r="S95" s="26" t="n"/>
      <c r="T95" s="26" t="n"/>
      <c r="V95" s="27">
        <f>IF(ISNUMBER($C95),COUNTIFS($A$14:$A$1213,$A95,$C$14:$C$1213,"&gt;"&amp;$C95)+(COUNTIFS($A$14:$A$1213,$A95,$C$14:$C$1213,"="&amp;$C95)+1)/2,"")</f>
        <v/>
      </c>
      <c r="W95" s="27">
        <f>IF(ISNUMBER($F95),COUNTIFS($A$14:$A$1213,$A95,$F$14:$F$1213,"&gt;"&amp;$F95)+(COUNTIFS($A$14:$A$1213,$A95,$F$14:$F$1213,"="&amp;$F95)+1)/2,"")</f>
        <v/>
      </c>
      <c r="X95" s="27">
        <f>IF(OR(NOT(ISNUMBER($V95)),$AO95=1),"",$V95-(COUNTIFS($A$14:$A$1213,$A95,$C$14:$C$1213,"&gt;=0")+1)/2)</f>
        <v/>
      </c>
      <c r="Y95" s="27">
        <f>IF(OR(NOT(ISNUMBER($W95)),$AO95=1),"",$W95-(COUNTIFS($A$14:$A$1213,$A95,$F$14:$F$1213,"&gt;=0")+1)/2)</f>
        <v/>
      </c>
      <c r="Z95" s="27">
        <f>IF(ISNUMBER($V95),$A95&amp;"|"&amp;$V95,"")</f>
        <v/>
      </c>
      <c r="AA95" s="27">
        <f>IF(ISNUMBER($W95),$A95&amp;"|"&amp;$W95,"")</f>
        <v/>
      </c>
      <c r="AB95" s="27">
        <f>IF(ISNUMBER($F95),$A95&amp;"|"&amp;$F95,"")</f>
        <v/>
      </c>
      <c r="AC95" s="27">
        <f>IF(ISNUMBER($P95),COUNTIFS($A$14:$A$1213,$A95,$P$14:$P$1213,"&gt;"&amp;$P95)+(COUNTIFS($A$14:$A$1213,$A95,$P$14:$P$1213,"="&amp;$P95)+1)/2,"")</f>
        <v/>
      </c>
      <c r="AD95" s="27">
        <f>IF(ISNUMBER($Q95),COUNTIFS($A$14:$A$1213,$A95,$Q$14:$Q$1213,"&gt;"&amp;$Q95)+(COUNTIFS($A$14:$A$1213,$A95,$Q$14:$Q$1213,"="&amp;$Q95)+1)/2,"")</f>
        <v/>
      </c>
      <c r="AE95" s="27">
        <f>IF(ISNUMBER($R95),COUNTIFS($A$14:$A$1213,$A95,$R$14:$R$1213,"&gt;"&amp;$R95)+(COUNTIFS($A$14:$A$1213,$A95,$R$14:$R$1213,"="&amp;$R95)+1)/2,"")</f>
        <v/>
      </c>
      <c r="AF95" s="27">
        <f>IF(ISNUMBER($S95),COUNTIFS($A$14:$A$1213,$A95,$S$14:$S$1213,"&gt;"&amp;$S95)+(COUNTIFS($A$14:$A$1213,$A95,$S$14:$S$1213,"="&amp;$S95)+1)/2,"")</f>
        <v/>
      </c>
      <c r="AG95" s="27">
        <f>IF(ISNUMBER($T95),COUNTIFS($A$14:$A$1213,$A95,$T$14:$T$1213,"&gt;"&amp;$T95)+(COUNTIFS($A$14:$A$1213,$A95,$T$14:$T$1213,"="&amp;$T95)+1)/2,"")</f>
        <v/>
      </c>
      <c r="AH95" s="27">
        <f>IF(COUNT($AC95:$AG95)&lt;2,"",IF(MAX($AC95:$AG95)=MIN($AC95:$AG95),0,1))</f>
        <v/>
      </c>
      <c r="AI95" s="27">
        <f>IF($A95="","",IF(COUNTIF($A$14:$A95,$A95)=1,COUNTIF($AI$13:AI94,"&gt;0")+1,""))</f>
        <v/>
      </c>
      <c r="AJ95" s="27">
        <f>IF(OR($H95="",COUNTIFS($A$14:$A$1213,$H95,$F$14:$F$1213,"&gt;=0")&lt;2,COUNTIFS($A$14:$A$1213,$H95,$F$14:$F$1213,_xlfn.MAXIFS($F$14:$F$1213,$A$14:$A$1213,$H95))&gt;1),"",IFERROR(INDEX($D$14:$D$1213,MATCH($H95&amp;"|"&amp;_xlfn.MAXIFS($F$14:$F$1213,$A$14:$A$1213,$H95),$AB$14:$AB$1213,0)),""))</f>
        <v/>
      </c>
      <c r="AK95" s="27">
        <f>IF(OR($H95="",COUNTIFS($A$14:$A$1213,$H95,$F$14:$F$1213,"&gt;=0")&lt;2,COUNTIFS($A$14:$A$1213,$H95,$F$14:$F$1213,_xlfn.MAXIFS($F$14:$F$1213,$A$14:$A$1213,$H95))&gt;1),"",IFERROR(INDEX($E$14:$E$1213,MATCH($H95&amp;"|"&amp;_xlfn.MAXIFS($F$14:$F$1213,$A$14:$A$1213,$H95),$AB$14:$AB$1213,0)),""))</f>
        <v/>
      </c>
      <c r="AL95" s="27">
        <f>IF(OR($H95="",COUNTIFS($A$14:$A$1213,$H95,$F$14:$F$1213,"&gt;=0")&lt;2,COUNTIFS($A$14:$A$1213,$H95,$F$14:$F$1213,_xlfn.MAXIFS($F$14:$F$1213,$A$14:$A$1213,$H95))&gt;1),"",IFERROR(INDEX($D$14:$D$1213,MATCH($H95&amp;"|"&amp;_xlfn.MAXIFS($F$14:$F$1213,$A$14:$A$1213,$H95,$F$14:$F$1213,"&lt;"&amp;_xlfn.MAXIFS($F$14:$F$1213,$A$14:$A$1213,$H95)),$AB$14:$AB$1213,0)),""))</f>
        <v/>
      </c>
      <c r="AM95" s="27">
        <f>IF(OR($H95="",COUNTIFS($A$14:$A$1213,$H95,$F$14:$F$1213,"&gt;=0")&lt;2,COUNTIFS($A$14:$A$1213,$H95,$F$14:$F$1213,_xlfn.MAXIFS($F$14:$F$1213,$A$14:$A$1213,$H95))&gt;1),"",IFERROR(INDEX($E$14:$E$1213,MATCH($H95&amp;"|"&amp;_xlfn.MAXIFS($F$14:$F$1213,$A$14:$A$1213,$H95,$F$14:$F$1213,"&lt;"&amp;_xlfn.MAXIFS($F$14:$F$1213,$A$14:$A$1213,$H95)),$AB$14:$AB$1213,0)),""))</f>
        <v/>
      </c>
      <c r="AN95" s="27">
        <f>IF(OR(NOT(ISNUMBER($AJ95)),NOT(ISNUMBER($AL95)),$AK95=0,$AM95=0),"",IF(OR((($AJ95+$AL95)/($AK95+$AM95))&lt;=0,(($AJ95+$AL95)/($AK95+$AM95))&gt;=1),"",($AJ95/$AK95-$AL95/$AM95)/SQRT((($AJ95+$AL95)/($AK95+$AM95))*(1-(($AJ95+$AL95)/($AK95+$AM95)))*(1/$AK95+1/$AM95))))</f>
        <v/>
      </c>
      <c r="AO95" s="27">
        <f>IF($A95="","",IF(AND(COUNTIFS($A$14:$A$1213,$A95,$F$14:$F$1213,"&gt;=0")=2,IFERROR(INDEX($M$14:$M$313,MATCH($A95,$H$14:$H$313,0)),"Yes")&lt;&gt;"Yes"),1,0))</f>
        <v/>
      </c>
    </row>
    <row r="96" ht="24" customHeight="1">
      <c r="A96" s="19" t="n"/>
      <c r="B96" s="20" t="n"/>
      <c r="C96" s="21">
        <f>IFERROR(AVERAGE(P96:T96),"")</f>
        <v/>
      </c>
      <c r="D96" s="29" t="n"/>
      <c r="E96" s="29" t="n"/>
      <c r="F96" s="30">
        <f>IF(AND(ISNUMBER($D96),ISNUMBER($E96),$E96&gt;0,$D96&lt;=$E96),$D96/$E96,"")</f>
        <v/>
      </c>
      <c r="H96" s="19">
        <f>IFERROR(INDEX($A$14:$A$1213,MATCH(83,$AI$14:$AI$1213,0)),"")</f>
        <v/>
      </c>
      <c r="I96" s="24">
        <f>IF($H96="","",IF(COUNTIFS($A$14:$A$1213,$H96,$C$14:$C$1213,"&gt;=0")=0,"—",IFERROR(INDEX($B$14:$B$1213,MATCH($H96&amp;"|1",$Z$14:$Z$1213,0)),"(tied)")))</f>
        <v/>
      </c>
      <c r="J96" s="25">
        <f>IF($H96="","",IF(OR(COUNTIFS($A$14:$A$1213,$H96,$C$14:$C$1213,"&gt;=0")=0,COUNTIFS($A$14:$A$1213,$H96,$F$14:$F$1213,"&gt;=0")=0),"—",IF(OR(ISERROR(MATCH($H96&amp;"|1",$Z$14:$Z$1213,0)),ISERROR(MATCH($H96&amp;"|1",$AA$14:$AA$1213,0))),"Tie",IF(MATCH($H96&amp;"|1",$Z$14:$Z$1213,0)=MATCH($H96&amp;"|1",$AA$14:$AA$1213,0),"Hit","Miss"))))</f>
        <v/>
      </c>
      <c r="K96" s="24">
        <f>IF($H96="","",IF(COUNTIFS($A$14:$A$1213,$H96,$F$14:$F$1213,"&gt;=0")=0,"—",IFERROR(INDEX($B$14:$B$1213,MATCH($H96&amp;"|1",$AA$14:$AA$1213,0)),"(tied)")))</f>
        <v/>
      </c>
      <c r="L96" s="25">
        <f>IF($H96="","",IF((--(COUNTIFS($A$14:$A$1213,$H96,$P$14:$P$1213,"&gt;=0")&gt;0)+--(COUNTIFS($A$14:$A$1213,$H96,$Q$14:$Q$1213,"&gt;=0")&gt;0)+--(COUNTIFS($A$14:$A$1213,$H96,$R$14:$R$1213,"&gt;=0")&gt;0)+--(COUNTIFS($A$14:$A$1213,$H96,$S$14:$S$1213,"&gt;=0")&gt;0)+--(COUNTIFS($A$14:$A$1213,$H96,$T$14:$T$1213,"&gt;=0")&gt;0))&lt;2,"—",IF(SUMIFS($AH$14:$AH$1213,$A$14:$A$1213,$H96)=0,"Yes","No")))</f>
        <v/>
      </c>
      <c r="M96" s="25">
        <f>IF($H96="","",IF(COUNTIFS($A$14:$A$1213,$H96,$F$14:$F$1213,"&gt;=0")&lt;2,"—",IF(COUNTIFS($A$14:$A$1213,$H96,$F$14:$F$1213,_xlfn.MAXIFS($F$14:$F$1213,$A$14:$A$1213,$H96))&gt;1,"No",IF(NOT(ISNUMBER($AN96)),"—",IF((2*(1-NORMSDIST(ABS($AN96))))&lt;0.05,"Yes","No")))))</f>
        <v/>
      </c>
      <c r="N96" s="21">
        <f>IF($H96="","",IF(NOT(ISNUMBER($AN96)),"—",IF((2*(1-NORMSDIST(ABS($AN96))))&lt;0.001,"&lt;0.001",TEXT((2*(1-NORMSDIST(ABS($AN96)))),"0.000"))))</f>
        <v/>
      </c>
      <c r="P96" s="26" t="n"/>
      <c r="Q96" s="26" t="n"/>
      <c r="R96" s="26" t="n"/>
      <c r="S96" s="26" t="n"/>
      <c r="T96" s="26" t="n"/>
      <c r="V96" s="27">
        <f>IF(ISNUMBER($C96),COUNTIFS($A$14:$A$1213,$A96,$C$14:$C$1213,"&gt;"&amp;$C96)+(COUNTIFS($A$14:$A$1213,$A96,$C$14:$C$1213,"="&amp;$C96)+1)/2,"")</f>
        <v/>
      </c>
      <c r="W96" s="27">
        <f>IF(ISNUMBER($F96),COUNTIFS($A$14:$A$1213,$A96,$F$14:$F$1213,"&gt;"&amp;$F96)+(COUNTIFS($A$14:$A$1213,$A96,$F$14:$F$1213,"="&amp;$F96)+1)/2,"")</f>
        <v/>
      </c>
      <c r="X96" s="27">
        <f>IF(OR(NOT(ISNUMBER($V96)),$AO96=1),"",$V96-(COUNTIFS($A$14:$A$1213,$A96,$C$14:$C$1213,"&gt;=0")+1)/2)</f>
        <v/>
      </c>
      <c r="Y96" s="27">
        <f>IF(OR(NOT(ISNUMBER($W96)),$AO96=1),"",$W96-(COUNTIFS($A$14:$A$1213,$A96,$F$14:$F$1213,"&gt;=0")+1)/2)</f>
        <v/>
      </c>
      <c r="Z96" s="27">
        <f>IF(ISNUMBER($V96),$A96&amp;"|"&amp;$V96,"")</f>
        <v/>
      </c>
      <c r="AA96" s="27">
        <f>IF(ISNUMBER($W96),$A96&amp;"|"&amp;$W96,"")</f>
        <v/>
      </c>
      <c r="AB96" s="27">
        <f>IF(ISNUMBER($F96),$A96&amp;"|"&amp;$F96,"")</f>
        <v/>
      </c>
      <c r="AC96" s="27">
        <f>IF(ISNUMBER($P96),COUNTIFS($A$14:$A$1213,$A96,$P$14:$P$1213,"&gt;"&amp;$P96)+(COUNTIFS($A$14:$A$1213,$A96,$P$14:$P$1213,"="&amp;$P96)+1)/2,"")</f>
        <v/>
      </c>
      <c r="AD96" s="27">
        <f>IF(ISNUMBER($Q96),COUNTIFS($A$14:$A$1213,$A96,$Q$14:$Q$1213,"&gt;"&amp;$Q96)+(COUNTIFS($A$14:$A$1213,$A96,$Q$14:$Q$1213,"="&amp;$Q96)+1)/2,"")</f>
        <v/>
      </c>
      <c r="AE96" s="27">
        <f>IF(ISNUMBER($R96),COUNTIFS($A$14:$A$1213,$A96,$R$14:$R$1213,"&gt;"&amp;$R96)+(COUNTIFS($A$14:$A$1213,$A96,$R$14:$R$1213,"="&amp;$R96)+1)/2,"")</f>
        <v/>
      </c>
      <c r="AF96" s="27">
        <f>IF(ISNUMBER($S96),COUNTIFS($A$14:$A$1213,$A96,$S$14:$S$1213,"&gt;"&amp;$S96)+(COUNTIFS($A$14:$A$1213,$A96,$S$14:$S$1213,"="&amp;$S96)+1)/2,"")</f>
        <v/>
      </c>
      <c r="AG96" s="27">
        <f>IF(ISNUMBER($T96),COUNTIFS($A$14:$A$1213,$A96,$T$14:$T$1213,"&gt;"&amp;$T96)+(COUNTIFS($A$14:$A$1213,$A96,$T$14:$T$1213,"="&amp;$T96)+1)/2,"")</f>
        <v/>
      </c>
      <c r="AH96" s="27">
        <f>IF(COUNT($AC96:$AG96)&lt;2,"",IF(MAX($AC96:$AG96)=MIN($AC96:$AG96),0,1))</f>
        <v/>
      </c>
      <c r="AI96" s="27">
        <f>IF($A96="","",IF(COUNTIF($A$14:$A96,$A96)=1,COUNTIF($AI$13:AI95,"&gt;0")+1,""))</f>
        <v/>
      </c>
      <c r="AJ96" s="27">
        <f>IF(OR($H96="",COUNTIFS($A$14:$A$1213,$H96,$F$14:$F$1213,"&gt;=0")&lt;2,COUNTIFS($A$14:$A$1213,$H96,$F$14:$F$1213,_xlfn.MAXIFS($F$14:$F$1213,$A$14:$A$1213,$H96))&gt;1),"",IFERROR(INDEX($D$14:$D$1213,MATCH($H96&amp;"|"&amp;_xlfn.MAXIFS($F$14:$F$1213,$A$14:$A$1213,$H96),$AB$14:$AB$1213,0)),""))</f>
        <v/>
      </c>
      <c r="AK96" s="27">
        <f>IF(OR($H96="",COUNTIFS($A$14:$A$1213,$H96,$F$14:$F$1213,"&gt;=0")&lt;2,COUNTIFS($A$14:$A$1213,$H96,$F$14:$F$1213,_xlfn.MAXIFS($F$14:$F$1213,$A$14:$A$1213,$H96))&gt;1),"",IFERROR(INDEX($E$14:$E$1213,MATCH($H96&amp;"|"&amp;_xlfn.MAXIFS($F$14:$F$1213,$A$14:$A$1213,$H96),$AB$14:$AB$1213,0)),""))</f>
        <v/>
      </c>
      <c r="AL96" s="27">
        <f>IF(OR($H96="",COUNTIFS($A$14:$A$1213,$H96,$F$14:$F$1213,"&gt;=0")&lt;2,COUNTIFS($A$14:$A$1213,$H96,$F$14:$F$1213,_xlfn.MAXIFS($F$14:$F$1213,$A$14:$A$1213,$H96))&gt;1),"",IFERROR(INDEX($D$14:$D$1213,MATCH($H96&amp;"|"&amp;_xlfn.MAXIFS($F$14:$F$1213,$A$14:$A$1213,$H96,$F$14:$F$1213,"&lt;"&amp;_xlfn.MAXIFS($F$14:$F$1213,$A$14:$A$1213,$H96)),$AB$14:$AB$1213,0)),""))</f>
        <v/>
      </c>
      <c r="AM96" s="27">
        <f>IF(OR($H96="",COUNTIFS($A$14:$A$1213,$H96,$F$14:$F$1213,"&gt;=0")&lt;2,COUNTIFS($A$14:$A$1213,$H96,$F$14:$F$1213,_xlfn.MAXIFS($F$14:$F$1213,$A$14:$A$1213,$H96))&gt;1),"",IFERROR(INDEX($E$14:$E$1213,MATCH($H96&amp;"|"&amp;_xlfn.MAXIFS($F$14:$F$1213,$A$14:$A$1213,$H96,$F$14:$F$1213,"&lt;"&amp;_xlfn.MAXIFS($F$14:$F$1213,$A$14:$A$1213,$H96)),$AB$14:$AB$1213,0)),""))</f>
        <v/>
      </c>
      <c r="AN96" s="27">
        <f>IF(OR(NOT(ISNUMBER($AJ96)),NOT(ISNUMBER($AL96)),$AK96=0,$AM96=0),"",IF(OR((($AJ96+$AL96)/($AK96+$AM96))&lt;=0,(($AJ96+$AL96)/($AK96+$AM96))&gt;=1),"",($AJ96/$AK96-$AL96/$AM96)/SQRT((($AJ96+$AL96)/($AK96+$AM96))*(1-(($AJ96+$AL96)/($AK96+$AM96)))*(1/$AK96+1/$AM96))))</f>
        <v/>
      </c>
      <c r="AO96" s="27">
        <f>IF($A96="","",IF(AND(COUNTIFS($A$14:$A$1213,$A96,$F$14:$F$1213,"&gt;=0")=2,IFERROR(INDEX($M$14:$M$313,MATCH($A96,$H$14:$H$313,0)),"Yes")&lt;&gt;"Yes"),1,0))</f>
        <v/>
      </c>
    </row>
    <row r="97" ht="24" customHeight="1">
      <c r="A97" s="19" t="n"/>
      <c r="B97" s="20" t="n"/>
      <c r="C97" s="21">
        <f>IFERROR(AVERAGE(P97:T97),"")</f>
        <v/>
      </c>
      <c r="D97" s="29" t="n"/>
      <c r="E97" s="29" t="n"/>
      <c r="F97" s="30">
        <f>IF(AND(ISNUMBER($D97),ISNUMBER($E97),$E97&gt;0,$D97&lt;=$E97),$D97/$E97,"")</f>
        <v/>
      </c>
      <c r="H97" s="19">
        <f>IFERROR(INDEX($A$14:$A$1213,MATCH(84,$AI$14:$AI$1213,0)),"")</f>
        <v/>
      </c>
      <c r="I97" s="24">
        <f>IF($H97="","",IF(COUNTIFS($A$14:$A$1213,$H97,$C$14:$C$1213,"&gt;=0")=0,"—",IFERROR(INDEX($B$14:$B$1213,MATCH($H97&amp;"|1",$Z$14:$Z$1213,0)),"(tied)")))</f>
        <v/>
      </c>
      <c r="J97" s="25">
        <f>IF($H97="","",IF(OR(COUNTIFS($A$14:$A$1213,$H97,$C$14:$C$1213,"&gt;=0")=0,COUNTIFS($A$14:$A$1213,$H97,$F$14:$F$1213,"&gt;=0")=0),"—",IF(OR(ISERROR(MATCH($H97&amp;"|1",$Z$14:$Z$1213,0)),ISERROR(MATCH($H97&amp;"|1",$AA$14:$AA$1213,0))),"Tie",IF(MATCH($H97&amp;"|1",$Z$14:$Z$1213,0)=MATCH($H97&amp;"|1",$AA$14:$AA$1213,0),"Hit","Miss"))))</f>
        <v/>
      </c>
      <c r="K97" s="24">
        <f>IF($H97="","",IF(COUNTIFS($A$14:$A$1213,$H97,$F$14:$F$1213,"&gt;=0")=0,"—",IFERROR(INDEX($B$14:$B$1213,MATCH($H97&amp;"|1",$AA$14:$AA$1213,0)),"(tied)")))</f>
        <v/>
      </c>
      <c r="L97" s="25">
        <f>IF($H97="","",IF((--(COUNTIFS($A$14:$A$1213,$H97,$P$14:$P$1213,"&gt;=0")&gt;0)+--(COUNTIFS($A$14:$A$1213,$H97,$Q$14:$Q$1213,"&gt;=0")&gt;0)+--(COUNTIFS($A$14:$A$1213,$H97,$R$14:$R$1213,"&gt;=0")&gt;0)+--(COUNTIFS($A$14:$A$1213,$H97,$S$14:$S$1213,"&gt;=0")&gt;0)+--(COUNTIFS($A$14:$A$1213,$H97,$T$14:$T$1213,"&gt;=0")&gt;0))&lt;2,"—",IF(SUMIFS($AH$14:$AH$1213,$A$14:$A$1213,$H97)=0,"Yes","No")))</f>
        <v/>
      </c>
      <c r="M97" s="25">
        <f>IF($H97="","",IF(COUNTIFS($A$14:$A$1213,$H97,$F$14:$F$1213,"&gt;=0")&lt;2,"—",IF(COUNTIFS($A$14:$A$1213,$H97,$F$14:$F$1213,_xlfn.MAXIFS($F$14:$F$1213,$A$14:$A$1213,$H97))&gt;1,"No",IF(NOT(ISNUMBER($AN97)),"—",IF((2*(1-NORMSDIST(ABS($AN97))))&lt;0.05,"Yes","No")))))</f>
        <v/>
      </c>
      <c r="N97" s="21">
        <f>IF($H97="","",IF(NOT(ISNUMBER($AN97)),"—",IF((2*(1-NORMSDIST(ABS($AN97))))&lt;0.001,"&lt;0.001",TEXT((2*(1-NORMSDIST(ABS($AN97)))),"0.000"))))</f>
        <v/>
      </c>
      <c r="P97" s="26" t="n"/>
      <c r="Q97" s="26" t="n"/>
      <c r="R97" s="26" t="n"/>
      <c r="S97" s="26" t="n"/>
      <c r="T97" s="26" t="n"/>
      <c r="V97" s="27">
        <f>IF(ISNUMBER($C97),COUNTIFS($A$14:$A$1213,$A97,$C$14:$C$1213,"&gt;"&amp;$C97)+(COUNTIFS($A$14:$A$1213,$A97,$C$14:$C$1213,"="&amp;$C97)+1)/2,"")</f>
        <v/>
      </c>
      <c r="W97" s="27">
        <f>IF(ISNUMBER($F97),COUNTIFS($A$14:$A$1213,$A97,$F$14:$F$1213,"&gt;"&amp;$F97)+(COUNTIFS($A$14:$A$1213,$A97,$F$14:$F$1213,"="&amp;$F97)+1)/2,"")</f>
        <v/>
      </c>
      <c r="X97" s="27">
        <f>IF(OR(NOT(ISNUMBER($V97)),$AO97=1),"",$V97-(COUNTIFS($A$14:$A$1213,$A97,$C$14:$C$1213,"&gt;=0")+1)/2)</f>
        <v/>
      </c>
      <c r="Y97" s="27">
        <f>IF(OR(NOT(ISNUMBER($W97)),$AO97=1),"",$W97-(COUNTIFS($A$14:$A$1213,$A97,$F$14:$F$1213,"&gt;=0")+1)/2)</f>
        <v/>
      </c>
      <c r="Z97" s="27">
        <f>IF(ISNUMBER($V97),$A97&amp;"|"&amp;$V97,"")</f>
        <v/>
      </c>
      <c r="AA97" s="27">
        <f>IF(ISNUMBER($W97),$A97&amp;"|"&amp;$W97,"")</f>
        <v/>
      </c>
      <c r="AB97" s="27">
        <f>IF(ISNUMBER($F97),$A97&amp;"|"&amp;$F97,"")</f>
        <v/>
      </c>
      <c r="AC97" s="27">
        <f>IF(ISNUMBER($P97),COUNTIFS($A$14:$A$1213,$A97,$P$14:$P$1213,"&gt;"&amp;$P97)+(COUNTIFS($A$14:$A$1213,$A97,$P$14:$P$1213,"="&amp;$P97)+1)/2,"")</f>
        <v/>
      </c>
      <c r="AD97" s="27">
        <f>IF(ISNUMBER($Q97),COUNTIFS($A$14:$A$1213,$A97,$Q$14:$Q$1213,"&gt;"&amp;$Q97)+(COUNTIFS($A$14:$A$1213,$A97,$Q$14:$Q$1213,"="&amp;$Q97)+1)/2,"")</f>
        <v/>
      </c>
      <c r="AE97" s="27">
        <f>IF(ISNUMBER($R97),COUNTIFS($A$14:$A$1213,$A97,$R$14:$R$1213,"&gt;"&amp;$R97)+(COUNTIFS($A$14:$A$1213,$A97,$R$14:$R$1213,"="&amp;$R97)+1)/2,"")</f>
        <v/>
      </c>
      <c r="AF97" s="27">
        <f>IF(ISNUMBER($S97),COUNTIFS($A$14:$A$1213,$A97,$S$14:$S$1213,"&gt;"&amp;$S97)+(COUNTIFS($A$14:$A$1213,$A97,$S$14:$S$1213,"="&amp;$S97)+1)/2,"")</f>
        <v/>
      </c>
      <c r="AG97" s="27">
        <f>IF(ISNUMBER($T97),COUNTIFS($A$14:$A$1213,$A97,$T$14:$T$1213,"&gt;"&amp;$T97)+(COUNTIFS($A$14:$A$1213,$A97,$T$14:$T$1213,"="&amp;$T97)+1)/2,"")</f>
        <v/>
      </c>
      <c r="AH97" s="27">
        <f>IF(COUNT($AC97:$AG97)&lt;2,"",IF(MAX($AC97:$AG97)=MIN($AC97:$AG97),0,1))</f>
        <v/>
      </c>
      <c r="AI97" s="27">
        <f>IF($A97="","",IF(COUNTIF($A$14:$A97,$A97)=1,COUNTIF($AI$13:AI96,"&gt;0")+1,""))</f>
        <v/>
      </c>
      <c r="AJ97" s="27">
        <f>IF(OR($H97="",COUNTIFS($A$14:$A$1213,$H97,$F$14:$F$1213,"&gt;=0")&lt;2,COUNTIFS($A$14:$A$1213,$H97,$F$14:$F$1213,_xlfn.MAXIFS($F$14:$F$1213,$A$14:$A$1213,$H97))&gt;1),"",IFERROR(INDEX($D$14:$D$1213,MATCH($H97&amp;"|"&amp;_xlfn.MAXIFS($F$14:$F$1213,$A$14:$A$1213,$H97),$AB$14:$AB$1213,0)),""))</f>
        <v/>
      </c>
      <c r="AK97" s="27">
        <f>IF(OR($H97="",COUNTIFS($A$14:$A$1213,$H97,$F$14:$F$1213,"&gt;=0")&lt;2,COUNTIFS($A$14:$A$1213,$H97,$F$14:$F$1213,_xlfn.MAXIFS($F$14:$F$1213,$A$14:$A$1213,$H97))&gt;1),"",IFERROR(INDEX($E$14:$E$1213,MATCH($H97&amp;"|"&amp;_xlfn.MAXIFS($F$14:$F$1213,$A$14:$A$1213,$H97),$AB$14:$AB$1213,0)),""))</f>
        <v/>
      </c>
      <c r="AL97" s="27">
        <f>IF(OR($H97="",COUNTIFS($A$14:$A$1213,$H97,$F$14:$F$1213,"&gt;=0")&lt;2,COUNTIFS($A$14:$A$1213,$H97,$F$14:$F$1213,_xlfn.MAXIFS($F$14:$F$1213,$A$14:$A$1213,$H97))&gt;1),"",IFERROR(INDEX($D$14:$D$1213,MATCH($H97&amp;"|"&amp;_xlfn.MAXIFS($F$14:$F$1213,$A$14:$A$1213,$H97,$F$14:$F$1213,"&lt;"&amp;_xlfn.MAXIFS($F$14:$F$1213,$A$14:$A$1213,$H97)),$AB$14:$AB$1213,0)),""))</f>
        <v/>
      </c>
      <c r="AM97" s="27">
        <f>IF(OR($H97="",COUNTIFS($A$14:$A$1213,$H97,$F$14:$F$1213,"&gt;=0")&lt;2,COUNTIFS($A$14:$A$1213,$H97,$F$14:$F$1213,_xlfn.MAXIFS($F$14:$F$1213,$A$14:$A$1213,$H97))&gt;1),"",IFERROR(INDEX($E$14:$E$1213,MATCH($H97&amp;"|"&amp;_xlfn.MAXIFS($F$14:$F$1213,$A$14:$A$1213,$H97,$F$14:$F$1213,"&lt;"&amp;_xlfn.MAXIFS($F$14:$F$1213,$A$14:$A$1213,$H97)),$AB$14:$AB$1213,0)),""))</f>
        <v/>
      </c>
      <c r="AN97" s="27">
        <f>IF(OR(NOT(ISNUMBER($AJ97)),NOT(ISNUMBER($AL97)),$AK97=0,$AM97=0),"",IF(OR((($AJ97+$AL97)/($AK97+$AM97))&lt;=0,(($AJ97+$AL97)/($AK97+$AM97))&gt;=1),"",($AJ97/$AK97-$AL97/$AM97)/SQRT((($AJ97+$AL97)/($AK97+$AM97))*(1-(($AJ97+$AL97)/($AK97+$AM97)))*(1/$AK97+1/$AM97))))</f>
        <v/>
      </c>
      <c r="AO97" s="27">
        <f>IF($A97="","",IF(AND(COUNTIFS($A$14:$A$1213,$A97,$F$14:$F$1213,"&gt;=0")=2,IFERROR(INDEX($M$14:$M$313,MATCH($A97,$H$14:$H$313,0)),"Yes")&lt;&gt;"Yes"),1,0))</f>
        <v/>
      </c>
    </row>
    <row r="98" ht="24" customHeight="1">
      <c r="A98" s="19" t="n"/>
      <c r="B98" s="20" t="n"/>
      <c r="C98" s="21">
        <f>IFERROR(AVERAGE(P98:T98),"")</f>
        <v/>
      </c>
      <c r="D98" s="29" t="n"/>
      <c r="E98" s="29" t="n"/>
      <c r="F98" s="30">
        <f>IF(AND(ISNUMBER($D98),ISNUMBER($E98),$E98&gt;0,$D98&lt;=$E98),$D98/$E98,"")</f>
        <v/>
      </c>
      <c r="H98" s="19">
        <f>IFERROR(INDEX($A$14:$A$1213,MATCH(85,$AI$14:$AI$1213,0)),"")</f>
        <v/>
      </c>
      <c r="I98" s="24">
        <f>IF($H98="","",IF(COUNTIFS($A$14:$A$1213,$H98,$C$14:$C$1213,"&gt;=0")=0,"—",IFERROR(INDEX($B$14:$B$1213,MATCH($H98&amp;"|1",$Z$14:$Z$1213,0)),"(tied)")))</f>
        <v/>
      </c>
      <c r="J98" s="25">
        <f>IF($H98="","",IF(OR(COUNTIFS($A$14:$A$1213,$H98,$C$14:$C$1213,"&gt;=0")=0,COUNTIFS($A$14:$A$1213,$H98,$F$14:$F$1213,"&gt;=0")=0),"—",IF(OR(ISERROR(MATCH($H98&amp;"|1",$Z$14:$Z$1213,0)),ISERROR(MATCH($H98&amp;"|1",$AA$14:$AA$1213,0))),"Tie",IF(MATCH($H98&amp;"|1",$Z$14:$Z$1213,0)=MATCH($H98&amp;"|1",$AA$14:$AA$1213,0),"Hit","Miss"))))</f>
        <v/>
      </c>
      <c r="K98" s="24">
        <f>IF($H98="","",IF(COUNTIFS($A$14:$A$1213,$H98,$F$14:$F$1213,"&gt;=0")=0,"—",IFERROR(INDEX($B$14:$B$1213,MATCH($H98&amp;"|1",$AA$14:$AA$1213,0)),"(tied)")))</f>
        <v/>
      </c>
      <c r="L98" s="25">
        <f>IF($H98="","",IF((--(COUNTIFS($A$14:$A$1213,$H98,$P$14:$P$1213,"&gt;=0")&gt;0)+--(COUNTIFS($A$14:$A$1213,$H98,$Q$14:$Q$1213,"&gt;=0")&gt;0)+--(COUNTIFS($A$14:$A$1213,$H98,$R$14:$R$1213,"&gt;=0")&gt;0)+--(COUNTIFS($A$14:$A$1213,$H98,$S$14:$S$1213,"&gt;=0")&gt;0)+--(COUNTIFS($A$14:$A$1213,$H98,$T$14:$T$1213,"&gt;=0")&gt;0))&lt;2,"—",IF(SUMIFS($AH$14:$AH$1213,$A$14:$A$1213,$H98)=0,"Yes","No")))</f>
        <v/>
      </c>
      <c r="M98" s="25">
        <f>IF($H98="","",IF(COUNTIFS($A$14:$A$1213,$H98,$F$14:$F$1213,"&gt;=0")&lt;2,"—",IF(COUNTIFS($A$14:$A$1213,$H98,$F$14:$F$1213,_xlfn.MAXIFS($F$14:$F$1213,$A$14:$A$1213,$H98))&gt;1,"No",IF(NOT(ISNUMBER($AN98)),"—",IF((2*(1-NORMSDIST(ABS($AN98))))&lt;0.05,"Yes","No")))))</f>
        <v/>
      </c>
      <c r="N98" s="21">
        <f>IF($H98="","",IF(NOT(ISNUMBER($AN98)),"—",IF((2*(1-NORMSDIST(ABS($AN98))))&lt;0.001,"&lt;0.001",TEXT((2*(1-NORMSDIST(ABS($AN98)))),"0.000"))))</f>
        <v/>
      </c>
      <c r="P98" s="26" t="n"/>
      <c r="Q98" s="26" t="n"/>
      <c r="R98" s="26" t="n"/>
      <c r="S98" s="26" t="n"/>
      <c r="T98" s="26" t="n"/>
      <c r="V98" s="27">
        <f>IF(ISNUMBER($C98),COUNTIFS($A$14:$A$1213,$A98,$C$14:$C$1213,"&gt;"&amp;$C98)+(COUNTIFS($A$14:$A$1213,$A98,$C$14:$C$1213,"="&amp;$C98)+1)/2,"")</f>
        <v/>
      </c>
      <c r="W98" s="27">
        <f>IF(ISNUMBER($F98),COUNTIFS($A$14:$A$1213,$A98,$F$14:$F$1213,"&gt;"&amp;$F98)+(COUNTIFS($A$14:$A$1213,$A98,$F$14:$F$1213,"="&amp;$F98)+1)/2,"")</f>
        <v/>
      </c>
      <c r="X98" s="27">
        <f>IF(OR(NOT(ISNUMBER($V98)),$AO98=1),"",$V98-(COUNTIFS($A$14:$A$1213,$A98,$C$14:$C$1213,"&gt;=0")+1)/2)</f>
        <v/>
      </c>
      <c r="Y98" s="27">
        <f>IF(OR(NOT(ISNUMBER($W98)),$AO98=1),"",$W98-(COUNTIFS($A$14:$A$1213,$A98,$F$14:$F$1213,"&gt;=0")+1)/2)</f>
        <v/>
      </c>
      <c r="Z98" s="27">
        <f>IF(ISNUMBER($V98),$A98&amp;"|"&amp;$V98,"")</f>
        <v/>
      </c>
      <c r="AA98" s="27">
        <f>IF(ISNUMBER($W98),$A98&amp;"|"&amp;$W98,"")</f>
        <v/>
      </c>
      <c r="AB98" s="27">
        <f>IF(ISNUMBER($F98),$A98&amp;"|"&amp;$F98,"")</f>
        <v/>
      </c>
      <c r="AC98" s="27">
        <f>IF(ISNUMBER($P98),COUNTIFS($A$14:$A$1213,$A98,$P$14:$P$1213,"&gt;"&amp;$P98)+(COUNTIFS($A$14:$A$1213,$A98,$P$14:$P$1213,"="&amp;$P98)+1)/2,"")</f>
        <v/>
      </c>
      <c r="AD98" s="27">
        <f>IF(ISNUMBER($Q98),COUNTIFS($A$14:$A$1213,$A98,$Q$14:$Q$1213,"&gt;"&amp;$Q98)+(COUNTIFS($A$14:$A$1213,$A98,$Q$14:$Q$1213,"="&amp;$Q98)+1)/2,"")</f>
        <v/>
      </c>
      <c r="AE98" s="27">
        <f>IF(ISNUMBER($R98),COUNTIFS($A$14:$A$1213,$A98,$R$14:$R$1213,"&gt;"&amp;$R98)+(COUNTIFS($A$14:$A$1213,$A98,$R$14:$R$1213,"="&amp;$R98)+1)/2,"")</f>
        <v/>
      </c>
      <c r="AF98" s="27">
        <f>IF(ISNUMBER($S98),COUNTIFS($A$14:$A$1213,$A98,$S$14:$S$1213,"&gt;"&amp;$S98)+(COUNTIFS($A$14:$A$1213,$A98,$S$14:$S$1213,"="&amp;$S98)+1)/2,"")</f>
        <v/>
      </c>
      <c r="AG98" s="27">
        <f>IF(ISNUMBER($T98),COUNTIFS($A$14:$A$1213,$A98,$T$14:$T$1213,"&gt;"&amp;$T98)+(COUNTIFS($A$14:$A$1213,$A98,$T$14:$T$1213,"="&amp;$T98)+1)/2,"")</f>
        <v/>
      </c>
      <c r="AH98" s="27">
        <f>IF(COUNT($AC98:$AG98)&lt;2,"",IF(MAX($AC98:$AG98)=MIN($AC98:$AG98),0,1))</f>
        <v/>
      </c>
      <c r="AI98" s="27">
        <f>IF($A98="","",IF(COUNTIF($A$14:$A98,$A98)=1,COUNTIF($AI$13:AI97,"&gt;0")+1,""))</f>
        <v/>
      </c>
      <c r="AJ98" s="27">
        <f>IF(OR($H98="",COUNTIFS($A$14:$A$1213,$H98,$F$14:$F$1213,"&gt;=0")&lt;2,COUNTIFS($A$14:$A$1213,$H98,$F$14:$F$1213,_xlfn.MAXIFS($F$14:$F$1213,$A$14:$A$1213,$H98))&gt;1),"",IFERROR(INDEX($D$14:$D$1213,MATCH($H98&amp;"|"&amp;_xlfn.MAXIFS($F$14:$F$1213,$A$14:$A$1213,$H98),$AB$14:$AB$1213,0)),""))</f>
        <v/>
      </c>
      <c r="AK98" s="27">
        <f>IF(OR($H98="",COUNTIFS($A$14:$A$1213,$H98,$F$14:$F$1213,"&gt;=0")&lt;2,COUNTIFS($A$14:$A$1213,$H98,$F$14:$F$1213,_xlfn.MAXIFS($F$14:$F$1213,$A$14:$A$1213,$H98))&gt;1),"",IFERROR(INDEX($E$14:$E$1213,MATCH($H98&amp;"|"&amp;_xlfn.MAXIFS($F$14:$F$1213,$A$14:$A$1213,$H98),$AB$14:$AB$1213,0)),""))</f>
        <v/>
      </c>
      <c r="AL98" s="27">
        <f>IF(OR($H98="",COUNTIFS($A$14:$A$1213,$H98,$F$14:$F$1213,"&gt;=0")&lt;2,COUNTIFS($A$14:$A$1213,$H98,$F$14:$F$1213,_xlfn.MAXIFS($F$14:$F$1213,$A$14:$A$1213,$H98))&gt;1),"",IFERROR(INDEX($D$14:$D$1213,MATCH($H98&amp;"|"&amp;_xlfn.MAXIFS($F$14:$F$1213,$A$14:$A$1213,$H98,$F$14:$F$1213,"&lt;"&amp;_xlfn.MAXIFS($F$14:$F$1213,$A$14:$A$1213,$H98)),$AB$14:$AB$1213,0)),""))</f>
        <v/>
      </c>
      <c r="AM98" s="27">
        <f>IF(OR($H98="",COUNTIFS($A$14:$A$1213,$H98,$F$14:$F$1213,"&gt;=0")&lt;2,COUNTIFS($A$14:$A$1213,$H98,$F$14:$F$1213,_xlfn.MAXIFS($F$14:$F$1213,$A$14:$A$1213,$H98))&gt;1),"",IFERROR(INDEX($E$14:$E$1213,MATCH($H98&amp;"|"&amp;_xlfn.MAXIFS($F$14:$F$1213,$A$14:$A$1213,$H98,$F$14:$F$1213,"&lt;"&amp;_xlfn.MAXIFS($F$14:$F$1213,$A$14:$A$1213,$H98)),$AB$14:$AB$1213,0)),""))</f>
        <v/>
      </c>
      <c r="AN98" s="27">
        <f>IF(OR(NOT(ISNUMBER($AJ98)),NOT(ISNUMBER($AL98)),$AK98=0,$AM98=0),"",IF(OR((($AJ98+$AL98)/($AK98+$AM98))&lt;=0,(($AJ98+$AL98)/($AK98+$AM98))&gt;=1),"",($AJ98/$AK98-$AL98/$AM98)/SQRT((($AJ98+$AL98)/($AK98+$AM98))*(1-(($AJ98+$AL98)/($AK98+$AM98)))*(1/$AK98+1/$AM98))))</f>
        <v/>
      </c>
      <c r="AO98" s="27">
        <f>IF($A98="","",IF(AND(COUNTIFS($A$14:$A$1213,$A98,$F$14:$F$1213,"&gt;=0")=2,IFERROR(INDEX($M$14:$M$313,MATCH($A98,$H$14:$H$313,0)),"Yes")&lt;&gt;"Yes"),1,0))</f>
        <v/>
      </c>
    </row>
    <row r="99" ht="24" customHeight="1">
      <c r="A99" s="19" t="n"/>
      <c r="B99" s="20" t="n"/>
      <c r="C99" s="21">
        <f>IFERROR(AVERAGE(P99:T99),"")</f>
        <v/>
      </c>
      <c r="D99" s="29" t="n"/>
      <c r="E99" s="29" t="n"/>
      <c r="F99" s="30">
        <f>IF(AND(ISNUMBER($D99),ISNUMBER($E99),$E99&gt;0,$D99&lt;=$E99),$D99/$E99,"")</f>
        <v/>
      </c>
      <c r="H99" s="19">
        <f>IFERROR(INDEX($A$14:$A$1213,MATCH(86,$AI$14:$AI$1213,0)),"")</f>
        <v/>
      </c>
      <c r="I99" s="24">
        <f>IF($H99="","",IF(COUNTIFS($A$14:$A$1213,$H99,$C$14:$C$1213,"&gt;=0")=0,"—",IFERROR(INDEX($B$14:$B$1213,MATCH($H99&amp;"|1",$Z$14:$Z$1213,0)),"(tied)")))</f>
        <v/>
      </c>
      <c r="J99" s="25">
        <f>IF($H99="","",IF(OR(COUNTIFS($A$14:$A$1213,$H99,$C$14:$C$1213,"&gt;=0")=0,COUNTIFS($A$14:$A$1213,$H99,$F$14:$F$1213,"&gt;=0")=0),"—",IF(OR(ISERROR(MATCH($H99&amp;"|1",$Z$14:$Z$1213,0)),ISERROR(MATCH($H99&amp;"|1",$AA$14:$AA$1213,0))),"Tie",IF(MATCH($H99&amp;"|1",$Z$14:$Z$1213,0)=MATCH($H99&amp;"|1",$AA$14:$AA$1213,0),"Hit","Miss"))))</f>
        <v/>
      </c>
      <c r="K99" s="24">
        <f>IF($H99="","",IF(COUNTIFS($A$14:$A$1213,$H99,$F$14:$F$1213,"&gt;=0")=0,"—",IFERROR(INDEX($B$14:$B$1213,MATCH($H99&amp;"|1",$AA$14:$AA$1213,0)),"(tied)")))</f>
        <v/>
      </c>
      <c r="L99" s="25">
        <f>IF($H99="","",IF((--(COUNTIFS($A$14:$A$1213,$H99,$P$14:$P$1213,"&gt;=0")&gt;0)+--(COUNTIFS($A$14:$A$1213,$H99,$Q$14:$Q$1213,"&gt;=0")&gt;0)+--(COUNTIFS($A$14:$A$1213,$H99,$R$14:$R$1213,"&gt;=0")&gt;0)+--(COUNTIFS($A$14:$A$1213,$H99,$S$14:$S$1213,"&gt;=0")&gt;0)+--(COUNTIFS($A$14:$A$1213,$H99,$T$14:$T$1213,"&gt;=0")&gt;0))&lt;2,"—",IF(SUMIFS($AH$14:$AH$1213,$A$14:$A$1213,$H99)=0,"Yes","No")))</f>
        <v/>
      </c>
      <c r="M99" s="25">
        <f>IF($H99="","",IF(COUNTIFS($A$14:$A$1213,$H99,$F$14:$F$1213,"&gt;=0")&lt;2,"—",IF(COUNTIFS($A$14:$A$1213,$H99,$F$14:$F$1213,_xlfn.MAXIFS($F$14:$F$1213,$A$14:$A$1213,$H99))&gt;1,"No",IF(NOT(ISNUMBER($AN99)),"—",IF((2*(1-NORMSDIST(ABS($AN99))))&lt;0.05,"Yes","No")))))</f>
        <v/>
      </c>
      <c r="N99" s="21">
        <f>IF($H99="","",IF(NOT(ISNUMBER($AN99)),"—",IF((2*(1-NORMSDIST(ABS($AN99))))&lt;0.001,"&lt;0.001",TEXT((2*(1-NORMSDIST(ABS($AN99)))),"0.000"))))</f>
        <v/>
      </c>
      <c r="P99" s="26" t="n"/>
      <c r="Q99" s="26" t="n"/>
      <c r="R99" s="26" t="n"/>
      <c r="S99" s="26" t="n"/>
      <c r="T99" s="26" t="n"/>
      <c r="V99" s="27">
        <f>IF(ISNUMBER($C99),COUNTIFS($A$14:$A$1213,$A99,$C$14:$C$1213,"&gt;"&amp;$C99)+(COUNTIFS($A$14:$A$1213,$A99,$C$14:$C$1213,"="&amp;$C99)+1)/2,"")</f>
        <v/>
      </c>
      <c r="W99" s="27">
        <f>IF(ISNUMBER($F99),COUNTIFS($A$14:$A$1213,$A99,$F$14:$F$1213,"&gt;"&amp;$F99)+(COUNTIFS($A$14:$A$1213,$A99,$F$14:$F$1213,"="&amp;$F99)+1)/2,"")</f>
        <v/>
      </c>
      <c r="X99" s="27">
        <f>IF(OR(NOT(ISNUMBER($V99)),$AO99=1),"",$V99-(COUNTIFS($A$14:$A$1213,$A99,$C$14:$C$1213,"&gt;=0")+1)/2)</f>
        <v/>
      </c>
      <c r="Y99" s="27">
        <f>IF(OR(NOT(ISNUMBER($W99)),$AO99=1),"",$W99-(COUNTIFS($A$14:$A$1213,$A99,$F$14:$F$1213,"&gt;=0")+1)/2)</f>
        <v/>
      </c>
      <c r="Z99" s="27">
        <f>IF(ISNUMBER($V99),$A99&amp;"|"&amp;$V99,"")</f>
        <v/>
      </c>
      <c r="AA99" s="27">
        <f>IF(ISNUMBER($W99),$A99&amp;"|"&amp;$W99,"")</f>
        <v/>
      </c>
      <c r="AB99" s="27">
        <f>IF(ISNUMBER($F99),$A99&amp;"|"&amp;$F99,"")</f>
        <v/>
      </c>
      <c r="AC99" s="27">
        <f>IF(ISNUMBER($P99),COUNTIFS($A$14:$A$1213,$A99,$P$14:$P$1213,"&gt;"&amp;$P99)+(COUNTIFS($A$14:$A$1213,$A99,$P$14:$P$1213,"="&amp;$P99)+1)/2,"")</f>
        <v/>
      </c>
      <c r="AD99" s="27">
        <f>IF(ISNUMBER($Q99),COUNTIFS($A$14:$A$1213,$A99,$Q$14:$Q$1213,"&gt;"&amp;$Q99)+(COUNTIFS($A$14:$A$1213,$A99,$Q$14:$Q$1213,"="&amp;$Q99)+1)/2,"")</f>
        <v/>
      </c>
      <c r="AE99" s="27">
        <f>IF(ISNUMBER($R99),COUNTIFS($A$14:$A$1213,$A99,$R$14:$R$1213,"&gt;"&amp;$R99)+(COUNTIFS($A$14:$A$1213,$A99,$R$14:$R$1213,"="&amp;$R99)+1)/2,"")</f>
        <v/>
      </c>
      <c r="AF99" s="27">
        <f>IF(ISNUMBER($S99),COUNTIFS($A$14:$A$1213,$A99,$S$14:$S$1213,"&gt;"&amp;$S99)+(COUNTIFS($A$14:$A$1213,$A99,$S$14:$S$1213,"="&amp;$S99)+1)/2,"")</f>
        <v/>
      </c>
      <c r="AG99" s="27">
        <f>IF(ISNUMBER($T99),COUNTIFS($A$14:$A$1213,$A99,$T$14:$T$1213,"&gt;"&amp;$T99)+(COUNTIFS($A$14:$A$1213,$A99,$T$14:$T$1213,"="&amp;$T99)+1)/2,"")</f>
        <v/>
      </c>
      <c r="AH99" s="27">
        <f>IF(COUNT($AC99:$AG99)&lt;2,"",IF(MAX($AC99:$AG99)=MIN($AC99:$AG99),0,1))</f>
        <v/>
      </c>
      <c r="AI99" s="27">
        <f>IF($A99="","",IF(COUNTIF($A$14:$A99,$A99)=1,COUNTIF($AI$13:AI98,"&gt;0")+1,""))</f>
        <v/>
      </c>
      <c r="AJ99" s="27">
        <f>IF(OR($H99="",COUNTIFS($A$14:$A$1213,$H99,$F$14:$F$1213,"&gt;=0")&lt;2,COUNTIFS($A$14:$A$1213,$H99,$F$14:$F$1213,_xlfn.MAXIFS($F$14:$F$1213,$A$14:$A$1213,$H99))&gt;1),"",IFERROR(INDEX($D$14:$D$1213,MATCH($H99&amp;"|"&amp;_xlfn.MAXIFS($F$14:$F$1213,$A$14:$A$1213,$H99),$AB$14:$AB$1213,0)),""))</f>
        <v/>
      </c>
      <c r="AK99" s="27">
        <f>IF(OR($H99="",COUNTIFS($A$14:$A$1213,$H99,$F$14:$F$1213,"&gt;=0")&lt;2,COUNTIFS($A$14:$A$1213,$H99,$F$14:$F$1213,_xlfn.MAXIFS($F$14:$F$1213,$A$14:$A$1213,$H99))&gt;1),"",IFERROR(INDEX($E$14:$E$1213,MATCH($H99&amp;"|"&amp;_xlfn.MAXIFS($F$14:$F$1213,$A$14:$A$1213,$H99),$AB$14:$AB$1213,0)),""))</f>
        <v/>
      </c>
      <c r="AL99" s="27">
        <f>IF(OR($H99="",COUNTIFS($A$14:$A$1213,$H99,$F$14:$F$1213,"&gt;=0")&lt;2,COUNTIFS($A$14:$A$1213,$H99,$F$14:$F$1213,_xlfn.MAXIFS($F$14:$F$1213,$A$14:$A$1213,$H99))&gt;1),"",IFERROR(INDEX($D$14:$D$1213,MATCH($H99&amp;"|"&amp;_xlfn.MAXIFS($F$14:$F$1213,$A$14:$A$1213,$H99,$F$14:$F$1213,"&lt;"&amp;_xlfn.MAXIFS($F$14:$F$1213,$A$14:$A$1213,$H99)),$AB$14:$AB$1213,0)),""))</f>
        <v/>
      </c>
      <c r="AM99" s="27">
        <f>IF(OR($H99="",COUNTIFS($A$14:$A$1213,$H99,$F$14:$F$1213,"&gt;=0")&lt;2,COUNTIFS($A$14:$A$1213,$H99,$F$14:$F$1213,_xlfn.MAXIFS($F$14:$F$1213,$A$14:$A$1213,$H99))&gt;1),"",IFERROR(INDEX($E$14:$E$1213,MATCH($H99&amp;"|"&amp;_xlfn.MAXIFS($F$14:$F$1213,$A$14:$A$1213,$H99,$F$14:$F$1213,"&lt;"&amp;_xlfn.MAXIFS($F$14:$F$1213,$A$14:$A$1213,$H99)),$AB$14:$AB$1213,0)),""))</f>
        <v/>
      </c>
      <c r="AN99" s="27">
        <f>IF(OR(NOT(ISNUMBER($AJ99)),NOT(ISNUMBER($AL99)),$AK99=0,$AM99=0),"",IF(OR((($AJ99+$AL99)/($AK99+$AM99))&lt;=0,(($AJ99+$AL99)/($AK99+$AM99))&gt;=1),"",($AJ99/$AK99-$AL99/$AM99)/SQRT((($AJ99+$AL99)/($AK99+$AM99))*(1-(($AJ99+$AL99)/($AK99+$AM99)))*(1/$AK99+1/$AM99))))</f>
        <v/>
      </c>
      <c r="AO99" s="27">
        <f>IF($A99="","",IF(AND(COUNTIFS($A$14:$A$1213,$A99,$F$14:$F$1213,"&gt;=0")=2,IFERROR(INDEX($M$14:$M$313,MATCH($A99,$H$14:$H$313,0)),"Yes")&lt;&gt;"Yes"),1,0))</f>
        <v/>
      </c>
    </row>
    <row r="100" ht="24" customHeight="1">
      <c r="A100" s="19" t="n"/>
      <c r="B100" s="20" t="n"/>
      <c r="C100" s="21">
        <f>IFERROR(AVERAGE(P100:T100),"")</f>
        <v/>
      </c>
      <c r="D100" s="29" t="n"/>
      <c r="E100" s="29" t="n"/>
      <c r="F100" s="30">
        <f>IF(AND(ISNUMBER($D100),ISNUMBER($E100),$E100&gt;0,$D100&lt;=$E100),$D100/$E100,"")</f>
        <v/>
      </c>
      <c r="H100" s="19">
        <f>IFERROR(INDEX($A$14:$A$1213,MATCH(87,$AI$14:$AI$1213,0)),"")</f>
        <v/>
      </c>
      <c r="I100" s="24">
        <f>IF($H100="","",IF(COUNTIFS($A$14:$A$1213,$H100,$C$14:$C$1213,"&gt;=0")=0,"—",IFERROR(INDEX($B$14:$B$1213,MATCH($H100&amp;"|1",$Z$14:$Z$1213,0)),"(tied)")))</f>
        <v/>
      </c>
      <c r="J100" s="25">
        <f>IF($H100="","",IF(OR(COUNTIFS($A$14:$A$1213,$H100,$C$14:$C$1213,"&gt;=0")=0,COUNTIFS($A$14:$A$1213,$H100,$F$14:$F$1213,"&gt;=0")=0),"—",IF(OR(ISERROR(MATCH($H100&amp;"|1",$Z$14:$Z$1213,0)),ISERROR(MATCH($H100&amp;"|1",$AA$14:$AA$1213,0))),"Tie",IF(MATCH($H100&amp;"|1",$Z$14:$Z$1213,0)=MATCH($H100&amp;"|1",$AA$14:$AA$1213,0),"Hit","Miss"))))</f>
        <v/>
      </c>
      <c r="K100" s="24">
        <f>IF($H100="","",IF(COUNTIFS($A$14:$A$1213,$H100,$F$14:$F$1213,"&gt;=0")=0,"—",IFERROR(INDEX($B$14:$B$1213,MATCH($H100&amp;"|1",$AA$14:$AA$1213,0)),"(tied)")))</f>
        <v/>
      </c>
      <c r="L100" s="25">
        <f>IF($H100="","",IF((--(COUNTIFS($A$14:$A$1213,$H100,$P$14:$P$1213,"&gt;=0")&gt;0)+--(COUNTIFS($A$14:$A$1213,$H100,$Q$14:$Q$1213,"&gt;=0")&gt;0)+--(COUNTIFS($A$14:$A$1213,$H100,$R$14:$R$1213,"&gt;=0")&gt;0)+--(COUNTIFS($A$14:$A$1213,$H100,$S$14:$S$1213,"&gt;=0")&gt;0)+--(COUNTIFS($A$14:$A$1213,$H100,$T$14:$T$1213,"&gt;=0")&gt;0))&lt;2,"—",IF(SUMIFS($AH$14:$AH$1213,$A$14:$A$1213,$H100)=0,"Yes","No")))</f>
        <v/>
      </c>
      <c r="M100" s="25">
        <f>IF($H100="","",IF(COUNTIFS($A$14:$A$1213,$H100,$F$14:$F$1213,"&gt;=0")&lt;2,"—",IF(COUNTIFS($A$14:$A$1213,$H100,$F$14:$F$1213,_xlfn.MAXIFS($F$14:$F$1213,$A$14:$A$1213,$H100))&gt;1,"No",IF(NOT(ISNUMBER($AN100)),"—",IF((2*(1-NORMSDIST(ABS($AN100))))&lt;0.05,"Yes","No")))))</f>
        <v/>
      </c>
      <c r="N100" s="21">
        <f>IF($H100="","",IF(NOT(ISNUMBER($AN100)),"—",IF((2*(1-NORMSDIST(ABS($AN100))))&lt;0.001,"&lt;0.001",TEXT((2*(1-NORMSDIST(ABS($AN100)))),"0.000"))))</f>
        <v/>
      </c>
      <c r="P100" s="26" t="n"/>
      <c r="Q100" s="26" t="n"/>
      <c r="R100" s="26" t="n"/>
      <c r="S100" s="26" t="n"/>
      <c r="T100" s="26" t="n"/>
      <c r="V100" s="27">
        <f>IF(ISNUMBER($C100),COUNTIFS($A$14:$A$1213,$A100,$C$14:$C$1213,"&gt;"&amp;$C100)+(COUNTIFS($A$14:$A$1213,$A100,$C$14:$C$1213,"="&amp;$C100)+1)/2,"")</f>
        <v/>
      </c>
      <c r="W100" s="27">
        <f>IF(ISNUMBER($F100),COUNTIFS($A$14:$A$1213,$A100,$F$14:$F$1213,"&gt;"&amp;$F100)+(COUNTIFS($A$14:$A$1213,$A100,$F$14:$F$1213,"="&amp;$F100)+1)/2,"")</f>
        <v/>
      </c>
      <c r="X100" s="27">
        <f>IF(OR(NOT(ISNUMBER($V100)),$AO100=1),"",$V100-(COUNTIFS($A$14:$A$1213,$A100,$C$14:$C$1213,"&gt;=0")+1)/2)</f>
        <v/>
      </c>
      <c r="Y100" s="27">
        <f>IF(OR(NOT(ISNUMBER($W100)),$AO100=1),"",$W100-(COUNTIFS($A$14:$A$1213,$A100,$F$14:$F$1213,"&gt;=0")+1)/2)</f>
        <v/>
      </c>
      <c r="Z100" s="27">
        <f>IF(ISNUMBER($V100),$A100&amp;"|"&amp;$V100,"")</f>
        <v/>
      </c>
      <c r="AA100" s="27">
        <f>IF(ISNUMBER($W100),$A100&amp;"|"&amp;$W100,"")</f>
        <v/>
      </c>
      <c r="AB100" s="27">
        <f>IF(ISNUMBER($F100),$A100&amp;"|"&amp;$F100,"")</f>
        <v/>
      </c>
      <c r="AC100" s="27">
        <f>IF(ISNUMBER($P100),COUNTIFS($A$14:$A$1213,$A100,$P$14:$P$1213,"&gt;"&amp;$P100)+(COUNTIFS($A$14:$A$1213,$A100,$P$14:$P$1213,"="&amp;$P100)+1)/2,"")</f>
        <v/>
      </c>
      <c r="AD100" s="27">
        <f>IF(ISNUMBER($Q100),COUNTIFS($A$14:$A$1213,$A100,$Q$14:$Q$1213,"&gt;"&amp;$Q100)+(COUNTIFS($A$14:$A$1213,$A100,$Q$14:$Q$1213,"="&amp;$Q100)+1)/2,"")</f>
        <v/>
      </c>
      <c r="AE100" s="27">
        <f>IF(ISNUMBER($R100),COUNTIFS($A$14:$A$1213,$A100,$R$14:$R$1213,"&gt;"&amp;$R100)+(COUNTIFS($A$14:$A$1213,$A100,$R$14:$R$1213,"="&amp;$R100)+1)/2,"")</f>
        <v/>
      </c>
      <c r="AF100" s="27">
        <f>IF(ISNUMBER($S100),COUNTIFS($A$14:$A$1213,$A100,$S$14:$S$1213,"&gt;"&amp;$S100)+(COUNTIFS($A$14:$A$1213,$A100,$S$14:$S$1213,"="&amp;$S100)+1)/2,"")</f>
        <v/>
      </c>
      <c r="AG100" s="27">
        <f>IF(ISNUMBER($T100),COUNTIFS($A$14:$A$1213,$A100,$T$14:$T$1213,"&gt;"&amp;$T100)+(COUNTIFS($A$14:$A$1213,$A100,$T$14:$T$1213,"="&amp;$T100)+1)/2,"")</f>
        <v/>
      </c>
      <c r="AH100" s="27">
        <f>IF(COUNT($AC100:$AG100)&lt;2,"",IF(MAX($AC100:$AG100)=MIN($AC100:$AG100),0,1))</f>
        <v/>
      </c>
      <c r="AI100" s="27">
        <f>IF($A100="","",IF(COUNTIF($A$14:$A100,$A100)=1,COUNTIF($AI$13:AI99,"&gt;0")+1,""))</f>
        <v/>
      </c>
      <c r="AJ100" s="27">
        <f>IF(OR($H100="",COUNTIFS($A$14:$A$1213,$H100,$F$14:$F$1213,"&gt;=0")&lt;2,COUNTIFS($A$14:$A$1213,$H100,$F$14:$F$1213,_xlfn.MAXIFS($F$14:$F$1213,$A$14:$A$1213,$H100))&gt;1),"",IFERROR(INDEX($D$14:$D$1213,MATCH($H100&amp;"|"&amp;_xlfn.MAXIFS($F$14:$F$1213,$A$14:$A$1213,$H100),$AB$14:$AB$1213,0)),""))</f>
        <v/>
      </c>
      <c r="AK100" s="27">
        <f>IF(OR($H100="",COUNTIFS($A$14:$A$1213,$H100,$F$14:$F$1213,"&gt;=0")&lt;2,COUNTIFS($A$14:$A$1213,$H100,$F$14:$F$1213,_xlfn.MAXIFS($F$14:$F$1213,$A$14:$A$1213,$H100))&gt;1),"",IFERROR(INDEX($E$14:$E$1213,MATCH($H100&amp;"|"&amp;_xlfn.MAXIFS($F$14:$F$1213,$A$14:$A$1213,$H100),$AB$14:$AB$1213,0)),""))</f>
        <v/>
      </c>
      <c r="AL100" s="27">
        <f>IF(OR($H100="",COUNTIFS($A$14:$A$1213,$H100,$F$14:$F$1213,"&gt;=0")&lt;2,COUNTIFS($A$14:$A$1213,$H100,$F$14:$F$1213,_xlfn.MAXIFS($F$14:$F$1213,$A$14:$A$1213,$H100))&gt;1),"",IFERROR(INDEX($D$14:$D$1213,MATCH($H100&amp;"|"&amp;_xlfn.MAXIFS($F$14:$F$1213,$A$14:$A$1213,$H100,$F$14:$F$1213,"&lt;"&amp;_xlfn.MAXIFS($F$14:$F$1213,$A$14:$A$1213,$H100)),$AB$14:$AB$1213,0)),""))</f>
        <v/>
      </c>
      <c r="AM100" s="27">
        <f>IF(OR($H100="",COUNTIFS($A$14:$A$1213,$H100,$F$14:$F$1213,"&gt;=0")&lt;2,COUNTIFS($A$14:$A$1213,$H100,$F$14:$F$1213,_xlfn.MAXIFS($F$14:$F$1213,$A$14:$A$1213,$H100))&gt;1),"",IFERROR(INDEX($E$14:$E$1213,MATCH($H100&amp;"|"&amp;_xlfn.MAXIFS($F$14:$F$1213,$A$14:$A$1213,$H100,$F$14:$F$1213,"&lt;"&amp;_xlfn.MAXIFS($F$14:$F$1213,$A$14:$A$1213,$H100)),$AB$14:$AB$1213,0)),""))</f>
        <v/>
      </c>
      <c r="AN100" s="27">
        <f>IF(OR(NOT(ISNUMBER($AJ100)),NOT(ISNUMBER($AL100)),$AK100=0,$AM100=0),"",IF(OR((($AJ100+$AL100)/($AK100+$AM100))&lt;=0,(($AJ100+$AL100)/($AK100+$AM100))&gt;=1),"",($AJ100/$AK100-$AL100/$AM100)/SQRT((($AJ100+$AL100)/($AK100+$AM100))*(1-(($AJ100+$AL100)/($AK100+$AM100)))*(1/$AK100+1/$AM100))))</f>
        <v/>
      </c>
      <c r="AO100" s="27">
        <f>IF($A100="","",IF(AND(COUNTIFS($A$14:$A$1213,$A100,$F$14:$F$1213,"&gt;=0")=2,IFERROR(INDEX($M$14:$M$313,MATCH($A100,$H$14:$H$313,0)),"Yes")&lt;&gt;"Yes"),1,0))</f>
        <v/>
      </c>
    </row>
    <row r="101" ht="24" customHeight="1">
      <c r="A101" s="19" t="n"/>
      <c r="B101" s="20" t="n"/>
      <c r="C101" s="21">
        <f>IFERROR(AVERAGE(P101:T101),"")</f>
        <v/>
      </c>
      <c r="D101" s="29" t="n"/>
      <c r="E101" s="29" t="n"/>
      <c r="F101" s="30">
        <f>IF(AND(ISNUMBER($D101),ISNUMBER($E101),$E101&gt;0,$D101&lt;=$E101),$D101/$E101,"")</f>
        <v/>
      </c>
      <c r="H101" s="19">
        <f>IFERROR(INDEX($A$14:$A$1213,MATCH(88,$AI$14:$AI$1213,0)),"")</f>
        <v/>
      </c>
      <c r="I101" s="24">
        <f>IF($H101="","",IF(COUNTIFS($A$14:$A$1213,$H101,$C$14:$C$1213,"&gt;=0")=0,"—",IFERROR(INDEX($B$14:$B$1213,MATCH($H101&amp;"|1",$Z$14:$Z$1213,0)),"(tied)")))</f>
        <v/>
      </c>
      <c r="J101" s="25">
        <f>IF($H101="","",IF(OR(COUNTIFS($A$14:$A$1213,$H101,$C$14:$C$1213,"&gt;=0")=0,COUNTIFS($A$14:$A$1213,$H101,$F$14:$F$1213,"&gt;=0")=0),"—",IF(OR(ISERROR(MATCH($H101&amp;"|1",$Z$14:$Z$1213,0)),ISERROR(MATCH($H101&amp;"|1",$AA$14:$AA$1213,0))),"Tie",IF(MATCH($H101&amp;"|1",$Z$14:$Z$1213,0)=MATCH($H101&amp;"|1",$AA$14:$AA$1213,0),"Hit","Miss"))))</f>
        <v/>
      </c>
      <c r="K101" s="24">
        <f>IF($H101="","",IF(COUNTIFS($A$14:$A$1213,$H101,$F$14:$F$1213,"&gt;=0")=0,"—",IFERROR(INDEX($B$14:$B$1213,MATCH($H101&amp;"|1",$AA$14:$AA$1213,0)),"(tied)")))</f>
        <v/>
      </c>
      <c r="L101" s="25">
        <f>IF($H101="","",IF((--(COUNTIFS($A$14:$A$1213,$H101,$P$14:$P$1213,"&gt;=0")&gt;0)+--(COUNTIFS($A$14:$A$1213,$H101,$Q$14:$Q$1213,"&gt;=0")&gt;0)+--(COUNTIFS($A$14:$A$1213,$H101,$R$14:$R$1213,"&gt;=0")&gt;0)+--(COUNTIFS($A$14:$A$1213,$H101,$S$14:$S$1213,"&gt;=0")&gt;0)+--(COUNTIFS($A$14:$A$1213,$H101,$T$14:$T$1213,"&gt;=0")&gt;0))&lt;2,"—",IF(SUMIFS($AH$14:$AH$1213,$A$14:$A$1213,$H101)=0,"Yes","No")))</f>
        <v/>
      </c>
      <c r="M101" s="25">
        <f>IF($H101="","",IF(COUNTIFS($A$14:$A$1213,$H101,$F$14:$F$1213,"&gt;=0")&lt;2,"—",IF(COUNTIFS($A$14:$A$1213,$H101,$F$14:$F$1213,_xlfn.MAXIFS($F$14:$F$1213,$A$14:$A$1213,$H101))&gt;1,"No",IF(NOT(ISNUMBER($AN101)),"—",IF((2*(1-NORMSDIST(ABS($AN101))))&lt;0.05,"Yes","No")))))</f>
        <v/>
      </c>
      <c r="N101" s="21">
        <f>IF($H101="","",IF(NOT(ISNUMBER($AN101)),"—",IF((2*(1-NORMSDIST(ABS($AN101))))&lt;0.001,"&lt;0.001",TEXT((2*(1-NORMSDIST(ABS($AN101)))),"0.000"))))</f>
        <v/>
      </c>
      <c r="P101" s="26" t="n"/>
      <c r="Q101" s="26" t="n"/>
      <c r="R101" s="26" t="n"/>
      <c r="S101" s="26" t="n"/>
      <c r="T101" s="26" t="n"/>
      <c r="V101" s="27">
        <f>IF(ISNUMBER($C101),COUNTIFS($A$14:$A$1213,$A101,$C$14:$C$1213,"&gt;"&amp;$C101)+(COUNTIFS($A$14:$A$1213,$A101,$C$14:$C$1213,"="&amp;$C101)+1)/2,"")</f>
        <v/>
      </c>
      <c r="W101" s="27">
        <f>IF(ISNUMBER($F101),COUNTIFS($A$14:$A$1213,$A101,$F$14:$F$1213,"&gt;"&amp;$F101)+(COUNTIFS($A$14:$A$1213,$A101,$F$14:$F$1213,"="&amp;$F101)+1)/2,"")</f>
        <v/>
      </c>
      <c r="X101" s="27">
        <f>IF(OR(NOT(ISNUMBER($V101)),$AO101=1),"",$V101-(COUNTIFS($A$14:$A$1213,$A101,$C$14:$C$1213,"&gt;=0")+1)/2)</f>
        <v/>
      </c>
      <c r="Y101" s="27">
        <f>IF(OR(NOT(ISNUMBER($W101)),$AO101=1),"",$W101-(COUNTIFS($A$14:$A$1213,$A101,$F$14:$F$1213,"&gt;=0")+1)/2)</f>
        <v/>
      </c>
      <c r="Z101" s="27">
        <f>IF(ISNUMBER($V101),$A101&amp;"|"&amp;$V101,"")</f>
        <v/>
      </c>
      <c r="AA101" s="27">
        <f>IF(ISNUMBER($W101),$A101&amp;"|"&amp;$W101,"")</f>
        <v/>
      </c>
      <c r="AB101" s="27">
        <f>IF(ISNUMBER($F101),$A101&amp;"|"&amp;$F101,"")</f>
        <v/>
      </c>
      <c r="AC101" s="27">
        <f>IF(ISNUMBER($P101),COUNTIFS($A$14:$A$1213,$A101,$P$14:$P$1213,"&gt;"&amp;$P101)+(COUNTIFS($A$14:$A$1213,$A101,$P$14:$P$1213,"="&amp;$P101)+1)/2,"")</f>
        <v/>
      </c>
      <c r="AD101" s="27">
        <f>IF(ISNUMBER($Q101),COUNTIFS($A$14:$A$1213,$A101,$Q$14:$Q$1213,"&gt;"&amp;$Q101)+(COUNTIFS($A$14:$A$1213,$A101,$Q$14:$Q$1213,"="&amp;$Q101)+1)/2,"")</f>
        <v/>
      </c>
      <c r="AE101" s="27">
        <f>IF(ISNUMBER($R101),COUNTIFS($A$14:$A$1213,$A101,$R$14:$R$1213,"&gt;"&amp;$R101)+(COUNTIFS($A$14:$A$1213,$A101,$R$14:$R$1213,"="&amp;$R101)+1)/2,"")</f>
        <v/>
      </c>
      <c r="AF101" s="27">
        <f>IF(ISNUMBER($S101),COUNTIFS($A$14:$A$1213,$A101,$S$14:$S$1213,"&gt;"&amp;$S101)+(COUNTIFS($A$14:$A$1213,$A101,$S$14:$S$1213,"="&amp;$S101)+1)/2,"")</f>
        <v/>
      </c>
      <c r="AG101" s="27">
        <f>IF(ISNUMBER($T101),COUNTIFS($A$14:$A$1213,$A101,$T$14:$T$1213,"&gt;"&amp;$T101)+(COUNTIFS($A$14:$A$1213,$A101,$T$14:$T$1213,"="&amp;$T101)+1)/2,"")</f>
        <v/>
      </c>
      <c r="AH101" s="27">
        <f>IF(COUNT($AC101:$AG101)&lt;2,"",IF(MAX($AC101:$AG101)=MIN($AC101:$AG101),0,1))</f>
        <v/>
      </c>
      <c r="AI101" s="27">
        <f>IF($A101="","",IF(COUNTIF($A$14:$A101,$A101)=1,COUNTIF($AI$13:AI100,"&gt;0")+1,""))</f>
        <v/>
      </c>
      <c r="AJ101" s="27">
        <f>IF(OR($H101="",COUNTIFS($A$14:$A$1213,$H101,$F$14:$F$1213,"&gt;=0")&lt;2,COUNTIFS($A$14:$A$1213,$H101,$F$14:$F$1213,_xlfn.MAXIFS($F$14:$F$1213,$A$14:$A$1213,$H101))&gt;1),"",IFERROR(INDEX($D$14:$D$1213,MATCH($H101&amp;"|"&amp;_xlfn.MAXIFS($F$14:$F$1213,$A$14:$A$1213,$H101),$AB$14:$AB$1213,0)),""))</f>
        <v/>
      </c>
      <c r="AK101" s="27">
        <f>IF(OR($H101="",COUNTIFS($A$14:$A$1213,$H101,$F$14:$F$1213,"&gt;=0")&lt;2,COUNTIFS($A$14:$A$1213,$H101,$F$14:$F$1213,_xlfn.MAXIFS($F$14:$F$1213,$A$14:$A$1213,$H101))&gt;1),"",IFERROR(INDEX($E$14:$E$1213,MATCH($H101&amp;"|"&amp;_xlfn.MAXIFS($F$14:$F$1213,$A$14:$A$1213,$H101),$AB$14:$AB$1213,0)),""))</f>
        <v/>
      </c>
      <c r="AL101" s="27">
        <f>IF(OR($H101="",COUNTIFS($A$14:$A$1213,$H101,$F$14:$F$1213,"&gt;=0")&lt;2,COUNTIFS($A$14:$A$1213,$H101,$F$14:$F$1213,_xlfn.MAXIFS($F$14:$F$1213,$A$14:$A$1213,$H101))&gt;1),"",IFERROR(INDEX($D$14:$D$1213,MATCH($H101&amp;"|"&amp;_xlfn.MAXIFS($F$14:$F$1213,$A$14:$A$1213,$H101,$F$14:$F$1213,"&lt;"&amp;_xlfn.MAXIFS($F$14:$F$1213,$A$14:$A$1213,$H101)),$AB$14:$AB$1213,0)),""))</f>
        <v/>
      </c>
      <c r="AM101" s="27">
        <f>IF(OR($H101="",COUNTIFS($A$14:$A$1213,$H101,$F$14:$F$1213,"&gt;=0")&lt;2,COUNTIFS($A$14:$A$1213,$H101,$F$14:$F$1213,_xlfn.MAXIFS($F$14:$F$1213,$A$14:$A$1213,$H101))&gt;1),"",IFERROR(INDEX($E$14:$E$1213,MATCH($H101&amp;"|"&amp;_xlfn.MAXIFS($F$14:$F$1213,$A$14:$A$1213,$H101,$F$14:$F$1213,"&lt;"&amp;_xlfn.MAXIFS($F$14:$F$1213,$A$14:$A$1213,$H101)),$AB$14:$AB$1213,0)),""))</f>
        <v/>
      </c>
      <c r="AN101" s="27">
        <f>IF(OR(NOT(ISNUMBER($AJ101)),NOT(ISNUMBER($AL101)),$AK101=0,$AM101=0),"",IF(OR((($AJ101+$AL101)/($AK101+$AM101))&lt;=0,(($AJ101+$AL101)/($AK101+$AM101))&gt;=1),"",($AJ101/$AK101-$AL101/$AM101)/SQRT((($AJ101+$AL101)/($AK101+$AM101))*(1-(($AJ101+$AL101)/($AK101+$AM101)))*(1/$AK101+1/$AM101))))</f>
        <v/>
      </c>
      <c r="AO101" s="27">
        <f>IF($A101="","",IF(AND(COUNTIFS($A$14:$A$1213,$A101,$F$14:$F$1213,"&gt;=0")=2,IFERROR(INDEX($M$14:$M$313,MATCH($A101,$H$14:$H$313,0)),"Yes")&lt;&gt;"Yes"),1,0))</f>
        <v/>
      </c>
    </row>
    <row r="102" ht="24" customHeight="1">
      <c r="A102" s="19" t="n"/>
      <c r="B102" s="20" t="n"/>
      <c r="C102" s="21">
        <f>IFERROR(AVERAGE(P102:T102),"")</f>
        <v/>
      </c>
      <c r="D102" s="29" t="n"/>
      <c r="E102" s="29" t="n"/>
      <c r="F102" s="30">
        <f>IF(AND(ISNUMBER($D102),ISNUMBER($E102),$E102&gt;0,$D102&lt;=$E102),$D102/$E102,"")</f>
        <v/>
      </c>
      <c r="H102" s="19">
        <f>IFERROR(INDEX($A$14:$A$1213,MATCH(89,$AI$14:$AI$1213,0)),"")</f>
        <v/>
      </c>
      <c r="I102" s="24">
        <f>IF($H102="","",IF(COUNTIFS($A$14:$A$1213,$H102,$C$14:$C$1213,"&gt;=0")=0,"—",IFERROR(INDEX($B$14:$B$1213,MATCH($H102&amp;"|1",$Z$14:$Z$1213,0)),"(tied)")))</f>
        <v/>
      </c>
      <c r="J102" s="25">
        <f>IF($H102="","",IF(OR(COUNTIFS($A$14:$A$1213,$H102,$C$14:$C$1213,"&gt;=0")=0,COUNTIFS($A$14:$A$1213,$H102,$F$14:$F$1213,"&gt;=0")=0),"—",IF(OR(ISERROR(MATCH($H102&amp;"|1",$Z$14:$Z$1213,0)),ISERROR(MATCH($H102&amp;"|1",$AA$14:$AA$1213,0))),"Tie",IF(MATCH($H102&amp;"|1",$Z$14:$Z$1213,0)=MATCH($H102&amp;"|1",$AA$14:$AA$1213,0),"Hit","Miss"))))</f>
        <v/>
      </c>
      <c r="K102" s="24">
        <f>IF($H102="","",IF(COUNTIFS($A$14:$A$1213,$H102,$F$14:$F$1213,"&gt;=0")=0,"—",IFERROR(INDEX($B$14:$B$1213,MATCH($H102&amp;"|1",$AA$14:$AA$1213,0)),"(tied)")))</f>
        <v/>
      </c>
      <c r="L102" s="25">
        <f>IF($H102="","",IF((--(COUNTIFS($A$14:$A$1213,$H102,$P$14:$P$1213,"&gt;=0")&gt;0)+--(COUNTIFS($A$14:$A$1213,$H102,$Q$14:$Q$1213,"&gt;=0")&gt;0)+--(COUNTIFS($A$14:$A$1213,$H102,$R$14:$R$1213,"&gt;=0")&gt;0)+--(COUNTIFS($A$14:$A$1213,$H102,$S$14:$S$1213,"&gt;=0")&gt;0)+--(COUNTIFS($A$14:$A$1213,$H102,$T$14:$T$1213,"&gt;=0")&gt;0))&lt;2,"—",IF(SUMIFS($AH$14:$AH$1213,$A$14:$A$1213,$H102)=0,"Yes","No")))</f>
        <v/>
      </c>
      <c r="M102" s="25">
        <f>IF($H102="","",IF(COUNTIFS($A$14:$A$1213,$H102,$F$14:$F$1213,"&gt;=0")&lt;2,"—",IF(COUNTIFS($A$14:$A$1213,$H102,$F$14:$F$1213,_xlfn.MAXIFS($F$14:$F$1213,$A$14:$A$1213,$H102))&gt;1,"No",IF(NOT(ISNUMBER($AN102)),"—",IF((2*(1-NORMSDIST(ABS($AN102))))&lt;0.05,"Yes","No")))))</f>
        <v/>
      </c>
      <c r="N102" s="21">
        <f>IF($H102="","",IF(NOT(ISNUMBER($AN102)),"—",IF((2*(1-NORMSDIST(ABS($AN102))))&lt;0.001,"&lt;0.001",TEXT((2*(1-NORMSDIST(ABS($AN102)))),"0.000"))))</f>
        <v/>
      </c>
      <c r="P102" s="26" t="n"/>
      <c r="Q102" s="26" t="n"/>
      <c r="R102" s="26" t="n"/>
      <c r="S102" s="26" t="n"/>
      <c r="T102" s="26" t="n"/>
      <c r="V102" s="27">
        <f>IF(ISNUMBER($C102),COUNTIFS($A$14:$A$1213,$A102,$C$14:$C$1213,"&gt;"&amp;$C102)+(COUNTIFS($A$14:$A$1213,$A102,$C$14:$C$1213,"="&amp;$C102)+1)/2,"")</f>
        <v/>
      </c>
      <c r="W102" s="27">
        <f>IF(ISNUMBER($F102),COUNTIFS($A$14:$A$1213,$A102,$F$14:$F$1213,"&gt;"&amp;$F102)+(COUNTIFS($A$14:$A$1213,$A102,$F$14:$F$1213,"="&amp;$F102)+1)/2,"")</f>
        <v/>
      </c>
      <c r="X102" s="27">
        <f>IF(OR(NOT(ISNUMBER($V102)),$AO102=1),"",$V102-(COUNTIFS($A$14:$A$1213,$A102,$C$14:$C$1213,"&gt;=0")+1)/2)</f>
        <v/>
      </c>
      <c r="Y102" s="27">
        <f>IF(OR(NOT(ISNUMBER($W102)),$AO102=1),"",$W102-(COUNTIFS($A$14:$A$1213,$A102,$F$14:$F$1213,"&gt;=0")+1)/2)</f>
        <v/>
      </c>
      <c r="Z102" s="27">
        <f>IF(ISNUMBER($V102),$A102&amp;"|"&amp;$V102,"")</f>
        <v/>
      </c>
      <c r="AA102" s="27">
        <f>IF(ISNUMBER($W102),$A102&amp;"|"&amp;$W102,"")</f>
        <v/>
      </c>
      <c r="AB102" s="27">
        <f>IF(ISNUMBER($F102),$A102&amp;"|"&amp;$F102,"")</f>
        <v/>
      </c>
      <c r="AC102" s="27">
        <f>IF(ISNUMBER($P102),COUNTIFS($A$14:$A$1213,$A102,$P$14:$P$1213,"&gt;"&amp;$P102)+(COUNTIFS($A$14:$A$1213,$A102,$P$14:$P$1213,"="&amp;$P102)+1)/2,"")</f>
        <v/>
      </c>
      <c r="AD102" s="27">
        <f>IF(ISNUMBER($Q102),COUNTIFS($A$14:$A$1213,$A102,$Q$14:$Q$1213,"&gt;"&amp;$Q102)+(COUNTIFS($A$14:$A$1213,$A102,$Q$14:$Q$1213,"="&amp;$Q102)+1)/2,"")</f>
        <v/>
      </c>
      <c r="AE102" s="27">
        <f>IF(ISNUMBER($R102),COUNTIFS($A$14:$A$1213,$A102,$R$14:$R$1213,"&gt;"&amp;$R102)+(COUNTIFS($A$14:$A$1213,$A102,$R$14:$R$1213,"="&amp;$R102)+1)/2,"")</f>
        <v/>
      </c>
      <c r="AF102" s="27">
        <f>IF(ISNUMBER($S102),COUNTIFS($A$14:$A$1213,$A102,$S$14:$S$1213,"&gt;"&amp;$S102)+(COUNTIFS($A$14:$A$1213,$A102,$S$14:$S$1213,"="&amp;$S102)+1)/2,"")</f>
        <v/>
      </c>
      <c r="AG102" s="27">
        <f>IF(ISNUMBER($T102),COUNTIFS($A$14:$A$1213,$A102,$T$14:$T$1213,"&gt;"&amp;$T102)+(COUNTIFS($A$14:$A$1213,$A102,$T$14:$T$1213,"="&amp;$T102)+1)/2,"")</f>
        <v/>
      </c>
      <c r="AH102" s="27">
        <f>IF(COUNT($AC102:$AG102)&lt;2,"",IF(MAX($AC102:$AG102)=MIN($AC102:$AG102),0,1))</f>
        <v/>
      </c>
      <c r="AI102" s="27">
        <f>IF($A102="","",IF(COUNTIF($A$14:$A102,$A102)=1,COUNTIF($AI$13:AI101,"&gt;0")+1,""))</f>
        <v/>
      </c>
      <c r="AJ102" s="27">
        <f>IF(OR($H102="",COUNTIFS($A$14:$A$1213,$H102,$F$14:$F$1213,"&gt;=0")&lt;2,COUNTIFS($A$14:$A$1213,$H102,$F$14:$F$1213,_xlfn.MAXIFS($F$14:$F$1213,$A$14:$A$1213,$H102))&gt;1),"",IFERROR(INDEX($D$14:$D$1213,MATCH($H102&amp;"|"&amp;_xlfn.MAXIFS($F$14:$F$1213,$A$14:$A$1213,$H102),$AB$14:$AB$1213,0)),""))</f>
        <v/>
      </c>
      <c r="AK102" s="27">
        <f>IF(OR($H102="",COUNTIFS($A$14:$A$1213,$H102,$F$14:$F$1213,"&gt;=0")&lt;2,COUNTIFS($A$14:$A$1213,$H102,$F$14:$F$1213,_xlfn.MAXIFS($F$14:$F$1213,$A$14:$A$1213,$H102))&gt;1),"",IFERROR(INDEX($E$14:$E$1213,MATCH($H102&amp;"|"&amp;_xlfn.MAXIFS($F$14:$F$1213,$A$14:$A$1213,$H102),$AB$14:$AB$1213,0)),""))</f>
        <v/>
      </c>
      <c r="AL102" s="27">
        <f>IF(OR($H102="",COUNTIFS($A$14:$A$1213,$H102,$F$14:$F$1213,"&gt;=0")&lt;2,COUNTIFS($A$14:$A$1213,$H102,$F$14:$F$1213,_xlfn.MAXIFS($F$14:$F$1213,$A$14:$A$1213,$H102))&gt;1),"",IFERROR(INDEX($D$14:$D$1213,MATCH($H102&amp;"|"&amp;_xlfn.MAXIFS($F$14:$F$1213,$A$14:$A$1213,$H102,$F$14:$F$1213,"&lt;"&amp;_xlfn.MAXIFS($F$14:$F$1213,$A$14:$A$1213,$H102)),$AB$14:$AB$1213,0)),""))</f>
        <v/>
      </c>
      <c r="AM102" s="27">
        <f>IF(OR($H102="",COUNTIFS($A$14:$A$1213,$H102,$F$14:$F$1213,"&gt;=0")&lt;2,COUNTIFS($A$14:$A$1213,$H102,$F$14:$F$1213,_xlfn.MAXIFS($F$14:$F$1213,$A$14:$A$1213,$H102))&gt;1),"",IFERROR(INDEX($E$14:$E$1213,MATCH($H102&amp;"|"&amp;_xlfn.MAXIFS($F$14:$F$1213,$A$14:$A$1213,$H102,$F$14:$F$1213,"&lt;"&amp;_xlfn.MAXIFS($F$14:$F$1213,$A$14:$A$1213,$H102)),$AB$14:$AB$1213,0)),""))</f>
        <v/>
      </c>
      <c r="AN102" s="27">
        <f>IF(OR(NOT(ISNUMBER($AJ102)),NOT(ISNUMBER($AL102)),$AK102=0,$AM102=0),"",IF(OR((($AJ102+$AL102)/($AK102+$AM102))&lt;=0,(($AJ102+$AL102)/($AK102+$AM102))&gt;=1),"",($AJ102/$AK102-$AL102/$AM102)/SQRT((($AJ102+$AL102)/($AK102+$AM102))*(1-(($AJ102+$AL102)/($AK102+$AM102)))*(1/$AK102+1/$AM102))))</f>
        <v/>
      </c>
      <c r="AO102" s="27">
        <f>IF($A102="","",IF(AND(COUNTIFS($A$14:$A$1213,$A102,$F$14:$F$1213,"&gt;=0")=2,IFERROR(INDEX($M$14:$M$313,MATCH($A102,$H$14:$H$313,0)),"Yes")&lt;&gt;"Yes"),1,0))</f>
        <v/>
      </c>
    </row>
    <row r="103" ht="24" customHeight="1">
      <c r="A103" s="19" t="n"/>
      <c r="B103" s="20" t="n"/>
      <c r="C103" s="21">
        <f>IFERROR(AVERAGE(P103:T103),"")</f>
        <v/>
      </c>
      <c r="D103" s="29" t="n"/>
      <c r="E103" s="29" t="n"/>
      <c r="F103" s="30">
        <f>IF(AND(ISNUMBER($D103),ISNUMBER($E103),$E103&gt;0,$D103&lt;=$E103),$D103/$E103,"")</f>
        <v/>
      </c>
      <c r="H103" s="19">
        <f>IFERROR(INDEX($A$14:$A$1213,MATCH(90,$AI$14:$AI$1213,0)),"")</f>
        <v/>
      </c>
      <c r="I103" s="24">
        <f>IF($H103="","",IF(COUNTIFS($A$14:$A$1213,$H103,$C$14:$C$1213,"&gt;=0")=0,"—",IFERROR(INDEX($B$14:$B$1213,MATCH($H103&amp;"|1",$Z$14:$Z$1213,0)),"(tied)")))</f>
        <v/>
      </c>
      <c r="J103" s="25">
        <f>IF($H103="","",IF(OR(COUNTIFS($A$14:$A$1213,$H103,$C$14:$C$1213,"&gt;=0")=0,COUNTIFS($A$14:$A$1213,$H103,$F$14:$F$1213,"&gt;=0")=0),"—",IF(OR(ISERROR(MATCH($H103&amp;"|1",$Z$14:$Z$1213,0)),ISERROR(MATCH($H103&amp;"|1",$AA$14:$AA$1213,0))),"Tie",IF(MATCH($H103&amp;"|1",$Z$14:$Z$1213,0)=MATCH($H103&amp;"|1",$AA$14:$AA$1213,0),"Hit","Miss"))))</f>
        <v/>
      </c>
      <c r="K103" s="24">
        <f>IF($H103="","",IF(COUNTIFS($A$14:$A$1213,$H103,$F$14:$F$1213,"&gt;=0")=0,"—",IFERROR(INDEX($B$14:$B$1213,MATCH($H103&amp;"|1",$AA$14:$AA$1213,0)),"(tied)")))</f>
        <v/>
      </c>
      <c r="L103" s="25">
        <f>IF($H103="","",IF((--(COUNTIFS($A$14:$A$1213,$H103,$P$14:$P$1213,"&gt;=0")&gt;0)+--(COUNTIFS($A$14:$A$1213,$H103,$Q$14:$Q$1213,"&gt;=0")&gt;0)+--(COUNTIFS($A$14:$A$1213,$H103,$R$14:$R$1213,"&gt;=0")&gt;0)+--(COUNTIFS($A$14:$A$1213,$H103,$S$14:$S$1213,"&gt;=0")&gt;0)+--(COUNTIFS($A$14:$A$1213,$H103,$T$14:$T$1213,"&gt;=0")&gt;0))&lt;2,"—",IF(SUMIFS($AH$14:$AH$1213,$A$14:$A$1213,$H103)=0,"Yes","No")))</f>
        <v/>
      </c>
      <c r="M103" s="25">
        <f>IF($H103="","",IF(COUNTIFS($A$14:$A$1213,$H103,$F$14:$F$1213,"&gt;=0")&lt;2,"—",IF(COUNTIFS($A$14:$A$1213,$H103,$F$14:$F$1213,_xlfn.MAXIFS($F$14:$F$1213,$A$14:$A$1213,$H103))&gt;1,"No",IF(NOT(ISNUMBER($AN103)),"—",IF((2*(1-NORMSDIST(ABS($AN103))))&lt;0.05,"Yes","No")))))</f>
        <v/>
      </c>
      <c r="N103" s="21">
        <f>IF($H103="","",IF(NOT(ISNUMBER($AN103)),"—",IF((2*(1-NORMSDIST(ABS($AN103))))&lt;0.001,"&lt;0.001",TEXT((2*(1-NORMSDIST(ABS($AN103)))),"0.000"))))</f>
        <v/>
      </c>
      <c r="P103" s="26" t="n"/>
      <c r="Q103" s="26" t="n"/>
      <c r="R103" s="26" t="n"/>
      <c r="S103" s="26" t="n"/>
      <c r="T103" s="26" t="n"/>
      <c r="V103" s="27">
        <f>IF(ISNUMBER($C103),COUNTIFS($A$14:$A$1213,$A103,$C$14:$C$1213,"&gt;"&amp;$C103)+(COUNTIFS($A$14:$A$1213,$A103,$C$14:$C$1213,"="&amp;$C103)+1)/2,"")</f>
        <v/>
      </c>
      <c r="W103" s="27">
        <f>IF(ISNUMBER($F103),COUNTIFS($A$14:$A$1213,$A103,$F$14:$F$1213,"&gt;"&amp;$F103)+(COUNTIFS($A$14:$A$1213,$A103,$F$14:$F$1213,"="&amp;$F103)+1)/2,"")</f>
        <v/>
      </c>
      <c r="X103" s="27">
        <f>IF(OR(NOT(ISNUMBER($V103)),$AO103=1),"",$V103-(COUNTIFS($A$14:$A$1213,$A103,$C$14:$C$1213,"&gt;=0")+1)/2)</f>
        <v/>
      </c>
      <c r="Y103" s="27">
        <f>IF(OR(NOT(ISNUMBER($W103)),$AO103=1),"",$W103-(COUNTIFS($A$14:$A$1213,$A103,$F$14:$F$1213,"&gt;=0")+1)/2)</f>
        <v/>
      </c>
      <c r="Z103" s="27">
        <f>IF(ISNUMBER($V103),$A103&amp;"|"&amp;$V103,"")</f>
        <v/>
      </c>
      <c r="AA103" s="27">
        <f>IF(ISNUMBER($W103),$A103&amp;"|"&amp;$W103,"")</f>
        <v/>
      </c>
      <c r="AB103" s="27">
        <f>IF(ISNUMBER($F103),$A103&amp;"|"&amp;$F103,"")</f>
        <v/>
      </c>
      <c r="AC103" s="27">
        <f>IF(ISNUMBER($P103),COUNTIFS($A$14:$A$1213,$A103,$P$14:$P$1213,"&gt;"&amp;$P103)+(COUNTIFS($A$14:$A$1213,$A103,$P$14:$P$1213,"="&amp;$P103)+1)/2,"")</f>
        <v/>
      </c>
      <c r="AD103" s="27">
        <f>IF(ISNUMBER($Q103),COUNTIFS($A$14:$A$1213,$A103,$Q$14:$Q$1213,"&gt;"&amp;$Q103)+(COUNTIFS($A$14:$A$1213,$A103,$Q$14:$Q$1213,"="&amp;$Q103)+1)/2,"")</f>
        <v/>
      </c>
      <c r="AE103" s="27">
        <f>IF(ISNUMBER($R103),COUNTIFS($A$14:$A$1213,$A103,$R$14:$R$1213,"&gt;"&amp;$R103)+(COUNTIFS($A$14:$A$1213,$A103,$R$14:$R$1213,"="&amp;$R103)+1)/2,"")</f>
        <v/>
      </c>
      <c r="AF103" s="27">
        <f>IF(ISNUMBER($S103),COUNTIFS($A$14:$A$1213,$A103,$S$14:$S$1213,"&gt;"&amp;$S103)+(COUNTIFS($A$14:$A$1213,$A103,$S$14:$S$1213,"="&amp;$S103)+1)/2,"")</f>
        <v/>
      </c>
      <c r="AG103" s="27">
        <f>IF(ISNUMBER($T103),COUNTIFS($A$14:$A$1213,$A103,$T$14:$T$1213,"&gt;"&amp;$T103)+(COUNTIFS($A$14:$A$1213,$A103,$T$14:$T$1213,"="&amp;$T103)+1)/2,"")</f>
        <v/>
      </c>
      <c r="AH103" s="27">
        <f>IF(COUNT($AC103:$AG103)&lt;2,"",IF(MAX($AC103:$AG103)=MIN($AC103:$AG103),0,1))</f>
        <v/>
      </c>
      <c r="AI103" s="27">
        <f>IF($A103="","",IF(COUNTIF($A$14:$A103,$A103)=1,COUNTIF($AI$13:AI102,"&gt;0")+1,""))</f>
        <v/>
      </c>
      <c r="AJ103" s="27">
        <f>IF(OR($H103="",COUNTIFS($A$14:$A$1213,$H103,$F$14:$F$1213,"&gt;=0")&lt;2,COUNTIFS($A$14:$A$1213,$H103,$F$14:$F$1213,_xlfn.MAXIFS($F$14:$F$1213,$A$14:$A$1213,$H103))&gt;1),"",IFERROR(INDEX($D$14:$D$1213,MATCH($H103&amp;"|"&amp;_xlfn.MAXIFS($F$14:$F$1213,$A$14:$A$1213,$H103),$AB$14:$AB$1213,0)),""))</f>
        <v/>
      </c>
      <c r="AK103" s="27">
        <f>IF(OR($H103="",COUNTIFS($A$14:$A$1213,$H103,$F$14:$F$1213,"&gt;=0")&lt;2,COUNTIFS($A$14:$A$1213,$H103,$F$14:$F$1213,_xlfn.MAXIFS($F$14:$F$1213,$A$14:$A$1213,$H103))&gt;1),"",IFERROR(INDEX($E$14:$E$1213,MATCH($H103&amp;"|"&amp;_xlfn.MAXIFS($F$14:$F$1213,$A$14:$A$1213,$H103),$AB$14:$AB$1213,0)),""))</f>
        <v/>
      </c>
      <c r="AL103" s="27">
        <f>IF(OR($H103="",COUNTIFS($A$14:$A$1213,$H103,$F$14:$F$1213,"&gt;=0")&lt;2,COUNTIFS($A$14:$A$1213,$H103,$F$14:$F$1213,_xlfn.MAXIFS($F$14:$F$1213,$A$14:$A$1213,$H103))&gt;1),"",IFERROR(INDEX($D$14:$D$1213,MATCH($H103&amp;"|"&amp;_xlfn.MAXIFS($F$14:$F$1213,$A$14:$A$1213,$H103,$F$14:$F$1213,"&lt;"&amp;_xlfn.MAXIFS($F$14:$F$1213,$A$14:$A$1213,$H103)),$AB$14:$AB$1213,0)),""))</f>
        <v/>
      </c>
      <c r="AM103" s="27">
        <f>IF(OR($H103="",COUNTIFS($A$14:$A$1213,$H103,$F$14:$F$1213,"&gt;=0")&lt;2,COUNTIFS($A$14:$A$1213,$H103,$F$14:$F$1213,_xlfn.MAXIFS($F$14:$F$1213,$A$14:$A$1213,$H103))&gt;1),"",IFERROR(INDEX($E$14:$E$1213,MATCH($H103&amp;"|"&amp;_xlfn.MAXIFS($F$14:$F$1213,$A$14:$A$1213,$H103,$F$14:$F$1213,"&lt;"&amp;_xlfn.MAXIFS($F$14:$F$1213,$A$14:$A$1213,$H103)),$AB$14:$AB$1213,0)),""))</f>
        <v/>
      </c>
      <c r="AN103" s="27">
        <f>IF(OR(NOT(ISNUMBER($AJ103)),NOT(ISNUMBER($AL103)),$AK103=0,$AM103=0),"",IF(OR((($AJ103+$AL103)/($AK103+$AM103))&lt;=0,(($AJ103+$AL103)/($AK103+$AM103))&gt;=1),"",($AJ103/$AK103-$AL103/$AM103)/SQRT((($AJ103+$AL103)/($AK103+$AM103))*(1-(($AJ103+$AL103)/($AK103+$AM103)))*(1/$AK103+1/$AM103))))</f>
        <v/>
      </c>
      <c r="AO103" s="27">
        <f>IF($A103="","",IF(AND(COUNTIFS($A$14:$A$1213,$A103,$F$14:$F$1213,"&gt;=0")=2,IFERROR(INDEX($M$14:$M$313,MATCH($A103,$H$14:$H$313,0)),"Yes")&lt;&gt;"Yes"),1,0))</f>
        <v/>
      </c>
    </row>
    <row r="104" ht="24" customHeight="1">
      <c r="A104" s="19" t="n"/>
      <c r="B104" s="20" t="n"/>
      <c r="C104" s="21">
        <f>IFERROR(AVERAGE(P104:T104),"")</f>
        <v/>
      </c>
      <c r="D104" s="29" t="n"/>
      <c r="E104" s="29" t="n"/>
      <c r="F104" s="30">
        <f>IF(AND(ISNUMBER($D104),ISNUMBER($E104),$E104&gt;0,$D104&lt;=$E104),$D104/$E104,"")</f>
        <v/>
      </c>
      <c r="H104" s="19">
        <f>IFERROR(INDEX($A$14:$A$1213,MATCH(91,$AI$14:$AI$1213,0)),"")</f>
        <v/>
      </c>
      <c r="I104" s="24">
        <f>IF($H104="","",IF(COUNTIFS($A$14:$A$1213,$H104,$C$14:$C$1213,"&gt;=0")=0,"—",IFERROR(INDEX($B$14:$B$1213,MATCH($H104&amp;"|1",$Z$14:$Z$1213,0)),"(tied)")))</f>
        <v/>
      </c>
      <c r="J104" s="25">
        <f>IF($H104="","",IF(OR(COUNTIFS($A$14:$A$1213,$H104,$C$14:$C$1213,"&gt;=0")=0,COUNTIFS($A$14:$A$1213,$H104,$F$14:$F$1213,"&gt;=0")=0),"—",IF(OR(ISERROR(MATCH($H104&amp;"|1",$Z$14:$Z$1213,0)),ISERROR(MATCH($H104&amp;"|1",$AA$14:$AA$1213,0))),"Tie",IF(MATCH($H104&amp;"|1",$Z$14:$Z$1213,0)=MATCH($H104&amp;"|1",$AA$14:$AA$1213,0),"Hit","Miss"))))</f>
        <v/>
      </c>
      <c r="K104" s="24">
        <f>IF($H104="","",IF(COUNTIFS($A$14:$A$1213,$H104,$F$14:$F$1213,"&gt;=0")=0,"—",IFERROR(INDEX($B$14:$B$1213,MATCH($H104&amp;"|1",$AA$14:$AA$1213,0)),"(tied)")))</f>
        <v/>
      </c>
      <c r="L104" s="25">
        <f>IF($H104="","",IF((--(COUNTIFS($A$14:$A$1213,$H104,$P$14:$P$1213,"&gt;=0")&gt;0)+--(COUNTIFS($A$14:$A$1213,$H104,$Q$14:$Q$1213,"&gt;=0")&gt;0)+--(COUNTIFS($A$14:$A$1213,$H104,$R$14:$R$1213,"&gt;=0")&gt;0)+--(COUNTIFS($A$14:$A$1213,$H104,$S$14:$S$1213,"&gt;=0")&gt;0)+--(COUNTIFS($A$14:$A$1213,$H104,$T$14:$T$1213,"&gt;=0")&gt;0))&lt;2,"—",IF(SUMIFS($AH$14:$AH$1213,$A$14:$A$1213,$H104)=0,"Yes","No")))</f>
        <v/>
      </c>
      <c r="M104" s="25">
        <f>IF($H104="","",IF(COUNTIFS($A$14:$A$1213,$H104,$F$14:$F$1213,"&gt;=0")&lt;2,"—",IF(COUNTIFS($A$14:$A$1213,$H104,$F$14:$F$1213,_xlfn.MAXIFS($F$14:$F$1213,$A$14:$A$1213,$H104))&gt;1,"No",IF(NOT(ISNUMBER($AN104)),"—",IF((2*(1-NORMSDIST(ABS($AN104))))&lt;0.05,"Yes","No")))))</f>
        <v/>
      </c>
      <c r="N104" s="21">
        <f>IF($H104="","",IF(NOT(ISNUMBER($AN104)),"—",IF((2*(1-NORMSDIST(ABS($AN104))))&lt;0.001,"&lt;0.001",TEXT((2*(1-NORMSDIST(ABS($AN104)))),"0.000"))))</f>
        <v/>
      </c>
      <c r="P104" s="26" t="n"/>
      <c r="Q104" s="26" t="n"/>
      <c r="R104" s="26" t="n"/>
      <c r="S104" s="26" t="n"/>
      <c r="T104" s="26" t="n"/>
      <c r="V104" s="27">
        <f>IF(ISNUMBER($C104),COUNTIFS($A$14:$A$1213,$A104,$C$14:$C$1213,"&gt;"&amp;$C104)+(COUNTIFS($A$14:$A$1213,$A104,$C$14:$C$1213,"="&amp;$C104)+1)/2,"")</f>
        <v/>
      </c>
      <c r="W104" s="27">
        <f>IF(ISNUMBER($F104),COUNTIFS($A$14:$A$1213,$A104,$F$14:$F$1213,"&gt;"&amp;$F104)+(COUNTIFS($A$14:$A$1213,$A104,$F$14:$F$1213,"="&amp;$F104)+1)/2,"")</f>
        <v/>
      </c>
      <c r="X104" s="27">
        <f>IF(OR(NOT(ISNUMBER($V104)),$AO104=1),"",$V104-(COUNTIFS($A$14:$A$1213,$A104,$C$14:$C$1213,"&gt;=0")+1)/2)</f>
        <v/>
      </c>
      <c r="Y104" s="27">
        <f>IF(OR(NOT(ISNUMBER($W104)),$AO104=1),"",$W104-(COUNTIFS($A$14:$A$1213,$A104,$F$14:$F$1213,"&gt;=0")+1)/2)</f>
        <v/>
      </c>
      <c r="Z104" s="27">
        <f>IF(ISNUMBER($V104),$A104&amp;"|"&amp;$V104,"")</f>
        <v/>
      </c>
      <c r="AA104" s="27">
        <f>IF(ISNUMBER($W104),$A104&amp;"|"&amp;$W104,"")</f>
        <v/>
      </c>
      <c r="AB104" s="27">
        <f>IF(ISNUMBER($F104),$A104&amp;"|"&amp;$F104,"")</f>
        <v/>
      </c>
      <c r="AC104" s="27">
        <f>IF(ISNUMBER($P104),COUNTIFS($A$14:$A$1213,$A104,$P$14:$P$1213,"&gt;"&amp;$P104)+(COUNTIFS($A$14:$A$1213,$A104,$P$14:$P$1213,"="&amp;$P104)+1)/2,"")</f>
        <v/>
      </c>
      <c r="AD104" s="27">
        <f>IF(ISNUMBER($Q104),COUNTIFS($A$14:$A$1213,$A104,$Q$14:$Q$1213,"&gt;"&amp;$Q104)+(COUNTIFS($A$14:$A$1213,$A104,$Q$14:$Q$1213,"="&amp;$Q104)+1)/2,"")</f>
        <v/>
      </c>
      <c r="AE104" s="27">
        <f>IF(ISNUMBER($R104),COUNTIFS($A$14:$A$1213,$A104,$R$14:$R$1213,"&gt;"&amp;$R104)+(COUNTIFS($A$14:$A$1213,$A104,$R$14:$R$1213,"="&amp;$R104)+1)/2,"")</f>
        <v/>
      </c>
      <c r="AF104" s="27">
        <f>IF(ISNUMBER($S104),COUNTIFS($A$14:$A$1213,$A104,$S$14:$S$1213,"&gt;"&amp;$S104)+(COUNTIFS($A$14:$A$1213,$A104,$S$14:$S$1213,"="&amp;$S104)+1)/2,"")</f>
        <v/>
      </c>
      <c r="AG104" s="27">
        <f>IF(ISNUMBER($T104),COUNTIFS($A$14:$A$1213,$A104,$T$14:$T$1213,"&gt;"&amp;$T104)+(COUNTIFS($A$14:$A$1213,$A104,$T$14:$T$1213,"="&amp;$T104)+1)/2,"")</f>
        <v/>
      </c>
      <c r="AH104" s="27">
        <f>IF(COUNT($AC104:$AG104)&lt;2,"",IF(MAX($AC104:$AG104)=MIN($AC104:$AG104),0,1))</f>
        <v/>
      </c>
      <c r="AI104" s="27">
        <f>IF($A104="","",IF(COUNTIF($A$14:$A104,$A104)=1,COUNTIF($AI$13:AI103,"&gt;0")+1,""))</f>
        <v/>
      </c>
      <c r="AJ104" s="27">
        <f>IF(OR($H104="",COUNTIFS($A$14:$A$1213,$H104,$F$14:$F$1213,"&gt;=0")&lt;2,COUNTIFS($A$14:$A$1213,$H104,$F$14:$F$1213,_xlfn.MAXIFS($F$14:$F$1213,$A$14:$A$1213,$H104))&gt;1),"",IFERROR(INDEX($D$14:$D$1213,MATCH($H104&amp;"|"&amp;_xlfn.MAXIFS($F$14:$F$1213,$A$14:$A$1213,$H104),$AB$14:$AB$1213,0)),""))</f>
        <v/>
      </c>
      <c r="AK104" s="27">
        <f>IF(OR($H104="",COUNTIFS($A$14:$A$1213,$H104,$F$14:$F$1213,"&gt;=0")&lt;2,COUNTIFS($A$14:$A$1213,$H104,$F$14:$F$1213,_xlfn.MAXIFS($F$14:$F$1213,$A$14:$A$1213,$H104))&gt;1),"",IFERROR(INDEX($E$14:$E$1213,MATCH($H104&amp;"|"&amp;_xlfn.MAXIFS($F$14:$F$1213,$A$14:$A$1213,$H104),$AB$14:$AB$1213,0)),""))</f>
        <v/>
      </c>
      <c r="AL104" s="27">
        <f>IF(OR($H104="",COUNTIFS($A$14:$A$1213,$H104,$F$14:$F$1213,"&gt;=0")&lt;2,COUNTIFS($A$14:$A$1213,$H104,$F$14:$F$1213,_xlfn.MAXIFS($F$14:$F$1213,$A$14:$A$1213,$H104))&gt;1),"",IFERROR(INDEX($D$14:$D$1213,MATCH($H104&amp;"|"&amp;_xlfn.MAXIFS($F$14:$F$1213,$A$14:$A$1213,$H104,$F$14:$F$1213,"&lt;"&amp;_xlfn.MAXIFS($F$14:$F$1213,$A$14:$A$1213,$H104)),$AB$14:$AB$1213,0)),""))</f>
        <v/>
      </c>
      <c r="AM104" s="27">
        <f>IF(OR($H104="",COUNTIFS($A$14:$A$1213,$H104,$F$14:$F$1213,"&gt;=0")&lt;2,COUNTIFS($A$14:$A$1213,$H104,$F$14:$F$1213,_xlfn.MAXIFS($F$14:$F$1213,$A$14:$A$1213,$H104))&gt;1),"",IFERROR(INDEX($E$14:$E$1213,MATCH($H104&amp;"|"&amp;_xlfn.MAXIFS($F$14:$F$1213,$A$14:$A$1213,$H104,$F$14:$F$1213,"&lt;"&amp;_xlfn.MAXIFS($F$14:$F$1213,$A$14:$A$1213,$H104)),$AB$14:$AB$1213,0)),""))</f>
        <v/>
      </c>
      <c r="AN104" s="27">
        <f>IF(OR(NOT(ISNUMBER($AJ104)),NOT(ISNUMBER($AL104)),$AK104=0,$AM104=0),"",IF(OR((($AJ104+$AL104)/($AK104+$AM104))&lt;=0,(($AJ104+$AL104)/($AK104+$AM104))&gt;=1),"",($AJ104/$AK104-$AL104/$AM104)/SQRT((($AJ104+$AL104)/($AK104+$AM104))*(1-(($AJ104+$AL104)/($AK104+$AM104)))*(1/$AK104+1/$AM104))))</f>
        <v/>
      </c>
      <c r="AO104" s="27">
        <f>IF($A104="","",IF(AND(COUNTIFS($A$14:$A$1213,$A104,$F$14:$F$1213,"&gt;=0")=2,IFERROR(INDEX($M$14:$M$313,MATCH($A104,$H$14:$H$313,0)),"Yes")&lt;&gt;"Yes"),1,0))</f>
        <v/>
      </c>
    </row>
    <row r="105" ht="24" customHeight="1">
      <c r="A105" s="19" t="n"/>
      <c r="B105" s="20" t="n"/>
      <c r="C105" s="21">
        <f>IFERROR(AVERAGE(P105:T105),"")</f>
        <v/>
      </c>
      <c r="D105" s="29" t="n"/>
      <c r="E105" s="29" t="n"/>
      <c r="F105" s="30">
        <f>IF(AND(ISNUMBER($D105),ISNUMBER($E105),$E105&gt;0,$D105&lt;=$E105),$D105/$E105,"")</f>
        <v/>
      </c>
      <c r="H105" s="19">
        <f>IFERROR(INDEX($A$14:$A$1213,MATCH(92,$AI$14:$AI$1213,0)),"")</f>
        <v/>
      </c>
      <c r="I105" s="24">
        <f>IF($H105="","",IF(COUNTIFS($A$14:$A$1213,$H105,$C$14:$C$1213,"&gt;=0")=0,"—",IFERROR(INDEX($B$14:$B$1213,MATCH($H105&amp;"|1",$Z$14:$Z$1213,0)),"(tied)")))</f>
        <v/>
      </c>
      <c r="J105" s="25">
        <f>IF($H105="","",IF(OR(COUNTIFS($A$14:$A$1213,$H105,$C$14:$C$1213,"&gt;=0")=0,COUNTIFS($A$14:$A$1213,$H105,$F$14:$F$1213,"&gt;=0")=0),"—",IF(OR(ISERROR(MATCH($H105&amp;"|1",$Z$14:$Z$1213,0)),ISERROR(MATCH($H105&amp;"|1",$AA$14:$AA$1213,0))),"Tie",IF(MATCH($H105&amp;"|1",$Z$14:$Z$1213,0)=MATCH($H105&amp;"|1",$AA$14:$AA$1213,0),"Hit","Miss"))))</f>
        <v/>
      </c>
      <c r="K105" s="24">
        <f>IF($H105="","",IF(COUNTIFS($A$14:$A$1213,$H105,$F$14:$F$1213,"&gt;=0")=0,"—",IFERROR(INDEX($B$14:$B$1213,MATCH($H105&amp;"|1",$AA$14:$AA$1213,0)),"(tied)")))</f>
        <v/>
      </c>
      <c r="L105" s="25">
        <f>IF($H105="","",IF((--(COUNTIFS($A$14:$A$1213,$H105,$P$14:$P$1213,"&gt;=0")&gt;0)+--(COUNTIFS($A$14:$A$1213,$H105,$Q$14:$Q$1213,"&gt;=0")&gt;0)+--(COUNTIFS($A$14:$A$1213,$H105,$R$14:$R$1213,"&gt;=0")&gt;0)+--(COUNTIFS($A$14:$A$1213,$H105,$S$14:$S$1213,"&gt;=0")&gt;0)+--(COUNTIFS($A$14:$A$1213,$H105,$T$14:$T$1213,"&gt;=0")&gt;0))&lt;2,"—",IF(SUMIFS($AH$14:$AH$1213,$A$14:$A$1213,$H105)=0,"Yes","No")))</f>
        <v/>
      </c>
      <c r="M105" s="25">
        <f>IF($H105="","",IF(COUNTIFS($A$14:$A$1213,$H105,$F$14:$F$1213,"&gt;=0")&lt;2,"—",IF(COUNTIFS($A$14:$A$1213,$H105,$F$14:$F$1213,_xlfn.MAXIFS($F$14:$F$1213,$A$14:$A$1213,$H105))&gt;1,"No",IF(NOT(ISNUMBER($AN105)),"—",IF((2*(1-NORMSDIST(ABS($AN105))))&lt;0.05,"Yes","No")))))</f>
        <v/>
      </c>
      <c r="N105" s="21">
        <f>IF($H105="","",IF(NOT(ISNUMBER($AN105)),"—",IF((2*(1-NORMSDIST(ABS($AN105))))&lt;0.001,"&lt;0.001",TEXT((2*(1-NORMSDIST(ABS($AN105)))),"0.000"))))</f>
        <v/>
      </c>
      <c r="P105" s="26" t="n"/>
      <c r="Q105" s="26" t="n"/>
      <c r="R105" s="26" t="n"/>
      <c r="S105" s="26" t="n"/>
      <c r="T105" s="26" t="n"/>
      <c r="V105" s="27">
        <f>IF(ISNUMBER($C105),COUNTIFS($A$14:$A$1213,$A105,$C$14:$C$1213,"&gt;"&amp;$C105)+(COUNTIFS($A$14:$A$1213,$A105,$C$14:$C$1213,"="&amp;$C105)+1)/2,"")</f>
        <v/>
      </c>
      <c r="W105" s="27">
        <f>IF(ISNUMBER($F105),COUNTIFS($A$14:$A$1213,$A105,$F$14:$F$1213,"&gt;"&amp;$F105)+(COUNTIFS($A$14:$A$1213,$A105,$F$14:$F$1213,"="&amp;$F105)+1)/2,"")</f>
        <v/>
      </c>
      <c r="X105" s="27">
        <f>IF(OR(NOT(ISNUMBER($V105)),$AO105=1),"",$V105-(COUNTIFS($A$14:$A$1213,$A105,$C$14:$C$1213,"&gt;=0")+1)/2)</f>
        <v/>
      </c>
      <c r="Y105" s="27">
        <f>IF(OR(NOT(ISNUMBER($W105)),$AO105=1),"",$W105-(COUNTIFS($A$14:$A$1213,$A105,$F$14:$F$1213,"&gt;=0")+1)/2)</f>
        <v/>
      </c>
      <c r="Z105" s="27">
        <f>IF(ISNUMBER($V105),$A105&amp;"|"&amp;$V105,"")</f>
        <v/>
      </c>
      <c r="AA105" s="27">
        <f>IF(ISNUMBER($W105),$A105&amp;"|"&amp;$W105,"")</f>
        <v/>
      </c>
      <c r="AB105" s="27">
        <f>IF(ISNUMBER($F105),$A105&amp;"|"&amp;$F105,"")</f>
        <v/>
      </c>
      <c r="AC105" s="27">
        <f>IF(ISNUMBER($P105),COUNTIFS($A$14:$A$1213,$A105,$P$14:$P$1213,"&gt;"&amp;$P105)+(COUNTIFS($A$14:$A$1213,$A105,$P$14:$P$1213,"="&amp;$P105)+1)/2,"")</f>
        <v/>
      </c>
      <c r="AD105" s="27">
        <f>IF(ISNUMBER($Q105),COUNTIFS($A$14:$A$1213,$A105,$Q$14:$Q$1213,"&gt;"&amp;$Q105)+(COUNTIFS($A$14:$A$1213,$A105,$Q$14:$Q$1213,"="&amp;$Q105)+1)/2,"")</f>
        <v/>
      </c>
      <c r="AE105" s="27">
        <f>IF(ISNUMBER($R105),COUNTIFS($A$14:$A$1213,$A105,$R$14:$R$1213,"&gt;"&amp;$R105)+(COUNTIFS($A$14:$A$1213,$A105,$R$14:$R$1213,"="&amp;$R105)+1)/2,"")</f>
        <v/>
      </c>
      <c r="AF105" s="27">
        <f>IF(ISNUMBER($S105),COUNTIFS($A$14:$A$1213,$A105,$S$14:$S$1213,"&gt;"&amp;$S105)+(COUNTIFS($A$14:$A$1213,$A105,$S$14:$S$1213,"="&amp;$S105)+1)/2,"")</f>
        <v/>
      </c>
      <c r="AG105" s="27">
        <f>IF(ISNUMBER($T105),COUNTIFS($A$14:$A$1213,$A105,$T$14:$T$1213,"&gt;"&amp;$T105)+(COUNTIFS($A$14:$A$1213,$A105,$T$14:$T$1213,"="&amp;$T105)+1)/2,"")</f>
        <v/>
      </c>
      <c r="AH105" s="27">
        <f>IF(COUNT($AC105:$AG105)&lt;2,"",IF(MAX($AC105:$AG105)=MIN($AC105:$AG105),0,1))</f>
        <v/>
      </c>
      <c r="AI105" s="27">
        <f>IF($A105="","",IF(COUNTIF($A$14:$A105,$A105)=1,COUNTIF($AI$13:AI104,"&gt;0")+1,""))</f>
        <v/>
      </c>
      <c r="AJ105" s="27">
        <f>IF(OR($H105="",COUNTIFS($A$14:$A$1213,$H105,$F$14:$F$1213,"&gt;=0")&lt;2,COUNTIFS($A$14:$A$1213,$H105,$F$14:$F$1213,_xlfn.MAXIFS($F$14:$F$1213,$A$14:$A$1213,$H105))&gt;1),"",IFERROR(INDEX($D$14:$D$1213,MATCH($H105&amp;"|"&amp;_xlfn.MAXIFS($F$14:$F$1213,$A$14:$A$1213,$H105),$AB$14:$AB$1213,0)),""))</f>
        <v/>
      </c>
      <c r="AK105" s="27">
        <f>IF(OR($H105="",COUNTIFS($A$14:$A$1213,$H105,$F$14:$F$1213,"&gt;=0")&lt;2,COUNTIFS($A$14:$A$1213,$H105,$F$14:$F$1213,_xlfn.MAXIFS($F$14:$F$1213,$A$14:$A$1213,$H105))&gt;1),"",IFERROR(INDEX($E$14:$E$1213,MATCH($H105&amp;"|"&amp;_xlfn.MAXIFS($F$14:$F$1213,$A$14:$A$1213,$H105),$AB$14:$AB$1213,0)),""))</f>
        <v/>
      </c>
      <c r="AL105" s="27">
        <f>IF(OR($H105="",COUNTIFS($A$14:$A$1213,$H105,$F$14:$F$1213,"&gt;=0")&lt;2,COUNTIFS($A$14:$A$1213,$H105,$F$14:$F$1213,_xlfn.MAXIFS($F$14:$F$1213,$A$14:$A$1213,$H105))&gt;1),"",IFERROR(INDEX($D$14:$D$1213,MATCH($H105&amp;"|"&amp;_xlfn.MAXIFS($F$14:$F$1213,$A$14:$A$1213,$H105,$F$14:$F$1213,"&lt;"&amp;_xlfn.MAXIFS($F$14:$F$1213,$A$14:$A$1213,$H105)),$AB$14:$AB$1213,0)),""))</f>
        <v/>
      </c>
      <c r="AM105" s="27">
        <f>IF(OR($H105="",COUNTIFS($A$14:$A$1213,$H105,$F$14:$F$1213,"&gt;=0")&lt;2,COUNTIFS($A$14:$A$1213,$H105,$F$14:$F$1213,_xlfn.MAXIFS($F$14:$F$1213,$A$14:$A$1213,$H105))&gt;1),"",IFERROR(INDEX($E$14:$E$1213,MATCH($H105&amp;"|"&amp;_xlfn.MAXIFS($F$14:$F$1213,$A$14:$A$1213,$H105,$F$14:$F$1213,"&lt;"&amp;_xlfn.MAXIFS($F$14:$F$1213,$A$14:$A$1213,$H105)),$AB$14:$AB$1213,0)),""))</f>
        <v/>
      </c>
      <c r="AN105" s="27">
        <f>IF(OR(NOT(ISNUMBER($AJ105)),NOT(ISNUMBER($AL105)),$AK105=0,$AM105=0),"",IF(OR((($AJ105+$AL105)/($AK105+$AM105))&lt;=0,(($AJ105+$AL105)/($AK105+$AM105))&gt;=1),"",($AJ105/$AK105-$AL105/$AM105)/SQRT((($AJ105+$AL105)/($AK105+$AM105))*(1-(($AJ105+$AL105)/($AK105+$AM105)))*(1/$AK105+1/$AM105))))</f>
        <v/>
      </c>
      <c r="AO105" s="27">
        <f>IF($A105="","",IF(AND(COUNTIFS($A$14:$A$1213,$A105,$F$14:$F$1213,"&gt;=0")=2,IFERROR(INDEX($M$14:$M$313,MATCH($A105,$H$14:$H$313,0)),"Yes")&lt;&gt;"Yes"),1,0))</f>
        <v/>
      </c>
    </row>
    <row r="106" ht="24" customHeight="1">
      <c r="A106" s="19" t="n"/>
      <c r="B106" s="20" t="n"/>
      <c r="C106" s="21">
        <f>IFERROR(AVERAGE(P106:T106),"")</f>
        <v/>
      </c>
      <c r="D106" s="29" t="n"/>
      <c r="E106" s="29" t="n"/>
      <c r="F106" s="30">
        <f>IF(AND(ISNUMBER($D106),ISNUMBER($E106),$E106&gt;0,$D106&lt;=$E106),$D106/$E106,"")</f>
        <v/>
      </c>
      <c r="H106" s="19">
        <f>IFERROR(INDEX($A$14:$A$1213,MATCH(93,$AI$14:$AI$1213,0)),"")</f>
        <v/>
      </c>
      <c r="I106" s="24">
        <f>IF($H106="","",IF(COUNTIFS($A$14:$A$1213,$H106,$C$14:$C$1213,"&gt;=0")=0,"—",IFERROR(INDEX($B$14:$B$1213,MATCH($H106&amp;"|1",$Z$14:$Z$1213,0)),"(tied)")))</f>
        <v/>
      </c>
      <c r="J106" s="25">
        <f>IF($H106="","",IF(OR(COUNTIFS($A$14:$A$1213,$H106,$C$14:$C$1213,"&gt;=0")=0,COUNTIFS($A$14:$A$1213,$H106,$F$14:$F$1213,"&gt;=0")=0),"—",IF(OR(ISERROR(MATCH($H106&amp;"|1",$Z$14:$Z$1213,0)),ISERROR(MATCH($H106&amp;"|1",$AA$14:$AA$1213,0))),"Tie",IF(MATCH($H106&amp;"|1",$Z$14:$Z$1213,0)=MATCH($H106&amp;"|1",$AA$14:$AA$1213,0),"Hit","Miss"))))</f>
        <v/>
      </c>
      <c r="K106" s="24">
        <f>IF($H106="","",IF(COUNTIFS($A$14:$A$1213,$H106,$F$14:$F$1213,"&gt;=0")=0,"—",IFERROR(INDEX($B$14:$B$1213,MATCH($H106&amp;"|1",$AA$14:$AA$1213,0)),"(tied)")))</f>
        <v/>
      </c>
      <c r="L106" s="25">
        <f>IF($H106="","",IF((--(COUNTIFS($A$14:$A$1213,$H106,$P$14:$P$1213,"&gt;=0")&gt;0)+--(COUNTIFS($A$14:$A$1213,$H106,$Q$14:$Q$1213,"&gt;=0")&gt;0)+--(COUNTIFS($A$14:$A$1213,$H106,$R$14:$R$1213,"&gt;=0")&gt;0)+--(COUNTIFS($A$14:$A$1213,$H106,$S$14:$S$1213,"&gt;=0")&gt;0)+--(COUNTIFS($A$14:$A$1213,$H106,$T$14:$T$1213,"&gt;=0")&gt;0))&lt;2,"—",IF(SUMIFS($AH$14:$AH$1213,$A$14:$A$1213,$H106)=0,"Yes","No")))</f>
        <v/>
      </c>
      <c r="M106" s="25">
        <f>IF($H106="","",IF(COUNTIFS($A$14:$A$1213,$H106,$F$14:$F$1213,"&gt;=0")&lt;2,"—",IF(COUNTIFS($A$14:$A$1213,$H106,$F$14:$F$1213,_xlfn.MAXIFS($F$14:$F$1213,$A$14:$A$1213,$H106))&gt;1,"No",IF(NOT(ISNUMBER($AN106)),"—",IF((2*(1-NORMSDIST(ABS($AN106))))&lt;0.05,"Yes","No")))))</f>
        <v/>
      </c>
      <c r="N106" s="21">
        <f>IF($H106="","",IF(NOT(ISNUMBER($AN106)),"—",IF((2*(1-NORMSDIST(ABS($AN106))))&lt;0.001,"&lt;0.001",TEXT((2*(1-NORMSDIST(ABS($AN106)))),"0.000"))))</f>
        <v/>
      </c>
      <c r="P106" s="26" t="n"/>
      <c r="Q106" s="26" t="n"/>
      <c r="R106" s="26" t="n"/>
      <c r="S106" s="26" t="n"/>
      <c r="T106" s="26" t="n"/>
      <c r="V106" s="27">
        <f>IF(ISNUMBER($C106),COUNTIFS($A$14:$A$1213,$A106,$C$14:$C$1213,"&gt;"&amp;$C106)+(COUNTIFS($A$14:$A$1213,$A106,$C$14:$C$1213,"="&amp;$C106)+1)/2,"")</f>
        <v/>
      </c>
      <c r="W106" s="27">
        <f>IF(ISNUMBER($F106),COUNTIFS($A$14:$A$1213,$A106,$F$14:$F$1213,"&gt;"&amp;$F106)+(COUNTIFS($A$14:$A$1213,$A106,$F$14:$F$1213,"="&amp;$F106)+1)/2,"")</f>
        <v/>
      </c>
      <c r="X106" s="27">
        <f>IF(OR(NOT(ISNUMBER($V106)),$AO106=1),"",$V106-(COUNTIFS($A$14:$A$1213,$A106,$C$14:$C$1213,"&gt;=0")+1)/2)</f>
        <v/>
      </c>
      <c r="Y106" s="27">
        <f>IF(OR(NOT(ISNUMBER($W106)),$AO106=1),"",$W106-(COUNTIFS($A$14:$A$1213,$A106,$F$14:$F$1213,"&gt;=0")+1)/2)</f>
        <v/>
      </c>
      <c r="Z106" s="27">
        <f>IF(ISNUMBER($V106),$A106&amp;"|"&amp;$V106,"")</f>
        <v/>
      </c>
      <c r="AA106" s="27">
        <f>IF(ISNUMBER($W106),$A106&amp;"|"&amp;$W106,"")</f>
        <v/>
      </c>
      <c r="AB106" s="27">
        <f>IF(ISNUMBER($F106),$A106&amp;"|"&amp;$F106,"")</f>
        <v/>
      </c>
      <c r="AC106" s="27">
        <f>IF(ISNUMBER($P106),COUNTIFS($A$14:$A$1213,$A106,$P$14:$P$1213,"&gt;"&amp;$P106)+(COUNTIFS($A$14:$A$1213,$A106,$P$14:$P$1213,"="&amp;$P106)+1)/2,"")</f>
        <v/>
      </c>
      <c r="AD106" s="27">
        <f>IF(ISNUMBER($Q106),COUNTIFS($A$14:$A$1213,$A106,$Q$14:$Q$1213,"&gt;"&amp;$Q106)+(COUNTIFS($A$14:$A$1213,$A106,$Q$14:$Q$1213,"="&amp;$Q106)+1)/2,"")</f>
        <v/>
      </c>
      <c r="AE106" s="27">
        <f>IF(ISNUMBER($R106),COUNTIFS($A$14:$A$1213,$A106,$R$14:$R$1213,"&gt;"&amp;$R106)+(COUNTIFS($A$14:$A$1213,$A106,$R$14:$R$1213,"="&amp;$R106)+1)/2,"")</f>
        <v/>
      </c>
      <c r="AF106" s="27">
        <f>IF(ISNUMBER($S106),COUNTIFS($A$14:$A$1213,$A106,$S$14:$S$1213,"&gt;"&amp;$S106)+(COUNTIFS($A$14:$A$1213,$A106,$S$14:$S$1213,"="&amp;$S106)+1)/2,"")</f>
        <v/>
      </c>
      <c r="AG106" s="27">
        <f>IF(ISNUMBER($T106),COUNTIFS($A$14:$A$1213,$A106,$T$14:$T$1213,"&gt;"&amp;$T106)+(COUNTIFS($A$14:$A$1213,$A106,$T$14:$T$1213,"="&amp;$T106)+1)/2,"")</f>
        <v/>
      </c>
      <c r="AH106" s="27">
        <f>IF(COUNT($AC106:$AG106)&lt;2,"",IF(MAX($AC106:$AG106)=MIN($AC106:$AG106),0,1))</f>
        <v/>
      </c>
      <c r="AI106" s="27">
        <f>IF($A106="","",IF(COUNTIF($A$14:$A106,$A106)=1,COUNTIF($AI$13:AI105,"&gt;0")+1,""))</f>
        <v/>
      </c>
      <c r="AJ106" s="27">
        <f>IF(OR($H106="",COUNTIFS($A$14:$A$1213,$H106,$F$14:$F$1213,"&gt;=0")&lt;2,COUNTIFS($A$14:$A$1213,$H106,$F$14:$F$1213,_xlfn.MAXIFS($F$14:$F$1213,$A$14:$A$1213,$H106))&gt;1),"",IFERROR(INDEX($D$14:$D$1213,MATCH($H106&amp;"|"&amp;_xlfn.MAXIFS($F$14:$F$1213,$A$14:$A$1213,$H106),$AB$14:$AB$1213,0)),""))</f>
        <v/>
      </c>
      <c r="AK106" s="27">
        <f>IF(OR($H106="",COUNTIFS($A$14:$A$1213,$H106,$F$14:$F$1213,"&gt;=0")&lt;2,COUNTIFS($A$14:$A$1213,$H106,$F$14:$F$1213,_xlfn.MAXIFS($F$14:$F$1213,$A$14:$A$1213,$H106))&gt;1),"",IFERROR(INDEX($E$14:$E$1213,MATCH($H106&amp;"|"&amp;_xlfn.MAXIFS($F$14:$F$1213,$A$14:$A$1213,$H106),$AB$14:$AB$1213,0)),""))</f>
        <v/>
      </c>
      <c r="AL106" s="27">
        <f>IF(OR($H106="",COUNTIFS($A$14:$A$1213,$H106,$F$14:$F$1213,"&gt;=0")&lt;2,COUNTIFS($A$14:$A$1213,$H106,$F$14:$F$1213,_xlfn.MAXIFS($F$14:$F$1213,$A$14:$A$1213,$H106))&gt;1),"",IFERROR(INDEX($D$14:$D$1213,MATCH($H106&amp;"|"&amp;_xlfn.MAXIFS($F$14:$F$1213,$A$14:$A$1213,$H106,$F$14:$F$1213,"&lt;"&amp;_xlfn.MAXIFS($F$14:$F$1213,$A$14:$A$1213,$H106)),$AB$14:$AB$1213,0)),""))</f>
        <v/>
      </c>
      <c r="AM106" s="27">
        <f>IF(OR($H106="",COUNTIFS($A$14:$A$1213,$H106,$F$14:$F$1213,"&gt;=0")&lt;2,COUNTIFS($A$14:$A$1213,$H106,$F$14:$F$1213,_xlfn.MAXIFS($F$14:$F$1213,$A$14:$A$1213,$H106))&gt;1),"",IFERROR(INDEX($E$14:$E$1213,MATCH($H106&amp;"|"&amp;_xlfn.MAXIFS($F$14:$F$1213,$A$14:$A$1213,$H106,$F$14:$F$1213,"&lt;"&amp;_xlfn.MAXIFS($F$14:$F$1213,$A$14:$A$1213,$H106)),$AB$14:$AB$1213,0)),""))</f>
        <v/>
      </c>
      <c r="AN106" s="27">
        <f>IF(OR(NOT(ISNUMBER($AJ106)),NOT(ISNUMBER($AL106)),$AK106=0,$AM106=0),"",IF(OR((($AJ106+$AL106)/($AK106+$AM106))&lt;=0,(($AJ106+$AL106)/($AK106+$AM106))&gt;=1),"",($AJ106/$AK106-$AL106/$AM106)/SQRT((($AJ106+$AL106)/($AK106+$AM106))*(1-(($AJ106+$AL106)/($AK106+$AM106)))*(1/$AK106+1/$AM106))))</f>
        <v/>
      </c>
      <c r="AO106" s="27">
        <f>IF($A106="","",IF(AND(COUNTIFS($A$14:$A$1213,$A106,$F$14:$F$1213,"&gt;=0")=2,IFERROR(INDEX($M$14:$M$313,MATCH($A106,$H$14:$H$313,0)),"Yes")&lt;&gt;"Yes"),1,0))</f>
        <v/>
      </c>
    </row>
    <row r="107" ht="24" customHeight="1">
      <c r="A107" s="19" t="n"/>
      <c r="B107" s="20" t="n"/>
      <c r="C107" s="21">
        <f>IFERROR(AVERAGE(P107:T107),"")</f>
        <v/>
      </c>
      <c r="D107" s="29" t="n"/>
      <c r="E107" s="29" t="n"/>
      <c r="F107" s="30">
        <f>IF(AND(ISNUMBER($D107),ISNUMBER($E107),$E107&gt;0,$D107&lt;=$E107),$D107/$E107,"")</f>
        <v/>
      </c>
      <c r="H107" s="19">
        <f>IFERROR(INDEX($A$14:$A$1213,MATCH(94,$AI$14:$AI$1213,0)),"")</f>
        <v/>
      </c>
      <c r="I107" s="24">
        <f>IF($H107="","",IF(COUNTIFS($A$14:$A$1213,$H107,$C$14:$C$1213,"&gt;=0")=0,"—",IFERROR(INDEX($B$14:$B$1213,MATCH($H107&amp;"|1",$Z$14:$Z$1213,0)),"(tied)")))</f>
        <v/>
      </c>
      <c r="J107" s="25">
        <f>IF($H107="","",IF(OR(COUNTIFS($A$14:$A$1213,$H107,$C$14:$C$1213,"&gt;=0")=0,COUNTIFS($A$14:$A$1213,$H107,$F$14:$F$1213,"&gt;=0")=0),"—",IF(OR(ISERROR(MATCH($H107&amp;"|1",$Z$14:$Z$1213,0)),ISERROR(MATCH($H107&amp;"|1",$AA$14:$AA$1213,0))),"Tie",IF(MATCH($H107&amp;"|1",$Z$14:$Z$1213,0)=MATCH($H107&amp;"|1",$AA$14:$AA$1213,0),"Hit","Miss"))))</f>
        <v/>
      </c>
      <c r="K107" s="24">
        <f>IF($H107="","",IF(COUNTIFS($A$14:$A$1213,$H107,$F$14:$F$1213,"&gt;=0")=0,"—",IFERROR(INDEX($B$14:$B$1213,MATCH($H107&amp;"|1",$AA$14:$AA$1213,0)),"(tied)")))</f>
        <v/>
      </c>
      <c r="L107" s="25">
        <f>IF($H107="","",IF((--(COUNTIFS($A$14:$A$1213,$H107,$P$14:$P$1213,"&gt;=0")&gt;0)+--(COUNTIFS($A$14:$A$1213,$H107,$Q$14:$Q$1213,"&gt;=0")&gt;0)+--(COUNTIFS($A$14:$A$1213,$H107,$R$14:$R$1213,"&gt;=0")&gt;0)+--(COUNTIFS($A$14:$A$1213,$H107,$S$14:$S$1213,"&gt;=0")&gt;0)+--(COUNTIFS($A$14:$A$1213,$H107,$T$14:$T$1213,"&gt;=0")&gt;0))&lt;2,"—",IF(SUMIFS($AH$14:$AH$1213,$A$14:$A$1213,$H107)=0,"Yes","No")))</f>
        <v/>
      </c>
      <c r="M107" s="25">
        <f>IF($H107="","",IF(COUNTIFS($A$14:$A$1213,$H107,$F$14:$F$1213,"&gt;=0")&lt;2,"—",IF(COUNTIFS($A$14:$A$1213,$H107,$F$14:$F$1213,_xlfn.MAXIFS($F$14:$F$1213,$A$14:$A$1213,$H107))&gt;1,"No",IF(NOT(ISNUMBER($AN107)),"—",IF((2*(1-NORMSDIST(ABS($AN107))))&lt;0.05,"Yes","No")))))</f>
        <v/>
      </c>
      <c r="N107" s="21">
        <f>IF($H107="","",IF(NOT(ISNUMBER($AN107)),"—",IF((2*(1-NORMSDIST(ABS($AN107))))&lt;0.001,"&lt;0.001",TEXT((2*(1-NORMSDIST(ABS($AN107)))),"0.000"))))</f>
        <v/>
      </c>
      <c r="P107" s="26" t="n"/>
      <c r="Q107" s="26" t="n"/>
      <c r="R107" s="26" t="n"/>
      <c r="S107" s="26" t="n"/>
      <c r="T107" s="26" t="n"/>
      <c r="V107" s="27">
        <f>IF(ISNUMBER($C107),COUNTIFS($A$14:$A$1213,$A107,$C$14:$C$1213,"&gt;"&amp;$C107)+(COUNTIFS($A$14:$A$1213,$A107,$C$14:$C$1213,"="&amp;$C107)+1)/2,"")</f>
        <v/>
      </c>
      <c r="W107" s="27">
        <f>IF(ISNUMBER($F107),COUNTIFS($A$14:$A$1213,$A107,$F$14:$F$1213,"&gt;"&amp;$F107)+(COUNTIFS($A$14:$A$1213,$A107,$F$14:$F$1213,"="&amp;$F107)+1)/2,"")</f>
        <v/>
      </c>
      <c r="X107" s="27">
        <f>IF(OR(NOT(ISNUMBER($V107)),$AO107=1),"",$V107-(COUNTIFS($A$14:$A$1213,$A107,$C$14:$C$1213,"&gt;=0")+1)/2)</f>
        <v/>
      </c>
      <c r="Y107" s="27">
        <f>IF(OR(NOT(ISNUMBER($W107)),$AO107=1),"",$W107-(COUNTIFS($A$14:$A$1213,$A107,$F$14:$F$1213,"&gt;=0")+1)/2)</f>
        <v/>
      </c>
      <c r="Z107" s="27">
        <f>IF(ISNUMBER($V107),$A107&amp;"|"&amp;$V107,"")</f>
        <v/>
      </c>
      <c r="AA107" s="27">
        <f>IF(ISNUMBER($W107),$A107&amp;"|"&amp;$W107,"")</f>
        <v/>
      </c>
      <c r="AB107" s="27">
        <f>IF(ISNUMBER($F107),$A107&amp;"|"&amp;$F107,"")</f>
        <v/>
      </c>
      <c r="AC107" s="27">
        <f>IF(ISNUMBER($P107),COUNTIFS($A$14:$A$1213,$A107,$P$14:$P$1213,"&gt;"&amp;$P107)+(COUNTIFS($A$14:$A$1213,$A107,$P$14:$P$1213,"="&amp;$P107)+1)/2,"")</f>
        <v/>
      </c>
      <c r="AD107" s="27">
        <f>IF(ISNUMBER($Q107),COUNTIFS($A$14:$A$1213,$A107,$Q$14:$Q$1213,"&gt;"&amp;$Q107)+(COUNTIFS($A$14:$A$1213,$A107,$Q$14:$Q$1213,"="&amp;$Q107)+1)/2,"")</f>
        <v/>
      </c>
      <c r="AE107" s="27">
        <f>IF(ISNUMBER($R107),COUNTIFS($A$14:$A$1213,$A107,$R$14:$R$1213,"&gt;"&amp;$R107)+(COUNTIFS($A$14:$A$1213,$A107,$R$14:$R$1213,"="&amp;$R107)+1)/2,"")</f>
        <v/>
      </c>
      <c r="AF107" s="27">
        <f>IF(ISNUMBER($S107),COUNTIFS($A$14:$A$1213,$A107,$S$14:$S$1213,"&gt;"&amp;$S107)+(COUNTIFS($A$14:$A$1213,$A107,$S$14:$S$1213,"="&amp;$S107)+1)/2,"")</f>
        <v/>
      </c>
      <c r="AG107" s="27">
        <f>IF(ISNUMBER($T107),COUNTIFS($A$14:$A$1213,$A107,$T$14:$T$1213,"&gt;"&amp;$T107)+(COUNTIFS($A$14:$A$1213,$A107,$T$14:$T$1213,"="&amp;$T107)+1)/2,"")</f>
        <v/>
      </c>
      <c r="AH107" s="27">
        <f>IF(COUNT($AC107:$AG107)&lt;2,"",IF(MAX($AC107:$AG107)=MIN($AC107:$AG107),0,1))</f>
        <v/>
      </c>
      <c r="AI107" s="27">
        <f>IF($A107="","",IF(COUNTIF($A$14:$A107,$A107)=1,COUNTIF($AI$13:AI106,"&gt;0")+1,""))</f>
        <v/>
      </c>
      <c r="AJ107" s="27">
        <f>IF(OR($H107="",COUNTIFS($A$14:$A$1213,$H107,$F$14:$F$1213,"&gt;=0")&lt;2,COUNTIFS($A$14:$A$1213,$H107,$F$14:$F$1213,_xlfn.MAXIFS($F$14:$F$1213,$A$14:$A$1213,$H107))&gt;1),"",IFERROR(INDEX($D$14:$D$1213,MATCH($H107&amp;"|"&amp;_xlfn.MAXIFS($F$14:$F$1213,$A$14:$A$1213,$H107),$AB$14:$AB$1213,0)),""))</f>
        <v/>
      </c>
      <c r="AK107" s="27">
        <f>IF(OR($H107="",COUNTIFS($A$14:$A$1213,$H107,$F$14:$F$1213,"&gt;=0")&lt;2,COUNTIFS($A$14:$A$1213,$H107,$F$14:$F$1213,_xlfn.MAXIFS($F$14:$F$1213,$A$14:$A$1213,$H107))&gt;1),"",IFERROR(INDEX($E$14:$E$1213,MATCH($H107&amp;"|"&amp;_xlfn.MAXIFS($F$14:$F$1213,$A$14:$A$1213,$H107),$AB$14:$AB$1213,0)),""))</f>
        <v/>
      </c>
      <c r="AL107" s="27">
        <f>IF(OR($H107="",COUNTIFS($A$14:$A$1213,$H107,$F$14:$F$1213,"&gt;=0")&lt;2,COUNTIFS($A$14:$A$1213,$H107,$F$14:$F$1213,_xlfn.MAXIFS($F$14:$F$1213,$A$14:$A$1213,$H107))&gt;1),"",IFERROR(INDEX($D$14:$D$1213,MATCH($H107&amp;"|"&amp;_xlfn.MAXIFS($F$14:$F$1213,$A$14:$A$1213,$H107,$F$14:$F$1213,"&lt;"&amp;_xlfn.MAXIFS($F$14:$F$1213,$A$14:$A$1213,$H107)),$AB$14:$AB$1213,0)),""))</f>
        <v/>
      </c>
      <c r="AM107" s="27">
        <f>IF(OR($H107="",COUNTIFS($A$14:$A$1213,$H107,$F$14:$F$1213,"&gt;=0")&lt;2,COUNTIFS($A$14:$A$1213,$H107,$F$14:$F$1213,_xlfn.MAXIFS($F$14:$F$1213,$A$14:$A$1213,$H107))&gt;1),"",IFERROR(INDEX($E$14:$E$1213,MATCH($H107&amp;"|"&amp;_xlfn.MAXIFS($F$14:$F$1213,$A$14:$A$1213,$H107,$F$14:$F$1213,"&lt;"&amp;_xlfn.MAXIFS($F$14:$F$1213,$A$14:$A$1213,$H107)),$AB$14:$AB$1213,0)),""))</f>
        <v/>
      </c>
      <c r="AN107" s="27">
        <f>IF(OR(NOT(ISNUMBER($AJ107)),NOT(ISNUMBER($AL107)),$AK107=0,$AM107=0),"",IF(OR((($AJ107+$AL107)/($AK107+$AM107))&lt;=0,(($AJ107+$AL107)/($AK107+$AM107))&gt;=1),"",($AJ107/$AK107-$AL107/$AM107)/SQRT((($AJ107+$AL107)/($AK107+$AM107))*(1-(($AJ107+$AL107)/($AK107+$AM107)))*(1/$AK107+1/$AM107))))</f>
        <v/>
      </c>
      <c r="AO107" s="27">
        <f>IF($A107="","",IF(AND(COUNTIFS($A$14:$A$1213,$A107,$F$14:$F$1213,"&gt;=0")=2,IFERROR(INDEX($M$14:$M$313,MATCH($A107,$H$14:$H$313,0)),"Yes")&lt;&gt;"Yes"),1,0))</f>
        <v/>
      </c>
    </row>
    <row r="108" ht="24" customHeight="1">
      <c r="A108" s="19" t="n"/>
      <c r="B108" s="20" t="n"/>
      <c r="C108" s="21">
        <f>IFERROR(AVERAGE(P108:T108),"")</f>
        <v/>
      </c>
      <c r="D108" s="29" t="n"/>
      <c r="E108" s="29" t="n"/>
      <c r="F108" s="30">
        <f>IF(AND(ISNUMBER($D108),ISNUMBER($E108),$E108&gt;0,$D108&lt;=$E108),$D108/$E108,"")</f>
        <v/>
      </c>
      <c r="H108" s="19">
        <f>IFERROR(INDEX($A$14:$A$1213,MATCH(95,$AI$14:$AI$1213,0)),"")</f>
        <v/>
      </c>
      <c r="I108" s="24">
        <f>IF($H108="","",IF(COUNTIFS($A$14:$A$1213,$H108,$C$14:$C$1213,"&gt;=0")=0,"—",IFERROR(INDEX($B$14:$B$1213,MATCH($H108&amp;"|1",$Z$14:$Z$1213,0)),"(tied)")))</f>
        <v/>
      </c>
      <c r="J108" s="25">
        <f>IF($H108="","",IF(OR(COUNTIFS($A$14:$A$1213,$H108,$C$14:$C$1213,"&gt;=0")=0,COUNTIFS($A$14:$A$1213,$H108,$F$14:$F$1213,"&gt;=0")=0),"—",IF(OR(ISERROR(MATCH($H108&amp;"|1",$Z$14:$Z$1213,0)),ISERROR(MATCH($H108&amp;"|1",$AA$14:$AA$1213,0))),"Tie",IF(MATCH($H108&amp;"|1",$Z$14:$Z$1213,0)=MATCH($H108&amp;"|1",$AA$14:$AA$1213,0),"Hit","Miss"))))</f>
        <v/>
      </c>
      <c r="K108" s="24">
        <f>IF($H108="","",IF(COUNTIFS($A$14:$A$1213,$H108,$F$14:$F$1213,"&gt;=0")=0,"—",IFERROR(INDEX($B$14:$B$1213,MATCH($H108&amp;"|1",$AA$14:$AA$1213,0)),"(tied)")))</f>
        <v/>
      </c>
      <c r="L108" s="25">
        <f>IF($H108="","",IF((--(COUNTIFS($A$14:$A$1213,$H108,$P$14:$P$1213,"&gt;=0")&gt;0)+--(COUNTIFS($A$14:$A$1213,$H108,$Q$14:$Q$1213,"&gt;=0")&gt;0)+--(COUNTIFS($A$14:$A$1213,$H108,$R$14:$R$1213,"&gt;=0")&gt;0)+--(COUNTIFS($A$14:$A$1213,$H108,$S$14:$S$1213,"&gt;=0")&gt;0)+--(COUNTIFS($A$14:$A$1213,$H108,$T$14:$T$1213,"&gt;=0")&gt;0))&lt;2,"—",IF(SUMIFS($AH$14:$AH$1213,$A$14:$A$1213,$H108)=0,"Yes","No")))</f>
        <v/>
      </c>
      <c r="M108" s="25">
        <f>IF($H108="","",IF(COUNTIFS($A$14:$A$1213,$H108,$F$14:$F$1213,"&gt;=0")&lt;2,"—",IF(COUNTIFS($A$14:$A$1213,$H108,$F$14:$F$1213,_xlfn.MAXIFS($F$14:$F$1213,$A$14:$A$1213,$H108))&gt;1,"No",IF(NOT(ISNUMBER($AN108)),"—",IF((2*(1-NORMSDIST(ABS($AN108))))&lt;0.05,"Yes","No")))))</f>
        <v/>
      </c>
      <c r="N108" s="21">
        <f>IF($H108="","",IF(NOT(ISNUMBER($AN108)),"—",IF((2*(1-NORMSDIST(ABS($AN108))))&lt;0.001,"&lt;0.001",TEXT((2*(1-NORMSDIST(ABS($AN108)))),"0.000"))))</f>
        <v/>
      </c>
      <c r="P108" s="26" t="n"/>
      <c r="Q108" s="26" t="n"/>
      <c r="R108" s="26" t="n"/>
      <c r="S108" s="26" t="n"/>
      <c r="T108" s="26" t="n"/>
      <c r="V108" s="27">
        <f>IF(ISNUMBER($C108),COUNTIFS($A$14:$A$1213,$A108,$C$14:$C$1213,"&gt;"&amp;$C108)+(COUNTIFS($A$14:$A$1213,$A108,$C$14:$C$1213,"="&amp;$C108)+1)/2,"")</f>
        <v/>
      </c>
      <c r="W108" s="27">
        <f>IF(ISNUMBER($F108),COUNTIFS($A$14:$A$1213,$A108,$F$14:$F$1213,"&gt;"&amp;$F108)+(COUNTIFS($A$14:$A$1213,$A108,$F$14:$F$1213,"="&amp;$F108)+1)/2,"")</f>
        <v/>
      </c>
      <c r="X108" s="27">
        <f>IF(OR(NOT(ISNUMBER($V108)),$AO108=1),"",$V108-(COUNTIFS($A$14:$A$1213,$A108,$C$14:$C$1213,"&gt;=0")+1)/2)</f>
        <v/>
      </c>
      <c r="Y108" s="27">
        <f>IF(OR(NOT(ISNUMBER($W108)),$AO108=1),"",$W108-(COUNTIFS($A$14:$A$1213,$A108,$F$14:$F$1213,"&gt;=0")+1)/2)</f>
        <v/>
      </c>
      <c r="Z108" s="27">
        <f>IF(ISNUMBER($V108),$A108&amp;"|"&amp;$V108,"")</f>
        <v/>
      </c>
      <c r="AA108" s="27">
        <f>IF(ISNUMBER($W108),$A108&amp;"|"&amp;$W108,"")</f>
        <v/>
      </c>
      <c r="AB108" s="27">
        <f>IF(ISNUMBER($F108),$A108&amp;"|"&amp;$F108,"")</f>
        <v/>
      </c>
      <c r="AC108" s="27">
        <f>IF(ISNUMBER($P108),COUNTIFS($A$14:$A$1213,$A108,$P$14:$P$1213,"&gt;"&amp;$P108)+(COUNTIFS($A$14:$A$1213,$A108,$P$14:$P$1213,"="&amp;$P108)+1)/2,"")</f>
        <v/>
      </c>
      <c r="AD108" s="27">
        <f>IF(ISNUMBER($Q108),COUNTIFS($A$14:$A$1213,$A108,$Q$14:$Q$1213,"&gt;"&amp;$Q108)+(COUNTIFS($A$14:$A$1213,$A108,$Q$14:$Q$1213,"="&amp;$Q108)+1)/2,"")</f>
        <v/>
      </c>
      <c r="AE108" s="27">
        <f>IF(ISNUMBER($R108),COUNTIFS($A$14:$A$1213,$A108,$R$14:$R$1213,"&gt;"&amp;$R108)+(COUNTIFS($A$14:$A$1213,$A108,$R$14:$R$1213,"="&amp;$R108)+1)/2,"")</f>
        <v/>
      </c>
      <c r="AF108" s="27">
        <f>IF(ISNUMBER($S108),COUNTIFS($A$14:$A$1213,$A108,$S$14:$S$1213,"&gt;"&amp;$S108)+(COUNTIFS($A$14:$A$1213,$A108,$S$14:$S$1213,"="&amp;$S108)+1)/2,"")</f>
        <v/>
      </c>
      <c r="AG108" s="27">
        <f>IF(ISNUMBER($T108),COUNTIFS($A$14:$A$1213,$A108,$T$14:$T$1213,"&gt;"&amp;$T108)+(COUNTIFS($A$14:$A$1213,$A108,$T$14:$T$1213,"="&amp;$T108)+1)/2,"")</f>
        <v/>
      </c>
      <c r="AH108" s="27">
        <f>IF(COUNT($AC108:$AG108)&lt;2,"",IF(MAX($AC108:$AG108)=MIN($AC108:$AG108),0,1))</f>
        <v/>
      </c>
      <c r="AI108" s="27">
        <f>IF($A108="","",IF(COUNTIF($A$14:$A108,$A108)=1,COUNTIF($AI$13:AI107,"&gt;0")+1,""))</f>
        <v/>
      </c>
      <c r="AJ108" s="27">
        <f>IF(OR($H108="",COUNTIFS($A$14:$A$1213,$H108,$F$14:$F$1213,"&gt;=0")&lt;2,COUNTIFS($A$14:$A$1213,$H108,$F$14:$F$1213,_xlfn.MAXIFS($F$14:$F$1213,$A$14:$A$1213,$H108))&gt;1),"",IFERROR(INDEX($D$14:$D$1213,MATCH($H108&amp;"|"&amp;_xlfn.MAXIFS($F$14:$F$1213,$A$14:$A$1213,$H108),$AB$14:$AB$1213,0)),""))</f>
        <v/>
      </c>
      <c r="AK108" s="27">
        <f>IF(OR($H108="",COUNTIFS($A$14:$A$1213,$H108,$F$14:$F$1213,"&gt;=0")&lt;2,COUNTIFS($A$14:$A$1213,$H108,$F$14:$F$1213,_xlfn.MAXIFS($F$14:$F$1213,$A$14:$A$1213,$H108))&gt;1),"",IFERROR(INDEX($E$14:$E$1213,MATCH($H108&amp;"|"&amp;_xlfn.MAXIFS($F$14:$F$1213,$A$14:$A$1213,$H108),$AB$14:$AB$1213,0)),""))</f>
        <v/>
      </c>
      <c r="AL108" s="27">
        <f>IF(OR($H108="",COUNTIFS($A$14:$A$1213,$H108,$F$14:$F$1213,"&gt;=0")&lt;2,COUNTIFS($A$14:$A$1213,$H108,$F$14:$F$1213,_xlfn.MAXIFS($F$14:$F$1213,$A$14:$A$1213,$H108))&gt;1),"",IFERROR(INDEX($D$14:$D$1213,MATCH($H108&amp;"|"&amp;_xlfn.MAXIFS($F$14:$F$1213,$A$14:$A$1213,$H108,$F$14:$F$1213,"&lt;"&amp;_xlfn.MAXIFS($F$14:$F$1213,$A$14:$A$1213,$H108)),$AB$14:$AB$1213,0)),""))</f>
        <v/>
      </c>
      <c r="AM108" s="27">
        <f>IF(OR($H108="",COUNTIFS($A$14:$A$1213,$H108,$F$14:$F$1213,"&gt;=0")&lt;2,COUNTIFS($A$14:$A$1213,$H108,$F$14:$F$1213,_xlfn.MAXIFS($F$14:$F$1213,$A$14:$A$1213,$H108))&gt;1),"",IFERROR(INDEX($E$14:$E$1213,MATCH($H108&amp;"|"&amp;_xlfn.MAXIFS($F$14:$F$1213,$A$14:$A$1213,$H108,$F$14:$F$1213,"&lt;"&amp;_xlfn.MAXIFS($F$14:$F$1213,$A$14:$A$1213,$H108)),$AB$14:$AB$1213,0)),""))</f>
        <v/>
      </c>
      <c r="AN108" s="27">
        <f>IF(OR(NOT(ISNUMBER($AJ108)),NOT(ISNUMBER($AL108)),$AK108=0,$AM108=0),"",IF(OR((($AJ108+$AL108)/($AK108+$AM108))&lt;=0,(($AJ108+$AL108)/($AK108+$AM108))&gt;=1),"",($AJ108/$AK108-$AL108/$AM108)/SQRT((($AJ108+$AL108)/($AK108+$AM108))*(1-(($AJ108+$AL108)/($AK108+$AM108)))*(1/$AK108+1/$AM108))))</f>
        <v/>
      </c>
      <c r="AO108" s="27">
        <f>IF($A108="","",IF(AND(COUNTIFS($A$14:$A$1213,$A108,$F$14:$F$1213,"&gt;=0")=2,IFERROR(INDEX($M$14:$M$313,MATCH($A108,$H$14:$H$313,0)),"Yes")&lt;&gt;"Yes"),1,0))</f>
        <v/>
      </c>
    </row>
    <row r="109" ht="24" customHeight="1">
      <c r="A109" s="19" t="n"/>
      <c r="B109" s="20" t="n"/>
      <c r="C109" s="21">
        <f>IFERROR(AVERAGE(P109:T109),"")</f>
        <v/>
      </c>
      <c r="D109" s="29" t="n"/>
      <c r="E109" s="29" t="n"/>
      <c r="F109" s="30">
        <f>IF(AND(ISNUMBER($D109),ISNUMBER($E109),$E109&gt;0,$D109&lt;=$E109),$D109/$E109,"")</f>
        <v/>
      </c>
      <c r="H109" s="19">
        <f>IFERROR(INDEX($A$14:$A$1213,MATCH(96,$AI$14:$AI$1213,0)),"")</f>
        <v/>
      </c>
      <c r="I109" s="24">
        <f>IF($H109="","",IF(COUNTIFS($A$14:$A$1213,$H109,$C$14:$C$1213,"&gt;=0")=0,"—",IFERROR(INDEX($B$14:$B$1213,MATCH($H109&amp;"|1",$Z$14:$Z$1213,0)),"(tied)")))</f>
        <v/>
      </c>
      <c r="J109" s="25">
        <f>IF($H109="","",IF(OR(COUNTIFS($A$14:$A$1213,$H109,$C$14:$C$1213,"&gt;=0")=0,COUNTIFS($A$14:$A$1213,$H109,$F$14:$F$1213,"&gt;=0")=0),"—",IF(OR(ISERROR(MATCH($H109&amp;"|1",$Z$14:$Z$1213,0)),ISERROR(MATCH($H109&amp;"|1",$AA$14:$AA$1213,0))),"Tie",IF(MATCH($H109&amp;"|1",$Z$14:$Z$1213,0)=MATCH($H109&amp;"|1",$AA$14:$AA$1213,0),"Hit","Miss"))))</f>
        <v/>
      </c>
      <c r="K109" s="24">
        <f>IF($H109="","",IF(COUNTIFS($A$14:$A$1213,$H109,$F$14:$F$1213,"&gt;=0")=0,"—",IFERROR(INDEX($B$14:$B$1213,MATCH($H109&amp;"|1",$AA$14:$AA$1213,0)),"(tied)")))</f>
        <v/>
      </c>
      <c r="L109" s="25">
        <f>IF($H109="","",IF((--(COUNTIFS($A$14:$A$1213,$H109,$P$14:$P$1213,"&gt;=0")&gt;0)+--(COUNTIFS($A$14:$A$1213,$H109,$Q$14:$Q$1213,"&gt;=0")&gt;0)+--(COUNTIFS($A$14:$A$1213,$H109,$R$14:$R$1213,"&gt;=0")&gt;0)+--(COUNTIFS($A$14:$A$1213,$H109,$S$14:$S$1213,"&gt;=0")&gt;0)+--(COUNTIFS($A$14:$A$1213,$H109,$T$14:$T$1213,"&gt;=0")&gt;0))&lt;2,"—",IF(SUMIFS($AH$14:$AH$1213,$A$14:$A$1213,$H109)=0,"Yes","No")))</f>
        <v/>
      </c>
      <c r="M109" s="25">
        <f>IF($H109="","",IF(COUNTIFS($A$14:$A$1213,$H109,$F$14:$F$1213,"&gt;=0")&lt;2,"—",IF(COUNTIFS($A$14:$A$1213,$H109,$F$14:$F$1213,_xlfn.MAXIFS($F$14:$F$1213,$A$14:$A$1213,$H109))&gt;1,"No",IF(NOT(ISNUMBER($AN109)),"—",IF((2*(1-NORMSDIST(ABS($AN109))))&lt;0.05,"Yes","No")))))</f>
        <v/>
      </c>
      <c r="N109" s="21">
        <f>IF($H109="","",IF(NOT(ISNUMBER($AN109)),"—",IF((2*(1-NORMSDIST(ABS($AN109))))&lt;0.001,"&lt;0.001",TEXT((2*(1-NORMSDIST(ABS($AN109)))),"0.000"))))</f>
        <v/>
      </c>
      <c r="P109" s="26" t="n"/>
      <c r="Q109" s="26" t="n"/>
      <c r="R109" s="26" t="n"/>
      <c r="S109" s="26" t="n"/>
      <c r="T109" s="26" t="n"/>
      <c r="V109" s="27">
        <f>IF(ISNUMBER($C109),COUNTIFS($A$14:$A$1213,$A109,$C$14:$C$1213,"&gt;"&amp;$C109)+(COUNTIFS($A$14:$A$1213,$A109,$C$14:$C$1213,"="&amp;$C109)+1)/2,"")</f>
        <v/>
      </c>
      <c r="W109" s="27">
        <f>IF(ISNUMBER($F109),COUNTIFS($A$14:$A$1213,$A109,$F$14:$F$1213,"&gt;"&amp;$F109)+(COUNTIFS($A$14:$A$1213,$A109,$F$14:$F$1213,"="&amp;$F109)+1)/2,"")</f>
        <v/>
      </c>
      <c r="X109" s="27">
        <f>IF(OR(NOT(ISNUMBER($V109)),$AO109=1),"",$V109-(COUNTIFS($A$14:$A$1213,$A109,$C$14:$C$1213,"&gt;=0")+1)/2)</f>
        <v/>
      </c>
      <c r="Y109" s="27">
        <f>IF(OR(NOT(ISNUMBER($W109)),$AO109=1),"",$W109-(COUNTIFS($A$14:$A$1213,$A109,$F$14:$F$1213,"&gt;=0")+1)/2)</f>
        <v/>
      </c>
      <c r="Z109" s="27">
        <f>IF(ISNUMBER($V109),$A109&amp;"|"&amp;$V109,"")</f>
        <v/>
      </c>
      <c r="AA109" s="27">
        <f>IF(ISNUMBER($W109),$A109&amp;"|"&amp;$W109,"")</f>
        <v/>
      </c>
      <c r="AB109" s="27">
        <f>IF(ISNUMBER($F109),$A109&amp;"|"&amp;$F109,"")</f>
        <v/>
      </c>
      <c r="AC109" s="27">
        <f>IF(ISNUMBER($P109),COUNTIFS($A$14:$A$1213,$A109,$P$14:$P$1213,"&gt;"&amp;$P109)+(COUNTIFS($A$14:$A$1213,$A109,$P$14:$P$1213,"="&amp;$P109)+1)/2,"")</f>
        <v/>
      </c>
      <c r="AD109" s="27">
        <f>IF(ISNUMBER($Q109),COUNTIFS($A$14:$A$1213,$A109,$Q$14:$Q$1213,"&gt;"&amp;$Q109)+(COUNTIFS($A$14:$A$1213,$A109,$Q$14:$Q$1213,"="&amp;$Q109)+1)/2,"")</f>
        <v/>
      </c>
      <c r="AE109" s="27">
        <f>IF(ISNUMBER($R109),COUNTIFS($A$14:$A$1213,$A109,$R$14:$R$1213,"&gt;"&amp;$R109)+(COUNTIFS($A$14:$A$1213,$A109,$R$14:$R$1213,"="&amp;$R109)+1)/2,"")</f>
        <v/>
      </c>
      <c r="AF109" s="27">
        <f>IF(ISNUMBER($S109),COUNTIFS($A$14:$A$1213,$A109,$S$14:$S$1213,"&gt;"&amp;$S109)+(COUNTIFS($A$14:$A$1213,$A109,$S$14:$S$1213,"="&amp;$S109)+1)/2,"")</f>
        <v/>
      </c>
      <c r="AG109" s="27">
        <f>IF(ISNUMBER($T109),COUNTIFS($A$14:$A$1213,$A109,$T$14:$T$1213,"&gt;"&amp;$T109)+(COUNTIFS($A$14:$A$1213,$A109,$T$14:$T$1213,"="&amp;$T109)+1)/2,"")</f>
        <v/>
      </c>
      <c r="AH109" s="27">
        <f>IF(COUNT($AC109:$AG109)&lt;2,"",IF(MAX($AC109:$AG109)=MIN($AC109:$AG109),0,1))</f>
        <v/>
      </c>
      <c r="AI109" s="27">
        <f>IF($A109="","",IF(COUNTIF($A$14:$A109,$A109)=1,COUNTIF($AI$13:AI108,"&gt;0")+1,""))</f>
        <v/>
      </c>
      <c r="AJ109" s="27">
        <f>IF(OR($H109="",COUNTIFS($A$14:$A$1213,$H109,$F$14:$F$1213,"&gt;=0")&lt;2,COUNTIFS($A$14:$A$1213,$H109,$F$14:$F$1213,_xlfn.MAXIFS($F$14:$F$1213,$A$14:$A$1213,$H109))&gt;1),"",IFERROR(INDEX($D$14:$D$1213,MATCH($H109&amp;"|"&amp;_xlfn.MAXIFS($F$14:$F$1213,$A$14:$A$1213,$H109),$AB$14:$AB$1213,0)),""))</f>
        <v/>
      </c>
      <c r="AK109" s="27">
        <f>IF(OR($H109="",COUNTIFS($A$14:$A$1213,$H109,$F$14:$F$1213,"&gt;=0")&lt;2,COUNTIFS($A$14:$A$1213,$H109,$F$14:$F$1213,_xlfn.MAXIFS($F$14:$F$1213,$A$14:$A$1213,$H109))&gt;1),"",IFERROR(INDEX($E$14:$E$1213,MATCH($H109&amp;"|"&amp;_xlfn.MAXIFS($F$14:$F$1213,$A$14:$A$1213,$H109),$AB$14:$AB$1213,0)),""))</f>
        <v/>
      </c>
      <c r="AL109" s="27">
        <f>IF(OR($H109="",COUNTIFS($A$14:$A$1213,$H109,$F$14:$F$1213,"&gt;=0")&lt;2,COUNTIFS($A$14:$A$1213,$H109,$F$14:$F$1213,_xlfn.MAXIFS($F$14:$F$1213,$A$14:$A$1213,$H109))&gt;1),"",IFERROR(INDEX($D$14:$D$1213,MATCH($H109&amp;"|"&amp;_xlfn.MAXIFS($F$14:$F$1213,$A$14:$A$1213,$H109,$F$14:$F$1213,"&lt;"&amp;_xlfn.MAXIFS($F$14:$F$1213,$A$14:$A$1213,$H109)),$AB$14:$AB$1213,0)),""))</f>
        <v/>
      </c>
      <c r="AM109" s="27">
        <f>IF(OR($H109="",COUNTIFS($A$14:$A$1213,$H109,$F$14:$F$1213,"&gt;=0")&lt;2,COUNTIFS($A$14:$A$1213,$H109,$F$14:$F$1213,_xlfn.MAXIFS($F$14:$F$1213,$A$14:$A$1213,$H109))&gt;1),"",IFERROR(INDEX($E$14:$E$1213,MATCH($H109&amp;"|"&amp;_xlfn.MAXIFS($F$14:$F$1213,$A$14:$A$1213,$H109,$F$14:$F$1213,"&lt;"&amp;_xlfn.MAXIFS($F$14:$F$1213,$A$14:$A$1213,$H109)),$AB$14:$AB$1213,0)),""))</f>
        <v/>
      </c>
      <c r="AN109" s="27">
        <f>IF(OR(NOT(ISNUMBER($AJ109)),NOT(ISNUMBER($AL109)),$AK109=0,$AM109=0),"",IF(OR((($AJ109+$AL109)/($AK109+$AM109))&lt;=0,(($AJ109+$AL109)/($AK109+$AM109))&gt;=1),"",($AJ109/$AK109-$AL109/$AM109)/SQRT((($AJ109+$AL109)/($AK109+$AM109))*(1-(($AJ109+$AL109)/($AK109+$AM109)))*(1/$AK109+1/$AM109))))</f>
        <v/>
      </c>
      <c r="AO109" s="27">
        <f>IF($A109="","",IF(AND(COUNTIFS($A$14:$A$1213,$A109,$F$14:$F$1213,"&gt;=0")=2,IFERROR(INDEX($M$14:$M$313,MATCH($A109,$H$14:$H$313,0)),"Yes")&lt;&gt;"Yes"),1,0))</f>
        <v/>
      </c>
    </row>
    <row r="110" ht="24" customHeight="1">
      <c r="A110" s="19" t="n"/>
      <c r="B110" s="20" t="n"/>
      <c r="C110" s="21">
        <f>IFERROR(AVERAGE(P110:T110),"")</f>
        <v/>
      </c>
      <c r="D110" s="29" t="n"/>
      <c r="E110" s="29" t="n"/>
      <c r="F110" s="30">
        <f>IF(AND(ISNUMBER($D110),ISNUMBER($E110),$E110&gt;0,$D110&lt;=$E110),$D110/$E110,"")</f>
        <v/>
      </c>
      <c r="H110" s="19">
        <f>IFERROR(INDEX($A$14:$A$1213,MATCH(97,$AI$14:$AI$1213,0)),"")</f>
        <v/>
      </c>
      <c r="I110" s="24">
        <f>IF($H110="","",IF(COUNTIFS($A$14:$A$1213,$H110,$C$14:$C$1213,"&gt;=0")=0,"—",IFERROR(INDEX($B$14:$B$1213,MATCH($H110&amp;"|1",$Z$14:$Z$1213,0)),"(tied)")))</f>
        <v/>
      </c>
      <c r="J110" s="25">
        <f>IF($H110="","",IF(OR(COUNTIFS($A$14:$A$1213,$H110,$C$14:$C$1213,"&gt;=0")=0,COUNTIFS($A$14:$A$1213,$H110,$F$14:$F$1213,"&gt;=0")=0),"—",IF(OR(ISERROR(MATCH($H110&amp;"|1",$Z$14:$Z$1213,0)),ISERROR(MATCH($H110&amp;"|1",$AA$14:$AA$1213,0))),"Tie",IF(MATCH($H110&amp;"|1",$Z$14:$Z$1213,0)=MATCH($H110&amp;"|1",$AA$14:$AA$1213,0),"Hit","Miss"))))</f>
        <v/>
      </c>
      <c r="K110" s="24">
        <f>IF($H110="","",IF(COUNTIFS($A$14:$A$1213,$H110,$F$14:$F$1213,"&gt;=0")=0,"—",IFERROR(INDEX($B$14:$B$1213,MATCH($H110&amp;"|1",$AA$14:$AA$1213,0)),"(tied)")))</f>
        <v/>
      </c>
      <c r="L110" s="25">
        <f>IF($H110="","",IF((--(COUNTIFS($A$14:$A$1213,$H110,$P$14:$P$1213,"&gt;=0")&gt;0)+--(COUNTIFS($A$14:$A$1213,$H110,$Q$14:$Q$1213,"&gt;=0")&gt;0)+--(COUNTIFS($A$14:$A$1213,$H110,$R$14:$R$1213,"&gt;=0")&gt;0)+--(COUNTIFS($A$14:$A$1213,$H110,$S$14:$S$1213,"&gt;=0")&gt;0)+--(COUNTIFS($A$14:$A$1213,$H110,$T$14:$T$1213,"&gt;=0")&gt;0))&lt;2,"—",IF(SUMIFS($AH$14:$AH$1213,$A$14:$A$1213,$H110)=0,"Yes","No")))</f>
        <v/>
      </c>
      <c r="M110" s="25">
        <f>IF($H110="","",IF(COUNTIFS($A$14:$A$1213,$H110,$F$14:$F$1213,"&gt;=0")&lt;2,"—",IF(COUNTIFS($A$14:$A$1213,$H110,$F$14:$F$1213,_xlfn.MAXIFS($F$14:$F$1213,$A$14:$A$1213,$H110))&gt;1,"No",IF(NOT(ISNUMBER($AN110)),"—",IF((2*(1-NORMSDIST(ABS($AN110))))&lt;0.05,"Yes","No")))))</f>
        <v/>
      </c>
      <c r="N110" s="21">
        <f>IF($H110="","",IF(NOT(ISNUMBER($AN110)),"—",IF((2*(1-NORMSDIST(ABS($AN110))))&lt;0.001,"&lt;0.001",TEXT((2*(1-NORMSDIST(ABS($AN110)))),"0.000"))))</f>
        <v/>
      </c>
      <c r="P110" s="26" t="n"/>
      <c r="Q110" s="26" t="n"/>
      <c r="R110" s="26" t="n"/>
      <c r="S110" s="26" t="n"/>
      <c r="T110" s="26" t="n"/>
      <c r="V110" s="27">
        <f>IF(ISNUMBER($C110),COUNTIFS($A$14:$A$1213,$A110,$C$14:$C$1213,"&gt;"&amp;$C110)+(COUNTIFS($A$14:$A$1213,$A110,$C$14:$C$1213,"="&amp;$C110)+1)/2,"")</f>
        <v/>
      </c>
      <c r="W110" s="27">
        <f>IF(ISNUMBER($F110),COUNTIFS($A$14:$A$1213,$A110,$F$14:$F$1213,"&gt;"&amp;$F110)+(COUNTIFS($A$14:$A$1213,$A110,$F$14:$F$1213,"="&amp;$F110)+1)/2,"")</f>
        <v/>
      </c>
      <c r="X110" s="27">
        <f>IF(OR(NOT(ISNUMBER($V110)),$AO110=1),"",$V110-(COUNTIFS($A$14:$A$1213,$A110,$C$14:$C$1213,"&gt;=0")+1)/2)</f>
        <v/>
      </c>
      <c r="Y110" s="27">
        <f>IF(OR(NOT(ISNUMBER($W110)),$AO110=1),"",$W110-(COUNTIFS($A$14:$A$1213,$A110,$F$14:$F$1213,"&gt;=0")+1)/2)</f>
        <v/>
      </c>
      <c r="Z110" s="27">
        <f>IF(ISNUMBER($V110),$A110&amp;"|"&amp;$V110,"")</f>
        <v/>
      </c>
      <c r="AA110" s="27">
        <f>IF(ISNUMBER($W110),$A110&amp;"|"&amp;$W110,"")</f>
        <v/>
      </c>
      <c r="AB110" s="27">
        <f>IF(ISNUMBER($F110),$A110&amp;"|"&amp;$F110,"")</f>
        <v/>
      </c>
      <c r="AC110" s="27">
        <f>IF(ISNUMBER($P110),COUNTIFS($A$14:$A$1213,$A110,$P$14:$P$1213,"&gt;"&amp;$P110)+(COUNTIFS($A$14:$A$1213,$A110,$P$14:$P$1213,"="&amp;$P110)+1)/2,"")</f>
        <v/>
      </c>
      <c r="AD110" s="27">
        <f>IF(ISNUMBER($Q110),COUNTIFS($A$14:$A$1213,$A110,$Q$14:$Q$1213,"&gt;"&amp;$Q110)+(COUNTIFS($A$14:$A$1213,$A110,$Q$14:$Q$1213,"="&amp;$Q110)+1)/2,"")</f>
        <v/>
      </c>
      <c r="AE110" s="27">
        <f>IF(ISNUMBER($R110),COUNTIFS($A$14:$A$1213,$A110,$R$14:$R$1213,"&gt;"&amp;$R110)+(COUNTIFS($A$14:$A$1213,$A110,$R$14:$R$1213,"="&amp;$R110)+1)/2,"")</f>
        <v/>
      </c>
      <c r="AF110" s="27">
        <f>IF(ISNUMBER($S110),COUNTIFS($A$14:$A$1213,$A110,$S$14:$S$1213,"&gt;"&amp;$S110)+(COUNTIFS($A$14:$A$1213,$A110,$S$14:$S$1213,"="&amp;$S110)+1)/2,"")</f>
        <v/>
      </c>
      <c r="AG110" s="27">
        <f>IF(ISNUMBER($T110),COUNTIFS($A$14:$A$1213,$A110,$T$14:$T$1213,"&gt;"&amp;$T110)+(COUNTIFS($A$14:$A$1213,$A110,$T$14:$T$1213,"="&amp;$T110)+1)/2,"")</f>
        <v/>
      </c>
      <c r="AH110" s="27">
        <f>IF(COUNT($AC110:$AG110)&lt;2,"",IF(MAX($AC110:$AG110)=MIN($AC110:$AG110),0,1))</f>
        <v/>
      </c>
      <c r="AI110" s="27">
        <f>IF($A110="","",IF(COUNTIF($A$14:$A110,$A110)=1,COUNTIF($AI$13:AI109,"&gt;0")+1,""))</f>
        <v/>
      </c>
      <c r="AJ110" s="27">
        <f>IF(OR($H110="",COUNTIFS($A$14:$A$1213,$H110,$F$14:$F$1213,"&gt;=0")&lt;2,COUNTIFS($A$14:$A$1213,$H110,$F$14:$F$1213,_xlfn.MAXIFS($F$14:$F$1213,$A$14:$A$1213,$H110))&gt;1),"",IFERROR(INDEX($D$14:$D$1213,MATCH($H110&amp;"|"&amp;_xlfn.MAXIFS($F$14:$F$1213,$A$14:$A$1213,$H110),$AB$14:$AB$1213,0)),""))</f>
        <v/>
      </c>
      <c r="AK110" s="27">
        <f>IF(OR($H110="",COUNTIFS($A$14:$A$1213,$H110,$F$14:$F$1213,"&gt;=0")&lt;2,COUNTIFS($A$14:$A$1213,$H110,$F$14:$F$1213,_xlfn.MAXIFS($F$14:$F$1213,$A$14:$A$1213,$H110))&gt;1),"",IFERROR(INDEX($E$14:$E$1213,MATCH($H110&amp;"|"&amp;_xlfn.MAXIFS($F$14:$F$1213,$A$14:$A$1213,$H110),$AB$14:$AB$1213,0)),""))</f>
        <v/>
      </c>
      <c r="AL110" s="27">
        <f>IF(OR($H110="",COUNTIFS($A$14:$A$1213,$H110,$F$14:$F$1213,"&gt;=0")&lt;2,COUNTIFS($A$14:$A$1213,$H110,$F$14:$F$1213,_xlfn.MAXIFS($F$14:$F$1213,$A$14:$A$1213,$H110))&gt;1),"",IFERROR(INDEX($D$14:$D$1213,MATCH($H110&amp;"|"&amp;_xlfn.MAXIFS($F$14:$F$1213,$A$14:$A$1213,$H110,$F$14:$F$1213,"&lt;"&amp;_xlfn.MAXIFS($F$14:$F$1213,$A$14:$A$1213,$H110)),$AB$14:$AB$1213,0)),""))</f>
        <v/>
      </c>
      <c r="AM110" s="27">
        <f>IF(OR($H110="",COUNTIFS($A$14:$A$1213,$H110,$F$14:$F$1213,"&gt;=0")&lt;2,COUNTIFS($A$14:$A$1213,$H110,$F$14:$F$1213,_xlfn.MAXIFS($F$14:$F$1213,$A$14:$A$1213,$H110))&gt;1),"",IFERROR(INDEX($E$14:$E$1213,MATCH($H110&amp;"|"&amp;_xlfn.MAXIFS($F$14:$F$1213,$A$14:$A$1213,$H110,$F$14:$F$1213,"&lt;"&amp;_xlfn.MAXIFS($F$14:$F$1213,$A$14:$A$1213,$H110)),$AB$14:$AB$1213,0)),""))</f>
        <v/>
      </c>
      <c r="AN110" s="27">
        <f>IF(OR(NOT(ISNUMBER($AJ110)),NOT(ISNUMBER($AL110)),$AK110=0,$AM110=0),"",IF(OR((($AJ110+$AL110)/($AK110+$AM110))&lt;=0,(($AJ110+$AL110)/($AK110+$AM110))&gt;=1),"",($AJ110/$AK110-$AL110/$AM110)/SQRT((($AJ110+$AL110)/($AK110+$AM110))*(1-(($AJ110+$AL110)/($AK110+$AM110)))*(1/$AK110+1/$AM110))))</f>
        <v/>
      </c>
      <c r="AO110" s="27">
        <f>IF($A110="","",IF(AND(COUNTIFS($A$14:$A$1213,$A110,$F$14:$F$1213,"&gt;=0")=2,IFERROR(INDEX($M$14:$M$313,MATCH($A110,$H$14:$H$313,0)),"Yes")&lt;&gt;"Yes"),1,0))</f>
        <v/>
      </c>
    </row>
    <row r="111" ht="24" customHeight="1">
      <c r="A111" s="19" t="n"/>
      <c r="B111" s="20" t="n"/>
      <c r="C111" s="21">
        <f>IFERROR(AVERAGE(P111:T111),"")</f>
        <v/>
      </c>
      <c r="D111" s="29" t="n"/>
      <c r="E111" s="29" t="n"/>
      <c r="F111" s="30">
        <f>IF(AND(ISNUMBER($D111),ISNUMBER($E111),$E111&gt;0,$D111&lt;=$E111),$D111/$E111,"")</f>
        <v/>
      </c>
      <c r="H111" s="19">
        <f>IFERROR(INDEX($A$14:$A$1213,MATCH(98,$AI$14:$AI$1213,0)),"")</f>
        <v/>
      </c>
      <c r="I111" s="24">
        <f>IF($H111="","",IF(COUNTIFS($A$14:$A$1213,$H111,$C$14:$C$1213,"&gt;=0")=0,"—",IFERROR(INDEX($B$14:$B$1213,MATCH($H111&amp;"|1",$Z$14:$Z$1213,0)),"(tied)")))</f>
        <v/>
      </c>
      <c r="J111" s="25">
        <f>IF($H111="","",IF(OR(COUNTIFS($A$14:$A$1213,$H111,$C$14:$C$1213,"&gt;=0")=0,COUNTIFS($A$14:$A$1213,$H111,$F$14:$F$1213,"&gt;=0")=0),"—",IF(OR(ISERROR(MATCH($H111&amp;"|1",$Z$14:$Z$1213,0)),ISERROR(MATCH($H111&amp;"|1",$AA$14:$AA$1213,0))),"Tie",IF(MATCH($H111&amp;"|1",$Z$14:$Z$1213,0)=MATCH($H111&amp;"|1",$AA$14:$AA$1213,0),"Hit","Miss"))))</f>
        <v/>
      </c>
      <c r="K111" s="24">
        <f>IF($H111="","",IF(COUNTIFS($A$14:$A$1213,$H111,$F$14:$F$1213,"&gt;=0")=0,"—",IFERROR(INDEX($B$14:$B$1213,MATCH($H111&amp;"|1",$AA$14:$AA$1213,0)),"(tied)")))</f>
        <v/>
      </c>
      <c r="L111" s="25">
        <f>IF($H111="","",IF((--(COUNTIFS($A$14:$A$1213,$H111,$P$14:$P$1213,"&gt;=0")&gt;0)+--(COUNTIFS($A$14:$A$1213,$H111,$Q$14:$Q$1213,"&gt;=0")&gt;0)+--(COUNTIFS($A$14:$A$1213,$H111,$R$14:$R$1213,"&gt;=0")&gt;0)+--(COUNTIFS($A$14:$A$1213,$H111,$S$14:$S$1213,"&gt;=0")&gt;0)+--(COUNTIFS($A$14:$A$1213,$H111,$T$14:$T$1213,"&gt;=0")&gt;0))&lt;2,"—",IF(SUMIFS($AH$14:$AH$1213,$A$14:$A$1213,$H111)=0,"Yes","No")))</f>
        <v/>
      </c>
      <c r="M111" s="25">
        <f>IF($H111="","",IF(COUNTIFS($A$14:$A$1213,$H111,$F$14:$F$1213,"&gt;=0")&lt;2,"—",IF(COUNTIFS($A$14:$A$1213,$H111,$F$14:$F$1213,_xlfn.MAXIFS($F$14:$F$1213,$A$14:$A$1213,$H111))&gt;1,"No",IF(NOT(ISNUMBER($AN111)),"—",IF((2*(1-NORMSDIST(ABS($AN111))))&lt;0.05,"Yes","No")))))</f>
        <v/>
      </c>
      <c r="N111" s="21">
        <f>IF($H111="","",IF(NOT(ISNUMBER($AN111)),"—",IF((2*(1-NORMSDIST(ABS($AN111))))&lt;0.001,"&lt;0.001",TEXT((2*(1-NORMSDIST(ABS($AN111)))),"0.000"))))</f>
        <v/>
      </c>
      <c r="P111" s="26" t="n"/>
      <c r="Q111" s="26" t="n"/>
      <c r="R111" s="26" t="n"/>
      <c r="S111" s="26" t="n"/>
      <c r="T111" s="26" t="n"/>
      <c r="V111" s="27">
        <f>IF(ISNUMBER($C111),COUNTIFS($A$14:$A$1213,$A111,$C$14:$C$1213,"&gt;"&amp;$C111)+(COUNTIFS($A$14:$A$1213,$A111,$C$14:$C$1213,"="&amp;$C111)+1)/2,"")</f>
        <v/>
      </c>
      <c r="W111" s="27">
        <f>IF(ISNUMBER($F111),COUNTIFS($A$14:$A$1213,$A111,$F$14:$F$1213,"&gt;"&amp;$F111)+(COUNTIFS($A$14:$A$1213,$A111,$F$14:$F$1213,"="&amp;$F111)+1)/2,"")</f>
        <v/>
      </c>
      <c r="X111" s="27">
        <f>IF(OR(NOT(ISNUMBER($V111)),$AO111=1),"",$V111-(COUNTIFS($A$14:$A$1213,$A111,$C$14:$C$1213,"&gt;=0")+1)/2)</f>
        <v/>
      </c>
      <c r="Y111" s="27">
        <f>IF(OR(NOT(ISNUMBER($W111)),$AO111=1),"",$W111-(COUNTIFS($A$14:$A$1213,$A111,$F$14:$F$1213,"&gt;=0")+1)/2)</f>
        <v/>
      </c>
      <c r="Z111" s="27">
        <f>IF(ISNUMBER($V111),$A111&amp;"|"&amp;$V111,"")</f>
        <v/>
      </c>
      <c r="AA111" s="27">
        <f>IF(ISNUMBER($W111),$A111&amp;"|"&amp;$W111,"")</f>
        <v/>
      </c>
      <c r="AB111" s="27">
        <f>IF(ISNUMBER($F111),$A111&amp;"|"&amp;$F111,"")</f>
        <v/>
      </c>
      <c r="AC111" s="27">
        <f>IF(ISNUMBER($P111),COUNTIFS($A$14:$A$1213,$A111,$P$14:$P$1213,"&gt;"&amp;$P111)+(COUNTIFS($A$14:$A$1213,$A111,$P$14:$P$1213,"="&amp;$P111)+1)/2,"")</f>
        <v/>
      </c>
      <c r="AD111" s="27">
        <f>IF(ISNUMBER($Q111),COUNTIFS($A$14:$A$1213,$A111,$Q$14:$Q$1213,"&gt;"&amp;$Q111)+(COUNTIFS($A$14:$A$1213,$A111,$Q$14:$Q$1213,"="&amp;$Q111)+1)/2,"")</f>
        <v/>
      </c>
      <c r="AE111" s="27">
        <f>IF(ISNUMBER($R111),COUNTIFS($A$14:$A$1213,$A111,$R$14:$R$1213,"&gt;"&amp;$R111)+(COUNTIFS($A$14:$A$1213,$A111,$R$14:$R$1213,"="&amp;$R111)+1)/2,"")</f>
        <v/>
      </c>
      <c r="AF111" s="27">
        <f>IF(ISNUMBER($S111),COUNTIFS($A$14:$A$1213,$A111,$S$14:$S$1213,"&gt;"&amp;$S111)+(COUNTIFS($A$14:$A$1213,$A111,$S$14:$S$1213,"="&amp;$S111)+1)/2,"")</f>
        <v/>
      </c>
      <c r="AG111" s="27">
        <f>IF(ISNUMBER($T111),COUNTIFS($A$14:$A$1213,$A111,$T$14:$T$1213,"&gt;"&amp;$T111)+(COUNTIFS($A$14:$A$1213,$A111,$T$14:$T$1213,"="&amp;$T111)+1)/2,"")</f>
        <v/>
      </c>
      <c r="AH111" s="27">
        <f>IF(COUNT($AC111:$AG111)&lt;2,"",IF(MAX($AC111:$AG111)=MIN($AC111:$AG111),0,1))</f>
        <v/>
      </c>
      <c r="AI111" s="27">
        <f>IF($A111="","",IF(COUNTIF($A$14:$A111,$A111)=1,COUNTIF($AI$13:AI110,"&gt;0")+1,""))</f>
        <v/>
      </c>
      <c r="AJ111" s="27">
        <f>IF(OR($H111="",COUNTIFS($A$14:$A$1213,$H111,$F$14:$F$1213,"&gt;=0")&lt;2,COUNTIFS($A$14:$A$1213,$H111,$F$14:$F$1213,_xlfn.MAXIFS($F$14:$F$1213,$A$14:$A$1213,$H111))&gt;1),"",IFERROR(INDEX($D$14:$D$1213,MATCH($H111&amp;"|"&amp;_xlfn.MAXIFS($F$14:$F$1213,$A$14:$A$1213,$H111),$AB$14:$AB$1213,0)),""))</f>
        <v/>
      </c>
      <c r="AK111" s="27">
        <f>IF(OR($H111="",COUNTIFS($A$14:$A$1213,$H111,$F$14:$F$1213,"&gt;=0")&lt;2,COUNTIFS($A$14:$A$1213,$H111,$F$14:$F$1213,_xlfn.MAXIFS($F$14:$F$1213,$A$14:$A$1213,$H111))&gt;1),"",IFERROR(INDEX($E$14:$E$1213,MATCH($H111&amp;"|"&amp;_xlfn.MAXIFS($F$14:$F$1213,$A$14:$A$1213,$H111),$AB$14:$AB$1213,0)),""))</f>
        <v/>
      </c>
      <c r="AL111" s="27">
        <f>IF(OR($H111="",COUNTIFS($A$14:$A$1213,$H111,$F$14:$F$1213,"&gt;=0")&lt;2,COUNTIFS($A$14:$A$1213,$H111,$F$14:$F$1213,_xlfn.MAXIFS($F$14:$F$1213,$A$14:$A$1213,$H111))&gt;1),"",IFERROR(INDEX($D$14:$D$1213,MATCH($H111&amp;"|"&amp;_xlfn.MAXIFS($F$14:$F$1213,$A$14:$A$1213,$H111,$F$14:$F$1213,"&lt;"&amp;_xlfn.MAXIFS($F$14:$F$1213,$A$14:$A$1213,$H111)),$AB$14:$AB$1213,0)),""))</f>
        <v/>
      </c>
      <c r="AM111" s="27">
        <f>IF(OR($H111="",COUNTIFS($A$14:$A$1213,$H111,$F$14:$F$1213,"&gt;=0")&lt;2,COUNTIFS($A$14:$A$1213,$H111,$F$14:$F$1213,_xlfn.MAXIFS($F$14:$F$1213,$A$14:$A$1213,$H111))&gt;1),"",IFERROR(INDEX($E$14:$E$1213,MATCH($H111&amp;"|"&amp;_xlfn.MAXIFS($F$14:$F$1213,$A$14:$A$1213,$H111,$F$14:$F$1213,"&lt;"&amp;_xlfn.MAXIFS($F$14:$F$1213,$A$14:$A$1213,$H111)),$AB$14:$AB$1213,0)),""))</f>
        <v/>
      </c>
      <c r="AN111" s="27">
        <f>IF(OR(NOT(ISNUMBER($AJ111)),NOT(ISNUMBER($AL111)),$AK111=0,$AM111=0),"",IF(OR((($AJ111+$AL111)/($AK111+$AM111))&lt;=0,(($AJ111+$AL111)/($AK111+$AM111))&gt;=1),"",($AJ111/$AK111-$AL111/$AM111)/SQRT((($AJ111+$AL111)/($AK111+$AM111))*(1-(($AJ111+$AL111)/($AK111+$AM111)))*(1/$AK111+1/$AM111))))</f>
        <v/>
      </c>
      <c r="AO111" s="27">
        <f>IF($A111="","",IF(AND(COUNTIFS($A$14:$A$1213,$A111,$F$14:$F$1213,"&gt;=0")=2,IFERROR(INDEX($M$14:$M$313,MATCH($A111,$H$14:$H$313,0)),"Yes")&lt;&gt;"Yes"),1,0))</f>
        <v/>
      </c>
    </row>
    <row r="112" ht="24" customHeight="1">
      <c r="A112" s="19" t="n"/>
      <c r="B112" s="20" t="n"/>
      <c r="C112" s="21">
        <f>IFERROR(AVERAGE(P112:T112),"")</f>
        <v/>
      </c>
      <c r="D112" s="29" t="n"/>
      <c r="E112" s="29" t="n"/>
      <c r="F112" s="30">
        <f>IF(AND(ISNUMBER($D112),ISNUMBER($E112),$E112&gt;0,$D112&lt;=$E112),$D112/$E112,"")</f>
        <v/>
      </c>
      <c r="H112" s="19">
        <f>IFERROR(INDEX($A$14:$A$1213,MATCH(99,$AI$14:$AI$1213,0)),"")</f>
        <v/>
      </c>
      <c r="I112" s="24">
        <f>IF($H112="","",IF(COUNTIFS($A$14:$A$1213,$H112,$C$14:$C$1213,"&gt;=0")=0,"—",IFERROR(INDEX($B$14:$B$1213,MATCH($H112&amp;"|1",$Z$14:$Z$1213,0)),"(tied)")))</f>
        <v/>
      </c>
      <c r="J112" s="25">
        <f>IF($H112="","",IF(OR(COUNTIFS($A$14:$A$1213,$H112,$C$14:$C$1213,"&gt;=0")=0,COUNTIFS($A$14:$A$1213,$H112,$F$14:$F$1213,"&gt;=0")=0),"—",IF(OR(ISERROR(MATCH($H112&amp;"|1",$Z$14:$Z$1213,0)),ISERROR(MATCH($H112&amp;"|1",$AA$14:$AA$1213,0))),"Tie",IF(MATCH($H112&amp;"|1",$Z$14:$Z$1213,0)=MATCH($H112&amp;"|1",$AA$14:$AA$1213,0),"Hit","Miss"))))</f>
        <v/>
      </c>
      <c r="K112" s="24">
        <f>IF($H112="","",IF(COUNTIFS($A$14:$A$1213,$H112,$F$14:$F$1213,"&gt;=0")=0,"—",IFERROR(INDEX($B$14:$B$1213,MATCH($H112&amp;"|1",$AA$14:$AA$1213,0)),"(tied)")))</f>
        <v/>
      </c>
      <c r="L112" s="25">
        <f>IF($H112="","",IF((--(COUNTIFS($A$14:$A$1213,$H112,$P$14:$P$1213,"&gt;=0")&gt;0)+--(COUNTIFS($A$14:$A$1213,$H112,$Q$14:$Q$1213,"&gt;=0")&gt;0)+--(COUNTIFS($A$14:$A$1213,$H112,$R$14:$R$1213,"&gt;=0")&gt;0)+--(COUNTIFS($A$14:$A$1213,$H112,$S$14:$S$1213,"&gt;=0")&gt;0)+--(COUNTIFS($A$14:$A$1213,$H112,$T$14:$T$1213,"&gt;=0")&gt;0))&lt;2,"—",IF(SUMIFS($AH$14:$AH$1213,$A$14:$A$1213,$H112)=0,"Yes","No")))</f>
        <v/>
      </c>
      <c r="M112" s="25">
        <f>IF($H112="","",IF(COUNTIFS($A$14:$A$1213,$H112,$F$14:$F$1213,"&gt;=0")&lt;2,"—",IF(COUNTIFS($A$14:$A$1213,$H112,$F$14:$F$1213,_xlfn.MAXIFS($F$14:$F$1213,$A$14:$A$1213,$H112))&gt;1,"No",IF(NOT(ISNUMBER($AN112)),"—",IF((2*(1-NORMSDIST(ABS($AN112))))&lt;0.05,"Yes","No")))))</f>
        <v/>
      </c>
      <c r="N112" s="21">
        <f>IF($H112="","",IF(NOT(ISNUMBER($AN112)),"—",IF((2*(1-NORMSDIST(ABS($AN112))))&lt;0.001,"&lt;0.001",TEXT((2*(1-NORMSDIST(ABS($AN112)))),"0.000"))))</f>
        <v/>
      </c>
      <c r="P112" s="26" t="n"/>
      <c r="Q112" s="26" t="n"/>
      <c r="R112" s="26" t="n"/>
      <c r="S112" s="26" t="n"/>
      <c r="T112" s="26" t="n"/>
      <c r="V112" s="27">
        <f>IF(ISNUMBER($C112),COUNTIFS($A$14:$A$1213,$A112,$C$14:$C$1213,"&gt;"&amp;$C112)+(COUNTIFS($A$14:$A$1213,$A112,$C$14:$C$1213,"="&amp;$C112)+1)/2,"")</f>
        <v/>
      </c>
      <c r="W112" s="27">
        <f>IF(ISNUMBER($F112),COUNTIFS($A$14:$A$1213,$A112,$F$14:$F$1213,"&gt;"&amp;$F112)+(COUNTIFS($A$14:$A$1213,$A112,$F$14:$F$1213,"="&amp;$F112)+1)/2,"")</f>
        <v/>
      </c>
      <c r="X112" s="27">
        <f>IF(OR(NOT(ISNUMBER($V112)),$AO112=1),"",$V112-(COUNTIFS($A$14:$A$1213,$A112,$C$14:$C$1213,"&gt;=0")+1)/2)</f>
        <v/>
      </c>
      <c r="Y112" s="27">
        <f>IF(OR(NOT(ISNUMBER($W112)),$AO112=1),"",$W112-(COUNTIFS($A$14:$A$1213,$A112,$F$14:$F$1213,"&gt;=0")+1)/2)</f>
        <v/>
      </c>
      <c r="Z112" s="27">
        <f>IF(ISNUMBER($V112),$A112&amp;"|"&amp;$V112,"")</f>
        <v/>
      </c>
      <c r="AA112" s="27">
        <f>IF(ISNUMBER($W112),$A112&amp;"|"&amp;$W112,"")</f>
        <v/>
      </c>
      <c r="AB112" s="27">
        <f>IF(ISNUMBER($F112),$A112&amp;"|"&amp;$F112,"")</f>
        <v/>
      </c>
      <c r="AC112" s="27">
        <f>IF(ISNUMBER($P112),COUNTIFS($A$14:$A$1213,$A112,$P$14:$P$1213,"&gt;"&amp;$P112)+(COUNTIFS($A$14:$A$1213,$A112,$P$14:$P$1213,"="&amp;$P112)+1)/2,"")</f>
        <v/>
      </c>
      <c r="AD112" s="27">
        <f>IF(ISNUMBER($Q112),COUNTIFS($A$14:$A$1213,$A112,$Q$14:$Q$1213,"&gt;"&amp;$Q112)+(COUNTIFS($A$14:$A$1213,$A112,$Q$14:$Q$1213,"="&amp;$Q112)+1)/2,"")</f>
        <v/>
      </c>
      <c r="AE112" s="27">
        <f>IF(ISNUMBER($R112),COUNTIFS($A$14:$A$1213,$A112,$R$14:$R$1213,"&gt;"&amp;$R112)+(COUNTIFS($A$14:$A$1213,$A112,$R$14:$R$1213,"="&amp;$R112)+1)/2,"")</f>
        <v/>
      </c>
      <c r="AF112" s="27">
        <f>IF(ISNUMBER($S112),COUNTIFS($A$14:$A$1213,$A112,$S$14:$S$1213,"&gt;"&amp;$S112)+(COUNTIFS($A$14:$A$1213,$A112,$S$14:$S$1213,"="&amp;$S112)+1)/2,"")</f>
        <v/>
      </c>
      <c r="AG112" s="27">
        <f>IF(ISNUMBER($T112),COUNTIFS($A$14:$A$1213,$A112,$T$14:$T$1213,"&gt;"&amp;$T112)+(COUNTIFS($A$14:$A$1213,$A112,$T$14:$T$1213,"="&amp;$T112)+1)/2,"")</f>
        <v/>
      </c>
      <c r="AH112" s="27">
        <f>IF(COUNT($AC112:$AG112)&lt;2,"",IF(MAX($AC112:$AG112)=MIN($AC112:$AG112),0,1))</f>
        <v/>
      </c>
      <c r="AI112" s="27">
        <f>IF($A112="","",IF(COUNTIF($A$14:$A112,$A112)=1,COUNTIF($AI$13:AI111,"&gt;0")+1,""))</f>
        <v/>
      </c>
      <c r="AJ112" s="27">
        <f>IF(OR($H112="",COUNTIFS($A$14:$A$1213,$H112,$F$14:$F$1213,"&gt;=0")&lt;2,COUNTIFS($A$14:$A$1213,$H112,$F$14:$F$1213,_xlfn.MAXIFS($F$14:$F$1213,$A$14:$A$1213,$H112))&gt;1),"",IFERROR(INDEX($D$14:$D$1213,MATCH($H112&amp;"|"&amp;_xlfn.MAXIFS($F$14:$F$1213,$A$14:$A$1213,$H112),$AB$14:$AB$1213,0)),""))</f>
        <v/>
      </c>
      <c r="AK112" s="27">
        <f>IF(OR($H112="",COUNTIFS($A$14:$A$1213,$H112,$F$14:$F$1213,"&gt;=0")&lt;2,COUNTIFS($A$14:$A$1213,$H112,$F$14:$F$1213,_xlfn.MAXIFS($F$14:$F$1213,$A$14:$A$1213,$H112))&gt;1),"",IFERROR(INDEX($E$14:$E$1213,MATCH($H112&amp;"|"&amp;_xlfn.MAXIFS($F$14:$F$1213,$A$14:$A$1213,$H112),$AB$14:$AB$1213,0)),""))</f>
        <v/>
      </c>
      <c r="AL112" s="27">
        <f>IF(OR($H112="",COUNTIFS($A$14:$A$1213,$H112,$F$14:$F$1213,"&gt;=0")&lt;2,COUNTIFS($A$14:$A$1213,$H112,$F$14:$F$1213,_xlfn.MAXIFS($F$14:$F$1213,$A$14:$A$1213,$H112))&gt;1),"",IFERROR(INDEX($D$14:$D$1213,MATCH($H112&amp;"|"&amp;_xlfn.MAXIFS($F$14:$F$1213,$A$14:$A$1213,$H112,$F$14:$F$1213,"&lt;"&amp;_xlfn.MAXIFS($F$14:$F$1213,$A$14:$A$1213,$H112)),$AB$14:$AB$1213,0)),""))</f>
        <v/>
      </c>
      <c r="AM112" s="27">
        <f>IF(OR($H112="",COUNTIFS($A$14:$A$1213,$H112,$F$14:$F$1213,"&gt;=0")&lt;2,COUNTIFS($A$14:$A$1213,$H112,$F$14:$F$1213,_xlfn.MAXIFS($F$14:$F$1213,$A$14:$A$1213,$H112))&gt;1),"",IFERROR(INDEX($E$14:$E$1213,MATCH($H112&amp;"|"&amp;_xlfn.MAXIFS($F$14:$F$1213,$A$14:$A$1213,$H112,$F$14:$F$1213,"&lt;"&amp;_xlfn.MAXIFS($F$14:$F$1213,$A$14:$A$1213,$H112)),$AB$14:$AB$1213,0)),""))</f>
        <v/>
      </c>
      <c r="AN112" s="27">
        <f>IF(OR(NOT(ISNUMBER($AJ112)),NOT(ISNUMBER($AL112)),$AK112=0,$AM112=0),"",IF(OR((($AJ112+$AL112)/($AK112+$AM112))&lt;=0,(($AJ112+$AL112)/($AK112+$AM112))&gt;=1),"",($AJ112/$AK112-$AL112/$AM112)/SQRT((($AJ112+$AL112)/($AK112+$AM112))*(1-(($AJ112+$AL112)/($AK112+$AM112)))*(1/$AK112+1/$AM112))))</f>
        <v/>
      </c>
      <c r="AO112" s="27">
        <f>IF($A112="","",IF(AND(COUNTIFS($A$14:$A$1213,$A112,$F$14:$F$1213,"&gt;=0")=2,IFERROR(INDEX($M$14:$M$313,MATCH($A112,$H$14:$H$313,0)),"Yes")&lt;&gt;"Yes"),1,0))</f>
        <v/>
      </c>
    </row>
    <row r="113" ht="24" customHeight="1">
      <c r="A113" s="19" t="n"/>
      <c r="B113" s="20" t="n"/>
      <c r="C113" s="21">
        <f>IFERROR(AVERAGE(P113:T113),"")</f>
        <v/>
      </c>
      <c r="D113" s="29" t="n"/>
      <c r="E113" s="29" t="n"/>
      <c r="F113" s="30">
        <f>IF(AND(ISNUMBER($D113),ISNUMBER($E113),$E113&gt;0,$D113&lt;=$E113),$D113/$E113,"")</f>
        <v/>
      </c>
      <c r="H113" s="19">
        <f>IFERROR(INDEX($A$14:$A$1213,MATCH(100,$AI$14:$AI$1213,0)),"")</f>
        <v/>
      </c>
      <c r="I113" s="24">
        <f>IF($H113="","",IF(COUNTIFS($A$14:$A$1213,$H113,$C$14:$C$1213,"&gt;=0")=0,"—",IFERROR(INDEX($B$14:$B$1213,MATCH($H113&amp;"|1",$Z$14:$Z$1213,0)),"(tied)")))</f>
        <v/>
      </c>
      <c r="J113" s="25">
        <f>IF($H113="","",IF(OR(COUNTIFS($A$14:$A$1213,$H113,$C$14:$C$1213,"&gt;=0")=0,COUNTIFS($A$14:$A$1213,$H113,$F$14:$F$1213,"&gt;=0")=0),"—",IF(OR(ISERROR(MATCH($H113&amp;"|1",$Z$14:$Z$1213,0)),ISERROR(MATCH($H113&amp;"|1",$AA$14:$AA$1213,0))),"Tie",IF(MATCH($H113&amp;"|1",$Z$14:$Z$1213,0)=MATCH($H113&amp;"|1",$AA$14:$AA$1213,0),"Hit","Miss"))))</f>
        <v/>
      </c>
      <c r="K113" s="24">
        <f>IF($H113="","",IF(COUNTIFS($A$14:$A$1213,$H113,$F$14:$F$1213,"&gt;=0")=0,"—",IFERROR(INDEX($B$14:$B$1213,MATCH($H113&amp;"|1",$AA$14:$AA$1213,0)),"(tied)")))</f>
        <v/>
      </c>
      <c r="L113" s="25">
        <f>IF($H113="","",IF((--(COUNTIFS($A$14:$A$1213,$H113,$P$14:$P$1213,"&gt;=0")&gt;0)+--(COUNTIFS($A$14:$A$1213,$H113,$Q$14:$Q$1213,"&gt;=0")&gt;0)+--(COUNTIFS($A$14:$A$1213,$H113,$R$14:$R$1213,"&gt;=0")&gt;0)+--(COUNTIFS($A$14:$A$1213,$H113,$S$14:$S$1213,"&gt;=0")&gt;0)+--(COUNTIFS($A$14:$A$1213,$H113,$T$14:$T$1213,"&gt;=0")&gt;0))&lt;2,"—",IF(SUMIFS($AH$14:$AH$1213,$A$14:$A$1213,$H113)=0,"Yes","No")))</f>
        <v/>
      </c>
      <c r="M113" s="25">
        <f>IF($H113="","",IF(COUNTIFS($A$14:$A$1213,$H113,$F$14:$F$1213,"&gt;=0")&lt;2,"—",IF(COUNTIFS($A$14:$A$1213,$H113,$F$14:$F$1213,_xlfn.MAXIFS($F$14:$F$1213,$A$14:$A$1213,$H113))&gt;1,"No",IF(NOT(ISNUMBER($AN113)),"—",IF((2*(1-NORMSDIST(ABS($AN113))))&lt;0.05,"Yes","No")))))</f>
        <v/>
      </c>
      <c r="N113" s="21">
        <f>IF($H113="","",IF(NOT(ISNUMBER($AN113)),"—",IF((2*(1-NORMSDIST(ABS($AN113))))&lt;0.001,"&lt;0.001",TEXT((2*(1-NORMSDIST(ABS($AN113)))),"0.000"))))</f>
        <v/>
      </c>
      <c r="P113" s="26" t="n"/>
      <c r="Q113" s="26" t="n"/>
      <c r="R113" s="26" t="n"/>
      <c r="S113" s="26" t="n"/>
      <c r="T113" s="26" t="n"/>
      <c r="V113" s="27">
        <f>IF(ISNUMBER($C113),COUNTIFS($A$14:$A$1213,$A113,$C$14:$C$1213,"&gt;"&amp;$C113)+(COUNTIFS($A$14:$A$1213,$A113,$C$14:$C$1213,"="&amp;$C113)+1)/2,"")</f>
        <v/>
      </c>
      <c r="W113" s="27">
        <f>IF(ISNUMBER($F113),COUNTIFS($A$14:$A$1213,$A113,$F$14:$F$1213,"&gt;"&amp;$F113)+(COUNTIFS($A$14:$A$1213,$A113,$F$14:$F$1213,"="&amp;$F113)+1)/2,"")</f>
        <v/>
      </c>
      <c r="X113" s="27">
        <f>IF(OR(NOT(ISNUMBER($V113)),$AO113=1),"",$V113-(COUNTIFS($A$14:$A$1213,$A113,$C$14:$C$1213,"&gt;=0")+1)/2)</f>
        <v/>
      </c>
      <c r="Y113" s="27">
        <f>IF(OR(NOT(ISNUMBER($W113)),$AO113=1),"",$W113-(COUNTIFS($A$14:$A$1213,$A113,$F$14:$F$1213,"&gt;=0")+1)/2)</f>
        <v/>
      </c>
      <c r="Z113" s="27">
        <f>IF(ISNUMBER($V113),$A113&amp;"|"&amp;$V113,"")</f>
        <v/>
      </c>
      <c r="AA113" s="27">
        <f>IF(ISNUMBER($W113),$A113&amp;"|"&amp;$W113,"")</f>
        <v/>
      </c>
      <c r="AB113" s="27">
        <f>IF(ISNUMBER($F113),$A113&amp;"|"&amp;$F113,"")</f>
        <v/>
      </c>
      <c r="AC113" s="27">
        <f>IF(ISNUMBER($P113),COUNTIFS($A$14:$A$1213,$A113,$P$14:$P$1213,"&gt;"&amp;$P113)+(COUNTIFS($A$14:$A$1213,$A113,$P$14:$P$1213,"="&amp;$P113)+1)/2,"")</f>
        <v/>
      </c>
      <c r="AD113" s="27">
        <f>IF(ISNUMBER($Q113),COUNTIFS($A$14:$A$1213,$A113,$Q$14:$Q$1213,"&gt;"&amp;$Q113)+(COUNTIFS($A$14:$A$1213,$A113,$Q$14:$Q$1213,"="&amp;$Q113)+1)/2,"")</f>
        <v/>
      </c>
      <c r="AE113" s="27">
        <f>IF(ISNUMBER($R113),COUNTIFS($A$14:$A$1213,$A113,$R$14:$R$1213,"&gt;"&amp;$R113)+(COUNTIFS($A$14:$A$1213,$A113,$R$14:$R$1213,"="&amp;$R113)+1)/2,"")</f>
        <v/>
      </c>
      <c r="AF113" s="27">
        <f>IF(ISNUMBER($S113),COUNTIFS($A$14:$A$1213,$A113,$S$14:$S$1213,"&gt;"&amp;$S113)+(COUNTIFS($A$14:$A$1213,$A113,$S$14:$S$1213,"="&amp;$S113)+1)/2,"")</f>
        <v/>
      </c>
      <c r="AG113" s="27">
        <f>IF(ISNUMBER($T113),COUNTIFS($A$14:$A$1213,$A113,$T$14:$T$1213,"&gt;"&amp;$T113)+(COUNTIFS($A$14:$A$1213,$A113,$T$14:$T$1213,"="&amp;$T113)+1)/2,"")</f>
        <v/>
      </c>
      <c r="AH113" s="27">
        <f>IF(COUNT($AC113:$AG113)&lt;2,"",IF(MAX($AC113:$AG113)=MIN($AC113:$AG113),0,1))</f>
        <v/>
      </c>
      <c r="AI113" s="27">
        <f>IF($A113="","",IF(COUNTIF($A$14:$A113,$A113)=1,COUNTIF($AI$13:AI112,"&gt;0")+1,""))</f>
        <v/>
      </c>
      <c r="AJ113" s="27">
        <f>IF(OR($H113="",COUNTIFS($A$14:$A$1213,$H113,$F$14:$F$1213,"&gt;=0")&lt;2,COUNTIFS($A$14:$A$1213,$H113,$F$14:$F$1213,_xlfn.MAXIFS($F$14:$F$1213,$A$14:$A$1213,$H113))&gt;1),"",IFERROR(INDEX($D$14:$D$1213,MATCH($H113&amp;"|"&amp;_xlfn.MAXIFS($F$14:$F$1213,$A$14:$A$1213,$H113),$AB$14:$AB$1213,0)),""))</f>
        <v/>
      </c>
      <c r="AK113" s="27">
        <f>IF(OR($H113="",COUNTIFS($A$14:$A$1213,$H113,$F$14:$F$1213,"&gt;=0")&lt;2,COUNTIFS($A$14:$A$1213,$H113,$F$14:$F$1213,_xlfn.MAXIFS($F$14:$F$1213,$A$14:$A$1213,$H113))&gt;1),"",IFERROR(INDEX($E$14:$E$1213,MATCH($H113&amp;"|"&amp;_xlfn.MAXIFS($F$14:$F$1213,$A$14:$A$1213,$H113),$AB$14:$AB$1213,0)),""))</f>
        <v/>
      </c>
      <c r="AL113" s="27">
        <f>IF(OR($H113="",COUNTIFS($A$14:$A$1213,$H113,$F$14:$F$1213,"&gt;=0")&lt;2,COUNTIFS($A$14:$A$1213,$H113,$F$14:$F$1213,_xlfn.MAXIFS($F$14:$F$1213,$A$14:$A$1213,$H113))&gt;1),"",IFERROR(INDEX($D$14:$D$1213,MATCH($H113&amp;"|"&amp;_xlfn.MAXIFS($F$14:$F$1213,$A$14:$A$1213,$H113,$F$14:$F$1213,"&lt;"&amp;_xlfn.MAXIFS($F$14:$F$1213,$A$14:$A$1213,$H113)),$AB$14:$AB$1213,0)),""))</f>
        <v/>
      </c>
      <c r="AM113" s="27">
        <f>IF(OR($H113="",COUNTIFS($A$14:$A$1213,$H113,$F$14:$F$1213,"&gt;=0")&lt;2,COUNTIFS($A$14:$A$1213,$H113,$F$14:$F$1213,_xlfn.MAXIFS($F$14:$F$1213,$A$14:$A$1213,$H113))&gt;1),"",IFERROR(INDEX($E$14:$E$1213,MATCH($H113&amp;"|"&amp;_xlfn.MAXIFS($F$14:$F$1213,$A$14:$A$1213,$H113,$F$14:$F$1213,"&lt;"&amp;_xlfn.MAXIFS($F$14:$F$1213,$A$14:$A$1213,$H113)),$AB$14:$AB$1213,0)),""))</f>
        <v/>
      </c>
      <c r="AN113" s="27">
        <f>IF(OR(NOT(ISNUMBER($AJ113)),NOT(ISNUMBER($AL113)),$AK113=0,$AM113=0),"",IF(OR((($AJ113+$AL113)/($AK113+$AM113))&lt;=0,(($AJ113+$AL113)/($AK113+$AM113))&gt;=1),"",($AJ113/$AK113-$AL113/$AM113)/SQRT((($AJ113+$AL113)/($AK113+$AM113))*(1-(($AJ113+$AL113)/($AK113+$AM113)))*(1/$AK113+1/$AM113))))</f>
        <v/>
      </c>
      <c r="AO113" s="27">
        <f>IF($A113="","",IF(AND(COUNTIFS($A$14:$A$1213,$A113,$F$14:$F$1213,"&gt;=0")=2,IFERROR(INDEX($M$14:$M$313,MATCH($A113,$H$14:$H$313,0)),"Yes")&lt;&gt;"Yes"),1,0))</f>
        <v/>
      </c>
    </row>
    <row r="114" ht="24" customHeight="1">
      <c r="A114" s="19" t="n"/>
      <c r="B114" s="20" t="n"/>
      <c r="C114" s="21">
        <f>IFERROR(AVERAGE(P114:T114),"")</f>
        <v/>
      </c>
      <c r="D114" s="29" t="n"/>
      <c r="E114" s="29" t="n"/>
      <c r="F114" s="30">
        <f>IF(AND(ISNUMBER($D114),ISNUMBER($E114),$E114&gt;0,$D114&lt;=$E114),$D114/$E114,"")</f>
        <v/>
      </c>
      <c r="H114" s="19">
        <f>IFERROR(INDEX($A$14:$A$1213,MATCH(101,$AI$14:$AI$1213,0)),"")</f>
        <v/>
      </c>
      <c r="I114" s="24">
        <f>IF($H114="","",IF(COUNTIFS($A$14:$A$1213,$H114,$C$14:$C$1213,"&gt;=0")=0,"—",IFERROR(INDEX($B$14:$B$1213,MATCH($H114&amp;"|1",$Z$14:$Z$1213,0)),"(tied)")))</f>
        <v/>
      </c>
      <c r="J114" s="25">
        <f>IF($H114="","",IF(OR(COUNTIFS($A$14:$A$1213,$H114,$C$14:$C$1213,"&gt;=0")=0,COUNTIFS($A$14:$A$1213,$H114,$F$14:$F$1213,"&gt;=0")=0),"—",IF(OR(ISERROR(MATCH($H114&amp;"|1",$Z$14:$Z$1213,0)),ISERROR(MATCH($H114&amp;"|1",$AA$14:$AA$1213,0))),"Tie",IF(MATCH($H114&amp;"|1",$Z$14:$Z$1213,0)=MATCH($H114&amp;"|1",$AA$14:$AA$1213,0),"Hit","Miss"))))</f>
        <v/>
      </c>
      <c r="K114" s="24">
        <f>IF($H114="","",IF(COUNTIFS($A$14:$A$1213,$H114,$F$14:$F$1213,"&gt;=0")=0,"—",IFERROR(INDEX($B$14:$B$1213,MATCH($H114&amp;"|1",$AA$14:$AA$1213,0)),"(tied)")))</f>
        <v/>
      </c>
      <c r="L114" s="25">
        <f>IF($H114="","",IF((--(COUNTIFS($A$14:$A$1213,$H114,$P$14:$P$1213,"&gt;=0")&gt;0)+--(COUNTIFS($A$14:$A$1213,$H114,$Q$14:$Q$1213,"&gt;=0")&gt;0)+--(COUNTIFS($A$14:$A$1213,$H114,$R$14:$R$1213,"&gt;=0")&gt;0)+--(COUNTIFS($A$14:$A$1213,$H114,$S$14:$S$1213,"&gt;=0")&gt;0)+--(COUNTIFS($A$14:$A$1213,$H114,$T$14:$T$1213,"&gt;=0")&gt;0))&lt;2,"—",IF(SUMIFS($AH$14:$AH$1213,$A$14:$A$1213,$H114)=0,"Yes","No")))</f>
        <v/>
      </c>
      <c r="M114" s="25">
        <f>IF($H114="","",IF(COUNTIFS($A$14:$A$1213,$H114,$F$14:$F$1213,"&gt;=0")&lt;2,"—",IF(COUNTIFS($A$14:$A$1213,$H114,$F$14:$F$1213,_xlfn.MAXIFS($F$14:$F$1213,$A$14:$A$1213,$H114))&gt;1,"No",IF(NOT(ISNUMBER($AN114)),"—",IF((2*(1-NORMSDIST(ABS($AN114))))&lt;0.05,"Yes","No")))))</f>
        <v/>
      </c>
      <c r="N114" s="21">
        <f>IF($H114="","",IF(NOT(ISNUMBER($AN114)),"—",IF((2*(1-NORMSDIST(ABS($AN114))))&lt;0.001,"&lt;0.001",TEXT((2*(1-NORMSDIST(ABS($AN114)))),"0.000"))))</f>
        <v/>
      </c>
      <c r="P114" s="26" t="n"/>
      <c r="Q114" s="26" t="n"/>
      <c r="R114" s="26" t="n"/>
      <c r="S114" s="26" t="n"/>
      <c r="T114" s="26" t="n"/>
      <c r="V114" s="27">
        <f>IF(ISNUMBER($C114),COUNTIFS($A$14:$A$1213,$A114,$C$14:$C$1213,"&gt;"&amp;$C114)+(COUNTIFS($A$14:$A$1213,$A114,$C$14:$C$1213,"="&amp;$C114)+1)/2,"")</f>
        <v/>
      </c>
      <c r="W114" s="27">
        <f>IF(ISNUMBER($F114),COUNTIFS($A$14:$A$1213,$A114,$F$14:$F$1213,"&gt;"&amp;$F114)+(COUNTIFS($A$14:$A$1213,$A114,$F$14:$F$1213,"="&amp;$F114)+1)/2,"")</f>
        <v/>
      </c>
      <c r="X114" s="27">
        <f>IF(OR(NOT(ISNUMBER($V114)),$AO114=1),"",$V114-(COUNTIFS($A$14:$A$1213,$A114,$C$14:$C$1213,"&gt;=0")+1)/2)</f>
        <v/>
      </c>
      <c r="Y114" s="27">
        <f>IF(OR(NOT(ISNUMBER($W114)),$AO114=1),"",$W114-(COUNTIFS($A$14:$A$1213,$A114,$F$14:$F$1213,"&gt;=0")+1)/2)</f>
        <v/>
      </c>
      <c r="Z114" s="27">
        <f>IF(ISNUMBER($V114),$A114&amp;"|"&amp;$V114,"")</f>
        <v/>
      </c>
      <c r="AA114" s="27">
        <f>IF(ISNUMBER($W114),$A114&amp;"|"&amp;$W114,"")</f>
        <v/>
      </c>
      <c r="AB114" s="27">
        <f>IF(ISNUMBER($F114),$A114&amp;"|"&amp;$F114,"")</f>
        <v/>
      </c>
      <c r="AC114" s="27">
        <f>IF(ISNUMBER($P114),COUNTIFS($A$14:$A$1213,$A114,$P$14:$P$1213,"&gt;"&amp;$P114)+(COUNTIFS($A$14:$A$1213,$A114,$P$14:$P$1213,"="&amp;$P114)+1)/2,"")</f>
        <v/>
      </c>
      <c r="AD114" s="27">
        <f>IF(ISNUMBER($Q114),COUNTIFS($A$14:$A$1213,$A114,$Q$14:$Q$1213,"&gt;"&amp;$Q114)+(COUNTIFS($A$14:$A$1213,$A114,$Q$14:$Q$1213,"="&amp;$Q114)+1)/2,"")</f>
        <v/>
      </c>
      <c r="AE114" s="27">
        <f>IF(ISNUMBER($R114),COUNTIFS($A$14:$A$1213,$A114,$R$14:$R$1213,"&gt;"&amp;$R114)+(COUNTIFS($A$14:$A$1213,$A114,$R$14:$R$1213,"="&amp;$R114)+1)/2,"")</f>
        <v/>
      </c>
      <c r="AF114" s="27">
        <f>IF(ISNUMBER($S114),COUNTIFS($A$14:$A$1213,$A114,$S$14:$S$1213,"&gt;"&amp;$S114)+(COUNTIFS($A$14:$A$1213,$A114,$S$14:$S$1213,"="&amp;$S114)+1)/2,"")</f>
        <v/>
      </c>
      <c r="AG114" s="27">
        <f>IF(ISNUMBER($T114),COUNTIFS($A$14:$A$1213,$A114,$T$14:$T$1213,"&gt;"&amp;$T114)+(COUNTIFS($A$14:$A$1213,$A114,$T$14:$T$1213,"="&amp;$T114)+1)/2,"")</f>
        <v/>
      </c>
      <c r="AH114" s="27">
        <f>IF(COUNT($AC114:$AG114)&lt;2,"",IF(MAX($AC114:$AG114)=MIN($AC114:$AG114),0,1))</f>
        <v/>
      </c>
      <c r="AI114" s="27">
        <f>IF($A114="","",IF(COUNTIF($A$14:$A114,$A114)=1,COUNTIF($AI$13:AI113,"&gt;0")+1,""))</f>
        <v/>
      </c>
      <c r="AJ114" s="27">
        <f>IF(OR($H114="",COUNTIFS($A$14:$A$1213,$H114,$F$14:$F$1213,"&gt;=0")&lt;2,COUNTIFS($A$14:$A$1213,$H114,$F$14:$F$1213,_xlfn.MAXIFS($F$14:$F$1213,$A$14:$A$1213,$H114))&gt;1),"",IFERROR(INDEX($D$14:$D$1213,MATCH($H114&amp;"|"&amp;_xlfn.MAXIFS($F$14:$F$1213,$A$14:$A$1213,$H114),$AB$14:$AB$1213,0)),""))</f>
        <v/>
      </c>
      <c r="AK114" s="27">
        <f>IF(OR($H114="",COUNTIFS($A$14:$A$1213,$H114,$F$14:$F$1213,"&gt;=0")&lt;2,COUNTIFS($A$14:$A$1213,$H114,$F$14:$F$1213,_xlfn.MAXIFS($F$14:$F$1213,$A$14:$A$1213,$H114))&gt;1),"",IFERROR(INDEX($E$14:$E$1213,MATCH($H114&amp;"|"&amp;_xlfn.MAXIFS($F$14:$F$1213,$A$14:$A$1213,$H114),$AB$14:$AB$1213,0)),""))</f>
        <v/>
      </c>
      <c r="AL114" s="27">
        <f>IF(OR($H114="",COUNTIFS($A$14:$A$1213,$H114,$F$14:$F$1213,"&gt;=0")&lt;2,COUNTIFS($A$14:$A$1213,$H114,$F$14:$F$1213,_xlfn.MAXIFS($F$14:$F$1213,$A$14:$A$1213,$H114))&gt;1),"",IFERROR(INDEX($D$14:$D$1213,MATCH($H114&amp;"|"&amp;_xlfn.MAXIFS($F$14:$F$1213,$A$14:$A$1213,$H114,$F$14:$F$1213,"&lt;"&amp;_xlfn.MAXIFS($F$14:$F$1213,$A$14:$A$1213,$H114)),$AB$14:$AB$1213,0)),""))</f>
        <v/>
      </c>
      <c r="AM114" s="27">
        <f>IF(OR($H114="",COUNTIFS($A$14:$A$1213,$H114,$F$14:$F$1213,"&gt;=0")&lt;2,COUNTIFS($A$14:$A$1213,$H114,$F$14:$F$1213,_xlfn.MAXIFS($F$14:$F$1213,$A$14:$A$1213,$H114))&gt;1),"",IFERROR(INDEX($E$14:$E$1213,MATCH($H114&amp;"|"&amp;_xlfn.MAXIFS($F$14:$F$1213,$A$14:$A$1213,$H114,$F$14:$F$1213,"&lt;"&amp;_xlfn.MAXIFS($F$14:$F$1213,$A$14:$A$1213,$H114)),$AB$14:$AB$1213,0)),""))</f>
        <v/>
      </c>
      <c r="AN114" s="27">
        <f>IF(OR(NOT(ISNUMBER($AJ114)),NOT(ISNUMBER($AL114)),$AK114=0,$AM114=0),"",IF(OR((($AJ114+$AL114)/($AK114+$AM114))&lt;=0,(($AJ114+$AL114)/($AK114+$AM114))&gt;=1),"",($AJ114/$AK114-$AL114/$AM114)/SQRT((($AJ114+$AL114)/($AK114+$AM114))*(1-(($AJ114+$AL114)/($AK114+$AM114)))*(1/$AK114+1/$AM114))))</f>
        <v/>
      </c>
      <c r="AO114" s="27">
        <f>IF($A114="","",IF(AND(COUNTIFS($A$14:$A$1213,$A114,$F$14:$F$1213,"&gt;=0")=2,IFERROR(INDEX($M$14:$M$313,MATCH($A114,$H$14:$H$313,0)),"Yes")&lt;&gt;"Yes"),1,0))</f>
        <v/>
      </c>
    </row>
    <row r="115" ht="24" customHeight="1">
      <c r="A115" s="19" t="n"/>
      <c r="B115" s="20" t="n"/>
      <c r="C115" s="21">
        <f>IFERROR(AVERAGE(P115:T115),"")</f>
        <v/>
      </c>
      <c r="D115" s="29" t="n"/>
      <c r="E115" s="29" t="n"/>
      <c r="F115" s="30">
        <f>IF(AND(ISNUMBER($D115),ISNUMBER($E115),$E115&gt;0,$D115&lt;=$E115),$D115/$E115,"")</f>
        <v/>
      </c>
      <c r="H115" s="19">
        <f>IFERROR(INDEX($A$14:$A$1213,MATCH(102,$AI$14:$AI$1213,0)),"")</f>
        <v/>
      </c>
      <c r="I115" s="24">
        <f>IF($H115="","",IF(COUNTIFS($A$14:$A$1213,$H115,$C$14:$C$1213,"&gt;=0")=0,"—",IFERROR(INDEX($B$14:$B$1213,MATCH($H115&amp;"|1",$Z$14:$Z$1213,0)),"(tied)")))</f>
        <v/>
      </c>
      <c r="J115" s="25">
        <f>IF($H115="","",IF(OR(COUNTIFS($A$14:$A$1213,$H115,$C$14:$C$1213,"&gt;=0")=0,COUNTIFS($A$14:$A$1213,$H115,$F$14:$F$1213,"&gt;=0")=0),"—",IF(OR(ISERROR(MATCH($H115&amp;"|1",$Z$14:$Z$1213,0)),ISERROR(MATCH($H115&amp;"|1",$AA$14:$AA$1213,0))),"Tie",IF(MATCH($H115&amp;"|1",$Z$14:$Z$1213,0)=MATCH($H115&amp;"|1",$AA$14:$AA$1213,0),"Hit","Miss"))))</f>
        <v/>
      </c>
      <c r="K115" s="24">
        <f>IF($H115="","",IF(COUNTIFS($A$14:$A$1213,$H115,$F$14:$F$1213,"&gt;=0")=0,"—",IFERROR(INDEX($B$14:$B$1213,MATCH($H115&amp;"|1",$AA$14:$AA$1213,0)),"(tied)")))</f>
        <v/>
      </c>
      <c r="L115" s="25">
        <f>IF($H115="","",IF((--(COUNTIFS($A$14:$A$1213,$H115,$P$14:$P$1213,"&gt;=0")&gt;0)+--(COUNTIFS($A$14:$A$1213,$H115,$Q$14:$Q$1213,"&gt;=0")&gt;0)+--(COUNTIFS($A$14:$A$1213,$H115,$R$14:$R$1213,"&gt;=0")&gt;0)+--(COUNTIFS($A$14:$A$1213,$H115,$S$14:$S$1213,"&gt;=0")&gt;0)+--(COUNTIFS($A$14:$A$1213,$H115,$T$14:$T$1213,"&gt;=0")&gt;0))&lt;2,"—",IF(SUMIFS($AH$14:$AH$1213,$A$14:$A$1213,$H115)=0,"Yes","No")))</f>
        <v/>
      </c>
      <c r="M115" s="25">
        <f>IF($H115="","",IF(COUNTIFS($A$14:$A$1213,$H115,$F$14:$F$1213,"&gt;=0")&lt;2,"—",IF(COUNTIFS($A$14:$A$1213,$H115,$F$14:$F$1213,_xlfn.MAXIFS($F$14:$F$1213,$A$14:$A$1213,$H115))&gt;1,"No",IF(NOT(ISNUMBER($AN115)),"—",IF((2*(1-NORMSDIST(ABS($AN115))))&lt;0.05,"Yes","No")))))</f>
        <v/>
      </c>
      <c r="N115" s="21">
        <f>IF($H115="","",IF(NOT(ISNUMBER($AN115)),"—",IF((2*(1-NORMSDIST(ABS($AN115))))&lt;0.001,"&lt;0.001",TEXT((2*(1-NORMSDIST(ABS($AN115)))),"0.000"))))</f>
        <v/>
      </c>
      <c r="P115" s="26" t="n"/>
      <c r="Q115" s="26" t="n"/>
      <c r="R115" s="26" t="n"/>
      <c r="S115" s="26" t="n"/>
      <c r="T115" s="26" t="n"/>
      <c r="V115" s="27">
        <f>IF(ISNUMBER($C115),COUNTIFS($A$14:$A$1213,$A115,$C$14:$C$1213,"&gt;"&amp;$C115)+(COUNTIFS($A$14:$A$1213,$A115,$C$14:$C$1213,"="&amp;$C115)+1)/2,"")</f>
        <v/>
      </c>
      <c r="W115" s="27">
        <f>IF(ISNUMBER($F115),COUNTIFS($A$14:$A$1213,$A115,$F$14:$F$1213,"&gt;"&amp;$F115)+(COUNTIFS($A$14:$A$1213,$A115,$F$14:$F$1213,"="&amp;$F115)+1)/2,"")</f>
        <v/>
      </c>
      <c r="X115" s="27">
        <f>IF(OR(NOT(ISNUMBER($V115)),$AO115=1),"",$V115-(COUNTIFS($A$14:$A$1213,$A115,$C$14:$C$1213,"&gt;=0")+1)/2)</f>
        <v/>
      </c>
      <c r="Y115" s="27">
        <f>IF(OR(NOT(ISNUMBER($W115)),$AO115=1),"",$W115-(COUNTIFS($A$14:$A$1213,$A115,$F$14:$F$1213,"&gt;=0")+1)/2)</f>
        <v/>
      </c>
      <c r="Z115" s="27">
        <f>IF(ISNUMBER($V115),$A115&amp;"|"&amp;$V115,"")</f>
        <v/>
      </c>
      <c r="AA115" s="27">
        <f>IF(ISNUMBER($W115),$A115&amp;"|"&amp;$W115,"")</f>
        <v/>
      </c>
      <c r="AB115" s="27">
        <f>IF(ISNUMBER($F115),$A115&amp;"|"&amp;$F115,"")</f>
        <v/>
      </c>
      <c r="AC115" s="27">
        <f>IF(ISNUMBER($P115),COUNTIFS($A$14:$A$1213,$A115,$P$14:$P$1213,"&gt;"&amp;$P115)+(COUNTIFS($A$14:$A$1213,$A115,$P$14:$P$1213,"="&amp;$P115)+1)/2,"")</f>
        <v/>
      </c>
      <c r="AD115" s="27">
        <f>IF(ISNUMBER($Q115),COUNTIFS($A$14:$A$1213,$A115,$Q$14:$Q$1213,"&gt;"&amp;$Q115)+(COUNTIFS($A$14:$A$1213,$A115,$Q$14:$Q$1213,"="&amp;$Q115)+1)/2,"")</f>
        <v/>
      </c>
      <c r="AE115" s="27">
        <f>IF(ISNUMBER($R115),COUNTIFS($A$14:$A$1213,$A115,$R$14:$R$1213,"&gt;"&amp;$R115)+(COUNTIFS($A$14:$A$1213,$A115,$R$14:$R$1213,"="&amp;$R115)+1)/2,"")</f>
        <v/>
      </c>
      <c r="AF115" s="27">
        <f>IF(ISNUMBER($S115),COUNTIFS($A$14:$A$1213,$A115,$S$14:$S$1213,"&gt;"&amp;$S115)+(COUNTIFS($A$14:$A$1213,$A115,$S$14:$S$1213,"="&amp;$S115)+1)/2,"")</f>
        <v/>
      </c>
      <c r="AG115" s="27">
        <f>IF(ISNUMBER($T115),COUNTIFS($A$14:$A$1213,$A115,$T$14:$T$1213,"&gt;"&amp;$T115)+(COUNTIFS($A$14:$A$1213,$A115,$T$14:$T$1213,"="&amp;$T115)+1)/2,"")</f>
        <v/>
      </c>
      <c r="AH115" s="27">
        <f>IF(COUNT($AC115:$AG115)&lt;2,"",IF(MAX($AC115:$AG115)=MIN($AC115:$AG115),0,1))</f>
        <v/>
      </c>
      <c r="AI115" s="27">
        <f>IF($A115="","",IF(COUNTIF($A$14:$A115,$A115)=1,COUNTIF($AI$13:AI114,"&gt;0")+1,""))</f>
        <v/>
      </c>
      <c r="AJ115" s="27">
        <f>IF(OR($H115="",COUNTIFS($A$14:$A$1213,$H115,$F$14:$F$1213,"&gt;=0")&lt;2,COUNTIFS($A$14:$A$1213,$H115,$F$14:$F$1213,_xlfn.MAXIFS($F$14:$F$1213,$A$14:$A$1213,$H115))&gt;1),"",IFERROR(INDEX($D$14:$D$1213,MATCH($H115&amp;"|"&amp;_xlfn.MAXIFS($F$14:$F$1213,$A$14:$A$1213,$H115),$AB$14:$AB$1213,0)),""))</f>
        <v/>
      </c>
      <c r="AK115" s="27">
        <f>IF(OR($H115="",COUNTIFS($A$14:$A$1213,$H115,$F$14:$F$1213,"&gt;=0")&lt;2,COUNTIFS($A$14:$A$1213,$H115,$F$14:$F$1213,_xlfn.MAXIFS($F$14:$F$1213,$A$14:$A$1213,$H115))&gt;1),"",IFERROR(INDEX($E$14:$E$1213,MATCH($H115&amp;"|"&amp;_xlfn.MAXIFS($F$14:$F$1213,$A$14:$A$1213,$H115),$AB$14:$AB$1213,0)),""))</f>
        <v/>
      </c>
      <c r="AL115" s="27">
        <f>IF(OR($H115="",COUNTIFS($A$14:$A$1213,$H115,$F$14:$F$1213,"&gt;=0")&lt;2,COUNTIFS($A$14:$A$1213,$H115,$F$14:$F$1213,_xlfn.MAXIFS($F$14:$F$1213,$A$14:$A$1213,$H115))&gt;1),"",IFERROR(INDEX($D$14:$D$1213,MATCH($H115&amp;"|"&amp;_xlfn.MAXIFS($F$14:$F$1213,$A$14:$A$1213,$H115,$F$14:$F$1213,"&lt;"&amp;_xlfn.MAXIFS($F$14:$F$1213,$A$14:$A$1213,$H115)),$AB$14:$AB$1213,0)),""))</f>
        <v/>
      </c>
      <c r="AM115" s="27">
        <f>IF(OR($H115="",COUNTIFS($A$14:$A$1213,$H115,$F$14:$F$1213,"&gt;=0")&lt;2,COUNTIFS($A$14:$A$1213,$H115,$F$14:$F$1213,_xlfn.MAXIFS($F$14:$F$1213,$A$14:$A$1213,$H115))&gt;1),"",IFERROR(INDEX($E$14:$E$1213,MATCH($H115&amp;"|"&amp;_xlfn.MAXIFS($F$14:$F$1213,$A$14:$A$1213,$H115,$F$14:$F$1213,"&lt;"&amp;_xlfn.MAXIFS($F$14:$F$1213,$A$14:$A$1213,$H115)),$AB$14:$AB$1213,0)),""))</f>
        <v/>
      </c>
      <c r="AN115" s="27">
        <f>IF(OR(NOT(ISNUMBER($AJ115)),NOT(ISNUMBER($AL115)),$AK115=0,$AM115=0),"",IF(OR((($AJ115+$AL115)/($AK115+$AM115))&lt;=0,(($AJ115+$AL115)/($AK115+$AM115))&gt;=1),"",($AJ115/$AK115-$AL115/$AM115)/SQRT((($AJ115+$AL115)/($AK115+$AM115))*(1-(($AJ115+$AL115)/($AK115+$AM115)))*(1/$AK115+1/$AM115))))</f>
        <v/>
      </c>
      <c r="AO115" s="27">
        <f>IF($A115="","",IF(AND(COUNTIFS($A$14:$A$1213,$A115,$F$14:$F$1213,"&gt;=0")=2,IFERROR(INDEX($M$14:$M$313,MATCH($A115,$H$14:$H$313,0)),"Yes")&lt;&gt;"Yes"),1,0))</f>
        <v/>
      </c>
    </row>
    <row r="116" ht="24" customHeight="1">
      <c r="A116" s="19" t="n"/>
      <c r="B116" s="20" t="n"/>
      <c r="C116" s="21">
        <f>IFERROR(AVERAGE(P116:T116),"")</f>
        <v/>
      </c>
      <c r="D116" s="29" t="n"/>
      <c r="E116" s="29" t="n"/>
      <c r="F116" s="30">
        <f>IF(AND(ISNUMBER($D116),ISNUMBER($E116),$E116&gt;0,$D116&lt;=$E116),$D116/$E116,"")</f>
        <v/>
      </c>
      <c r="H116" s="19">
        <f>IFERROR(INDEX($A$14:$A$1213,MATCH(103,$AI$14:$AI$1213,0)),"")</f>
        <v/>
      </c>
      <c r="I116" s="24">
        <f>IF($H116="","",IF(COUNTIFS($A$14:$A$1213,$H116,$C$14:$C$1213,"&gt;=0")=0,"—",IFERROR(INDEX($B$14:$B$1213,MATCH($H116&amp;"|1",$Z$14:$Z$1213,0)),"(tied)")))</f>
        <v/>
      </c>
      <c r="J116" s="25">
        <f>IF($H116="","",IF(OR(COUNTIFS($A$14:$A$1213,$H116,$C$14:$C$1213,"&gt;=0")=0,COUNTIFS($A$14:$A$1213,$H116,$F$14:$F$1213,"&gt;=0")=0),"—",IF(OR(ISERROR(MATCH($H116&amp;"|1",$Z$14:$Z$1213,0)),ISERROR(MATCH($H116&amp;"|1",$AA$14:$AA$1213,0))),"Tie",IF(MATCH($H116&amp;"|1",$Z$14:$Z$1213,0)=MATCH($H116&amp;"|1",$AA$14:$AA$1213,0),"Hit","Miss"))))</f>
        <v/>
      </c>
      <c r="K116" s="24">
        <f>IF($H116="","",IF(COUNTIFS($A$14:$A$1213,$H116,$F$14:$F$1213,"&gt;=0")=0,"—",IFERROR(INDEX($B$14:$B$1213,MATCH($H116&amp;"|1",$AA$14:$AA$1213,0)),"(tied)")))</f>
        <v/>
      </c>
      <c r="L116" s="25">
        <f>IF($H116="","",IF((--(COUNTIFS($A$14:$A$1213,$H116,$P$14:$P$1213,"&gt;=0")&gt;0)+--(COUNTIFS($A$14:$A$1213,$H116,$Q$14:$Q$1213,"&gt;=0")&gt;0)+--(COUNTIFS($A$14:$A$1213,$H116,$R$14:$R$1213,"&gt;=0")&gt;0)+--(COUNTIFS($A$14:$A$1213,$H116,$S$14:$S$1213,"&gt;=0")&gt;0)+--(COUNTIFS($A$14:$A$1213,$H116,$T$14:$T$1213,"&gt;=0")&gt;0))&lt;2,"—",IF(SUMIFS($AH$14:$AH$1213,$A$14:$A$1213,$H116)=0,"Yes","No")))</f>
        <v/>
      </c>
      <c r="M116" s="25">
        <f>IF($H116="","",IF(COUNTIFS($A$14:$A$1213,$H116,$F$14:$F$1213,"&gt;=0")&lt;2,"—",IF(COUNTIFS($A$14:$A$1213,$H116,$F$14:$F$1213,_xlfn.MAXIFS($F$14:$F$1213,$A$14:$A$1213,$H116))&gt;1,"No",IF(NOT(ISNUMBER($AN116)),"—",IF((2*(1-NORMSDIST(ABS($AN116))))&lt;0.05,"Yes","No")))))</f>
        <v/>
      </c>
      <c r="N116" s="21">
        <f>IF($H116="","",IF(NOT(ISNUMBER($AN116)),"—",IF((2*(1-NORMSDIST(ABS($AN116))))&lt;0.001,"&lt;0.001",TEXT((2*(1-NORMSDIST(ABS($AN116)))),"0.000"))))</f>
        <v/>
      </c>
      <c r="P116" s="26" t="n"/>
      <c r="Q116" s="26" t="n"/>
      <c r="R116" s="26" t="n"/>
      <c r="S116" s="26" t="n"/>
      <c r="T116" s="26" t="n"/>
      <c r="V116" s="27">
        <f>IF(ISNUMBER($C116),COUNTIFS($A$14:$A$1213,$A116,$C$14:$C$1213,"&gt;"&amp;$C116)+(COUNTIFS($A$14:$A$1213,$A116,$C$14:$C$1213,"="&amp;$C116)+1)/2,"")</f>
        <v/>
      </c>
      <c r="W116" s="27">
        <f>IF(ISNUMBER($F116),COUNTIFS($A$14:$A$1213,$A116,$F$14:$F$1213,"&gt;"&amp;$F116)+(COUNTIFS($A$14:$A$1213,$A116,$F$14:$F$1213,"="&amp;$F116)+1)/2,"")</f>
        <v/>
      </c>
      <c r="X116" s="27">
        <f>IF(OR(NOT(ISNUMBER($V116)),$AO116=1),"",$V116-(COUNTIFS($A$14:$A$1213,$A116,$C$14:$C$1213,"&gt;=0")+1)/2)</f>
        <v/>
      </c>
      <c r="Y116" s="27">
        <f>IF(OR(NOT(ISNUMBER($W116)),$AO116=1),"",$W116-(COUNTIFS($A$14:$A$1213,$A116,$F$14:$F$1213,"&gt;=0")+1)/2)</f>
        <v/>
      </c>
      <c r="Z116" s="27">
        <f>IF(ISNUMBER($V116),$A116&amp;"|"&amp;$V116,"")</f>
        <v/>
      </c>
      <c r="AA116" s="27">
        <f>IF(ISNUMBER($W116),$A116&amp;"|"&amp;$W116,"")</f>
        <v/>
      </c>
      <c r="AB116" s="27">
        <f>IF(ISNUMBER($F116),$A116&amp;"|"&amp;$F116,"")</f>
        <v/>
      </c>
      <c r="AC116" s="27">
        <f>IF(ISNUMBER($P116),COUNTIFS($A$14:$A$1213,$A116,$P$14:$P$1213,"&gt;"&amp;$P116)+(COUNTIFS($A$14:$A$1213,$A116,$P$14:$P$1213,"="&amp;$P116)+1)/2,"")</f>
        <v/>
      </c>
      <c r="AD116" s="27">
        <f>IF(ISNUMBER($Q116),COUNTIFS($A$14:$A$1213,$A116,$Q$14:$Q$1213,"&gt;"&amp;$Q116)+(COUNTIFS($A$14:$A$1213,$A116,$Q$14:$Q$1213,"="&amp;$Q116)+1)/2,"")</f>
        <v/>
      </c>
      <c r="AE116" s="27">
        <f>IF(ISNUMBER($R116),COUNTIFS($A$14:$A$1213,$A116,$R$14:$R$1213,"&gt;"&amp;$R116)+(COUNTIFS($A$14:$A$1213,$A116,$R$14:$R$1213,"="&amp;$R116)+1)/2,"")</f>
        <v/>
      </c>
      <c r="AF116" s="27">
        <f>IF(ISNUMBER($S116),COUNTIFS($A$14:$A$1213,$A116,$S$14:$S$1213,"&gt;"&amp;$S116)+(COUNTIFS($A$14:$A$1213,$A116,$S$14:$S$1213,"="&amp;$S116)+1)/2,"")</f>
        <v/>
      </c>
      <c r="AG116" s="27">
        <f>IF(ISNUMBER($T116),COUNTIFS($A$14:$A$1213,$A116,$T$14:$T$1213,"&gt;"&amp;$T116)+(COUNTIFS($A$14:$A$1213,$A116,$T$14:$T$1213,"="&amp;$T116)+1)/2,"")</f>
        <v/>
      </c>
      <c r="AH116" s="27">
        <f>IF(COUNT($AC116:$AG116)&lt;2,"",IF(MAX($AC116:$AG116)=MIN($AC116:$AG116),0,1))</f>
        <v/>
      </c>
      <c r="AI116" s="27">
        <f>IF($A116="","",IF(COUNTIF($A$14:$A116,$A116)=1,COUNTIF($AI$13:AI115,"&gt;0")+1,""))</f>
        <v/>
      </c>
      <c r="AJ116" s="27">
        <f>IF(OR($H116="",COUNTIFS($A$14:$A$1213,$H116,$F$14:$F$1213,"&gt;=0")&lt;2,COUNTIFS($A$14:$A$1213,$H116,$F$14:$F$1213,_xlfn.MAXIFS($F$14:$F$1213,$A$14:$A$1213,$H116))&gt;1),"",IFERROR(INDEX($D$14:$D$1213,MATCH($H116&amp;"|"&amp;_xlfn.MAXIFS($F$14:$F$1213,$A$14:$A$1213,$H116),$AB$14:$AB$1213,0)),""))</f>
        <v/>
      </c>
      <c r="AK116" s="27">
        <f>IF(OR($H116="",COUNTIFS($A$14:$A$1213,$H116,$F$14:$F$1213,"&gt;=0")&lt;2,COUNTIFS($A$14:$A$1213,$H116,$F$14:$F$1213,_xlfn.MAXIFS($F$14:$F$1213,$A$14:$A$1213,$H116))&gt;1),"",IFERROR(INDEX($E$14:$E$1213,MATCH($H116&amp;"|"&amp;_xlfn.MAXIFS($F$14:$F$1213,$A$14:$A$1213,$H116),$AB$14:$AB$1213,0)),""))</f>
        <v/>
      </c>
      <c r="AL116" s="27">
        <f>IF(OR($H116="",COUNTIFS($A$14:$A$1213,$H116,$F$14:$F$1213,"&gt;=0")&lt;2,COUNTIFS($A$14:$A$1213,$H116,$F$14:$F$1213,_xlfn.MAXIFS($F$14:$F$1213,$A$14:$A$1213,$H116))&gt;1),"",IFERROR(INDEX($D$14:$D$1213,MATCH($H116&amp;"|"&amp;_xlfn.MAXIFS($F$14:$F$1213,$A$14:$A$1213,$H116,$F$14:$F$1213,"&lt;"&amp;_xlfn.MAXIFS($F$14:$F$1213,$A$14:$A$1213,$H116)),$AB$14:$AB$1213,0)),""))</f>
        <v/>
      </c>
      <c r="AM116" s="27">
        <f>IF(OR($H116="",COUNTIFS($A$14:$A$1213,$H116,$F$14:$F$1213,"&gt;=0")&lt;2,COUNTIFS($A$14:$A$1213,$H116,$F$14:$F$1213,_xlfn.MAXIFS($F$14:$F$1213,$A$14:$A$1213,$H116))&gt;1),"",IFERROR(INDEX($E$14:$E$1213,MATCH($H116&amp;"|"&amp;_xlfn.MAXIFS($F$14:$F$1213,$A$14:$A$1213,$H116,$F$14:$F$1213,"&lt;"&amp;_xlfn.MAXIFS($F$14:$F$1213,$A$14:$A$1213,$H116)),$AB$14:$AB$1213,0)),""))</f>
        <v/>
      </c>
      <c r="AN116" s="27">
        <f>IF(OR(NOT(ISNUMBER($AJ116)),NOT(ISNUMBER($AL116)),$AK116=0,$AM116=0),"",IF(OR((($AJ116+$AL116)/($AK116+$AM116))&lt;=0,(($AJ116+$AL116)/($AK116+$AM116))&gt;=1),"",($AJ116/$AK116-$AL116/$AM116)/SQRT((($AJ116+$AL116)/($AK116+$AM116))*(1-(($AJ116+$AL116)/($AK116+$AM116)))*(1/$AK116+1/$AM116))))</f>
        <v/>
      </c>
      <c r="AO116" s="27">
        <f>IF($A116="","",IF(AND(COUNTIFS($A$14:$A$1213,$A116,$F$14:$F$1213,"&gt;=0")=2,IFERROR(INDEX($M$14:$M$313,MATCH($A116,$H$14:$H$313,0)),"Yes")&lt;&gt;"Yes"),1,0))</f>
        <v/>
      </c>
    </row>
    <row r="117" ht="24" customHeight="1">
      <c r="A117" s="19" t="n"/>
      <c r="B117" s="20" t="n"/>
      <c r="C117" s="21">
        <f>IFERROR(AVERAGE(P117:T117),"")</f>
        <v/>
      </c>
      <c r="D117" s="29" t="n"/>
      <c r="E117" s="29" t="n"/>
      <c r="F117" s="30">
        <f>IF(AND(ISNUMBER($D117),ISNUMBER($E117),$E117&gt;0,$D117&lt;=$E117),$D117/$E117,"")</f>
        <v/>
      </c>
      <c r="H117" s="19">
        <f>IFERROR(INDEX($A$14:$A$1213,MATCH(104,$AI$14:$AI$1213,0)),"")</f>
        <v/>
      </c>
      <c r="I117" s="24">
        <f>IF($H117="","",IF(COUNTIFS($A$14:$A$1213,$H117,$C$14:$C$1213,"&gt;=0")=0,"—",IFERROR(INDEX($B$14:$B$1213,MATCH($H117&amp;"|1",$Z$14:$Z$1213,0)),"(tied)")))</f>
        <v/>
      </c>
      <c r="J117" s="25">
        <f>IF($H117="","",IF(OR(COUNTIFS($A$14:$A$1213,$H117,$C$14:$C$1213,"&gt;=0")=0,COUNTIFS($A$14:$A$1213,$H117,$F$14:$F$1213,"&gt;=0")=0),"—",IF(OR(ISERROR(MATCH($H117&amp;"|1",$Z$14:$Z$1213,0)),ISERROR(MATCH($H117&amp;"|1",$AA$14:$AA$1213,0))),"Tie",IF(MATCH($H117&amp;"|1",$Z$14:$Z$1213,0)=MATCH($H117&amp;"|1",$AA$14:$AA$1213,0),"Hit","Miss"))))</f>
        <v/>
      </c>
      <c r="K117" s="24">
        <f>IF($H117="","",IF(COUNTIFS($A$14:$A$1213,$H117,$F$14:$F$1213,"&gt;=0")=0,"—",IFERROR(INDEX($B$14:$B$1213,MATCH($H117&amp;"|1",$AA$14:$AA$1213,0)),"(tied)")))</f>
        <v/>
      </c>
      <c r="L117" s="25">
        <f>IF($H117="","",IF((--(COUNTIFS($A$14:$A$1213,$H117,$P$14:$P$1213,"&gt;=0")&gt;0)+--(COUNTIFS($A$14:$A$1213,$H117,$Q$14:$Q$1213,"&gt;=0")&gt;0)+--(COUNTIFS($A$14:$A$1213,$H117,$R$14:$R$1213,"&gt;=0")&gt;0)+--(COUNTIFS($A$14:$A$1213,$H117,$S$14:$S$1213,"&gt;=0")&gt;0)+--(COUNTIFS($A$14:$A$1213,$H117,$T$14:$T$1213,"&gt;=0")&gt;0))&lt;2,"—",IF(SUMIFS($AH$14:$AH$1213,$A$14:$A$1213,$H117)=0,"Yes","No")))</f>
        <v/>
      </c>
      <c r="M117" s="25">
        <f>IF($H117="","",IF(COUNTIFS($A$14:$A$1213,$H117,$F$14:$F$1213,"&gt;=0")&lt;2,"—",IF(COUNTIFS($A$14:$A$1213,$H117,$F$14:$F$1213,_xlfn.MAXIFS($F$14:$F$1213,$A$14:$A$1213,$H117))&gt;1,"No",IF(NOT(ISNUMBER($AN117)),"—",IF((2*(1-NORMSDIST(ABS($AN117))))&lt;0.05,"Yes","No")))))</f>
        <v/>
      </c>
      <c r="N117" s="21">
        <f>IF($H117="","",IF(NOT(ISNUMBER($AN117)),"—",IF((2*(1-NORMSDIST(ABS($AN117))))&lt;0.001,"&lt;0.001",TEXT((2*(1-NORMSDIST(ABS($AN117)))),"0.000"))))</f>
        <v/>
      </c>
      <c r="P117" s="26" t="n"/>
      <c r="Q117" s="26" t="n"/>
      <c r="R117" s="26" t="n"/>
      <c r="S117" s="26" t="n"/>
      <c r="T117" s="26" t="n"/>
      <c r="V117" s="27">
        <f>IF(ISNUMBER($C117),COUNTIFS($A$14:$A$1213,$A117,$C$14:$C$1213,"&gt;"&amp;$C117)+(COUNTIFS($A$14:$A$1213,$A117,$C$14:$C$1213,"="&amp;$C117)+1)/2,"")</f>
        <v/>
      </c>
      <c r="W117" s="27">
        <f>IF(ISNUMBER($F117),COUNTIFS($A$14:$A$1213,$A117,$F$14:$F$1213,"&gt;"&amp;$F117)+(COUNTIFS($A$14:$A$1213,$A117,$F$14:$F$1213,"="&amp;$F117)+1)/2,"")</f>
        <v/>
      </c>
      <c r="X117" s="27">
        <f>IF(OR(NOT(ISNUMBER($V117)),$AO117=1),"",$V117-(COUNTIFS($A$14:$A$1213,$A117,$C$14:$C$1213,"&gt;=0")+1)/2)</f>
        <v/>
      </c>
      <c r="Y117" s="27">
        <f>IF(OR(NOT(ISNUMBER($W117)),$AO117=1),"",$W117-(COUNTIFS($A$14:$A$1213,$A117,$F$14:$F$1213,"&gt;=0")+1)/2)</f>
        <v/>
      </c>
      <c r="Z117" s="27">
        <f>IF(ISNUMBER($V117),$A117&amp;"|"&amp;$V117,"")</f>
        <v/>
      </c>
      <c r="AA117" s="27">
        <f>IF(ISNUMBER($W117),$A117&amp;"|"&amp;$W117,"")</f>
        <v/>
      </c>
      <c r="AB117" s="27">
        <f>IF(ISNUMBER($F117),$A117&amp;"|"&amp;$F117,"")</f>
        <v/>
      </c>
      <c r="AC117" s="27">
        <f>IF(ISNUMBER($P117),COUNTIFS($A$14:$A$1213,$A117,$P$14:$P$1213,"&gt;"&amp;$P117)+(COUNTIFS($A$14:$A$1213,$A117,$P$14:$P$1213,"="&amp;$P117)+1)/2,"")</f>
        <v/>
      </c>
      <c r="AD117" s="27">
        <f>IF(ISNUMBER($Q117),COUNTIFS($A$14:$A$1213,$A117,$Q$14:$Q$1213,"&gt;"&amp;$Q117)+(COUNTIFS($A$14:$A$1213,$A117,$Q$14:$Q$1213,"="&amp;$Q117)+1)/2,"")</f>
        <v/>
      </c>
      <c r="AE117" s="27">
        <f>IF(ISNUMBER($R117),COUNTIFS($A$14:$A$1213,$A117,$R$14:$R$1213,"&gt;"&amp;$R117)+(COUNTIFS($A$14:$A$1213,$A117,$R$14:$R$1213,"="&amp;$R117)+1)/2,"")</f>
        <v/>
      </c>
      <c r="AF117" s="27">
        <f>IF(ISNUMBER($S117),COUNTIFS($A$14:$A$1213,$A117,$S$14:$S$1213,"&gt;"&amp;$S117)+(COUNTIFS($A$14:$A$1213,$A117,$S$14:$S$1213,"="&amp;$S117)+1)/2,"")</f>
        <v/>
      </c>
      <c r="AG117" s="27">
        <f>IF(ISNUMBER($T117),COUNTIFS($A$14:$A$1213,$A117,$T$14:$T$1213,"&gt;"&amp;$T117)+(COUNTIFS($A$14:$A$1213,$A117,$T$14:$T$1213,"="&amp;$T117)+1)/2,"")</f>
        <v/>
      </c>
      <c r="AH117" s="27">
        <f>IF(COUNT($AC117:$AG117)&lt;2,"",IF(MAX($AC117:$AG117)=MIN($AC117:$AG117),0,1))</f>
        <v/>
      </c>
      <c r="AI117" s="27">
        <f>IF($A117="","",IF(COUNTIF($A$14:$A117,$A117)=1,COUNTIF($AI$13:AI116,"&gt;0")+1,""))</f>
        <v/>
      </c>
      <c r="AJ117" s="27">
        <f>IF(OR($H117="",COUNTIFS($A$14:$A$1213,$H117,$F$14:$F$1213,"&gt;=0")&lt;2,COUNTIFS($A$14:$A$1213,$H117,$F$14:$F$1213,_xlfn.MAXIFS($F$14:$F$1213,$A$14:$A$1213,$H117))&gt;1),"",IFERROR(INDEX($D$14:$D$1213,MATCH($H117&amp;"|"&amp;_xlfn.MAXIFS($F$14:$F$1213,$A$14:$A$1213,$H117),$AB$14:$AB$1213,0)),""))</f>
        <v/>
      </c>
      <c r="AK117" s="27">
        <f>IF(OR($H117="",COUNTIFS($A$14:$A$1213,$H117,$F$14:$F$1213,"&gt;=0")&lt;2,COUNTIFS($A$14:$A$1213,$H117,$F$14:$F$1213,_xlfn.MAXIFS($F$14:$F$1213,$A$14:$A$1213,$H117))&gt;1),"",IFERROR(INDEX($E$14:$E$1213,MATCH($H117&amp;"|"&amp;_xlfn.MAXIFS($F$14:$F$1213,$A$14:$A$1213,$H117),$AB$14:$AB$1213,0)),""))</f>
        <v/>
      </c>
      <c r="AL117" s="27">
        <f>IF(OR($H117="",COUNTIFS($A$14:$A$1213,$H117,$F$14:$F$1213,"&gt;=0")&lt;2,COUNTIFS($A$14:$A$1213,$H117,$F$14:$F$1213,_xlfn.MAXIFS($F$14:$F$1213,$A$14:$A$1213,$H117))&gt;1),"",IFERROR(INDEX($D$14:$D$1213,MATCH($H117&amp;"|"&amp;_xlfn.MAXIFS($F$14:$F$1213,$A$14:$A$1213,$H117,$F$14:$F$1213,"&lt;"&amp;_xlfn.MAXIFS($F$14:$F$1213,$A$14:$A$1213,$H117)),$AB$14:$AB$1213,0)),""))</f>
        <v/>
      </c>
      <c r="AM117" s="27">
        <f>IF(OR($H117="",COUNTIFS($A$14:$A$1213,$H117,$F$14:$F$1213,"&gt;=0")&lt;2,COUNTIFS($A$14:$A$1213,$H117,$F$14:$F$1213,_xlfn.MAXIFS($F$14:$F$1213,$A$14:$A$1213,$H117))&gt;1),"",IFERROR(INDEX($E$14:$E$1213,MATCH($H117&amp;"|"&amp;_xlfn.MAXIFS($F$14:$F$1213,$A$14:$A$1213,$H117,$F$14:$F$1213,"&lt;"&amp;_xlfn.MAXIFS($F$14:$F$1213,$A$14:$A$1213,$H117)),$AB$14:$AB$1213,0)),""))</f>
        <v/>
      </c>
      <c r="AN117" s="27">
        <f>IF(OR(NOT(ISNUMBER($AJ117)),NOT(ISNUMBER($AL117)),$AK117=0,$AM117=0),"",IF(OR((($AJ117+$AL117)/($AK117+$AM117))&lt;=0,(($AJ117+$AL117)/($AK117+$AM117))&gt;=1),"",($AJ117/$AK117-$AL117/$AM117)/SQRT((($AJ117+$AL117)/($AK117+$AM117))*(1-(($AJ117+$AL117)/($AK117+$AM117)))*(1/$AK117+1/$AM117))))</f>
        <v/>
      </c>
      <c r="AO117" s="27">
        <f>IF($A117="","",IF(AND(COUNTIFS($A$14:$A$1213,$A117,$F$14:$F$1213,"&gt;=0")=2,IFERROR(INDEX($M$14:$M$313,MATCH($A117,$H$14:$H$313,0)),"Yes")&lt;&gt;"Yes"),1,0))</f>
        <v/>
      </c>
    </row>
    <row r="118" ht="24" customHeight="1">
      <c r="A118" s="19" t="n"/>
      <c r="B118" s="20" t="n"/>
      <c r="C118" s="21">
        <f>IFERROR(AVERAGE(P118:T118),"")</f>
        <v/>
      </c>
      <c r="D118" s="29" t="n"/>
      <c r="E118" s="29" t="n"/>
      <c r="F118" s="30">
        <f>IF(AND(ISNUMBER($D118),ISNUMBER($E118),$E118&gt;0,$D118&lt;=$E118),$D118/$E118,"")</f>
        <v/>
      </c>
      <c r="H118" s="19">
        <f>IFERROR(INDEX($A$14:$A$1213,MATCH(105,$AI$14:$AI$1213,0)),"")</f>
        <v/>
      </c>
      <c r="I118" s="24">
        <f>IF($H118="","",IF(COUNTIFS($A$14:$A$1213,$H118,$C$14:$C$1213,"&gt;=0")=0,"—",IFERROR(INDEX($B$14:$B$1213,MATCH($H118&amp;"|1",$Z$14:$Z$1213,0)),"(tied)")))</f>
        <v/>
      </c>
      <c r="J118" s="25">
        <f>IF($H118="","",IF(OR(COUNTIFS($A$14:$A$1213,$H118,$C$14:$C$1213,"&gt;=0")=0,COUNTIFS($A$14:$A$1213,$H118,$F$14:$F$1213,"&gt;=0")=0),"—",IF(OR(ISERROR(MATCH($H118&amp;"|1",$Z$14:$Z$1213,0)),ISERROR(MATCH($H118&amp;"|1",$AA$14:$AA$1213,0))),"Tie",IF(MATCH($H118&amp;"|1",$Z$14:$Z$1213,0)=MATCH($H118&amp;"|1",$AA$14:$AA$1213,0),"Hit","Miss"))))</f>
        <v/>
      </c>
      <c r="K118" s="24">
        <f>IF($H118="","",IF(COUNTIFS($A$14:$A$1213,$H118,$F$14:$F$1213,"&gt;=0")=0,"—",IFERROR(INDEX($B$14:$B$1213,MATCH($H118&amp;"|1",$AA$14:$AA$1213,0)),"(tied)")))</f>
        <v/>
      </c>
      <c r="L118" s="25">
        <f>IF($H118="","",IF((--(COUNTIFS($A$14:$A$1213,$H118,$P$14:$P$1213,"&gt;=0")&gt;0)+--(COUNTIFS($A$14:$A$1213,$H118,$Q$14:$Q$1213,"&gt;=0")&gt;0)+--(COUNTIFS($A$14:$A$1213,$H118,$R$14:$R$1213,"&gt;=0")&gt;0)+--(COUNTIFS($A$14:$A$1213,$H118,$S$14:$S$1213,"&gt;=0")&gt;0)+--(COUNTIFS($A$14:$A$1213,$H118,$T$14:$T$1213,"&gt;=0")&gt;0))&lt;2,"—",IF(SUMIFS($AH$14:$AH$1213,$A$14:$A$1213,$H118)=0,"Yes","No")))</f>
        <v/>
      </c>
      <c r="M118" s="25">
        <f>IF($H118="","",IF(COUNTIFS($A$14:$A$1213,$H118,$F$14:$F$1213,"&gt;=0")&lt;2,"—",IF(COUNTIFS($A$14:$A$1213,$H118,$F$14:$F$1213,_xlfn.MAXIFS($F$14:$F$1213,$A$14:$A$1213,$H118))&gt;1,"No",IF(NOT(ISNUMBER($AN118)),"—",IF((2*(1-NORMSDIST(ABS($AN118))))&lt;0.05,"Yes","No")))))</f>
        <v/>
      </c>
      <c r="N118" s="21">
        <f>IF($H118="","",IF(NOT(ISNUMBER($AN118)),"—",IF((2*(1-NORMSDIST(ABS($AN118))))&lt;0.001,"&lt;0.001",TEXT((2*(1-NORMSDIST(ABS($AN118)))),"0.000"))))</f>
        <v/>
      </c>
      <c r="P118" s="26" t="n"/>
      <c r="Q118" s="26" t="n"/>
      <c r="R118" s="26" t="n"/>
      <c r="S118" s="26" t="n"/>
      <c r="T118" s="26" t="n"/>
      <c r="V118" s="27">
        <f>IF(ISNUMBER($C118),COUNTIFS($A$14:$A$1213,$A118,$C$14:$C$1213,"&gt;"&amp;$C118)+(COUNTIFS($A$14:$A$1213,$A118,$C$14:$C$1213,"="&amp;$C118)+1)/2,"")</f>
        <v/>
      </c>
      <c r="W118" s="27">
        <f>IF(ISNUMBER($F118),COUNTIFS($A$14:$A$1213,$A118,$F$14:$F$1213,"&gt;"&amp;$F118)+(COUNTIFS($A$14:$A$1213,$A118,$F$14:$F$1213,"="&amp;$F118)+1)/2,"")</f>
        <v/>
      </c>
      <c r="X118" s="27">
        <f>IF(OR(NOT(ISNUMBER($V118)),$AO118=1),"",$V118-(COUNTIFS($A$14:$A$1213,$A118,$C$14:$C$1213,"&gt;=0")+1)/2)</f>
        <v/>
      </c>
      <c r="Y118" s="27">
        <f>IF(OR(NOT(ISNUMBER($W118)),$AO118=1),"",$W118-(COUNTIFS($A$14:$A$1213,$A118,$F$14:$F$1213,"&gt;=0")+1)/2)</f>
        <v/>
      </c>
      <c r="Z118" s="27">
        <f>IF(ISNUMBER($V118),$A118&amp;"|"&amp;$V118,"")</f>
        <v/>
      </c>
      <c r="AA118" s="27">
        <f>IF(ISNUMBER($W118),$A118&amp;"|"&amp;$W118,"")</f>
        <v/>
      </c>
      <c r="AB118" s="27">
        <f>IF(ISNUMBER($F118),$A118&amp;"|"&amp;$F118,"")</f>
        <v/>
      </c>
      <c r="AC118" s="27">
        <f>IF(ISNUMBER($P118),COUNTIFS($A$14:$A$1213,$A118,$P$14:$P$1213,"&gt;"&amp;$P118)+(COUNTIFS($A$14:$A$1213,$A118,$P$14:$P$1213,"="&amp;$P118)+1)/2,"")</f>
        <v/>
      </c>
      <c r="AD118" s="27">
        <f>IF(ISNUMBER($Q118),COUNTIFS($A$14:$A$1213,$A118,$Q$14:$Q$1213,"&gt;"&amp;$Q118)+(COUNTIFS($A$14:$A$1213,$A118,$Q$14:$Q$1213,"="&amp;$Q118)+1)/2,"")</f>
        <v/>
      </c>
      <c r="AE118" s="27">
        <f>IF(ISNUMBER($R118),COUNTIFS($A$14:$A$1213,$A118,$R$14:$R$1213,"&gt;"&amp;$R118)+(COUNTIFS($A$14:$A$1213,$A118,$R$14:$R$1213,"="&amp;$R118)+1)/2,"")</f>
        <v/>
      </c>
      <c r="AF118" s="27">
        <f>IF(ISNUMBER($S118),COUNTIFS($A$14:$A$1213,$A118,$S$14:$S$1213,"&gt;"&amp;$S118)+(COUNTIFS($A$14:$A$1213,$A118,$S$14:$S$1213,"="&amp;$S118)+1)/2,"")</f>
        <v/>
      </c>
      <c r="AG118" s="27">
        <f>IF(ISNUMBER($T118),COUNTIFS($A$14:$A$1213,$A118,$T$14:$T$1213,"&gt;"&amp;$T118)+(COUNTIFS($A$14:$A$1213,$A118,$T$14:$T$1213,"="&amp;$T118)+1)/2,"")</f>
        <v/>
      </c>
      <c r="AH118" s="27">
        <f>IF(COUNT($AC118:$AG118)&lt;2,"",IF(MAX($AC118:$AG118)=MIN($AC118:$AG118),0,1))</f>
        <v/>
      </c>
      <c r="AI118" s="27">
        <f>IF($A118="","",IF(COUNTIF($A$14:$A118,$A118)=1,COUNTIF($AI$13:AI117,"&gt;0")+1,""))</f>
        <v/>
      </c>
      <c r="AJ118" s="27">
        <f>IF(OR($H118="",COUNTIFS($A$14:$A$1213,$H118,$F$14:$F$1213,"&gt;=0")&lt;2,COUNTIFS($A$14:$A$1213,$H118,$F$14:$F$1213,_xlfn.MAXIFS($F$14:$F$1213,$A$14:$A$1213,$H118))&gt;1),"",IFERROR(INDEX($D$14:$D$1213,MATCH($H118&amp;"|"&amp;_xlfn.MAXIFS($F$14:$F$1213,$A$14:$A$1213,$H118),$AB$14:$AB$1213,0)),""))</f>
        <v/>
      </c>
      <c r="AK118" s="27">
        <f>IF(OR($H118="",COUNTIFS($A$14:$A$1213,$H118,$F$14:$F$1213,"&gt;=0")&lt;2,COUNTIFS($A$14:$A$1213,$H118,$F$14:$F$1213,_xlfn.MAXIFS($F$14:$F$1213,$A$14:$A$1213,$H118))&gt;1),"",IFERROR(INDEX($E$14:$E$1213,MATCH($H118&amp;"|"&amp;_xlfn.MAXIFS($F$14:$F$1213,$A$14:$A$1213,$H118),$AB$14:$AB$1213,0)),""))</f>
        <v/>
      </c>
      <c r="AL118" s="27">
        <f>IF(OR($H118="",COUNTIFS($A$14:$A$1213,$H118,$F$14:$F$1213,"&gt;=0")&lt;2,COUNTIFS($A$14:$A$1213,$H118,$F$14:$F$1213,_xlfn.MAXIFS($F$14:$F$1213,$A$14:$A$1213,$H118))&gt;1),"",IFERROR(INDEX($D$14:$D$1213,MATCH($H118&amp;"|"&amp;_xlfn.MAXIFS($F$14:$F$1213,$A$14:$A$1213,$H118,$F$14:$F$1213,"&lt;"&amp;_xlfn.MAXIFS($F$14:$F$1213,$A$14:$A$1213,$H118)),$AB$14:$AB$1213,0)),""))</f>
        <v/>
      </c>
      <c r="AM118" s="27">
        <f>IF(OR($H118="",COUNTIFS($A$14:$A$1213,$H118,$F$14:$F$1213,"&gt;=0")&lt;2,COUNTIFS($A$14:$A$1213,$H118,$F$14:$F$1213,_xlfn.MAXIFS($F$14:$F$1213,$A$14:$A$1213,$H118))&gt;1),"",IFERROR(INDEX($E$14:$E$1213,MATCH($H118&amp;"|"&amp;_xlfn.MAXIFS($F$14:$F$1213,$A$14:$A$1213,$H118,$F$14:$F$1213,"&lt;"&amp;_xlfn.MAXIFS($F$14:$F$1213,$A$14:$A$1213,$H118)),$AB$14:$AB$1213,0)),""))</f>
        <v/>
      </c>
      <c r="AN118" s="27">
        <f>IF(OR(NOT(ISNUMBER($AJ118)),NOT(ISNUMBER($AL118)),$AK118=0,$AM118=0),"",IF(OR((($AJ118+$AL118)/($AK118+$AM118))&lt;=0,(($AJ118+$AL118)/($AK118+$AM118))&gt;=1),"",($AJ118/$AK118-$AL118/$AM118)/SQRT((($AJ118+$AL118)/($AK118+$AM118))*(1-(($AJ118+$AL118)/($AK118+$AM118)))*(1/$AK118+1/$AM118))))</f>
        <v/>
      </c>
      <c r="AO118" s="27">
        <f>IF($A118="","",IF(AND(COUNTIFS($A$14:$A$1213,$A118,$F$14:$F$1213,"&gt;=0")=2,IFERROR(INDEX($M$14:$M$313,MATCH($A118,$H$14:$H$313,0)),"Yes")&lt;&gt;"Yes"),1,0))</f>
        <v/>
      </c>
    </row>
    <row r="119" ht="24" customHeight="1">
      <c r="A119" s="19" t="n"/>
      <c r="B119" s="20" t="n"/>
      <c r="C119" s="21">
        <f>IFERROR(AVERAGE(P119:T119),"")</f>
        <v/>
      </c>
      <c r="D119" s="29" t="n"/>
      <c r="E119" s="29" t="n"/>
      <c r="F119" s="30">
        <f>IF(AND(ISNUMBER($D119),ISNUMBER($E119),$E119&gt;0,$D119&lt;=$E119),$D119/$E119,"")</f>
        <v/>
      </c>
      <c r="H119" s="19">
        <f>IFERROR(INDEX($A$14:$A$1213,MATCH(106,$AI$14:$AI$1213,0)),"")</f>
        <v/>
      </c>
      <c r="I119" s="24">
        <f>IF($H119="","",IF(COUNTIFS($A$14:$A$1213,$H119,$C$14:$C$1213,"&gt;=0")=0,"—",IFERROR(INDEX($B$14:$B$1213,MATCH($H119&amp;"|1",$Z$14:$Z$1213,0)),"(tied)")))</f>
        <v/>
      </c>
      <c r="J119" s="25">
        <f>IF($H119="","",IF(OR(COUNTIFS($A$14:$A$1213,$H119,$C$14:$C$1213,"&gt;=0")=0,COUNTIFS($A$14:$A$1213,$H119,$F$14:$F$1213,"&gt;=0")=0),"—",IF(OR(ISERROR(MATCH($H119&amp;"|1",$Z$14:$Z$1213,0)),ISERROR(MATCH($H119&amp;"|1",$AA$14:$AA$1213,0))),"Tie",IF(MATCH($H119&amp;"|1",$Z$14:$Z$1213,0)=MATCH($H119&amp;"|1",$AA$14:$AA$1213,0),"Hit","Miss"))))</f>
        <v/>
      </c>
      <c r="K119" s="24">
        <f>IF($H119="","",IF(COUNTIFS($A$14:$A$1213,$H119,$F$14:$F$1213,"&gt;=0")=0,"—",IFERROR(INDEX($B$14:$B$1213,MATCH($H119&amp;"|1",$AA$14:$AA$1213,0)),"(tied)")))</f>
        <v/>
      </c>
      <c r="L119" s="25">
        <f>IF($H119="","",IF((--(COUNTIFS($A$14:$A$1213,$H119,$P$14:$P$1213,"&gt;=0")&gt;0)+--(COUNTIFS($A$14:$A$1213,$H119,$Q$14:$Q$1213,"&gt;=0")&gt;0)+--(COUNTIFS($A$14:$A$1213,$H119,$R$14:$R$1213,"&gt;=0")&gt;0)+--(COUNTIFS($A$14:$A$1213,$H119,$S$14:$S$1213,"&gt;=0")&gt;0)+--(COUNTIFS($A$14:$A$1213,$H119,$T$14:$T$1213,"&gt;=0")&gt;0))&lt;2,"—",IF(SUMIFS($AH$14:$AH$1213,$A$14:$A$1213,$H119)=0,"Yes","No")))</f>
        <v/>
      </c>
      <c r="M119" s="25">
        <f>IF($H119="","",IF(COUNTIFS($A$14:$A$1213,$H119,$F$14:$F$1213,"&gt;=0")&lt;2,"—",IF(COUNTIFS($A$14:$A$1213,$H119,$F$14:$F$1213,_xlfn.MAXIFS($F$14:$F$1213,$A$14:$A$1213,$H119))&gt;1,"No",IF(NOT(ISNUMBER($AN119)),"—",IF((2*(1-NORMSDIST(ABS($AN119))))&lt;0.05,"Yes","No")))))</f>
        <v/>
      </c>
      <c r="N119" s="21">
        <f>IF($H119="","",IF(NOT(ISNUMBER($AN119)),"—",IF((2*(1-NORMSDIST(ABS($AN119))))&lt;0.001,"&lt;0.001",TEXT((2*(1-NORMSDIST(ABS($AN119)))),"0.000"))))</f>
        <v/>
      </c>
      <c r="P119" s="26" t="n"/>
      <c r="Q119" s="26" t="n"/>
      <c r="R119" s="26" t="n"/>
      <c r="S119" s="26" t="n"/>
      <c r="T119" s="26" t="n"/>
      <c r="V119" s="27">
        <f>IF(ISNUMBER($C119),COUNTIFS($A$14:$A$1213,$A119,$C$14:$C$1213,"&gt;"&amp;$C119)+(COUNTIFS($A$14:$A$1213,$A119,$C$14:$C$1213,"="&amp;$C119)+1)/2,"")</f>
        <v/>
      </c>
      <c r="W119" s="27">
        <f>IF(ISNUMBER($F119),COUNTIFS($A$14:$A$1213,$A119,$F$14:$F$1213,"&gt;"&amp;$F119)+(COUNTIFS($A$14:$A$1213,$A119,$F$14:$F$1213,"="&amp;$F119)+1)/2,"")</f>
        <v/>
      </c>
      <c r="X119" s="27">
        <f>IF(OR(NOT(ISNUMBER($V119)),$AO119=1),"",$V119-(COUNTIFS($A$14:$A$1213,$A119,$C$14:$C$1213,"&gt;=0")+1)/2)</f>
        <v/>
      </c>
      <c r="Y119" s="27">
        <f>IF(OR(NOT(ISNUMBER($W119)),$AO119=1),"",$W119-(COUNTIFS($A$14:$A$1213,$A119,$F$14:$F$1213,"&gt;=0")+1)/2)</f>
        <v/>
      </c>
      <c r="Z119" s="27">
        <f>IF(ISNUMBER($V119),$A119&amp;"|"&amp;$V119,"")</f>
        <v/>
      </c>
      <c r="AA119" s="27">
        <f>IF(ISNUMBER($W119),$A119&amp;"|"&amp;$W119,"")</f>
        <v/>
      </c>
      <c r="AB119" s="27">
        <f>IF(ISNUMBER($F119),$A119&amp;"|"&amp;$F119,"")</f>
        <v/>
      </c>
      <c r="AC119" s="27">
        <f>IF(ISNUMBER($P119),COUNTIFS($A$14:$A$1213,$A119,$P$14:$P$1213,"&gt;"&amp;$P119)+(COUNTIFS($A$14:$A$1213,$A119,$P$14:$P$1213,"="&amp;$P119)+1)/2,"")</f>
        <v/>
      </c>
      <c r="AD119" s="27">
        <f>IF(ISNUMBER($Q119),COUNTIFS($A$14:$A$1213,$A119,$Q$14:$Q$1213,"&gt;"&amp;$Q119)+(COUNTIFS($A$14:$A$1213,$A119,$Q$14:$Q$1213,"="&amp;$Q119)+1)/2,"")</f>
        <v/>
      </c>
      <c r="AE119" s="27">
        <f>IF(ISNUMBER($R119),COUNTIFS($A$14:$A$1213,$A119,$R$14:$R$1213,"&gt;"&amp;$R119)+(COUNTIFS($A$14:$A$1213,$A119,$R$14:$R$1213,"="&amp;$R119)+1)/2,"")</f>
        <v/>
      </c>
      <c r="AF119" s="27">
        <f>IF(ISNUMBER($S119),COUNTIFS($A$14:$A$1213,$A119,$S$14:$S$1213,"&gt;"&amp;$S119)+(COUNTIFS($A$14:$A$1213,$A119,$S$14:$S$1213,"="&amp;$S119)+1)/2,"")</f>
        <v/>
      </c>
      <c r="AG119" s="27">
        <f>IF(ISNUMBER($T119),COUNTIFS($A$14:$A$1213,$A119,$T$14:$T$1213,"&gt;"&amp;$T119)+(COUNTIFS($A$14:$A$1213,$A119,$T$14:$T$1213,"="&amp;$T119)+1)/2,"")</f>
        <v/>
      </c>
      <c r="AH119" s="27">
        <f>IF(COUNT($AC119:$AG119)&lt;2,"",IF(MAX($AC119:$AG119)=MIN($AC119:$AG119),0,1))</f>
        <v/>
      </c>
      <c r="AI119" s="27">
        <f>IF($A119="","",IF(COUNTIF($A$14:$A119,$A119)=1,COUNTIF($AI$13:AI118,"&gt;0")+1,""))</f>
        <v/>
      </c>
      <c r="AJ119" s="27">
        <f>IF(OR($H119="",COUNTIFS($A$14:$A$1213,$H119,$F$14:$F$1213,"&gt;=0")&lt;2,COUNTIFS($A$14:$A$1213,$H119,$F$14:$F$1213,_xlfn.MAXIFS($F$14:$F$1213,$A$14:$A$1213,$H119))&gt;1),"",IFERROR(INDEX($D$14:$D$1213,MATCH($H119&amp;"|"&amp;_xlfn.MAXIFS($F$14:$F$1213,$A$14:$A$1213,$H119),$AB$14:$AB$1213,0)),""))</f>
        <v/>
      </c>
      <c r="AK119" s="27">
        <f>IF(OR($H119="",COUNTIFS($A$14:$A$1213,$H119,$F$14:$F$1213,"&gt;=0")&lt;2,COUNTIFS($A$14:$A$1213,$H119,$F$14:$F$1213,_xlfn.MAXIFS($F$14:$F$1213,$A$14:$A$1213,$H119))&gt;1),"",IFERROR(INDEX($E$14:$E$1213,MATCH($H119&amp;"|"&amp;_xlfn.MAXIFS($F$14:$F$1213,$A$14:$A$1213,$H119),$AB$14:$AB$1213,0)),""))</f>
        <v/>
      </c>
      <c r="AL119" s="27">
        <f>IF(OR($H119="",COUNTIFS($A$14:$A$1213,$H119,$F$14:$F$1213,"&gt;=0")&lt;2,COUNTIFS($A$14:$A$1213,$H119,$F$14:$F$1213,_xlfn.MAXIFS($F$14:$F$1213,$A$14:$A$1213,$H119))&gt;1),"",IFERROR(INDEX($D$14:$D$1213,MATCH($H119&amp;"|"&amp;_xlfn.MAXIFS($F$14:$F$1213,$A$14:$A$1213,$H119,$F$14:$F$1213,"&lt;"&amp;_xlfn.MAXIFS($F$14:$F$1213,$A$14:$A$1213,$H119)),$AB$14:$AB$1213,0)),""))</f>
        <v/>
      </c>
      <c r="AM119" s="27">
        <f>IF(OR($H119="",COUNTIFS($A$14:$A$1213,$H119,$F$14:$F$1213,"&gt;=0")&lt;2,COUNTIFS($A$14:$A$1213,$H119,$F$14:$F$1213,_xlfn.MAXIFS($F$14:$F$1213,$A$14:$A$1213,$H119))&gt;1),"",IFERROR(INDEX($E$14:$E$1213,MATCH($H119&amp;"|"&amp;_xlfn.MAXIFS($F$14:$F$1213,$A$14:$A$1213,$H119,$F$14:$F$1213,"&lt;"&amp;_xlfn.MAXIFS($F$14:$F$1213,$A$14:$A$1213,$H119)),$AB$14:$AB$1213,0)),""))</f>
        <v/>
      </c>
      <c r="AN119" s="27">
        <f>IF(OR(NOT(ISNUMBER($AJ119)),NOT(ISNUMBER($AL119)),$AK119=0,$AM119=0),"",IF(OR((($AJ119+$AL119)/($AK119+$AM119))&lt;=0,(($AJ119+$AL119)/($AK119+$AM119))&gt;=1),"",($AJ119/$AK119-$AL119/$AM119)/SQRT((($AJ119+$AL119)/($AK119+$AM119))*(1-(($AJ119+$AL119)/($AK119+$AM119)))*(1/$AK119+1/$AM119))))</f>
        <v/>
      </c>
      <c r="AO119" s="27">
        <f>IF($A119="","",IF(AND(COUNTIFS($A$14:$A$1213,$A119,$F$14:$F$1213,"&gt;=0")=2,IFERROR(INDEX($M$14:$M$313,MATCH($A119,$H$14:$H$313,0)),"Yes")&lt;&gt;"Yes"),1,0))</f>
        <v/>
      </c>
    </row>
    <row r="120" ht="24" customHeight="1">
      <c r="A120" s="19" t="n"/>
      <c r="B120" s="20" t="n"/>
      <c r="C120" s="21">
        <f>IFERROR(AVERAGE(P120:T120),"")</f>
        <v/>
      </c>
      <c r="D120" s="29" t="n"/>
      <c r="E120" s="29" t="n"/>
      <c r="F120" s="30">
        <f>IF(AND(ISNUMBER($D120),ISNUMBER($E120),$E120&gt;0,$D120&lt;=$E120),$D120/$E120,"")</f>
        <v/>
      </c>
      <c r="H120" s="19">
        <f>IFERROR(INDEX($A$14:$A$1213,MATCH(107,$AI$14:$AI$1213,0)),"")</f>
        <v/>
      </c>
      <c r="I120" s="24">
        <f>IF($H120="","",IF(COUNTIFS($A$14:$A$1213,$H120,$C$14:$C$1213,"&gt;=0")=0,"—",IFERROR(INDEX($B$14:$B$1213,MATCH($H120&amp;"|1",$Z$14:$Z$1213,0)),"(tied)")))</f>
        <v/>
      </c>
      <c r="J120" s="25">
        <f>IF($H120="","",IF(OR(COUNTIFS($A$14:$A$1213,$H120,$C$14:$C$1213,"&gt;=0")=0,COUNTIFS($A$14:$A$1213,$H120,$F$14:$F$1213,"&gt;=0")=0),"—",IF(OR(ISERROR(MATCH($H120&amp;"|1",$Z$14:$Z$1213,0)),ISERROR(MATCH($H120&amp;"|1",$AA$14:$AA$1213,0))),"Tie",IF(MATCH($H120&amp;"|1",$Z$14:$Z$1213,0)=MATCH($H120&amp;"|1",$AA$14:$AA$1213,0),"Hit","Miss"))))</f>
        <v/>
      </c>
      <c r="K120" s="24">
        <f>IF($H120="","",IF(COUNTIFS($A$14:$A$1213,$H120,$F$14:$F$1213,"&gt;=0")=0,"—",IFERROR(INDEX($B$14:$B$1213,MATCH($H120&amp;"|1",$AA$14:$AA$1213,0)),"(tied)")))</f>
        <v/>
      </c>
      <c r="L120" s="25">
        <f>IF($H120="","",IF((--(COUNTIFS($A$14:$A$1213,$H120,$P$14:$P$1213,"&gt;=0")&gt;0)+--(COUNTIFS($A$14:$A$1213,$H120,$Q$14:$Q$1213,"&gt;=0")&gt;0)+--(COUNTIFS($A$14:$A$1213,$H120,$R$14:$R$1213,"&gt;=0")&gt;0)+--(COUNTIFS($A$14:$A$1213,$H120,$S$14:$S$1213,"&gt;=0")&gt;0)+--(COUNTIFS($A$14:$A$1213,$H120,$T$14:$T$1213,"&gt;=0")&gt;0))&lt;2,"—",IF(SUMIFS($AH$14:$AH$1213,$A$14:$A$1213,$H120)=0,"Yes","No")))</f>
        <v/>
      </c>
      <c r="M120" s="25">
        <f>IF($H120="","",IF(COUNTIFS($A$14:$A$1213,$H120,$F$14:$F$1213,"&gt;=0")&lt;2,"—",IF(COUNTIFS($A$14:$A$1213,$H120,$F$14:$F$1213,_xlfn.MAXIFS($F$14:$F$1213,$A$14:$A$1213,$H120))&gt;1,"No",IF(NOT(ISNUMBER($AN120)),"—",IF((2*(1-NORMSDIST(ABS($AN120))))&lt;0.05,"Yes","No")))))</f>
        <v/>
      </c>
      <c r="N120" s="21">
        <f>IF($H120="","",IF(NOT(ISNUMBER($AN120)),"—",IF((2*(1-NORMSDIST(ABS($AN120))))&lt;0.001,"&lt;0.001",TEXT((2*(1-NORMSDIST(ABS($AN120)))),"0.000"))))</f>
        <v/>
      </c>
      <c r="P120" s="26" t="n"/>
      <c r="Q120" s="26" t="n"/>
      <c r="R120" s="26" t="n"/>
      <c r="S120" s="26" t="n"/>
      <c r="T120" s="26" t="n"/>
      <c r="V120" s="27">
        <f>IF(ISNUMBER($C120),COUNTIFS($A$14:$A$1213,$A120,$C$14:$C$1213,"&gt;"&amp;$C120)+(COUNTIFS($A$14:$A$1213,$A120,$C$14:$C$1213,"="&amp;$C120)+1)/2,"")</f>
        <v/>
      </c>
      <c r="W120" s="27">
        <f>IF(ISNUMBER($F120),COUNTIFS($A$14:$A$1213,$A120,$F$14:$F$1213,"&gt;"&amp;$F120)+(COUNTIFS($A$14:$A$1213,$A120,$F$14:$F$1213,"="&amp;$F120)+1)/2,"")</f>
        <v/>
      </c>
      <c r="X120" s="27">
        <f>IF(OR(NOT(ISNUMBER($V120)),$AO120=1),"",$V120-(COUNTIFS($A$14:$A$1213,$A120,$C$14:$C$1213,"&gt;=0")+1)/2)</f>
        <v/>
      </c>
      <c r="Y120" s="27">
        <f>IF(OR(NOT(ISNUMBER($W120)),$AO120=1),"",$W120-(COUNTIFS($A$14:$A$1213,$A120,$F$14:$F$1213,"&gt;=0")+1)/2)</f>
        <v/>
      </c>
      <c r="Z120" s="27">
        <f>IF(ISNUMBER($V120),$A120&amp;"|"&amp;$V120,"")</f>
        <v/>
      </c>
      <c r="AA120" s="27">
        <f>IF(ISNUMBER($W120),$A120&amp;"|"&amp;$W120,"")</f>
        <v/>
      </c>
      <c r="AB120" s="27">
        <f>IF(ISNUMBER($F120),$A120&amp;"|"&amp;$F120,"")</f>
        <v/>
      </c>
      <c r="AC120" s="27">
        <f>IF(ISNUMBER($P120),COUNTIFS($A$14:$A$1213,$A120,$P$14:$P$1213,"&gt;"&amp;$P120)+(COUNTIFS($A$14:$A$1213,$A120,$P$14:$P$1213,"="&amp;$P120)+1)/2,"")</f>
        <v/>
      </c>
      <c r="AD120" s="27">
        <f>IF(ISNUMBER($Q120),COUNTIFS($A$14:$A$1213,$A120,$Q$14:$Q$1213,"&gt;"&amp;$Q120)+(COUNTIFS($A$14:$A$1213,$A120,$Q$14:$Q$1213,"="&amp;$Q120)+1)/2,"")</f>
        <v/>
      </c>
      <c r="AE120" s="27">
        <f>IF(ISNUMBER($R120),COUNTIFS($A$14:$A$1213,$A120,$R$14:$R$1213,"&gt;"&amp;$R120)+(COUNTIFS($A$14:$A$1213,$A120,$R$14:$R$1213,"="&amp;$R120)+1)/2,"")</f>
        <v/>
      </c>
      <c r="AF120" s="27">
        <f>IF(ISNUMBER($S120),COUNTIFS($A$14:$A$1213,$A120,$S$14:$S$1213,"&gt;"&amp;$S120)+(COUNTIFS($A$14:$A$1213,$A120,$S$14:$S$1213,"="&amp;$S120)+1)/2,"")</f>
        <v/>
      </c>
      <c r="AG120" s="27">
        <f>IF(ISNUMBER($T120),COUNTIFS($A$14:$A$1213,$A120,$T$14:$T$1213,"&gt;"&amp;$T120)+(COUNTIFS($A$14:$A$1213,$A120,$T$14:$T$1213,"="&amp;$T120)+1)/2,"")</f>
        <v/>
      </c>
      <c r="AH120" s="27">
        <f>IF(COUNT($AC120:$AG120)&lt;2,"",IF(MAX($AC120:$AG120)=MIN($AC120:$AG120),0,1))</f>
        <v/>
      </c>
      <c r="AI120" s="27">
        <f>IF($A120="","",IF(COUNTIF($A$14:$A120,$A120)=1,COUNTIF($AI$13:AI119,"&gt;0")+1,""))</f>
        <v/>
      </c>
      <c r="AJ120" s="27">
        <f>IF(OR($H120="",COUNTIFS($A$14:$A$1213,$H120,$F$14:$F$1213,"&gt;=0")&lt;2,COUNTIFS($A$14:$A$1213,$H120,$F$14:$F$1213,_xlfn.MAXIFS($F$14:$F$1213,$A$14:$A$1213,$H120))&gt;1),"",IFERROR(INDEX($D$14:$D$1213,MATCH($H120&amp;"|"&amp;_xlfn.MAXIFS($F$14:$F$1213,$A$14:$A$1213,$H120),$AB$14:$AB$1213,0)),""))</f>
        <v/>
      </c>
      <c r="AK120" s="27">
        <f>IF(OR($H120="",COUNTIFS($A$14:$A$1213,$H120,$F$14:$F$1213,"&gt;=0")&lt;2,COUNTIFS($A$14:$A$1213,$H120,$F$14:$F$1213,_xlfn.MAXIFS($F$14:$F$1213,$A$14:$A$1213,$H120))&gt;1),"",IFERROR(INDEX($E$14:$E$1213,MATCH($H120&amp;"|"&amp;_xlfn.MAXIFS($F$14:$F$1213,$A$14:$A$1213,$H120),$AB$14:$AB$1213,0)),""))</f>
        <v/>
      </c>
      <c r="AL120" s="27">
        <f>IF(OR($H120="",COUNTIFS($A$14:$A$1213,$H120,$F$14:$F$1213,"&gt;=0")&lt;2,COUNTIFS($A$14:$A$1213,$H120,$F$14:$F$1213,_xlfn.MAXIFS($F$14:$F$1213,$A$14:$A$1213,$H120))&gt;1),"",IFERROR(INDEX($D$14:$D$1213,MATCH($H120&amp;"|"&amp;_xlfn.MAXIFS($F$14:$F$1213,$A$14:$A$1213,$H120,$F$14:$F$1213,"&lt;"&amp;_xlfn.MAXIFS($F$14:$F$1213,$A$14:$A$1213,$H120)),$AB$14:$AB$1213,0)),""))</f>
        <v/>
      </c>
      <c r="AM120" s="27">
        <f>IF(OR($H120="",COUNTIFS($A$14:$A$1213,$H120,$F$14:$F$1213,"&gt;=0")&lt;2,COUNTIFS($A$14:$A$1213,$H120,$F$14:$F$1213,_xlfn.MAXIFS($F$14:$F$1213,$A$14:$A$1213,$H120))&gt;1),"",IFERROR(INDEX($E$14:$E$1213,MATCH($H120&amp;"|"&amp;_xlfn.MAXIFS($F$14:$F$1213,$A$14:$A$1213,$H120,$F$14:$F$1213,"&lt;"&amp;_xlfn.MAXIFS($F$14:$F$1213,$A$14:$A$1213,$H120)),$AB$14:$AB$1213,0)),""))</f>
        <v/>
      </c>
      <c r="AN120" s="27">
        <f>IF(OR(NOT(ISNUMBER($AJ120)),NOT(ISNUMBER($AL120)),$AK120=0,$AM120=0),"",IF(OR((($AJ120+$AL120)/($AK120+$AM120))&lt;=0,(($AJ120+$AL120)/($AK120+$AM120))&gt;=1),"",($AJ120/$AK120-$AL120/$AM120)/SQRT((($AJ120+$AL120)/($AK120+$AM120))*(1-(($AJ120+$AL120)/($AK120+$AM120)))*(1/$AK120+1/$AM120))))</f>
        <v/>
      </c>
      <c r="AO120" s="27">
        <f>IF($A120="","",IF(AND(COUNTIFS($A$14:$A$1213,$A120,$F$14:$F$1213,"&gt;=0")=2,IFERROR(INDEX($M$14:$M$313,MATCH($A120,$H$14:$H$313,0)),"Yes")&lt;&gt;"Yes"),1,0))</f>
        <v/>
      </c>
    </row>
    <row r="121" ht="24" customHeight="1">
      <c r="A121" s="19" t="n"/>
      <c r="B121" s="20" t="n"/>
      <c r="C121" s="21">
        <f>IFERROR(AVERAGE(P121:T121),"")</f>
        <v/>
      </c>
      <c r="D121" s="29" t="n"/>
      <c r="E121" s="29" t="n"/>
      <c r="F121" s="30">
        <f>IF(AND(ISNUMBER($D121),ISNUMBER($E121),$E121&gt;0,$D121&lt;=$E121),$D121/$E121,"")</f>
        <v/>
      </c>
      <c r="H121" s="19">
        <f>IFERROR(INDEX($A$14:$A$1213,MATCH(108,$AI$14:$AI$1213,0)),"")</f>
        <v/>
      </c>
      <c r="I121" s="24">
        <f>IF($H121="","",IF(COUNTIFS($A$14:$A$1213,$H121,$C$14:$C$1213,"&gt;=0")=0,"—",IFERROR(INDEX($B$14:$B$1213,MATCH($H121&amp;"|1",$Z$14:$Z$1213,0)),"(tied)")))</f>
        <v/>
      </c>
      <c r="J121" s="25">
        <f>IF($H121="","",IF(OR(COUNTIFS($A$14:$A$1213,$H121,$C$14:$C$1213,"&gt;=0")=0,COUNTIFS($A$14:$A$1213,$H121,$F$14:$F$1213,"&gt;=0")=0),"—",IF(OR(ISERROR(MATCH($H121&amp;"|1",$Z$14:$Z$1213,0)),ISERROR(MATCH($H121&amp;"|1",$AA$14:$AA$1213,0))),"Tie",IF(MATCH($H121&amp;"|1",$Z$14:$Z$1213,0)=MATCH($H121&amp;"|1",$AA$14:$AA$1213,0),"Hit","Miss"))))</f>
        <v/>
      </c>
      <c r="K121" s="24">
        <f>IF($H121="","",IF(COUNTIFS($A$14:$A$1213,$H121,$F$14:$F$1213,"&gt;=0")=0,"—",IFERROR(INDEX($B$14:$B$1213,MATCH($H121&amp;"|1",$AA$14:$AA$1213,0)),"(tied)")))</f>
        <v/>
      </c>
      <c r="L121" s="25">
        <f>IF($H121="","",IF((--(COUNTIFS($A$14:$A$1213,$H121,$P$14:$P$1213,"&gt;=0")&gt;0)+--(COUNTIFS($A$14:$A$1213,$H121,$Q$14:$Q$1213,"&gt;=0")&gt;0)+--(COUNTIFS($A$14:$A$1213,$H121,$R$14:$R$1213,"&gt;=0")&gt;0)+--(COUNTIFS($A$14:$A$1213,$H121,$S$14:$S$1213,"&gt;=0")&gt;0)+--(COUNTIFS($A$14:$A$1213,$H121,$T$14:$T$1213,"&gt;=0")&gt;0))&lt;2,"—",IF(SUMIFS($AH$14:$AH$1213,$A$14:$A$1213,$H121)=0,"Yes","No")))</f>
        <v/>
      </c>
      <c r="M121" s="25">
        <f>IF($H121="","",IF(COUNTIFS($A$14:$A$1213,$H121,$F$14:$F$1213,"&gt;=0")&lt;2,"—",IF(COUNTIFS($A$14:$A$1213,$H121,$F$14:$F$1213,_xlfn.MAXIFS($F$14:$F$1213,$A$14:$A$1213,$H121))&gt;1,"No",IF(NOT(ISNUMBER($AN121)),"—",IF((2*(1-NORMSDIST(ABS($AN121))))&lt;0.05,"Yes","No")))))</f>
        <v/>
      </c>
      <c r="N121" s="21">
        <f>IF($H121="","",IF(NOT(ISNUMBER($AN121)),"—",IF((2*(1-NORMSDIST(ABS($AN121))))&lt;0.001,"&lt;0.001",TEXT((2*(1-NORMSDIST(ABS($AN121)))),"0.000"))))</f>
        <v/>
      </c>
      <c r="P121" s="26" t="n"/>
      <c r="Q121" s="26" t="n"/>
      <c r="R121" s="26" t="n"/>
      <c r="S121" s="26" t="n"/>
      <c r="T121" s="26" t="n"/>
      <c r="V121" s="27">
        <f>IF(ISNUMBER($C121),COUNTIFS($A$14:$A$1213,$A121,$C$14:$C$1213,"&gt;"&amp;$C121)+(COUNTIFS($A$14:$A$1213,$A121,$C$14:$C$1213,"="&amp;$C121)+1)/2,"")</f>
        <v/>
      </c>
      <c r="W121" s="27">
        <f>IF(ISNUMBER($F121),COUNTIFS($A$14:$A$1213,$A121,$F$14:$F$1213,"&gt;"&amp;$F121)+(COUNTIFS($A$14:$A$1213,$A121,$F$14:$F$1213,"="&amp;$F121)+1)/2,"")</f>
        <v/>
      </c>
      <c r="X121" s="27">
        <f>IF(OR(NOT(ISNUMBER($V121)),$AO121=1),"",$V121-(COUNTIFS($A$14:$A$1213,$A121,$C$14:$C$1213,"&gt;=0")+1)/2)</f>
        <v/>
      </c>
      <c r="Y121" s="27">
        <f>IF(OR(NOT(ISNUMBER($W121)),$AO121=1),"",$W121-(COUNTIFS($A$14:$A$1213,$A121,$F$14:$F$1213,"&gt;=0")+1)/2)</f>
        <v/>
      </c>
      <c r="Z121" s="27">
        <f>IF(ISNUMBER($V121),$A121&amp;"|"&amp;$V121,"")</f>
        <v/>
      </c>
      <c r="AA121" s="27">
        <f>IF(ISNUMBER($W121),$A121&amp;"|"&amp;$W121,"")</f>
        <v/>
      </c>
      <c r="AB121" s="27">
        <f>IF(ISNUMBER($F121),$A121&amp;"|"&amp;$F121,"")</f>
        <v/>
      </c>
      <c r="AC121" s="27">
        <f>IF(ISNUMBER($P121),COUNTIFS($A$14:$A$1213,$A121,$P$14:$P$1213,"&gt;"&amp;$P121)+(COUNTIFS($A$14:$A$1213,$A121,$P$14:$P$1213,"="&amp;$P121)+1)/2,"")</f>
        <v/>
      </c>
      <c r="AD121" s="27">
        <f>IF(ISNUMBER($Q121),COUNTIFS($A$14:$A$1213,$A121,$Q$14:$Q$1213,"&gt;"&amp;$Q121)+(COUNTIFS($A$14:$A$1213,$A121,$Q$14:$Q$1213,"="&amp;$Q121)+1)/2,"")</f>
        <v/>
      </c>
      <c r="AE121" s="27">
        <f>IF(ISNUMBER($R121),COUNTIFS($A$14:$A$1213,$A121,$R$14:$R$1213,"&gt;"&amp;$R121)+(COUNTIFS($A$14:$A$1213,$A121,$R$14:$R$1213,"="&amp;$R121)+1)/2,"")</f>
        <v/>
      </c>
      <c r="AF121" s="27">
        <f>IF(ISNUMBER($S121),COUNTIFS($A$14:$A$1213,$A121,$S$14:$S$1213,"&gt;"&amp;$S121)+(COUNTIFS($A$14:$A$1213,$A121,$S$14:$S$1213,"="&amp;$S121)+1)/2,"")</f>
        <v/>
      </c>
      <c r="AG121" s="27">
        <f>IF(ISNUMBER($T121),COUNTIFS($A$14:$A$1213,$A121,$T$14:$T$1213,"&gt;"&amp;$T121)+(COUNTIFS($A$14:$A$1213,$A121,$T$14:$T$1213,"="&amp;$T121)+1)/2,"")</f>
        <v/>
      </c>
      <c r="AH121" s="27">
        <f>IF(COUNT($AC121:$AG121)&lt;2,"",IF(MAX($AC121:$AG121)=MIN($AC121:$AG121),0,1))</f>
        <v/>
      </c>
      <c r="AI121" s="27">
        <f>IF($A121="","",IF(COUNTIF($A$14:$A121,$A121)=1,COUNTIF($AI$13:AI120,"&gt;0")+1,""))</f>
        <v/>
      </c>
      <c r="AJ121" s="27">
        <f>IF(OR($H121="",COUNTIFS($A$14:$A$1213,$H121,$F$14:$F$1213,"&gt;=0")&lt;2,COUNTIFS($A$14:$A$1213,$H121,$F$14:$F$1213,_xlfn.MAXIFS($F$14:$F$1213,$A$14:$A$1213,$H121))&gt;1),"",IFERROR(INDEX($D$14:$D$1213,MATCH($H121&amp;"|"&amp;_xlfn.MAXIFS($F$14:$F$1213,$A$14:$A$1213,$H121),$AB$14:$AB$1213,0)),""))</f>
        <v/>
      </c>
      <c r="AK121" s="27">
        <f>IF(OR($H121="",COUNTIFS($A$14:$A$1213,$H121,$F$14:$F$1213,"&gt;=0")&lt;2,COUNTIFS($A$14:$A$1213,$H121,$F$14:$F$1213,_xlfn.MAXIFS($F$14:$F$1213,$A$14:$A$1213,$H121))&gt;1),"",IFERROR(INDEX($E$14:$E$1213,MATCH($H121&amp;"|"&amp;_xlfn.MAXIFS($F$14:$F$1213,$A$14:$A$1213,$H121),$AB$14:$AB$1213,0)),""))</f>
        <v/>
      </c>
      <c r="AL121" s="27">
        <f>IF(OR($H121="",COUNTIFS($A$14:$A$1213,$H121,$F$14:$F$1213,"&gt;=0")&lt;2,COUNTIFS($A$14:$A$1213,$H121,$F$14:$F$1213,_xlfn.MAXIFS($F$14:$F$1213,$A$14:$A$1213,$H121))&gt;1),"",IFERROR(INDEX($D$14:$D$1213,MATCH($H121&amp;"|"&amp;_xlfn.MAXIFS($F$14:$F$1213,$A$14:$A$1213,$H121,$F$14:$F$1213,"&lt;"&amp;_xlfn.MAXIFS($F$14:$F$1213,$A$14:$A$1213,$H121)),$AB$14:$AB$1213,0)),""))</f>
        <v/>
      </c>
      <c r="AM121" s="27">
        <f>IF(OR($H121="",COUNTIFS($A$14:$A$1213,$H121,$F$14:$F$1213,"&gt;=0")&lt;2,COUNTIFS($A$14:$A$1213,$H121,$F$14:$F$1213,_xlfn.MAXIFS($F$14:$F$1213,$A$14:$A$1213,$H121))&gt;1),"",IFERROR(INDEX($E$14:$E$1213,MATCH($H121&amp;"|"&amp;_xlfn.MAXIFS($F$14:$F$1213,$A$14:$A$1213,$H121,$F$14:$F$1213,"&lt;"&amp;_xlfn.MAXIFS($F$14:$F$1213,$A$14:$A$1213,$H121)),$AB$14:$AB$1213,0)),""))</f>
        <v/>
      </c>
      <c r="AN121" s="27">
        <f>IF(OR(NOT(ISNUMBER($AJ121)),NOT(ISNUMBER($AL121)),$AK121=0,$AM121=0),"",IF(OR((($AJ121+$AL121)/($AK121+$AM121))&lt;=0,(($AJ121+$AL121)/($AK121+$AM121))&gt;=1),"",($AJ121/$AK121-$AL121/$AM121)/SQRT((($AJ121+$AL121)/($AK121+$AM121))*(1-(($AJ121+$AL121)/($AK121+$AM121)))*(1/$AK121+1/$AM121))))</f>
        <v/>
      </c>
      <c r="AO121" s="27">
        <f>IF($A121="","",IF(AND(COUNTIFS($A$14:$A$1213,$A121,$F$14:$F$1213,"&gt;=0")=2,IFERROR(INDEX($M$14:$M$313,MATCH($A121,$H$14:$H$313,0)),"Yes")&lt;&gt;"Yes"),1,0))</f>
        <v/>
      </c>
    </row>
    <row r="122" ht="24" customHeight="1">
      <c r="A122" s="19" t="n"/>
      <c r="B122" s="20" t="n"/>
      <c r="C122" s="21">
        <f>IFERROR(AVERAGE(P122:T122),"")</f>
        <v/>
      </c>
      <c r="D122" s="29" t="n"/>
      <c r="E122" s="29" t="n"/>
      <c r="F122" s="30">
        <f>IF(AND(ISNUMBER($D122),ISNUMBER($E122),$E122&gt;0,$D122&lt;=$E122),$D122/$E122,"")</f>
        <v/>
      </c>
      <c r="H122" s="19">
        <f>IFERROR(INDEX($A$14:$A$1213,MATCH(109,$AI$14:$AI$1213,0)),"")</f>
        <v/>
      </c>
      <c r="I122" s="24">
        <f>IF($H122="","",IF(COUNTIFS($A$14:$A$1213,$H122,$C$14:$C$1213,"&gt;=0")=0,"—",IFERROR(INDEX($B$14:$B$1213,MATCH($H122&amp;"|1",$Z$14:$Z$1213,0)),"(tied)")))</f>
        <v/>
      </c>
      <c r="J122" s="25">
        <f>IF($H122="","",IF(OR(COUNTIFS($A$14:$A$1213,$H122,$C$14:$C$1213,"&gt;=0")=0,COUNTIFS($A$14:$A$1213,$H122,$F$14:$F$1213,"&gt;=0")=0),"—",IF(OR(ISERROR(MATCH($H122&amp;"|1",$Z$14:$Z$1213,0)),ISERROR(MATCH($H122&amp;"|1",$AA$14:$AA$1213,0))),"Tie",IF(MATCH($H122&amp;"|1",$Z$14:$Z$1213,0)=MATCH($H122&amp;"|1",$AA$14:$AA$1213,0),"Hit","Miss"))))</f>
        <v/>
      </c>
      <c r="K122" s="24">
        <f>IF($H122="","",IF(COUNTIFS($A$14:$A$1213,$H122,$F$14:$F$1213,"&gt;=0")=0,"—",IFERROR(INDEX($B$14:$B$1213,MATCH($H122&amp;"|1",$AA$14:$AA$1213,0)),"(tied)")))</f>
        <v/>
      </c>
      <c r="L122" s="25">
        <f>IF($H122="","",IF((--(COUNTIFS($A$14:$A$1213,$H122,$P$14:$P$1213,"&gt;=0")&gt;0)+--(COUNTIFS($A$14:$A$1213,$H122,$Q$14:$Q$1213,"&gt;=0")&gt;0)+--(COUNTIFS($A$14:$A$1213,$H122,$R$14:$R$1213,"&gt;=0")&gt;0)+--(COUNTIFS($A$14:$A$1213,$H122,$S$14:$S$1213,"&gt;=0")&gt;0)+--(COUNTIFS($A$14:$A$1213,$H122,$T$14:$T$1213,"&gt;=0")&gt;0))&lt;2,"—",IF(SUMIFS($AH$14:$AH$1213,$A$14:$A$1213,$H122)=0,"Yes","No")))</f>
        <v/>
      </c>
      <c r="M122" s="25">
        <f>IF($H122="","",IF(COUNTIFS($A$14:$A$1213,$H122,$F$14:$F$1213,"&gt;=0")&lt;2,"—",IF(COUNTIFS($A$14:$A$1213,$H122,$F$14:$F$1213,_xlfn.MAXIFS($F$14:$F$1213,$A$14:$A$1213,$H122))&gt;1,"No",IF(NOT(ISNUMBER($AN122)),"—",IF((2*(1-NORMSDIST(ABS($AN122))))&lt;0.05,"Yes","No")))))</f>
        <v/>
      </c>
      <c r="N122" s="21">
        <f>IF($H122="","",IF(NOT(ISNUMBER($AN122)),"—",IF((2*(1-NORMSDIST(ABS($AN122))))&lt;0.001,"&lt;0.001",TEXT((2*(1-NORMSDIST(ABS($AN122)))),"0.000"))))</f>
        <v/>
      </c>
      <c r="P122" s="26" t="n"/>
      <c r="Q122" s="26" t="n"/>
      <c r="R122" s="26" t="n"/>
      <c r="S122" s="26" t="n"/>
      <c r="T122" s="26" t="n"/>
      <c r="V122" s="27">
        <f>IF(ISNUMBER($C122),COUNTIFS($A$14:$A$1213,$A122,$C$14:$C$1213,"&gt;"&amp;$C122)+(COUNTIFS($A$14:$A$1213,$A122,$C$14:$C$1213,"="&amp;$C122)+1)/2,"")</f>
        <v/>
      </c>
      <c r="W122" s="27">
        <f>IF(ISNUMBER($F122),COUNTIFS($A$14:$A$1213,$A122,$F$14:$F$1213,"&gt;"&amp;$F122)+(COUNTIFS($A$14:$A$1213,$A122,$F$14:$F$1213,"="&amp;$F122)+1)/2,"")</f>
        <v/>
      </c>
      <c r="X122" s="27">
        <f>IF(OR(NOT(ISNUMBER($V122)),$AO122=1),"",$V122-(COUNTIFS($A$14:$A$1213,$A122,$C$14:$C$1213,"&gt;=0")+1)/2)</f>
        <v/>
      </c>
      <c r="Y122" s="27">
        <f>IF(OR(NOT(ISNUMBER($W122)),$AO122=1),"",$W122-(COUNTIFS($A$14:$A$1213,$A122,$F$14:$F$1213,"&gt;=0")+1)/2)</f>
        <v/>
      </c>
      <c r="Z122" s="27">
        <f>IF(ISNUMBER($V122),$A122&amp;"|"&amp;$V122,"")</f>
        <v/>
      </c>
      <c r="AA122" s="27">
        <f>IF(ISNUMBER($W122),$A122&amp;"|"&amp;$W122,"")</f>
        <v/>
      </c>
      <c r="AB122" s="27">
        <f>IF(ISNUMBER($F122),$A122&amp;"|"&amp;$F122,"")</f>
        <v/>
      </c>
      <c r="AC122" s="27">
        <f>IF(ISNUMBER($P122),COUNTIFS($A$14:$A$1213,$A122,$P$14:$P$1213,"&gt;"&amp;$P122)+(COUNTIFS($A$14:$A$1213,$A122,$P$14:$P$1213,"="&amp;$P122)+1)/2,"")</f>
        <v/>
      </c>
      <c r="AD122" s="27">
        <f>IF(ISNUMBER($Q122),COUNTIFS($A$14:$A$1213,$A122,$Q$14:$Q$1213,"&gt;"&amp;$Q122)+(COUNTIFS($A$14:$A$1213,$A122,$Q$14:$Q$1213,"="&amp;$Q122)+1)/2,"")</f>
        <v/>
      </c>
      <c r="AE122" s="27">
        <f>IF(ISNUMBER($R122),COUNTIFS($A$14:$A$1213,$A122,$R$14:$R$1213,"&gt;"&amp;$R122)+(COUNTIFS($A$14:$A$1213,$A122,$R$14:$R$1213,"="&amp;$R122)+1)/2,"")</f>
        <v/>
      </c>
      <c r="AF122" s="27">
        <f>IF(ISNUMBER($S122),COUNTIFS($A$14:$A$1213,$A122,$S$14:$S$1213,"&gt;"&amp;$S122)+(COUNTIFS($A$14:$A$1213,$A122,$S$14:$S$1213,"="&amp;$S122)+1)/2,"")</f>
        <v/>
      </c>
      <c r="AG122" s="27">
        <f>IF(ISNUMBER($T122),COUNTIFS($A$14:$A$1213,$A122,$T$14:$T$1213,"&gt;"&amp;$T122)+(COUNTIFS($A$14:$A$1213,$A122,$T$14:$T$1213,"="&amp;$T122)+1)/2,"")</f>
        <v/>
      </c>
      <c r="AH122" s="27">
        <f>IF(COUNT($AC122:$AG122)&lt;2,"",IF(MAX($AC122:$AG122)=MIN($AC122:$AG122),0,1))</f>
        <v/>
      </c>
      <c r="AI122" s="27">
        <f>IF($A122="","",IF(COUNTIF($A$14:$A122,$A122)=1,COUNTIF($AI$13:AI121,"&gt;0")+1,""))</f>
        <v/>
      </c>
      <c r="AJ122" s="27">
        <f>IF(OR($H122="",COUNTIFS($A$14:$A$1213,$H122,$F$14:$F$1213,"&gt;=0")&lt;2,COUNTIFS($A$14:$A$1213,$H122,$F$14:$F$1213,_xlfn.MAXIFS($F$14:$F$1213,$A$14:$A$1213,$H122))&gt;1),"",IFERROR(INDEX($D$14:$D$1213,MATCH($H122&amp;"|"&amp;_xlfn.MAXIFS($F$14:$F$1213,$A$14:$A$1213,$H122),$AB$14:$AB$1213,0)),""))</f>
        <v/>
      </c>
      <c r="AK122" s="27">
        <f>IF(OR($H122="",COUNTIFS($A$14:$A$1213,$H122,$F$14:$F$1213,"&gt;=0")&lt;2,COUNTIFS($A$14:$A$1213,$H122,$F$14:$F$1213,_xlfn.MAXIFS($F$14:$F$1213,$A$14:$A$1213,$H122))&gt;1),"",IFERROR(INDEX($E$14:$E$1213,MATCH($H122&amp;"|"&amp;_xlfn.MAXIFS($F$14:$F$1213,$A$14:$A$1213,$H122),$AB$14:$AB$1213,0)),""))</f>
        <v/>
      </c>
      <c r="AL122" s="27">
        <f>IF(OR($H122="",COUNTIFS($A$14:$A$1213,$H122,$F$14:$F$1213,"&gt;=0")&lt;2,COUNTIFS($A$14:$A$1213,$H122,$F$14:$F$1213,_xlfn.MAXIFS($F$14:$F$1213,$A$14:$A$1213,$H122))&gt;1),"",IFERROR(INDEX($D$14:$D$1213,MATCH($H122&amp;"|"&amp;_xlfn.MAXIFS($F$14:$F$1213,$A$14:$A$1213,$H122,$F$14:$F$1213,"&lt;"&amp;_xlfn.MAXIFS($F$14:$F$1213,$A$14:$A$1213,$H122)),$AB$14:$AB$1213,0)),""))</f>
        <v/>
      </c>
      <c r="AM122" s="27">
        <f>IF(OR($H122="",COUNTIFS($A$14:$A$1213,$H122,$F$14:$F$1213,"&gt;=0")&lt;2,COUNTIFS($A$14:$A$1213,$H122,$F$14:$F$1213,_xlfn.MAXIFS($F$14:$F$1213,$A$14:$A$1213,$H122))&gt;1),"",IFERROR(INDEX($E$14:$E$1213,MATCH($H122&amp;"|"&amp;_xlfn.MAXIFS($F$14:$F$1213,$A$14:$A$1213,$H122,$F$14:$F$1213,"&lt;"&amp;_xlfn.MAXIFS($F$14:$F$1213,$A$14:$A$1213,$H122)),$AB$14:$AB$1213,0)),""))</f>
        <v/>
      </c>
      <c r="AN122" s="27">
        <f>IF(OR(NOT(ISNUMBER($AJ122)),NOT(ISNUMBER($AL122)),$AK122=0,$AM122=0),"",IF(OR((($AJ122+$AL122)/($AK122+$AM122))&lt;=0,(($AJ122+$AL122)/($AK122+$AM122))&gt;=1),"",($AJ122/$AK122-$AL122/$AM122)/SQRT((($AJ122+$AL122)/($AK122+$AM122))*(1-(($AJ122+$AL122)/($AK122+$AM122)))*(1/$AK122+1/$AM122))))</f>
        <v/>
      </c>
      <c r="AO122" s="27">
        <f>IF($A122="","",IF(AND(COUNTIFS($A$14:$A$1213,$A122,$F$14:$F$1213,"&gt;=0")=2,IFERROR(INDEX($M$14:$M$313,MATCH($A122,$H$14:$H$313,0)),"Yes")&lt;&gt;"Yes"),1,0))</f>
        <v/>
      </c>
    </row>
    <row r="123" ht="24" customHeight="1">
      <c r="A123" s="19" t="n"/>
      <c r="B123" s="20" t="n"/>
      <c r="C123" s="21">
        <f>IFERROR(AVERAGE(P123:T123),"")</f>
        <v/>
      </c>
      <c r="D123" s="29" t="n"/>
      <c r="E123" s="29" t="n"/>
      <c r="F123" s="30">
        <f>IF(AND(ISNUMBER($D123),ISNUMBER($E123),$E123&gt;0,$D123&lt;=$E123),$D123/$E123,"")</f>
        <v/>
      </c>
      <c r="H123" s="19">
        <f>IFERROR(INDEX($A$14:$A$1213,MATCH(110,$AI$14:$AI$1213,0)),"")</f>
        <v/>
      </c>
      <c r="I123" s="24">
        <f>IF($H123="","",IF(COUNTIFS($A$14:$A$1213,$H123,$C$14:$C$1213,"&gt;=0")=0,"—",IFERROR(INDEX($B$14:$B$1213,MATCH($H123&amp;"|1",$Z$14:$Z$1213,0)),"(tied)")))</f>
        <v/>
      </c>
      <c r="J123" s="25">
        <f>IF($H123="","",IF(OR(COUNTIFS($A$14:$A$1213,$H123,$C$14:$C$1213,"&gt;=0")=0,COUNTIFS($A$14:$A$1213,$H123,$F$14:$F$1213,"&gt;=0")=0),"—",IF(OR(ISERROR(MATCH($H123&amp;"|1",$Z$14:$Z$1213,0)),ISERROR(MATCH($H123&amp;"|1",$AA$14:$AA$1213,0))),"Tie",IF(MATCH($H123&amp;"|1",$Z$14:$Z$1213,0)=MATCH($H123&amp;"|1",$AA$14:$AA$1213,0),"Hit","Miss"))))</f>
        <v/>
      </c>
      <c r="K123" s="24">
        <f>IF($H123="","",IF(COUNTIFS($A$14:$A$1213,$H123,$F$14:$F$1213,"&gt;=0")=0,"—",IFERROR(INDEX($B$14:$B$1213,MATCH($H123&amp;"|1",$AA$14:$AA$1213,0)),"(tied)")))</f>
        <v/>
      </c>
      <c r="L123" s="25">
        <f>IF($H123="","",IF((--(COUNTIFS($A$14:$A$1213,$H123,$P$14:$P$1213,"&gt;=0")&gt;0)+--(COUNTIFS($A$14:$A$1213,$H123,$Q$14:$Q$1213,"&gt;=0")&gt;0)+--(COUNTIFS($A$14:$A$1213,$H123,$R$14:$R$1213,"&gt;=0")&gt;0)+--(COUNTIFS($A$14:$A$1213,$H123,$S$14:$S$1213,"&gt;=0")&gt;0)+--(COUNTIFS($A$14:$A$1213,$H123,$T$14:$T$1213,"&gt;=0")&gt;0))&lt;2,"—",IF(SUMIFS($AH$14:$AH$1213,$A$14:$A$1213,$H123)=0,"Yes","No")))</f>
        <v/>
      </c>
      <c r="M123" s="25">
        <f>IF($H123="","",IF(COUNTIFS($A$14:$A$1213,$H123,$F$14:$F$1213,"&gt;=0")&lt;2,"—",IF(COUNTIFS($A$14:$A$1213,$H123,$F$14:$F$1213,_xlfn.MAXIFS($F$14:$F$1213,$A$14:$A$1213,$H123))&gt;1,"No",IF(NOT(ISNUMBER($AN123)),"—",IF((2*(1-NORMSDIST(ABS($AN123))))&lt;0.05,"Yes","No")))))</f>
        <v/>
      </c>
      <c r="N123" s="21">
        <f>IF($H123="","",IF(NOT(ISNUMBER($AN123)),"—",IF((2*(1-NORMSDIST(ABS($AN123))))&lt;0.001,"&lt;0.001",TEXT((2*(1-NORMSDIST(ABS($AN123)))),"0.000"))))</f>
        <v/>
      </c>
      <c r="P123" s="26" t="n"/>
      <c r="Q123" s="26" t="n"/>
      <c r="R123" s="26" t="n"/>
      <c r="S123" s="26" t="n"/>
      <c r="T123" s="26" t="n"/>
      <c r="V123" s="27">
        <f>IF(ISNUMBER($C123),COUNTIFS($A$14:$A$1213,$A123,$C$14:$C$1213,"&gt;"&amp;$C123)+(COUNTIFS($A$14:$A$1213,$A123,$C$14:$C$1213,"="&amp;$C123)+1)/2,"")</f>
        <v/>
      </c>
      <c r="W123" s="27">
        <f>IF(ISNUMBER($F123),COUNTIFS($A$14:$A$1213,$A123,$F$14:$F$1213,"&gt;"&amp;$F123)+(COUNTIFS($A$14:$A$1213,$A123,$F$14:$F$1213,"="&amp;$F123)+1)/2,"")</f>
        <v/>
      </c>
      <c r="X123" s="27">
        <f>IF(OR(NOT(ISNUMBER($V123)),$AO123=1),"",$V123-(COUNTIFS($A$14:$A$1213,$A123,$C$14:$C$1213,"&gt;=0")+1)/2)</f>
        <v/>
      </c>
      <c r="Y123" s="27">
        <f>IF(OR(NOT(ISNUMBER($W123)),$AO123=1),"",$W123-(COUNTIFS($A$14:$A$1213,$A123,$F$14:$F$1213,"&gt;=0")+1)/2)</f>
        <v/>
      </c>
      <c r="Z123" s="27">
        <f>IF(ISNUMBER($V123),$A123&amp;"|"&amp;$V123,"")</f>
        <v/>
      </c>
      <c r="AA123" s="27">
        <f>IF(ISNUMBER($W123),$A123&amp;"|"&amp;$W123,"")</f>
        <v/>
      </c>
      <c r="AB123" s="27">
        <f>IF(ISNUMBER($F123),$A123&amp;"|"&amp;$F123,"")</f>
        <v/>
      </c>
      <c r="AC123" s="27">
        <f>IF(ISNUMBER($P123),COUNTIFS($A$14:$A$1213,$A123,$P$14:$P$1213,"&gt;"&amp;$P123)+(COUNTIFS($A$14:$A$1213,$A123,$P$14:$P$1213,"="&amp;$P123)+1)/2,"")</f>
        <v/>
      </c>
      <c r="AD123" s="27">
        <f>IF(ISNUMBER($Q123),COUNTIFS($A$14:$A$1213,$A123,$Q$14:$Q$1213,"&gt;"&amp;$Q123)+(COUNTIFS($A$14:$A$1213,$A123,$Q$14:$Q$1213,"="&amp;$Q123)+1)/2,"")</f>
        <v/>
      </c>
      <c r="AE123" s="27">
        <f>IF(ISNUMBER($R123),COUNTIFS($A$14:$A$1213,$A123,$R$14:$R$1213,"&gt;"&amp;$R123)+(COUNTIFS($A$14:$A$1213,$A123,$R$14:$R$1213,"="&amp;$R123)+1)/2,"")</f>
        <v/>
      </c>
      <c r="AF123" s="27">
        <f>IF(ISNUMBER($S123),COUNTIFS($A$14:$A$1213,$A123,$S$14:$S$1213,"&gt;"&amp;$S123)+(COUNTIFS($A$14:$A$1213,$A123,$S$14:$S$1213,"="&amp;$S123)+1)/2,"")</f>
        <v/>
      </c>
      <c r="AG123" s="27">
        <f>IF(ISNUMBER($T123),COUNTIFS($A$14:$A$1213,$A123,$T$14:$T$1213,"&gt;"&amp;$T123)+(COUNTIFS($A$14:$A$1213,$A123,$T$14:$T$1213,"="&amp;$T123)+1)/2,"")</f>
        <v/>
      </c>
      <c r="AH123" s="27">
        <f>IF(COUNT($AC123:$AG123)&lt;2,"",IF(MAX($AC123:$AG123)=MIN($AC123:$AG123),0,1))</f>
        <v/>
      </c>
      <c r="AI123" s="27">
        <f>IF($A123="","",IF(COUNTIF($A$14:$A123,$A123)=1,COUNTIF($AI$13:AI122,"&gt;0")+1,""))</f>
        <v/>
      </c>
      <c r="AJ123" s="27">
        <f>IF(OR($H123="",COUNTIFS($A$14:$A$1213,$H123,$F$14:$F$1213,"&gt;=0")&lt;2,COUNTIFS($A$14:$A$1213,$H123,$F$14:$F$1213,_xlfn.MAXIFS($F$14:$F$1213,$A$14:$A$1213,$H123))&gt;1),"",IFERROR(INDEX($D$14:$D$1213,MATCH($H123&amp;"|"&amp;_xlfn.MAXIFS($F$14:$F$1213,$A$14:$A$1213,$H123),$AB$14:$AB$1213,0)),""))</f>
        <v/>
      </c>
      <c r="AK123" s="27">
        <f>IF(OR($H123="",COUNTIFS($A$14:$A$1213,$H123,$F$14:$F$1213,"&gt;=0")&lt;2,COUNTIFS($A$14:$A$1213,$H123,$F$14:$F$1213,_xlfn.MAXIFS($F$14:$F$1213,$A$14:$A$1213,$H123))&gt;1),"",IFERROR(INDEX($E$14:$E$1213,MATCH($H123&amp;"|"&amp;_xlfn.MAXIFS($F$14:$F$1213,$A$14:$A$1213,$H123),$AB$14:$AB$1213,0)),""))</f>
        <v/>
      </c>
      <c r="AL123" s="27">
        <f>IF(OR($H123="",COUNTIFS($A$14:$A$1213,$H123,$F$14:$F$1213,"&gt;=0")&lt;2,COUNTIFS($A$14:$A$1213,$H123,$F$14:$F$1213,_xlfn.MAXIFS($F$14:$F$1213,$A$14:$A$1213,$H123))&gt;1),"",IFERROR(INDEX($D$14:$D$1213,MATCH($H123&amp;"|"&amp;_xlfn.MAXIFS($F$14:$F$1213,$A$14:$A$1213,$H123,$F$14:$F$1213,"&lt;"&amp;_xlfn.MAXIFS($F$14:$F$1213,$A$14:$A$1213,$H123)),$AB$14:$AB$1213,0)),""))</f>
        <v/>
      </c>
      <c r="AM123" s="27">
        <f>IF(OR($H123="",COUNTIFS($A$14:$A$1213,$H123,$F$14:$F$1213,"&gt;=0")&lt;2,COUNTIFS($A$14:$A$1213,$H123,$F$14:$F$1213,_xlfn.MAXIFS($F$14:$F$1213,$A$14:$A$1213,$H123))&gt;1),"",IFERROR(INDEX($E$14:$E$1213,MATCH($H123&amp;"|"&amp;_xlfn.MAXIFS($F$14:$F$1213,$A$14:$A$1213,$H123,$F$14:$F$1213,"&lt;"&amp;_xlfn.MAXIFS($F$14:$F$1213,$A$14:$A$1213,$H123)),$AB$14:$AB$1213,0)),""))</f>
        <v/>
      </c>
      <c r="AN123" s="27">
        <f>IF(OR(NOT(ISNUMBER($AJ123)),NOT(ISNUMBER($AL123)),$AK123=0,$AM123=0),"",IF(OR((($AJ123+$AL123)/($AK123+$AM123))&lt;=0,(($AJ123+$AL123)/($AK123+$AM123))&gt;=1),"",($AJ123/$AK123-$AL123/$AM123)/SQRT((($AJ123+$AL123)/($AK123+$AM123))*(1-(($AJ123+$AL123)/($AK123+$AM123)))*(1/$AK123+1/$AM123))))</f>
        <v/>
      </c>
      <c r="AO123" s="27">
        <f>IF($A123="","",IF(AND(COUNTIFS($A$14:$A$1213,$A123,$F$14:$F$1213,"&gt;=0")=2,IFERROR(INDEX($M$14:$M$313,MATCH($A123,$H$14:$H$313,0)),"Yes")&lt;&gt;"Yes"),1,0))</f>
        <v/>
      </c>
    </row>
    <row r="124" ht="24" customHeight="1">
      <c r="A124" s="19" t="n"/>
      <c r="B124" s="20" t="n"/>
      <c r="C124" s="21">
        <f>IFERROR(AVERAGE(P124:T124),"")</f>
        <v/>
      </c>
      <c r="D124" s="29" t="n"/>
      <c r="E124" s="29" t="n"/>
      <c r="F124" s="30">
        <f>IF(AND(ISNUMBER($D124),ISNUMBER($E124),$E124&gt;0,$D124&lt;=$E124),$D124/$E124,"")</f>
        <v/>
      </c>
      <c r="H124" s="19">
        <f>IFERROR(INDEX($A$14:$A$1213,MATCH(111,$AI$14:$AI$1213,0)),"")</f>
        <v/>
      </c>
      <c r="I124" s="24">
        <f>IF($H124="","",IF(COUNTIFS($A$14:$A$1213,$H124,$C$14:$C$1213,"&gt;=0")=0,"—",IFERROR(INDEX($B$14:$B$1213,MATCH($H124&amp;"|1",$Z$14:$Z$1213,0)),"(tied)")))</f>
        <v/>
      </c>
      <c r="J124" s="25">
        <f>IF($H124="","",IF(OR(COUNTIFS($A$14:$A$1213,$H124,$C$14:$C$1213,"&gt;=0")=0,COUNTIFS($A$14:$A$1213,$H124,$F$14:$F$1213,"&gt;=0")=0),"—",IF(OR(ISERROR(MATCH($H124&amp;"|1",$Z$14:$Z$1213,0)),ISERROR(MATCH($H124&amp;"|1",$AA$14:$AA$1213,0))),"Tie",IF(MATCH($H124&amp;"|1",$Z$14:$Z$1213,0)=MATCH($H124&amp;"|1",$AA$14:$AA$1213,0),"Hit","Miss"))))</f>
        <v/>
      </c>
      <c r="K124" s="24">
        <f>IF($H124="","",IF(COUNTIFS($A$14:$A$1213,$H124,$F$14:$F$1213,"&gt;=0")=0,"—",IFERROR(INDEX($B$14:$B$1213,MATCH($H124&amp;"|1",$AA$14:$AA$1213,0)),"(tied)")))</f>
        <v/>
      </c>
      <c r="L124" s="25">
        <f>IF($H124="","",IF((--(COUNTIFS($A$14:$A$1213,$H124,$P$14:$P$1213,"&gt;=0")&gt;0)+--(COUNTIFS($A$14:$A$1213,$H124,$Q$14:$Q$1213,"&gt;=0")&gt;0)+--(COUNTIFS($A$14:$A$1213,$H124,$R$14:$R$1213,"&gt;=0")&gt;0)+--(COUNTIFS($A$14:$A$1213,$H124,$S$14:$S$1213,"&gt;=0")&gt;0)+--(COUNTIFS($A$14:$A$1213,$H124,$T$14:$T$1213,"&gt;=0")&gt;0))&lt;2,"—",IF(SUMIFS($AH$14:$AH$1213,$A$14:$A$1213,$H124)=0,"Yes","No")))</f>
        <v/>
      </c>
      <c r="M124" s="25">
        <f>IF($H124="","",IF(COUNTIFS($A$14:$A$1213,$H124,$F$14:$F$1213,"&gt;=0")&lt;2,"—",IF(COUNTIFS($A$14:$A$1213,$H124,$F$14:$F$1213,_xlfn.MAXIFS($F$14:$F$1213,$A$14:$A$1213,$H124))&gt;1,"No",IF(NOT(ISNUMBER($AN124)),"—",IF((2*(1-NORMSDIST(ABS($AN124))))&lt;0.05,"Yes","No")))))</f>
        <v/>
      </c>
      <c r="N124" s="21">
        <f>IF($H124="","",IF(NOT(ISNUMBER($AN124)),"—",IF((2*(1-NORMSDIST(ABS($AN124))))&lt;0.001,"&lt;0.001",TEXT((2*(1-NORMSDIST(ABS($AN124)))),"0.000"))))</f>
        <v/>
      </c>
      <c r="P124" s="26" t="n"/>
      <c r="Q124" s="26" t="n"/>
      <c r="R124" s="26" t="n"/>
      <c r="S124" s="26" t="n"/>
      <c r="T124" s="26" t="n"/>
      <c r="V124" s="27">
        <f>IF(ISNUMBER($C124),COUNTIFS($A$14:$A$1213,$A124,$C$14:$C$1213,"&gt;"&amp;$C124)+(COUNTIFS($A$14:$A$1213,$A124,$C$14:$C$1213,"="&amp;$C124)+1)/2,"")</f>
        <v/>
      </c>
      <c r="W124" s="27">
        <f>IF(ISNUMBER($F124),COUNTIFS($A$14:$A$1213,$A124,$F$14:$F$1213,"&gt;"&amp;$F124)+(COUNTIFS($A$14:$A$1213,$A124,$F$14:$F$1213,"="&amp;$F124)+1)/2,"")</f>
        <v/>
      </c>
      <c r="X124" s="27">
        <f>IF(OR(NOT(ISNUMBER($V124)),$AO124=1),"",$V124-(COUNTIFS($A$14:$A$1213,$A124,$C$14:$C$1213,"&gt;=0")+1)/2)</f>
        <v/>
      </c>
      <c r="Y124" s="27">
        <f>IF(OR(NOT(ISNUMBER($W124)),$AO124=1),"",$W124-(COUNTIFS($A$14:$A$1213,$A124,$F$14:$F$1213,"&gt;=0")+1)/2)</f>
        <v/>
      </c>
      <c r="Z124" s="27">
        <f>IF(ISNUMBER($V124),$A124&amp;"|"&amp;$V124,"")</f>
        <v/>
      </c>
      <c r="AA124" s="27">
        <f>IF(ISNUMBER($W124),$A124&amp;"|"&amp;$W124,"")</f>
        <v/>
      </c>
      <c r="AB124" s="27">
        <f>IF(ISNUMBER($F124),$A124&amp;"|"&amp;$F124,"")</f>
        <v/>
      </c>
      <c r="AC124" s="27">
        <f>IF(ISNUMBER($P124),COUNTIFS($A$14:$A$1213,$A124,$P$14:$P$1213,"&gt;"&amp;$P124)+(COUNTIFS($A$14:$A$1213,$A124,$P$14:$P$1213,"="&amp;$P124)+1)/2,"")</f>
        <v/>
      </c>
      <c r="AD124" s="27">
        <f>IF(ISNUMBER($Q124),COUNTIFS($A$14:$A$1213,$A124,$Q$14:$Q$1213,"&gt;"&amp;$Q124)+(COUNTIFS($A$14:$A$1213,$A124,$Q$14:$Q$1213,"="&amp;$Q124)+1)/2,"")</f>
        <v/>
      </c>
      <c r="AE124" s="27">
        <f>IF(ISNUMBER($R124),COUNTIFS($A$14:$A$1213,$A124,$R$14:$R$1213,"&gt;"&amp;$R124)+(COUNTIFS($A$14:$A$1213,$A124,$R$14:$R$1213,"="&amp;$R124)+1)/2,"")</f>
        <v/>
      </c>
      <c r="AF124" s="27">
        <f>IF(ISNUMBER($S124),COUNTIFS($A$14:$A$1213,$A124,$S$14:$S$1213,"&gt;"&amp;$S124)+(COUNTIFS($A$14:$A$1213,$A124,$S$14:$S$1213,"="&amp;$S124)+1)/2,"")</f>
        <v/>
      </c>
      <c r="AG124" s="27">
        <f>IF(ISNUMBER($T124),COUNTIFS($A$14:$A$1213,$A124,$T$14:$T$1213,"&gt;"&amp;$T124)+(COUNTIFS($A$14:$A$1213,$A124,$T$14:$T$1213,"="&amp;$T124)+1)/2,"")</f>
        <v/>
      </c>
      <c r="AH124" s="27">
        <f>IF(COUNT($AC124:$AG124)&lt;2,"",IF(MAX($AC124:$AG124)=MIN($AC124:$AG124),0,1))</f>
        <v/>
      </c>
      <c r="AI124" s="27">
        <f>IF($A124="","",IF(COUNTIF($A$14:$A124,$A124)=1,COUNTIF($AI$13:AI123,"&gt;0")+1,""))</f>
        <v/>
      </c>
      <c r="AJ124" s="27">
        <f>IF(OR($H124="",COUNTIFS($A$14:$A$1213,$H124,$F$14:$F$1213,"&gt;=0")&lt;2,COUNTIFS($A$14:$A$1213,$H124,$F$14:$F$1213,_xlfn.MAXIFS($F$14:$F$1213,$A$14:$A$1213,$H124))&gt;1),"",IFERROR(INDEX($D$14:$D$1213,MATCH($H124&amp;"|"&amp;_xlfn.MAXIFS($F$14:$F$1213,$A$14:$A$1213,$H124),$AB$14:$AB$1213,0)),""))</f>
        <v/>
      </c>
      <c r="AK124" s="27">
        <f>IF(OR($H124="",COUNTIFS($A$14:$A$1213,$H124,$F$14:$F$1213,"&gt;=0")&lt;2,COUNTIFS($A$14:$A$1213,$H124,$F$14:$F$1213,_xlfn.MAXIFS($F$14:$F$1213,$A$14:$A$1213,$H124))&gt;1),"",IFERROR(INDEX($E$14:$E$1213,MATCH($H124&amp;"|"&amp;_xlfn.MAXIFS($F$14:$F$1213,$A$14:$A$1213,$H124),$AB$14:$AB$1213,0)),""))</f>
        <v/>
      </c>
      <c r="AL124" s="27">
        <f>IF(OR($H124="",COUNTIFS($A$14:$A$1213,$H124,$F$14:$F$1213,"&gt;=0")&lt;2,COUNTIFS($A$14:$A$1213,$H124,$F$14:$F$1213,_xlfn.MAXIFS($F$14:$F$1213,$A$14:$A$1213,$H124))&gt;1),"",IFERROR(INDEX($D$14:$D$1213,MATCH($H124&amp;"|"&amp;_xlfn.MAXIFS($F$14:$F$1213,$A$14:$A$1213,$H124,$F$14:$F$1213,"&lt;"&amp;_xlfn.MAXIFS($F$14:$F$1213,$A$14:$A$1213,$H124)),$AB$14:$AB$1213,0)),""))</f>
        <v/>
      </c>
      <c r="AM124" s="27">
        <f>IF(OR($H124="",COUNTIFS($A$14:$A$1213,$H124,$F$14:$F$1213,"&gt;=0")&lt;2,COUNTIFS($A$14:$A$1213,$H124,$F$14:$F$1213,_xlfn.MAXIFS($F$14:$F$1213,$A$14:$A$1213,$H124))&gt;1),"",IFERROR(INDEX($E$14:$E$1213,MATCH($H124&amp;"|"&amp;_xlfn.MAXIFS($F$14:$F$1213,$A$14:$A$1213,$H124,$F$14:$F$1213,"&lt;"&amp;_xlfn.MAXIFS($F$14:$F$1213,$A$14:$A$1213,$H124)),$AB$14:$AB$1213,0)),""))</f>
        <v/>
      </c>
      <c r="AN124" s="27">
        <f>IF(OR(NOT(ISNUMBER($AJ124)),NOT(ISNUMBER($AL124)),$AK124=0,$AM124=0),"",IF(OR((($AJ124+$AL124)/($AK124+$AM124))&lt;=0,(($AJ124+$AL124)/($AK124+$AM124))&gt;=1),"",($AJ124/$AK124-$AL124/$AM124)/SQRT((($AJ124+$AL124)/($AK124+$AM124))*(1-(($AJ124+$AL124)/($AK124+$AM124)))*(1/$AK124+1/$AM124))))</f>
        <v/>
      </c>
      <c r="AO124" s="27">
        <f>IF($A124="","",IF(AND(COUNTIFS($A$14:$A$1213,$A124,$F$14:$F$1213,"&gt;=0")=2,IFERROR(INDEX($M$14:$M$313,MATCH($A124,$H$14:$H$313,0)),"Yes")&lt;&gt;"Yes"),1,0))</f>
        <v/>
      </c>
    </row>
    <row r="125" ht="24" customHeight="1">
      <c r="A125" s="19" t="n"/>
      <c r="B125" s="20" t="n"/>
      <c r="C125" s="21">
        <f>IFERROR(AVERAGE(P125:T125),"")</f>
        <v/>
      </c>
      <c r="D125" s="29" t="n"/>
      <c r="E125" s="29" t="n"/>
      <c r="F125" s="30">
        <f>IF(AND(ISNUMBER($D125),ISNUMBER($E125),$E125&gt;0,$D125&lt;=$E125),$D125/$E125,"")</f>
        <v/>
      </c>
      <c r="H125" s="19">
        <f>IFERROR(INDEX($A$14:$A$1213,MATCH(112,$AI$14:$AI$1213,0)),"")</f>
        <v/>
      </c>
      <c r="I125" s="24">
        <f>IF($H125="","",IF(COUNTIFS($A$14:$A$1213,$H125,$C$14:$C$1213,"&gt;=0")=0,"—",IFERROR(INDEX($B$14:$B$1213,MATCH($H125&amp;"|1",$Z$14:$Z$1213,0)),"(tied)")))</f>
        <v/>
      </c>
      <c r="J125" s="25">
        <f>IF($H125="","",IF(OR(COUNTIFS($A$14:$A$1213,$H125,$C$14:$C$1213,"&gt;=0")=0,COUNTIFS($A$14:$A$1213,$H125,$F$14:$F$1213,"&gt;=0")=0),"—",IF(OR(ISERROR(MATCH($H125&amp;"|1",$Z$14:$Z$1213,0)),ISERROR(MATCH($H125&amp;"|1",$AA$14:$AA$1213,0))),"Tie",IF(MATCH($H125&amp;"|1",$Z$14:$Z$1213,0)=MATCH($H125&amp;"|1",$AA$14:$AA$1213,0),"Hit","Miss"))))</f>
        <v/>
      </c>
      <c r="K125" s="24">
        <f>IF($H125="","",IF(COUNTIFS($A$14:$A$1213,$H125,$F$14:$F$1213,"&gt;=0")=0,"—",IFERROR(INDEX($B$14:$B$1213,MATCH($H125&amp;"|1",$AA$14:$AA$1213,0)),"(tied)")))</f>
        <v/>
      </c>
      <c r="L125" s="25">
        <f>IF($H125="","",IF((--(COUNTIFS($A$14:$A$1213,$H125,$P$14:$P$1213,"&gt;=0")&gt;0)+--(COUNTIFS($A$14:$A$1213,$H125,$Q$14:$Q$1213,"&gt;=0")&gt;0)+--(COUNTIFS($A$14:$A$1213,$H125,$R$14:$R$1213,"&gt;=0")&gt;0)+--(COUNTIFS($A$14:$A$1213,$H125,$S$14:$S$1213,"&gt;=0")&gt;0)+--(COUNTIFS($A$14:$A$1213,$H125,$T$14:$T$1213,"&gt;=0")&gt;0))&lt;2,"—",IF(SUMIFS($AH$14:$AH$1213,$A$14:$A$1213,$H125)=0,"Yes","No")))</f>
        <v/>
      </c>
      <c r="M125" s="25">
        <f>IF($H125="","",IF(COUNTIFS($A$14:$A$1213,$H125,$F$14:$F$1213,"&gt;=0")&lt;2,"—",IF(COUNTIFS($A$14:$A$1213,$H125,$F$14:$F$1213,_xlfn.MAXIFS($F$14:$F$1213,$A$14:$A$1213,$H125))&gt;1,"No",IF(NOT(ISNUMBER($AN125)),"—",IF((2*(1-NORMSDIST(ABS($AN125))))&lt;0.05,"Yes","No")))))</f>
        <v/>
      </c>
      <c r="N125" s="21">
        <f>IF($H125="","",IF(NOT(ISNUMBER($AN125)),"—",IF((2*(1-NORMSDIST(ABS($AN125))))&lt;0.001,"&lt;0.001",TEXT((2*(1-NORMSDIST(ABS($AN125)))),"0.000"))))</f>
        <v/>
      </c>
      <c r="P125" s="26" t="n"/>
      <c r="Q125" s="26" t="n"/>
      <c r="R125" s="26" t="n"/>
      <c r="S125" s="26" t="n"/>
      <c r="T125" s="26" t="n"/>
      <c r="V125" s="27">
        <f>IF(ISNUMBER($C125),COUNTIFS($A$14:$A$1213,$A125,$C$14:$C$1213,"&gt;"&amp;$C125)+(COUNTIFS($A$14:$A$1213,$A125,$C$14:$C$1213,"="&amp;$C125)+1)/2,"")</f>
        <v/>
      </c>
      <c r="W125" s="27">
        <f>IF(ISNUMBER($F125),COUNTIFS($A$14:$A$1213,$A125,$F$14:$F$1213,"&gt;"&amp;$F125)+(COUNTIFS($A$14:$A$1213,$A125,$F$14:$F$1213,"="&amp;$F125)+1)/2,"")</f>
        <v/>
      </c>
      <c r="X125" s="27">
        <f>IF(OR(NOT(ISNUMBER($V125)),$AO125=1),"",$V125-(COUNTIFS($A$14:$A$1213,$A125,$C$14:$C$1213,"&gt;=0")+1)/2)</f>
        <v/>
      </c>
      <c r="Y125" s="27">
        <f>IF(OR(NOT(ISNUMBER($W125)),$AO125=1),"",$W125-(COUNTIFS($A$14:$A$1213,$A125,$F$14:$F$1213,"&gt;=0")+1)/2)</f>
        <v/>
      </c>
      <c r="Z125" s="27">
        <f>IF(ISNUMBER($V125),$A125&amp;"|"&amp;$V125,"")</f>
        <v/>
      </c>
      <c r="AA125" s="27">
        <f>IF(ISNUMBER($W125),$A125&amp;"|"&amp;$W125,"")</f>
        <v/>
      </c>
      <c r="AB125" s="27">
        <f>IF(ISNUMBER($F125),$A125&amp;"|"&amp;$F125,"")</f>
        <v/>
      </c>
      <c r="AC125" s="27">
        <f>IF(ISNUMBER($P125),COUNTIFS($A$14:$A$1213,$A125,$P$14:$P$1213,"&gt;"&amp;$P125)+(COUNTIFS($A$14:$A$1213,$A125,$P$14:$P$1213,"="&amp;$P125)+1)/2,"")</f>
        <v/>
      </c>
      <c r="AD125" s="27">
        <f>IF(ISNUMBER($Q125),COUNTIFS($A$14:$A$1213,$A125,$Q$14:$Q$1213,"&gt;"&amp;$Q125)+(COUNTIFS($A$14:$A$1213,$A125,$Q$14:$Q$1213,"="&amp;$Q125)+1)/2,"")</f>
        <v/>
      </c>
      <c r="AE125" s="27">
        <f>IF(ISNUMBER($R125),COUNTIFS($A$14:$A$1213,$A125,$R$14:$R$1213,"&gt;"&amp;$R125)+(COUNTIFS($A$14:$A$1213,$A125,$R$14:$R$1213,"="&amp;$R125)+1)/2,"")</f>
        <v/>
      </c>
      <c r="AF125" s="27">
        <f>IF(ISNUMBER($S125),COUNTIFS($A$14:$A$1213,$A125,$S$14:$S$1213,"&gt;"&amp;$S125)+(COUNTIFS($A$14:$A$1213,$A125,$S$14:$S$1213,"="&amp;$S125)+1)/2,"")</f>
        <v/>
      </c>
      <c r="AG125" s="27">
        <f>IF(ISNUMBER($T125),COUNTIFS($A$14:$A$1213,$A125,$T$14:$T$1213,"&gt;"&amp;$T125)+(COUNTIFS($A$14:$A$1213,$A125,$T$14:$T$1213,"="&amp;$T125)+1)/2,"")</f>
        <v/>
      </c>
      <c r="AH125" s="27">
        <f>IF(COUNT($AC125:$AG125)&lt;2,"",IF(MAX($AC125:$AG125)=MIN($AC125:$AG125),0,1))</f>
        <v/>
      </c>
      <c r="AI125" s="27">
        <f>IF($A125="","",IF(COUNTIF($A$14:$A125,$A125)=1,COUNTIF($AI$13:AI124,"&gt;0")+1,""))</f>
        <v/>
      </c>
      <c r="AJ125" s="27">
        <f>IF(OR($H125="",COUNTIFS($A$14:$A$1213,$H125,$F$14:$F$1213,"&gt;=0")&lt;2,COUNTIFS($A$14:$A$1213,$H125,$F$14:$F$1213,_xlfn.MAXIFS($F$14:$F$1213,$A$14:$A$1213,$H125))&gt;1),"",IFERROR(INDEX($D$14:$D$1213,MATCH($H125&amp;"|"&amp;_xlfn.MAXIFS($F$14:$F$1213,$A$14:$A$1213,$H125),$AB$14:$AB$1213,0)),""))</f>
        <v/>
      </c>
      <c r="AK125" s="27">
        <f>IF(OR($H125="",COUNTIFS($A$14:$A$1213,$H125,$F$14:$F$1213,"&gt;=0")&lt;2,COUNTIFS($A$14:$A$1213,$H125,$F$14:$F$1213,_xlfn.MAXIFS($F$14:$F$1213,$A$14:$A$1213,$H125))&gt;1),"",IFERROR(INDEX($E$14:$E$1213,MATCH($H125&amp;"|"&amp;_xlfn.MAXIFS($F$14:$F$1213,$A$14:$A$1213,$H125),$AB$14:$AB$1213,0)),""))</f>
        <v/>
      </c>
      <c r="AL125" s="27">
        <f>IF(OR($H125="",COUNTIFS($A$14:$A$1213,$H125,$F$14:$F$1213,"&gt;=0")&lt;2,COUNTIFS($A$14:$A$1213,$H125,$F$14:$F$1213,_xlfn.MAXIFS($F$14:$F$1213,$A$14:$A$1213,$H125))&gt;1),"",IFERROR(INDEX($D$14:$D$1213,MATCH($H125&amp;"|"&amp;_xlfn.MAXIFS($F$14:$F$1213,$A$14:$A$1213,$H125,$F$14:$F$1213,"&lt;"&amp;_xlfn.MAXIFS($F$14:$F$1213,$A$14:$A$1213,$H125)),$AB$14:$AB$1213,0)),""))</f>
        <v/>
      </c>
      <c r="AM125" s="27">
        <f>IF(OR($H125="",COUNTIFS($A$14:$A$1213,$H125,$F$14:$F$1213,"&gt;=0")&lt;2,COUNTIFS($A$14:$A$1213,$H125,$F$14:$F$1213,_xlfn.MAXIFS($F$14:$F$1213,$A$14:$A$1213,$H125))&gt;1),"",IFERROR(INDEX($E$14:$E$1213,MATCH($H125&amp;"|"&amp;_xlfn.MAXIFS($F$14:$F$1213,$A$14:$A$1213,$H125,$F$14:$F$1213,"&lt;"&amp;_xlfn.MAXIFS($F$14:$F$1213,$A$14:$A$1213,$H125)),$AB$14:$AB$1213,0)),""))</f>
        <v/>
      </c>
      <c r="AN125" s="27">
        <f>IF(OR(NOT(ISNUMBER($AJ125)),NOT(ISNUMBER($AL125)),$AK125=0,$AM125=0),"",IF(OR((($AJ125+$AL125)/($AK125+$AM125))&lt;=0,(($AJ125+$AL125)/($AK125+$AM125))&gt;=1),"",($AJ125/$AK125-$AL125/$AM125)/SQRT((($AJ125+$AL125)/($AK125+$AM125))*(1-(($AJ125+$AL125)/($AK125+$AM125)))*(1/$AK125+1/$AM125))))</f>
        <v/>
      </c>
      <c r="AO125" s="27">
        <f>IF($A125="","",IF(AND(COUNTIFS($A$14:$A$1213,$A125,$F$14:$F$1213,"&gt;=0")=2,IFERROR(INDEX($M$14:$M$313,MATCH($A125,$H$14:$H$313,0)),"Yes")&lt;&gt;"Yes"),1,0))</f>
        <v/>
      </c>
    </row>
    <row r="126" ht="24" customHeight="1">
      <c r="A126" s="19" t="n"/>
      <c r="B126" s="20" t="n"/>
      <c r="C126" s="21">
        <f>IFERROR(AVERAGE(P126:T126),"")</f>
        <v/>
      </c>
      <c r="D126" s="29" t="n"/>
      <c r="E126" s="29" t="n"/>
      <c r="F126" s="30">
        <f>IF(AND(ISNUMBER($D126),ISNUMBER($E126),$E126&gt;0,$D126&lt;=$E126),$D126/$E126,"")</f>
        <v/>
      </c>
      <c r="H126" s="19">
        <f>IFERROR(INDEX($A$14:$A$1213,MATCH(113,$AI$14:$AI$1213,0)),"")</f>
        <v/>
      </c>
      <c r="I126" s="24">
        <f>IF($H126="","",IF(COUNTIFS($A$14:$A$1213,$H126,$C$14:$C$1213,"&gt;=0")=0,"—",IFERROR(INDEX($B$14:$B$1213,MATCH($H126&amp;"|1",$Z$14:$Z$1213,0)),"(tied)")))</f>
        <v/>
      </c>
      <c r="J126" s="25">
        <f>IF($H126="","",IF(OR(COUNTIFS($A$14:$A$1213,$H126,$C$14:$C$1213,"&gt;=0")=0,COUNTIFS($A$14:$A$1213,$H126,$F$14:$F$1213,"&gt;=0")=0),"—",IF(OR(ISERROR(MATCH($H126&amp;"|1",$Z$14:$Z$1213,0)),ISERROR(MATCH($H126&amp;"|1",$AA$14:$AA$1213,0))),"Tie",IF(MATCH($H126&amp;"|1",$Z$14:$Z$1213,0)=MATCH($H126&amp;"|1",$AA$14:$AA$1213,0),"Hit","Miss"))))</f>
        <v/>
      </c>
      <c r="K126" s="24">
        <f>IF($H126="","",IF(COUNTIFS($A$14:$A$1213,$H126,$F$14:$F$1213,"&gt;=0")=0,"—",IFERROR(INDEX($B$14:$B$1213,MATCH($H126&amp;"|1",$AA$14:$AA$1213,0)),"(tied)")))</f>
        <v/>
      </c>
      <c r="L126" s="25">
        <f>IF($H126="","",IF((--(COUNTIFS($A$14:$A$1213,$H126,$P$14:$P$1213,"&gt;=0")&gt;0)+--(COUNTIFS($A$14:$A$1213,$H126,$Q$14:$Q$1213,"&gt;=0")&gt;0)+--(COUNTIFS($A$14:$A$1213,$H126,$R$14:$R$1213,"&gt;=0")&gt;0)+--(COUNTIFS($A$14:$A$1213,$H126,$S$14:$S$1213,"&gt;=0")&gt;0)+--(COUNTIFS($A$14:$A$1213,$H126,$T$14:$T$1213,"&gt;=0")&gt;0))&lt;2,"—",IF(SUMIFS($AH$14:$AH$1213,$A$14:$A$1213,$H126)=0,"Yes","No")))</f>
        <v/>
      </c>
      <c r="M126" s="25">
        <f>IF($H126="","",IF(COUNTIFS($A$14:$A$1213,$H126,$F$14:$F$1213,"&gt;=0")&lt;2,"—",IF(COUNTIFS($A$14:$A$1213,$H126,$F$14:$F$1213,_xlfn.MAXIFS($F$14:$F$1213,$A$14:$A$1213,$H126))&gt;1,"No",IF(NOT(ISNUMBER($AN126)),"—",IF((2*(1-NORMSDIST(ABS($AN126))))&lt;0.05,"Yes","No")))))</f>
        <v/>
      </c>
      <c r="N126" s="21">
        <f>IF($H126="","",IF(NOT(ISNUMBER($AN126)),"—",IF((2*(1-NORMSDIST(ABS($AN126))))&lt;0.001,"&lt;0.001",TEXT((2*(1-NORMSDIST(ABS($AN126)))),"0.000"))))</f>
        <v/>
      </c>
      <c r="P126" s="26" t="n"/>
      <c r="Q126" s="26" t="n"/>
      <c r="R126" s="26" t="n"/>
      <c r="S126" s="26" t="n"/>
      <c r="T126" s="26" t="n"/>
      <c r="V126" s="27">
        <f>IF(ISNUMBER($C126),COUNTIFS($A$14:$A$1213,$A126,$C$14:$C$1213,"&gt;"&amp;$C126)+(COUNTIFS($A$14:$A$1213,$A126,$C$14:$C$1213,"="&amp;$C126)+1)/2,"")</f>
        <v/>
      </c>
      <c r="W126" s="27">
        <f>IF(ISNUMBER($F126),COUNTIFS($A$14:$A$1213,$A126,$F$14:$F$1213,"&gt;"&amp;$F126)+(COUNTIFS($A$14:$A$1213,$A126,$F$14:$F$1213,"="&amp;$F126)+1)/2,"")</f>
        <v/>
      </c>
      <c r="X126" s="27">
        <f>IF(OR(NOT(ISNUMBER($V126)),$AO126=1),"",$V126-(COUNTIFS($A$14:$A$1213,$A126,$C$14:$C$1213,"&gt;=0")+1)/2)</f>
        <v/>
      </c>
      <c r="Y126" s="27">
        <f>IF(OR(NOT(ISNUMBER($W126)),$AO126=1),"",$W126-(COUNTIFS($A$14:$A$1213,$A126,$F$14:$F$1213,"&gt;=0")+1)/2)</f>
        <v/>
      </c>
      <c r="Z126" s="27">
        <f>IF(ISNUMBER($V126),$A126&amp;"|"&amp;$V126,"")</f>
        <v/>
      </c>
      <c r="AA126" s="27">
        <f>IF(ISNUMBER($W126),$A126&amp;"|"&amp;$W126,"")</f>
        <v/>
      </c>
      <c r="AB126" s="27">
        <f>IF(ISNUMBER($F126),$A126&amp;"|"&amp;$F126,"")</f>
        <v/>
      </c>
      <c r="AC126" s="27">
        <f>IF(ISNUMBER($P126),COUNTIFS($A$14:$A$1213,$A126,$P$14:$P$1213,"&gt;"&amp;$P126)+(COUNTIFS($A$14:$A$1213,$A126,$P$14:$P$1213,"="&amp;$P126)+1)/2,"")</f>
        <v/>
      </c>
      <c r="AD126" s="27">
        <f>IF(ISNUMBER($Q126),COUNTIFS($A$14:$A$1213,$A126,$Q$14:$Q$1213,"&gt;"&amp;$Q126)+(COUNTIFS($A$14:$A$1213,$A126,$Q$14:$Q$1213,"="&amp;$Q126)+1)/2,"")</f>
        <v/>
      </c>
      <c r="AE126" s="27">
        <f>IF(ISNUMBER($R126),COUNTIFS($A$14:$A$1213,$A126,$R$14:$R$1213,"&gt;"&amp;$R126)+(COUNTIFS($A$14:$A$1213,$A126,$R$14:$R$1213,"="&amp;$R126)+1)/2,"")</f>
        <v/>
      </c>
      <c r="AF126" s="27">
        <f>IF(ISNUMBER($S126),COUNTIFS($A$14:$A$1213,$A126,$S$14:$S$1213,"&gt;"&amp;$S126)+(COUNTIFS($A$14:$A$1213,$A126,$S$14:$S$1213,"="&amp;$S126)+1)/2,"")</f>
        <v/>
      </c>
      <c r="AG126" s="27">
        <f>IF(ISNUMBER($T126),COUNTIFS($A$14:$A$1213,$A126,$T$14:$T$1213,"&gt;"&amp;$T126)+(COUNTIFS($A$14:$A$1213,$A126,$T$14:$T$1213,"="&amp;$T126)+1)/2,"")</f>
        <v/>
      </c>
      <c r="AH126" s="27">
        <f>IF(COUNT($AC126:$AG126)&lt;2,"",IF(MAX($AC126:$AG126)=MIN($AC126:$AG126),0,1))</f>
        <v/>
      </c>
      <c r="AI126" s="27">
        <f>IF($A126="","",IF(COUNTIF($A$14:$A126,$A126)=1,COUNTIF($AI$13:AI125,"&gt;0")+1,""))</f>
        <v/>
      </c>
      <c r="AJ126" s="27">
        <f>IF(OR($H126="",COUNTIFS($A$14:$A$1213,$H126,$F$14:$F$1213,"&gt;=0")&lt;2,COUNTIFS($A$14:$A$1213,$H126,$F$14:$F$1213,_xlfn.MAXIFS($F$14:$F$1213,$A$14:$A$1213,$H126))&gt;1),"",IFERROR(INDEX($D$14:$D$1213,MATCH($H126&amp;"|"&amp;_xlfn.MAXIFS($F$14:$F$1213,$A$14:$A$1213,$H126),$AB$14:$AB$1213,0)),""))</f>
        <v/>
      </c>
      <c r="AK126" s="27">
        <f>IF(OR($H126="",COUNTIFS($A$14:$A$1213,$H126,$F$14:$F$1213,"&gt;=0")&lt;2,COUNTIFS($A$14:$A$1213,$H126,$F$14:$F$1213,_xlfn.MAXIFS($F$14:$F$1213,$A$14:$A$1213,$H126))&gt;1),"",IFERROR(INDEX($E$14:$E$1213,MATCH($H126&amp;"|"&amp;_xlfn.MAXIFS($F$14:$F$1213,$A$14:$A$1213,$H126),$AB$14:$AB$1213,0)),""))</f>
        <v/>
      </c>
      <c r="AL126" s="27">
        <f>IF(OR($H126="",COUNTIFS($A$14:$A$1213,$H126,$F$14:$F$1213,"&gt;=0")&lt;2,COUNTIFS($A$14:$A$1213,$H126,$F$14:$F$1213,_xlfn.MAXIFS($F$14:$F$1213,$A$14:$A$1213,$H126))&gt;1),"",IFERROR(INDEX($D$14:$D$1213,MATCH($H126&amp;"|"&amp;_xlfn.MAXIFS($F$14:$F$1213,$A$14:$A$1213,$H126,$F$14:$F$1213,"&lt;"&amp;_xlfn.MAXIFS($F$14:$F$1213,$A$14:$A$1213,$H126)),$AB$14:$AB$1213,0)),""))</f>
        <v/>
      </c>
      <c r="AM126" s="27">
        <f>IF(OR($H126="",COUNTIFS($A$14:$A$1213,$H126,$F$14:$F$1213,"&gt;=0")&lt;2,COUNTIFS($A$14:$A$1213,$H126,$F$14:$F$1213,_xlfn.MAXIFS($F$14:$F$1213,$A$14:$A$1213,$H126))&gt;1),"",IFERROR(INDEX($E$14:$E$1213,MATCH($H126&amp;"|"&amp;_xlfn.MAXIFS($F$14:$F$1213,$A$14:$A$1213,$H126,$F$14:$F$1213,"&lt;"&amp;_xlfn.MAXIFS($F$14:$F$1213,$A$14:$A$1213,$H126)),$AB$14:$AB$1213,0)),""))</f>
        <v/>
      </c>
      <c r="AN126" s="27">
        <f>IF(OR(NOT(ISNUMBER($AJ126)),NOT(ISNUMBER($AL126)),$AK126=0,$AM126=0),"",IF(OR((($AJ126+$AL126)/($AK126+$AM126))&lt;=0,(($AJ126+$AL126)/($AK126+$AM126))&gt;=1),"",($AJ126/$AK126-$AL126/$AM126)/SQRT((($AJ126+$AL126)/($AK126+$AM126))*(1-(($AJ126+$AL126)/($AK126+$AM126)))*(1/$AK126+1/$AM126))))</f>
        <v/>
      </c>
      <c r="AO126" s="27">
        <f>IF($A126="","",IF(AND(COUNTIFS($A$14:$A$1213,$A126,$F$14:$F$1213,"&gt;=0")=2,IFERROR(INDEX($M$14:$M$313,MATCH($A126,$H$14:$H$313,0)),"Yes")&lt;&gt;"Yes"),1,0))</f>
        <v/>
      </c>
    </row>
    <row r="127" ht="24" customHeight="1">
      <c r="A127" s="19" t="n"/>
      <c r="B127" s="20" t="n"/>
      <c r="C127" s="21">
        <f>IFERROR(AVERAGE(P127:T127),"")</f>
        <v/>
      </c>
      <c r="D127" s="29" t="n"/>
      <c r="E127" s="29" t="n"/>
      <c r="F127" s="30">
        <f>IF(AND(ISNUMBER($D127),ISNUMBER($E127),$E127&gt;0,$D127&lt;=$E127),$D127/$E127,"")</f>
        <v/>
      </c>
      <c r="H127" s="19">
        <f>IFERROR(INDEX($A$14:$A$1213,MATCH(114,$AI$14:$AI$1213,0)),"")</f>
        <v/>
      </c>
      <c r="I127" s="24">
        <f>IF($H127="","",IF(COUNTIFS($A$14:$A$1213,$H127,$C$14:$C$1213,"&gt;=0")=0,"—",IFERROR(INDEX($B$14:$B$1213,MATCH($H127&amp;"|1",$Z$14:$Z$1213,0)),"(tied)")))</f>
        <v/>
      </c>
      <c r="J127" s="25">
        <f>IF($H127="","",IF(OR(COUNTIFS($A$14:$A$1213,$H127,$C$14:$C$1213,"&gt;=0")=0,COUNTIFS($A$14:$A$1213,$H127,$F$14:$F$1213,"&gt;=0")=0),"—",IF(OR(ISERROR(MATCH($H127&amp;"|1",$Z$14:$Z$1213,0)),ISERROR(MATCH($H127&amp;"|1",$AA$14:$AA$1213,0))),"Tie",IF(MATCH($H127&amp;"|1",$Z$14:$Z$1213,0)=MATCH($H127&amp;"|1",$AA$14:$AA$1213,0),"Hit","Miss"))))</f>
        <v/>
      </c>
      <c r="K127" s="24">
        <f>IF($H127="","",IF(COUNTIFS($A$14:$A$1213,$H127,$F$14:$F$1213,"&gt;=0")=0,"—",IFERROR(INDEX($B$14:$B$1213,MATCH($H127&amp;"|1",$AA$14:$AA$1213,0)),"(tied)")))</f>
        <v/>
      </c>
      <c r="L127" s="25">
        <f>IF($H127="","",IF((--(COUNTIFS($A$14:$A$1213,$H127,$P$14:$P$1213,"&gt;=0")&gt;0)+--(COUNTIFS($A$14:$A$1213,$H127,$Q$14:$Q$1213,"&gt;=0")&gt;0)+--(COUNTIFS($A$14:$A$1213,$H127,$R$14:$R$1213,"&gt;=0")&gt;0)+--(COUNTIFS($A$14:$A$1213,$H127,$S$14:$S$1213,"&gt;=0")&gt;0)+--(COUNTIFS($A$14:$A$1213,$H127,$T$14:$T$1213,"&gt;=0")&gt;0))&lt;2,"—",IF(SUMIFS($AH$14:$AH$1213,$A$14:$A$1213,$H127)=0,"Yes","No")))</f>
        <v/>
      </c>
      <c r="M127" s="25">
        <f>IF($H127="","",IF(COUNTIFS($A$14:$A$1213,$H127,$F$14:$F$1213,"&gt;=0")&lt;2,"—",IF(COUNTIFS($A$14:$A$1213,$H127,$F$14:$F$1213,_xlfn.MAXIFS($F$14:$F$1213,$A$14:$A$1213,$H127))&gt;1,"No",IF(NOT(ISNUMBER($AN127)),"—",IF((2*(1-NORMSDIST(ABS($AN127))))&lt;0.05,"Yes","No")))))</f>
        <v/>
      </c>
      <c r="N127" s="21">
        <f>IF($H127="","",IF(NOT(ISNUMBER($AN127)),"—",IF((2*(1-NORMSDIST(ABS($AN127))))&lt;0.001,"&lt;0.001",TEXT((2*(1-NORMSDIST(ABS($AN127)))),"0.000"))))</f>
        <v/>
      </c>
      <c r="P127" s="26" t="n"/>
      <c r="Q127" s="26" t="n"/>
      <c r="R127" s="26" t="n"/>
      <c r="S127" s="26" t="n"/>
      <c r="T127" s="26" t="n"/>
      <c r="V127" s="27">
        <f>IF(ISNUMBER($C127),COUNTIFS($A$14:$A$1213,$A127,$C$14:$C$1213,"&gt;"&amp;$C127)+(COUNTIFS($A$14:$A$1213,$A127,$C$14:$C$1213,"="&amp;$C127)+1)/2,"")</f>
        <v/>
      </c>
      <c r="W127" s="27">
        <f>IF(ISNUMBER($F127),COUNTIFS($A$14:$A$1213,$A127,$F$14:$F$1213,"&gt;"&amp;$F127)+(COUNTIFS($A$14:$A$1213,$A127,$F$14:$F$1213,"="&amp;$F127)+1)/2,"")</f>
        <v/>
      </c>
      <c r="X127" s="27">
        <f>IF(OR(NOT(ISNUMBER($V127)),$AO127=1),"",$V127-(COUNTIFS($A$14:$A$1213,$A127,$C$14:$C$1213,"&gt;=0")+1)/2)</f>
        <v/>
      </c>
      <c r="Y127" s="27">
        <f>IF(OR(NOT(ISNUMBER($W127)),$AO127=1),"",$W127-(COUNTIFS($A$14:$A$1213,$A127,$F$14:$F$1213,"&gt;=0")+1)/2)</f>
        <v/>
      </c>
      <c r="Z127" s="27">
        <f>IF(ISNUMBER($V127),$A127&amp;"|"&amp;$V127,"")</f>
        <v/>
      </c>
      <c r="AA127" s="27">
        <f>IF(ISNUMBER($W127),$A127&amp;"|"&amp;$W127,"")</f>
        <v/>
      </c>
      <c r="AB127" s="27">
        <f>IF(ISNUMBER($F127),$A127&amp;"|"&amp;$F127,"")</f>
        <v/>
      </c>
      <c r="AC127" s="27">
        <f>IF(ISNUMBER($P127),COUNTIFS($A$14:$A$1213,$A127,$P$14:$P$1213,"&gt;"&amp;$P127)+(COUNTIFS($A$14:$A$1213,$A127,$P$14:$P$1213,"="&amp;$P127)+1)/2,"")</f>
        <v/>
      </c>
      <c r="AD127" s="27">
        <f>IF(ISNUMBER($Q127),COUNTIFS($A$14:$A$1213,$A127,$Q$14:$Q$1213,"&gt;"&amp;$Q127)+(COUNTIFS($A$14:$A$1213,$A127,$Q$14:$Q$1213,"="&amp;$Q127)+1)/2,"")</f>
        <v/>
      </c>
      <c r="AE127" s="27">
        <f>IF(ISNUMBER($R127),COUNTIFS($A$14:$A$1213,$A127,$R$14:$R$1213,"&gt;"&amp;$R127)+(COUNTIFS($A$14:$A$1213,$A127,$R$14:$R$1213,"="&amp;$R127)+1)/2,"")</f>
        <v/>
      </c>
      <c r="AF127" s="27">
        <f>IF(ISNUMBER($S127),COUNTIFS($A$14:$A$1213,$A127,$S$14:$S$1213,"&gt;"&amp;$S127)+(COUNTIFS($A$14:$A$1213,$A127,$S$14:$S$1213,"="&amp;$S127)+1)/2,"")</f>
        <v/>
      </c>
      <c r="AG127" s="27">
        <f>IF(ISNUMBER($T127),COUNTIFS($A$14:$A$1213,$A127,$T$14:$T$1213,"&gt;"&amp;$T127)+(COUNTIFS($A$14:$A$1213,$A127,$T$14:$T$1213,"="&amp;$T127)+1)/2,"")</f>
        <v/>
      </c>
      <c r="AH127" s="27">
        <f>IF(COUNT($AC127:$AG127)&lt;2,"",IF(MAX($AC127:$AG127)=MIN($AC127:$AG127),0,1))</f>
        <v/>
      </c>
      <c r="AI127" s="27">
        <f>IF($A127="","",IF(COUNTIF($A$14:$A127,$A127)=1,COUNTIF($AI$13:AI126,"&gt;0")+1,""))</f>
        <v/>
      </c>
      <c r="AJ127" s="27">
        <f>IF(OR($H127="",COUNTIFS($A$14:$A$1213,$H127,$F$14:$F$1213,"&gt;=0")&lt;2,COUNTIFS($A$14:$A$1213,$H127,$F$14:$F$1213,_xlfn.MAXIFS($F$14:$F$1213,$A$14:$A$1213,$H127))&gt;1),"",IFERROR(INDEX($D$14:$D$1213,MATCH($H127&amp;"|"&amp;_xlfn.MAXIFS($F$14:$F$1213,$A$14:$A$1213,$H127),$AB$14:$AB$1213,0)),""))</f>
        <v/>
      </c>
      <c r="AK127" s="27">
        <f>IF(OR($H127="",COUNTIFS($A$14:$A$1213,$H127,$F$14:$F$1213,"&gt;=0")&lt;2,COUNTIFS($A$14:$A$1213,$H127,$F$14:$F$1213,_xlfn.MAXIFS($F$14:$F$1213,$A$14:$A$1213,$H127))&gt;1),"",IFERROR(INDEX($E$14:$E$1213,MATCH($H127&amp;"|"&amp;_xlfn.MAXIFS($F$14:$F$1213,$A$14:$A$1213,$H127),$AB$14:$AB$1213,0)),""))</f>
        <v/>
      </c>
      <c r="AL127" s="27">
        <f>IF(OR($H127="",COUNTIFS($A$14:$A$1213,$H127,$F$14:$F$1213,"&gt;=0")&lt;2,COUNTIFS($A$14:$A$1213,$H127,$F$14:$F$1213,_xlfn.MAXIFS($F$14:$F$1213,$A$14:$A$1213,$H127))&gt;1),"",IFERROR(INDEX($D$14:$D$1213,MATCH($H127&amp;"|"&amp;_xlfn.MAXIFS($F$14:$F$1213,$A$14:$A$1213,$H127,$F$14:$F$1213,"&lt;"&amp;_xlfn.MAXIFS($F$14:$F$1213,$A$14:$A$1213,$H127)),$AB$14:$AB$1213,0)),""))</f>
        <v/>
      </c>
      <c r="AM127" s="27">
        <f>IF(OR($H127="",COUNTIFS($A$14:$A$1213,$H127,$F$14:$F$1213,"&gt;=0")&lt;2,COUNTIFS($A$14:$A$1213,$H127,$F$14:$F$1213,_xlfn.MAXIFS($F$14:$F$1213,$A$14:$A$1213,$H127))&gt;1),"",IFERROR(INDEX($E$14:$E$1213,MATCH($H127&amp;"|"&amp;_xlfn.MAXIFS($F$14:$F$1213,$A$14:$A$1213,$H127,$F$14:$F$1213,"&lt;"&amp;_xlfn.MAXIFS($F$14:$F$1213,$A$14:$A$1213,$H127)),$AB$14:$AB$1213,0)),""))</f>
        <v/>
      </c>
      <c r="AN127" s="27">
        <f>IF(OR(NOT(ISNUMBER($AJ127)),NOT(ISNUMBER($AL127)),$AK127=0,$AM127=0),"",IF(OR((($AJ127+$AL127)/($AK127+$AM127))&lt;=0,(($AJ127+$AL127)/($AK127+$AM127))&gt;=1),"",($AJ127/$AK127-$AL127/$AM127)/SQRT((($AJ127+$AL127)/($AK127+$AM127))*(1-(($AJ127+$AL127)/($AK127+$AM127)))*(1/$AK127+1/$AM127))))</f>
        <v/>
      </c>
      <c r="AO127" s="27">
        <f>IF($A127="","",IF(AND(COUNTIFS($A$14:$A$1213,$A127,$F$14:$F$1213,"&gt;=0")=2,IFERROR(INDEX($M$14:$M$313,MATCH($A127,$H$14:$H$313,0)),"Yes")&lt;&gt;"Yes"),1,0))</f>
        <v/>
      </c>
    </row>
    <row r="128" ht="24" customHeight="1">
      <c r="A128" s="19" t="n"/>
      <c r="B128" s="20" t="n"/>
      <c r="C128" s="21">
        <f>IFERROR(AVERAGE(P128:T128),"")</f>
        <v/>
      </c>
      <c r="D128" s="29" t="n"/>
      <c r="E128" s="29" t="n"/>
      <c r="F128" s="30">
        <f>IF(AND(ISNUMBER($D128),ISNUMBER($E128),$E128&gt;0,$D128&lt;=$E128),$D128/$E128,"")</f>
        <v/>
      </c>
      <c r="H128" s="19">
        <f>IFERROR(INDEX($A$14:$A$1213,MATCH(115,$AI$14:$AI$1213,0)),"")</f>
        <v/>
      </c>
      <c r="I128" s="24">
        <f>IF($H128="","",IF(COUNTIFS($A$14:$A$1213,$H128,$C$14:$C$1213,"&gt;=0")=0,"—",IFERROR(INDEX($B$14:$B$1213,MATCH($H128&amp;"|1",$Z$14:$Z$1213,0)),"(tied)")))</f>
        <v/>
      </c>
      <c r="J128" s="25">
        <f>IF($H128="","",IF(OR(COUNTIFS($A$14:$A$1213,$H128,$C$14:$C$1213,"&gt;=0")=0,COUNTIFS($A$14:$A$1213,$H128,$F$14:$F$1213,"&gt;=0")=0),"—",IF(OR(ISERROR(MATCH($H128&amp;"|1",$Z$14:$Z$1213,0)),ISERROR(MATCH($H128&amp;"|1",$AA$14:$AA$1213,0))),"Tie",IF(MATCH($H128&amp;"|1",$Z$14:$Z$1213,0)=MATCH($H128&amp;"|1",$AA$14:$AA$1213,0),"Hit","Miss"))))</f>
        <v/>
      </c>
      <c r="K128" s="24">
        <f>IF($H128="","",IF(COUNTIFS($A$14:$A$1213,$H128,$F$14:$F$1213,"&gt;=0")=0,"—",IFERROR(INDEX($B$14:$B$1213,MATCH($H128&amp;"|1",$AA$14:$AA$1213,0)),"(tied)")))</f>
        <v/>
      </c>
      <c r="L128" s="25">
        <f>IF($H128="","",IF((--(COUNTIFS($A$14:$A$1213,$H128,$P$14:$P$1213,"&gt;=0")&gt;0)+--(COUNTIFS($A$14:$A$1213,$H128,$Q$14:$Q$1213,"&gt;=0")&gt;0)+--(COUNTIFS($A$14:$A$1213,$H128,$R$14:$R$1213,"&gt;=0")&gt;0)+--(COUNTIFS($A$14:$A$1213,$H128,$S$14:$S$1213,"&gt;=0")&gt;0)+--(COUNTIFS($A$14:$A$1213,$H128,$T$14:$T$1213,"&gt;=0")&gt;0))&lt;2,"—",IF(SUMIFS($AH$14:$AH$1213,$A$14:$A$1213,$H128)=0,"Yes","No")))</f>
        <v/>
      </c>
      <c r="M128" s="25">
        <f>IF($H128="","",IF(COUNTIFS($A$14:$A$1213,$H128,$F$14:$F$1213,"&gt;=0")&lt;2,"—",IF(COUNTIFS($A$14:$A$1213,$H128,$F$14:$F$1213,_xlfn.MAXIFS($F$14:$F$1213,$A$14:$A$1213,$H128))&gt;1,"No",IF(NOT(ISNUMBER($AN128)),"—",IF((2*(1-NORMSDIST(ABS($AN128))))&lt;0.05,"Yes","No")))))</f>
        <v/>
      </c>
      <c r="N128" s="21">
        <f>IF($H128="","",IF(NOT(ISNUMBER($AN128)),"—",IF((2*(1-NORMSDIST(ABS($AN128))))&lt;0.001,"&lt;0.001",TEXT((2*(1-NORMSDIST(ABS($AN128)))),"0.000"))))</f>
        <v/>
      </c>
      <c r="P128" s="26" t="n"/>
      <c r="Q128" s="26" t="n"/>
      <c r="R128" s="26" t="n"/>
      <c r="S128" s="26" t="n"/>
      <c r="T128" s="26" t="n"/>
      <c r="V128" s="27">
        <f>IF(ISNUMBER($C128),COUNTIFS($A$14:$A$1213,$A128,$C$14:$C$1213,"&gt;"&amp;$C128)+(COUNTIFS($A$14:$A$1213,$A128,$C$14:$C$1213,"="&amp;$C128)+1)/2,"")</f>
        <v/>
      </c>
      <c r="W128" s="27">
        <f>IF(ISNUMBER($F128),COUNTIFS($A$14:$A$1213,$A128,$F$14:$F$1213,"&gt;"&amp;$F128)+(COUNTIFS($A$14:$A$1213,$A128,$F$14:$F$1213,"="&amp;$F128)+1)/2,"")</f>
        <v/>
      </c>
      <c r="X128" s="27">
        <f>IF(OR(NOT(ISNUMBER($V128)),$AO128=1),"",$V128-(COUNTIFS($A$14:$A$1213,$A128,$C$14:$C$1213,"&gt;=0")+1)/2)</f>
        <v/>
      </c>
      <c r="Y128" s="27">
        <f>IF(OR(NOT(ISNUMBER($W128)),$AO128=1),"",$W128-(COUNTIFS($A$14:$A$1213,$A128,$F$14:$F$1213,"&gt;=0")+1)/2)</f>
        <v/>
      </c>
      <c r="Z128" s="27">
        <f>IF(ISNUMBER($V128),$A128&amp;"|"&amp;$V128,"")</f>
        <v/>
      </c>
      <c r="AA128" s="27">
        <f>IF(ISNUMBER($W128),$A128&amp;"|"&amp;$W128,"")</f>
        <v/>
      </c>
      <c r="AB128" s="27">
        <f>IF(ISNUMBER($F128),$A128&amp;"|"&amp;$F128,"")</f>
        <v/>
      </c>
      <c r="AC128" s="27">
        <f>IF(ISNUMBER($P128),COUNTIFS($A$14:$A$1213,$A128,$P$14:$P$1213,"&gt;"&amp;$P128)+(COUNTIFS($A$14:$A$1213,$A128,$P$14:$P$1213,"="&amp;$P128)+1)/2,"")</f>
        <v/>
      </c>
      <c r="AD128" s="27">
        <f>IF(ISNUMBER($Q128),COUNTIFS($A$14:$A$1213,$A128,$Q$14:$Q$1213,"&gt;"&amp;$Q128)+(COUNTIFS($A$14:$A$1213,$A128,$Q$14:$Q$1213,"="&amp;$Q128)+1)/2,"")</f>
        <v/>
      </c>
      <c r="AE128" s="27">
        <f>IF(ISNUMBER($R128),COUNTIFS($A$14:$A$1213,$A128,$R$14:$R$1213,"&gt;"&amp;$R128)+(COUNTIFS($A$14:$A$1213,$A128,$R$14:$R$1213,"="&amp;$R128)+1)/2,"")</f>
        <v/>
      </c>
      <c r="AF128" s="27">
        <f>IF(ISNUMBER($S128),COUNTIFS($A$14:$A$1213,$A128,$S$14:$S$1213,"&gt;"&amp;$S128)+(COUNTIFS($A$14:$A$1213,$A128,$S$14:$S$1213,"="&amp;$S128)+1)/2,"")</f>
        <v/>
      </c>
      <c r="AG128" s="27">
        <f>IF(ISNUMBER($T128),COUNTIFS($A$14:$A$1213,$A128,$T$14:$T$1213,"&gt;"&amp;$T128)+(COUNTIFS($A$14:$A$1213,$A128,$T$14:$T$1213,"="&amp;$T128)+1)/2,"")</f>
        <v/>
      </c>
      <c r="AH128" s="27">
        <f>IF(COUNT($AC128:$AG128)&lt;2,"",IF(MAX($AC128:$AG128)=MIN($AC128:$AG128),0,1))</f>
        <v/>
      </c>
      <c r="AI128" s="27">
        <f>IF($A128="","",IF(COUNTIF($A$14:$A128,$A128)=1,COUNTIF($AI$13:AI127,"&gt;0")+1,""))</f>
        <v/>
      </c>
      <c r="AJ128" s="27">
        <f>IF(OR($H128="",COUNTIFS($A$14:$A$1213,$H128,$F$14:$F$1213,"&gt;=0")&lt;2,COUNTIFS($A$14:$A$1213,$H128,$F$14:$F$1213,_xlfn.MAXIFS($F$14:$F$1213,$A$14:$A$1213,$H128))&gt;1),"",IFERROR(INDEX($D$14:$D$1213,MATCH($H128&amp;"|"&amp;_xlfn.MAXIFS($F$14:$F$1213,$A$14:$A$1213,$H128),$AB$14:$AB$1213,0)),""))</f>
        <v/>
      </c>
      <c r="AK128" s="27">
        <f>IF(OR($H128="",COUNTIFS($A$14:$A$1213,$H128,$F$14:$F$1213,"&gt;=0")&lt;2,COUNTIFS($A$14:$A$1213,$H128,$F$14:$F$1213,_xlfn.MAXIFS($F$14:$F$1213,$A$14:$A$1213,$H128))&gt;1),"",IFERROR(INDEX($E$14:$E$1213,MATCH($H128&amp;"|"&amp;_xlfn.MAXIFS($F$14:$F$1213,$A$14:$A$1213,$H128),$AB$14:$AB$1213,0)),""))</f>
        <v/>
      </c>
      <c r="AL128" s="27">
        <f>IF(OR($H128="",COUNTIFS($A$14:$A$1213,$H128,$F$14:$F$1213,"&gt;=0")&lt;2,COUNTIFS($A$14:$A$1213,$H128,$F$14:$F$1213,_xlfn.MAXIFS($F$14:$F$1213,$A$14:$A$1213,$H128))&gt;1),"",IFERROR(INDEX($D$14:$D$1213,MATCH($H128&amp;"|"&amp;_xlfn.MAXIFS($F$14:$F$1213,$A$14:$A$1213,$H128,$F$14:$F$1213,"&lt;"&amp;_xlfn.MAXIFS($F$14:$F$1213,$A$14:$A$1213,$H128)),$AB$14:$AB$1213,0)),""))</f>
        <v/>
      </c>
      <c r="AM128" s="27">
        <f>IF(OR($H128="",COUNTIFS($A$14:$A$1213,$H128,$F$14:$F$1213,"&gt;=0")&lt;2,COUNTIFS($A$14:$A$1213,$H128,$F$14:$F$1213,_xlfn.MAXIFS($F$14:$F$1213,$A$14:$A$1213,$H128))&gt;1),"",IFERROR(INDEX($E$14:$E$1213,MATCH($H128&amp;"|"&amp;_xlfn.MAXIFS($F$14:$F$1213,$A$14:$A$1213,$H128,$F$14:$F$1213,"&lt;"&amp;_xlfn.MAXIFS($F$14:$F$1213,$A$14:$A$1213,$H128)),$AB$14:$AB$1213,0)),""))</f>
        <v/>
      </c>
      <c r="AN128" s="27">
        <f>IF(OR(NOT(ISNUMBER($AJ128)),NOT(ISNUMBER($AL128)),$AK128=0,$AM128=0),"",IF(OR((($AJ128+$AL128)/($AK128+$AM128))&lt;=0,(($AJ128+$AL128)/($AK128+$AM128))&gt;=1),"",($AJ128/$AK128-$AL128/$AM128)/SQRT((($AJ128+$AL128)/($AK128+$AM128))*(1-(($AJ128+$AL128)/($AK128+$AM128)))*(1/$AK128+1/$AM128))))</f>
        <v/>
      </c>
      <c r="AO128" s="27">
        <f>IF($A128="","",IF(AND(COUNTIFS($A$14:$A$1213,$A128,$F$14:$F$1213,"&gt;=0")=2,IFERROR(INDEX($M$14:$M$313,MATCH($A128,$H$14:$H$313,0)),"Yes")&lt;&gt;"Yes"),1,0))</f>
        <v/>
      </c>
    </row>
    <row r="129" ht="24" customHeight="1">
      <c r="A129" s="19" t="n"/>
      <c r="B129" s="20" t="n"/>
      <c r="C129" s="21">
        <f>IFERROR(AVERAGE(P129:T129),"")</f>
        <v/>
      </c>
      <c r="D129" s="29" t="n"/>
      <c r="E129" s="29" t="n"/>
      <c r="F129" s="30">
        <f>IF(AND(ISNUMBER($D129),ISNUMBER($E129),$E129&gt;0,$D129&lt;=$E129),$D129/$E129,"")</f>
        <v/>
      </c>
      <c r="H129" s="19">
        <f>IFERROR(INDEX($A$14:$A$1213,MATCH(116,$AI$14:$AI$1213,0)),"")</f>
        <v/>
      </c>
      <c r="I129" s="24">
        <f>IF($H129="","",IF(COUNTIFS($A$14:$A$1213,$H129,$C$14:$C$1213,"&gt;=0")=0,"—",IFERROR(INDEX($B$14:$B$1213,MATCH($H129&amp;"|1",$Z$14:$Z$1213,0)),"(tied)")))</f>
        <v/>
      </c>
      <c r="J129" s="25">
        <f>IF($H129="","",IF(OR(COUNTIFS($A$14:$A$1213,$H129,$C$14:$C$1213,"&gt;=0")=0,COUNTIFS($A$14:$A$1213,$H129,$F$14:$F$1213,"&gt;=0")=0),"—",IF(OR(ISERROR(MATCH($H129&amp;"|1",$Z$14:$Z$1213,0)),ISERROR(MATCH($H129&amp;"|1",$AA$14:$AA$1213,0))),"Tie",IF(MATCH($H129&amp;"|1",$Z$14:$Z$1213,0)=MATCH($H129&amp;"|1",$AA$14:$AA$1213,0),"Hit","Miss"))))</f>
        <v/>
      </c>
      <c r="K129" s="24">
        <f>IF($H129="","",IF(COUNTIFS($A$14:$A$1213,$H129,$F$14:$F$1213,"&gt;=0")=0,"—",IFERROR(INDEX($B$14:$B$1213,MATCH($H129&amp;"|1",$AA$14:$AA$1213,0)),"(tied)")))</f>
        <v/>
      </c>
      <c r="L129" s="25">
        <f>IF($H129="","",IF((--(COUNTIFS($A$14:$A$1213,$H129,$P$14:$P$1213,"&gt;=0")&gt;0)+--(COUNTIFS($A$14:$A$1213,$H129,$Q$14:$Q$1213,"&gt;=0")&gt;0)+--(COUNTIFS($A$14:$A$1213,$H129,$R$14:$R$1213,"&gt;=0")&gt;0)+--(COUNTIFS($A$14:$A$1213,$H129,$S$14:$S$1213,"&gt;=0")&gt;0)+--(COUNTIFS($A$14:$A$1213,$H129,$T$14:$T$1213,"&gt;=0")&gt;0))&lt;2,"—",IF(SUMIFS($AH$14:$AH$1213,$A$14:$A$1213,$H129)=0,"Yes","No")))</f>
        <v/>
      </c>
      <c r="M129" s="25">
        <f>IF($H129="","",IF(COUNTIFS($A$14:$A$1213,$H129,$F$14:$F$1213,"&gt;=0")&lt;2,"—",IF(COUNTIFS($A$14:$A$1213,$H129,$F$14:$F$1213,_xlfn.MAXIFS($F$14:$F$1213,$A$14:$A$1213,$H129))&gt;1,"No",IF(NOT(ISNUMBER($AN129)),"—",IF((2*(1-NORMSDIST(ABS($AN129))))&lt;0.05,"Yes","No")))))</f>
        <v/>
      </c>
      <c r="N129" s="21">
        <f>IF($H129="","",IF(NOT(ISNUMBER($AN129)),"—",IF((2*(1-NORMSDIST(ABS($AN129))))&lt;0.001,"&lt;0.001",TEXT((2*(1-NORMSDIST(ABS($AN129)))),"0.000"))))</f>
        <v/>
      </c>
      <c r="P129" s="26" t="n"/>
      <c r="Q129" s="26" t="n"/>
      <c r="R129" s="26" t="n"/>
      <c r="S129" s="26" t="n"/>
      <c r="T129" s="26" t="n"/>
      <c r="V129" s="27">
        <f>IF(ISNUMBER($C129),COUNTIFS($A$14:$A$1213,$A129,$C$14:$C$1213,"&gt;"&amp;$C129)+(COUNTIFS($A$14:$A$1213,$A129,$C$14:$C$1213,"="&amp;$C129)+1)/2,"")</f>
        <v/>
      </c>
      <c r="W129" s="27">
        <f>IF(ISNUMBER($F129),COUNTIFS($A$14:$A$1213,$A129,$F$14:$F$1213,"&gt;"&amp;$F129)+(COUNTIFS($A$14:$A$1213,$A129,$F$14:$F$1213,"="&amp;$F129)+1)/2,"")</f>
        <v/>
      </c>
      <c r="X129" s="27">
        <f>IF(OR(NOT(ISNUMBER($V129)),$AO129=1),"",$V129-(COUNTIFS($A$14:$A$1213,$A129,$C$14:$C$1213,"&gt;=0")+1)/2)</f>
        <v/>
      </c>
      <c r="Y129" s="27">
        <f>IF(OR(NOT(ISNUMBER($W129)),$AO129=1),"",$W129-(COUNTIFS($A$14:$A$1213,$A129,$F$14:$F$1213,"&gt;=0")+1)/2)</f>
        <v/>
      </c>
      <c r="Z129" s="27">
        <f>IF(ISNUMBER($V129),$A129&amp;"|"&amp;$V129,"")</f>
        <v/>
      </c>
      <c r="AA129" s="27">
        <f>IF(ISNUMBER($W129),$A129&amp;"|"&amp;$W129,"")</f>
        <v/>
      </c>
      <c r="AB129" s="27">
        <f>IF(ISNUMBER($F129),$A129&amp;"|"&amp;$F129,"")</f>
        <v/>
      </c>
      <c r="AC129" s="27">
        <f>IF(ISNUMBER($P129),COUNTIFS($A$14:$A$1213,$A129,$P$14:$P$1213,"&gt;"&amp;$P129)+(COUNTIFS($A$14:$A$1213,$A129,$P$14:$P$1213,"="&amp;$P129)+1)/2,"")</f>
        <v/>
      </c>
      <c r="AD129" s="27">
        <f>IF(ISNUMBER($Q129),COUNTIFS($A$14:$A$1213,$A129,$Q$14:$Q$1213,"&gt;"&amp;$Q129)+(COUNTIFS($A$14:$A$1213,$A129,$Q$14:$Q$1213,"="&amp;$Q129)+1)/2,"")</f>
        <v/>
      </c>
      <c r="AE129" s="27">
        <f>IF(ISNUMBER($R129),COUNTIFS($A$14:$A$1213,$A129,$R$14:$R$1213,"&gt;"&amp;$R129)+(COUNTIFS($A$14:$A$1213,$A129,$R$14:$R$1213,"="&amp;$R129)+1)/2,"")</f>
        <v/>
      </c>
      <c r="AF129" s="27">
        <f>IF(ISNUMBER($S129),COUNTIFS($A$14:$A$1213,$A129,$S$14:$S$1213,"&gt;"&amp;$S129)+(COUNTIFS($A$14:$A$1213,$A129,$S$14:$S$1213,"="&amp;$S129)+1)/2,"")</f>
        <v/>
      </c>
      <c r="AG129" s="27">
        <f>IF(ISNUMBER($T129),COUNTIFS($A$14:$A$1213,$A129,$T$14:$T$1213,"&gt;"&amp;$T129)+(COUNTIFS($A$14:$A$1213,$A129,$T$14:$T$1213,"="&amp;$T129)+1)/2,"")</f>
        <v/>
      </c>
      <c r="AH129" s="27">
        <f>IF(COUNT($AC129:$AG129)&lt;2,"",IF(MAX($AC129:$AG129)=MIN($AC129:$AG129),0,1))</f>
        <v/>
      </c>
      <c r="AI129" s="27">
        <f>IF($A129="","",IF(COUNTIF($A$14:$A129,$A129)=1,COUNTIF($AI$13:AI128,"&gt;0")+1,""))</f>
        <v/>
      </c>
      <c r="AJ129" s="27">
        <f>IF(OR($H129="",COUNTIFS($A$14:$A$1213,$H129,$F$14:$F$1213,"&gt;=0")&lt;2,COUNTIFS($A$14:$A$1213,$H129,$F$14:$F$1213,_xlfn.MAXIFS($F$14:$F$1213,$A$14:$A$1213,$H129))&gt;1),"",IFERROR(INDEX($D$14:$D$1213,MATCH($H129&amp;"|"&amp;_xlfn.MAXIFS($F$14:$F$1213,$A$14:$A$1213,$H129),$AB$14:$AB$1213,0)),""))</f>
        <v/>
      </c>
      <c r="AK129" s="27">
        <f>IF(OR($H129="",COUNTIFS($A$14:$A$1213,$H129,$F$14:$F$1213,"&gt;=0")&lt;2,COUNTIFS($A$14:$A$1213,$H129,$F$14:$F$1213,_xlfn.MAXIFS($F$14:$F$1213,$A$14:$A$1213,$H129))&gt;1),"",IFERROR(INDEX($E$14:$E$1213,MATCH($H129&amp;"|"&amp;_xlfn.MAXIFS($F$14:$F$1213,$A$14:$A$1213,$H129),$AB$14:$AB$1213,0)),""))</f>
        <v/>
      </c>
      <c r="AL129" s="27">
        <f>IF(OR($H129="",COUNTIFS($A$14:$A$1213,$H129,$F$14:$F$1213,"&gt;=0")&lt;2,COUNTIFS($A$14:$A$1213,$H129,$F$14:$F$1213,_xlfn.MAXIFS($F$14:$F$1213,$A$14:$A$1213,$H129))&gt;1),"",IFERROR(INDEX($D$14:$D$1213,MATCH($H129&amp;"|"&amp;_xlfn.MAXIFS($F$14:$F$1213,$A$14:$A$1213,$H129,$F$14:$F$1213,"&lt;"&amp;_xlfn.MAXIFS($F$14:$F$1213,$A$14:$A$1213,$H129)),$AB$14:$AB$1213,0)),""))</f>
        <v/>
      </c>
      <c r="AM129" s="27">
        <f>IF(OR($H129="",COUNTIFS($A$14:$A$1213,$H129,$F$14:$F$1213,"&gt;=0")&lt;2,COUNTIFS($A$14:$A$1213,$H129,$F$14:$F$1213,_xlfn.MAXIFS($F$14:$F$1213,$A$14:$A$1213,$H129))&gt;1),"",IFERROR(INDEX($E$14:$E$1213,MATCH($H129&amp;"|"&amp;_xlfn.MAXIFS($F$14:$F$1213,$A$14:$A$1213,$H129,$F$14:$F$1213,"&lt;"&amp;_xlfn.MAXIFS($F$14:$F$1213,$A$14:$A$1213,$H129)),$AB$14:$AB$1213,0)),""))</f>
        <v/>
      </c>
      <c r="AN129" s="27">
        <f>IF(OR(NOT(ISNUMBER($AJ129)),NOT(ISNUMBER($AL129)),$AK129=0,$AM129=0),"",IF(OR((($AJ129+$AL129)/($AK129+$AM129))&lt;=0,(($AJ129+$AL129)/($AK129+$AM129))&gt;=1),"",($AJ129/$AK129-$AL129/$AM129)/SQRT((($AJ129+$AL129)/($AK129+$AM129))*(1-(($AJ129+$AL129)/($AK129+$AM129)))*(1/$AK129+1/$AM129))))</f>
        <v/>
      </c>
      <c r="AO129" s="27">
        <f>IF($A129="","",IF(AND(COUNTIFS($A$14:$A$1213,$A129,$F$14:$F$1213,"&gt;=0")=2,IFERROR(INDEX($M$14:$M$313,MATCH($A129,$H$14:$H$313,0)),"Yes")&lt;&gt;"Yes"),1,0))</f>
        <v/>
      </c>
    </row>
    <row r="130" ht="24" customHeight="1">
      <c r="A130" s="19" t="n"/>
      <c r="B130" s="20" t="n"/>
      <c r="C130" s="21">
        <f>IFERROR(AVERAGE(P130:T130),"")</f>
        <v/>
      </c>
      <c r="D130" s="29" t="n"/>
      <c r="E130" s="29" t="n"/>
      <c r="F130" s="30">
        <f>IF(AND(ISNUMBER($D130),ISNUMBER($E130),$E130&gt;0,$D130&lt;=$E130),$D130/$E130,"")</f>
        <v/>
      </c>
      <c r="H130" s="19">
        <f>IFERROR(INDEX($A$14:$A$1213,MATCH(117,$AI$14:$AI$1213,0)),"")</f>
        <v/>
      </c>
      <c r="I130" s="24">
        <f>IF($H130="","",IF(COUNTIFS($A$14:$A$1213,$H130,$C$14:$C$1213,"&gt;=0")=0,"—",IFERROR(INDEX($B$14:$B$1213,MATCH($H130&amp;"|1",$Z$14:$Z$1213,0)),"(tied)")))</f>
        <v/>
      </c>
      <c r="J130" s="25">
        <f>IF($H130="","",IF(OR(COUNTIFS($A$14:$A$1213,$H130,$C$14:$C$1213,"&gt;=0")=0,COUNTIFS($A$14:$A$1213,$H130,$F$14:$F$1213,"&gt;=0")=0),"—",IF(OR(ISERROR(MATCH($H130&amp;"|1",$Z$14:$Z$1213,0)),ISERROR(MATCH($H130&amp;"|1",$AA$14:$AA$1213,0))),"Tie",IF(MATCH($H130&amp;"|1",$Z$14:$Z$1213,0)=MATCH($H130&amp;"|1",$AA$14:$AA$1213,0),"Hit","Miss"))))</f>
        <v/>
      </c>
      <c r="K130" s="24">
        <f>IF($H130="","",IF(COUNTIFS($A$14:$A$1213,$H130,$F$14:$F$1213,"&gt;=0")=0,"—",IFERROR(INDEX($B$14:$B$1213,MATCH($H130&amp;"|1",$AA$14:$AA$1213,0)),"(tied)")))</f>
        <v/>
      </c>
      <c r="L130" s="25">
        <f>IF($H130="","",IF((--(COUNTIFS($A$14:$A$1213,$H130,$P$14:$P$1213,"&gt;=0")&gt;0)+--(COUNTIFS($A$14:$A$1213,$H130,$Q$14:$Q$1213,"&gt;=0")&gt;0)+--(COUNTIFS($A$14:$A$1213,$H130,$R$14:$R$1213,"&gt;=0")&gt;0)+--(COUNTIFS($A$14:$A$1213,$H130,$S$14:$S$1213,"&gt;=0")&gt;0)+--(COUNTIFS($A$14:$A$1213,$H130,$T$14:$T$1213,"&gt;=0")&gt;0))&lt;2,"—",IF(SUMIFS($AH$14:$AH$1213,$A$14:$A$1213,$H130)=0,"Yes","No")))</f>
        <v/>
      </c>
      <c r="M130" s="25">
        <f>IF($H130="","",IF(COUNTIFS($A$14:$A$1213,$H130,$F$14:$F$1213,"&gt;=0")&lt;2,"—",IF(COUNTIFS($A$14:$A$1213,$H130,$F$14:$F$1213,_xlfn.MAXIFS($F$14:$F$1213,$A$14:$A$1213,$H130))&gt;1,"No",IF(NOT(ISNUMBER($AN130)),"—",IF((2*(1-NORMSDIST(ABS($AN130))))&lt;0.05,"Yes","No")))))</f>
        <v/>
      </c>
      <c r="N130" s="21">
        <f>IF($H130="","",IF(NOT(ISNUMBER($AN130)),"—",IF((2*(1-NORMSDIST(ABS($AN130))))&lt;0.001,"&lt;0.001",TEXT((2*(1-NORMSDIST(ABS($AN130)))),"0.000"))))</f>
        <v/>
      </c>
      <c r="P130" s="26" t="n"/>
      <c r="Q130" s="26" t="n"/>
      <c r="R130" s="26" t="n"/>
      <c r="S130" s="26" t="n"/>
      <c r="T130" s="26" t="n"/>
      <c r="V130" s="27">
        <f>IF(ISNUMBER($C130),COUNTIFS($A$14:$A$1213,$A130,$C$14:$C$1213,"&gt;"&amp;$C130)+(COUNTIFS($A$14:$A$1213,$A130,$C$14:$C$1213,"="&amp;$C130)+1)/2,"")</f>
        <v/>
      </c>
      <c r="W130" s="27">
        <f>IF(ISNUMBER($F130),COUNTIFS($A$14:$A$1213,$A130,$F$14:$F$1213,"&gt;"&amp;$F130)+(COUNTIFS($A$14:$A$1213,$A130,$F$14:$F$1213,"="&amp;$F130)+1)/2,"")</f>
        <v/>
      </c>
      <c r="X130" s="27">
        <f>IF(OR(NOT(ISNUMBER($V130)),$AO130=1),"",$V130-(COUNTIFS($A$14:$A$1213,$A130,$C$14:$C$1213,"&gt;=0")+1)/2)</f>
        <v/>
      </c>
      <c r="Y130" s="27">
        <f>IF(OR(NOT(ISNUMBER($W130)),$AO130=1),"",$W130-(COUNTIFS($A$14:$A$1213,$A130,$F$14:$F$1213,"&gt;=0")+1)/2)</f>
        <v/>
      </c>
      <c r="Z130" s="27">
        <f>IF(ISNUMBER($V130),$A130&amp;"|"&amp;$V130,"")</f>
        <v/>
      </c>
      <c r="AA130" s="27">
        <f>IF(ISNUMBER($W130),$A130&amp;"|"&amp;$W130,"")</f>
        <v/>
      </c>
      <c r="AB130" s="27">
        <f>IF(ISNUMBER($F130),$A130&amp;"|"&amp;$F130,"")</f>
        <v/>
      </c>
      <c r="AC130" s="27">
        <f>IF(ISNUMBER($P130),COUNTIFS($A$14:$A$1213,$A130,$P$14:$P$1213,"&gt;"&amp;$P130)+(COUNTIFS($A$14:$A$1213,$A130,$P$14:$P$1213,"="&amp;$P130)+1)/2,"")</f>
        <v/>
      </c>
      <c r="AD130" s="27">
        <f>IF(ISNUMBER($Q130),COUNTIFS($A$14:$A$1213,$A130,$Q$14:$Q$1213,"&gt;"&amp;$Q130)+(COUNTIFS($A$14:$A$1213,$A130,$Q$14:$Q$1213,"="&amp;$Q130)+1)/2,"")</f>
        <v/>
      </c>
      <c r="AE130" s="27">
        <f>IF(ISNUMBER($R130),COUNTIFS($A$14:$A$1213,$A130,$R$14:$R$1213,"&gt;"&amp;$R130)+(COUNTIFS($A$14:$A$1213,$A130,$R$14:$R$1213,"="&amp;$R130)+1)/2,"")</f>
        <v/>
      </c>
      <c r="AF130" s="27">
        <f>IF(ISNUMBER($S130),COUNTIFS($A$14:$A$1213,$A130,$S$14:$S$1213,"&gt;"&amp;$S130)+(COUNTIFS($A$14:$A$1213,$A130,$S$14:$S$1213,"="&amp;$S130)+1)/2,"")</f>
        <v/>
      </c>
      <c r="AG130" s="27">
        <f>IF(ISNUMBER($T130),COUNTIFS($A$14:$A$1213,$A130,$T$14:$T$1213,"&gt;"&amp;$T130)+(COUNTIFS($A$14:$A$1213,$A130,$T$14:$T$1213,"="&amp;$T130)+1)/2,"")</f>
        <v/>
      </c>
      <c r="AH130" s="27">
        <f>IF(COUNT($AC130:$AG130)&lt;2,"",IF(MAX($AC130:$AG130)=MIN($AC130:$AG130),0,1))</f>
        <v/>
      </c>
      <c r="AI130" s="27">
        <f>IF($A130="","",IF(COUNTIF($A$14:$A130,$A130)=1,COUNTIF($AI$13:AI129,"&gt;0")+1,""))</f>
        <v/>
      </c>
      <c r="AJ130" s="27">
        <f>IF(OR($H130="",COUNTIFS($A$14:$A$1213,$H130,$F$14:$F$1213,"&gt;=0")&lt;2,COUNTIFS($A$14:$A$1213,$H130,$F$14:$F$1213,_xlfn.MAXIFS($F$14:$F$1213,$A$14:$A$1213,$H130))&gt;1),"",IFERROR(INDEX($D$14:$D$1213,MATCH($H130&amp;"|"&amp;_xlfn.MAXIFS($F$14:$F$1213,$A$14:$A$1213,$H130),$AB$14:$AB$1213,0)),""))</f>
        <v/>
      </c>
      <c r="AK130" s="27">
        <f>IF(OR($H130="",COUNTIFS($A$14:$A$1213,$H130,$F$14:$F$1213,"&gt;=0")&lt;2,COUNTIFS($A$14:$A$1213,$H130,$F$14:$F$1213,_xlfn.MAXIFS($F$14:$F$1213,$A$14:$A$1213,$H130))&gt;1),"",IFERROR(INDEX($E$14:$E$1213,MATCH($H130&amp;"|"&amp;_xlfn.MAXIFS($F$14:$F$1213,$A$14:$A$1213,$H130),$AB$14:$AB$1213,0)),""))</f>
        <v/>
      </c>
      <c r="AL130" s="27">
        <f>IF(OR($H130="",COUNTIFS($A$14:$A$1213,$H130,$F$14:$F$1213,"&gt;=0")&lt;2,COUNTIFS($A$14:$A$1213,$H130,$F$14:$F$1213,_xlfn.MAXIFS($F$14:$F$1213,$A$14:$A$1213,$H130))&gt;1),"",IFERROR(INDEX($D$14:$D$1213,MATCH($H130&amp;"|"&amp;_xlfn.MAXIFS($F$14:$F$1213,$A$14:$A$1213,$H130,$F$14:$F$1213,"&lt;"&amp;_xlfn.MAXIFS($F$14:$F$1213,$A$14:$A$1213,$H130)),$AB$14:$AB$1213,0)),""))</f>
        <v/>
      </c>
      <c r="AM130" s="27">
        <f>IF(OR($H130="",COUNTIFS($A$14:$A$1213,$H130,$F$14:$F$1213,"&gt;=0")&lt;2,COUNTIFS($A$14:$A$1213,$H130,$F$14:$F$1213,_xlfn.MAXIFS($F$14:$F$1213,$A$14:$A$1213,$H130))&gt;1),"",IFERROR(INDEX($E$14:$E$1213,MATCH($H130&amp;"|"&amp;_xlfn.MAXIFS($F$14:$F$1213,$A$14:$A$1213,$H130,$F$14:$F$1213,"&lt;"&amp;_xlfn.MAXIFS($F$14:$F$1213,$A$14:$A$1213,$H130)),$AB$14:$AB$1213,0)),""))</f>
        <v/>
      </c>
      <c r="AN130" s="27">
        <f>IF(OR(NOT(ISNUMBER($AJ130)),NOT(ISNUMBER($AL130)),$AK130=0,$AM130=0),"",IF(OR((($AJ130+$AL130)/($AK130+$AM130))&lt;=0,(($AJ130+$AL130)/($AK130+$AM130))&gt;=1),"",($AJ130/$AK130-$AL130/$AM130)/SQRT((($AJ130+$AL130)/($AK130+$AM130))*(1-(($AJ130+$AL130)/($AK130+$AM130)))*(1/$AK130+1/$AM130))))</f>
        <v/>
      </c>
      <c r="AO130" s="27">
        <f>IF($A130="","",IF(AND(COUNTIFS($A$14:$A$1213,$A130,$F$14:$F$1213,"&gt;=0")=2,IFERROR(INDEX($M$14:$M$313,MATCH($A130,$H$14:$H$313,0)),"Yes")&lt;&gt;"Yes"),1,0))</f>
        <v/>
      </c>
    </row>
    <row r="131" ht="24" customHeight="1">
      <c r="A131" s="19" t="n"/>
      <c r="B131" s="20" t="n"/>
      <c r="C131" s="21">
        <f>IFERROR(AVERAGE(P131:T131),"")</f>
        <v/>
      </c>
      <c r="D131" s="29" t="n"/>
      <c r="E131" s="29" t="n"/>
      <c r="F131" s="30">
        <f>IF(AND(ISNUMBER($D131),ISNUMBER($E131),$E131&gt;0,$D131&lt;=$E131),$D131/$E131,"")</f>
        <v/>
      </c>
      <c r="H131" s="19">
        <f>IFERROR(INDEX($A$14:$A$1213,MATCH(118,$AI$14:$AI$1213,0)),"")</f>
        <v/>
      </c>
      <c r="I131" s="24">
        <f>IF($H131="","",IF(COUNTIFS($A$14:$A$1213,$H131,$C$14:$C$1213,"&gt;=0")=0,"—",IFERROR(INDEX($B$14:$B$1213,MATCH($H131&amp;"|1",$Z$14:$Z$1213,0)),"(tied)")))</f>
        <v/>
      </c>
      <c r="J131" s="25">
        <f>IF($H131="","",IF(OR(COUNTIFS($A$14:$A$1213,$H131,$C$14:$C$1213,"&gt;=0")=0,COUNTIFS($A$14:$A$1213,$H131,$F$14:$F$1213,"&gt;=0")=0),"—",IF(OR(ISERROR(MATCH($H131&amp;"|1",$Z$14:$Z$1213,0)),ISERROR(MATCH($H131&amp;"|1",$AA$14:$AA$1213,0))),"Tie",IF(MATCH($H131&amp;"|1",$Z$14:$Z$1213,0)=MATCH($H131&amp;"|1",$AA$14:$AA$1213,0),"Hit","Miss"))))</f>
        <v/>
      </c>
      <c r="K131" s="24">
        <f>IF($H131="","",IF(COUNTIFS($A$14:$A$1213,$H131,$F$14:$F$1213,"&gt;=0")=0,"—",IFERROR(INDEX($B$14:$B$1213,MATCH($H131&amp;"|1",$AA$14:$AA$1213,0)),"(tied)")))</f>
        <v/>
      </c>
      <c r="L131" s="25">
        <f>IF($H131="","",IF((--(COUNTIFS($A$14:$A$1213,$H131,$P$14:$P$1213,"&gt;=0")&gt;0)+--(COUNTIFS($A$14:$A$1213,$H131,$Q$14:$Q$1213,"&gt;=0")&gt;0)+--(COUNTIFS($A$14:$A$1213,$H131,$R$14:$R$1213,"&gt;=0")&gt;0)+--(COUNTIFS($A$14:$A$1213,$H131,$S$14:$S$1213,"&gt;=0")&gt;0)+--(COUNTIFS($A$14:$A$1213,$H131,$T$14:$T$1213,"&gt;=0")&gt;0))&lt;2,"—",IF(SUMIFS($AH$14:$AH$1213,$A$14:$A$1213,$H131)=0,"Yes","No")))</f>
        <v/>
      </c>
      <c r="M131" s="25">
        <f>IF($H131="","",IF(COUNTIFS($A$14:$A$1213,$H131,$F$14:$F$1213,"&gt;=0")&lt;2,"—",IF(COUNTIFS($A$14:$A$1213,$H131,$F$14:$F$1213,_xlfn.MAXIFS($F$14:$F$1213,$A$14:$A$1213,$H131))&gt;1,"No",IF(NOT(ISNUMBER($AN131)),"—",IF((2*(1-NORMSDIST(ABS($AN131))))&lt;0.05,"Yes","No")))))</f>
        <v/>
      </c>
      <c r="N131" s="21">
        <f>IF($H131="","",IF(NOT(ISNUMBER($AN131)),"—",IF((2*(1-NORMSDIST(ABS($AN131))))&lt;0.001,"&lt;0.001",TEXT((2*(1-NORMSDIST(ABS($AN131)))),"0.000"))))</f>
        <v/>
      </c>
      <c r="P131" s="26" t="n"/>
      <c r="Q131" s="26" t="n"/>
      <c r="R131" s="26" t="n"/>
      <c r="S131" s="26" t="n"/>
      <c r="T131" s="26" t="n"/>
      <c r="V131" s="27">
        <f>IF(ISNUMBER($C131),COUNTIFS($A$14:$A$1213,$A131,$C$14:$C$1213,"&gt;"&amp;$C131)+(COUNTIFS($A$14:$A$1213,$A131,$C$14:$C$1213,"="&amp;$C131)+1)/2,"")</f>
        <v/>
      </c>
      <c r="W131" s="27">
        <f>IF(ISNUMBER($F131),COUNTIFS($A$14:$A$1213,$A131,$F$14:$F$1213,"&gt;"&amp;$F131)+(COUNTIFS($A$14:$A$1213,$A131,$F$14:$F$1213,"="&amp;$F131)+1)/2,"")</f>
        <v/>
      </c>
      <c r="X131" s="27">
        <f>IF(OR(NOT(ISNUMBER($V131)),$AO131=1),"",$V131-(COUNTIFS($A$14:$A$1213,$A131,$C$14:$C$1213,"&gt;=0")+1)/2)</f>
        <v/>
      </c>
      <c r="Y131" s="27">
        <f>IF(OR(NOT(ISNUMBER($W131)),$AO131=1),"",$W131-(COUNTIFS($A$14:$A$1213,$A131,$F$14:$F$1213,"&gt;=0")+1)/2)</f>
        <v/>
      </c>
      <c r="Z131" s="27">
        <f>IF(ISNUMBER($V131),$A131&amp;"|"&amp;$V131,"")</f>
        <v/>
      </c>
      <c r="AA131" s="27">
        <f>IF(ISNUMBER($W131),$A131&amp;"|"&amp;$W131,"")</f>
        <v/>
      </c>
      <c r="AB131" s="27">
        <f>IF(ISNUMBER($F131),$A131&amp;"|"&amp;$F131,"")</f>
        <v/>
      </c>
      <c r="AC131" s="27">
        <f>IF(ISNUMBER($P131),COUNTIFS($A$14:$A$1213,$A131,$P$14:$P$1213,"&gt;"&amp;$P131)+(COUNTIFS($A$14:$A$1213,$A131,$P$14:$P$1213,"="&amp;$P131)+1)/2,"")</f>
        <v/>
      </c>
      <c r="AD131" s="27">
        <f>IF(ISNUMBER($Q131),COUNTIFS($A$14:$A$1213,$A131,$Q$14:$Q$1213,"&gt;"&amp;$Q131)+(COUNTIFS($A$14:$A$1213,$A131,$Q$14:$Q$1213,"="&amp;$Q131)+1)/2,"")</f>
        <v/>
      </c>
      <c r="AE131" s="27">
        <f>IF(ISNUMBER($R131),COUNTIFS($A$14:$A$1213,$A131,$R$14:$R$1213,"&gt;"&amp;$R131)+(COUNTIFS($A$14:$A$1213,$A131,$R$14:$R$1213,"="&amp;$R131)+1)/2,"")</f>
        <v/>
      </c>
      <c r="AF131" s="27">
        <f>IF(ISNUMBER($S131),COUNTIFS($A$14:$A$1213,$A131,$S$14:$S$1213,"&gt;"&amp;$S131)+(COUNTIFS($A$14:$A$1213,$A131,$S$14:$S$1213,"="&amp;$S131)+1)/2,"")</f>
        <v/>
      </c>
      <c r="AG131" s="27">
        <f>IF(ISNUMBER($T131),COUNTIFS($A$14:$A$1213,$A131,$T$14:$T$1213,"&gt;"&amp;$T131)+(COUNTIFS($A$14:$A$1213,$A131,$T$14:$T$1213,"="&amp;$T131)+1)/2,"")</f>
        <v/>
      </c>
      <c r="AH131" s="27">
        <f>IF(COUNT($AC131:$AG131)&lt;2,"",IF(MAX($AC131:$AG131)=MIN($AC131:$AG131),0,1))</f>
        <v/>
      </c>
      <c r="AI131" s="27">
        <f>IF($A131="","",IF(COUNTIF($A$14:$A131,$A131)=1,COUNTIF($AI$13:AI130,"&gt;0")+1,""))</f>
        <v/>
      </c>
      <c r="AJ131" s="27">
        <f>IF(OR($H131="",COUNTIFS($A$14:$A$1213,$H131,$F$14:$F$1213,"&gt;=0")&lt;2,COUNTIFS($A$14:$A$1213,$H131,$F$14:$F$1213,_xlfn.MAXIFS($F$14:$F$1213,$A$14:$A$1213,$H131))&gt;1),"",IFERROR(INDEX($D$14:$D$1213,MATCH($H131&amp;"|"&amp;_xlfn.MAXIFS($F$14:$F$1213,$A$14:$A$1213,$H131),$AB$14:$AB$1213,0)),""))</f>
        <v/>
      </c>
      <c r="AK131" s="27">
        <f>IF(OR($H131="",COUNTIFS($A$14:$A$1213,$H131,$F$14:$F$1213,"&gt;=0")&lt;2,COUNTIFS($A$14:$A$1213,$H131,$F$14:$F$1213,_xlfn.MAXIFS($F$14:$F$1213,$A$14:$A$1213,$H131))&gt;1),"",IFERROR(INDEX($E$14:$E$1213,MATCH($H131&amp;"|"&amp;_xlfn.MAXIFS($F$14:$F$1213,$A$14:$A$1213,$H131),$AB$14:$AB$1213,0)),""))</f>
        <v/>
      </c>
      <c r="AL131" s="27">
        <f>IF(OR($H131="",COUNTIFS($A$14:$A$1213,$H131,$F$14:$F$1213,"&gt;=0")&lt;2,COUNTIFS($A$14:$A$1213,$H131,$F$14:$F$1213,_xlfn.MAXIFS($F$14:$F$1213,$A$14:$A$1213,$H131))&gt;1),"",IFERROR(INDEX($D$14:$D$1213,MATCH($H131&amp;"|"&amp;_xlfn.MAXIFS($F$14:$F$1213,$A$14:$A$1213,$H131,$F$14:$F$1213,"&lt;"&amp;_xlfn.MAXIFS($F$14:$F$1213,$A$14:$A$1213,$H131)),$AB$14:$AB$1213,0)),""))</f>
        <v/>
      </c>
      <c r="AM131" s="27">
        <f>IF(OR($H131="",COUNTIFS($A$14:$A$1213,$H131,$F$14:$F$1213,"&gt;=0")&lt;2,COUNTIFS($A$14:$A$1213,$H131,$F$14:$F$1213,_xlfn.MAXIFS($F$14:$F$1213,$A$14:$A$1213,$H131))&gt;1),"",IFERROR(INDEX($E$14:$E$1213,MATCH($H131&amp;"|"&amp;_xlfn.MAXIFS($F$14:$F$1213,$A$14:$A$1213,$H131,$F$14:$F$1213,"&lt;"&amp;_xlfn.MAXIFS($F$14:$F$1213,$A$14:$A$1213,$H131)),$AB$14:$AB$1213,0)),""))</f>
        <v/>
      </c>
      <c r="AN131" s="27">
        <f>IF(OR(NOT(ISNUMBER($AJ131)),NOT(ISNUMBER($AL131)),$AK131=0,$AM131=0),"",IF(OR((($AJ131+$AL131)/($AK131+$AM131))&lt;=0,(($AJ131+$AL131)/($AK131+$AM131))&gt;=1),"",($AJ131/$AK131-$AL131/$AM131)/SQRT((($AJ131+$AL131)/($AK131+$AM131))*(1-(($AJ131+$AL131)/($AK131+$AM131)))*(1/$AK131+1/$AM131))))</f>
        <v/>
      </c>
      <c r="AO131" s="27">
        <f>IF($A131="","",IF(AND(COUNTIFS($A$14:$A$1213,$A131,$F$14:$F$1213,"&gt;=0")=2,IFERROR(INDEX($M$14:$M$313,MATCH($A131,$H$14:$H$313,0)),"Yes")&lt;&gt;"Yes"),1,0))</f>
        <v/>
      </c>
    </row>
    <row r="132" ht="24" customHeight="1">
      <c r="A132" s="19" t="n"/>
      <c r="B132" s="20" t="n"/>
      <c r="C132" s="21">
        <f>IFERROR(AVERAGE(P132:T132),"")</f>
        <v/>
      </c>
      <c r="D132" s="29" t="n"/>
      <c r="E132" s="29" t="n"/>
      <c r="F132" s="30">
        <f>IF(AND(ISNUMBER($D132),ISNUMBER($E132),$E132&gt;0,$D132&lt;=$E132),$D132/$E132,"")</f>
        <v/>
      </c>
      <c r="H132" s="19">
        <f>IFERROR(INDEX($A$14:$A$1213,MATCH(119,$AI$14:$AI$1213,0)),"")</f>
        <v/>
      </c>
      <c r="I132" s="24">
        <f>IF($H132="","",IF(COUNTIFS($A$14:$A$1213,$H132,$C$14:$C$1213,"&gt;=0")=0,"—",IFERROR(INDEX($B$14:$B$1213,MATCH($H132&amp;"|1",$Z$14:$Z$1213,0)),"(tied)")))</f>
        <v/>
      </c>
      <c r="J132" s="25">
        <f>IF($H132="","",IF(OR(COUNTIFS($A$14:$A$1213,$H132,$C$14:$C$1213,"&gt;=0")=0,COUNTIFS($A$14:$A$1213,$H132,$F$14:$F$1213,"&gt;=0")=0),"—",IF(OR(ISERROR(MATCH($H132&amp;"|1",$Z$14:$Z$1213,0)),ISERROR(MATCH($H132&amp;"|1",$AA$14:$AA$1213,0))),"Tie",IF(MATCH($H132&amp;"|1",$Z$14:$Z$1213,0)=MATCH($H132&amp;"|1",$AA$14:$AA$1213,0),"Hit","Miss"))))</f>
        <v/>
      </c>
      <c r="K132" s="24">
        <f>IF($H132="","",IF(COUNTIFS($A$14:$A$1213,$H132,$F$14:$F$1213,"&gt;=0")=0,"—",IFERROR(INDEX($B$14:$B$1213,MATCH($H132&amp;"|1",$AA$14:$AA$1213,0)),"(tied)")))</f>
        <v/>
      </c>
      <c r="L132" s="25">
        <f>IF($H132="","",IF((--(COUNTIFS($A$14:$A$1213,$H132,$P$14:$P$1213,"&gt;=0")&gt;0)+--(COUNTIFS($A$14:$A$1213,$H132,$Q$14:$Q$1213,"&gt;=0")&gt;0)+--(COUNTIFS($A$14:$A$1213,$H132,$R$14:$R$1213,"&gt;=0")&gt;0)+--(COUNTIFS($A$14:$A$1213,$H132,$S$14:$S$1213,"&gt;=0")&gt;0)+--(COUNTIFS($A$14:$A$1213,$H132,$T$14:$T$1213,"&gt;=0")&gt;0))&lt;2,"—",IF(SUMIFS($AH$14:$AH$1213,$A$14:$A$1213,$H132)=0,"Yes","No")))</f>
        <v/>
      </c>
      <c r="M132" s="25">
        <f>IF($H132="","",IF(COUNTIFS($A$14:$A$1213,$H132,$F$14:$F$1213,"&gt;=0")&lt;2,"—",IF(COUNTIFS($A$14:$A$1213,$H132,$F$14:$F$1213,_xlfn.MAXIFS($F$14:$F$1213,$A$14:$A$1213,$H132))&gt;1,"No",IF(NOT(ISNUMBER($AN132)),"—",IF((2*(1-NORMSDIST(ABS($AN132))))&lt;0.05,"Yes","No")))))</f>
        <v/>
      </c>
      <c r="N132" s="21">
        <f>IF($H132="","",IF(NOT(ISNUMBER($AN132)),"—",IF((2*(1-NORMSDIST(ABS($AN132))))&lt;0.001,"&lt;0.001",TEXT((2*(1-NORMSDIST(ABS($AN132)))),"0.000"))))</f>
        <v/>
      </c>
      <c r="P132" s="26" t="n"/>
      <c r="Q132" s="26" t="n"/>
      <c r="R132" s="26" t="n"/>
      <c r="S132" s="26" t="n"/>
      <c r="T132" s="26" t="n"/>
      <c r="V132" s="27">
        <f>IF(ISNUMBER($C132),COUNTIFS($A$14:$A$1213,$A132,$C$14:$C$1213,"&gt;"&amp;$C132)+(COUNTIFS($A$14:$A$1213,$A132,$C$14:$C$1213,"="&amp;$C132)+1)/2,"")</f>
        <v/>
      </c>
      <c r="W132" s="27">
        <f>IF(ISNUMBER($F132),COUNTIFS($A$14:$A$1213,$A132,$F$14:$F$1213,"&gt;"&amp;$F132)+(COUNTIFS($A$14:$A$1213,$A132,$F$14:$F$1213,"="&amp;$F132)+1)/2,"")</f>
        <v/>
      </c>
      <c r="X132" s="27">
        <f>IF(OR(NOT(ISNUMBER($V132)),$AO132=1),"",$V132-(COUNTIFS($A$14:$A$1213,$A132,$C$14:$C$1213,"&gt;=0")+1)/2)</f>
        <v/>
      </c>
      <c r="Y132" s="27">
        <f>IF(OR(NOT(ISNUMBER($W132)),$AO132=1),"",$W132-(COUNTIFS($A$14:$A$1213,$A132,$F$14:$F$1213,"&gt;=0")+1)/2)</f>
        <v/>
      </c>
      <c r="Z132" s="27">
        <f>IF(ISNUMBER($V132),$A132&amp;"|"&amp;$V132,"")</f>
        <v/>
      </c>
      <c r="AA132" s="27">
        <f>IF(ISNUMBER($W132),$A132&amp;"|"&amp;$W132,"")</f>
        <v/>
      </c>
      <c r="AB132" s="27">
        <f>IF(ISNUMBER($F132),$A132&amp;"|"&amp;$F132,"")</f>
        <v/>
      </c>
      <c r="AC132" s="27">
        <f>IF(ISNUMBER($P132),COUNTIFS($A$14:$A$1213,$A132,$P$14:$P$1213,"&gt;"&amp;$P132)+(COUNTIFS($A$14:$A$1213,$A132,$P$14:$P$1213,"="&amp;$P132)+1)/2,"")</f>
        <v/>
      </c>
      <c r="AD132" s="27">
        <f>IF(ISNUMBER($Q132),COUNTIFS($A$14:$A$1213,$A132,$Q$14:$Q$1213,"&gt;"&amp;$Q132)+(COUNTIFS($A$14:$A$1213,$A132,$Q$14:$Q$1213,"="&amp;$Q132)+1)/2,"")</f>
        <v/>
      </c>
      <c r="AE132" s="27">
        <f>IF(ISNUMBER($R132),COUNTIFS($A$14:$A$1213,$A132,$R$14:$R$1213,"&gt;"&amp;$R132)+(COUNTIFS($A$14:$A$1213,$A132,$R$14:$R$1213,"="&amp;$R132)+1)/2,"")</f>
        <v/>
      </c>
      <c r="AF132" s="27">
        <f>IF(ISNUMBER($S132),COUNTIFS($A$14:$A$1213,$A132,$S$14:$S$1213,"&gt;"&amp;$S132)+(COUNTIFS($A$14:$A$1213,$A132,$S$14:$S$1213,"="&amp;$S132)+1)/2,"")</f>
        <v/>
      </c>
      <c r="AG132" s="27">
        <f>IF(ISNUMBER($T132),COUNTIFS($A$14:$A$1213,$A132,$T$14:$T$1213,"&gt;"&amp;$T132)+(COUNTIFS($A$14:$A$1213,$A132,$T$14:$T$1213,"="&amp;$T132)+1)/2,"")</f>
        <v/>
      </c>
      <c r="AH132" s="27">
        <f>IF(COUNT($AC132:$AG132)&lt;2,"",IF(MAX($AC132:$AG132)=MIN($AC132:$AG132),0,1))</f>
        <v/>
      </c>
      <c r="AI132" s="27">
        <f>IF($A132="","",IF(COUNTIF($A$14:$A132,$A132)=1,COUNTIF($AI$13:AI131,"&gt;0")+1,""))</f>
        <v/>
      </c>
      <c r="AJ132" s="27">
        <f>IF(OR($H132="",COUNTIFS($A$14:$A$1213,$H132,$F$14:$F$1213,"&gt;=0")&lt;2,COUNTIFS($A$14:$A$1213,$H132,$F$14:$F$1213,_xlfn.MAXIFS($F$14:$F$1213,$A$14:$A$1213,$H132))&gt;1),"",IFERROR(INDEX($D$14:$D$1213,MATCH($H132&amp;"|"&amp;_xlfn.MAXIFS($F$14:$F$1213,$A$14:$A$1213,$H132),$AB$14:$AB$1213,0)),""))</f>
        <v/>
      </c>
      <c r="AK132" s="27">
        <f>IF(OR($H132="",COUNTIFS($A$14:$A$1213,$H132,$F$14:$F$1213,"&gt;=0")&lt;2,COUNTIFS($A$14:$A$1213,$H132,$F$14:$F$1213,_xlfn.MAXIFS($F$14:$F$1213,$A$14:$A$1213,$H132))&gt;1),"",IFERROR(INDEX($E$14:$E$1213,MATCH($H132&amp;"|"&amp;_xlfn.MAXIFS($F$14:$F$1213,$A$14:$A$1213,$H132),$AB$14:$AB$1213,0)),""))</f>
        <v/>
      </c>
      <c r="AL132" s="27">
        <f>IF(OR($H132="",COUNTIFS($A$14:$A$1213,$H132,$F$14:$F$1213,"&gt;=0")&lt;2,COUNTIFS($A$14:$A$1213,$H132,$F$14:$F$1213,_xlfn.MAXIFS($F$14:$F$1213,$A$14:$A$1213,$H132))&gt;1),"",IFERROR(INDEX($D$14:$D$1213,MATCH($H132&amp;"|"&amp;_xlfn.MAXIFS($F$14:$F$1213,$A$14:$A$1213,$H132,$F$14:$F$1213,"&lt;"&amp;_xlfn.MAXIFS($F$14:$F$1213,$A$14:$A$1213,$H132)),$AB$14:$AB$1213,0)),""))</f>
        <v/>
      </c>
      <c r="AM132" s="27">
        <f>IF(OR($H132="",COUNTIFS($A$14:$A$1213,$H132,$F$14:$F$1213,"&gt;=0")&lt;2,COUNTIFS($A$14:$A$1213,$H132,$F$14:$F$1213,_xlfn.MAXIFS($F$14:$F$1213,$A$14:$A$1213,$H132))&gt;1),"",IFERROR(INDEX($E$14:$E$1213,MATCH($H132&amp;"|"&amp;_xlfn.MAXIFS($F$14:$F$1213,$A$14:$A$1213,$H132,$F$14:$F$1213,"&lt;"&amp;_xlfn.MAXIFS($F$14:$F$1213,$A$14:$A$1213,$H132)),$AB$14:$AB$1213,0)),""))</f>
        <v/>
      </c>
      <c r="AN132" s="27">
        <f>IF(OR(NOT(ISNUMBER($AJ132)),NOT(ISNUMBER($AL132)),$AK132=0,$AM132=0),"",IF(OR((($AJ132+$AL132)/($AK132+$AM132))&lt;=0,(($AJ132+$AL132)/($AK132+$AM132))&gt;=1),"",($AJ132/$AK132-$AL132/$AM132)/SQRT((($AJ132+$AL132)/($AK132+$AM132))*(1-(($AJ132+$AL132)/($AK132+$AM132)))*(1/$AK132+1/$AM132))))</f>
        <v/>
      </c>
      <c r="AO132" s="27">
        <f>IF($A132="","",IF(AND(COUNTIFS($A$14:$A$1213,$A132,$F$14:$F$1213,"&gt;=0")=2,IFERROR(INDEX($M$14:$M$313,MATCH($A132,$H$14:$H$313,0)),"Yes")&lt;&gt;"Yes"),1,0))</f>
        <v/>
      </c>
    </row>
    <row r="133" ht="24" customHeight="1">
      <c r="A133" s="19" t="n"/>
      <c r="B133" s="20" t="n"/>
      <c r="C133" s="21">
        <f>IFERROR(AVERAGE(P133:T133),"")</f>
        <v/>
      </c>
      <c r="D133" s="29" t="n"/>
      <c r="E133" s="29" t="n"/>
      <c r="F133" s="30">
        <f>IF(AND(ISNUMBER($D133),ISNUMBER($E133),$E133&gt;0,$D133&lt;=$E133),$D133/$E133,"")</f>
        <v/>
      </c>
      <c r="H133" s="19">
        <f>IFERROR(INDEX($A$14:$A$1213,MATCH(120,$AI$14:$AI$1213,0)),"")</f>
        <v/>
      </c>
      <c r="I133" s="24">
        <f>IF($H133="","",IF(COUNTIFS($A$14:$A$1213,$H133,$C$14:$C$1213,"&gt;=0")=0,"—",IFERROR(INDEX($B$14:$B$1213,MATCH($H133&amp;"|1",$Z$14:$Z$1213,0)),"(tied)")))</f>
        <v/>
      </c>
      <c r="J133" s="25">
        <f>IF($H133="","",IF(OR(COUNTIFS($A$14:$A$1213,$H133,$C$14:$C$1213,"&gt;=0")=0,COUNTIFS($A$14:$A$1213,$H133,$F$14:$F$1213,"&gt;=0")=0),"—",IF(OR(ISERROR(MATCH($H133&amp;"|1",$Z$14:$Z$1213,0)),ISERROR(MATCH($H133&amp;"|1",$AA$14:$AA$1213,0))),"Tie",IF(MATCH($H133&amp;"|1",$Z$14:$Z$1213,0)=MATCH($H133&amp;"|1",$AA$14:$AA$1213,0),"Hit","Miss"))))</f>
        <v/>
      </c>
      <c r="K133" s="24">
        <f>IF($H133="","",IF(COUNTIFS($A$14:$A$1213,$H133,$F$14:$F$1213,"&gt;=0")=0,"—",IFERROR(INDEX($B$14:$B$1213,MATCH($H133&amp;"|1",$AA$14:$AA$1213,0)),"(tied)")))</f>
        <v/>
      </c>
      <c r="L133" s="25">
        <f>IF($H133="","",IF((--(COUNTIFS($A$14:$A$1213,$H133,$P$14:$P$1213,"&gt;=0")&gt;0)+--(COUNTIFS($A$14:$A$1213,$H133,$Q$14:$Q$1213,"&gt;=0")&gt;0)+--(COUNTIFS($A$14:$A$1213,$H133,$R$14:$R$1213,"&gt;=0")&gt;0)+--(COUNTIFS($A$14:$A$1213,$H133,$S$14:$S$1213,"&gt;=0")&gt;0)+--(COUNTIFS($A$14:$A$1213,$H133,$T$14:$T$1213,"&gt;=0")&gt;0))&lt;2,"—",IF(SUMIFS($AH$14:$AH$1213,$A$14:$A$1213,$H133)=0,"Yes","No")))</f>
        <v/>
      </c>
      <c r="M133" s="25">
        <f>IF($H133="","",IF(COUNTIFS($A$14:$A$1213,$H133,$F$14:$F$1213,"&gt;=0")&lt;2,"—",IF(COUNTIFS($A$14:$A$1213,$H133,$F$14:$F$1213,_xlfn.MAXIFS($F$14:$F$1213,$A$14:$A$1213,$H133))&gt;1,"No",IF(NOT(ISNUMBER($AN133)),"—",IF((2*(1-NORMSDIST(ABS($AN133))))&lt;0.05,"Yes","No")))))</f>
        <v/>
      </c>
      <c r="N133" s="21">
        <f>IF($H133="","",IF(NOT(ISNUMBER($AN133)),"—",IF((2*(1-NORMSDIST(ABS($AN133))))&lt;0.001,"&lt;0.001",TEXT((2*(1-NORMSDIST(ABS($AN133)))),"0.000"))))</f>
        <v/>
      </c>
      <c r="P133" s="26" t="n"/>
      <c r="Q133" s="26" t="n"/>
      <c r="R133" s="26" t="n"/>
      <c r="S133" s="26" t="n"/>
      <c r="T133" s="26" t="n"/>
      <c r="V133" s="27">
        <f>IF(ISNUMBER($C133),COUNTIFS($A$14:$A$1213,$A133,$C$14:$C$1213,"&gt;"&amp;$C133)+(COUNTIFS($A$14:$A$1213,$A133,$C$14:$C$1213,"="&amp;$C133)+1)/2,"")</f>
        <v/>
      </c>
      <c r="W133" s="27">
        <f>IF(ISNUMBER($F133),COUNTIFS($A$14:$A$1213,$A133,$F$14:$F$1213,"&gt;"&amp;$F133)+(COUNTIFS($A$14:$A$1213,$A133,$F$14:$F$1213,"="&amp;$F133)+1)/2,"")</f>
        <v/>
      </c>
      <c r="X133" s="27">
        <f>IF(OR(NOT(ISNUMBER($V133)),$AO133=1),"",$V133-(COUNTIFS($A$14:$A$1213,$A133,$C$14:$C$1213,"&gt;=0")+1)/2)</f>
        <v/>
      </c>
      <c r="Y133" s="27">
        <f>IF(OR(NOT(ISNUMBER($W133)),$AO133=1),"",$W133-(COUNTIFS($A$14:$A$1213,$A133,$F$14:$F$1213,"&gt;=0")+1)/2)</f>
        <v/>
      </c>
      <c r="Z133" s="27">
        <f>IF(ISNUMBER($V133),$A133&amp;"|"&amp;$V133,"")</f>
        <v/>
      </c>
      <c r="AA133" s="27">
        <f>IF(ISNUMBER($W133),$A133&amp;"|"&amp;$W133,"")</f>
        <v/>
      </c>
      <c r="AB133" s="27">
        <f>IF(ISNUMBER($F133),$A133&amp;"|"&amp;$F133,"")</f>
        <v/>
      </c>
      <c r="AC133" s="27">
        <f>IF(ISNUMBER($P133),COUNTIFS($A$14:$A$1213,$A133,$P$14:$P$1213,"&gt;"&amp;$P133)+(COUNTIFS($A$14:$A$1213,$A133,$P$14:$P$1213,"="&amp;$P133)+1)/2,"")</f>
        <v/>
      </c>
      <c r="AD133" s="27">
        <f>IF(ISNUMBER($Q133),COUNTIFS($A$14:$A$1213,$A133,$Q$14:$Q$1213,"&gt;"&amp;$Q133)+(COUNTIFS($A$14:$A$1213,$A133,$Q$14:$Q$1213,"="&amp;$Q133)+1)/2,"")</f>
        <v/>
      </c>
      <c r="AE133" s="27">
        <f>IF(ISNUMBER($R133),COUNTIFS($A$14:$A$1213,$A133,$R$14:$R$1213,"&gt;"&amp;$R133)+(COUNTIFS($A$14:$A$1213,$A133,$R$14:$R$1213,"="&amp;$R133)+1)/2,"")</f>
        <v/>
      </c>
      <c r="AF133" s="27">
        <f>IF(ISNUMBER($S133),COUNTIFS($A$14:$A$1213,$A133,$S$14:$S$1213,"&gt;"&amp;$S133)+(COUNTIFS($A$14:$A$1213,$A133,$S$14:$S$1213,"="&amp;$S133)+1)/2,"")</f>
        <v/>
      </c>
      <c r="AG133" s="27">
        <f>IF(ISNUMBER($T133),COUNTIFS($A$14:$A$1213,$A133,$T$14:$T$1213,"&gt;"&amp;$T133)+(COUNTIFS($A$14:$A$1213,$A133,$T$14:$T$1213,"="&amp;$T133)+1)/2,"")</f>
        <v/>
      </c>
      <c r="AH133" s="27">
        <f>IF(COUNT($AC133:$AG133)&lt;2,"",IF(MAX($AC133:$AG133)=MIN($AC133:$AG133),0,1))</f>
        <v/>
      </c>
      <c r="AI133" s="27">
        <f>IF($A133="","",IF(COUNTIF($A$14:$A133,$A133)=1,COUNTIF($AI$13:AI132,"&gt;0")+1,""))</f>
        <v/>
      </c>
      <c r="AJ133" s="27">
        <f>IF(OR($H133="",COUNTIFS($A$14:$A$1213,$H133,$F$14:$F$1213,"&gt;=0")&lt;2,COUNTIFS($A$14:$A$1213,$H133,$F$14:$F$1213,_xlfn.MAXIFS($F$14:$F$1213,$A$14:$A$1213,$H133))&gt;1),"",IFERROR(INDEX($D$14:$D$1213,MATCH($H133&amp;"|"&amp;_xlfn.MAXIFS($F$14:$F$1213,$A$14:$A$1213,$H133),$AB$14:$AB$1213,0)),""))</f>
        <v/>
      </c>
      <c r="AK133" s="27">
        <f>IF(OR($H133="",COUNTIFS($A$14:$A$1213,$H133,$F$14:$F$1213,"&gt;=0")&lt;2,COUNTIFS($A$14:$A$1213,$H133,$F$14:$F$1213,_xlfn.MAXIFS($F$14:$F$1213,$A$14:$A$1213,$H133))&gt;1),"",IFERROR(INDEX($E$14:$E$1213,MATCH($H133&amp;"|"&amp;_xlfn.MAXIFS($F$14:$F$1213,$A$14:$A$1213,$H133),$AB$14:$AB$1213,0)),""))</f>
        <v/>
      </c>
      <c r="AL133" s="27">
        <f>IF(OR($H133="",COUNTIFS($A$14:$A$1213,$H133,$F$14:$F$1213,"&gt;=0")&lt;2,COUNTIFS($A$14:$A$1213,$H133,$F$14:$F$1213,_xlfn.MAXIFS($F$14:$F$1213,$A$14:$A$1213,$H133))&gt;1),"",IFERROR(INDEX($D$14:$D$1213,MATCH($H133&amp;"|"&amp;_xlfn.MAXIFS($F$14:$F$1213,$A$14:$A$1213,$H133,$F$14:$F$1213,"&lt;"&amp;_xlfn.MAXIFS($F$14:$F$1213,$A$14:$A$1213,$H133)),$AB$14:$AB$1213,0)),""))</f>
        <v/>
      </c>
      <c r="AM133" s="27">
        <f>IF(OR($H133="",COUNTIFS($A$14:$A$1213,$H133,$F$14:$F$1213,"&gt;=0")&lt;2,COUNTIFS($A$14:$A$1213,$H133,$F$14:$F$1213,_xlfn.MAXIFS($F$14:$F$1213,$A$14:$A$1213,$H133))&gt;1),"",IFERROR(INDEX($E$14:$E$1213,MATCH($H133&amp;"|"&amp;_xlfn.MAXIFS($F$14:$F$1213,$A$14:$A$1213,$H133,$F$14:$F$1213,"&lt;"&amp;_xlfn.MAXIFS($F$14:$F$1213,$A$14:$A$1213,$H133)),$AB$14:$AB$1213,0)),""))</f>
        <v/>
      </c>
      <c r="AN133" s="27">
        <f>IF(OR(NOT(ISNUMBER($AJ133)),NOT(ISNUMBER($AL133)),$AK133=0,$AM133=0),"",IF(OR((($AJ133+$AL133)/($AK133+$AM133))&lt;=0,(($AJ133+$AL133)/($AK133+$AM133))&gt;=1),"",($AJ133/$AK133-$AL133/$AM133)/SQRT((($AJ133+$AL133)/($AK133+$AM133))*(1-(($AJ133+$AL133)/($AK133+$AM133)))*(1/$AK133+1/$AM133))))</f>
        <v/>
      </c>
      <c r="AO133" s="27">
        <f>IF($A133="","",IF(AND(COUNTIFS($A$14:$A$1213,$A133,$F$14:$F$1213,"&gt;=0")=2,IFERROR(INDEX($M$14:$M$313,MATCH($A133,$H$14:$H$313,0)),"Yes")&lt;&gt;"Yes"),1,0))</f>
        <v/>
      </c>
    </row>
    <row r="134" ht="24" customHeight="1">
      <c r="A134" s="19" t="n"/>
      <c r="B134" s="20" t="n"/>
      <c r="C134" s="21">
        <f>IFERROR(AVERAGE(P134:T134),"")</f>
        <v/>
      </c>
      <c r="D134" s="29" t="n"/>
      <c r="E134" s="29" t="n"/>
      <c r="F134" s="30">
        <f>IF(AND(ISNUMBER($D134),ISNUMBER($E134),$E134&gt;0,$D134&lt;=$E134),$D134/$E134,"")</f>
        <v/>
      </c>
      <c r="H134" s="19">
        <f>IFERROR(INDEX($A$14:$A$1213,MATCH(121,$AI$14:$AI$1213,0)),"")</f>
        <v/>
      </c>
      <c r="I134" s="24">
        <f>IF($H134="","",IF(COUNTIFS($A$14:$A$1213,$H134,$C$14:$C$1213,"&gt;=0")=0,"—",IFERROR(INDEX($B$14:$B$1213,MATCH($H134&amp;"|1",$Z$14:$Z$1213,0)),"(tied)")))</f>
        <v/>
      </c>
      <c r="J134" s="25">
        <f>IF($H134="","",IF(OR(COUNTIFS($A$14:$A$1213,$H134,$C$14:$C$1213,"&gt;=0")=0,COUNTIFS($A$14:$A$1213,$H134,$F$14:$F$1213,"&gt;=0")=0),"—",IF(OR(ISERROR(MATCH($H134&amp;"|1",$Z$14:$Z$1213,0)),ISERROR(MATCH($H134&amp;"|1",$AA$14:$AA$1213,0))),"Tie",IF(MATCH($H134&amp;"|1",$Z$14:$Z$1213,0)=MATCH($H134&amp;"|1",$AA$14:$AA$1213,0),"Hit","Miss"))))</f>
        <v/>
      </c>
      <c r="K134" s="24">
        <f>IF($H134="","",IF(COUNTIFS($A$14:$A$1213,$H134,$F$14:$F$1213,"&gt;=0")=0,"—",IFERROR(INDEX($B$14:$B$1213,MATCH($H134&amp;"|1",$AA$14:$AA$1213,0)),"(tied)")))</f>
        <v/>
      </c>
      <c r="L134" s="25">
        <f>IF($H134="","",IF((--(COUNTIFS($A$14:$A$1213,$H134,$P$14:$P$1213,"&gt;=0")&gt;0)+--(COUNTIFS($A$14:$A$1213,$H134,$Q$14:$Q$1213,"&gt;=0")&gt;0)+--(COUNTIFS($A$14:$A$1213,$H134,$R$14:$R$1213,"&gt;=0")&gt;0)+--(COUNTIFS($A$14:$A$1213,$H134,$S$14:$S$1213,"&gt;=0")&gt;0)+--(COUNTIFS($A$14:$A$1213,$H134,$T$14:$T$1213,"&gt;=0")&gt;0))&lt;2,"—",IF(SUMIFS($AH$14:$AH$1213,$A$14:$A$1213,$H134)=0,"Yes","No")))</f>
        <v/>
      </c>
      <c r="M134" s="25">
        <f>IF($H134="","",IF(COUNTIFS($A$14:$A$1213,$H134,$F$14:$F$1213,"&gt;=0")&lt;2,"—",IF(COUNTIFS($A$14:$A$1213,$H134,$F$14:$F$1213,_xlfn.MAXIFS($F$14:$F$1213,$A$14:$A$1213,$H134))&gt;1,"No",IF(NOT(ISNUMBER($AN134)),"—",IF((2*(1-NORMSDIST(ABS($AN134))))&lt;0.05,"Yes","No")))))</f>
        <v/>
      </c>
      <c r="N134" s="21">
        <f>IF($H134="","",IF(NOT(ISNUMBER($AN134)),"—",IF((2*(1-NORMSDIST(ABS($AN134))))&lt;0.001,"&lt;0.001",TEXT((2*(1-NORMSDIST(ABS($AN134)))),"0.000"))))</f>
        <v/>
      </c>
      <c r="P134" s="26" t="n"/>
      <c r="Q134" s="26" t="n"/>
      <c r="R134" s="26" t="n"/>
      <c r="S134" s="26" t="n"/>
      <c r="T134" s="26" t="n"/>
      <c r="V134" s="27">
        <f>IF(ISNUMBER($C134),COUNTIFS($A$14:$A$1213,$A134,$C$14:$C$1213,"&gt;"&amp;$C134)+(COUNTIFS($A$14:$A$1213,$A134,$C$14:$C$1213,"="&amp;$C134)+1)/2,"")</f>
        <v/>
      </c>
      <c r="W134" s="27">
        <f>IF(ISNUMBER($F134),COUNTIFS($A$14:$A$1213,$A134,$F$14:$F$1213,"&gt;"&amp;$F134)+(COUNTIFS($A$14:$A$1213,$A134,$F$14:$F$1213,"="&amp;$F134)+1)/2,"")</f>
        <v/>
      </c>
      <c r="X134" s="27">
        <f>IF(OR(NOT(ISNUMBER($V134)),$AO134=1),"",$V134-(COUNTIFS($A$14:$A$1213,$A134,$C$14:$C$1213,"&gt;=0")+1)/2)</f>
        <v/>
      </c>
      <c r="Y134" s="27">
        <f>IF(OR(NOT(ISNUMBER($W134)),$AO134=1),"",$W134-(COUNTIFS($A$14:$A$1213,$A134,$F$14:$F$1213,"&gt;=0")+1)/2)</f>
        <v/>
      </c>
      <c r="Z134" s="27">
        <f>IF(ISNUMBER($V134),$A134&amp;"|"&amp;$V134,"")</f>
        <v/>
      </c>
      <c r="AA134" s="27">
        <f>IF(ISNUMBER($W134),$A134&amp;"|"&amp;$W134,"")</f>
        <v/>
      </c>
      <c r="AB134" s="27">
        <f>IF(ISNUMBER($F134),$A134&amp;"|"&amp;$F134,"")</f>
        <v/>
      </c>
      <c r="AC134" s="27">
        <f>IF(ISNUMBER($P134),COUNTIFS($A$14:$A$1213,$A134,$P$14:$P$1213,"&gt;"&amp;$P134)+(COUNTIFS($A$14:$A$1213,$A134,$P$14:$P$1213,"="&amp;$P134)+1)/2,"")</f>
        <v/>
      </c>
      <c r="AD134" s="27">
        <f>IF(ISNUMBER($Q134),COUNTIFS($A$14:$A$1213,$A134,$Q$14:$Q$1213,"&gt;"&amp;$Q134)+(COUNTIFS($A$14:$A$1213,$A134,$Q$14:$Q$1213,"="&amp;$Q134)+1)/2,"")</f>
        <v/>
      </c>
      <c r="AE134" s="27">
        <f>IF(ISNUMBER($R134),COUNTIFS($A$14:$A$1213,$A134,$R$14:$R$1213,"&gt;"&amp;$R134)+(COUNTIFS($A$14:$A$1213,$A134,$R$14:$R$1213,"="&amp;$R134)+1)/2,"")</f>
        <v/>
      </c>
      <c r="AF134" s="27">
        <f>IF(ISNUMBER($S134),COUNTIFS($A$14:$A$1213,$A134,$S$14:$S$1213,"&gt;"&amp;$S134)+(COUNTIFS($A$14:$A$1213,$A134,$S$14:$S$1213,"="&amp;$S134)+1)/2,"")</f>
        <v/>
      </c>
      <c r="AG134" s="27">
        <f>IF(ISNUMBER($T134),COUNTIFS($A$14:$A$1213,$A134,$T$14:$T$1213,"&gt;"&amp;$T134)+(COUNTIFS($A$14:$A$1213,$A134,$T$14:$T$1213,"="&amp;$T134)+1)/2,"")</f>
        <v/>
      </c>
      <c r="AH134" s="27">
        <f>IF(COUNT($AC134:$AG134)&lt;2,"",IF(MAX($AC134:$AG134)=MIN($AC134:$AG134),0,1))</f>
        <v/>
      </c>
      <c r="AI134" s="27">
        <f>IF($A134="","",IF(COUNTIF($A$14:$A134,$A134)=1,COUNTIF($AI$13:AI133,"&gt;0")+1,""))</f>
        <v/>
      </c>
      <c r="AJ134" s="27">
        <f>IF(OR($H134="",COUNTIFS($A$14:$A$1213,$H134,$F$14:$F$1213,"&gt;=0")&lt;2,COUNTIFS($A$14:$A$1213,$H134,$F$14:$F$1213,_xlfn.MAXIFS($F$14:$F$1213,$A$14:$A$1213,$H134))&gt;1),"",IFERROR(INDEX($D$14:$D$1213,MATCH($H134&amp;"|"&amp;_xlfn.MAXIFS($F$14:$F$1213,$A$14:$A$1213,$H134),$AB$14:$AB$1213,0)),""))</f>
        <v/>
      </c>
      <c r="AK134" s="27">
        <f>IF(OR($H134="",COUNTIFS($A$14:$A$1213,$H134,$F$14:$F$1213,"&gt;=0")&lt;2,COUNTIFS($A$14:$A$1213,$H134,$F$14:$F$1213,_xlfn.MAXIFS($F$14:$F$1213,$A$14:$A$1213,$H134))&gt;1),"",IFERROR(INDEX($E$14:$E$1213,MATCH($H134&amp;"|"&amp;_xlfn.MAXIFS($F$14:$F$1213,$A$14:$A$1213,$H134),$AB$14:$AB$1213,0)),""))</f>
        <v/>
      </c>
      <c r="AL134" s="27">
        <f>IF(OR($H134="",COUNTIFS($A$14:$A$1213,$H134,$F$14:$F$1213,"&gt;=0")&lt;2,COUNTIFS($A$14:$A$1213,$H134,$F$14:$F$1213,_xlfn.MAXIFS($F$14:$F$1213,$A$14:$A$1213,$H134))&gt;1),"",IFERROR(INDEX($D$14:$D$1213,MATCH($H134&amp;"|"&amp;_xlfn.MAXIFS($F$14:$F$1213,$A$14:$A$1213,$H134,$F$14:$F$1213,"&lt;"&amp;_xlfn.MAXIFS($F$14:$F$1213,$A$14:$A$1213,$H134)),$AB$14:$AB$1213,0)),""))</f>
        <v/>
      </c>
      <c r="AM134" s="27">
        <f>IF(OR($H134="",COUNTIFS($A$14:$A$1213,$H134,$F$14:$F$1213,"&gt;=0")&lt;2,COUNTIFS($A$14:$A$1213,$H134,$F$14:$F$1213,_xlfn.MAXIFS($F$14:$F$1213,$A$14:$A$1213,$H134))&gt;1),"",IFERROR(INDEX($E$14:$E$1213,MATCH($H134&amp;"|"&amp;_xlfn.MAXIFS($F$14:$F$1213,$A$14:$A$1213,$H134,$F$14:$F$1213,"&lt;"&amp;_xlfn.MAXIFS($F$14:$F$1213,$A$14:$A$1213,$H134)),$AB$14:$AB$1213,0)),""))</f>
        <v/>
      </c>
      <c r="AN134" s="27">
        <f>IF(OR(NOT(ISNUMBER($AJ134)),NOT(ISNUMBER($AL134)),$AK134=0,$AM134=0),"",IF(OR((($AJ134+$AL134)/($AK134+$AM134))&lt;=0,(($AJ134+$AL134)/($AK134+$AM134))&gt;=1),"",($AJ134/$AK134-$AL134/$AM134)/SQRT((($AJ134+$AL134)/($AK134+$AM134))*(1-(($AJ134+$AL134)/($AK134+$AM134)))*(1/$AK134+1/$AM134))))</f>
        <v/>
      </c>
      <c r="AO134" s="27">
        <f>IF($A134="","",IF(AND(COUNTIFS($A$14:$A$1213,$A134,$F$14:$F$1213,"&gt;=0")=2,IFERROR(INDEX($M$14:$M$313,MATCH($A134,$H$14:$H$313,0)),"Yes")&lt;&gt;"Yes"),1,0))</f>
        <v/>
      </c>
    </row>
    <row r="135" ht="24" customHeight="1">
      <c r="A135" s="19" t="n"/>
      <c r="B135" s="20" t="n"/>
      <c r="C135" s="21">
        <f>IFERROR(AVERAGE(P135:T135),"")</f>
        <v/>
      </c>
      <c r="D135" s="29" t="n"/>
      <c r="E135" s="29" t="n"/>
      <c r="F135" s="30">
        <f>IF(AND(ISNUMBER($D135),ISNUMBER($E135),$E135&gt;0,$D135&lt;=$E135),$D135/$E135,"")</f>
        <v/>
      </c>
      <c r="H135" s="19">
        <f>IFERROR(INDEX($A$14:$A$1213,MATCH(122,$AI$14:$AI$1213,0)),"")</f>
        <v/>
      </c>
      <c r="I135" s="24">
        <f>IF($H135="","",IF(COUNTIFS($A$14:$A$1213,$H135,$C$14:$C$1213,"&gt;=0")=0,"—",IFERROR(INDEX($B$14:$B$1213,MATCH($H135&amp;"|1",$Z$14:$Z$1213,0)),"(tied)")))</f>
        <v/>
      </c>
      <c r="J135" s="25">
        <f>IF($H135="","",IF(OR(COUNTIFS($A$14:$A$1213,$H135,$C$14:$C$1213,"&gt;=0")=0,COUNTIFS($A$14:$A$1213,$H135,$F$14:$F$1213,"&gt;=0")=0),"—",IF(OR(ISERROR(MATCH($H135&amp;"|1",$Z$14:$Z$1213,0)),ISERROR(MATCH($H135&amp;"|1",$AA$14:$AA$1213,0))),"Tie",IF(MATCH($H135&amp;"|1",$Z$14:$Z$1213,0)=MATCH($H135&amp;"|1",$AA$14:$AA$1213,0),"Hit","Miss"))))</f>
        <v/>
      </c>
      <c r="K135" s="24">
        <f>IF($H135="","",IF(COUNTIFS($A$14:$A$1213,$H135,$F$14:$F$1213,"&gt;=0")=0,"—",IFERROR(INDEX($B$14:$B$1213,MATCH($H135&amp;"|1",$AA$14:$AA$1213,0)),"(tied)")))</f>
        <v/>
      </c>
      <c r="L135" s="25">
        <f>IF($H135="","",IF((--(COUNTIFS($A$14:$A$1213,$H135,$P$14:$P$1213,"&gt;=0")&gt;0)+--(COUNTIFS($A$14:$A$1213,$H135,$Q$14:$Q$1213,"&gt;=0")&gt;0)+--(COUNTIFS($A$14:$A$1213,$H135,$R$14:$R$1213,"&gt;=0")&gt;0)+--(COUNTIFS($A$14:$A$1213,$H135,$S$14:$S$1213,"&gt;=0")&gt;0)+--(COUNTIFS($A$14:$A$1213,$H135,$T$14:$T$1213,"&gt;=0")&gt;0))&lt;2,"—",IF(SUMIFS($AH$14:$AH$1213,$A$14:$A$1213,$H135)=0,"Yes","No")))</f>
        <v/>
      </c>
      <c r="M135" s="25">
        <f>IF($H135="","",IF(COUNTIFS($A$14:$A$1213,$H135,$F$14:$F$1213,"&gt;=0")&lt;2,"—",IF(COUNTIFS($A$14:$A$1213,$H135,$F$14:$F$1213,_xlfn.MAXIFS($F$14:$F$1213,$A$14:$A$1213,$H135))&gt;1,"No",IF(NOT(ISNUMBER($AN135)),"—",IF((2*(1-NORMSDIST(ABS($AN135))))&lt;0.05,"Yes","No")))))</f>
        <v/>
      </c>
      <c r="N135" s="21">
        <f>IF($H135="","",IF(NOT(ISNUMBER($AN135)),"—",IF((2*(1-NORMSDIST(ABS($AN135))))&lt;0.001,"&lt;0.001",TEXT((2*(1-NORMSDIST(ABS($AN135)))),"0.000"))))</f>
        <v/>
      </c>
      <c r="P135" s="26" t="n"/>
      <c r="Q135" s="26" t="n"/>
      <c r="R135" s="26" t="n"/>
      <c r="S135" s="26" t="n"/>
      <c r="T135" s="26" t="n"/>
      <c r="V135" s="27">
        <f>IF(ISNUMBER($C135),COUNTIFS($A$14:$A$1213,$A135,$C$14:$C$1213,"&gt;"&amp;$C135)+(COUNTIFS($A$14:$A$1213,$A135,$C$14:$C$1213,"="&amp;$C135)+1)/2,"")</f>
        <v/>
      </c>
      <c r="W135" s="27">
        <f>IF(ISNUMBER($F135),COUNTIFS($A$14:$A$1213,$A135,$F$14:$F$1213,"&gt;"&amp;$F135)+(COUNTIFS($A$14:$A$1213,$A135,$F$14:$F$1213,"="&amp;$F135)+1)/2,"")</f>
        <v/>
      </c>
      <c r="X135" s="27">
        <f>IF(OR(NOT(ISNUMBER($V135)),$AO135=1),"",$V135-(COUNTIFS($A$14:$A$1213,$A135,$C$14:$C$1213,"&gt;=0")+1)/2)</f>
        <v/>
      </c>
      <c r="Y135" s="27">
        <f>IF(OR(NOT(ISNUMBER($W135)),$AO135=1),"",$W135-(COUNTIFS($A$14:$A$1213,$A135,$F$14:$F$1213,"&gt;=0")+1)/2)</f>
        <v/>
      </c>
      <c r="Z135" s="27">
        <f>IF(ISNUMBER($V135),$A135&amp;"|"&amp;$V135,"")</f>
        <v/>
      </c>
      <c r="AA135" s="27">
        <f>IF(ISNUMBER($W135),$A135&amp;"|"&amp;$W135,"")</f>
        <v/>
      </c>
      <c r="AB135" s="27">
        <f>IF(ISNUMBER($F135),$A135&amp;"|"&amp;$F135,"")</f>
        <v/>
      </c>
      <c r="AC135" s="27">
        <f>IF(ISNUMBER($P135),COUNTIFS($A$14:$A$1213,$A135,$P$14:$P$1213,"&gt;"&amp;$P135)+(COUNTIFS($A$14:$A$1213,$A135,$P$14:$P$1213,"="&amp;$P135)+1)/2,"")</f>
        <v/>
      </c>
      <c r="AD135" s="27">
        <f>IF(ISNUMBER($Q135),COUNTIFS($A$14:$A$1213,$A135,$Q$14:$Q$1213,"&gt;"&amp;$Q135)+(COUNTIFS($A$14:$A$1213,$A135,$Q$14:$Q$1213,"="&amp;$Q135)+1)/2,"")</f>
        <v/>
      </c>
      <c r="AE135" s="27">
        <f>IF(ISNUMBER($R135),COUNTIFS($A$14:$A$1213,$A135,$R$14:$R$1213,"&gt;"&amp;$R135)+(COUNTIFS($A$14:$A$1213,$A135,$R$14:$R$1213,"="&amp;$R135)+1)/2,"")</f>
        <v/>
      </c>
      <c r="AF135" s="27">
        <f>IF(ISNUMBER($S135),COUNTIFS($A$14:$A$1213,$A135,$S$14:$S$1213,"&gt;"&amp;$S135)+(COUNTIFS($A$14:$A$1213,$A135,$S$14:$S$1213,"="&amp;$S135)+1)/2,"")</f>
        <v/>
      </c>
      <c r="AG135" s="27">
        <f>IF(ISNUMBER($T135),COUNTIFS($A$14:$A$1213,$A135,$T$14:$T$1213,"&gt;"&amp;$T135)+(COUNTIFS($A$14:$A$1213,$A135,$T$14:$T$1213,"="&amp;$T135)+1)/2,"")</f>
        <v/>
      </c>
      <c r="AH135" s="27">
        <f>IF(COUNT($AC135:$AG135)&lt;2,"",IF(MAX($AC135:$AG135)=MIN($AC135:$AG135),0,1))</f>
        <v/>
      </c>
      <c r="AI135" s="27">
        <f>IF($A135="","",IF(COUNTIF($A$14:$A135,$A135)=1,COUNTIF($AI$13:AI134,"&gt;0")+1,""))</f>
        <v/>
      </c>
      <c r="AJ135" s="27">
        <f>IF(OR($H135="",COUNTIFS($A$14:$A$1213,$H135,$F$14:$F$1213,"&gt;=0")&lt;2,COUNTIFS($A$14:$A$1213,$H135,$F$14:$F$1213,_xlfn.MAXIFS($F$14:$F$1213,$A$14:$A$1213,$H135))&gt;1),"",IFERROR(INDEX($D$14:$D$1213,MATCH($H135&amp;"|"&amp;_xlfn.MAXIFS($F$14:$F$1213,$A$14:$A$1213,$H135),$AB$14:$AB$1213,0)),""))</f>
        <v/>
      </c>
      <c r="AK135" s="27">
        <f>IF(OR($H135="",COUNTIFS($A$14:$A$1213,$H135,$F$14:$F$1213,"&gt;=0")&lt;2,COUNTIFS($A$14:$A$1213,$H135,$F$14:$F$1213,_xlfn.MAXIFS($F$14:$F$1213,$A$14:$A$1213,$H135))&gt;1),"",IFERROR(INDEX($E$14:$E$1213,MATCH($H135&amp;"|"&amp;_xlfn.MAXIFS($F$14:$F$1213,$A$14:$A$1213,$H135),$AB$14:$AB$1213,0)),""))</f>
        <v/>
      </c>
      <c r="AL135" s="27">
        <f>IF(OR($H135="",COUNTIFS($A$14:$A$1213,$H135,$F$14:$F$1213,"&gt;=0")&lt;2,COUNTIFS($A$14:$A$1213,$H135,$F$14:$F$1213,_xlfn.MAXIFS($F$14:$F$1213,$A$14:$A$1213,$H135))&gt;1),"",IFERROR(INDEX($D$14:$D$1213,MATCH($H135&amp;"|"&amp;_xlfn.MAXIFS($F$14:$F$1213,$A$14:$A$1213,$H135,$F$14:$F$1213,"&lt;"&amp;_xlfn.MAXIFS($F$14:$F$1213,$A$14:$A$1213,$H135)),$AB$14:$AB$1213,0)),""))</f>
        <v/>
      </c>
      <c r="AM135" s="27">
        <f>IF(OR($H135="",COUNTIFS($A$14:$A$1213,$H135,$F$14:$F$1213,"&gt;=0")&lt;2,COUNTIFS($A$14:$A$1213,$H135,$F$14:$F$1213,_xlfn.MAXIFS($F$14:$F$1213,$A$14:$A$1213,$H135))&gt;1),"",IFERROR(INDEX($E$14:$E$1213,MATCH($H135&amp;"|"&amp;_xlfn.MAXIFS($F$14:$F$1213,$A$14:$A$1213,$H135,$F$14:$F$1213,"&lt;"&amp;_xlfn.MAXIFS($F$14:$F$1213,$A$14:$A$1213,$H135)),$AB$14:$AB$1213,0)),""))</f>
        <v/>
      </c>
      <c r="AN135" s="27">
        <f>IF(OR(NOT(ISNUMBER($AJ135)),NOT(ISNUMBER($AL135)),$AK135=0,$AM135=0),"",IF(OR((($AJ135+$AL135)/($AK135+$AM135))&lt;=0,(($AJ135+$AL135)/($AK135+$AM135))&gt;=1),"",($AJ135/$AK135-$AL135/$AM135)/SQRT((($AJ135+$AL135)/($AK135+$AM135))*(1-(($AJ135+$AL135)/($AK135+$AM135)))*(1/$AK135+1/$AM135))))</f>
        <v/>
      </c>
      <c r="AO135" s="27">
        <f>IF($A135="","",IF(AND(COUNTIFS($A$14:$A$1213,$A135,$F$14:$F$1213,"&gt;=0")=2,IFERROR(INDEX($M$14:$M$313,MATCH($A135,$H$14:$H$313,0)),"Yes")&lt;&gt;"Yes"),1,0))</f>
        <v/>
      </c>
    </row>
    <row r="136" ht="24" customHeight="1">
      <c r="A136" s="19" t="n"/>
      <c r="B136" s="20" t="n"/>
      <c r="C136" s="21">
        <f>IFERROR(AVERAGE(P136:T136),"")</f>
        <v/>
      </c>
      <c r="D136" s="29" t="n"/>
      <c r="E136" s="29" t="n"/>
      <c r="F136" s="30">
        <f>IF(AND(ISNUMBER($D136),ISNUMBER($E136),$E136&gt;0,$D136&lt;=$E136),$D136/$E136,"")</f>
        <v/>
      </c>
      <c r="H136" s="19">
        <f>IFERROR(INDEX($A$14:$A$1213,MATCH(123,$AI$14:$AI$1213,0)),"")</f>
        <v/>
      </c>
      <c r="I136" s="24">
        <f>IF($H136="","",IF(COUNTIFS($A$14:$A$1213,$H136,$C$14:$C$1213,"&gt;=0")=0,"—",IFERROR(INDEX($B$14:$B$1213,MATCH($H136&amp;"|1",$Z$14:$Z$1213,0)),"(tied)")))</f>
        <v/>
      </c>
      <c r="J136" s="25">
        <f>IF($H136="","",IF(OR(COUNTIFS($A$14:$A$1213,$H136,$C$14:$C$1213,"&gt;=0")=0,COUNTIFS($A$14:$A$1213,$H136,$F$14:$F$1213,"&gt;=0")=0),"—",IF(OR(ISERROR(MATCH($H136&amp;"|1",$Z$14:$Z$1213,0)),ISERROR(MATCH($H136&amp;"|1",$AA$14:$AA$1213,0))),"Tie",IF(MATCH($H136&amp;"|1",$Z$14:$Z$1213,0)=MATCH($H136&amp;"|1",$AA$14:$AA$1213,0),"Hit","Miss"))))</f>
        <v/>
      </c>
      <c r="K136" s="24">
        <f>IF($H136="","",IF(COUNTIFS($A$14:$A$1213,$H136,$F$14:$F$1213,"&gt;=0")=0,"—",IFERROR(INDEX($B$14:$B$1213,MATCH($H136&amp;"|1",$AA$14:$AA$1213,0)),"(tied)")))</f>
        <v/>
      </c>
      <c r="L136" s="25">
        <f>IF($H136="","",IF((--(COUNTIFS($A$14:$A$1213,$H136,$P$14:$P$1213,"&gt;=0")&gt;0)+--(COUNTIFS($A$14:$A$1213,$H136,$Q$14:$Q$1213,"&gt;=0")&gt;0)+--(COUNTIFS($A$14:$A$1213,$H136,$R$14:$R$1213,"&gt;=0")&gt;0)+--(COUNTIFS($A$14:$A$1213,$H136,$S$14:$S$1213,"&gt;=0")&gt;0)+--(COUNTIFS($A$14:$A$1213,$H136,$T$14:$T$1213,"&gt;=0")&gt;0))&lt;2,"—",IF(SUMIFS($AH$14:$AH$1213,$A$14:$A$1213,$H136)=0,"Yes","No")))</f>
        <v/>
      </c>
      <c r="M136" s="25">
        <f>IF($H136="","",IF(COUNTIFS($A$14:$A$1213,$H136,$F$14:$F$1213,"&gt;=0")&lt;2,"—",IF(COUNTIFS($A$14:$A$1213,$H136,$F$14:$F$1213,_xlfn.MAXIFS($F$14:$F$1213,$A$14:$A$1213,$H136))&gt;1,"No",IF(NOT(ISNUMBER($AN136)),"—",IF((2*(1-NORMSDIST(ABS($AN136))))&lt;0.05,"Yes","No")))))</f>
        <v/>
      </c>
      <c r="N136" s="21">
        <f>IF($H136="","",IF(NOT(ISNUMBER($AN136)),"—",IF((2*(1-NORMSDIST(ABS($AN136))))&lt;0.001,"&lt;0.001",TEXT((2*(1-NORMSDIST(ABS($AN136)))),"0.000"))))</f>
        <v/>
      </c>
      <c r="P136" s="26" t="n"/>
      <c r="Q136" s="26" t="n"/>
      <c r="R136" s="26" t="n"/>
      <c r="S136" s="26" t="n"/>
      <c r="T136" s="26" t="n"/>
      <c r="V136" s="27">
        <f>IF(ISNUMBER($C136),COUNTIFS($A$14:$A$1213,$A136,$C$14:$C$1213,"&gt;"&amp;$C136)+(COUNTIFS($A$14:$A$1213,$A136,$C$14:$C$1213,"="&amp;$C136)+1)/2,"")</f>
        <v/>
      </c>
      <c r="W136" s="27">
        <f>IF(ISNUMBER($F136),COUNTIFS($A$14:$A$1213,$A136,$F$14:$F$1213,"&gt;"&amp;$F136)+(COUNTIFS($A$14:$A$1213,$A136,$F$14:$F$1213,"="&amp;$F136)+1)/2,"")</f>
        <v/>
      </c>
      <c r="X136" s="27">
        <f>IF(OR(NOT(ISNUMBER($V136)),$AO136=1),"",$V136-(COUNTIFS($A$14:$A$1213,$A136,$C$14:$C$1213,"&gt;=0")+1)/2)</f>
        <v/>
      </c>
      <c r="Y136" s="27">
        <f>IF(OR(NOT(ISNUMBER($W136)),$AO136=1),"",$W136-(COUNTIFS($A$14:$A$1213,$A136,$F$14:$F$1213,"&gt;=0")+1)/2)</f>
        <v/>
      </c>
      <c r="Z136" s="27">
        <f>IF(ISNUMBER($V136),$A136&amp;"|"&amp;$V136,"")</f>
        <v/>
      </c>
      <c r="AA136" s="27">
        <f>IF(ISNUMBER($W136),$A136&amp;"|"&amp;$W136,"")</f>
        <v/>
      </c>
      <c r="AB136" s="27">
        <f>IF(ISNUMBER($F136),$A136&amp;"|"&amp;$F136,"")</f>
        <v/>
      </c>
      <c r="AC136" s="27">
        <f>IF(ISNUMBER($P136),COUNTIFS($A$14:$A$1213,$A136,$P$14:$P$1213,"&gt;"&amp;$P136)+(COUNTIFS($A$14:$A$1213,$A136,$P$14:$P$1213,"="&amp;$P136)+1)/2,"")</f>
        <v/>
      </c>
      <c r="AD136" s="27">
        <f>IF(ISNUMBER($Q136),COUNTIFS($A$14:$A$1213,$A136,$Q$14:$Q$1213,"&gt;"&amp;$Q136)+(COUNTIFS($A$14:$A$1213,$A136,$Q$14:$Q$1213,"="&amp;$Q136)+1)/2,"")</f>
        <v/>
      </c>
      <c r="AE136" s="27">
        <f>IF(ISNUMBER($R136),COUNTIFS($A$14:$A$1213,$A136,$R$14:$R$1213,"&gt;"&amp;$R136)+(COUNTIFS($A$14:$A$1213,$A136,$R$14:$R$1213,"="&amp;$R136)+1)/2,"")</f>
        <v/>
      </c>
      <c r="AF136" s="27">
        <f>IF(ISNUMBER($S136),COUNTIFS($A$14:$A$1213,$A136,$S$14:$S$1213,"&gt;"&amp;$S136)+(COUNTIFS($A$14:$A$1213,$A136,$S$14:$S$1213,"="&amp;$S136)+1)/2,"")</f>
        <v/>
      </c>
      <c r="AG136" s="27">
        <f>IF(ISNUMBER($T136),COUNTIFS($A$14:$A$1213,$A136,$T$14:$T$1213,"&gt;"&amp;$T136)+(COUNTIFS($A$14:$A$1213,$A136,$T$14:$T$1213,"="&amp;$T136)+1)/2,"")</f>
        <v/>
      </c>
      <c r="AH136" s="27">
        <f>IF(COUNT($AC136:$AG136)&lt;2,"",IF(MAX($AC136:$AG136)=MIN($AC136:$AG136),0,1))</f>
        <v/>
      </c>
      <c r="AI136" s="27">
        <f>IF($A136="","",IF(COUNTIF($A$14:$A136,$A136)=1,COUNTIF($AI$13:AI135,"&gt;0")+1,""))</f>
        <v/>
      </c>
      <c r="AJ136" s="27">
        <f>IF(OR($H136="",COUNTIFS($A$14:$A$1213,$H136,$F$14:$F$1213,"&gt;=0")&lt;2,COUNTIFS($A$14:$A$1213,$H136,$F$14:$F$1213,_xlfn.MAXIFS($F$14:$F$1213,$A$14:$A$1213,$H136))&gt;1),"",IFERROR(INDEX($D$14:$D$1213,MATCH($H136&amp;"|"&amp;_xlfn.MAXIFS($F$14:$F$1213,$A$14:$A$1213,$H136),$AB$14:$AB$1213,0)),""))</f>
        <v/>
      </c>
      <c r="AK136" s="27">
        <f>IF(OR($H136="",COUNTIFS($A$14:$A$1213,$H136,$F$14:$F$1213,"&gt;=0")&lt;2,COUNTIFS($A$14:$A$1213,$H136,$F$14:$F$1213,_xlfn.MAXIFS($F$14:$F$1213,$A$14:$A$1213,$H136))&gt;1),"",IFERROR(INDEX($E$14:$E$1213,MATCH($H136&amp;"|"&amp;_xlfn.MAXIFS($F$14:$F$1213,$A$14:$A$1213,$H136),$AB$14:$AB$1213,0)),""))</f>
        <v/>
      </c>
      <c r="AL136" s="27">
        <f>IF(OR($H136="",COUNTIFS($A$14:$A$1213,$H136,$F$14:$F$1213,"&gt;=0")&lt;2,COUNTIFS($A$14:$A$1213,$H136,$F$14:$F$1213,_xlfn.MAXIFS($F$14:$F$1213,$A$14:$A$1213,$H136))&gt;1),"",IFERROR(INDEX($D$14:$D$1213,MATCH($H136&amp;"|"&amp;_xlfn.MAXIFS($F$14:$F$1213,$A$14:$A$1213,$H136,$F$14:$F$1213,"&lt;"&amp;_xlfn.MAXIFS($F$14:$F$1213,$A$14:$A$1213,$H136)),$AB$14:$AB$1213,0)),""))</f>
        <v/>
      </c>
      <c r="AM136" s="27">
        <f>IF(OR($H136="",COUNTIFS($A$14:$A$1213,$H136,$F$14:$F$1213,"&gt;=0")&lt;2,COUNTIFS($A$14:$A$1213,$H136,$F$14:$F$1213,_xlfn.MAXIFS($F$14:$F$1213,$A$14:$A$1213,$H136))&gt;1),"",IFERROR(INDEX($E$14:$E$1213,MATCH($H136&amp;"|"&amp;_xlfn.MAXIFS($F$14:$F$1213,$A$14:$A$1213,$H136,$F$14:$F$1213,"&lt;"&amp;_xlfn.MAXIFS($F$14:$F$1213,$A$14:$A$1213,$H136)),$AB$14:$AB$1213,0)),""))</f>
        <v/>
      </c>
      <c r="AN136" s="27">
        <f>IF(OR(NOT(ISNUMBER($AJ136)),NOT(ISNUMBER($AL136)),$AK136=0,$AM136=0),"",IF(OR((($AJ136+$AL136)/($AK136+$AM136))&lt;=0,(($AJ136+$AL136)/($AK136+$AM136))&gt;=1),"",($AJ136/$AK136-$AL136/$AM136)/SQRT((($AJ136+$AL136)/($AK136+$AM136))*(1-(($AJ136+$AL136)/($AK136+$AM136)))*(1/$AK136+1/$AM136))))</f>
        <v/>
      </c>
      <c r="AO136" s="27">
        <f>IF($A136="","",IF(AND(COUNTIFS($A$14:$A$1213,$A136,$F$14:$F$1213,"&gt;=0")=2,IFERROR(INDEX($M$14:$M$313,MATCH($A136,$H$14:$H$313,0)),"Yes")&lt;&gt;"Yes"),1,0))</f>
        <v/>
      </c>
    </row>
    <row r="137" ht="24" customHeight="1">
      <c r="A137" s="19" t="n"/>
      <c r="B137" s="20" t="n"/>
      <c r="C137" s="21">
        <f>IFERROR(AVERAGE(P137:T137),"")</f>
        <v/>
      </c>
      <c r="D137" s="29" t="n"/>
      <c r="E137" s="29" t="n"/>
      <c r="F137" s="30">
        <f>IF(AND(ISNUMBER($D137),ISNUMBER($E137),$E137&gt;0,$D137&lt;=$E137),$D137/$E137,"")</f>
        <v/>
      </c>
      <c r="H137" s="19">
        <f>IFERROR(INDEX($A$14:$A$1213,MATCH(124,$AI$14:$AI$1213,0)),"")</f>
        <v/>
      </c>
      <c r="I137" s="24">
        <f>IF($H137="","",IF(COUNTIFS($A$14:$A$1213,$H137,$C$14:$C$1213,"&gt;=0")=0,"—",IFERROR(INDEX($B$14:$B$1213,MATCH($H137&amp;"|1",$Z$14:$Z$1213,0)),"(tied)")))</f>
        <v/>
      </c>
      <c r="J137" s="25">
        <f>IF($H137="","",IF(OR(COUNTIFS($A$14:$A$1213,$H137,$C$14:$C$1213,"&gt;=0")=0,COUNTIFS($A$14:$A$1213,$H137,$F$14:$F$1213,"&gt;=0")=0),"—",IF(OR(ISERROR(MATCH($H137&amp;"|1",$Z$14:$Z$1213,0)),ISERROR(MATCH($H137&amp;"|1",$AA$14:$AA$1213,0))),"Tie",IF(MATCH($H137&amp;"|1",$Z$14:$Z$1213,0)=MATCH($H137&amp;"|1",$AA$14:$AA$1213,0),"Hit","Miss"))))</f>
        <v/>
      </c>
      <c r="K137" s="24">
        <f>IF($H137="","",IF(COUNTIFS($A$14:$A$1213,$H137,$F$14:$F$1213,"&gt;=0")=0,"—",IFERROR(INDEX($B$14:$B$1213,MATCH($H137&amp;"|1",$AA$14:$AA$1213,0)),"(tied)")))</f>
        <v/>
      </c>
      <c r="L137" s="25">
        <f>IF($H137="","",IF((--(COUNTIFS($A$14:$A$1213,$H137,$P$14:$P$1213,"&gt;=0")&gt;0)+--(COUNTIFS($A$14:$A$1213,$H137,$Q$14:$Q$1213,"&gt;=0")&gt;0)+--(COUNTIFS($A$14:$A$1213,$H137,$R$14:$R$1213,"&gt;=0")&gt;0)+--(COUNTIFS($A$14:$A$1213,$H137,$S$14:$S$1213,"&gt;=0")&gt;0)+--(COUNTIFS($A$14:$A$1213,$H137,$T$14:$T$1213,"&gt;=0")&gt;0))&lt;2,"—",IF(SUMIFS($AH$14:$AH$1213,$A$14:$A$1213,$H137)=0,"Yes","No")))</f>
        <v/>
      </c>
      <c r="M137" s="25">
        <f>IF($H137="","",IF(COUNTIFS($A$14:$A$1213,$H137,$F$14:$F$1213,"&gt;=0")&lt;2,"—",IF(COUNTIFS($A$14:$A$1213,$H137,$F$14:$F$1213,_xlfn.MAXIFS($F$14:$F$1213,$A$14:$A$1213,$H137))&gt;1,"No",IF(NOT(ISNUMBER($AN137)),"—",IF((2*(1-NORMSDIST(ABS($AN137))))&lt;0.05,"Yes","No")))))</f>
        <v/>
      </c>
      <c r="N137" s="21">
        <f>IF($H137="","",IF(NOT(ISNUMBER($AN137)),"—",IF((2*(1-NORMSDIST(ABS($AN137))))&lt;0.001,"&lt;0.001",TEXT((2*(1-NORMSDIST(ABS($AN137)))),"0.000"))))</f>
        <v/>
      </c>
      <c r="P137" s="26" t="n"/>
      <c r="Q137" s="26" t="n"/>
      <c r="R137" s="26" t="n"/>
      <c r="S137" s="26" t="n"/>
      <c r="T137" s="26" t="n"/>
      <c r="V137" s="27">
        <f>IF(ISNUMBER($C137),COUNTIFS($A$14:$A$1213,$A137,$C$14:$C$1213,"&gt;"&amp;$C137)+(COUNTIFS($A$14:$A$1213,$A137,$C$14:$C$1213,"="&amp;$C137)+1)/2,"")</f>
        <v/>
      </c>
      <c r="W137" s="27">
        <f>IF(ISNUMBER($F137),COUNTIFS($A$14:$A$1213,$A137,$F$14:$F$1213,"&gt;"&amp;$F137)+(COUNTIFS($A$14:$A$1213,$A137,$F$14:$F$1213,"="&amp;$F137)+1)/2,"")</f>
        <v/>
      </c>
      <c r="X137" s="27">
        <f>IF(OR(NOT(ISNUMBER($V137)),$AO137=1),"",$V137-(COUNTIFS($A$14:$A$1213,$A137,$C$14:$C$1213,"&gt;=0")+1)/2)</f>
        <v/>
      </c>
      <c r="Y137" s="27">
        <f>IF(OR(NOT(ISNUMBER($W137)),$AO137=1),"",$W137-(COUNTIFS($A$14:$A$1213,$A137,$F$14:$F$1213,"&gt;=0")+1)/2)</f>
        <v/>
      </c>
      <c r="Z137" s="27">
        <f>IF(ISNUMBER($V137),$A137&amp;"|"&amp;$V137,"")</f>
        <v/>
      </c>
      <c r="AA137" s="27">
        <f>IF(ISNUMBER($W137),$A137&amp;"|"&amp;$W137,"")</f>
        <v/>
      </c>
      <c r="AB137" s="27">
        <f>IF(ISNUMBER($F137),$A137&amp;"|"&amp;$F137,"")</f>
        <v/>
      </c>
      <c r="AC137" s="27">
        <f>IF(ISNUMBER($P137),COUNTIFS($A$14:$A$1213,$A137,$P$14:$P$1213,"&gt;"&amp;$P137)+(COUNTIFS($A$14:$A$1213,$A137,$P$14:$P$1213,"="&amp;$P137)+1)/2,"")</f>
        <v/>
      </c>
      <c r="AD137" s="27">
        <f>IF(ISNUMBER($Q137),COUNTIFS($A$14:$A$1213,$A137,$Q$14:$Q$1213,"&gt;"&amp;$Q137)+(COUNTIFS($A$14:$A$1213,$A137,$Q$14:$Q$1213,"="&amp;$Q137)+1)/2,"")</f>
        <v/>
      </c>
      <c r="AE137" s="27">
        <f>IF(ISNUMBER($R137),COUNTIFS($A$14:$A$1213,$A137,$R$14:$R$1213,"&gt;"&amp;$R137)+(COUNTIFS($A$14:$A$1213,$A137,$R$14:$R$1213,"="&amp;$R137)+1)/2,"")</f>
        <v/>
      </c>
      <c r="AF137" s="27">
        <f>IF(ISNUMBER($S137),COUNTIFS($A$14:$A$1213,$A137,$S$14:$S$1213,"&gt;"&amp;$S137)+(COUNTIFS($A$14:$A$1213,$A137,$S$14:$S$1213,"="&amp;$S137)+1)/2,"")</f>
        <v/>
      </c>
      <c r="AG137" s="27">
        <f>IF(ISNUMBER($T137),COUNTIFS($A$14:$A$1213,$A137,$T$14:$T$1213,"&gt;"&amp;$T137)+(COUNTIFS($A$14:$A$1213,$A137,$T$14:$T$1213,"="&amp;$T137)+1)/2,"")</f>
        <v/>
      </c>
      <c r="AH137" s="27">
        <f>IF(COUNT($AC137:$AG137)&lt;2,"",IF(MAX($AC137:$AG137)=MIN($AC137:$AG137),0,1))</f>
        <v/>
      </c>
      <c r="AI137" s="27">
        <f>IF($A137="","",IF(COUNTIF($A$14:$A137,$A137)=1,COUNTIF($AI$13:AI136,"&gt;0")+1,""))</f>
        <v/>
      </c>
      <c r="AJ137" s="27">
        <f>IF(OR($H137="",COUNTIFS($A$14:$A$1213,$H137,$F$14:$F$1213,"&gt;=0")&lt;2,COUNTIFS($A$14:$A$1213,$H137,$F$14:$F$1213,_xlfn.MAXIFS($F$14:$F$1213,$A$14:$A$1213,$H137))&gt;1),"",IFERROR(INDEX($D$14:$D$1213,MATCH($H137&amp;"|"&amp;_xlfn.MAXIFS($F$14:$F$1213,$A$14:$A$1213,$H137),$AB$14:$AB$1213,0)),""))</f>
        <v/>
      </c>
      <c r="AK137" s="27">
        <f>IF(OR($H137="",COUNTIFS($A$14:$A$1213,$H137,$F$14:$F$1213,"&gt;=0")&lt;2,COUNTIFS($A$14:$A$1213,$H137,$F$14:$F$1213,_xlfn.MAXIFS($F$14:$F$1213,$A$14:$A$1213,$H137))&gt;1),"",IFERROR(INDEX($E$14:$E$1213,MATCH($H137&amp;"|"&amp;_xlfn.MAXIFS($F$14:$F$1213,$A$14:$A$1213,$H137),$AB$14:$AB$1213,0)),""))</f>
        <v/>
      </c>
      <c r="AL137" s="27">
        <f>IF(OR($H137="",COUNTIFS($A$14:$A$1213,$H137,$F$14:$F$1213,"&gt;=0")&lt;2,COUNTIFS($A$14:$A$1213,$H137,$F$14:$F$1213,_xlfn.MAXIFS($F$14:$F$1213,$A$14:$A$1213,$H137))&gt;1),"",IFERROR(INDEX($D$14:$D$1213,MATCH($H137&amp;"|"&amp;_xlfn.MAXIFS($F$14:$F$1213,$A$14:$A$1213,$H137,$F$14:$F$1213,"&lt;"&amp;_xlfn.MAXIFS($F$14:$F$1213,$A$14:$A$1213,$H137)),$AB$14:$AB$1213,0)),""))</f>
        <v/>
      </c>
      <c r="AM137" s="27">
        <f>IF(OR($H137="",COUNTIFS($A$14:$A$1213,$H137,$F$14:$F$1213,"&gt;=0")&lt;2,COUNTIFS($A$14:$A$1213,$H137,$F$14:$F$1213,_xlfn.MAXIFS($F$14:$F$1213,$A$14:$A$1213,$H137))&gt;1),"",IFERROR(INDEX($E$14:$E$1213,MATCH($H137&amp;"|"&amp;_xlfn.MAXIFS($F$14:$F$1213,$A$14:$A$1213,$H137,$F$14:$F$1213,"&lt;"&amp;_xlfn.MAXIFS($F$14:$F$1213,$A$14:$A$1213,$H137)),$AB$14:$AB$1213,0)),""))</f>
        <v/>
      </c>
      <c r="AN137" s="27">
        <f>IF(OR(NOT(ISNUMBER($AJ137)),NOT(ISNUMBER($AL137)),$AK137=0,$AM137=0),"",IF(OR((($AJ137+$AL137)/($AK137+$AM137))&lt;=0,(($AJ137+$AL137)/($AK137+$AM137))&gt;=1),"",($AJ137/$AK137-$AL137/$AM137)/SQRT((($AJ137+$AL137)/($AK137+$AM137))*(1-(($AJ137+$AL137)/($AK137+$AM137)))*(1/$AK137+1/$AM137))))</f>
        <v/>
      </c>
      <c r="AO137" s="27">
        <f>IF($A137="","",IF(AND(COUNTIFS($A$14:$A$1213,$A137,$F$14:$F$1213,"&gt;=0")=2,IFERROR(INDEX($M$14:$M$313,MATCH($A137,$H$14:$H$313,0)),"Yes")&lt;&gt;"Yes"),1,0))</f>
        <v/>
      </c>
    </row>
    <row r="138" ht="24" customHeight="1">
      <c r="A138" s="19" t="n"/>
      <c r="B138" s="20" t="n"/>
      <c r="C138" s="21">
        <f>IFERROR(AVERAGE(P138:T138),"")</f>
        <v/>
      </c>
      <c r="D138" s="29" t="n"/>
      <c r="E138" s="29" t="n"/>
      <c r="F138" s="30">
        <f>IF(AND(ISNUMBER($D138),ISNUMBER($E138),$E138&gt;0,$D138&lt;=$E138),$D138/$E138,"")</f>
        <v/>
      </c>
      <c r="H138" s="19">
        <f>IFERROR(INDEX($A$14:$A$1213,MATCH(125,$AI$14:$AI$1213,0)),"")</f>
        <v/>
      </c>
      <c r="I138" s="24">
        <f>IF($H138="","",IF(COUNTIFS($A$14:$A$1213,$H138,$C$14:$C$1213,"&gt;=0")=0,"—",IFERROR(INDEX($B$14:$B$1213,MATCH($H138&amp;"|1",$Z$14:$Z$1213,0)),"(tied)")))</f>
        <v/>
      </c>
      <c r="J138" s="25">
        <f>IF($H138="","",IF(OR(COUNTIFS($A$14:$A$1213,$H138,$C$14:$C$1213,"&gt;=0")=0,COUNTIFS($A$14:$A$1213,$H138,$F$14:$F$1213,"&gt;=0")=0),"—",IF(OR(ISERROR(MATCH($H138&amp;"|1",$Z$14:$Z$1213,0)),ISERROR(MATCH($H138&amp;"|1",$AA$14:$AA$1213,0))),"Tie",IF(MATCH($H138&amp;"|1",$Z$14:$Z$1213,0)=MATCH($H138&amp;"|1",$AA$14:$AA$1213,0),"Hit","Miss"))))</f>
        <v/>
      </c>
      <c r="K138" s="24">
        <f>IF($H138="","",IF(COUNTIFS($A$14:$A$1213,$H138,$F$14:$F$1213,"&gt;=0")=0,"—",IFERROR(INDEX($B$14:$B$1213,MATCH($H138&amp;"|1",$AA$14:$AA$1213,0)),"(tied)")))</f>
        <v/>
      </c>
      <c r="L138" s="25">
        <f>IF($H138="","",IF((--(COUNTIFS($A$14:$A$1213,$H138,$P$14:$P$1213,"&gt;=0")&gt;0)+--(COUNTIFS($A$14:$A$1213,$H138,$Q$14:$Q$1213,"&gt;=0")&gt;0)+--(COUNTIFS($A$14:$A$1213,$H138,$R$14:$R$1213,"&gt;=0")&gt;0)+--(COUNTIFS($A$14:$A$1213,$H138,$S$14:$S$1213,"&gt;=0")&gt;0)+--(COUNTIFS($A$14:$A$1213,$H138,$T$14:$T$1213,"&gt;=0")&gt;0))&lt;2,"—",IF(SUMIFS($AH$14:$AH$1213,$A$14:$A$1213,$H138)=0,"Yes","No")))</f>
        <v/>
      </c>
      <c r="M138" s="25">
        <f>IF($H138="","",IF(COUNTIFS($A$14:$A$1213,$H138,$F$14:$F$1213,"&gt;=0")&lt;2,"—",IF(COUNTIFS($A$14:$A$1213,$H138,$F$14:$F$1213,_xlfn.MAXIFS($F$14:$F$1213,$A$14:$A$1213,$H138))&gt;1,"No",IF(NOT(ISNUMBER($AN138)),"—",IF((2*(1-NORMSDIST(ABS($AN138))))&lt;0.05,"Yes","No")))))</f>
        <v/>
      </c>
      <c r="N138" s="21">
        <f>IF($H138="","",IF(NOT(ISNUMBER($AN138)),"—",IF((2*(1-NORMSDIST(ABS($AN138))))&lt;0.001,"&lt;0.001",TEXT((2*(1-NORMSDIST(ABS($AN138)))),"0.000"))))</f>
        <v/>
      </c>
      <c r="P138" s="26" t="n"/>
      <c r="Q138" s="26" t="n"/>
      <c r="R138" s="26" t="n"/>
      <c r="S138" s="26" t="n"/>
      <c r="T138" s="26" t="n"/>
      <c r="V138" s="27">
        <f>IF(ISNUMBER($C138),COUNTIFS($A$14:$A$1213,$A138,$C$14:$C$1213,"&gt;"&amp;$C138)+(COUNTIFS($A$14:$A$1213,$A138,$C$14:$C$1213,"="&amp;$C138)+1)/2,"")</f>
        <v/>
      </c>
      <c r="W138" s="27">
        <f>IF(ISNUMBER($F138),COUNTIFS($A$14:$A$1213,$A138,$F$14:$F$1213,"&gt;"&amp;$F138)+(COUNTIFS($A$14:$A$1213,$A138,$F$14:$F$1213,"="&amp;$F138)+1)/2,"")</f>
        <v/>
      </c>
      <c r="X138" s="27">
        <f>IF(OR(NOT(ISNUMBER($V138)),$AO138=1),"",$V138-(COUNTIFS($A$14:$A$1213,$A138,$C$14:$C$1213,"&gt;=0")+1)/2)</f>
        <v/>
      </c>
      <c r="Y138" s="27">
        <f>IF(OR(NOT(ISNUMBER($W138)),$AO138=1),"",$W138-(COUNTIFS($A$14:$A$1213,$A138,$F$14:$F$1213,"&gt;=0")+1)/2)</f>
        <v/>
      </c>
      <c r="Z138" s="27">
        <f>IF(ISNUMBER($V138),$A138&amp;"|"&amp;$V138,"")</f>
        <v/>
      </c>
      <c r="AA138" s="27">
        <f>IF(ISNUMBER($W138),$A138&amp;"|"&amp;$W138,"")</f>
        <v/>
      </c>
      <c r="AB138" s="27">
        <f>IF(ISNUMBER($F138),$A138&amp;"|"&amp;$F138,"")</f>
        <v/>
      </c>
      <c r="AC138" s="27">
        <f>IF(ISNUMBER($P138),COUNTIFS($A$14:$A$1213,$A138,$P$14:$P$1213,"&gt;"&amp;$P138)+(COUNTIFS($A$14:$A$1213,$A138,$P$14:$P$1213,"="&amp;$P138)+1)/2,"")</f>
        <v/>
      </c>
      <c r="AD138" s="27">
        <f>IF(ISNUMBER($Q138),COUNTIFS($A$14:$A$1213,$A138,$Q$14:$Q$1213,"&gt;"&amp;$Q138)+(COUNTIFS($A$14:$A$1213,$A138,$Q$14:$Q$1213,"="&amp;$Q138)+1)/2,"")</f>
        <v/>
      </c>
      <c r="AE138" s="27">
        <f>IF(ISNUMBER($R138),COUNTIFS($A$14:$A$1213,$A138,$R$14:$R$1213,"&gt;"&amp;$R138)+(COUNTIFS($A$14:$A$1213,$A138,$R$14:$R$1213,"="&amp;$R138)+1)/2,"")</f>
        <v/>
      </c>
      <c r="AF138" s="27">
        <f>IF(ISNUMBER($S138),COUNTIFS($A$14:$A$1213,$A138,$S$14:$S$1213,"&gt;"&amp;$S138)+(COUNTIFS($A$14:$A$1213,$A138,$S$14:$S$1213,"="&amp;$S138)+1)/2,"")</f>
        <v/>
      </c>
      <c r="AG138" s="27">
        <f>IF(ISNUMBER($T138),COUNTIFS($A$14:$A$1213,$A138,$T$14:$T$1213,"&gt;"&amp;$T138)+(COUNTIFS($A$14:$A$1213,$A138,$T$14:$T$1213,"="&amp;$T138)+1)/2,"")</f>
        <v/>
      </c>
      <c r="AH138" s="27">
        <f>IF(COUNT($AC138:$AG138)&lt;2,"",IF(MAX($AC138:$AG138)=MIN($AC138:$AG138),0,1))</f>
        <v/>
      </c>
      <c r="AI138" s="27">
        <f>IF($A138="","",IF(COUNTIF($A$14:$A138,$A138)=1,COUNTIF($AI$13:AI137,"&gt;0")+1,""))</f>
        <v/>
      </c>
      <c r="AJ138" s="27">
        <f>IF(OR($H138="",COUNTIFS($A$14:$A$1213,$H138,$F$14:$F$1213,"&gt;=0")&lt;2,COUNTIFS($A$14:$A$1213,$H138,$F$14:$F$1213,_xlfn.MAXIFS($F$14:$F$1213,$A$14:$A$1213,$H138))&gt;1),"",IFERROR(INDEX($D$14:$D$1213,MATCH($H138&amp;"|"&amp;_xlfn.MAXIFS($F$14:$F$1213,$A$14:$A$1213,$H138),$AB$14:$AB$1213,0)),""))</f>
        <v/>
      </c>
      <c r="AK138" s="27">
        <f>IF(OR($H138="",COUNTIFS($A$14:$A$1213,$H138,$F$14:$F$1213,"&gt;=0")&lt;2,COUNTIFS($A$14:$A$1213,$H138,$F$14:$F$1213,_xlfn.MAXIFS($F$14:$F$1213,$A$14:$A$1213,$H138))&gt;1),"",IFERROR(INDEX($E$14:$E$1213,MATCH($H138&amp;"|"&amp;_xlfn.MAXIFS($F$14:$F$1213,$A$14:$A$1213,$H138),$AB$14:$AB$1213,0)),""))</f>
        <v/>
      </c>
      <c r="AL138" s="27">
        <f>IF(OR($H138="",COUNTIFS($A$14:$A$1213,$H138,$F$14:$F$1213,"&gt;=0")&lt;2,COUNTIFS($A$14:$A$1213,$H138,$F$14:$F$1213,_xlfn.MAXIFS($F$14:$F$1213,$A$14:$A$1213,$H138))&gt;1),"",IFERROR(INDEX($D$14:$D$1213,MATCH($H138&amp;"|"&amp;_xlfn.MAXIFS($F$14:$F$1213,$A$14:$A$1213,$H138,$F$14:$F$1213,"&lt;"&amp;_xlfn.MAXIFS($F$14:$F$1213,$A$14:$A$1213,$H138)),$AB$14:$AB$1213,0)),""))</f>
        <v/>
      </c>
      <c r="AM138" s="27">
        <f>IF(OR($H138="",COUNTIFS($A$14:$A$1213,$H138,$F$14:$F$1213,"&gt;=0")&lt;2,COUNTIFS($A$14:$A$1213,$H138,$F$14:$F$1213,_xlfn.MAXIFS($F$14:$F$1213,$A$14:$A$1213,$H138))&gt;1),"",IFERROR(INDEX($E$14:$E$1213,MATCH($H138&amp;"|"&amp;_xlfn.MAXIFS($F$14:$F$1213,$A$14:$A$1213,$H138,$F$14:$F$1213,"&lt;"&amp;_xlfn.MAXIFS($F$14:$F$1213,$A$14:$A$1213,$H138)),$AB$14:$AB$1213,0)),""))</f>
        <v/>
      </c>
      <c r="AN138" s="27">
        <f>IF(OR(NOT(ISNUMBER($AJ138)),NOT(ISNUMBER($AL138)),$AK138=0,$AM138=0),"",IF(OR((($AJ138+$AL138)/($AK138+$AM138))&lt;=0,(($AJ138+$AL138)/($AK138+$AM138))&gt;=1),"",($AJ138/$AK138-$AL138/$AM138)/SQRT((($AJ138+$AL138)/($AK138+$AM138))*(1-(($AJ138+$AL138)/($AK138+$AM138)))*(1/$AK138+1/$AM138))))</f>
        <v/>
      </c>
      <c r="AO138" s="27">
        <f>IF($A138="","",IF(AND(COUNTIFS($A$14:$A$1213,$A138,$F$14:$F$1213,"&gt;=0")=2,IFERROR(INDEX($M$14:$M$313,MATCH($A138,$H$14:$H$313,0)),"Yes")&lt;&gt;"Yes"),1,0))</f>
        <v/>
      </c>
    </row>
    <row r="139" ht="24" customHeight="1">
      <c r="A139" s="19" t="n"/>
      <c r="B139" s="20" t="n"/>
      <c r="C139" s="21">
        <f>IFERROR(AVERAGE(P139:T139),"")</f>
        <v/>
      </c>
      <c r="D139" s="29" t="n"/>
      <c r="E139" s="29" t="n"/>
      <c r="F139" s="30">
        <f>IF(AND(ISNUMBER($D139),ISNUMBER($E139),$E139&gt;0,$D139&lt;=$E139),$D139/$E139,"")</f>
        <v/>
      </c>
      <c r="H139" s="19">
        <f>IFERROR(INDEX($A$14:$A$1213,MATCH(126,$AI$14:$AI$1213,0)),"")</f>
        <v/>
      </c>
      <c r="I139" s="24">
        <f>IF($H139="","",IF(COUNTIFS($A$14:$A$1213,$H139,$C$14:$C$1213,"&gt;=0")=0,"—",IFERROR(INDEX($B$14:$B$1213,MATCH($H139&amp;"|1",$Z$14:$Z$1213,0)),"(tied)")))</f>
        <v/>
      </c>
      <c r="J139" s="25">
        <f>IF($H139="","",IF(OR(COUNTIFS($A$14:$A$1213,$H139,$C$14:$C$1213,"&gt;=0")=0,COUNTIFS($A$14:$A$1213,$H139,$F$14:$F$1213,"&gt;=0")=0),"—",IF(OR(ISERROR(MATCH($H139&amp;"|1",$Z$14:$Z$1213,0)),ISERROR(MATCH($H139&amp;"|1",$AA$14:$AA$1213,0))),"Tie",IF(MATCH($H139&amp;"|1",$Z$14:$Z$1213,0)=MATCH($H139&amp;"|1",$AA$14:$AA$1213,0),"Hit","Miss"))))</f>
        <v/>
      </c>
      <c r="K139" s="24">
        <f>IF($H139="","",IF(COUNTIFS($A$14:$A$1213,$H139,$F$14:$F$1213,"&gt;=0")=0,"—",IFERROR(INDEX($B$14:$B$1213,MATCH($H139&amp;"|1",$AA$14:$AA$1213,0)),"(tied)")))</f>
        <v/>
      </c>
      <c r="L139" s="25">
        <f>IF($H139="","",IF((--(COUNTIFS($A$14:$A$1213,$H139,$P$14:$P$1213,"&gt;=0")&gt;0)+--(COUNTIFS($A$14:$A$1213,$H139,$Q$14:$Q$1213,"&gt;=0")&gt;0)+--(COUNTIFS($A$14:$A$1213,$H139,$R$14:$R$1213,"&gt;=0")&gt;0)+--(COUNTIFS($A$14:$A$1213,$H139,$S$14:$S$1213,"&gt;=0")&gt;0)+--(COUNTIFS($A$14:$A$1213,$H139,$T$14:$T$1213,"&gt;=0")&gt;0))&lt;2,"—",IF(SUMIFS($AH$14:$AH$1213,$A$14:$A$1213,$H139)=0,"Yes","No")))</f>
        <v/>
      </c>
      <c r="M139" s="25">
        <f>IF($H139="","",IF(COUNTIFS($A$14:$A$1213,$H139,$F$14:$F$1213,"&gt;=0")&lt;2,"—",IF(COUNTIFS($A$14:$A$1213,$H139,$F$14:$F$1213,_xlfn.MAXIFS($F$14:$F$1213,$A$14:$A$1213,$H139))&gt;1,"No",IF(NOT(ISNUMBER($AN139)),"—",IF((2*(1-NORMSDIST(ABS($AN139))))&lt;0.05,"Yes","No")))))</f>
        <v/>
      </c>
      <c r="N139" s="21">
        <f>IF($H139="","",IF(NOT(ISNUMBER($AN139)),"—",IF((2*(1-NORMSDIST(ABS($AN139))))&lt;0.001,"&lt;0.001",TEXT((2*(1-NORMSDIST(ABS($AN139)))),"0.000"))))</f>
        <v/>
      </c>
      <c r="P139" s="26" t="n"/>
      <c r="Q139" s="26" t="n"/>
      <c r="R139" s="26" t="n"/>
      <c r="S139" s="26" t="n"/>
      <c r="T139" s="26" t="n"/>
      <c r="V139" s="27">
        <f>IF(ISNUMBER($C139),COUNTIFS($A$14:$A$1213,$A139,$C$14:$C$1213,"&gt;"&amp;$C139)+(COUNTIFS($A$14:$A$1213,$A139,$C$14:$C$1213,"="&amp;$C139)+1)/2,"")</f>
        <v/>
      </c>
      <c r="W139" s="27">
        <f>IF(ISNUMBER($F139),COUNTIFS($A$14:$A$1213,$A139,$F$14:$F$1213,"&gt;"&amp;$F139)+(COUNTIFS($A$14:$A$1213,$A139,$F$14:$F$1213,"="&amp;$F139)+1)/2,"")</f>
        <v/>
      </c>
      <c r="X139" s="27">
        <f>IF(OR(NOT(ISNUMBER($V139)),$AO139=1),"",$V139-(COUNTIFS($A$14:$A$1213,$A139,$C$14:$C$1213,"&gt;=0")+1)/2)</f>
        <v/>
      </c>
      <c r="Y139" s="27">
        <f>IF(OR(NOT(ISNUMBER($W139)),$AO139=1),"",$W139-(COUNTIFS($A$14:$A$1213,$A139,$F$14:$F$1213,"&gt;=0")+1)/2)</f>
        <v/>
      </c>
      <c r="Z139" s="27">
        <f>IF(ISNUMBER($V139),$A139&amp;"|"&amp;$V139,"")</f>
        <v/>
      </c>
      <c r="AA139" s="27">
        <f>IF(ISNUMBER($W139),$A139&amp;"|"&amp;$W139,"")</f>
        <v/>
      </c>
      <c r="AB139" s="27">
        <f>IF(ISNUMBER($F139),$A139&amp;"|"&amp;$F139,"")</f>
        <v/>
      </c>
      <c r="AC139" s="27">
        <f>IF(ISNUMBER($P139),COUNTIFS($A$14:$A$1213,$A139,$P$14:$P$1213,"&gt;"&amp;$P139)+(COUNTIFS($A$14:$A$1213,$A139,$P$14:$P$1213,"="&amp;$P139)+1)/2,"")</f>
        <v/>
      </c>
      <c r="AD139" s="27">
        <f>IF(ISNUMBER($Q139),COUNTIFS($A$14:$A$1213,$A139,$Q$14:$Q$1213,"&gt;"&amp;$Q139)+(COUNTIFS($A$14:$A$1213,$A139,$Q$14:$Q$1213,"="&amp;$Q139)+1)/2,"")</f>
        <v/>
      </c>
      <c r="AE139" s="27">
        <f>IF(ISNUMBER($R139),COUNTIFS($A$14:$A$1213,$A139,$R$14:$R$1213,"&gt;"&amp;$R139)+(COUNTIFS($A$14:$A$1213,$A139,$R$14:$R$1213,"="&amp;$R139)+1)/2,"")</f>
        <v/>
      </c>
      <c r="AF139" s="27">
        <f>IF(ISNUMBER($S139),COUNTIFS($A$14:$A$1213,$A139,$S$14:$S$1213,"&gt;"&amp;$S139)+(COUNTIFS($A$14:$A$1213,$A139,$S$14:$S$1213,"="&amp;$S139)+1)/2,"")</f>
        <v/>
      </c>
      <c r="AG139" s="27">
        <f>IF(ISNUMBER($T139),COUNTIFS($A$14:$A$1213,$A139,$T$14:$T$1213,"&gt;"&amp;$T139)+(COUNTIFS($A$14:$A$1213,$A139,$T$14:$T$1213,"="&amp;$T139)+1)/2,"")</f>
        <v/>
      </c>
      <c r="AH139" s="27">
        <f>IF(COUNT($AC139:$AG139)&lt;2,"",IF(MAX($AC139:$AG139)=MIN($AC139:$AG139),0,1))</f>
        <v/>
      </c>
      <c r="AI139" s="27">
        <f>IF($A139="","",IF(COUNTIF($A$14:$A139,$A139)=1,COUNTIF($AI$13:AI138,"&gt;0")+1,""))</f>
        <v/>
      </c>
      <c r="AJ139" s="27">
        <f>IF(OR($H139="",COUNTIFS($A$14:$A$1213,$H139,$F$14:$F$1213,"&gt;=0")&lt;2,COUNTIFS($A$14:$A$1213,$H139,$F$14:$F$1213,_xlfn.MAXIFS($F$14:$F$1213,$A$14:$A$1213,$H139))&gt;1),"",IFERROR(INDEX($D$14:$D$1213,MATCH($H139&amp;"|"&amp;_xlfn.MAXIFS($F$14:$F$1213,$A$14:$A$1213,$H139),$AB$14:$AB$1213,0)),""))</f>
        <v/>
      </c>
      <c r="AK139" s="27">
        <f>IF(OR($H139="",COUNTIFS($A$14:$A$1213,$H139,$F$14:$F$1213,"&gt;=0")&lt;2,COUNTIFS($A$14:$A$1213,$H139,$F$14:$F$1213,_xlfn.MAXIFS($F$14:$F$1213,$A$14:$A$1213,$H139))&gt;1),"",IFERROR(INDEX($E$14:$E$1213,MATCH($H139&amp;"|"&amp;_xlfn.MAXIFS($F$14:$F$1213,$A$14:$A$1213,$H139),$AB$14:$AB$1213,0)),""))</f>
        <v/>
      </c>
      <c r="AL139" s="27">
        <f>IF(OR($H139="",COUNTIFS($A$14:$A$1213,$H139,$F$14:$F$1213,"&gt;=0")&lt;2,COUNTIFS($A$14:$A$1213,$H139,$F$14:$F$1213,_xlfn.MAXIFS($F$14:$F$1213,$A$14:$A$1213,$H139))&gt;1),"",IFERROR(INDEX($D$14:$D$1213,MATCH($H139&amp;"|"&amp;_xlfn.MAXIFS($F$14:$F$1213,$A$14:$A$1213,$H139,$F$14:$F$1213,"&lt;"&amp;_xlfn.MAXIFS($F$14:$F$1213,$A$14:$A$1213,$H139)),$AB$14:$AB$1213,0)),""))</f>
        <v/>
      </c>
      <c r="AM139" s="27">
        <f>IF(OR($H139="",COUNTIFS($A$14:$A$1213,$H139,$F$14:$F$1213,"&gt;=0")&lt;2,COUNTIFS($A$14:$A$1213,$H139,$F$14:$F$1213,_xlfn.MAXIFS($F$14:$F$1213,$A$14:$A$1213,$H139))&gt;1),"",IFERROR(INDEX($E$14:$E$1213,MATCH($H139&amp;"|"&amp;_xlfn.MAXIFS($F$14:$F$1213,$A$14:$A$1213,$H139,$F$14:$F$1213,"&lt;"&amp;_xlfn.MAXIFS($F$14:$F$1213,$A$14:$A$1213,$H139)),$AB$14:$AB$1213,0)),""))</f>
        <v/>
      </c>
      <c r="AN139" s="27">
        <f>IF(OR(NOT(ISNUMBER($AJ139)),NOT(ISNUMBER($AL139)),$AK139=0,$AM139=0),"",IF(OR((($AJ139+$AL139)/($AK139+$AM139))&lt;=0,(($AJ139+$AL139)/($AK139+$AM139))&gt;=1),"",($AJ139/$AK139-$AL139/$AM139)/SQRT((($AJ139+$AL139)/($AK139+$AM139))*(1-(($AJ139+$AL139)/($AK139+$AM139)))*(1/$AK139+1/$AM139))))</f>
        <v/>
      </c>
      <c r="AO139" s="27">
        <f>IF($A139="","",IF(AND(COUNTIFS($A$14:$A$1213,$A139,$F$14:$F$1213,"&gt;=0")=2,IFERROR(INDEX($M$14:$M$313,MATCH($A139,$H$14:$H$313,0)),"Yes")&lt;&gt;"Yes"),1,0))</f>
        <v/>
      </c>
    </row>
    <row r="140" ht="24" customHeight="1">
      <c r="A140" s="19" t="n"/>
      <c r="B140" s="20" t="n"/>
      <c r="C140" s="21">
        <f>IFERROR(AVERAGE(P140:T140),"")</f>
        <v/>
      </c>
      <c r="D140" s="29" t="n"/>
      <c r="E140" s="29" t="n"/>
      <c r="F140" s="30">
        <f>IF(AND(ISNUMBER($D140),ISNUMBER($E140),$E140&gt;0,$D140&lt;=$E140),$D140/$E140,"")</f>
        <v/>
      </c>
      <c r="H140" s="19">
        <f>IFERROR(INDEX($A$14:$A$1213,MATCH(127,$AI$14:$AI$1213,0)),"")</f>
        <v/>
      </c>
      <c r="I140" s="24">
        <f>IF($H140="","",IF(COUNTIFS($A$14:$A$1213,$H140,$C$14:$C$1213,"&gt;=0")=0,"—",IFERROR(INDEX($B$14:$B$1213,MATCH($H140&amp;"|1",$Z$14:$Z$1213,0)),"(tied)")))</f>
        <v/>
      </c>
      <c r="J140" s="25">
        <f>IF($H140="","",IF(OR(COUNTIFS($A$14:$A$1213,$H140,$C$14:$C$1213,"&gt;=0")=0,COUNTIFS($A$14:$A$1213,$H140,$F$14:$F$1213,"&gt;=0")=0),"—",IF(OR(ISERROR(MATCH($H140&amp;"|1",$Z$14:$Z$1213,0)),ISERROR(MATCH($H140&amp;"|1",$AA$14:$AA$1213,0))),"Tie",IF(MATCH($H140&amp;"|1",$Z$14:$Z$1213,0)=MATCH($H140&amp;"|1",$AA$14:$AA$1213,0),"Hit","Miss"))))</f>
        <v/>
      </c>
      <c r="K140" s="24">
        <f>IF($H140="","",IF(COUNTIFS($A$14:$A$1213,$H140,$F$14:$F$1213,"&gt;=0")=0,"—",IFERROR(INDEX($B$14:$B$1213,MATCH($H140&amp;"|1",$AA$14:$AA$1213,0)),"(tied)")))</f>
        <v/>
      </c>
      <c r="L140" s="25">
        <f>IF($H140="","",IF((--(COUNTIFS($A$14:$A$1213,$H140,$P$14:$P$1213,"&gt;=0")&gt;0)+--(COUNTIFS($A$14:$A$1213,$H140,$Q$14:$Q$1213,"&gt;=0")&gt;0)+--(COUNTIFS($A$14:$A$1213,$H140,$R$14:$R$1213,"&gt;=0")&gt;0)+--(COUNTIFS($A$14:$A$1213,$H140,$S$14:$S$1213,"&gt;=0")&gt;0)+--(COUNTIFS($A$14:$A$1213,$H140,$T$14:$T$1213,"&gt;=0")&gt;0))&lt;2,"—",IF(SUMIFS($AH$14:$AH$1213,$A$14:$A$1213,$H140)=0,"Yes","No")))</f>
        <v/>
      </c>
      <c r="M140" s="25">
        <f>IF($H140="","",IF(COUNTIFS($A$14:$A$1213,$H140,$F$14:$F$1213,"&gt;=0")&lt;2,"—",IF(COUNTIFS($A$14:$A$1213,$H140,$F$14:$F$1213,_xlfn.MAXIFS($F$14:$F$1213,$A$14:$A$1213,$H140))&gt;1,"No",IF(NOT(ISNUMBER($AN140)),"—",IF((2*(1-NORMSDIST(ABS($AN140))))&lt;0.05,"Yes","No")))))</f>
        <v/>
      </c>
      <c r="N140" s="21">
        <f>IF($H140="","",IF(NOT(ISNUMBER($AN140)),"—",IF((2*(1-NORMSDIST(ABS($AN140))))&lt;0.001,"&lt;0.001",TEXT((2*(1-NORMSDIST(ABS($AN140)))),"0.000"))))</f>
        <v/>
      </c>
      <c r="P140" s="26" t="n"/>
      <c r="Q140" s="26" t="n"/>
      <c r="R140" s="26" t="n"/>
      <c r="S140" s="26" t="n"/>
      <c r="T140" s="26" t="n"/>
      <c r="V140" s="27">
        <f>IF(ISNUMBER($C140),COUNTIFS($A$14:$A$1213,$A140,$C$14:$C$1213,"&gt;"&amp;$C140)+(COUNTIFS($A$14:$A$1213,$A140,$C$14:$C$1213,"="&amp;$C140)+1)/2,"")</f>
        <v/>
      </c>
      <c r="W140" s="27">
        <f>IF(ISNUMBER($F140),COUNTIFS($A$14:$A$1213,$A140,$F$14:$F$1213,"&gt;"&amp;$F140)+(COUNTIFS($A$14:$A$1213,$A140,$F$14:$F$1213,"="&amp;$F140)+1)/2,"")</f>
        <v/>
      </c>
      <c r="X140" s="27">
        <f>IF(OR(NOT(ISNUMBER($V140)),$AO140=1),"",$V140-(COUNTIFS($A$14:$A$1213,$A140,$C$14:$C$1213,"&gt;=0")+1)/2)</f>
        <v/>
      </c>
      <c r="Y140" s="27">
        <f>IF(OR(NOT(ISNUMBER($W140)),$AO140=1),"",$W140-(COUNTIFS($A$14:$A$1213,$A140,$F$14:$F$1213,"&gt;=0")+1)/2)</f>
        <v/>
      </c>
      <c r="Z140" s="27">
        <f>IF(ISNUMBER($V140),$A140&amp;"|"&amp;$V140,"")</f>
        <v/>
      </c>
      <c r="AA140" s="27">
        <f>IF(ISNUMBER($W140),$A140&amp;"|"&amp;$W140,"")</f>
        <v/>
      </c>
      <c r="AB140" s="27">
        <f>IF(ISNUMBER($F140),$A140&amp;"|"&amp;$F140,"")</f>
        <v/>
      </c>
      <c r="AC140" s="27">
        <f>IF(ISNUMBER($P140),COUNTIFS($A$14:$A$1213,$A140,$P$14:$P$1213,"&gt;"&amp;$P140)+(COUNTIFS($A$14:$A$1213,$A140,$P$14:$P$1213,"="&amp;$P140)+1)/2,"")</f>
        <v/>
      </c>
      <c r="AD140" s="27">
        <f>IF(ISNUMBER($Q140),COUNTIFS($A$14:$A$1213,$A140,$Q$14:$Q$1213,"&gt;"&amp;$Q140)+(COUNTIFS($A$14:$A$1213,$A140,$Q$14:$Q$1213,"="&amp;$Q140)+1)/2,"")</f>
        <v/>
      </c>
      <c r="AE140" s="27">
        <f>IF(ISNUMBER($R140),COUNTIFS($A$14:$A$1213,$A140,$R$14:$R$1213,"&gt;"&amp;$R140)+(COUNTIFS($A$14:$A$1213,$A140,$R$14:$R$1213,"="&amp;$R140)+1)/2,"")</f>
        <v/>
      </c>
      <c r="AF140" s="27">
        <f>IF(ISNUMBER($S140),COUNTIFS($A$14:$A$1213,$A140,$S$14:$S$1213,"&gt;"&amp;$S140)+(COUNTIFS($A$14:$A$1213,$A140,$S$14:$S$1213,"="&amp;$S140)+1)/2,"")</f>
        <v/>
      </c>
      <c r="AG140" s="27">
        <f>IF(ISNUMBER($T140),COUNTIFS($A$14:$A$1213,$A140,$T$14:$T$1213,"&gt;"&amp;$T140)+(COUNTIFS($A$14:$A$1213,$A140,$T$14:$T$1213,"="&amp;$T140)+1)/2,"")</f>
        <v/>
      </c>
      <c r="AH140" s="27">
        <f>IF(COUNT($AC140:$AG140)&lt;2,"",IF(MAX($AC140:$AG140)=MIN($AC140:$AG140),0,1))</f>
        <v/>
      </c>
      <c r="AI140" s="27">
        <f>IF($A140="","",IF(COUNTIF($A$14:$A140,$A140)=1,COUNTIF($AI$13:AI139,"&gt;0")+1,""))</f>
        <v/>
      </c>
      <c r="AJ140" s="27">
        <f>IF(OR($H140="",COUNTIFS($A$14:$A$1213,$H140,$F$14:$F$1213,"&gt;=0")&lt;2,COUNTIFS($A$14:$A$1213,$H140,$F$14:$F$1213,_xlfn.MAXIFS($F$14:$F$1213,$A$14:$A$1213,$H140))&gt;1),"",IFERROR(INDEX($D$14:$D$1213,MATCH($H140&amp;"|"&amp;_xlfn.MAXIFS($F$14:$F$1213,$A$14:$A$1213,$H140),$AB$14:$AB$1213,0)),""))</f>
        <v/>
      </c>
      <c r="AK140" s="27">
        <f>IF(OR($H140="",COUNTIFS($A$14:$A$1213,$H140,$F$14:$F$1213,"&gt;=0")&lt;2,COUNTIFS($A$14:$A$1213,$H140,$F$14:$F$1213,_xlfn.MAXIFS($F$14:$F$1213,$A$14:$A$1213,$H140))&gt;1),"",IFERROR(INDEX($E$14:$E$1213,MATCH($H140&amp;"|"&amp;_xlfn.MAXIFS($F$14:$F$1213,$A$14:$A$1213,$H140),$AB$14:$AB$1213,0)),""))</f>
        <v/>
      </c>
      <c r="AL140" s="27">
        <f>IF(OR($H140="",COUNTIFS($A$14:$A$1213,$H140,$F$14:$F$1213,"&gt;=0")&lt;2,COUNTIFS($A$14:$A$1213,$H140,$F$14:$F$1213,_xlfn.MAXIFS($F$14:$F$1213,$A$14:$A$1213,$H140))&gt;1),"",IFERROR(INDEX($D$14:$D$1213,MATCH($H140&amp;"|"&amp;_xlfn.MAXIFS($F$14:$F$1213,$A$14:$A$1213,$H140,$F$14:$F$1213,"&lt;"&amp;_xlfn.MAXIFS($F$14:$F$1213,$A$14:$A$1213,$H140)),$AB$14:$AB$1213,0)),""))</f>
        <v/>
      </c>
      <c r="AM140" s="27">
        <f>IF(OR($H140="",COUNTIFS($A$14:$A$1213,$H140,$F$14:$F$1213,"&gt;=0")&lt;2,COUNTIFS($A$14:$A$1213,$H140,$F$14:$F$1213,_xlfn.MAXIFS($F$14:$F$1213,$A$14:$A$1213,$H140))&gt;1),"",IFERROR(INDEX($E$14:$E$1213,MATCH($H140&amp;"|"&amp;_xlfn.MAXIFS($F$14:$F$1213,$A$14:$A$1213,$H140,$F$14:$F$1213,"&lt;"&amp;_xlfn.MAXIFS($F$14:$F$1213,$A$14:$A$1213,$H140)),$AB$14:$AB$1213,0)),""))</f>
        <v/>
      </c>
      <c r="AN140" s="27">
        <f>IF(OR(NOT(ISNUMBER($AJ140)),NOT(ISNUMBER($AL140)),$AK140=0,$AM140=0),"",IF(OR((($AJ140+$AL140)/($AK140+$AM140))&lt;=0,(($AJ140+$AL140)/($AK140+$AM140))&gt;=1),"",($AJ140/$AK140-$AL140/$AM140)/SQRT((($AJ140+$AL140)/($AK140+$AM140))*(1-(($AJ140+$AL140)/($AK140+$AM140)))*(1/$AK140+1/$AM140))))</f>
        <v/>
      </c>
      <c r="AO140" s="27">
        <f>IF($A140="","",IF(AND(COUNTIFS($A$14:$A$1213,$A140,$F$14:$F$1213,"&gt;=0")=2,IFERROR(INDEX($M$14:$M$313,MATCH($A140,$H$14:$H$313,0)),"Yes")&lt;&gt;"Yes"),1,0))</f>
        <v/>
      </c>
    </row>
    <row r="141" ht="24" customHeight="1">
      <c r="A141" s="19" t="n"/>
      <c r="B141" s="20" t="n"/>
      <c r="C141" s="21">
        <f>IFERROR(AVERAGE(P141:T141),"")</f>
        <v/>
      </c>
      <c r="D141" s="29" t="n"/>
      <c r="E141" s="29" t="n"/>
      <c r="F141" s="30">
        <f>IF(AND(ISNUMBER($D141),ISNUMBER($E141),$E141&gt;0,$D141&lt;=$E141),$D141/$E141,"")</f>
        <v/>
      </c>
      <c r="H141" s="19">
        <f>IFERROR(INDEX($A$14:$A$1213,MATCH(128,$AI$14:$AI$1213,0)),"")</f>
        <v/>
      </c>
      <c r="I141" s="24">
        <f>IF($H141="","",IF(COUNTIFS($A$14:$A$1213,$H141,$C$14:$C$1213,"&gt;=0")=0,"—",IFERROR(INDEX($B$14:$B$1213,MATCH($H141&amp;"|1",$Z$14:$Z$1213,0)),"(tied)")))</f>
        <v/>
      </c>
      <c r="J141" s="25">
        <f>IF($H141="","",IF(OR(COUNTIFS($A$14:$A$1213,$H141,$C$14:$C$1213,"&gt;=0")=0,COUNTIFS($A$14:$A$1213,$H141,$F$14:$F$1213,"&gt;=0")=0),"—",IF(OR(ISERROR(MATCH($H141&amp;"|1",$Z$14:$Z$1213,0)),ISERROR(MATCH($H141&amp;"|1",$AA$14:$AA$1213,0))),"Tie",IF(MATCH($H141&amp;"|1",$Z$14:$Z$1213,0)=MATCH($H141&amp;"|1",$AA$14:$AA$1213,0),"Hit","Miss"))))</f>
        <v/>
      </c>
      <c r="K141" s="24">
        <f>IF($H141="","",IF(COUNTIFS($A$14:$A$1213,$H141,$F$14:$F$1213,"&gt;=0")=0,"—",IFERROR(INDEX($B$14:$B$1213,MATCH($H141&amp;"|1",$AA$14:$AA$1213,0)),"(tied)")))</f>
        <v/>
      </c>
      <c r="L141" s="25">
        <f>IF($H141="","",IF((--(COUNTIFS($A$14:$A$1213,$H141,$P$14:$P$1213,"&gt;=0")&gt;0)+--(COUNTIFS($A$14:$A$1213,$H141,$Q$14:$Q$1213,"&gt;=0")&gt;0)+--(COUNTIFS($A$14:$A$1213,$H141,$R$14:$R$1213,"&gt;=0")&gt;0)+--(COUNTIFS($A$14:$A$1213,$H141,$S$14:$S$1213,"&gt;=0")&gt;0)+--(COUNTIFS($A$14:$A$1213,$H141,$T$14:$T$1213,"&gt;=0")&gt;0))&lt;2,"—",IF(SUMIFS($AH$14:$AH$1213,$A$14:$A$1213,$H141)=0,"Yes","No")))</f>
        <v/>
      </c>
      <c r="M141" s="25">
        <f>IF($H141="","",IF(COUNTIFS($A$14:$A$1213,$H141,$F$14:$F$1213,"&gt;=0")&lt;2,"—",IF(COUNTIFS($A$14:$A$1213,$H141,$F$14:$F$1213,_xlfn.MAXIFS($F$14:$F$1213,$A$14:$A$1213,$H141))&gt;1,"No",IF(NOT(ISNUMBER($AN141)),"—",IF((2*(1-NORMSDIST(ABS($AN141))))&lt;0.05,"Yes","No")))))</f>
        <v/>
      </c>
      <c r="N141" s="21">
        <f>IF($H141="","",IF(NOT(ISNUMBER($AN141)),"—",IF((2*(1-NORMSDIST(ABS($AN141))))&lt;0.001,"&lt;0.001",TEXT((2*(1-NORMSDIST(ABS($AN141)))),"0.000"))))</f>
        <v/>
      </c>
      <c r="P141" s="26" t="n"/>
      <c r="Q141" s="26" t="n"/>
      <c r="R141" s="26" t="n"/>
      <c r="S141" s="26" t="n"/>
      <c r="T141" s="26" t="n"/>
      <c r="V141" s="27">
        <f>IF(ISNUMBER($C141),COUNTIFS($A$14:$A$1213,$A141,$C$14:$C$1213,"&gt;"&amp;$C141)+(COUNTIFS($A$14:$A$1213,$A141,$C$14:$C$1213,"="&amp;$C141)+1)/2,"")</f>
        <v/>
      </c>
      <c r="W141" s="27">
        <f>IF(ISNUMBER($F141),COUNTIFS($A$14:$A$1213,$A141,$F$14:$F$1213,"&gt;"&amp;$F141)+(COUNTIFS($A$14:$A$1213,$A141,$F$14:$F$1213,"="&amp;$F141)+1)/2,"")</f>
        <v/>
      </c>
      <c r="X141" s="27">
        <f>IF(OR(NOT(ISNUMBER($V141)),$AO141=1),"",$V141-(COUNTIFS($A$14:$A$1213,$A141,$C$14:$C$1213,"&gt;=0")+1)/2)</f>
        <v/>
      </c>
      <c r="Y141" s="27">
        <f>IF(OR(NOT(ISNUMBER($W141)),$AO141=1),"",$W141-(COUNTIFS($A$14:$A$1213,$A141,$F$14:$F$1213,"&gt;=0")+1)/2)</f>
        <v/>
      </c>
      <c r="Z141" s="27">
        <f>IF(ISNUMBER($V141),$A141&amp;"|"&amp;$V141,"")</f>
        <v/>
      </c>
      <c r="AA141" s="27">
        <f>IF(ISNUMBER($W141),$A141&amp;"|"&amp;$W141,"")</f>
        <v/>
      </c>
      <c r="AB141" s="27">
        <f>IF(ISNUMBER($F141),$A141&amp;"|"&amp;$F141,"")</f>
        <v/>
      </c>
      <c r="AC141" s="27">
        <f>IF(ISNUMBER($P141),COUNTIFS($A$14:$A$1213,$A141,$P$14:$P$1213,"&gt;"&amp;$P141)+(COUNTIFS($A$14:$A$1213,$A141,$P$14:$P$1213,"="&amp;$P141)+1)/2,"")</f>
        <v/>
      </c>
      <c r="AD141" s="27">
        <f>IF(ISNUMBER($Q141),COUNTIFS($A$14:$A$1213,$A141,$Q$14:$Q$1213,"&gt;"&amp;$Q141)+(COUNTIFS($A$14:$A$1213,$A141,$Q$14:$Q$1213,"="&amp;$Q141)+1)/2,"")</f>
        <v/>
      </c>
      <c r="AE141" s="27">
        <f>IF(ISNUMBER($R141),COUNTIFS($A$14:$A$1213,$A141,$R$14:$R$1213,"&gt;"&amp;$R141)+(COUNTIFS($A$14:$A$1213,$A141,$R$14:$R$1213,"="&amp;$R141)+1)/2,"")</f>
        <v/>
      </c>
      <c r="AF141" s="27">
        <f>IF(ISNUMBER($S141),COUNTIFS($A$14:$A$1213,$A141,$S$14:$S$1213,"&gt;"&amp;$S141)+(COUNTIFS($A$14:$A$1213,$A141,$S$14:$S$1213,"="&amp;$S141)+1)/2,"")</f>
        <v/>
      </c>
      <c r="AG141" s="27">
        <f>IF(ISNUMBER($T141),COUNTIFS($A$14:$A$1213,$A141,$T$14:$T$1213,"&gt;"&amp;$T141)+(COUNTIFS($A$14:$A$1213,$A141,$T$14:$T$1213,"="&amp;$T141)+1)/2,"")</f>
        <v/>
      </c>
      <c r="AH141" s="27">
        <f>IF(COUNT($AC141:$AG141)&lt;2,"",IF(MAX($AC141:$AG141)=MIN($AC141:$AG141),0,1))</f>
        <v/>
      </c>
      <c r="AI141" s="27">
        <f>IF($A141="","",IF(COUNTIF($A$14:$A141,$A141)=1,COUNTIF($AI$13:AI140,"&gt;0")+1,""))</f>
        <v/>
      </c>
      <c r="AJ141" s="27">
        <f>IF(OR($H141="",COUNTIFS($A$14:$A$1213,$H141,$F$14:$F$1213,"&gt;=0")&lt;2,COUNTIFS($A$14:$A$1213,$H141,$F$14:$F$1213,_xlfn.MAXIFS($F$14:$F$1213,$A$14:$A$1213,$H141))&gt;1),"",IFERROR(INDEX($D$14:$D$1213,MATCH($H141&amp;"|"&amp;_xlfn.MAXIFS($F$14:$F$1213,$A$14:$A$1213,$H141),$AB$14:$AB$1213,0)),""))</f>
        <v/>
      </c>
      <c r="AK141" s="27">
        <f>IF(OR($H141="",COUNTIFS($A$14:$A$1213,$H141,$F$14:$F$1213,"&gt;=0")&lt;2,COUNTIFS($A$14:$A$1213,$H141,$F$14:$F$1213,_xlfn.MAXIFS($F$14:$F$1213,$A$14:$A$1213,$H141))&gt;1),"",IFERROR(INDEX($E$14:$E$1213,MATCH($H141&amp;"|"&amp;_xlfn.MAXIFS($F$14:$F$1213,$A$14:$A$1213,$H141),$AB$14:$AB$1213,0)),""))</f>
        <v/>
      </c>
      <c r="AL141" s="27">
        <f>IF(OR($H141="",COUNTIFS($A$14:$A$1213,$H141,$F$14:$F$1213,"&gt;=0")&lt;2,COUNTIFS($A$14:$A$1213,$H141,$F$14:$F$1213,_xlfn.MAXIFS($F$14:$F$1213,$A$14:$A$1213,$H141))&gt;1),"",IFERROR(INDEX($D$14:$D$1213,MATCH($H141&amp;"|"&amp;_xlfn.MAXIFS($F$14:$F$1213,$A$14:$A$1213,$H141,$F$14:$F$1213,"&lt;"&amp;_xlfn.MAXIFS($F$14:$F$1213,$A$14:$A$1213,$H141)),$AB$14:$AB$1213,0)),""))</f>
        <v/>
      </c>
      <c r="AM141" s="27">
        <f>IF(OR($H141="",COUNTIFS($A$14:$A$1213,$H141,$F$14:$F$1213,"&gt;=0")&lt;2,COUNTIFS($A$14:$A$1213,$H141,$F$14:$F$1213,_xlfn.MAXIFS($F$14:$F$1213,$A$14:$A$1213,$H141))&gt;1),"",IFERROR(INDEX($E$14:$E$1213,MATCH($H141&amp;"|"&amp;_xlfn.MAXIFS($F$14:$F$1213,$A$14:$A$1213,$H141,$F$14:$F$1213,"&lt;"&amp;_xlfn.MAXIFS($F$14:$F$1213,$A$14:$A$1213,$H141)),$AB$14:$AB$1213,0)),""))</f>
        <v/>
      </c>
      <c r="AN141" s="27">
        <f>IF(OR(NOT(ISNUMBER($AJ141)),NOT(ISNUMBER($AL141)),$AK141=0,$AM141=0),"",IF(OR((($AJ141+$AL141)/($AK141+$AM141))&lt;=0,(($AJ141+$AL141)/($AK141+$AM141))&gt;=1),"",($AJ141/$AK141-$AL141/$AM141)/SQRT((($AJ141+$AL141)/($AK141+$AM141))*(1-(($AJ141+$AL141)/($AK141+$AM141)))*(1/$AK141+1/$AM141))))</f>
        <v/>
      </c>
      <c r="AO141" s="27">
        <f>IF($A141="","",IF(AND(COUNTIFS($A$14:$A$1213,$A141,$F$14:$F$1213,"&gt;=0")=2,IFERROR(INDEX($M$14:$M$313,MATCH($A141,$H$14:$H$313,0)),"Yes")&lt;&gt;"Yes"),1,0))</f>
        <v/>
      </c>
    </row>
    <row r="142" ht="24" customHeight="1">
      <c r="A142" s="19" t="n"/>
      <c r="B142" s="20" t="n"/>
      <c r="C142" s="21">
        <f>IFERROR(AVERAGE(P142:T142),"")</f>
        <v/>
      </c>
      <c r="D142" s="29" t="n"/>
      <c r="E142" s="29" t="n"/>
      <c r="F142" s="30">
        <f>IF(AND(ISNUMBER($D142),ISNUMBER($E142),$E142&gt;0,$D142&lt;=$E142),$D142/$E142,"")</f>
        <v/>
      </c>
      <c r="H142" s="19">
        <f>IFERROR(INDEX($A$14:$A$1213,MATCH(129,$AI$14:$AI$1213,0)),"")</f>
        <v/>
      </c>
      <c r="I142" s="24">
        <f>IF($H142="","",IF(COUNTIFS($A$14:$A$1213,$H142,$C$14:$C$1213,"&gt;=0")=0,"—",IFERROR(INDEX($B$14:$B$1213,MATCH($H142&amp;"|1",$Z$14:$Z$1213,0)),"(tied)")))</f>
        <v/>
      </c>
      <c r="J142" s="25">
        <f>IF($H142="","",IF(OR(COUNTIFS($A$14:$A$1213,$H142,$C$14:$C$1213,"&gt;=0")=0,COUNTIFS($A$14:$A$1213,$H142,$F$14:$F$1213,"&gt;=0")=0),"—",IF(OR(ISERROR(MATCH($H142&amp;"|1",$Z$14:$Z$1213,0)),ISERROR(MATCH($H142&amp;"|1",$AA$14:$AA$1213,0))),"Tie",IF(MATCH($H142&amp;"|1",$Z$14:$Z$1213,0)=MATCH($H142&amp;"|1",$AA$14:$AA$1213,0),"Hit","Miss"))))</f>
        <v/>
      </c>
      <c r="K142" s="24">
        <f>IF($H142="","",IF(COUNTIFS($A$14:$A$1213,$H142,$F$14:$F$1213,"&gt;=0")=0,"—",IFERROR(INDEX($B$14:$B$1213,MATCH($H142&amp;"|1",$AA$14:$AA$1213,0)),"(tied)")))</f>
        <v/>
      </c>
      <c r="L142" s="25">
        <f>IF($H142="","",IF((--(COUNTIFS($A$14:$A$1213,$H142,$P$14:$P$1213,"&gt;=0")&gt;0)+--(COUNTIFS($A$14:$A$1213,$H142,$Q$14:$Q$1213,"&gt;=0")&gt;0)+--(COUNTIFS($A$14:$A$1213,$H142,$R$14:$R$1213,"&gt;=0")&gt;0)+--(COUNTIFS($A$14:$A$1213,$H142,$S$14:$S$1213,"&gt;=0")&gt;0)+--(COUNTIFS($A$14:$A$1213,$H142,$T$14:$T$1213,"&gt;=0")&gt;0))&lt;2,"—",IF(SUMIFS($AH$14:$AH$1213,$A$14:$A$1213,$H142)=0,"Yes","No")))</f>
        <v/>
      </c>
      <c r="M142" s="25">
        <f>IF($H142="","",IF(COUNTIFS($A$14:$A$1213,$H142,$F$14:$F$1213,"&gt;=0")&lt;2,"—",IF(COUNTIFS($A$14:$A$1213,$H142,$F$14:$F$1213,_xlfn.MAXIFS($F$14:$F$1213,$A$14:$A$1213,$H142))&gt;1,"No",IF(NOT(ISNUMBER($AN142)),"—",IF((2*(1-NORMSDIST(ABS($AN142))))&lt;0.05,"Yes","No")))))</f>
        <v/>
      </c>
      <c r="N142" s="21">
        <f>IF($H142="","",IF(NOT(ISNUMBER($AN142)),"—",IF((2*(1-NORMSDIST(ABS($AN142))))&lt;0.001,"&lt;0.001",TEXT((2*(1-NORMSDIST(ABS($AN142)))),"0.000"))))</f>
        <v/>
      </c>
      <c r="P142" s="26" t="n"/>
      <c r="Q142" s="26" t="n"/>
      <c r="R142" s="26" t="n"/>
      <c r="S142" s="26" t="n"/>
      <c r="T142" s="26" t="n"/>
      <c r="V142" s="27">
        <f>IF(ISNUMBER($C142),COUNTIFS($A$14:$A$1213,$A142,$C$14:$C$1213,"&gt;"&amp;$C142)+(COUNTIFS($A$14:$A$1213,$A142,$C$14:$C$1213,"="&amp;$C142)+1)/2,"")</f>
        <v/>
      </c>
      <c r="W142" s="27">
        <f>IF(ISNUMBER($F142),COUNTIFS($A$14:$A$1213,$A142,$F$14:$F$1213,"&gt;"&amp;$F142)+(COUNTIFS($A$14:$A$1213,$A142,$F$14:$F$1213,"="&amp;$F142)+1)/2,"")</f>
        <v/>
      </c>
      <c r="X142" s="27">
        <f>IF(OR(NOT(ISNUMBER($V142)),$AO142=1),"",$V142-(COUNTIFS($A$14:$A$1213,$A142,$C$14:$C$1213,"&gt;=0")+1)/2)</f>
        <v/>
      </c>
      <c r="Y142" s="27">
        <f>IF(OR(NOT(ISNUMBER($W142)),$AO142=1),"",$W142-(COUNTIFS($A$14:$A$1213,$A142,$F$14:$F$1213,"&gt;=0")+1)/2)</f>
        <v/>
      </c>
      <c r="Z142" s="27">
        <f>IF(ISNUMBER($V142),$A142&amp;"|"&amp;$V142,"")</f>
        <v/>
      </c>
      <c r="AA142" s="27">
        <f>IF(ISNUMBER($W142),$A142&amp;"|"&amp;$W142,"")</f>
        <v/>
      </c>
      <c r="AB142" s="27">
        <f>IF(ISNUMBER($F142),$A142&amp;"|"&amp;$F142,"")</f>
        <v/>
      </c>
      <c r="AC142" s="27">
        <f>IF(ISNUMBER($P142),COUNTIFS($A$14:$A$1213,$A142,$P$14:$P$1213,"&gt;"&amp;$P142)+(COUNTIFS($A$14:$A$1213,$A142,$P$14:$P$1213,"="&amp;$P142)+1)/2,"")</f>
        <v/>
      </c>
      <c r="AD142" s="27">
        <f>IF(ISNUMBER($Q142),COUNTIFS($A$14:$A$1213,$A142,$Q$14:$Q$1213,"&gt;"&amp;$Q142)+(COUNTIFS($A$14:$A$1213,$A142,$Q$14:$Q$1213,"="&amp;$Q142)+1)/2,"")</f>
        <v/>
      </c>
      <c r="AE142" s="27">
        <f>IF(ISNUMBER($R142),COUNTIFS($A$14:$A$1213,$A142,$R$14:$R$1213,"&gt;"&amp;$R142)+(COUNTIFS($A$14:$A$1213,$A142,$R$14:$R$1213,"="&amp;$R142)+1)/2,"")</f>
        <v/>
      </c>
      <c r="AF142" s="27">
        <f>IF(ISNUMBER($S142),COUNTIFS($A$14:$A$1213,$A142,$S$14:$S$1213,"&gt;"&amp;$S142)+(COUNTIFS($A$14:$A$1213,$A142,$S$14:$S$1213,"="&amp;$S142)+1)/2,"")</f>
        <v/>
      </c>
      <c r="AG142" s="27">
        <f>IF(ISNUMBER($T142),COUNTIFS($A$14:$A$1213,$A142,$T$14:$T$1213,"&gt;"&amp;$T142)+(COUNTIFS($A$14:$A$1213,$A142,$T$14:$T$1213,"="&amp;$T142)+1)/2,"")</f>
        <v/>
      </c>
      <c r="AH142" s="27">
        <f>IF(COUNT($AC142:$AG142)&lt;2,"",IF(MAX($AC142:$AG142)=MIN($AC142:$AG142),0,1))</f>
        <v/>
      </c>
      <c r="AI142" s="27">
        <f>IF($A142="","",IF(COUNTIF($A$14:$A142,$A142)=1,COUNTIF($AI$13:AI141,"&gt;0")+1,""))</f>
        <v/>
      </c>
      <c r="AJ142" s="27">
        <f>IF(OR($H142="",COUNTIFS($A$14:$A$1213,$H142,$F$14:$F$1213,"&gt;=0")&lt;2,COUNTIFS($A$14:$A$1213,$H142,$F$14:$F$1213,_xlfn.MAXIFS($F$14:$F$1213,$A$14:$A$1213,$H142))&gt;1),"",IFERROR(INDEX($D$14:$D$1213,MATCH($H142&amp;"|"&amp;_xlfn.MAXIFS($F$14:$F$1213,$A$14:$A$1213,$H142),$AB$14:$AB$1213,0)),""))</f>
        <v/>
      </c>
      <c r="AK142" s="27">
        <f>IF(OR($H142="",COUNTIFS($A$14:$A$1213,$H142,$F$14:$F$1213,"&gt;=0")&lt;2,COUNTIFS($A$14:$A$1213,$H142,$F$14:$F$1213,_xlfn.MAXIFS($F$14:$F$1213,$A$14:$A$1213,$H142))&gt;1),"",IFERROR(INDEX($E$14:$E$1213,MATCH($H142&amp;"|"&amp;_xlfn.MAXIFS($F$14:$F$1213,$A$14:$A$1213,$H142),$AB$14:$AB$1213,0)),""))</f>
        <v/>
      </c>
      <c r="AL142" s="27">
        <f>IF(OR($H142="",COUNTIFS($A$14:$A$1213,$H142,$F$14:$F$1213,"&gt;=0")&lt;2,COUNTIFS($A$14:$A$1213,$H142,$F$14:$F$1213,_xlfn.MAXIFS($F$14:$F$1213,$A$14:$A$1213,$H142))&gt;1),"",IFERROR(INDEX($D$14:$D$1213,MATCH($H142&amp;"|"&amp;_xlfn.MAXIFS($F$14:$F$1213,$A$14:$A$1213,$H142,$F$14:$F$1213,"&lt;"&amp;_xlfn.MAXIFS($F$14:$F$1213,$A$14:$A$1213,$H142)),$AB$14:$AB$1213,0)),""))</f>
        <v/>
      </c>
      <c r="AM142" s="27">
        <f>IF(OR($H142="",COUNTIFS($A$14:$A$1213,$H142,$F$14:$F$1213,"&gt;=0")&lt;2,COUNTIFS($A$14:$A$1213,$H142,$F$14:$F$1213,_xlfn.MAXIFS($F$14:$F$1213,$A$14:$A$1213,$H142))&gt;1),"",IFERROR(INDEX($E$14:$E$1213,MATCH($H142&amp;"|"&amp;_xlfn.MAXIFS($F$14:$F$1213,$A$14:$A$1213,$H142,$F$14:$F$1213,"&lt;"&amp;_xlfn.MAXIFS($F$14:$F$1213,$A$14:$A$1213,$H142)),$AB$14:$AB$1213,0)),""))</f>
        <v/>
      </c>
      <c r="AN142" s="27">
        <f>IF(OR(NOT(ISNUMBER($AJ142)),NOT(ISNUMBER($AL142)),$AK142=0,$AM142=0),"",IF(OR((($AJ142+$AL142)/($AK142+$AM142))&lt;=0,(($AJ142+$AL142)/($AK142+$AM142))&gt;=1),"",($AJ142/$AK142-$AL142/$AM142)/SQRT((($AJ142+$AL142)/($AK142+$AM142))*(1-(($AJ142+$AL142)/($AK142+$AM142)))*(1/$AK142+1/$AM142))))</f>
        <v/>
      </c>
      <c r="AO142" s="27">
        <f>IF($A142="","",IF(AND(COUNTIFS($A$14:$A$1213,$A142,$F$14:$F$1213,"&gt;=0")=2,IFERROR(INDEX($M$14:$M$313,MATCH($A142,$H$14:$H$313,0)),"Yes")&lt;&gt;"Yes"),1,0))</f>
        <v/>
      </c>
    </row>
    <row r="143" ht="24" customHeight="1">
      <c r="A143" s="19" t="n"/>
      <c r="B143" s="20" t="n"/>
      <c r="C143" s="21">
        <f>IFERROR(AVERAGE(P143:T143),"")</f>
        <v/>
      </c>
      <c r="D143" s="29" t="n"/>
      <c r="E143" s="29" t="n"/>
      <c r="F143" s="30">
        <f>IF(AND(ISNUMBER($D143),ISNUMBER($E143),$E143&gt;0,$D143&lt;=$E143),$D143/$E143,"")</f>
        <v/>
      </c>
      <c r="H143" s="19">
        <f>IFERROR(INDEX($A$14:$A$1213,MATCH(130,$AI$14:$AI$1213,0)),"")</f>
        <v/>
      </c>
      <c r="I143" s="24">
        <f>IF($H143="","",IF(COUNTIFS($A$14:$A$1213,$H143,$C$14:$C$1213,"&gt;=0")=0,"—",IFERROR(INDEX($B$14:$B$1213,MATCH($H143&amp;"|1",$Z$14:$Z$1213,0)),"(tied)")))</f>
        <v/>
      </c>
      <c r="J143" s="25">
        <f>IF($H143="","",IF(OR(COUNTIFS($A$14:$A$1213,$H143,$C$14:$C$1213,"&gt;=0")=0,COUNTIFS($A$14:$A$1213,$H143,$F$14:$F$1213,"&gt;=0")=0),"—",IF(OR(ISERROR(MATCH($H143&amp;"|1",$Z$14:$Z$1213,0)),ISERROR(MATCH($H143&amp;"|1",$AA$14:$AA$1213,0))),"Tie",IF(MATCH($H143&amp;"|1",$Z$14:$Z$1213,0)=MATCH($H143&amp;"|1",$AA$14:$AA$1213,0),"Hit","Miss"))))</f>
        <v/>
      </c>
      <c r="K143" s="24">
        <f>IF($H143="","",IF(COUNTIFS($A$14:$A$1213,$H143,$F$14:$F$1213,"&gt;=0")=0,"—",IFERROR(INDEX($B$14:$B$1213,MATCH($H143&amp;"|1",$AA$14:$AA$1213,0)),"(tied)")))</f>
        <v/>
      </c>
      <c r="L143" s="25">
        <f>IF($H143="","",IF((--(COUNTIFS($A$14:$A$1213,$H143,$P$14:$P$1213,"&gt;=0")&gt;0)+--(COUNTIFS($A$14:$A$1213,$H143,$Q$14:$Q$1213,"&gt;=0")&gt;0)+--(COUNTIFS($A$14:$A$1213,$H143,$R$14:$R$1213,"&gt;=0")&gt;0)+--(COUNTIFS($A$14:$A$1213,$H143,$S$14:$S$1213,"&gt;=0")&gt;0)+--(COUNTIFS($A$14:$A$1213,$H143,$T$14:$T$1213,"&gt;=0")&gt;0))&lt;2,"—",IF(SUMIFS($AH$14:$AH$1213,$A$14:$A$1213,$H143)=0,"Yes","No")))</f>
        <v/>
      </c>
      <c r="M143" s="25">
        <f>IF($H143="","",IF(COUNTIFS($A$14:$A$1213,$H143,$F$14:$F$1213,"&gt;=0")&lt;2,"—",IF(COUNTIFS($A$14:$A$1213,$H143,$F$14:$F$1213,_xlfn.MAXIFS($F$14:$F$1213,$A$14:$A$1213,$H143))&gt;1,"No",IF(NOT(ISNUMBER($AN143)),"—",IF((2*(1-NORMSDIST(ABS($AN143))))&lt;0.05,"Yes","No")))))</f>
        <v/>
      </c>
      <c r="N143" s="21">
        <f>IF($H143="","",IF(NOT(ISNUMBER($AN143)),"—",IF((2*(1-NORMSDIST(ABS($AN143))))&lt;0.001,"&lt;0.001",TEXT((2*(1-NORMSDIST(ABS($AN143)))),"0.000"))))</f>
        <v/>
      </c>
      <c r="P143" s="26" t="n"/>
      <c r="Q143" s="26" t="n"/>
      <c r="R143" s="26" t="n"/>
      <c r="S143" s="26" t="n"/>
      <c r="T143" s="26" t="n"/>
      <c r="V143" s="27">
        <f>IF(ISNUMBER($C143),COUNTIFS($A$14:$A$1213,$A143,$C$14:$C$1213,"&gt;"&amp;$C143)+(COUNTIFS($A$14:$A$1213,$A143,$C$14:$C$1213,"="&amp;$C143)+1)/2,"")</f>
        <v/>
      </c>
      <c r="W143" s="27">
        <f>IF(ISNUMBER($F143),COUNTIFS($A$14:$A$1213,$A143,$F$14:$F$1213,"&gt;"&amp;$F143)+(COUNTIFS($A$14:$A$1213,$A143,$F$14:$F$1213,"="&amp;$F143)+1)/2,"")</f>
        <v/>
      </c>
      <c r="X143" s="27">
        <f>IF(OR(NOT(ISNUMBER($V143)),$AO143=1),"",$V143-(COUNTIFS($A$14:$A$1213,$A143,$C$14:$C$1213,"&gt;=0")+1)/2)</f>
        <v/>
      </c>
      <c r="Y143" s="27">
        <f>IF(OR(NOT(ISNUMBER($W143)),$AO143=1),"",$W143-(COUNTIFS($A$14:$A$1213,$A143,$F$14:$F$1213,"&gt;=0")+1)/2)</f>
        <v/>
      </c>
      <c r="Z143" s="27">
        <f>IF(ISNUMBER($V143),$A143&amp;"|"&amp;$V143,"")</f>
        <v/>
      </c>
      <c r="AA143" s="27">
        <f>IF(ISNUMBER($W143),$A143&amp;"|"&amp;$W143,"")</f>
        <v/>
      </c>
      <c r="AB143" s="27">
        <f>IF(ISNUMBER($F143),$A143&amp;"|"&amp;$F143,"")</f>
        <v/>
      </c>
      <c r="AC143" s="27">
        <f>IF(ISNUMBER($P143),COUNTIFS($A$14:$A$1213,$A143,$P$14:$P$1213,"&gt;"&amp;$P143)+(COUNTIFS($A$14:$A$1213,$A143,$P$14:$P$1213,"="&amp;$P143)+1)/2,"")</f>
        <v/>
      </c>
      <c r="AD143" s="27">
        <f>IF(ISNUMBER($Q143),COUNTIFS($A$14:$A$1213,$A143,$Q$14:$Q$1213,"&gt;"&amp;$Q143)+(COUNTIFS($A$14:$A$1213,$A143,$Q$14:$Q$1213,"="&amp;$Q143)+1)/2,"")</f>
        <v/>
      </c>
      <c r="AE143" s="27">
        <f>IF(ISNUMBER($R143),COUNTIFS($A$14:$A$1213,$A143,$R$14:$R$1213,"&gt;"&amp;$R143)+(COUNTIFS($A$14:$A$1213,$A143,$R$14:$R$1213,"="&amp;$R143)+1)/2,"")</f>
        <v/>
      </c>
      <c r="AF143" s="27">
        <f>IF(ISNUMBER($S143),COUNTIFS($A$14:$A$1213,$A143,$S$14:$S$1213,"&gt;"&amp;$S143)+(COUNTIFS($A$14:$A$1213,$A143,$S$14:$S$1213,"="&amp;$S143)+1)/2,"")</f>
        <v/>
      </c>
      <c r="AG143" s="27">
        <f>IF(ISNUMBER($T143),COUNTIFS($A$14:$A$1213,$A143,$T$14:$T$1213,"&gt;"&amp;$T143)+(COUNTIFS($A$14:$A$1213,$A143,$T$14:$T$1213,"="&amp;$T143)+1)/2,"")</f>
        <v/>
      </c>
      <c r="AH143" s="27">
        <f>IF(COUNT($AC143:$AG143)&lt;2,"",IF(MAX($AC143:$AG143)=MIN($AC143:$AG143),0,1))</f>
        <v/>
      </c>
      <c r="AI143" s="27">
        <f>IF($A143="","",IF(COUNTIF($A$14:$A143,$A143)=1,COUNTIF($AI$13:AI142,"&gt;0")+1,""))</f>
        <v/>
      </c>
      <c r="AJ143" s="27">
        <f>IF(OR($H143="",COUNTIFS($A$14:$A$1213,$H143,$F$14:$F$1213,"&gt;=0")&lt;2,COUNTIFS($A$14:$A$1213,$H143,$F$14:$F$1213,_xlfn.MAXIFS($F$14:$F$1213,$A$14:$A$1213,$H143))&gt;1),"",IFERROR(INDEX($D$14:$D$1213,MATCH($H143&amp;"|"&amp;_xlfn.MAXIFS($F$14:$F$1213,$A$14:$A$1213,$H143),$AB$14:$AB$1213,0)),""))</f>
        <v/>
      </c>
      <c r="AK143" s="27">
        <f>IF(OR($H143="",COUNTIFS($A$14:$A$1213,$H143,$F$14:$F$1213,"&gt;=0")&lt;2,COUNTIFS($A$14:$A$1213,$H143,$F$14:$F$1213,_xlfn.MAXIFS($F$14:$F$1213,$A$14:$A$1213,$H143))&gt;1),"",IFERROR(INDEX($E$14:$E$1213,MATCH($H143&amp;"|"&amp;_xlfn.MAXIFS($F$14:$F$1213,$A$14:$A$1213,$H143),$AB$14:$AB$1213,0)),""))</f>
        <v/>
      </c>
      <c r="AL143" s="27">
        <f>IF(OR($H143="",COUNTIFS($A$14:$A$1213,$H143,$F$14:$F$1213,"&gt;=0")&lt;2,COUNTIFS($A$14:$A$1213,$H143,$F$14:$F$1213,_xlfn.MAXIFS($F$14:$F$1213,$A$14:$A$1213,$H143))&gt;1),"",IFERROR(INDEX($D$14:$D$1213,MATCH($H143&amp;"|"&amp;_xlfn.MAXIFS($F$14:$F$1213,$A$14:$A$1213,$H143,$F$14:$F$1213,"&lt;"&amp;_xlfn.MAXIFS($F$14:$F$1213,$A$14:$A$1213,$H143)),$AB$14:$AB$1213,0)),""))</f>
        <v/>
      </c>
      <c r="AM143" s="27">
        <f>IF(OR($H143="",COUNTIFS($A$14:$A$1213,$H143,$F$14:$F$1213,"&gt;=0")&lt;2,COUNTIFS($A$14:$A$1213,$H143,$F$14:$F$1213,_xlfn.MAXIFS($F$14:$F$1213,$A$14:$A$1213,$H143))&gt;1),"",IFERROR(INDEX($E$14:$E$1213,MATCH($H143&amp;"|"&amp;_xlfn.MAXIFS($F$14:$F$1213,$A$14:$A$1213,$H143,$F$14:$F$1213,"&lt;"&amp;_xlfn.MAXIFS($F$14:$F$1213,$A$14:$A$1213,$H143)),$AB$14:$AB$1213,0)),""))</f>
        <v/>
      </c>
      <c r="AN143" s="27">
        <f>IF(OR(NOT(ISNUMBER($AJ143)),NOT(ISNUMBER($AL143)),$AK143=0,$AM143=0),"",IF(OR((($AJ143+$AL143)/($AK143+$AM143))&lt;=0,(($AJ143+$AL143)/($AK143+$AM143))&gt;=1),"",($AJ143/$AK143-$AL143/$AM143)/SQRT((($AJ143+$AL143)/($AK143+$AM143))*(1-(($AJ143+$AL143)/($AK143+$AM143)))*(1/$AK143+1/$AM143))))</f>
        <v/>
      </c>
      <c r="AO143" s="27">
        <f>IF($A143="","",IF(AND(COUNTIFS($A$14:$A$1213,$A143,$F$14:$F$1213,"&gt;=0")=2,IFERROR(INDEX($M$14:$M$313,MATCH($A143,$H$14:$H$313,0)),"Yes")&lt;&gt;"Yes"),1,0))</f>
        <v/>
      </c>
    </row>
    <row r="144" ht="24" customHeight="1">
      <c r="A144" s="19" t="n"/>
      <c r="B144" s="20" t="n"/>
      <c r="C144" s="21">
        <f>IFERROR(AVERAGE(P144:T144),"")</f>
        <v/>
      </c>
      <c r="D144" s="29" t="n"/>
      <c r="E144" s="29" t="n"/>
      <c r="F144" s="30">
        <f>IF(AND(ISNUMBER($D144),ISNUMBER($E144),$E144&gt;0,$D144&lt;=$E144),$D144/$E144,"")</f>
        <v/>
      </c>
      <c r="H144" s="19">
        <f>IFERROR(INDEX($A$14:$A$1213,MATCH(131,$AI$14:$AI$1213,0)),"")</f>
        <v/>
      </c>
      <c r="I144" s="24">
        <f>IF($H144="","",IF(COUNTIFS($A$14:$A$1213,$H144,$C$14:$C$1213,"&gt;=0")=0,"—",IFERROR(INDEX($B$14:$B$1213,MATCH($H144&amp;"|1",$Z$14:$Z$1213,0)),"(tied)")))</f>
        <v/>
      </c>
      <c r="J144" s="25">
        <f>IF($H144="","",IF(OR(COUNTIFS($A$14:$A$1213,$H144,$C$14:$C$1213,"&gt;=0")=0,COUNTIFS($A$14:$A$1213,$H144,$F$14:$F$1213,"&gt;=0")=0),"—",IF(OR(ISERROR(MATCH($H144&amp;"|1",$Z$14:$Z$1213,0)),ISERROR(MATCH($H144&amp;"|1",$AA$14:$AA$1213,0))),"Tie",IF(MATCH($H144&amp;"|1",$Z$14:$Z$1213,0)=MATCH($H144&amp;"|1",$AA$14:$AA$1213,0),"Hit","Miss"))))</f>
        <v/>
      </c>
      <c r="K144" s="24">
        <f>IF($H144="","",IF(COUNTIFS($A$14:$A$1213,$H144,$F$14:$F$1213,"&gt;=0")=0,"—",IFERROR(INDEX($B$14:$B$1213,MATCH($H144&amp;"|1",$AA$14:$AA$1213,0)),"(tied)")))</f>
        <v/>
      </c>
      <c r="L144" s="25">
        <f>IF($H144="","",IF((--(COUNTIFS($A$14:$A$1213,$H144,$P$14:$P$1213,"&gt;=0")&gt;0)+--(COUNTIFS($A$14:$A$1213,$H144,$Q$14:$Q$1213,"&gt;=0")&gt;0)+--(COUNTIFS($A$14:$A$1213,$H144,$R$14:$R$1213,"&gt;=0")&gt;0)+--(COUNTIFS($A$14:$A$1213,$H144,$S$14:$S$1213,"&gt;=0")&gt;0)+--(COUNTIFS($A$14:$A$1213,$H144,$T$14:$T$1213,"&gt;=0")&gt;0))&lt;2,"—",IF(SUMIFS($AH$14:$AH$1213,$A$14:$A$1213,$H144)=0,"Yes","No")))</f>
        <v/>
      </c>
      <c r="M144" s="25">
        <f>IF($H144="","",IF(COUNTIFS($A$14:$A$1213,$H144,$F$14:$F$1213,"&gt;=0")&lt;2,"—",IF(COUNTIFS($A$14:$A$1213,$H144,$F$14:$F$1213,_xlfn.MAXIFS($F$14:$F$1213,$A$14:$A$1213,$H144))&gt;1,"No",IF(NOT(ISNUMBER($AN144)),"—",IF((2*(1-NORMSDIST(ABS($AN144))))&lt;0.05,"Yes","No")))))</f>
        <v/>
      </c>
      <c r="N144" s="21">
        <f>IF($H144="","",IF(NOT(ISNUMBER($AN144)),"—",IF((2*(1-NORMSDIST(ABS($AN144))))&lt;0.001,"&lt;0.001",TEXT((2*(1-NORMSDIST(ABS($AN144)))),"0.000"))))</f>
        <v/>
      </c>
      <c r="P144" s="26" t="n"/>
      <c r="Q144" s="26" t="n"/>
      <c r="R144" s="26" t="n"/>
      <c r="S144" s="26" t="n"/>
      <c r="T144" s="26" t="n"/>
      <c r="V144" s="27">
        <f>IF(ISNUMBER($C144),COUNTIFS($A$14:$A$1213,$A144,$C$14:$C$1213,"&gt;"&amp;$C144)+(COUNTIFS($A$14:$A$1213,$A144,$C$14:$C$1213,"="&amp;$C144)+1)/2,"")</f>
        <v/>
      </c>
      <c r="W144" s="27">
        <f>IF(ISNUMBER($F144),COUNTIFS($A$14:$A$1213,$A144,$F$14:$F$1213,"&gt;"&amp;$F144)+(COUNTIFS($A$14:$A$1213,$A144,$F$14:$F$1213,"="&amp;$F144)+1)/2,"")</f>
        <v/>
      </c>
      <c r="X144" s="27">
        <f>IF(OR(NOT(ISNUMBER($V144)),$AO144=1),"",$V144-(COUNTIFS($A$14:$A$1213,$A144,$C$14:$C$1213,"&gt;=0")+1)/2)</f>
        <v/>
      </c>
      <c r="Y144" s="27">
        <f>IF(OR(NOT(ISNUMBER($W144)),$AO144=1),"",$W144-(COUNTIFS($A$14:$A$1213,$A144,$F$14:$F$1213,"&gt;=0")+1)/2)</f>
        <v/>
      </c>
      <c r="Z144" s="27">
        <f>IF(ISNUMBER($V144),$A144&amp;"|"&amp;$V144,"")</f>
        <v/>
      </c>
      <c r="AA144" s="27">
        <f>IF(ISNUMBER($W144),$A144&amp;"|"&amp;$W144,"")</f>
        <v/>
      </c>
      <c r="AB144" s="27">
        <f>IF(ISNUMBER($F144),$A144&amp;"|"&amp;$F144,"")</f>
        <v/>
      </c>
      <c r="AC144" s="27">
        <f>IF(ISNUMBER($P144),COUNTIFS($A$14:$A$1213,$A144,$P$14:$P$1213,"&gt;"&amp;$P144)+(COUNTIFS($A$14:$A$1213,$A144,$P$14:$P$1213,"="&amp;$P144)+1)/2,"")</f>
        <v/>
      </c>
      <c r="AD144" s="27">
        <f>IF(ISNUMBER($Q144),COUNTIFS($A$14:$A$1213,$A144,$Q$14:$Q$1213,"&gt;"&amp;$Q144)+(COUNTIFS($A$14:$A$1213,$A144,$Q$14:$Q$1213,"="&amp;$Q144)+1)/2,"")</f>
        <v/>
      </c>
      <c r="AE144" s="27">
        <f>IF(ISNUMBER($R144),COUNTIFS($A$14:$A$1213,$A144,$R$14:$R$1213,"&gt;"&amp;$R144)+(COUNTIFS($A$14:$A$1213,$A144,$R$14:$R$1213,"="&amp;$R144)+1)/2,"")</f>
        <v/>
      </c>
      <c r="AF144" s="27">
        <f>IF(ISNUMBER($S144),COUNTIFS($A$14:$A$1213,$A144,$S$14:$S$1213,"&gt;"&amp;$S144)+(COUNTIFS($A$14:$A$1213,$A144,$S$14:$S$1213,"="&amp;$S144)+1)/2,"")</f>
        <v/>
      </c>
      <c r="AG144" s="27">
        <f>IF(ISNUMBER($T144),COUNTIFS($A$14:$A$1213,$A144,$T$14:$T$1213,"&gt;"&amp;$T144)+(COUNTIFS($A$14:$A$1213,$A144,$T$14:$T$1213,"="&amp;$T144)+1)/2,"")</f>
        <v/>
      </c>
      <c r="AH144" s="27">
        <f>IF(COUNT($AC144:$AG144)&lt;2,"",IF(MAX($AC144:$AG144)=MIN($AC144:$AG144),0,1))</f>
        <v/>
      </c>
      <c r="AI144" s="27">
        <f>IF($A144="","",IF(COUNTIF($A$14:$A144,$A144)=1,COUNTIF($AI$13:AI143,"&gt;0")+1,""))</f>
        <v/>
      </c>
      <c r="AJ144" s="27">
        <f>IF(OR($H144="",COUNTIFS($A$14:$A$1213,$H144,$F$14:$F$1213,"&gt;=0")&lt;2,COUNTIFS($A$14:$A$1213,$H144,$F$14:$F$1213,_xlfn.MAXIFS($F$14:$F$1213,$A$14:$A$1213,$H144))&gt;1),"",IFERROR(INDEX($D$14:$D$1213,MATCH($H144&amp;"|"&amp;_xlfn.MAXIFS($F$14:$F$1213,$A$14:$A$1213,$H144),$AB$14:$AB$1213,0)),""))</f>
        <v/>
      </c>
      <c r="AK144" s="27">
        <f>IF(OR($H144="",COUNTIFS($A$14:$A$1213,$H144,$F$14:$F$1213,"&gt;=0")&lt;2,COUNTIFS($A$14:$A$1213,$H144,$F$14:$F$1213,_xlfn.MAXIFS($F$14:$F$1213,$A$14:$A$1213,$H144))&gt;1),"",IFERROR(INDEX($E$14:$E$1213,MATCH($H144&amp;"|"&amp;_xlfn.MAXIFS($F$14:$F$1213,$A$14:$A$1213,$H144),$AB$14:$AB$1213,0)),""))</f>
        <v/>
      </c>
      <c r="AL144" s="27">
        <f>IF(OR($H144="",COUNTIFS($A$14:$A$1213,$H144,$F$14:$F$1213,"&gt;=0")&lt;2,COUNTIFS($A$14:$A$1213,$H144,$F$14:$F$1213,_xlfn.MAXIFS($F$14:$F$1213,$A$14:$A$1213,$H144))&gt;1),"",IFERROR(INDEX($D$14:$D$1213,MATCH($H144&amp;"|"&amp;_xlfn.MAXIFS($F$14:$F$1213,$A$14:$A$1213,$H144,$F$14:$F$1213,"&lt;"&amp;_xlfn.MAXIFS($F$14:$F$1213,$A$14:$A$1213,$H144)),$AB$14:$AB$1213,0)),""))</f>
        <v/>
      </c>
      <c r="AM144" s="27">
        <f>IF(OR($H144="",COUNTIFS($A$14:$A$1213,$H144,$F$14:$F$1213,"&gt;=0")&lt;2,COUNTIFS($A$14:$A$1213,$H144,$F$14:$F$1213,_xlfn.MAXIFS($F$14:$F$1213,$A$14:$A$1213,$H144))&gt;1),"",IFERROR(INDEX($E$14:$E$1213,MATCH($H144&amp;"|"&amp;_xlfn.MAXIFS($F$14:$F$1213,$A$14:$A$1213,$H144,$F$14:$F$1213,"&lt;"&amp;_xlfn.MAXIFS($F$14:$F$1213,$A$14:$A$1213,$H144)),$AB$14:$AB$1213,0)),""))</f>
        <v/>
      </c>
      <c r="AN144" s="27">
        <f>IF(OR(NOT(ISNUMBER($AJ144)),NOT(ISNUMBER($AL144)),$AK144=0,$AM144=0),"",IF(OR((($AJ144+$AL144)/($AK144+$AM144))&lt;=0,(($AJ144+$AL144)/($AK144+$AM144))&gt;=1),"",($AJ144/$AK144-$AL144/$AM144)/SQRT((($AJ144+$AL144)/($AK144+$AM144))*(1-(($AJ144+$AL144)/($AK144+$AM144)))*(1/$AK144+1/$AM144))))</f>
        <v/>
      </c>
      <c r="AO144" s="27">
        <f>IF($A144="","",IF(AND(COUNTIFS($A$14:$A$1213,$A144,$F$14:$F$1213,"&gt;=0")=2,IFERROR(INDEX($M$14:$M$313,MATCH($A144,$H$14:$H$313,0)),"Yes")&lt;&gt;"Yes"),1,0))</f>
        <v/>
      </c>
    </row>
    <row r="145" ht="24" customHeight="1">
      <c r="A145" s="19" t="n"/>
      <c r="B145" s="20" t="n"/>
      <c r="C145" s="21">
        <f>IFERROR(AVERAGE(P145:T145),"")</f>
        <v/>
      </c>
      <c r="D145" s="29" t="n"/>
      <c r="E145" s="29" t="n"/>
      <c r="F145" s="30">
        <f>IF(AND(ISNUMBER($D145),ISNUMBER($E145),$E145&gt;0,$D145&lt;=$E145),$D145/$E145,"")</f>
        <v/>
      </c>
      <c r="H145" s="19">
        <f>IFERROR(INDEX($A$14:$A$1213,MATCH(132,$AI$14:$AI$1213,0)),"")</f>
        <v/>
      </c>
      <c r="I145" s="24">
        <f>IF($H145="","",IF(COUNTIFS($A$14:$A$1213,$H145,$C$14:$C$1213,"&gt;=0")=0,"—",IFERROR(INDEX($B$14:$B$1213,MATCH($H145&amp;"|1",$Z$14:$Z$1213,0)),"(tied)")))</f>
        <v/>
      </c>
      <c r="J145" s="25">
        <f>IF($H145="","",IF(OR(COUNTIFS($A$14:$A$1213,$H145,$C$14:$C$1213,"&gt;=0")=0,COUNTIFS($A$14:$A$1213,$H145,$F$14:$F$1213,"&gt;=0")=0),"—",IF(OR(ISERROR(MATCH($H145&amp;"|1",$Z$14:$Z$1213,0)),ISERROR(MATCH($H145&amp;"|1",$AA$14:$AA$1213,0))),"Tie",IF(MATCH($H145&amp;"|1",$Z$14:$Z$1213,0)=MATCH($H145&amp;"|1",$AA$14:$AA$1213,0),"Hit","Miss"))))</f>
        <v/>
      </c>
      <c r="K145" s="24">
        <f>IF($H145="","",IF(COUNTIFS($A$14:$A$1213,$H145,$F$14:$F$1213,"&gt;=0")=0,"—",IFERROR(INDEX($B$14:$B$1213,MATCH($H145&amp;"|1",$AA$14:$AA$1213,0)),"(tied)")))</f>
        <v/>
      </c>
      <c r="L145" s="25">
        <f>IF($H145="","",IF((--(COUNTIFS($A$14:$A$1213,$H145,$P$14:$P$1213,"&gt;=0")&gt;0)+--(COUNTIFS($A$14:$A$1213,$H145,$Q$14:$Q$1213,"&gt;=0")&gt;0)+--(COUNTIFS($A$14:$A$1213,$H145,$R$14:$R$1213,"&gt;=0")&gt;0)+--(COUNTIFS($A$14:$A$1213,$H145,$S$14:$S$1213,"&gt;=0")&gt;0)+--(COUNTIFS($A$14:$A$1213,$H145,$T$14:$T$1213,"&gt;=0")&gt;0))&lt;2,"—",IF(SUMIFS($AH$14:$AH$1213,$A$14:$A$1213,$H145)=0,"Yes","No")))</f>
        <v/>
      </c>
      <c r="M145" s="25">
        <f>IF($H145="","",IF(COUNTIFS($A$14:$A$1213,$H145,$F$14:$F$1213,"&gt;=0")&lt;2,"—",IF(COUNTIFS($A$14:$A$1213,$H145,$F$14:$F$1213,_xlfn.MAXIFS($F$14:$F$1213,$A$14:$A$1213,$H145))&gt;1,"No",IF(NOT(ISNUMBER($AN145)),"—",IF((2*(1-NORMSDIST(ABS($AN145))))&lt;0.05,"Yes","No")))))</f>
        <v/>
      </c>
      <c r="N145" s="21">
        <f>IF($H145="","",IF(NOT(ISNUMBER($AN145)),"—",IF((2*(1-NORMSDIST(ABS($AN145))))&lt;0.001,"&lt;0.001",TEXT((2*(1-NORMSDIST(ABS($AN145)))),"0.000"))))</f>
        <v/>
      </c>
      <c r="P145" s="26" t="n"/>
      <c r="Q145" s="26" t="n"/>
      <c r="R145" s="26" t="n"/>
      <c r="S145" s="26" t="n"/>
      <c r="T145" s="26" t="n"/>
      <c r="V145" s="27">
        <f>IF(ISNUMBER($C145),COUNTIFS($A$14:$A$1213,$A145,$C$14:$C$1213,"&gt;"&amp;$C145)+(COUNTIFS($A$14:$A$1213,$A145,$C$14:$C$1213,"="&amp;$C145)+1)/2,"")</f>
        <v/>
      </c>
      <c r="W145" s="27">
        <f>IF(ISNUMBER($F145),COUNTIFS($A$14:$A$1213,$A145,$F$14:$F$1213,"&gt;"&amp;$F145)+(COUNTIFS($A$14:$A$1213,$A145,$F$14:$F$1213,"="&amp;$F145)+1)/2,"")</f>
        <v/>
      </c>
      <c r="X145" s="27">
        <f>IF(OR(NOT(ISNUMBER($V145)),$AO145=1),"",$V145-(COUNTIFS($A$14:$A$1213,$A145,$C$14:$C$1213,"&gt;=0")+1)/2)</f>
        <v/>
      </c>
      <c r="Y145" s="27">
        <f>IF(OR(NOT(ISNUMBER($W145)),$AO145=1),"",$W145-(COUNTIFS($A$14:$A$1213,$A145,$F$14:$F$1213,"&gt;=0")+1)/2)</f>
        <v/>
      </c>
      <c r="Z145" s="27">
        <f>IF(ISNUMBER($V145),$A145&amp;"|"&amp;$V145,"")</f>
        <v/>
      </c>
      <c r="AA145" s="27">
        <f>IF(ISNUMBER($W145),$A145&amp;"|"&amp;$W145,"")</f>
        <v/>
      </c>
      <c r="AB145" s="27">
        <f>IF(ISNUMBER($F145),$A145&amp;"|"&amp;$F145,"")</f>
        <v/>
      </c>
      <c r="AC145" s="27">
        <f>IF(ISNUMBER($P145),COUNTIFS($A$14:$A$1213,$A145,$P$14:$P$1213,"&gt;"&amp;$P145)+(COUNTIFS($A$14:$A$1213,$A145,$P$14:$P$1213,"="&amp;$P145)+1)/2,"")</f>
        <v/>
      </c>
      <c r="AD145" s="27">
        <f>IF(ISNUMBER($Q145),COUNTIFS($A$14:$A$1213,$A145,$Q$14:$Q$1213,"&gt;"&amp;$Q145)+(COUNTIFS($A$14:$A$1213,$A145,$Q$14:$Q$1213,"="&amp;$Q145)+1)/2,"")</f>
        <v/>
      </c>
      <c r="AE145" s="27">
        <f>IF(ISNUMBER($R145),COUNTIFS($A$14:$A$1213,$A145,$R$14:$R$1213,"&gt;"&amp;$R145)+(COUNTIFS($A$14:$A$1213,$A145,$R$14:$R$1213,"="&amp;$R145)+1)/2,"")</f>
        <v/>
      </c>
      <c r="AF145" s="27">
        <f>IF(ISNUMBER($S145),COUNTIFS($A$14:$A$1213,$A145,$S$14:$S$1213,"&gt;"&amp;$S145)+(COUNTIFS($A$14:$A$1213,$A145,$S$14:$S$1213,"="&amp;$S145)+1)/2,"")</f>
        <v/>
      </c>
      <c r="AG145" s="27">
        <f>IF(ISNUMBER($T145),COUNTIFS($A$14:$A$1213,$A145,$T$14:$T$1213,"&gt;"&amp;$T145)+(COUNTIFS($A$14:$A$1213,$A145,$T$14:$T$1213,"="&amp;$T145)+1)/2,"")</f>
        <v/>
      </c>
      <c r="AH145" s="27">
        <f>IF(COUNT($AC145:$AG145)&lt;2,"",IF(MAX($AC145:$AG145)=MIN($AC145:$AG145),0,1))</f>
        <v/>
      </c>
      <c r="AI145" s="27">
        <f>IF($A145="","",IF(COUNTIF($A$14:$A145,$A145)=1,COUNTIF($AI$13:AI144,"&gt;0")+1,""))</f>
        <v/>
      </c>
      <c r="AJ145" s="27">
        <f>IF(OR($H145="",COUNTIFS($A$14:$A$1213,$H145,$F$14:$F$1213,"&gt;=0")&lt;2,COUNTIFS($A$14:$A$1213,$H145,$F$14:$F$1213,_xlfn.MAXIFS($F$14:$F$1213,$A$14:$A$1213,$H145))&gt;1),"",IFERROR(INDEX($D$14:$D$1213,MATCH($H145&amp;"|"&amp;_xlfn.MAXIFS($F$14:$F$1213,$A$14:$A$1213,$H145),$AB$14:$AB$1213,0)),""))</f>
        <v/>
      </c>
      <c r="AK145" s="27">
        <f>IF(OR($H145="",COUNTIFS($A$14:$A$1213,$H145,$F$14:$F$1213,"&gt;=0")&lt;2,COUNTIFS($A$14:$A$1213,$H145,$F$14:$F$1213,_xlfn.MAXIFS($F$14:$F$1213,$A$14:$A$1213,$H145))&gt;1),"",IFERROR(INDEX($E$14:$E$1213,MATCH($H145&amp;"|"&amp;_xlfn.MAXIFS($F$14:$F$1213,$A$14:$A$1213,$H145),$AB$14:$AB$1213,0)),""))</f>
        <v/>
      </c>
      <c r="AL145" s="27">
        <f>IF(OR($H145="",COUNTIFS($A$14:$A$1213,$H145,$F$14:$F$1213,"&gt;=0")&lt;2,COUNTIFS($A$14:$A$1213,$H145,$F$14:$F$1213,_xlfn.MAXIFS($F$14:$F$1213,$A$14:$A$1213,$H145))&gt;1),"",IFERROR(INDEX($D$14:$D$1213,MATCH($H145&amp;"|"&amp;_xlfn.MAXIFS($F$14:$F$1213,$A$14:$A$1213,$H145,$F$14:$F$1213,"&lt;"&amp;_xlfn.MAXIFS($F$14:$F$1213,$A$14:$A$1213,$H145)),$AB$14:$AB$1213,0)),""))</f>
        <v/>
      </c>
      <c r="AM145" s="27">
        <f>IF(OR($H145="",COUNTIFS($A$14:$A$1213,$H145,$F$14:$F$1213,"&gt;=0")&lt;2,COUNTIFS($A$14:$A$1213,$H145,$F$14:$F$1213,_xlfn.MAXIFS($F$14:$F$1213,$A$14:$A$1213,$H145))&gt;1),"",IFERROR(INDEX($E$14:$E$1213,MATCH($H145&amp;"|"&amp;_xlfn.MAXIFS($F$14:$F$1213,$A$14:$A$1213,$H145,$F$14:$F$1213,"&lt;"&amp;_xlfn.MAXIFS($F$14:$F$1213,$A$14:$A$1213,$H145)),$AB$14:$AB$1213,0)),""))</f>
        <v/>
      </c>
      <c r="AN145" s="27">
        <f>IF(OR(NOT(ISNUMBER($AJ145)),NOT(ISNUMBER($AL145)),$AK145=0,$AM145=0),"",IF(OR((($AJ145+$AL145)/($AK145+$AM145))&lt;=0,(($AJ145+$AL145)/($AK145+$AM145))&gt;=1),"",($AJ145/$AK145-$AL145/$AM145)/SQRT((($AJ145+$AL145)/($AK145+$AM145))*(1-(($AJ145+$AL145)/($AK145+$AM145)))*(1/$AK145+1/$AM145))))</f>
        <v/>
      </c>
      <c r="AO145" s="27">
        <f>IF($A145="","",IF(AND(COUNTIFS($A$14:$A$1213,$A145,$F$14:$F$1213,"&gt;=0")=2,IFERROR(INDEX($M$14:$M$313,MATCH($A145,$H$14:$H$313,0)),"Yes")&lt;&gt;"Yes"),1,0))</f>
        <v/>
      </c>
    </row>
    <row r="146" ht="24" customHeight="1">
      <c r="A146" s="19" t="n"/>
      <c r="B146" s="20" t="n"/>
      <c r="C146" s="21">
        <f>IFERROR(AVERAGE(P146:T146),"")</f>
        <v/>
      </c>
      <c r="D146" s="29" t="n"/>
      <c r="E146" s="29" t="n"/>
      <c r="F146" s="30">
        <f>IF(AND(ISNUMBER($D146),ISNUMBER($E146),$E146&gt;0,$D146&lt;=$E146),$D146/$E146,"")</f>
        <v/>
      </c>
      <c r="H146" s="19">
        <f>IFERROR(INDEX($A$14:$A$1213,MATCH(133,$AI$14:$AI$1213,0)),"")</f>
        <v/>
      </c>
      <c r="I146" s="24">
        <f>IF($H146="","",IF(COUNTIFS($A$14:$A$1213,$H146,$C$14:$C$1213,"&gt;=0")=0,"—",IFERROR(INDEX($B$14:$B$1213,MATCH($H146&amp;"|1",$Z$14:$Z$1213,0)),"(tied)")))</f>
        <v/>
      </c>
      <c r="J146" s="25">
        <f>IF($H146="","",IF(OR(COUNTIFS($A$14:$A$1213,$H146,$C$14:$C$1213,"&gt;=0")=0,COUNTIFS($A$14:$A$1213,$H146,$F$14:$F$1213,"&gt;=0")=0),"—",IF(OR(ISERROR(MATCH($H146&amp;"|1",$Z$14:$Z$1213,0)),ISERROR(MATCH($H146&amp;"|1",$AA$14:$AA$1213,0))),"Tie",IF(MATCH($H146&amp;"|1",$Z$14:$Z$1213,0)=MATCH($H146&amp;"|1",$AA$14:$AA$1213,0),"Hit","Miss"))))</f>
        <v/>
      </c>
      <c r="K146" s="24">
        <f>IF($H146="","",IF(COUNTIFS($A$14:$A$1213,$H146,$F$14:$F$1213,"&gt;=0")=0,"—",IFERROR(INDEX($B$14:$B$1213,MATCH($H146&amp;"|1",$AA$14:$AA$1213,0)),"(tied)")))</f>
        <v/>
      </c>
      <c r="L146" s="25">
        <f>IF($H146="","",IF((--(COUNTIFS($A$14:$A$1213,$H146,$P$14:$P$1213,"&gt;=0")&gt;0)+--(COUNTIFS($A$14:$A$1213,$H146,$Q$14:$Q$1213,"&gt;=0")&gt;0)+--(COUNTIFS($A$14:$A$1213,$H146,$R$14:$R$1213,"&gt;=0")&gt;0)+--(COUNTIFS($A$14:$A$1213,$H146,$S$14:$S$1213,"&gt;=0")&gt;0)+--(COUNTIFS($A$14:$A$1213,$H146,$T$14:$T$1213,"&gt;=0")&gt;0))&lt;2,"—",IF(SUMIFS($AH$14:$AH$1213,$A$14:$A$1213,$H146)=0,"Yes","No")))</f>
        <v/>
      </c>
      <c r="M146" s="25">
        <f>IF($H146="","",IF(COUNTIFS($A$14:$A$1213,$H146,$F$14:$F$1213,"&gt;=0")&lt;2,"—",IF(COUNTIFS($A$14:$A$1213,$H146,$F$14:$F$1213,_xlfn.MAXIFS($F$14:$F$1213,$A$14:$A$1213,$H146))&gt;1,"No",IF(NOT(ISNUMBER($AN146)),"—",IF((2*(1-NORMSDIST(ABS($AN146))))&lt;0.05,"Yes","No")))))</f>
        <v/>
      </c>
      <c r="N146" s="21">
        <f>IF($H146="","",IF(NOT(ISNUMBER($AN146)),"—",IF((2*(1-NORMSDIST(ABS($AN146))))&lt;0.001,"&lt;0.001",TEXT((2*(1-NORMSDIST(ABS($AN146)))),"0.000"))))</f>
        <v/>
      </c>
      <c r="P146" s="26" t="n"/>
      <c r="Q146" s="26" t="n"/>
      <c r="R146" s="26" t="n"/>
      <c r="S146" s="26" t="n"/>
      <c r="T146" s="26" t="n"/>
      <c r="V146" s="27">
        <f>IF(ISNUMBER($C146),COUNTIFS($A$14:$A$1213,$A146,$C$14:$C$1213,"&gt;"&amp;$C146)+(COUNTIFS($A$14:$A$1213,$A146,$C$14:$C$1213,"="&amp;$C146)+1)/2,"")</f>
        <v/>
      </c>
      <c r="W146" s="27">
        <f>IF(ISNUMBER($F146),COUNTIFS($A$14:$A$1213,$A146,$F$14:$F$1213,"&gt;"&amp;$F146)+(COUNTIFS($A$14:$A$1213,$A146,$F$14:$F$1213,"="&amp;$F146)+1)/2,"")</f>
        <v/>
      </c>
      <c r="X146" s="27">
        <f>IF(OR(NOT(ISNUMBER($V146)),$AO146=1),"",$V146-(COUNTIFS($A$14:$A$1213,$A146,$C$14:$C$1213,"&gt;=0")+1)/2)</f>
        <v/>
      </c>
      <c r="Y146" s="27">
        <f>IF(OR(NOT(ISNUMBER($W146)),$AO146=1),"",$W146-(COUNTIFS($A$14:$A$1213,$A146,$F$14:$F$1213,"&gt;=0")+1)/2)</f>
        <v/>
      </c>
      <c r="Z146" s="27">
        <f>IF(ISNUMBER($V146),$A146&amp;"|"&amp;$V146,"")</f>
        <v/>
      </c>
      <c r="AA146" s="27">
        <f>IF(ISNUMBER($W146),$A146&amp;"|"&amp;$W146,"")</f>
        <v/>
      </c>
      <c r="AB146" s="27">
        <f>IF(ISNUMBER($F146),$A146&amp;"|"&amp;$F146,"")</f>
        <v/>
      </c>
      <c r="AC146" s="27">
        <f>IF(ISNUMBER($P146),COUNTIFS($A$14:$A$1213,$A146,$P$14:$P$1213,"&gt;"&amp;$P146)+(COUNTIFS($A$14:$A$1213,$A146,$P$14:$P$1213,"="&amp;$P146)+1)/2,"")</f>
        <v/>
      </c>
      <c r="AD146" s="27">
        <f>IF(ISNUMBER($Q146),COUNTIFS($A$14:$A$1213,$A146,$Q$14:$Q$1213,"&gt;"&amp;$Q146)+(COUNTIFS($A$14:$A$1213,$A146,$Q$14:$Q$1213,"="&amp;$Q146)+1)/2,"")</f>
        <v/>
      </c>
      <c r="AE146" s="27">
        <f>IF(ISNUMBER($R146),COUNTIFS($A$14:$A$1213,$A146,$R$14:$R$1213,"&gt;"&amp;$R146)+(COUNTIFS($A$14:$A$1213,$A146,$R$14:$R$1213,"="&amp;$R146)+1)/2,"")</f>
        <v/>
      </c>
      <c r="AF146" s="27">
        <f>IF(ISNUMBER($S146),COUNTIFS($A$14:$A$1213,$A146,$S$14:$S$1213,"&gt;"&amp;$S146)+(COUNTIFS($A$14:$A$1213,$A146,$S$14:$S$1213,"="&amp;$S146)+1)/2,"")</f>
        <v/>
      </c>
      <c r="AG146" s="27">
        <f>IF(ISNUMBER($T146),COUNTIFS($A$14:$A$1213,$A146,$T$14:$T$1213,"&gt;"&amp;$T146)+(COUNTIFS($A$14:$A$1213,$A146,$T$14:$T$1213,"="&amp;$T146)+1)/2,"")</f>
        <v/>
      </c>
      <c r="AH146" s="27">
        <f>IF(COUNT($AC146:$AG146)&lt;2,"",IF(MAX($AC146:$AG146)=MIN($AC146:$AG146),0,1))</f>
        <v/>
      </c>
      <c r="AI146" s="27">
        <f>IF($A146="","",IF(COUNTIF($A$14:$A146,$A146)=1,COUNTIF($AI$13:AI145,"&gt;0")+1,""))</f>
        <v/>
      </c>
      <c r="AJ146" s="27">
        <f>IF(OR($H146="",COUNTIFS($A$14:$A$1213,$H146,$F$14:$F$1213,"&gt;=0")&lt;2,COUNTIFS($A$14:$A$1213,$H146,$F$14:$F$1213,_xlfn.MAXIFS($F$14:$F$1213,$A$14:$A$1213,$H146))&gt;1),"",IFERROR(INDEX($D$14:$D$1213,MATCH($H146&amp;"|"&amp;_xlfn.MAXIFS($F$14:$F$1213,$A$14:$A$1213,$H146),$AB$14:$AB$1213,0)),""))</f>
        <v/>
      </c>
      <c r="AK146" s="27">
        <f>IF(OR($H146="",COUNTIFS($A$14:$A$1213,$H146,$F$14:$F$1213,"&gt;=0")&lt;2,COUNTIFS($A$14:$A$1213,$H146,$F$14:$F$1213,_xlfn.MAXIFS($F$14:$F$1213,$A$14:$A$1213,$H146))&gt;1),"",IFERROR(INDEX($E$14:$E$1213,MATCH($H146&amp;"|"&amp;_xlfn.MAXIFS($F$14:$F$1213,$A$14:$A$1213,$H146),$AB$14:$AB$1213,0)),""))</f>
        <v/>
      </c>
      <c r="AL146" s="27">
        <f>IF(OR($H146="",COUNTIFS($A$14:$A$1213,$H146,$F$14:$F$1213,"&gt;=0")&lt;2,COUNTIFS($A$14:$A$1213,$H146,$F$14:$F$1213,_xlfn.MAXIFS($F$14:$F$1213,$A$14:$A$1213,$H146))&gt;1),"",IFERROR(INDEX($D$14:$D$1213,MATCH($H146&amp;"|"&amp;_xlfn.MAXIFS($F$14:$F$1213,$A$14:$A$1213,$H146,$F$14:$F$1213,"&lt;"&amp;_xlfn.MAXIFS($F$14:$F$1213,$A$14:$A$1213,$H146)),$AB$14:$AB$1213,0)),""))</f>
        <v/>
      </c>
      <c r="AM146" s="27">
        <f>IF(OR($H146="",COUNTIFS($A$14:$A$1213,$H146,$F$14:$F$1213,"&gt;=0")&lt;2,COUNTIFS($A$14:$A$1213,$H146,$F$14:$F$1213,_xlfn.MAXIFS($F$14:$F$1213,$A$14:$A$1213,$H146))&gt;1),"",IFERROR(INDEX($E$14:$E$1213,MATCH($H146&amp;"|"&amp;_xlfn.MAXIFS($F$14:$F$1213,$A$14:$A$1213,$H146,$F$14:$F$1213,"&lt;"&amp;_xlfn.MAXIFS($F$14:$F$1213,$A$14:$A$1213,$H146)),$AB$14:$AB$1213,0)),""))</f>
        <v/>
      </c>
      <c r="AN146" s="27">
        <f>IF(OR(NOT(ISNUMBER($AJ146)),NOT(ISNUMBER($AL146)),$AK146=0,$AM146=0),"",IF(OR((($AJ146+$AL146)/($AK146+$AM146))&lt;=0,(($AJ146+$AL146)/($AK146+$AM146))&gt;=1),"",($AJ146/$AK146-$AL146/$AM146)/SQRT((($AJ146+$AL146)/($AK146+$AM146))*(1-(($AJ146+$AL146)/($AK146+$AM146)))*(1/$AK146+1/$AM146))))</f>
        <v/>
      </c>
      <c r="AO146" s="27">
        <f>IF($A146="","",IF(AND(COUNTIFS($A$14:$A$1213,$A146,$F$14:$F$1213,"&gt;=0")=2,IFERROR(INDEX($M$14:$M$313,MATCH($A146,$H$14:$H$313,0)),"Yes")&lt;&gt;"Yes"),1,0))</f>
        <v/>
      </c>
    </row>
    <row r="147" ht="24" customHeight="1">
      <c r="A147" s="19" t="n"/>
      <c r="B147" s="20" t="n"/>
      <c r="C147" s="21">
        <f>IFERROR(AVERAGE(P147:T147),"")</f>
        <v/>
      </c>
      <c r="D147" s="29" t="n"/>
      <c r="E147" s="29" t="n"/>
      <c r="F147" s="30">
        <f>IF(AND(ISNUMBER($D147),ISNUMBER($E147),$E147&gt;0,$D147&lt;=$E147),$D147/$E147,"")</f>
        <v/>
      </c>
      <c r="H147" s="19">
        <f>IFERROR(INDEX($A$14:$A$1213,MATCH(134,$AI$14:$AI$1213,0)),"")</f>
        <v/>
      </c>
      <c r="I147" s="24">
        <f>IF($H147="","",IF(COUNTIFS($A$14:$A$1213,$H147,$C$14:$C$1213,"&gt;=0")=0,"—",IFERROR(INDEX($B$14:$B$1213,MATCH($H147&amp;"|1",$Z$14:$Z$1213,0)),"(tied)")))</f>
        <v/>
      </c>
      <c r="J147" s="25">
        <f>IF($H147="","",IF(OR(COUNTIFS($A$14:$A$1213,$H147,$C$14:$C$1213,"&gt;=0")=0,COUNTIFS($A$14:$A$1213,$H147,$F$14:$F$1213,"&gt;=0")=0),"—",IF(OR(ISERROR(MATCH($H147&amp;"|1",$Z$14:$Z$1213,0)),ISERROR(MATCH($H147&amp;"|1",$AA$14:$AA$1213,0))),"Tie",IF(MATCH($H147&amp;"|1",$Z$14:$Z$1213,0)=MATCH($H147&amp;"|1",$AA$14:$AA$1213,0),"Hit","Miss"))))</f>
        <v/>
      </c>
      <c r="K147" s="24">
        <f>IF($H147="","",IF(COUNTIFS($A$14:$A$1213,$H147,$F$14:$F$1213,"&gt;=0")=0,"—",IFERROR(INDEX($B$14:$B$1213,MATCH($H147&amp;"|1",$AA$14:$AA$1213,0)),"(tied)")))</f>
        <v/>
      </c>
      <c r="L147" s="25">
        <f>IF($H147="","",IF((--(COUNTIFS($A$14:$A$1213,$H147,$P$14:$P$1213,"&gt;=0")&gt;0)+--(COUNTIFS($A$14:$A$1213,$H147,$Q$14:$Q$1213,"&gt;=0")&gt;0)+--(COUNTIFS($A$14:$A$1213,$H147,$R$14:$R$1213,"&gt;=0")&gt;0)+--(COUNTIFS($A$14:$A$1213,$H147,$S$14:$S$1213,"&gt;=0")&gt;0)+--(COUNTIFS($A$14:$A$1213,$H147,$T$14:$T$1213,"&gt;=0")&gt;0))&lt;2,"—",IF(SUMIFS($AH$14:$AH$1213,$A$14:$A$1213,$H147)=0,"Yes","No")))</f>
        <v/>
      </c>
      <c r="M147" s="25">
        <f>IF($H147="","",IF(COUNTIFS($A$14:$A$1213,$H147,$F$14:$F$1213,"&gt;=0")&lt;2,"—",IF(COUNTIFS($A$14:$A$1213,$H147,$F$14:$F$1213,_xlfn.MAXIFS($F$14:$F$1213,$A$14:$A$1213,$H147))&gt;1,"No",IF(NOT(ISNUMBER($AN147)),"—",IF((2*(1-NORMSDIST(ABS($AN147))))&lt;0.05,"Yes","No")))))</f>
        <v/>
      </c>
      <c r="N147" s="21">
        <f>IF($H147="","",IF(NOT(ISNUMBER($AN147)),"—",IF((2*(1-NORMSDIST(ABS($AN147))))&lt;0.001,"&lt;0.001",TEXT((2*(1-NORMSDIST(ABS($AN147)))),"0.000"))))</f>
        <v/>
      </c>
      <c r="P147" s="26" t="n"/>
      <c r="Q147" s="26" t="n"/>
      <c r="R147" s="26" t="n"/>
      <c r="S147" s="26" t="n"/>
      <c r="T147" s="26" t="n"/>
      <c r="V147" s="27">
        <f>IF(ISNUMBER($C147),COUNTIFS($A$14:$A$1213,$A147,$C$14:$C$1213,"&gt;"&amp;$C147)+(COUNTIFS($A$14:$A$1213,$A147,$C$14:$C$1213,"="&amp;$C147)+1)/2,"")</f>
        <v/>
      </c>
      <c r="W147" s="27">
        <f>IF(ISNUMBER($F147),COUNTIFS($A$14:$A$1213,$A147,$F$14:$F$1213,"&gt;"&amp;$F147)+(COUNTIFS($A$14:$A$1213,$A147,$F$14:$F$1213,"="&amp;$F147)+1)/2,"")</f>
        <v/>
      </c>
      <c r="X147" s="27">
        <f>IF(OR(NOT(ISNUMBER($V147)),$AO147=1),"",$V147-(COUNTIFS($A$14:$A$1213,$A147,$C$14:$C$1213,"&gt;=0")+1)/2)</f>
        <v/>
      </c>
      <c r="Y147" s="27">
        <f>IF(OR(NOT(ISNUMBER($W147)),$AO147=1),"",$W147-(COUNTIFS($A$14:$A$1213,$A147,$F$14:$F$1213,"&gt;=0")+1)/2)</f>
        <v/>
      </c>
      <c r="Z147" s="27">
        <f>IF(ISNUMBER($V147),$A147&amp;"|"&amp;$V147,"")</f>
        <v/>
      </c>
      <c r="AA147" s="27">
        <f>IF(ISNUMBER($W147),$A147&amp;"|"&amp;$W147,"")</f>
        <v/>
      </c>
      <c r="AB147" s="27">
        <f>IF(ISNUMBER($F147),$A147&amp;"|"&amp;$F147,"")</f>
        <v/>
      </c>
      <c r="AC147" s="27">
        <f>IF(ISNUMBER($P147),COUNTIFS($A$14:$A$1213,$A147,$P$14:$P$1213,"&gt;"&amp;$P147)+(COUNTIFS($A$14:$A$1213,$A147,$P$14:$P$1213,"="&amp;$P147)+1)/2,"")</f>
        <v/>
      </c>
      <c r="AD147" s="27">
        <f>IF(ISNUMBER($Q147),COUNTIFS($A$14:$A$1213,$A147,$Q$14:$Q$1213,"&gt;"&amp;$Q147)+(COUNTIFS($A$14:$A$1213,$A147,$Q$14:$Q$1213,"="&amp;$Q147)+1)/2,"")</f>
        <v/>
      </c>
      <c r="AE147" s="27">
        <f>IF(ISNUMBER($R147),COUNTIFS($A$14:$A$1213,$A147,$R$14:$R$1213,"&gt;"&amp;$R147)+(COUNTIFS($A$14:$A$1213,$A147,$R$14:$R$1213,"="&amp;$R147)+1)/2,"")</f>
        <v/>
      </c>
      <c r="AF147" s="27">
        <f>IF(ISNUMBER($S147),COUNTIFS($A$14:$A$1213,$A147,$S$14:$S$1213,"&gt;"&amp;$S147)+(COUNTIFS($A$14:$A$1213,$A147,$S$14:$S$1213,"="&amp;$S147)+1)/2,"")</f>
        <v/>
      </c>
      <c r="AG147" s="27">
        <f>IF(ISNUMBER($T147),COUNTIFS($A$14:$A$1213,$A147,$T$14:$T$1213,"&gt;"&amp;$T147)+(COUNTIFS($A$14:$A$1213,$A147,$T$14:$T$1213,"="&amp;$T147)+1)/2,"")</f>
        <v/>
      </c>
      <c r="AH147" s="27">
        <f>IF(COUNT($AC147:$AG147)&lt;2,"",IF(MAX($AC147:$AG147)=MIN($AC147:$AG147),0,1))</f>
        <v/>
      </c>
      <c r="AI147" s="27">
        <f>IF($A147="","",IF(COUNTIF($A$14:$A147,$A147)=1,COUNTIF($AI$13:AI146,"&gt;0")+1,""))</f>
        <v/>
      </c>
      <c r="AJ147" s="27">
        <f>IF(OR($H147="",COUNTIFS($A$14:$A$1213,$H147,$F$14:$F$1213,"&gt;=0")&lt;2,COUNTIFS($A$14:$A$1213,$H147,$F$14:$F$1213,_xlfn.MAXIFS($F$14:$F$1213,$A$14:$A$1213,$H147))&gt;1),"",IFERROR(INDEX($D$14:$D$1213,MATCH($H147&amp;"|"&amp;_xlfn.MAXIFS($F$14:$F$1213,$A$14:$A$1213,$H147),$AB$14:$AB$1213,0)),""))</f>
        <v/>
      </c>
      <c r="AK147" s="27">
        <f>IF(OR($H147="",COUNTIFS($A$14:$A$1213,$H147,$F$14:$F$1213,"&gt;=0")&lt;2,COUNTIFS($A$14:$A$1213,$H147,$F$14:$F$1213,_xlfn.MAXIFS($F$14:$F$1213,$A$14:$A$1213,$H147))&gt;1),"",IFERROR(INDEX($E$14:$E$1213,MATCH($H147&amp;"|"&amp;_xlfn.MAXIFS($F$14:$F$1213,$A$14:$A$1213,$H147),$AB$14:$AB$1213,0)),""))</f>
        <v/>
      </c>
      <c r="AL147" s="27">
        <f>IF(OR($H147="",COUNTIFS($A$14:$A$1213,$H147,$F$14:$F$1213,"&gt;=0")&lt;2,COUNTIFS($A$14:$A$1213,$H147,$F$14:$F$1213,_xlfn.MAXIFS($F$14:$F$1213,$A$14:$A$1213,$H147))&gt;1),"",IFERROR(INDEX($D$14:$D$1213,MATCH($H147&amp;"|"&amp;_xlfn.MAXIFS($F$14:$F$1213,$A$14:$A$1213,$H147,$F$14:$F$1213,"&lt;"&amp;_xlfn.MAXIFS($F$14:$F$1213,$A$14:$A$1213,$H147)),$AB$14:$AB$1213,0)),""))</f>
        <v/>
      </c>
      <c r="AM147" s="27">
        <f>IF(OR($H147="",COUNTIFS($A$14:$A$1213,$H147,$F$14:$F$1213,"&gt;=0")&lt;2,COUNTIFS($A$14:$A$1213,$H147,$F$14:$F$1213,_xlfn.MAXIFS($F$14:$F$1213,$A$14:$A$1213,$H147))&gt;1),"",IFERROR(INDEX($E$14:$E$1213,MATCH($H147&amp;"|"&amp;_xlfn.MAXIFS($F$14:$F$1213,$A$14:$A$1213,$H147,$F$14:$F$1213,"&lt;"&amp;_xlfn.MAXIFS($F$14:$F$1213,$A$14:$A$1213,$H147)),$AB$14:$AB$1213,0)),""))</f>
        <v/>
      </c>
      <c r="AN147" s="27">
        <f>IF(OR(NOT(ISNUMBER($AJ147)),NOT(ISNUMBER($AL147)),$AK147=0,$AM147=0),"",IF(OR((($AJ147+$AL147)/($AK147+$AM147))&lt;=0,(($AJ147+$AL147)/($AK147+$AM147))&gt;=1),"",($AJ147/$AK147-$AL147/$AM147)/SQRT((($AJ147+$AL147)/($AK147+$AM147))*(1-(($AJ147+$AL147)/($AK147+$AM147)))*(1/$AK147+1/$AM147))))</f>
        <v/>
      </c>
      <c r="AO147" s="27">
        <f>IF($A147="","",IF(AND(COUNTIFS($A$14:$A$1213,$A147,$F$14:$F$1213,"&gt;=0")=2,IFERROR(INDEX($M$14:$M$313,MATCH($A147,$H$14:$H$313,0)),"Yes")&lt;&gt;"Yes"),1,0))</f>
        <v/>
      </c>
    </row>
    <row r="148" ht="24" customHeight="1">
      <c r="A148" s="19" t="n"/>
      <c r="B148" s="20" t="n"/>
      <c r="C148" s="21">
        <f>IFERROR(AVERAGE(P148:T148),"")</f>
        <v/>
      </c>
      <c r="D148" s="29" t="n"/>
      <c r="E148" s="29" t="n"/>
      <c r="F148" s="30">
        <f>IF(AND(ISNUMBER($D148),ISNUMBER($E148),$E148&gt;0,$D148&lt;=$E148),$D148/$E148,"")</f>
        <v/>
      </c>
      <c r="H148" s="19">
        <f>IFERROR(INDEX($A$14:$A$1213,MATCH(135,$AI$14:$AI$1213,0)),"")</f>
        <v/>
      </c>
      <c r="I148" s="24">
        <f>IF($H148="","",IF(COUNTIFS($A$14:$A$1213,$H148,$C$14:$C$1213,"&gt;=0")=0,"—",IFERROR(INDEX($B$14:$B$1213,MATCH($H148&amp;"|1",$Z$14:$Z$1213,0)),"(tied)")))</f>
        <v/>
      </c>
      <c r="J148" s="25">
        <f>IF($H148="","",IF(OR(COUNTIFS($A$14:$A$1213,$H148,$C$14:$C$1213,"&gt;=0")=0,COUNTIFS($A$14:$A$1213,$H148,$F$14:$F$1213,"&gt;=0")=0),"—",IF(OR(ISERROR(MATCH($H148&amp;"|1",$Z$14:$Z$1213,0)),ISERROR(MATCH($H148&amp;"|1",$AA$14:$AA$1213,0))),"Tie",IF(MATCH($H148&amp;"|1",$Z$14:$Z$1213,0)=MATCH($H148&amp;"|1",$AA$14:$AA$1213,0),"Hit","Miss"))))</f>
        <v/>
      </c>
      <c r="K148" s="24">
        <f>IF($H148="","",IF(COUNTIFS($A$14:$A$1213,$H148,$F$14:$F$1213,"&gt;=0")=0,"—",IFERROR(INDEX($B$14:$B$1213,MATCH($H148&amp;"|1",$AA$14:$AA$1213,0)),"(tied)")))</f>
        <v/>
      </c>
      <c r="L148" s="25">
        <f>IF($H148="","",IF((--(COUNTIFS($A$14:$A$1213,$H148,$P$14:$P$1213,"&gt;=0")&gt;0)+--(COUNTIFS($A$14:$A$1213,$H148,$Q$14:$Q$1213,"&gt;=0")&gt;0)+--(COUNTIFS($A$14:$A$1213,$H148,$R$14:$R$1213,"&gt;=0")&gt;0)+--(COUNTIFS($A$14:$A$1213,$H148,$S$14:$S$1213,"&gt;=0")&gt;0)+--(COUNTIFS($A$14:$A$1213,$H148,$T$14:$T$1213,"&gt;=0")&gt;0))&lt;2,"—",IF(SUMIFS($AH$14:$AH$1213,$A$14:$A$1213,$H148)=0,"Yes","No")))</f>
        <v/>
      </c>
      <c r="M148" s="25">
        <f>IF($H148="","",IF(COUNTIFS($A$14:$A$1213,$H148,$F$14:$F$1213,"&gt;=0")&lt;2,"—",IF(COUNTIFS($A$14:$A$1213,$H148,$F$14:$F$1213,_xlfn.MAXIFS($F$14:$F$1213,$A$14:$A$1213,$H148))&gt;1,"No",IF(NOT(ISNUMBER($AN148)),"—",IF((2*(1-NORMSDIST(ABS($AN148))))&lt;0.05,"Yes","No")))))</f>
        <v/>
      </c>
      <c r="N148" s="21">
        <f>IF($H148="","",IF(NOT(ISNUMBER($AN148)),"—",IF((2*(1-NORMSDIST(ABS($AN148))))&lt;0.001,"&lt;0.001",TEXT((2*(1-NORMSDIST(ABS($AN148)))),"0.000"))))</f>
        <v/>
      </c>
      <c r="P148" s="26" t="n"/>
      <c r="Q148" s="26" t="n"/>
      <c r="R148" s="26" t="n"/>
      <c r="S148" s="26" t="n"/>
      <c r="T148" s="26" t="n"/>
      <c r="V148" s="27">
        <f>IF(ISNUMBER($C148),COUNTIFS($A$14:$A$1213,$A148,$C$14:$C$1213,"&gt;"&amp;$C148)+(COUNTIFS($A$14:$A$1213,$A148,$C$14:$C$1213,"="&amp;$C148)+1)/2,"")</f>
        <v/>
      </c>
      <c r="W148" s="27">
        <f>IF(ISNUMBER($F148),COUNTIFS($A$14:$A$1213,$A148,$F$14:$F$1213,"&gt;"&amp;$F148)+(COUNTIFS($A$14:$A$1213,$A148,$F$14:$F$1213,"="&amp;$F148)+1)/2,"")</f>
        <v/>
      </c>
      <c r="X148" s="27">
        <f>IF(OR(NOT(ISNUMBER($V148)),$AO148=1),"",$V148-(COUNTIFS($A$14:$A$1213,$A148,$C$14:$C$1213,"&gt;=0")+1)/2)</f>
        <v/>
      </c>
      <c r="Y148" s="27">
        <f>IF(OR(NOT(ISNUMBER($W148)),$AO148=1),"",$W148-(COUNTIFS($A$14:$A$1213,$A148,$F$14:$F$1213,"&gt;=0")+1)/2)</f>
        <v/>
      </c>
      <c r="Z148" s="27">
        <f>IF(ISNUMBER($V148),$A148&amp;"|"&amp;$V148,"")</f>
        <v/>
      </c>
      <c r="AA148" s="27">
        <f>IF(ISNUMBER($W148),$A148&amp;"|"&amp;$W148,"")</f>
        <v/>
      </c>
      <c r="AB148" s="27">
        <f>IF(ISNUMBER($F148),$A148&amp;"|"&amp;$F148,"")</f>
        <v/>
      </c>
      <c r="AC148" s="27">
        <f>IF(ISNUMBER($P148),COUNTIFS($A$14:$A$1213,$A148,$P$14:$P$1213,"&gt;"&amp;$P148)+(COUNTIFS($A$14:$A$1213,$A148,$P$14:$P$1213,"="&amp;$P148)+1)/2,"")</f>
        <v/>
      </c>
      <c r="AD148" s="27">
        <f>IF(ISNUMBER($Q148),COUNTIFS($A$14:$A$1213,$A148,$Q$14:$Q$1213,"&gt;"&amp;$Q148)+(COUNTIFS($A$14:$A$1213,$A148,$Q$14:$Q$1213,"="&amp;$Q148)+1)/2,"")</f>
        <v/>
      </c>
      <c r="AE148" s="27">
        <f>IF(ISNUMBER($R148),COUNTIFS($A$14:$A$1213,$A148,$R$14:$R$1213,"&gt;"&amp;$R148)+(COUNTIFS($A$14:$A$1213,$A148,$R$14:$R$1213,"="&amp;$R148)+1)/2,"")</f>
        <v/>
      </c>
      <c r="AF148" s="27">
        <f>IF(ISNUMBER($S148),COUNTIFS($A$14:$A$1213,$A148,$S$14:$S$1213,"&gt;"&amp;$S148)+(COUNTIFS($A$14:$A$1213,$A148,$S$14:$S$1213,"="&amp;$S148)+1)/2,"")</f>
        <v/>
      </c>
      <c r="AG148" s="27">
        <f>IF(ISNUMBER($T148),COUNTIFS($A$14:$A$1213,$A148,$T$14:$T$1213,"&gt;"&amp;$T148)+(COUNTIFS($A$14:$A$1213,$A148,$T$14:$T$1213,"="&amp;$T148)+1)/2,"")</f>
        <v/>
      </c>
      <c r="AH148" s="27">
        <f>IF(COUNT($AC148:$AG148)&lt;2,"",IF(MAX($AC148:$AG148)=MIN($AC148:$AG148),0,1))</f>
        <v/>
      </c>
      <c r="AI148" s="27">
        <f>IF($A148="","",IF(COUNTIF($A$14:$A148,$A148)=1,COUNTIF($AI$13:AI147,"&gt;0")+1,""))</f>
        <v/>
      </c>
      <c r="AJ148" s="27">
        <f>IF(OR($H148="",COUNTIFS($A$14:$A$1213,$H148,$F$14:$F$1213,"&gt;=0")&lt;2,COUNTIFS($A$14:$A$1213,$H148,$F$14:$F$1213,_xlfn.MAXIFS($F$14:$F$1213,$A$14:$A$1213,$H148))&gt;1),"",IFERROR(INDEX($D$14:$D$1213,MATCH($H148&amp;"|"&amp;_xlfn.MAXIFS($F$14:$F$1213,$A$14:$A$1213,$H148),$AB$14:$AB$1213,0)),""))</f>
        <v/>
      </c>
      <c r="AK148" s="27">
        <f>IF(OR($H148="",COUNTIFS($A$14:$A$1213,$H148,$F$14:$F$1213,"&gt;=0")&lt;2,COUNTIFS($A$14:$A$1213,$H148,$F$14:$F$1213,_xlfn.MAXIFS($F$14:$F$1213,$A$14:$A$1213,$H148))&gt;1),"",IFERROR(INDEX($E$14:$E$1213,MATCH($H148&amp;"|"&amp;_xlfn.MAXIFS($F$14:$F$1213,$A$14:$A$1213,$H148),$AB$14:$AB$1213,0)),""))</f>
        <v/>
      </c>
      <c r="AL148" s="27">
        <f>IF(OR($H148="",COUNTIFS($A$14:$A$1213,$H148,$F$14:$F$1213,"&gt;=0")&lt;2,COUNTIFS($A$14:$A$1213,$H148,$F$14:$F$1213,_xlfn.MAXIFS($F$14:$F$1213,$A$14:$A$1213,$H148))&gt;1),"",IFERROR(INDEX($D$14:$D$1213,MATCH($H148&amp;"|"&amp;_xlfn.MAXIFS($F$14:$F$1213,$A$14:$A$1213,$H148,$F$14:$F$1213,"&lt;"&amp;_xlfn.MAXIFS($F$14:$F$1213,$A$14:$A$1213,$H148)),$AB$14:$AB$1213,0)),""))</f>
        <v/>
      </c>
      <c r="AM148" s="27">
        <f>IF(OR($H148="",COUNTIFS($A$14:$A$1213,$H148,$F$14:$F$1213,"&gt;=0")&lt;2,COUNTIFS($A$14:$A$1213,$H148,$F$14:$F$1213,_xlfn.MAXIFS($F$14:$F$1213,$A$14:$A$1213,$H148))&gt;1),"",IFERROR(INDEX($E$14:$E$1213,MATCH($H148&amp;"|"&amp;_xlfn.MAXIFS($F$14:$F$1213,$A$14:$A$1213,$H148,$F$14:$F$1213,"&lt;"&amp;_xlfn.MAXIFS($F$14:$F$1213,$A$14:$A$1213,$H148)),$AB$14:$AB$1213,0)),""))</f>
        <v/>
      </c>
      <c r="AN148" s="27">
        <f>IF(OR(NOT(ISNUMBER($AJ148)),NOT(ISNUMBER($AL148)),$AK148=0,$AM148=0),"",IF(OR((($AJ148+$AL148)/($AK148+$AM148))&lt;=0,(($AJ148+$AL148)/($AK148+$AM148))&gt;=1),"",($AJ148/$AK148-$AL148/$AM148)/SQRT((($AJ148+$AL148)/($AK148+$AM148))*(1-(($AJ148+$AL148)/($AK148+$AM148)))*(1/$AK148+1/$AM148))))</f>
        <v/>
      </c>
      <c r="AO148" s="27">
        <f>IF($A148="","",IF(AND(COUNTIFS($A$14:$A$1213,$A148,$F$14:$F$1213,"&gt;=0")=2,IFERROR(INDEX($M$14:$M$313,MATCH($A148,$H$14:$H$313,0)),"Yes")&lt;&gt;"Yes"),1,0))</f>
        <v/>
      </c>
    </row>
    <row r="149" ht="24" customHeight="1">
      <c r="A149" s="19" t="n"/>
      <c r="B149" s="20" t="n"/>
      <c r="C149" s="21">
        <f>IFERROR(AVERAGE(P149:T149),"")</f>
        <v/>
      </c>
      <c r="D149" s="29" t="n"/>
      <c r="E149" s="29" t="n"/>
      <c r="F149" s="30">
        <f>IF(AND(ISNUMBER($D149),ISNUMBER($E149),$E149&gt;0,$D149&lt;=$E149),$D149/$E149,"")</f>
        <v/>
      </c>
      <c r="H149" s="19">
        <f>IFERROR(INDEX($A$14:$A$1213,MATCH(136,$AI$14:$AI$1213,0)),"")</f>
        <v/>
      </c>
      <c r="I149" s="24">
        <f>IF($H149="","",IF(COUNTIFS($A$14:$A$1213,$H149,$C$14:$C$1213,"&gt;=0")=0,"—",IFERROR(INDEX($B$14:$B$1213,MATCH($H149&amp;"|1",$Z$14:$Z$1213,0)),"(tied)")))</f>
        <v/>
      </c>
      <c r="J149" s="25">
        <f>IF($H149="","",IF(OR(COUNTIFS($A$14:$A$1213,$H149,$C$14:$C$1213,"&gt;=0")=0,COUNTIFS($A$14:$A$1213,$H149,$F$14:$F$1213,"&gt;=0")=0),"—",IF(OR(ISERROR(MATCH($H149&amp;"|1",$Z$14:$Z$1213,0)),ISERROR(MATCH($H149&amp;"|1",$AA$14:$AA$1213,0))),"Tie",IF(MATCH($H149&amp;"|1",$Z$14:$Z$1213,0)=MATCH($H149&amp;"|1",$AA$14:$AA$1213,0),"Hit","Miss"))))</f>
        <v/>
      </c>
      <c r="K149" s="24">
        <f>IF($H149="","",IF(COUNTIFS($A$14:$A$1213,$H149,$F$14:$F$1213,"&gt;=0")=0,"—",IFERROR(INDEX($B$14:$B$1213,MATCH($H149&amp;"|1",$AA$14:$AA$1213,0)),"(tied)")))</f>
        <v/>
      </c>
      <c r="L149" s="25">
        <f>IF($H149="","",IF((--(COUNTIFS($A$14:$A$1213,$H149,$P$14:$P$1213,"&gt;=0")&gt;0)+--(COUNTIFS($A$14:$A$1213,$H149,$Q$14:$Q$1213,"&gt;=0")&gt;0)+--(COUNTIFS($A$14:$A$1213,$H149,$R$14:$R$1213,"&gt;=0")&gt;0)+--(COUNTIFS($A$14:$A$1213,$H149,$S$14:$S$1213,"&gt;=0")&gt;0)+--(COUNTIFS($A$14:$A$1213,$H149,$T$14:$T$1213,"&gt;=0")&gt;0))&lt;2,"—",IF(SUMIFS($AH$14:$AH$1213,$A$14:$A$1213,$H149)=0,"Yes","No")))</f>
        <v/>
      </c>
      <c r="M149" s="25">
        <f>IF($H149="","",IF(COUNTIFS($A$14:$A$1213,$H149,$F$14:$F$1213,"&gt;=0")&lt;2,"—",IF(COUNTIFS($A$14:$A$1213,$H149,$F$14:$F$1213,_xlfn.MAXIFS($F$14:$F$1213,$A$14:$A$1213,$H149))&gt;1,"No",IF(NOT(ISNUMBER($AN149)),"—",IF((2*(1-NORMSDIST(ABS($AN149))))&lt;0.05,"Yes","No")))))</f>
        <v/>
      </c>
      <c r="N149" s="21">
        <f>IF($H149="","",IF(NOT(ISNUMBER($AN149)),"—",IF((2*(1-NORMSDIST(ABS($AN149))))&lt;0.001,"&lt;0.001",TEXT((2*(1-NORMSDIST(ABS($AN149)))),"0.000"))))</f>
        <v/>
      </c>
      <c r="P149" s="26" t="n"/>
      <c r="Q149" s="26" t="n"/>
      <c r="R149" s="26" t="n"/>
      <c r="S149" s="26" t="n"/>
      <c r="T149" s="26" t="n"/>
      <c r="V149" s="27">
        <f>IF(ISNUMBER($C149),COUNTIFS($A$14:$A$1213,$A149,$C$14:$C$1213,"&gt;"&amp;$C149)+(COUNTIFS($A$14:$A$1213,$A149,$C$14:$C$1213,"="&amp;$C149)+1)/2,"")</f>
        <v/>
      </c>
      <c r="W149" s="27">
        <f>IF(ISNUMBER($F149),COUNTIFS($A$14:$A$1213,$A149,$F$14:$F$1213,"&gt;"&amp;$F149)+(COUNTIFS($A$14:$A$1213,$A149,$F$14:$F$1213,"="&amp;$F149)+1)/2,"")</f>
        <v/>
      </c>
      <c r="X149" s="27">
        <f>IF(OR(NOT(ISNUMBER($V149)),$AO149=1),"",$V149-(COUNTIFS($A$14:$A$1213,$A149,$C$14:$C$1213,"&gt;=0")+1)/2)</f>
        <v/>
      </c>
      <c r="Y149" s="27">
        <f>IF(OR(NOT(ISNUMBER($W149)),$AO149=1),"",$W149-(COUNTIFS($A$14:$A$1213,$A149,$F$14:$F$1213,"&gt;=0")+1)/2)</f>
        <v/>
      </c>
      <c r="Z149" s="27">
        <f>IF(ISNUMBER($V149),$A149&amp;"|"&amp;$V149,"")</f>
        <v/>
      </c>
      <c r="AA149" s="27">
        <f>IF(ISNUMBER($W149),$A149&amp;"|"&amp;$W149,"")</f>
        <v/>
      </c>
      <c r="AB149" s="27">
        <f>IF(ISNUMBER($F149),$A149&amp;"|"&amp;$F149,"")</f>
        <v/>
      </c>
      <c r="AC149" s="27">
        <f>IF(ISNUMBER($P149),COUNTIFS($A$14:$A$1213,$A149,$P$14:$P$1213,"&gt;"&amp;$P149)+(COUNTIFS($A$14:$A$1213,$A149,$P$14:$P$1213,"="&amp;$P149)+1)/2,"")</f>
        <v/>
      </c>
      <c r="AD149" s="27">
        <f>IF(ISNUMBER($Q149),COUNTIFS($A$14:$A$1213,$A149,$Q$14:$Q$1213,"&gt;"&amp;$Q149)+(COUNTIFS($A$14:$A$1213,$A149,$Q$14:$Q$1213,"="&amp;$Q149)+1)/2,"")</f>
        <v/>
      </c>
      <c r="AE149" s="27">
        <f>IF(ISNUMBER($R149),COUNTIFS($A$14:$A$1213,$A149,$R$14:$R$1213,"&gt;"&amp;$R149)+(COUNTIFS($A$14:$A$1213,$A149,$R$14:$R$1213,"="&amp;$R149)+1)/2,"")</f>
        <v/>
      </c>
      <c r="AF149" s="27">
        <f>IF(ISNUMBER($S149),COUNTIFS($A$14:$A$1213,$A149,$S$14:$S$1213,"&gt;"&amp;$S149)+(COUNTIFS($A$14:$A$1213,$A149,$S$14:$S$1213,"="&amp;$S149)+1)/2,"")</f>
        <v/>
      </c>
      <c r="AG149" s="27">
        <f>IF(ISNUMBER($T149),COUNTIFS($A$14:$A$1213,$A149,$T$14:$T$1213,"&gt;"&amp;$T149)+(COUNTIFS($A$14:$A$1213,$A149,$T$14:$T$1213,"="&amp;$T149)+1)/2,"")</f>
        <v/>
      </c>
      <c r="AH149" s="27">
        <f>IF(COUNT($AC149:$AG149)&lt;2,"",IF(MAX($AC149:$AG149)=MIN($AC149:$AG149),0,1))</f>
        <v/>
      </c>
      <c r="AI149" s="27">
        <f>IF($A149="","",IF(COUNTIF($A$14:$A149,$A149)=1,COUNTIF($AI$13:AI148,"&gt;0")+1,""))</f>
        <v/>
      </c>
      <c r="AJ149" s="27">
        <f>IF(OR($H149="",COUNTIFS($A$14:$A$1213,$H149,$F$14:$F$1213,"&gt;=0")&lt;2,COUNTIFS($A$14:$A$1213,$H149,$F$14:$F$1213,_xlfn.MAXIFS($F$14:$F$1213,$A$14:$A$1213,$H149))&gt;1),"",IFERROR(INDEX($D$14:$D$1213,MATCH($H149&amp;"|"&amp;_xlfn.MAXIFS($F$14:$F$1213,$A$14:$A$1213,$H149),$AB$14:$AB$1213,0)),""))</f>
        <v/>
      </c>
      <c r="AK149" s="27">
        <f>IF(OR($H149="",COUNTIFS($A$14:$A$1213,$H149,$F$14:$F$1213,"&gt;=0")&lt;2,COUNTIFS($A$14:$A$1213,$H149,$F$14:$F$1213,_xlfn.MAXIFS($F$14:$F$1213,$A$14:$A$1213,$H149))&gt;1),"",IFERROR(INDEX($E$14:$E$1213,MATCH($H149&amp;"|"&amp;_xlfn.MAXIFS($F$14:$F$1213,$A$14:$A$1213,$H149),$AB$14:$AB$1213,0)),""))</f>
        <v/>
      </c>
      <c r="AL149" s="27">
        <f>IF(OR($H149="",COUNTIFS($A$14:$A$1213,$H149,$F$14:$F$1213,"&gt;=0")&lt;2,COUNTIFS($A$14:$A$1213,$H149,$F$14:$F$1213,_xlfn.MAXIFS($F$14:$F$1213,$A$14:$A$1213,$H149))&gt;1),"",IFERROR(INDEX($D$14:$D$1213,MATCH($H149&amp;"|"&amp;_xlfn.MAXIFS($F$14:$F$1213,$A$14:$A$1213,$H149,$F$14:$F$1213,"&lt;"&amp;_xlfn.MAXIFS($F$14:$F$1213,$A$14:$A$1213,$H149)),$AB$14:$AB$1213,0)),""))</f>
        <v/>
      </c>
      <c r="AM149" s="27">
        <f>IF(OR($H149="",COUNTIFS($A$14:$A$1213,$H149,$F$14:$F$1213,"&gt;=0")&lt;2,COUNTIFS($A$14:$A$1213,$H149,$F$14:$F$1213,_xlfn.MAXIFS($F$14:$F$1213,$A$14:$A$1213,$H149))&gt;1),"",IFERROR(INDEX($E$14:$E$1213,MATCH($H149&amp;"|"&amp;_xlfn.MAXIFS($F$14:$F$1213,$A$14:$A$1213,$H149,$F$14:$F$1213,"&lt;"&amp;_xlfn.MAXIFS($F$14:$F$1213,$A$14:$A$1213,$H149)),$AB$14:$AB$1213,0)),""))</f>
        <v/>
      </c>
      <c r="AN149" s="27">
        <f>IF(OR(NOT(ISNUMBER($AJ149)),NOT(ISNUMBER($AL149)),$AK149=0,$AM149=0),"",IF(OR((($AJ149+$AL149)/($AK149+$AM149))&lt;=0,(($AJ149+$AL149)/($AK149+$AM149))&gt;=1),"",($AJ149/$AK149-$AL149/$AM149)/SQRT((($AJ149+$AL149)/($AK149+$AM149))*(1-(($AJ149+$AL149)/($AK149+$AM149)))*(1/$AK149+1/$AM149))))</f>
        <v/>
      </c>
      <c r="AO149" s="27">
        <f>IF($A149="","",IF(AND(COUNTIFS($A$14:$A$1213,$A149,$F$14:$F$1213,"&gt;=0")=2,IFERROR(INDEX($M$14:$M$313,MATCH($A149,$H$14:$H$313,0)),"Yes")&lt;&gt;"Yes"),1,0))</f>
        <v/>
      </c>
    </row>
    <row r="150" ht="24" customHeight="1">
      <c r="A150" s="19" t="n"/>
      <c r="B150" s="20" t="n"/>
      <c r="C150" s="21">
        <f>IFERROR(AVERAGE(P150:T150),"")</f>
        <v/>
      </c>
      <c r="D150" s="29" t="n"/>
      <c r="E150" s="29" t="n"/>
      <c r="F150" s="30">
        <f>IF(AND(ISNUMBER($D150),ISNUMBER($E150),$E150&gt;0,$D150&lt;=$E150),$D150/$E150,"")</f>
        <v/>
      </c>
      <c r="H150" s="19">
        <f>IFERROR(INDEX($A$14:$A$1213,MATCH(137,$AI$14:$AI$1213,0)),"")</f>
        <v/>
      </c>
      <c r="I150" s="24">
        <f>IF($H150="","",IF(COUNTIFS($A$14:$A$1213,$H150,$C$14:$C$1213,"&gt;=0")=0,"—",IFERROR(INDEX($B$14:$B$1213,MATCH($H150&amp;"|1",$Z$14:$Z$1213,0)),"(tied)")))</f>
        <v/>
      </c>
      <c r="J150" s="25">
        <f>IF($H150="","",IF(OR(COUNTIFS($A$14:$A$1213,$H150,$C$14:$C$1213,"&gt;=0")=0,COUNTIFS($A$14:$A$1213,$H150,$F$14:$F$1213,"&gt;=0")=0),"—",IF(OR(ISERROR(MATCH($H150&amp;"|1",$Z$14:$Z$1213,0)),ISERROR(MATCH($H150&amp;"|1",$AA$14:$AA$1213,0))),"Tie",IF(MATCH($H150&amp;"|1",$Z$14:$Z$1213,0)=MATCH($H150&amp;"|1",$AA$14:$AA$1213,0),"Hit","Miss"))))</f>
        <v/>
      </c>
      <c r="K150" s="24">
        <f>IF($H150="","",IF(COUNTIFS($A$14:$A$1213,$H150,$F$14:$F$1213,"&gt;=0")=0,"—",IFERROR(INDEX($B$14:$B$1213,MATCH($H150&amp;"|1",$AA$14:$AA$1213,0)),"(tied)")))</f>
        <v/>
      </c>
      <c r="L150" s="25">
        <f>IF($H150="","",IF((--(COUNTIFS($A$14:$A$1213,$H150,$P$14:$P$1213,"&gt;=0")&gt;0)+--(COUNTIFS($A$14:$A$1213,$H150,$Q$14:$Q$1213,"&gt;=0")&gt;0)+--(COUNTIFS($A$14:$A$1213,$H150,$R$14:$R$1213,"&gt;=0")&gt;0)+--(COUNTIFS($A$14:$A$1213,$H150,$S$14:$S$1213,"&gt;=0")&gt;0)+--(COUNTIFS($A$14:$A$1213,$H150,$T$14:$T$1213,"&gt;=0")&gt;0))&lt;2,"—",IF(SUMIFS($AH$14:$AH$1213,$A$14:$A$1213,$H150)=0,"Yes","No")))</f>
        <v/>
      </c>
      <c r="M150" s="25">
        <f>IF($H150="","",IF(COUNTIFS($A$14:$A$1213,$H150,$F$14:$F$1213,"&gt;=0")&lt;2,"—",IF(COUNTIFS($A$14:$A$1213,$H150,$F$14:$F$1213,_xlfn.MAXIFS($F$14:$F$1213,$A$14:$A$1213,$H150))&gt;1,"No",IF(NOT(ISNUMBER($AN150)),"—",IF((2*(1-NORMSDIST(ABS($AN150))))&lt;0.05,"Yes","No")))))</f>
        <v/>
      </c>
      <c r="N150" s="21">
        <f>IF($H150="","",IF(NOT(ISNUMBER($AN150)),"—",IF((2*(1-NORMSDIST(ABS($AN150))))&lt;0.001,"&lt;0.001",TEXT((2*(1-NORMSDIST(ABS($AN150)))),"0.000"))))</f>
        <v/>
      </c>
      <c r="P150" s="26" t="n"/>
      <c r="Q150" s="26" t="n"/>
      <c r="R150" s="26" t="n"/>
      <c r="S150" s="26" t="n"/>
      <c r="T150" s="26" t="n"/>
      <c r="V150" s="27">
        <f>IF(ISNUMBER($C150),COUNTIFS($A$14:$A$1213,$A150,$C$14:$C$1213,"&gt;"&amp;$C150)+(COUNTIFS($A$14:$A$1213,$A150,$C$14:$C$1213,"="&amp;$C150)+1)/2,"")</f>
        <v/>
      </c>
      <c r="W150" s="27">
        <f>IF(ISNUMBER($F150),COUNTIFS($A$14:$A$1213,$A150,$F$14:$F$1213,"&gt;"&amp;$F150)+(COUNTIFS($A$14:$A$1213,$A150,$F$14:$F$1213,"="&amp;$F150)+1)/2,"")</f>
        <v/>
      </c>
      <c r="X150" s="27">
        <f>IF(OR(NOT(ISNUMBER($V150)),$AO150=1),"",$V150-(COUNTIFS($A$14:$A$1213,$A150,$C$14:$C$1213,"&gt;=0")+1)/2)</f>
        <v/>
      </c>
      <c r="Y150" s="27">
        <f>IF(OR(NOT(ISNUMBER($W150)),$AO150=1),"",$W150-(COUNTIFS($A$14:$A$1213,$A150,$F$14:$F$1213,"&gt;=0")+1)/2)</f>
        <v/>
      </c>
      <c r="Z150" s="27">
        <f>IF(ISNUMBER($V150),$A150&amp;"|"&amp;$V150,"")</f>
        <v/>
      </c>
      <c r="AA150" s="27">
        <f>IF(ISNUMBER($W150),$A150&amp;"|"&amp;$W150,"")</f>
        <v/>
      </c>
      <c r="AB150" s="27">
        <f>IF(ISNUMBER($F150),$A150&amp;"|"&amp;$F150,"")</f>
        <v/>
      </c>
      <c r="AC150" s="27">
        <f>IF(ISNUMBER($P150),COUNTIFS($A$14:$A$1213,$A150,$P$14:$P$1213,"&gt;"&amp;$P150)+(COUNTIFS($A$14:$A$1213,$A150,$P$14:$P$1213,"="&amp;$P150)+1)/2,"")</f>
        <v/>
      </c>
      <c r="AD150" s="27">
        <f>IF(ISNUMBER($Q150),COUNTIFS($A$14:$A$1213,$A150,$Q$14:$Q$1213,"&gt;"&amp;$Q150)+(COUNTIFS($A$14:$A$1213,$A150,$Q$14:$Q$1213,"="&amp;$Q150)+1)/2,"")</f>
        <v/>
      </c>
      <c r="AE150" s="27">
        <f>IF(ISNUMBER($R150),COUNTIFS($A$14:$A$1213,$A150,$R$14:$R$1213,"&gt;"&amp;$R150)+(COUNTIFS($A$14:$A$1213,$A150,$R$14:$R$1213,"="&amp;$R150)+1)/2,"")</f>
        <v/>
      </c>
      <c r="AF150" s="27">
        <f>IF(ISNUMBER($S150),COUNTIFS($A$14:$A$1213,$A150,$S$14:$S$1213,"&gt;"&amp;$S150)+(COUNTIFS($A$14:$A$1213,$A150,$S$14:$S$1213,"="&amp;$S150)+1)/2,"")</f>
        <v/>
      </c>
      <c r="AG150" s="27">
        <f>IF(ISNUMBER($T150),COUNTIFS($A$14:$A$1213,$A150,$T$14:$T$1213,"&gt;"&amp;$T150)+(COUNTIFS($A$14:$A$1213,$A150,$T$14:$T$1213,"="&amp;$T150)+1)/2,"")</f>
        <v/>
      </c>
      <c r="AH150" s="27">
        <f>IF(COUNT($AC150:$AG150)&lt;2,"",IF(MAX($AC150:$AG150)=MIN($AC150:$AG150),0,1))</f>
        <v/>
      </c>
      <c r="AI150" s="27">
        <f>IF($A150="","",IF(COUNTIF($A$14:$A150,$A150)=1,COUNTIF($AI$13:AI149,"&gt;0")+1,""))</f>
        <v/>
      </c>
      <c r="AJ150" s="27">
        <f>IF(OR($H150="",COUNTIFS($A$14:$A$1213,$H150,$F$14:$F$1213,"&gt;=0")&lt;2,COUNTIFS($A$14:$A$1213,$H150,$F$14:$F$1213,_xlfn.MAXIFS($F$14:$F$1213,$A$14:$A$1213,$H150))&gt;1),"",IFERROR(INDEX($D$14:$D$1213,MATCH($H150&amp;"|"&amp;_xlfn.MAXIFS($F$14:$F$1213,$A$14:$A$1213,$H150),$AB$14:$AB$1213,0)),""))</f>
        <v/>
      </c>
      <c r="AK150" s="27">
        <f>IF(OR($H150="",COUNTIFS($A$14:$A$1213,$H150,$F$14:$F$1213,"&gt;=0")&lt;2,COUNTIFS($A$14:$A$1213,$H150,$F$14:$F$1213,_xlfn.MAXIFS($F$14:$F$1213,$A$14:$A$1213,$H150))&gt;1),"",IFERROR(INDEX($E$14:$E$1213,MATCH($H150&amp;"|"&amp;_xlfn.MAXIFS($F$14:$F$1213,$A$14:$A$1213,$H150),$AB$14:$AB$1213,0)),""))</f>
        <v/>
      </c>
      <c r="AL150" s="27">
        <f>IF(OR($H150="",COUNTIFS($A$14:$A$1213,$H150,$F$14:$F$1213,"&gt;=0")&lt;2,COUNTIFS($A$14:$A$1213,$H150,$F$14:$F$1213,_xlfn.MAXIFS($F$14:$F$1213,$A$14:$A$1213,$H150))&gt;1),"",IFERROR(INDEX($D$14:$D$1213,MATCH($H150&amp;"|"&amp;_xlfn.MAXIFS($F$14:$F$1213,$A$14:$A$1213,$H150,$F$14:$F$1213,"&lt;"&amp;_xlfn.MAXIFS($F$14:$F$1213,$A$14:$A$1213,$H150)),$AB$14:$AB$1213,0)),""))</f>
        <v/>
      </c>
      <c r="AM150" s="27">
        <f>IF(OR($H150="",COUNTIFS($A$14:$A$1213,$H150,$F$14:$F$1213,"&gt;=0")&lt;2,COUNTIFS($A$14:$A$1213,$H150,$F$14:$F$1213,_xlfn.MAXIFS($F$14:$F$1213,$A$14:$A$1213,$H150))&gt;1),"",IFERROR(INDEX($E$14:$E$1213,MATCH($H150&amp;"|"&amp;_xlfn.MAXIFS($F$14:$F$1213,$A$14:$A$1213,$H150,$F$14:$F$1213,"&lt;"&amp;_xlfn.MAXIFS($F$14:$F$1213,$A$14:$A$1213,$H150)),$AB$14:$AB$1213,0)),""))</f>
        <v/>
      </c>
      <c r="AN150" s="27">
        <f>IF(OR(NOT(ISNUMBER($AJ150)),NOT(ISNUMBER($AL150)),$AK150=0,$AM150=0),"",IF(OR((($AJ150+$AL150)/($AK150+$AM150))&lt;=0,(($AJ150+$AL150)/($AK150+$AM150))&gt;=1),"",($AJ150/$AK150-$AL150/$AM150)/SQRT((($AJ150+$AL150)/($AK150+$AM150))*(1-(($AJ150+$AL150)/($AK150+$AM150)))*(1/$AK150+1/$AM150))))</f>
        <v/>
      </c>
      <c r="AO150" s="27">
        <f>IF($A150="","",IF(AND(COUNTIFS($A$14:$A$1213,$A150,$F$14:$F$1213,"&gt;=0")=2,IFERROR(INDEX($M$14:$M$313,MATCH($A150,$H$14:$H$313,0)),"Yes")&lt;&gt;"Yes"),1,0))</f>
        <v/>
      </c>
    </row>
    <row r="151" ht="24" customHeight="1">
      <c r="A151" s="19" t="n"/>
      <c r="B151" s="20" t="n"/>
      <c r="C151" s="21">
        <f>IFERROR(AVERAGE(P151:T151),"")</f>
        <v/>
      </c>
      <c r="D151" s="29" t="n"/>
      <c r="E151" s="29" t="n"/>
      <c r="F151" s="30">
        <f>IF(AND(ISNUMBER($D151),ISNUMBER($E151),$E151&gt;0,$D151&lt;=$E151),$D151/$E151,"")</f>
        <v/>
      </c>
      <c r="H151" s="19">
        <f>IFERROR(INDEX($A$14:$A$1213,MATCH(138,$AI$14:$AI$1213,0)),"")</f>
        <v/>
      </c>
      <c r="I151" s="24">
        <f>IF($H151="","",IF(COUNTIFS($A$14:$A$1213,$H151,$C$14:$C$1213,"&gt;=0")=0,"—",IFERROR(INDEX($B$14:$B$1213,MATCH($H151&amp;"|1",$Z$14:$Z$1213,0)),"(tied)")))</f>
        <v/>
      </c>
      <c r="J151" s="25">
        <f>IF($H151="","",IF(OR(COUNTIFS($A$14:$A$1213,$H151,$C$14:$C$1213,"&gt;=0")=0,COUNTIFS($A$14:$A$1213,$H151,$F$14:$F$1213,"&gt;=0")=0),"—",IF(OR(ISERROR(MATCH($H151&amp;"|1",$Z$14:$Z$1213,0)),ISERROR(MATCH($H151&amp;"|1",$AA$14:$AA$1213,0))),"Tie",IF(MATCH($H151&amp;"|1",$Z$14:$Z$1213,0)=MATCH($H151&amp;"|1",$AA$14:$AA$1213,0),"Hit","Miss"))))</f>
        <v/>
      </c>
      <c r="K151" s="24">
        <f>IF($H151="","",IF(COUNTIFS($A$14:$A$1213,$H151,$F$14:$F$1213,"&gt;=0")=0,"—",IFERROR(INDEX($B$14:$B$1213,MATCH($H151&amp;"|1",$AA$14:$AA$1213,0)),"(tied)")))</f>
        <v/>
      </c>
      <c r="L151" s="25">
        <f>IF($H151="","",IF((--(COUNTIFS($A$14:$A$1213,$H151,$P$14:$P$1213,"&gt;=0")&gt;0)+--(COUNTIFS($A$14:$A$1213,$H151,$Q$14:$Q$1213,"&gt;=0")&gt;0)+--(COUNTIFS($A$14:$A$1213,$H151,$R$14:$R$1213,"&gt;=0")&gt;0)+--(COUNTIFS($A$14:$A$1213,$H151,$S$14:$S$1213,"&gt;=0")&gt;0)+--(COUNTIFS($A$14:$A$1213,$H151,$T$14:$T$1213,"&gt;=0")&gt;0))&lt;2,"—",IF(SUMIFS($AH$14:$AH$1213,$A$14:$A$1213,$H151)=0,"Yes","No")))</f>
        <v/>
      </c>
      <c r="M151" s="25">
        <f>IF($H151="","",IF(COUNTIFS($A$14:$A$1213,$H151,$F$14:$F$1213,"&gt;=0")&lt;2,"—",IF(COUNTIFS($A$14:$A$1213,$H151,$F$14:$F$1213,_xlfn.MAXIFS($F$14:$F$1213,$A$14:$A$1213,$H151))&gt;1,"No",IF(NOT(ISNUMBER($AN151)),"—",IF((2*(1-NORMSDIST(ABS($AN151))))&lt;0.05,"Yes","No")))))</f>
        <v/>
      </c>
      <c r="N151" s="21">
        <f>IF($H151="","",IF(NOT(ISNUMBER($AN151)),"—",IF((2*(1-NORMSDIST(ABS($AN151))))&lt;0.001,"&lt;0.001",TEXT((2*(1-NORMSDIST(ABS($AN151)))),"0.000"))))</f>
        <v/>
      </c>
      <c r="P151" s="26" t="n"/>
      <c r="Q151" s="26" t="n"/>
      <c r="R151" s="26" t="n"/>
      <c r="S151" s="26" t="n"/>
      <c r="T151" s="26" t="n"/>
      <c r="V151" s="27">
        <f>IF(ISNUMBER($C151),COUNTIFS($A$14:$A$1213,$A151,$C$14:$C$1213,"&gt;"&amp;$C151)+(COUNTIFS($A$14:$A$1213,$A151,$C$14:$C$1213,"="&amp;$C151)+1)/2,"")</f>
        <v/>
      </c>
      <c r="W151" s="27">
        <f>IF(ISNUMBER($F151),COUNTIFS($A$14:$A$1213,$A151,$F$14:$F$1213,"&gt;"&amp;$F151)+(COUNTIFS($A$14:$A$1213,$A151,$F$14:$F$1213,"="&amp;$F151)+1)/2,"")</f>
        <v/>
      </c>
      <c r="X151" s="27">
        <f>IF(OR(NOT(ISNUMBER($V151)),$AO151=1),"",$V151-(COUNTIFS($A$14:$A$1213,$A151,$C$14:$C$1213,"&gt;=0")+1)/2)</f>
        <v/>
      </c>
      <c r="Y151" s="27">
        <f>IF(OR(NOT(ISNUMBER($W151)),$AO151=1),"",$W151-(COUNTIFS($A$14:$A$1213,$A151,$F$14:$F$1213,"&gt;=0")+1)/2)</f>
        <v/>
      </c>
      <c r="Z151" s="27">
        <f>IF(ISNUMBER($V151),$A151&amp;"|"&amp;$V151,"")</f>
        <v/>
      </c>
      <c r="AA151" s="27">
        <f>IF(ISNUMBER($W151),$A151&amp;"|"&amp;$W151,"")</f>
        <v/>
      </c>
      <c r="AB151" s="27">
        <f>IF(ISNUMBER($F151),$A151&amp;"|"&amp;$F151,"")</f>
        <v/>
      </c>
      <c r="AC151" s="27">
        <f>IF(ISNUMBER($P151),COUNTIFS($A$14:$A$1213,$A151,$P$14:$P$1213,"&gt;"&amp;$P151)+(COUNTIFS($A$14:$A$1213,$A151,$P$14:$P$1213,"="&amp;$P151)+1)/2,"")</f>
        <v/>
      </c>
      <c r="AD151" s="27">
        <f>IF(ISNUMBER($Q151),COUNTIFS($A$14:$A$1213,$A151,$Q$14:$Q$1213,"&gt;"&amp;$Q151)+(COUNTIFS($A$14:$A$1213,$A151,$Q$14:$Q$1213,"="&amp;$Q151)+1)/2,"")</f>
        <v/>
      </c>
      <c r="AE151" s="27">
        <f>IF(ISNUMBER($R151),COUNTIFS($A$14:$A$1213,$A151,$R$14:$R$1213,"&gt;"&amp;$R151)+(COUNTIFS($A$14:$A$1213,$A151,$R$14:$R$1213,"="&amp;$R151)+1)/2,"")</f>
        <v/>
      </c>
      <c r="AF151" s="27">
        <f>IF(ISNUMBER($S151),COUNTIFS($A$14:$A$1213,$A151,$S$14:$S$1213,"&gt;"&amp;$S151)+(COUNTIFS($A$14:$A$1213,$A151,$S$14:$S$1213,"="&amp;$S151)+1)/2,"")</f>
        <v/>
      </c>
      <c r="AG151" s="27">
        <f>IF(ISNUMBER($T151),COUNTIFS($A$14:$A$1213,$A151,$T$14:$T$1213,"&gt;"&amp;$T151)+(COUNTIFS($A$14:$A$1213,$A151,$T$14:$T$1213,"="&amp;$T151)+1)/2,"")</f>
        <v/>
      </c>
      <c r="AH151" s="27">
        <f>IF(COUNT($AC151:$AG151)&lt;2,"",IF(MAX($AC151:$AG151)=MIN($AC151:$AG151),0,1))</f>
        <v/>
      </c>
      <c r="AI151" s="27">
        <f>IF($A151="","",IF(COUNTIF($A$14:$A151,$A151)=1,COUNTIF($AI$13:AI150,"&gt;0")+1,""))</f>
        <v/>
      </c>
      <c r="AJ151" s="27">
        <f>IF(OR($H151="",COUNTIFS($A$14:$A$1213,$H151,$F$14:$F$1213,"&gt;=0")&lt;2,COUNTIFS($A$14:$A$1213,$H151,$F$14:$F$1213,_xlfn.MAXIFS($F$14:$F$1213,$A$14:$A$1213,$H151))&gt;1),"",IFERROR(INDEX($D$14:$D$1213,MATCH($H151&amp;"|"&amp;_xlfn.MAXIFS($F$14:$F$1213,$A$14:$A$1213,$H151),$AB$14:$AB$1213,0)),""))</f>
        <v/>
      </c>
      <c r="AK151" s="27">
        <f>IF(OR($H151="",COUNTIFS($A$14:$A$1213,$H151,$F$14:$F$1213,"&gt;=0")&lt;2,COUNTIFS($A$14:$A$1213,$H151,$F$14:$F$1213,_xlfn.MAXIFS($F$14:$F$1213,$A$14:$A$1213,$H151))&gt;1),"",IFERROR(INDEX($E$14:$E$1213,MATCH($H151&amp;"|"&amp;_xlfn.MAXIFS($F$14:$F$1213,$A$14:$A$1213,$H151),$AB$14:$AB$1213,0)),""))</f>
        <v/>
      </c>
      <c r="AL151" s="27">
        <f>IF(OR($H151="",COUNTIFS($A$14:$A$1213,$H151,$F$14:$F$1213,"&gt;=0")&lt;2,COUNTIFS($A$14:$A$1213,$H151,$F$14:$F$1213,_xlfn.MAXIFS($F$14:$F$1213,$A$14:$A$1213,$H151))&gt;1),"",IFERROR(INDEX($D$14:$D$1213,MATCH($H151&amp;"|"&amp;_xlfn.MAXIFS($F$14:$F$1213,$A$14:$A$1213,$H151,$F$14:$F$1213,"&lt;"&amp;_xlfn.MAXIFS($F$14:$F$1213,$A$14:$A$1213,$H151)),$AB$14:$AB$1213,0)),""))</f>
        <v/>
      </c>
      <c r="AM151" s="27">
        <f>IF(OR($H151="",COUNTIFS($A$14:$A$1213,$H151,$F$14:$F$1213,"&gt;=0")&lt;2,COUNTIFS($A$14:$A$1213,$H151,$F$14:$F$1213,_xlfn.MAXIFS($F$14:$F$1213,$A$14:$A$1213,$H151))&gt;1),"",IFERROR(INDEX($E$14:$E$1213,MATCH($H151&amp;"|"&amp;_xlfn.MAXIFS($F$14:$F$1213,$A$14:$A$1213,$H151,$F$14:$F$1213,"&lt;"&amp;_xlfn.MAXIFS($F$14:$F$1213,$A$14:$A$1213,$H151)),$AB$14:$AB$1213,0)),""))</f>
        <v/>
      </c>
      <c r="AN151" s="27">
        <f>IF(OR(NOT(ISNUMBER($AJ151)),NOT(ISNUMBER($AL151)),$AK151=0,$AM151=0),"",IF(OR((($AJ151+$AL151)/($AK151+$AM151))&lt;=0,(($AJ151+$AL151)/($AK151+$AM151))&gt;=1),"",($AJ151/$AK151-$AL151/$AM151)/SQRT((($AJ151+$AL151)/($AK151+$AM151))*(1-(($AJ151+$AL151)/($AK151+$AM151)))*(1/$AK151+1/$AM151))))</f>
        <v/>
      </c>
      <c r="AO151" s="27">
        <f>IF($A151="","",IF(AND(COUNTIFS($A$14:$A$1213,$A151,$F$14:$F$1213,"&gt;=0")=2,IFERROR(INDEX($M$14:$M$313,MATCH($A151,$H$14:$H$313,0)),"Yes")&lt;&gt;"Yes"),1,0))</f>
        <v/>
      </c>
    </row>
    <row r="152" ht="24" customHeight="1">
      <c r="A152" s="19" t="n"/>
      <c r="B152" s="20" t="n"/>
      <c r="C152" s="21">
        <f>IFERROR(AVERAGE(P152:T152),"")</f>
        <v/>
      </c>
      <c r="D152" s="29" t="n"/>
      <c r="E152" s="29" t="n"/>
      <c r="F152" s="30">
        <f>IF(AND(ISNUMBER($D152),ISNUMBER($E152),$E152&gt;0,$D152&lt;=$E152),$D152/$E152,"")</f>
        <v/>
      </c>
      <c r="H152" s="19">
        <f>IFERROR(INDEX($A$14:$A$1213,MATCH(139,$AI$14:$AI$1213,0)),"")</f>
        <v/>
      </c>
      <c r="I152" s="24">
        <f>IF($H152="","",IF(COUNTIFS($A$14:$A$1213,$H152,$C$14:$C$1213,"&gt;=0")=0,"—",IFERROR(INDEX($B$14:$B$1213,MATCH($H152&amp;"|1",$Z$14:$Z$1213,0)),"(tied)")))</f>
        <v/>
      </c>
      <c r="J152" s="25">
        <f>IF($H152="","",IF(OR(COUNTIFS($A$14:$A$1213,$H152,$C$14:$C$1213,"&gt;=0")=0,COUNTIFS($A$14:$A$1213,$H152,$F$14:$F$1213,"&gt;=0")=0),"—",IF(OR(ISERROR(MATCH($H152&amp;"|1",$Z$14:$Z$1213,0)),ISERROR(MATCH($H152&amp;"|1",$AA$14:$AA$1213,0))),"Tie",IF(MATCH($H152&amp;"|1",$Z$14:$Z$1213,0)=MATCH($H152&amp;"|1",$AA$14:$AA$1213,0),"Hit","Miss"))))</f>
        <v/>
      </c>
      <c r="K152" s="24">
        <f>IF($H152="","",IF(COUNTIFS($A$14:$A$1213,$H152,$F$14:$F$1213,"&gt;=0")=0,"—",IFERROR(INDEX($B$14:$B$1213,MATCH($H152&amp;"|1",$AA$14:$AA$1213,0)),"(tied)")))</f>
        <v/>
      </c>
      <c r="L152" s="25">
        <f>IF($H152="","",IF((--(COUNTIFS($A$14:$A$1213,$H152,$P$14:$P$1213,"&gt;=0")&gt;0)+--(COUNTIFS($A$14:$A$1213,$H152,$Q$14:$Q$1213,"&gt;=0")&gt;0)+--(COUNTIFS($A$14:$A$1213,$H152,$R$14:$R$1213,"&gt;=0")&gt;0)+--(COUNTIFS($A$14:$A$1213,$H152,$S$14:$S$1213,"&gt;=0")&gt;0)+--(COUNTIFS($A$14:$A$1213,$H152,$T$14:$T$1213,"&gt;=0")&gt;0))&lt;2,"—",IF(SUMIFS($AH$14:$AH$1213,$A$14:$A$1213,$H152)=0,"Yes","No")))</f>
        <v/>
      </c>
      <c r="M152" s="25">
        <f>IF($H152="","",IF(COUNTIFS($A$14:$A$1213,$H152,$F$14:$F$1213,"&gt;=0")&lt;2,"—",IF(COUNTIFS($A$14:$A$1213,$H152,$F$14:$F$1213,_xlfn.MAXIFS($F$14:$F$1213,$A$14:$A$1213,$H152))&gt;1,"No",IF(NOT(ISNUMBER($AN152)),"—",IF((2*(1-NORMSDIST(ABS($AN152))))&lt;0.05,"Yes","No")))))</f>
        <v/>
      </c>
      <c r="N152" s="21">
        <f>IF($H152="","",IF(NOT(ISNUMBER($AN152)),"—",IF((2*(1-NORMSDIST(ABS($AN152))))&lt;0.001,"&lt;0.001",TEXT((2*(1-NORMSDIST(ABS($AN152)))),"0.000"))))</f>
        <v/>
      </c>
      <c r="P152" s="26" t="n"/>
      <c r="Q152" s="26" t="n"/>
      <c r="R152" s="26" t="n"/>
      <c r="S152" s="26" t="n"/>
      <c r="T152" s="26" t="n"/>
      <c r="V152" s="27">
        <f>IF(ISNUMBER($C152),COUNTIFS($A$14:$A$1213,$A152,$C$14:$C$1213,"&gt;"&amp;$C152)+(COUNTIFS($A$14:$A$1213,$A152,$C$14:$C$1213,"="&amp;$C152)+1)/2,"")</f>
        <v/>
      </c>
      <c r="W152" s="27">
        <f>IF(ISNUMBER($F152),COUNTIFS($A$14:$A$1213,$A152,$F$14:$F$1213,"&gt;"&amp;$F152)+(COUNTIFS($A$14:$A$1213,$A152,$F$14:$F$1213,"="&amp;$F152)+1)/2,"")</f>
        <v/>
      </c>
      <c r="X152" s="27">
        <f>IF(OR(NOT(ISNUMBER($V152)),$AO152=1),"",$V152-(COUNTIFS($A$14:$A$1213,$A152,$C$14:$C$1213,"&gt;=0")+1)/2)</f>
        <v/>
      </c>
      <c r="Y152" s="27">
        <f>IF(OR(NOT(ISNUMBER($W152)),$AO152=1),"",$W152-(COUNTIFS($A$14:$A$1213,$A152,$F$14:$F$1213,"&gt;=0")+1)/2)</f>
        <v/>
      </c>
      <c r="Z152" s="27">
        <f>IF(ISNUMBER($V152),$A152&amp;"|"&amp;$V152,"")</f>
        <v/>
      </c>
      <c r="AA152" s="27">
        <f>IF(ISNUMBER($W152),$A152&amp;"|"&amp;$W152,"")</f>
        <v/>
      </c>
      <c r="AB152" s="27">
        <f>IF(ISNUMBER($F152),$A152&amp;"|"&amp;$F152,"")</f>
        <v/>
      </c>
      <c r="AC152" s="27">
        <f>IF(ISNUMBER($P152),COUNTIFS($A$14:$A$1213,$A152,$P$14:$P$1213,"&gt;"&amp;$P152)+(COUNTIFS($A$14:$A$1213,$A152,$P$14:$P$1213,"="&amp;$P152)+1)/2,"")</f>
        <v/>
      </c>
      <c r="AD152" s="27">
        <f>IF(ISNUMBER($Q152),COUNTIFS($A$14:$A$1213,$A152,$Q$14:$Q$1213,"&gt;"&amp;$Q152)+(COUNTIFS($A$14:$A$1213,$A152,$Q$14:$Q$1213,"="&amp;$Q152)+1)/2,"")</f>
        <v/>
      </c>
      <c r="AE152" s="27">
        <f>IF(ISNUMBER($R152),COUNTIFS($A$14:$A$1213,$A152,$R$14:$R$1213,"&gt;"&amp;$R152)+(COUNTIFS($A$14:$A$1213,$A152,$R$14:$R$1213,"="&amp;$R152)+1)/2,"")</f>
        <v/>
      </c>
      <c r="AF152" s="27">
        <f>IF(ISNUMBER($S152),COUNTIFS($A$14:$A$1213,$A152,$S$14:$S$1213,"&gt;"&amp;$S152)+(COUNTIFS($A$14:$A$1213,$A152,$S$14:$S$1213,"="&amp;$S152)+1)/2,"")</f>
        <v/>
      </c>
      <c r="AG152" s="27">
        <f>IF(ISNUMBER($T152),COUNTIFS($A$14:$A$1213,$A152,$T$14:$T$1213,"&gt;"&amp;$T152)+(COUNTIFS($A$14:$A$1213,$A152,$T$14:$T$1213,"="&amp;$T152)+1)/2,"")</f>
        <v/>
      </c>
      <c r="AH152" s="27">
        <f>IF(COUNT($AC152:$AG152)&lt;2,"",IF(MAX($AC152:$AG152)=MIN($AC152:$AG152),0,1))</f>
        <v/>
      </c>
      <c r="AI152" s="27">
        <f>IF($A152="","",IF(COUNTIF($A$14:$A152,$A152)=1,COUNTIF($AI$13:AI151,"&gt;0")+1,""))</f>
        <v/>
      </c>
      <c r="AJ152" s="27">
        <f>IF(OR($H152="",COUNTIFS($A$14:$A$1213,$H152,$F$14:$F$1213,"&gt;=0")&lt;2,COUNTIFS($A$14:$A$1213,$H152,$F$14:$F$1213,_xlfn.MAXIFS($F$14:$F$1213,$A$14:$A$1213,$H152))&gt;1),"",IFERROR(INDEX($D$14:$D$1213,MATCH($H152&amp;"|"&amp;_xlfn.MAXIFS($F$14:$F$1213,$A$14:$A$1213,$H152),$AB$14:$AB$1213,0)),""))</f>
        <v/>
      </c>
      <c r="AK152" s="27">
        <f>IF(OR($H152="",COUNTIFS($A$14:$A$1213,$H152,$F$14:$F$1213,"&gt;=0")&lt;2,COUNTIFS($A$14:$A$1213,$H152,$F$14:$F$1213,_xlfn.MAXIFS($F$14:$F$1213,$A$14:$A$1213,$H152))&gt;1),"",IFERROR(INDEX($E$14:$E$1213,MATCH($H152&amp;"|"&amp;_xlfn.MAXIFS($F$14:$F$1213,$A$14:$A$1213,$H152),$AB$14:$AB$1213,0)),""))</f>
        <v/>
      </c>
      <c r="AL152" s="27">
        <f>IF(OR($H152="",COUNTIFS($A$14:$A$1213,$H152,$F$14:$F$1213,"&gt;=0")&lt;2,COUNTIFS($A$14:$A$1213,$H152,$F$14:$F$1213,_xlfn.MAXIFS($F$14:$F$1213,$A$14:$A$1213,$H152))&gt;1),"",IFERROR(INDEX($D$14:$D$1213,MATCH($H152&amp;"|"&amp;_xlfn.MAXIFS($F$14:$F$1213,$A$14:$A$1213,$H152,$F$14:$F$1213,"&lt;"&amp;_xlfn.MAXIFS($F$14:$F$1213,$A$14:$A$1213,$H152)),$AB$14:$AB$1213,0)),""))</f>
        <v/>
      </c>
      <c r="AM152" s="27">
        <f>IF(OR($H152="",COUNTIFS($A$14:$A$1213,$H152,$F$14:$F$1213,"&gt;=0")&lt;2,COUNTIFS($A$14:$A$1213,$H152,$F$14:$F$1213,_xlfn.MAXIFS($F$14:$F$1213,$A$14:$A$1213,$H152))&gt;1),"",IFERROR(INDEX($E$14:$E$1213,MATCH($H152&amp;"|"&amp;_xlfn.MAXIFS($F$14:$F$1213,$A$14:$A$1213,$H152,$F$14:$F$1213,"&lt;"&amp;_xlfn.MAXIFS($F$14:$F$1213,$A$14:$A$1213,$H152)),$AB$14:$AB$1213,0)),""))</f>
        <v/>
      </c>
      <c r="AN152" s="27">
        <f>IF(OR(NOT(ISNUMBER($AJ152)),NOT(ISNUMBER($AL152)),$AK152=0,$AM152=0),"",IF(OR((($AJ152+$AL152)/($AK152+$AM152))&lt;=0,(($AJ152+$AL152)/($AK152+$AM152))&gt;=1),"",($AJ152/$AK152-$AL152/$AM152)/SQRT((($AJ152+$AL152)/($AK152+$AM152))*(1-(($AJ152+$AL152)/($AK152+$AM152)))*(1/$AK152+1/$AM152))))</f>
        <v/>
      </c>
      <c r="AO152" s="27">
        <f>IF($A152="","",IF(AND(COUNTIFS($A$14:$A$1213,$A152,$F$14:$F$1213,"&gt;=0")=2,IFERROR(INDEX($M$14:$M$313,MATCH($A152,$H$14:$H$313,0)),"Yes")&lt;&gt;"Yes"),1,0))</f>
        <v/>
      </c>
    </row>
    <row r="153" ht="24" customHeight="1">
      <c r="A153" s="19" t="n"/>
      <c r="B153" s="20" t="n"/>
      <c r="C153" s="21">
        <f>IFERROR(AVERAGE(P153:T153),"")</f>
        <v/>
      </c>
      <c r="D153" s="29" t="n"/>
      <c r="E153" s="29" t="n"/>
      <c r="F153" s="30">
        <f>IF(AND(ISNUMBER($D153),ISNUMBER($E153),$E153&gt;0,$D153&lt;=$E153),$D153/$E153,"")</f>
        <v/>
      </c>
      <c r="H153" s="19">
        <f>IFERROR(INDEX($A$14:$A$1213,MATCH(140,$AI$14:$AI$1213,0)),"")</f>
        <v/>
      </c>
      <c r="I153" s="24">
        <f>IF($H153="","",IF(COUNTIFS($A$14:$A$1213,$H153,$C$14:$C$1213,"&gt;=0")=0,"—",IFERROR(INDEX($B$14:$B$1213,MATCH($H153&amp;"|1",$Z$14:$Z$1213,0)),"(tied)")))</f>
        <v/>
      </c>
      <c r="J153" s="25">
        <f>IF($H153="","",IF(OR(COUNTIFS($A$14:$A$1213,$H153,$C$14:$C$1213,"&gt;=0")=0,COUNTIFS($A$14:$A$1213,$H153,$F$14:$F$1213,"&gt;=0")=0),"—",IF(OR(ISERROR(MATCH($H153&amp;"|1",$Z$14:$Z$1213,0)),ISERROR(MATCH($H153&amp;"|1",$AA$14:$AA$1213,0))),"Tie",IF(MATCH($H153&amp;"|1",$Z$14:$Z$1213,0)=MATCH($H153&amp;"|1",$AA$14:$AA$1213,0),"Hit","Miss"))))</f>
        <v/>
      </c>
      <c r="K153" s="24">
        <f>IF($H153="","",IF(COUNTIFS($A$14:$A$1213,$H153,$F$14:$F$1213,"&gt;=0")=0,"—",IFERROR(INDEX($B$14:$B$1213,MATCH($H153&amp;"|1",$AA$14:$AA$1213,0)),"(tied)")))</f>
        <v/>
      </c>
      <c r="L153" s="25">
        <f>IF($H153="","",IF((--(COUNTIFS($A$14:$A$1213,$H153,$P$14:$P$1213,"&gt;=0")&gt;0)+--(COUNTIFS($A$14:$A$1213,$H153,$Q$14:$Q$1213,"&gt;=0")&gt;0)+--(COUNTIFS($A$14:$A$1213,$H153,$R$14:$R$1213,"&gt;=0")&gt;0)+--(COUNTIFS($A$14:$A$1213,$H153,$S$14:$S$1213,"&gt;=0")&gt;0)+--(COUNTIFS($A$14:$A$1213,$H153,$T$14:$T$1213,"&gt;=0")&gt;0))&lt;2,"—",IF(SUMIFS($AH$14:$AH$1213,$A$14:$A$1213,$H153)=0,"Yes","No")))</f>
        <v/>
      </c>
      <c r="M153" s="25">
        <f>IF($H153="","",IF(COUNTIFS($A$14:$A$1213,$H153,$F$14:$F$1213,"&gt;=0")&lt;2,"—",IF(COUNTIFS($A$14:$A$1213,$H153,$F$14:$F$1213,_xlfn.MAXIFS($F$14:$F$1213,$A$14:$A$1213,$H153))&gt;1,"No",IF(NOT(ISNUMBER($AN153)),"—",IF((2*(1-NORMSDIST(ABS($AN153))))&lt;0.05,"Yes","No")))))</f>
        <v/>
      </c>
      <c r="N153" s="21">
        <f>IF($H153="","",IF(NOT(ISNUMBER($AN153)),"—",IF((2*(1-NORMSDIST(ABS($AN153))))&lt;0.001,"&lt;0.001",TEXT((2*(1-NORMSDIST(ABS($AN153)))),"0.000"))))</f>
        <v/>
      </c>
      <c r="P153" s="26" t="n"/>
      <c r="Q153" s="26" t="n"/>
      <c r="R153" s="26" t="n"/>
      <c r="S153" s="26" t="n"/>
      <c r="T153" s="26" t="n"/>
      <c r="V153" s="27">
        <f>IF(ISNUMBER($C153),COUNTIFS($A$14:$A$1213,$A153,$C$14:$C$1213,"&gt;"&amp;$C153)+(COUNTIFS($A$14:$A$1213,$A153,$C$14:$C$1213,"="&amp;$C153)+1)/2,"")</f>
        <v/>
      </c>
      <c r="W153" s="27">
        <f>IF(ISNUMBER($F153),COUNTIFS($A$14:$A$1213,$A153,$F$14:$F$1213,"&gt;"&amp;$F153)+(COUNTIFS($A$14:$A$1213,$A153,$F$14:$F$1213,"="&amp;$F153)+1)/2,"")</f>
        <v/>
      </c>
      <c r="X153" s="27">
        <f>IF(OR(NOT(ISNUMBER($V153)),$AO153=1),"",$V153-(COUNTIFS($A$14:$A$1213,$A153,$C$14:$C$1213,"&gt;=0")+1)/2)</f>
        <v/>
      </c>
      <c r="Y153" s="27">
        <f>IF(OR(NOT(ISNUMBER($W153)),$AO153=1),"",$W153-(COUNTIFS($A$14:$A$1213,$A153,$F$14:$F$1213,"&gt;=0")+1)/2)</f>
        <v/>
      </c>
      <c r="Z153" s="27">
        <f>IF(ISNUMBER($V153),$A153&amp;"|"&amp;$V153,"")</f>
        <v/>
      </c>
      <c r="AA153" s="27">
        <f>IF(ISNUMBER($W153),$A153&amp;"|"&amp;$W153,"")</f>
        <v/>
      </c>
      <c r="AB153" s="27">
        <f>IF(ISNUMBER($F153),$A153&amp;"|"&amp;$F153,"")</f>
        <v/>
      </c>
      <c r="AC153" s="27">
        <f>IF(ISNUMBER($P153),COUNTIFS($A$14:$A$1213,$A153,$P$14:$P$1213,"&gt;"&amp;$P153)+(COUNTIFS($A$14:$A$1213,$A153,$P$14:$P$1213,"="&amp;$P153)+1)/2,"")</f>
        <v/>
      </c>
      <c r="AD153" s="27">
        <f>IF(ISNUMBER($Q153),COUNTIFS($A$14:$A$1213,$A153,$Q$14:$Q$1213,"&gt;"&amp;$Q153)+(COUNTIFS($A$14:$A$1213,$A153,$Q$14:$Q$1213,"="&amp;$Q153)+1)/2,"")</f>
        <v/>
      </c>
      <c r="AE153" s="27">
        <f>IF(ISNUMBER($R153),COUNTIFS($A$14:$A$1213,$A153,$R$14:$R$1213,"&gt;"&amp;$R153)+(COUNTIFS($A$14:$A$1213,$A153,$R$14:$R$1213,"="&amp;$R153)+1)/2,"")</f>
        <v/>
      </c>
      <c r="AF153" s="27">
        <f>IF(ISNUMBER($S153),COUNTIFS($A$14:$A$1213,$A153,$S$14:$S$1213,"&gt;"&amp;$S153)+(COUNTIFS($A$14:$A$1213,$A153,$S$14:$S$1213,"="&amp;$S153)+1)/2,"")</f>
        <v/>
      </c>
      <c r="AG153" s="27">
        <f>IF(ISNUMBER($T153),COUNTIFS($A$14:$A$1213,$A153,$T$14:$T$1213,"&gt;"&amp;$T153)+(COUNTIFS($A$14:$A$1213,$A153,$T$14:$T$1213,"="&amp;$T153)+1)/2,"")</f>
        <v/>
      </c>
      <c r="AH153" s="27">
        <f>IF(COUNT($AC153:$AG153)&lt;2,"",IF(MAX($AC153:$AG153)=MIN($AC153:$AG153),0,1))</f>
        <v/>
      </c>
      <c r="AI153" s="27">
        <f>IF($A153="","",IF(COUNTIF($A$14:$A153,$A153)=1,COUNTIF($AI$13:AI152,"&gt;0")+1,""))</f>
        <v/>
      </c>
      <c r="AJ153" s="27">
        <f>IF(OR($H153="",COUNTIFS($A$14:$A$1213,$H153,$F$14:$F$1213,"&gt;=0")&lt;2,COUNTIFS($A$14:$A$1213,$H153,$F$14:$F$1213,_xlfn.MAXIFS($F$14:$F$1213,$A$14:$A$1213,$H153))&gt;1),"",IFERROR(INDEX($D$14:$D$1213,MATCH($H153&amp;"|"&amp;_xlfn.MAXIFS($F$14:$F$1213,$A$14:$A$1213,$H153),$AB$14:$AB$1213,0)),""))</f>
        <v/>
      </c>
      <c r="AK153" s="27">
        <f>IF(OR($H153="",COUNTIFS($A$14:$A$1213,$H153,$F$14:$F$1213,"&gt;=0")&lt;2,COUNTIFS($A$14:$A$1213,$H153,$F$14:$F$1213,_xlfn.MAXIFS($F$14:$F$1213,$A$14:$A$1213,$H153))&gt;1),"",IFERROR(INDEX($E$14:$E$1213,MATCH($H153&amp;"|"&amp;_xlfn.MAXIFS($F$14:$F$1213,$A$14:$A$1213,$H153),$AB$14:$AB$1213,0)),""))</f>
        <v/>
      </c>
      <c r="AL153" s="27">
        <f>IF(OR($H153="",COUNTIFS($A$14:$A$1213,$H153,$F$14:$F$1213,"&gt;=0")&lt;2,COUNTIFS($A$14:$A$1213,$H153,$F$14:$F$1213,_xlfn.MAXIFS($F$14:$F$1213,$A$14:$A$1213,$H153))&gt;1),"",IFERROR(INDEX($D$14:$D$1213,MATCH($H153&amp;"|"&amp;_xlfn.MAXIFS($F$14:$F$1213,$A$14:$A$1213,$H153,$F$14:$F$1213,"&lt;"&amp;_xlfn.MAXIFS($F$14:$F$1213,$A$14:$A$1213,$H153)),$AB$14:$AB$1213,0)),""))</f>
        <v/>
      </c>
      <c r="AM153" s="27">
        <f>IF(OR($H153="",COUNTIFS($A$14:$A$1213,$H153,$F$14:$F$1213,"&gt;=0")&lt;2,COUNTIFS($A$14:$A$1213,$H153,$F$14:$F$1213,_xlfn.MAXIFS($F$14:$F$1213,$A$14:$A$1213,$H153))&gt;1),"",IFERROR(INDEX($E$14:$E$1213,MATCH($H153&amp;"|"&amp;_xlfn.MAXIFS($F$14:$F$1213,$A$14:$A$1213,$H153,$F$14:$F$1213,"&lt;"&amp;_xlfn.MAXIFS($F$14:$F$1213,$A$14:$A$1213,$H153)),$AB$14:$AB$1213,0)),""))</f>
        <v/>
      </c>
      <c r="AN153" s="27">
        <f>IF(OR(NOT(ISNUMBER($AJ153)),NOT(ISNUMBER($AL153)),$AK153=0,$AM153=0),"",IF(OR((($AJ153+$AL153)/($AK153+$AM153))&lt;=0,(($AJ153+$AL153)/($AK153+$AM153))&gt;=1),"",($AJ153/$AK153-$AL153/$AM153)/SQRT((($AJ153+$AL153)/($AK153+$AM153))*(1-(($AJ153+$AL153)/($AK153+$AM153)))*(1/$AK153+1/$AM153))))</f>
        <v/>
      </c>
      <c r="AO153" s="27">
        <f>IF($A153="","",IF(AND(COUNTIFS($A$14:$A$1213,$A153,$F$14:$F$1213,"&gt;=0")=2,IFERROR(INDEX($M$14:$M$313,MATCH($A153,$H$14:$H$313,0)),"Yes")&lt;&gt;"Yes"),1,0))</f>
        <v/>
      </c>
    </row>
    <row r="154" ht="24" customHeight="1">
      <c r="A154" s="19" t="n"/>
      <c r="B154" s="20" t="n"/>
      <c r="C154" s="21">
        <f>IFERROR(AVERAGE(P154:T154),"")</f>
        <v/>
      </c>
      <c r="D154" s="29" t="n"/>
      <c r="E154" s="29" t="n"/>
      <c r="F154" s="30">
        <f>IF(AND(ISNUMBER($D154),ISNUMBER($E154),$E154&gt;0,$D154&lt;=$E154),$D154/$E154,"")</f>
        <v/>
      </c>
      <c r="H154" s="19">
        <f>IFERROR(INDEX($A$14:$A$1213,MATCH(141,$AI$14:$AI$1213,0)),"")</f>
        <v/>
      </c>
      <c r="I154" s="24">
        <f>IF($H154="","",IF(COUNTIFS($A$14:$A$1213,$H154,$C$14:$C$1213,"&gt;=0")=0,"—",IFERROR(INDEX($B$14:$B$1213,MATCH($H154&amp;"|1",$Z$14:$Z$1213,0)),"(tied)")))</f>
        <v/>
      </c>
      <c r="J154" s="25">
        <f>IF($H154="","",IF(OR(COUNTIFS($A$14:$A$1213,$H154,$C$14:$C$1213,"&gt;=0")=0,COUNTIFS($A$14:$A$1213,$H154,$F$14:$F$1213,"&gt;=0")=0),"—",IF(OR(ISERROR(MATCH($H154&amp;"|1",$Z$14:$Z$1213,0)),ISERROR(MATCH($H154&amp;"|1",$AA$14:$AA$1213,0))),"Tie",IF(MATCH($H154&amp;"|1",$Z$14:$Z$1213,0)=MATCH($H154&amp;"|1",$AA$14:$AA$1213,0),"Hit","Miss"))))</f>
        <v/>
      </c>
      <c r="K154" s="24">
        <f>IF($H154="","",IF(COUNTIFS($A$14:$A$1213,$H154,$F$14:$F$1213,"&gt;=0")=0,"—",IFERROR(INDEX($B$14:$B$1213,MATCH($H154&amp;"|1",$AA$14:$AA$1213,0)),"(tied)")))</f>
        <v/>
      </c>
      <c r="L154" s="25">
        <f>IF($H154="","",IF((--(COUNTIFS($A$14:$A$1213,$H154,$P$14:$P$1213,"&gt;=0")&gt;0)+--(COUNTIFS($A$14:$A$1213,$H154,$Q$14:$Q$1213,"&gt;=0")&gt;0)+--(COUNTIFS($A$14:$A$1213,$H154,$R$14:$R$1213,"&gt;=0")&gt;0)+--(COUNTIFS($A$14:$A$1213,$H154,$S$14:$S$1213,"&gt;=0")&gt;0)+--(COUNTIFS($A$14:$A$1213,$H154,$T$14:$T$1213,"&gt;=0")&gt;0))&lt;2,"—",IF(SUMIFS($AH$14:$AH$1213,$A$14:$A$1213,$H154)=0,"Yes","No")))</f>
        <v/>
      </c>
      <c r="M154" s="25">
        <f>IF($H154="","",IF(COUNTIFS($A$14:$A$1213,$H154,$F$14:$F$1213,"&gt;=0")&lt;2,"—",IF(COUNTIFS($A$14:$A$1213,$H154,$F$14:$F$1213,_xlfn.MAXIFS($F$14:$F$1213,$A$14:$A$1213,$H154))&gt;1,"No",IF(NOT(ISNUMBER($AN154)),"—",IF((2*(1-NORMSDIST(ABS($AN154))))&lt;0.05,"Yes","No")))))</f>
        <v/>
      </c>
      <c r="N154" s="21">
        <f>IF($H154="","",IF(NOT(ISNUMBER($AN154)),"—",IF((2*(1-NORMSDIST(ABS($AN154))))&lt;0.001,"&lt;0.001",TEXT((2*(1-NORMSDIST(ABS($AN154)))),"0.000"))))</f>
        <v/>
      </c>
      <c r="P154" s="26" t="n"/>
      <c r="Q154" s="26" t="n"/>
      <c r="R154" s="26" t="n"/>
      <c r="S154" s="26" t="n"/>
      <c r="T154" s="26" t="n"/>
      <c r="V154" s="27">
        <f>IF(ISNUMBER($C154),COUNTIFS($A$14:$A$1213,$A154,$C$14:$C$1213,"&gt;"&amp;$C154)+(COUNTIFS($A$14:$A$1213,$A154,$C$14:$C$1213,"="&amp;$C154)+1)/2,"")</f>
        <v/>
      </c>
      <c r="W154" s="27">
        <f>IF(ISNUMBER($F154),COUNTIFS($A$14:$A$1213,$A154,$F$14:$F$1213,"&gt;"&amp;$F154)+(COUNTIFS($A$14:$A$1213,$A154,$F$14:$F$1213,"="&amp;$F154)+1)/2,"")</f>
        <v/>
      </c>
      <c r="X154" s="27">
        <f>IF(OR(NOT(ISNUMBER($V154)),$AO154=1),"",$V154-(COUNTIFS($A$14:$A$1213,$A154,$C$14:$C$1213,"&gt;=0")+1)/2)</f>
        <v/>
      </c>
      <c r="Y154" s="27">
        <f>IF(OR(NOT(ISNUMBER($W154)),$AO154=1),"",$W154-(COUNTIFS($A$14:$A$1213,$A154,$F$14:$F$1213,"&gt;=0")+1)/2)</f>
        <v/>
      </c>
      <c r="Z154" s="27">
        <f>IF(ISNUMBER($V154),$A154&amp;"|"&amp;$V154,"")</f>
        <v/>
      </c>
      <c r="AA154" s="27">
        <f>IF(ISNUMBER($W154),$A154&amp;"|"&amp;$W154,"")</f>
        <v/>
      </c>
      <c r="AB154" s="27">
        <f>IF(ISNUMBER($F154),$A154&amp;"|"&amp;$F154,"")</f>
        <v/>
      </c>
      <c r="AC154" s="27">
        <f>IF(ISNUMBER($P154),COUNTIFS($A$14:$A$1213,$A154,$P$14:$P$1213,"&gt;"&amp;$P154)+(COUNTIFS($A$14:$A$1213,$A154,$P$14:$P$1213,"="&amp;$P154)+1)/2,"")</f>
        <v/>
      </c>
      <c r="AD154" s="27">
        <f>IF(ISNUMBER($Q154),COUNTIFS($A$14:$A$1213,$A154,$Q$14:$Q$1213,"&gt;"&amp;$Q154)+(COUNTIFS($A$14:$A$1213,$A154,$Q$14:$Q$1213,"="&amp;$Q154)+1)/2,"")</f>
        <v/>
      </c>
      <c r="AE154" s="27">
        <f>IF(ISNUMBER($R154),COUNTIFS($A$14:$A$1213,$A154,$R$14:$R$1213,"&gt;"&amp;$R154)+(COUNTIFS($A$14:$A$1213,$A154,$R$14:$R$1213,"="&amp;$R154)+1)/2,"")</f>
        <v/>
      </c>
      <c r="AF154" s="27">
        <f>IF(ISNUMBER($S154),COUNTIFS($A$14:$A$1213,$A154,$S$14:$S$1213,"&gt;"&amp;$S154)+(COUNTIFS($A$14:$A$1213,$A154,$S$14:$S$1213,"="&amp;$S154)+1)/2,"")</f>
        <v/>
      </c>
      <c r="AG154" s="27">
        <f>IF(ISNUMBER($T154),COUNTIFS($A$14:$A$1213,$A154,$T$14:$T$1213,"&gt;"&amp;$T154)+(COUNTIFS($A$14:$A$1213,$A154,$T$14:$T$1213,"="&amp;$T154)+1)/2,"")</f>
        <v/>
      </c>
      <c r="AH154" s="27">
        <f>IF(COUNT($AC154:$AG154)&lt;2,"",IF(MAX($AC154:$AG154)=MIN($AC154:$AG154),0,1))</f>
        <v/>
      </c>
      <c r="AI154" s="27">
        <f>IF($A154="","",IF(COUNTIF($A$14:$A154,$A154)=1,COUNTIF($AI$13:AI153,"&gt;0")+1,""))</f>
        <v/>
      </c>
      <c r="AJ154" s="27">
        <f>IF(OR($H154="",COUNTIFS($A$14:$A$1213,$H154,$F$14:$F$1213,"&gt;=0")&lt;2,COUNTIFS($A$14:$A$1213,$H154,$F$14:$F$1213,_xlfn.MAXIFS($F$14:$F$1213,$A$14:$A$1213,$H154))&gt;1),"",IFERROR(INDEX($D$14:$D$1213,MATCH($H154&amp;"|"&amp;_xlfn.MAXIFS($F$14:$F$1213,$A$14:$A$1213,$H154),$AB$14:$AB$1213,0)),""))</f>
        <v/>
      </c>
      <c r="AK154" s="27">
        <f>IF(OR($H154="",COUNTIFS($A$14:$A$1213,$H154,$F$14:$F$1213,"&gt;=0")&lt;2,COUNTIFS($A$14:$A$1213,$H154,$F$14:$F$1213,_xlfn.MAXIFS($F$14:$F$1213,$A$14:$A$1213,$H154))&gt;1),"",IFERROR(INDEX($E$14:$E$1213,MATCH($H154&amp;"|"&amp;_xlfn.MAXIFS($F$14:$F$1213,$A$14:$A$1213,$H154),$AB$14:$AB$1213,0)),""))</f>
        <v/>
      </c>
      <c r="AL154" s="27">
        <f>IF(OR($H154="",COUNTIFS($A$14:$A$1213,$H154,$F$14:$F$1213,"&gt;=0")&lt;2,COUNTIFS($A$14:$A$1213,$H154,$F$14:$F$1213,_xlfn.MAXIFS($F$14:$F$1213,$A$14:$A$1213,$H154))&gt;1),"",IFERROR(INDEX($D$14:$D$1213,MATCH($H154&amp;"|"&amp;_xlfn.MAXIFS($F$14:$F$1213,$A$14:$A$1213,$H154,$F$14:$F$1213,"&lt;"&amp;_xlfn.MAXIFS($F$14:$F$1213,$A$14:$A$1213,$H154)),$AB$14:$AB$1213,0)),""))</f>
        <v/>
      </c>
      <c r="AM154" s="27">
        <f>IF(OR($H154="",COUNTIFS($A$14:$A$1213,$H154,$F$14:$F$1213,"&gt;=0")&lt;2,COUNTIFS($A$14:$A$1213,$H154,$F$14:$F$1213,_xlfn.MAXIFS($F$14:$F$1213,$A$14:$A$1213,$H154))&gt;1),"",IFERROR(INDEX($E$14:$E$1213,MATCH($H154&amp;"|"&amp;_xlfn.MAXIFS($F$14:$F$1213,$A$14:$A$1213,$H154,$F$14:$F$1213,"&lt;"&amp;_xlfn.MAXIFS($F$14:$F$1213,$A$14:$A$1213,$H154)),$AB$14:$AB$1213,0)),""))</f>
        <v/>
      </c>
      <c r="AN154" s="27">
        <f>IF(OR(NOT(ISNUMBER($AJ154)),NOT(ISNUMBER($AL154)),$AK154=0,$AM154=0),"",IF(OR((($AJ154+$AL154)/($AK154+$AM154))&lt;=0,(($AJ154+$AL154)/($AK154+$AM154))&gt;=1),"",($AJ154/$AK154-$AL154/$AM154)/SQRT((($AJ154+$AL154)/($AK154+$AM154))*(1-(($AJ154+$AL154)/($AK154+$AM154)))*(1/$AK154+1/$AM154))))</f>
        <v/>
      </c>
      <c r="AO154" s="27">
        <f>IF($A154="","",IF(AND(COUNTIFS($A$14:$A$1213,$A154,$F$14:$F$1213,"&gt;=0")=2,IFERROR(INDEX($M$14:$M$313,MATCH($A154,$H$14:$H$313,0)),"Yes")&lt;&gt;"Yes"),1,0))</f>
        <v/>
      </c>
    </row>
    <row r="155" ht="24" customHeight="1">
      <c r="A155" s="19" t="n"/>
      <c r="B155" s="20" t="n"/>
      <c r="C155" s="21">
        <f>IFERROR(AVERAGE(P155:T155),"")</f>
        <v/>
      </c>
      <c r="D155" s="29" t="n"/>
      <c r="E155" s="29" t="n"/>
      <c r="F155" s="30">
        <f>IF(AND(ISNUMBER($D155),ISNUMBER($E155),$E155&gt;0,$D155&lt;=$E155),$D155/$E155,"")</f>
        <v/>
      </c>
      <c r="H155" s="19">
        <f>IFERROR(INDEX($A$14:$A$1213,MATCH(142,$AI$14:$AI$1213,0)),"")</f>
        <v/>
      </c>
      <c r="I155" s="24">
        <f>IF($H155="","",IF(COUNTIFS($A$14:$A$1213,$H155,$C$14:$C$1213,"&gt;=0")=0,"—",IFERROR(INDEX($B$14:$B$1213,MATCH($H155&amp;"|1",$Z$14:$Z$1213,0)),"(tied)")))</f>
        <v/>
      </c>
      <c r="J155" s="25">
        <f>IF($H155="","",IF(OR(COUNTIFS($A$14:$A$1213,$H155,$C$14:$C$1213,"&gt;=0")=0,COUNTIFS($A$14:$A$1213,$H155,$F$14:$F$1213,"&gt;=0")=0),"—",IF(OR(ISERROR(MATCH($H155&amp;"|1",$Z$14:$Z$1213,0)),ISERROR(MATCH($H155&amp;"|1",$AA$14:$AA$1213,0))),"Tie",IF(MATCH($H155&amp;"|1",$Z$14:$Z$1213,0)=MATCH($H155&amp;"|1",$AA$14:$AA$1213,0),"Hit","Miss"))))</f>
        <v/>
      </c>
      <c r="K155" s="24">
        <f>IF($H155="","",IF(COUNTIFS($A$14:$A$1213,$H155,$F$14:$F$1213,"&gt;=0")=0,"—",IFERROR(INDEX($B$14:$B$1213,MATCH($H155&amp;"|1",$AA$14:$AA$1213,0)),"(tied)")))</f>
        <v/>
      </c>
      <c r="L155" s="25">
        <f>IF($H155="","",IF((--(COUNTIFS($A$14:$A$1213,$H155,$P$14:$P$1213,"&gt;=0")&gt;0)+--(COUNTIFS($A$14:$A$1213,$H155,$Q$14:$Q$1213,"&gt;=0")&gt;0)+--(COUNTIFS($A$14:$A$1213,$H155,$R$14:$R$1213,"&gt;=0")&gt;0)+--(COUNTIFS($A$14:$A$1213,$H155,$S$14:$S$1213,"&gt;=0")&gt;0)+--(COUNTIFS($A$14:$A$1213,$H155,$T$14:$T$1213,"&gt;=0")&gt;0))&lt;2,"—",IF(SUMIFS($AH$14:$AH$1213,$A$14:$A$1213,$H155)=0,"Yes","No")))</f>
        <v/>
      </c>
      <c r="M155" s="25">
        <f>IF($H155="","",IF(COUNTIFS($A$14:$A$1213,$H155,$F$14:$F$1213,"&gt;=0")&lt;2,"—",IF(COUNTIFS($A$14:$A$1213,$H155,$F$14:$F$1213,_xlfn.MAXIFS($F$14:$F$1213,$A$14:$A$1213,$H155))&gt;1,"No",IF(NOT(ISNUMBER($AN155)),"—",IF((2*(1-NORMSDIST(ABS($AN155))))&lt;0.05,"Yes","No")))))</f>
        <v/>
      </c>
      <c r="N155" s="21">
        <f>IF($H155="","",IF(NOT(ISNUMBER($AN155)),"—",IF((2*(1-NORMSDIST(ABS($AN155))))&lt;0.001,"&lt;0.001",TEXT((2*(1-NORMSDIST(ABS($AN155)))),"0.000"))))</f>
        <v/>
      </c>
      <c r="P155" s="26" t="n"/>
      <c r="Q155" s="26" t="n"/>
      <c r="R155" s="26" t="n"/>
      <c r="S155" s="26" t="n"/>
      <c r="T155" s="26" t="n"/>
      <c r="V155" s="27">
        <f>IF(ISNUMBER($C155),COUNTIFS($A$14:$A$1213,$A155,$C$14:$C$1213,"&gt;"&amp;$C155)+(COUNTIFS($A$14:$A$1213,$A155,$C$14:$C$1213,"="&amp;$C155)+1)/2,"")</f>
        <v/>
      </c>
      <c r="W155" s="27">
        <f>IF(ISNUMBER($F155),COUNTIFS($A$14:$A$1213,$A155,$F$14:$F$1213,"&gt;"&amp;$F155)+(COUNTIFS($A$14:$A$1213,$A155,$F$14:$F$1213,"="&amp;$F155)+1)/2,"")</f>
        <v/>
      </c>
      <c r="X155" s="27">
        <f>IF(OR(NOT(ISNUMBER($V155)),$AO155=1),"",$V155-(COUNTIFS($A$14:$A$1213,$A155,$C$14:$C$1213,"&gt;=0")+1)/2)</f>
        <v/>
      </c>
      <c r="Y155" s="27">
        <f>IF(OR(NOT(ISNUMBER($W155)),$AO155=1),"",$W155-(COUNTIFS($A$14:$A$1213,$A155,$F$14:$F$1213,"&gt;=0")+1)/2)</f>
        <v/>
      </c>
      <c r="Z155" s="27">
        <f>IF(ISNUMBER($V155),$A155&amp;"|"&amp;$V155,"")</f>
        <v/>
      </c>
      <c r="AA155" s="27">
        <f>IF(ISNUMBER($W155),$A155&amp;"|"&amp;$W155,"")</f>
        <v/>
      </c>
      <c r="AB155" s="27">
        <f>IF(ISNUMBER($F155),$A155&amp;"|"&amp;$F155,"")</f>
        <v/>
      </c>
      <c r="AC155" s="27">
        <f>IF(ISNUMBER($P155),COUNTIFS($A$14:$A$1213,$A155,$P$14:$P$1213,"&gt;"&amp;$P155)+(COUNTIFS($A$14:$A$1213,$A155,$P$14:$P$1213,"="&amp;$P155)+1)/2,"")</f>
        <v/>
      </c>
      <c r="AD155" s="27">
        <f>IF(ISNUMBER($Q155),COUNTIFS($A$14:$A$1213,$A155,$Q$14:$Q$1213,"&gt;"&amp;$Q155)+(COUNTIFS($A$14:$A$1213,$A155,$Q$14:$Q$1213,"="&amp;$Q155)+1)/2,"")</f>
        <v/>
      </c>
      <c r="AE155" s="27">
        <f>IF(ISNUMBER($R155),COUNTIFS($A$14:$A$1213,$A155,$R$14:$R$1213,"&gt;"&amp;$R155)+(COUNTIFS($A$14:$A$1213,$A155,$R$14:$R$1213,"="&amp;$R155)+1)/2,"")</f>
        <v/>
      </c>
      <c r="AF155" s="27">
        <f>IF(ISNUMBER($S155),COUNTIFS($A$14:$A$1213,$A155,$S$14:$S$1213,"&gt;"&amp;$S155)+(COUNTIFS($A$14:$A$1213,$A155,$S$14:$S$1213,"="&amp;$S155)+1)/2,"")</f>
        <v/>
      </c>
      <c r="AG155" s="27">
        <f>IF(ISNUMBER($T155),COUNTIFS($A$14:$A$1213,$A155,$T$14:$T$1213,"&gt;"&amp;$T155)+(COUNTIFS($A$14:$A$1213,$A155,$T$14:$T$1213,"="&amp;$T155)+1)/2,"")</f>
        <v/>
      </c>
      <c r="AH155" s="27">
        <f>IF(COUNT($AC155:$AG155)&lt;2,"",IF(MAX($AC155:$AG155)=MIN($AC155:$AG155),0,1))</f>
        <v/>
      </c>
      <c r="AI155" s="27">
        <f>IF($A155="","",IF(COUNTIF($A$14:$A155,$A155)=1,COUNTIF($AI$13:AI154,"&gt;0")+1,""))</f>
        <v/>
      </c>
      <c r="AJ155" s="27">
        <f>IF(OR($H155="",COUNTIFS($A$14:$A$1213,$H155,$F$14:$F$1213,"&gt;=0")&lt;2,COUNTIFS($A$14:$A$1213,$H155,$F$14:$F$1213,_xlfn.MAXIFS($F$14:$F$1213,$A$14:$A$1213,$H155))&gt;1),"",IFERROR(INDEX($D$14:$D$1213,MATCH($H155&amp;"|"&amp;_xlfn.MAXIFS($F$14:$F$1213,$A$14:$A$1213,$H155),$AB$14:$AB$1213,0)),""))</f>
        <v/>
      </c>
      <c r="AK155" s="27">
        <f>IF(OR($H155="",COUNTIFS($A$14:$A$1213,$H155,$F$14:$F$1213,"&gt;=0")&lt;2,COUNTIFS($A$14:$A$1213,$H155,$F$14:$F$1213,_xlfn.MAXIFS($F$14:$F$1213,$A$14:$A$1213,$H155))&gt;1),"",IFERROR(INDEX($E$14:$E$1213,MATCH($H155&amp;"|"&amp;_xlfn.MAXIFS($F$14:$F$1213,$A$14:$A$1213,$H155),$AB$14:$AB$1213,0)),""))</f>
        <v/>
      </c>
      <c r="AL155" s="27">
        <f>IF(OR($H155="",COUNTIFS($A$14:$A$1213,$H155,$F$14:$F$1213,"&gt;=0")&lt;2,COUNTIFS($A$14:$A$1213,$H155,$F$14:$F$1213,_xlfn.MAXIFS($F$14:$F$1213,$A$14:$A$1213,$H155))&gt;1),"",IFERROR(INDEX($D$14:$D$1213,MATCH($H155&amp;"|"&amp;_xlfn.MAXIFS($F$14:$F$1213,$A$14:$A$1213,$H155,$F$14:$F$1213,"&lt;"&amp;_xlfn.MAXIFS($F$14:$F$1213,$A$14:$A$1213,$H155)),$AB$14:$AB$1213,0)),""))</f>
        <v/>
      </c>
      <c r="AM155" s="27">
        <f>IF(OR($H155="",COUNTIFS($A$14:$A$1213,$H155,$F$14:$F$1213,"&gt;=0")&lt;2,COUNTIFS($A$14:$A$1213,$H155,$F$14:$F$1213,_xlfn.MAXIFS($F$14:$F$1213,$A$14:$A$1213,$H155))&gt;1),"",IFERROR(INDEX($E$14:$E$1213,MATCH($H155&amp;"|"&amp;_xlfn.MAXIFS($F$14:$F$1213,$A$14:$A$1213,$H155,$F$14:$F$1213,"&lt;"&amp;_xlfn.MAXIFS($F$14:$F$1213,$A$14:$A$1213,$H155)),$AB$14:$AB$1213,0)),""))</f>
        <v/>
      </c>
      <c r="AN155" s="27">
        <f>IF(OR(NOT(ISNUMBER($AJ155)),NOT(ISNUMBER($AL155)),$AK155=0,$AM155=0),"",IF(OR((($AJ155+$AL155)/($AK155+$AM155))&lt;=0,(($AJ155+$AL155)/($AK155+$AM155))&gt;=1),"",($AJ155/$AK155-$AL155/$AM155)/SQRT((($AJ155+$AL155)/($AK155+$AM155))*(1-(($AJ155+$AL155)/($AK155+$AM155)))*(1/$AK155+1/$AM155))))</f>
        <v/>
      </c>
      <c r="AO155" s="27">
        <f>IF($A155="","",IF(AND(COUNTIFS($A$14:$A$1213,$A155,$F$14:$F$1213,"&gt;=0")=2,IFERROR(INDEX($M$14:$M$313,MATCH($A155,$H$14:$H$313,0)),"Yes")&lt;&gt;"Yes"),1,0))</f>
        <v/>
      </c>
    </row>
    <row r="156" ht="24" customHeight="1">
      <c r="A156" s="19" t="n"/>
      <c r="B156" s="20" t="n"/>
      <c r="C156" s="21">
        <f>IFERROR(AVERAGE(P156:T156),"")</f>
        <v/>
      </c>
      <c r="D156" s="29" t="n"/>
      <c r="E156" s="29" t="n"/>
      <c r="F156" s="30">
        <f>IF(AND(ISNUMBER($D156),ISNUMBER($E156),$E156&gt;0,$D156&lt;=$E156),$D156/$E156,"")</f>
        <v/>
      </c>
      <c r="H156" s="19">
        <f>IFERROR(INDEX($A$14:$A$1213,MATCH(143,$AI$14:$AI$1213,0)),"")</f>
        <v/>
      </c>
      <c r="I156" s="24">
        <f>IF($H156="","",IF(COUNTIFS($A$14:$A$1213,$H156,$C$14:$C$1213,"&gt;=0")=0,"—",IFERROR(INDEX($B$14:$B$1213,MATCH($H156&amp;"|1",$Z$14:$Z$1213,0)),"(tied)")))</f>
        <v/>
      </c>
      <c r="J156" s="25">
        <f>IF($H156="","",IF(OR(COUNTIFS($A$14:$A$1213,$H156,$C$14:$C$1213,"&gt;=0")=0,COUNTIFS($A$14:$A$1213,$H156,$F$14:$F$1213,"&gt;=0")=0),"—",IF(OR(ISERROR(MATCH($H156&amp;"|1",$Z$14:$Z$1213,0)),ISERROR(MATCH($H156&amp;"|1",$AA$14:$AA$1213,0))),"Tie",IF(MATCH($H156&amp;"|1",$Z$14:$Z$1213,0)=MATCH($H156&amp;"|1",$AA$14:$AA$1213,0),"Hit","Miss"))))</f>
        <v/>
      </c>
      <c r="K156" s="24">
        <f>IF($H156="","",IF(COUNTIFS($A$14:$A$1213,$H156,$F$14:$F$1213,"&gt;=0")=0,"—",IFERROR(INDEX($B$14:$B$1213,MATCH($H156&amp;"|1",$AA$14:$AA$1213,0)),"(tied)")))</f>
        <v/>
      </c>
      <c r="L156" s="25">
        <f>IF($H156="","",IF((--(COUNTIFS($A$14:$A$1213,$H156,$P$14:$P$1213,"&gt;=0")&gt;0)+--(COUNTIFS($A$14:$A$1213,$H156,$Q$14:$Q$1213,"&gt;=0")&gt;0)+--(COUNTIFS($A$14:$A$1213,$H156,$R$14:$R$1213,"&gt;=0")&gt;0)+--(COUNTIFS($A$14:$A$1213,$H156,$S$14:$S$1213,"&gt;=0")&gt;0)+--(COUNTIFS($A$14:$A$1213,$H156,$T$14:$T$1213,"&gt;=0")&gt;0))&lt;2,"—",IF(SUMIFS($AH$14:$AH$1213,$A$14:$A$1213,$H156)=0,"Yes","No")))</f>
        <v/>
      </c>
      <c r="M156" s="25">
        <f>IF($H156="","",IF(COUNTIFS($A$14:$A$1213,$H156,$F$14:$F$1213,"&gt;=0")&lt;2,"—",IF(COUNTIFS($A$14:$A$1213,$H156,$F$14:$F$1213,_xlfn.MAXIFS($F$14:$F$1213,$A$14:$A$1213,$H156))&gt;1,"No",IF(NOT(ISNUMBER($AN156)),"—",IF((2*(1-NORMSDIST(ABS($AN156))))&lt;0.05,"Yes","No")))))</f>
        <v/>
      </c>
      <c r="N156" s="21">
        <f>IF($H156="","",IF(NOT(ISNUMBER($AN156)),"—",IF((2*(1-NORMSDIST(ABS($AN156))))&lt;0.001,"&lt;0.001",TEXT((2*(1-NORMSDIST(ABS($AN156)))),"0.000"))))</f>
        <v/>
      </c>
      <c r="P156" s="26" t="n"/>
      <c r="Q156" s="26" t="n"/>
      <c r="R156" s="26" t="n"/>
      <c r="S156" s="26" t="n"/>
      <c r="T156" s="26" t="n"/>
      <c r="V156" s="27">
        <f>IF(ISNUMBER($C156),COUNTIFS($A$14:$A$1213,$A156,$C$14:$C$1213,"&gt;"&amp;$C156)+(COUNTIFS($A$14:$A$1213,$A156,$C$14:$C$1213,"="&amp;$C156)+1)/2,"")</f>
        <v/>
      </c>
      <c r="W156" s="27">
        <f>IF(ISNUMBER($F156),COUNTIFS($A$14:$A$1213,$A156,$F$14:$F$1213,"&gt;"&amp;$F156)+(COUNTIFS($A$14:$A$1213,$A156,$F$14:$F$1213,"="&amp;$F156)+1)/2,"")</f>
        <v/>
      </c>
      <c r="X156" s="27">
        <f>IF(OR(NOT(ISNUMBER($V156)),$AO156=1),"",$V156-(COUNTIFS($A$14:$A$1213,$A156,$C$14:$C$1213,"&gt;=0")+1)/2)</f>
        <v/>
      </c>
      <c r="Y156" s="27">
        <f>IF(OR(NOT(ISNUMBER($W156)),$AO156=1),"",$W156-(COUNTIFS($A$14:$A$1213,$A156,$F$14:$F$1213,"&gt;=0")+1)/2)</f>
        <v/>
      </c>
      <c r="Z156" s="27">
        <f>IF(ISNUMBER($V156),$A156&amp;"|"&amp;$V156,"")</f>
        <v/>
      </c>
      <c r="AA156" s="27">
        <f>IF(ISNUMBER($W156),$A156&amp;"|"&amp;$W156,"")</f>
        <v/>
      </c>
      <c r="AB156" s="27">
        <f>IF(ISNUMBER($F156),$A156&amp;"|"&amp;$F156,"")</f>
        <v/>
      </c>
      <c r="AC156" s="27">
        <f>IF(ISNUMBER($P156),COUNTIFS($A$14:$A$1213,$A156,$P$14:$P$1213,"&gt;"&amp;$P156)+(COUNTIFS($A$14:$A$1213,$A156,$P$14:$P$1213,"="&amp;$P156)+1)/2,"")</f>
        <v/>
      </c>
      <c r="AD156" s="27">
        <f>IF(ISNUMBER($Q156),COUNTIFS($A$14:$A$1213,$A156,$Q$14:$Q$1213,"&gt;"&amp;$Q156)+(COUNTIFS($A$14:$A$1213,$A156,$Q$14:$Q$1213,"="&amp;$Q156)+1)/2,"")</f>
        <v/>
      </c>
      <c r="AE156" s="27">
        <f>IF(ISNUMBER($R156),COUNTIFS($A$14:$A$1213,$A156,$R$14:$R$1213,"&gt;"&amp;$R156)+(COUNTIFS($A$14:$A$1213,$A156,$R$14:$R$1213,"="&amp;$R156)+1)/2,"")</f>
        <v/>
      </c>
      <c r="AF156" s="27">
        <f>IF(ISNUMBER($S156),COUNTIFS($A$14:$A$1213,$A156,$S$14:$S$1213,"&gt;"&amp;$S156)+(COUNTIFS($A$14:$A$1213,$A156,$S$14:$S$1213,"="&amp;$S156)+1)/2,"")</f>
        <v/>
      </c>
      <c r="AG156" s="27">
        <f>IF(ISNUMBER($T156),COUNTIFS($A$14:$A$1213,$A156,$T$14:$T$1213,"&gt;"&amp;$T156)+(COUNTIFS($A$14:$A$1213,$A156,$T$14:$T$1213,"="&amp;$T156)+1)/2,"")</f>
        <v/>
      </c>
      <c r="AH156" s="27">
        <f>IF(COUNT($AC156:$AG156)&lt;2,"",IF(MAX($AC156:$AG156)=MIN($AC156:$AG156),0,1))</f>
        <v/>
      </c>
      <c r="AI156" s="27">
        <f>IF($A156="","",IF(COUNTIF($A$14:$A156,$A156)=1,COUNTIF($AI$13:AI155,"&gt;0")+1,""))</f>
        <v/>
      </c>
      <c r="AJ156" s="27">
        <f>IF(OR($H156="",COUNTIFS($A$14:$A$1213,$H156,$F$14:$F$1213,"&gt;=0")&lt;2,COUNTIFS($A$14:$A$1213,$H156,$F$14:$F$1213,_xlfn.MAXIFS($F$14:$F$1213,$A$14:$A$1213,$H156))&gt;1),"",IFERROR(INDEX($D$14:$D$1213,MATCH($H156&amp;"|"&amp;_xlfn.MAXIFS($F$14:$F$1213,$A$14:$A$1213,$H156),$AB$14:$AB$1213,0)),""))</f>
        <v/>
      </c>
      <c r="AK156" s="27">
        <f>IF(OR($H156="",COUNTIFS($A$14:$A$1213,$H156,$F$14:$F$1213,"&gt;=0")&lt;2,COUNTIFS($A$14:$A$1213,$H156,$F$14:$F$1213,_xlfn.MAXIFS($F$14:$F$1213,$A$14:$A$1213,$H156))&gt;1),"",IFERROR(INDEX($E$14:$E$1213,MATCH($H156&amp;"|"&amp;_xlfn.MAXIFS($F$14:$F$1213,$A$14:$A$1213,$H156),$AB$14:$AB$1213,0)),""))</f>
        <v/>
      </c>
      <c r="AL156" s="27">
        <f>IF(OR($H156="",COUNTIFS($A$14:$A$1213,$H156,$F$14:$F$1213,"&gt;=0")&lt;2,COUNTIFS($A$14:$A$1213,$H156,$F$14:$F$1213,_xlfn.MAXIFS($F$14:$F$1213,$A$14:$A$1213,$H156))&gt;1),"",IFERROR(INDEX($D$14:$D$1213,MATCH($H156&amp;"|"&amp;_xlfn.MAXIFS($F$14:$F$1213,$A$14:$A$1213,$H156,$F$14:$F$1213,"&lt;"&amp;_xlfn.MAXIFS($F$14:$F$1213,$A$14:$A$1213,$H156)),$AB$14:$AB$1213,0)),""))</f>
        <v/>
      </c>
      <c r="AM156" s="27">
        <f>IF(OR($H156="",COUNTIFS($A$14:$A$1213,$H156,$F$14:$F$1213,"&gt;=0")&lt;2,COUNTIFS($A$14:$A$1213,$H156,$F$14:$F$1213,_xlfn.MAXIFS($F$14:$F$1213,$A$14:$A$1213,$H156))&gt;1),"",IFERROR(INDEX($E$14:$E$1213,MATCH($H156&amp;"|"&amp;_xlfn.MAXIFS($F$14:$F$1213,$A$14:$A$1213,$H156,$F$14:$F$1213,"&lt;"&amp;_xlfn.MAXIFS($F$14:$F$1213,$A$14:$A$1213,$H156)),$AB$14:$AB$1213,0)),""))</f>
        <v/>
      </c>
      <c r="AN156" s="27">
        <f>IF(OR(NOT(ISNUMBER($AJ156)),NOT(ISNUMBER($AL156)),$AK156=0,$AM156=0),"",IF(OR((($AJ156+$AL156)/($AK156+$AM156))&lt;=0,(($AJ156+$AL156)/($AK156+$AM156))&gt;=1),"",($AJ156/$AK156-$AL156/$AM156)/SQRT((($AJ156+$AL156)/($AK156+$AM156))*(1-(($AJ156+$AL156)/($AK156+$AM156)))*(1/$AK156+1/$AM156))))</f>
        <v/>
      </c>
      <c r="AO156" s="27">
        <f>IF($A156="","",IF(AND(COUNTIFS($A$14:$A$1213,$A156,$F$14:$F$1213,"&gt;=0")=2,IFERROR(INDEX($M$14:$M$313,MATCH($A156,$H$14:$H$313,0)),"Yes")&lt;&gt;"Yes"),1,0))</f>
        <v/>
      </c>
    </row>
    <row r="157" ht="24" customHeight="1">
      <c r="A157" s="19" t="n"/>
      <c r="B157" s="20" t="n"/>
      <c r="C157" s="21">
        <f>IFERROR(AVERAGE(P157:T157),"")</f>
        <v/>
      </c>
      <c r="D157" s="29" t="n"/>
      <c r="E157" s="29" t="n"/>
      <c r="F157" s="30">
        <f>IF(AND(ISNUMBER($D157),ISNUMBER($E157),$E157&gt;0,$D157&lt;=$E157),$D157/$E157,"")</f>
        <v/>
      </c>
      <c r="H157" s="19">
        <f>IFERROR(INDEX($A$14:$A$1213,MATCH(144,$AI$14:$AI$1213,0)),"")</f>
        <v/>
      </c>
      <c r="I157" s="24">
        <f>IF($H157="","",IF(COUNTIFS($A$14:$A$1213,$H157,$C$14:$C$1213,"&gt;=0")=0,"—",IFERROR(INDEX($B$14:$B$1213,MATCH($H157&amp;"|1",$Z$14:$Z$1213,0)),"(tied)")))</f>
        <v/>
      </c>
      <c r="J157" s="25">
        <f>IF($H157="","",IF(OR(COUNTIFS($A$14:$A$1213,$H157,$C$14:$C$1213,"&gt;=0")=0,COUNTIFS($A$14:$A$1213,$H157,$F$14:$F$1213,"&gt;=0")=0),"—",IF(OR(ISERROR(MATCH($H157&amp;"|1",$Z$14:$Z$1213,0)),ISERROR(MATCH($H157&amp;"|1",$AA$14:$AA$1213,0))),"Tie",IF(MATCH($H157&amp;"|1",$Z$14:$Z$1213,0)=MATCH($H157&amp;"|1",$AA$14:$AA$1213,0),"Hit","Miss"))))</f>
        <v/>
      </c>
      <c r="K157" s="24">
        <f>IF($H157="","",IF(COUNTIFS($A$14:$A$1213,$H157,$F$14:$F$1213,"&gt;=0")=0,"—",IFERROR(INDEX($B$14:$B$1213,MATCH($H157&amp;"|1",$AA$14:$AA$1213,0)),"(tied)")))</f>
        <v/>
      </c>
      <c r="L157" s="25">
        <f>IF($H157="","",IF((--(COUNTIFS($A$14:$A$1213,$H157,$P$14:$P$1213,"&gt;=0")&gt;0)+--(COUNTIFS($A$14:$A$1213,$H157,$Q$14:$Q$1213,"&gt;=0")&gt;0)+--(COUNTIFS($A$14:$A$1213,$H157,$R$14:$R$1213,"&gt;=0")&gt;0)+--(COUNTIFS($A$14:$A$1213,$H157,$S$14:$S$1213,"&gt;=0")&gt;0)+--(COUNTIFS($A$14:$A$1213,$H157,$T$14:$T$1213,"&gt;=0")&gt;0))&lt;2,"—",IF(SUMIFS($AH$14:$AH$1213,$A$14:$A$1213,$H157)=0,"Yes","No")))</f>
        <v/>
      </c>
      <c r="M157" s="25">
        <f>IF($H157="","",IF(COUNTIFS($A$14:$A$1213,$H157,$F$14:$F$1213,"&gt;=0")&lt;2,"—",IF(COUNTIFS($A$14:$A$1213,$H157,$F$14:$F$1213,_xlfn.MAXIFS($F$14:$F$1213,$A$14:$A$1213,$H157))&gt;1,"No",IF(NOT(ISNUMBER($AN157)),"—",IF((2*(1-NORMSDIST(ABS($AN157))))&lt;0.05,"Yes","No")))))</f>
        <v/>
      </c>
      <c r="N157" s="21">
        <f>IF($H157="","",IF(NOT(ISNUMBER($AN157)),"—",IF((2*(1-NORMSDIST(ABS($AN157))))&lt;0.001,"&lt;0.001",TEXT((2*(1-NORMSDIST(ABS($AN157)))),"0.000"))))</f>
        <v/>
      </c>
      <c r="P157" s="26" t="n"/>
      <c r="Q157" s="26" t="n"/>
      <c r="R157" s="26" t="n"/>
      <c r="S157" s="26" t="n"/>
      <c r="T157" s="26" t="n"/>
      <c r="V157" s="27">
        <f>IF(ISNUMBER($C157),COUNTIFS($A$14:$A$1213,$A157,$C$14:$C$1213,"&gt;"&amp;$C157)+(COUNTIFS($A$14:$A$1213,$A157,$C$14:$C$1213,"="&amp;$C157)+1)/2,"")</f>
        <v/>
      </c>
      <c r="W157" s="27">
        <f>IF(ISNUMBER($F157),COUNTIFS($A$14:$A$1213,$A157,$F$14:$F$1213,"&gt;"&amp;$F157)+(COUNTIFS($A$14:$A$1213,$A157,$F$14:$F$1213,"="&amp;$F157)+1)/2,"")</f>
        <v/>
      </c>
      <c r="X157" s="27">
        <f>IF(OR(NOT(ISNUMBER($V157)),$AO157=1),"",$V157-(COUNTIFS($A$14:$A$1213,$A157,$C$14:$C$1213,"&gt;=0")+1)/2)</f>
        <v/>
      </c>
      <c r="Y157" s="27">
        <f>IF(OR(NOT(ISNUMBER($W157)),$AO157=1),"",$W157-(COUNTIFS($A$14:$A$1213,$A157,$F$14:$F$1213,"&gt;=0")+1)/2)</f>
        <v/>
      </c>
      <c r="Z157" s="27">
        <f>IF(ISNUMBER($V157),$A157&amp;"|"&amp;$V157,"")</f>
        <v/>
      </c>
      <c r="AA157" s="27">
        <f>IF(ISNUMBER($W157),$A157&amp;"|"&amp;$W157,"")</f>
        <v/>
      </c>
      <c r="AB157" s="27">
        <f>IF(ISNUMBER($F157),$A157&amp;"|"&amp;$F157,"")</f>
        <v/>
      </c>
      <c r="AC157" s="27">
        <f>IF(ISNUMBER($P157),COUNTIFS($A$14:$A$1213,$A157,$P$14:$P$1213,"&gt;"&amp;$P157)+(COUNTIFS($A$14:$A$1213,$A157,$P$14:$P$1213,"="&amp;$P157)+1)/2,"")</f>
        <v/>
      </c>
      <c r="AD157" s="27">
        <f>IF(ISNUMBER($Q157),COUNTIFS($A$14:$A$1213,$A157,$Q$14:$Q$1213,"&gt;"&amp;$Q157)+(COUNTIFS($A$14:$A$1213,$A157,$Q$14:$Q$1213,"="&amp;$Q157)+1)/2,"")</f>
        <v/>
      </c>
      <c r="AE157" s="27">
        <f>IF(ISNUMBER($R157),COUNTIFS($A$14:$A$1213,$A157,$R$14:$R$1213,"&gt;"&amp;$R157)+(COUNTIFS($A$14:$A$1213,$A157,$R$14:$R$1213,"="&amp;$R157)+1)/2,"")</f>
        <v/>
      </c>
      <c r="AF157" s="27">
        <f>IF(ISNUMBER($S157),COUNTIFS($A$14:$A$1213,$A157,$S$14:$S$1213,"&gt;"&amp;$S157)+(COUNTIFS($A$14:$A$1213,$A157,$S$14:$S$1213,"="&amp;$S157)+1)/2,"")</f>
        <v/>
      </c>
      <c r="AG157" s="27">
        <f>IF(ISNUMBER($T157),COUNTIFS($A$14:$A$1213,$A157,$T$14:$T$1213,"&gt;"&amp;$T157)+(COUNTIFS($A$14:$A$1213,$A157,$T$14:$T$1213,"="&amp;$T157)+1)/2,"")</f>
        <v/>
      </c>
      <c r="AH157" s="27">
        <f>IF(COUNT($AC157:$AG157)&lt;2,"",IF(MAX($AC157:$AG157)=MIN($AC157:$AG157),0,1))</f>
        <v/>
      </c>
      <c r="AI157" s="27">
        <f>IF($A157="","",IF(COUNTIF($A$14:$A157,$A157)=1,COUNTIF($AI$13:AI156,"&gt;0")+1,""))</f>
        <v/>
      </c>
      <c r="AJ157" s="27">
        <f>IF(OR($H157="",COUNTIFS($A$14:$A$1213,$H157,$F$14:$F$1213,"&gt;=0")&lt;2,COUNTIFS($A$14:$A$1213,$H157,$F$14:$F$1213,_xlfn.MAXIFS($F$14:$F$1213,$A$14:$A$1213,$H157))&gt;1),"",IFERROR(INDEX($D$14:$D$1213,MATCH($H157&amp;"|"&amp;_xlfn.MAXIFS($F$14:$F$1213,$A$14:$A$1213,$H157),$AB$14:$AB$1213,0)),""))</f>
        <v/>
      </c>
      <c r="AK157" s="27">
        <f>IF(OR($H157="",COUNTIFS($A$14:$A$1213,$H157,$F$14:$F$1213,"&gt;=0")&lt;2,COUNTIFS($A$14:$A$1213,$H157,$F$14:$F$1213,_xlfn.MAXIFS($F$14:$F$1213,$A$14:$A$1213,$H157))&gt;1),"",IFERROR(INDEX($E$14:$E$1213,MATCH($H157&amp;"|"&amp;_xlfn.MAXIFS($F$14:$F$1213,$A$14:$A$1213,$H157),$AB$14:$AB$1213,0)),""))</f>
        <v/>
      </c>
      <c r="AL157" s="27">
        <f>IF(OR($H157="",COUNTIFS($A$14:$A$1213,$H157,$F$14:$F$1213,"&gt;=0")&lt;2,COUNTIFS($A$14:$A$1213,$H157,$F$14:$F$1213,_xlfn.MAXIFS($F$14:$F$1213,$A$14:$A$1213,$H157))&gt;1),"",IFERROR(INDEX($D$14:$D$1213,MATCH($H157&amp;"|"&amp;_xlfn.MAXIFS($F$14:$F$1213,$A$14:$A$1213,$H157,$F$14:$F$1213,"&lt;"&amp;_xlfn.MAXIFS($F$14:$F$1213,$A$14:$A$1213,$H157)),$AB$14:$AB$1213,0)),""))</f>
        <v/>
      </c>
      <c r="AM157" s="27">
        <f>IF(OR($H157="",COUNTIFS($A$14:$A$1213,$H157,$F$14:$F$1213,"&gt;=0")&lt;2,COUNTIFS($A$14:$A$1213,$H157,$F$14:$F$1213,_xlfn.MAXIFS($F$14:$F$1213,$A$14:$A$1213,$H157))&gt;1),"",IFERROR(INDEX($E$14:$E$1213,MATCH($H157&amp;"|"&amp;_xlfn.MAXIFS($F$14:$F$1213,$A$14:$A$1213,$H157,$F$14:$F$1213,"&lt;"&amp;_xlfn.MAXIFS($F$14:$F$1213,$A$14:$A$1213,$H157)),$AB$14:$AB$1213,0)),""))</f>
        <v/>
      </c>
      <c r="AN157" s="27">
        <f>IF(OR(NOT(ISNUMBER($AJ157)),NOT(ISNUMBER($AL157)),$AK157=0,$AM157=0),"",IF(OR((($AJ157+$AL157)/($AK157+$AM157))&lt;=0,(($AJ157+$AL157)/($AK157+$AM157))&gt;=1),"",($AJ157/$AK157-$AL157/$AM157)/SQRT((($AJ157+$AL157)/($AK157+$AM157))*(1-(($AJ157+$AL157)/($AK157+$AM157)))*(1/$AK157+1/$AM157))))</f>
        <v/>
      </c>
      <c r="AO157" s="27">
        <f>IF($A157="","",IF(AND(COUNTIFS($A$14:$A$1213,$A157,$F$14:$F$1213,"&gt;=0")=2,IFERROR(INDEX($M$14:$M$313,MATCH($A157,$H$14:$H$313,0)),"Yes")&lt;&gt;"Yes"),1,0))</f>
        <v/>
      </c>
    </row>
    <row r="158" ht="24" customHeight="1">
      <c r="A158" s="19" t="n"/>
      <c r="B158" s="20" t="n"/>
      <c r="C158" s="21">
        <f>IFERROR(AVERAGE(P158:T158),"")</f>
        <v/>
      </c>
      <c r="D158" s="29" t="n"/>
      <c r="E158" s="29" t="n"/>
      <c r="F158" s="30">
        <f>IF(AND(ISNUMBER($D158),ISNUMBER($E158),$E158&gt;0,$D158&lt;=$E158),$D158/$E158,"")</f>
        <v/>
      </c>
      <c r="H158" s="19">
        <f>IFERROR(INDEX($A$14:$A$1213,MATCH(145,$AI$14:$AI$1213,0)),"")</f>
        <v/>
      </c>
      <c r="I158" s="24">
        <f>IF($H158="","",IF(COUNTIFS($A$14:$A$1213,$H158,$C$14:$C$1213,"&gt;=0")=0,"—",IFERROR(INDEX($B$14:$B$1213,MATCH($H158&amp;"|1",$Z$14:$Z$1213,0)),"(tied)")))</f>
        <v/>
      </c>
      <c r="J158" s="25">
        <f>IF($H158="","",IF(OR(COUNTIFS($A$14:$A$1213,$H158,$C$14:$C$1213,"&gt;=0")=0,COUNTIFS($A$14:$A$1213,$H158,$F$14:$F$1213,"&gt;=0")=0),"—",IF(OR(ISERROR(MATCH($H158&amp;"|1",$Z$14:$Z$1213,0)),ISERROR(MATCH($H158&amp;"|1",$AA$14:$AA$1213,0))),"Tie",IF(MATCH($H158&amp;"|1",$Z$14:$Z$1213,0)=MATCH($H158&amp;"|1",$AA$14:$AA$1213,0),"Hit","Miss"))))</f>
        <v/>
      </c>
      <c r="K158" s="24">
        <f>IF($H158="","",IF(COUNTIFS($A$14:$A$1213,$H158,$F$14:$F$1213,"&gt;=0")=0,"—",IFERROR(INDEX($B$14:$B$1213,MATCH($H158&amp;"|1",$AA$14:$AA$1213,0)),"(tied)")))</f>
        <v/>
      </c>
      <c r="L158" s="25">
        <f>IF($H158="","",IF((--(COUNTIFS($A$14:$A$1213,$H158,$P$14:$P$1213,"&gt;=0")&gt;0)+--(COUNTIFS($A$14:$A$1213,$H158,$Q$14:$Q$1213,"&gt;=0")&gt;0)+--(COUNTIFS($A$14:$A$1213,$H158,$R$14:$R$1213,"&gt;=0")&gt;0)+--(COUNTIFS($A$14:$A$1213,$H158,$S$14:$S$1213,"&gt;=0")&gt;0)+--(COUNTIFS($A$14:$A$1213,$H158,$T$14:$T$1213,"&gt;=0")&gt;0))&lt;2,"—",IF(SUMIFS($AH$14:$AH$1213,$A$14:$A$1213,$H158)=0,"Yes","No")))</f>
        <v/>
      </c>
      <c r="M158" s="25">
        <f>IF($H158="","",IF(COUNTIFS($A$14:$A$1213,$H158,$F$14:$F$1213,"&gt;=0")&lt;2,"—",IF(COUNTIFS($A$14:$A$1213,$H158,$F$14:$F$1213,_xlfn.MAXIFS($F$14:$F$1213,$A$14:$A$1213,$H158))&gt;1,"No",IF(NOT(ISNUMBER($AN158)),"—",IF((2*(1-NORMSDIST(ABS($AN158))))&lt;0.05,"Yes","No")))))</f>
        <v/>
      </c>
      <c r="N158" s="21">
        <f>IF($H158="","",IF(NOT(ISNUMBER($AN158)),"—",IF((2*(1-NORMSDIST(ABS($AN158))))&lt;0.001,"&lt;0.001",TEXT((2*(1-NORMSDIST(ABS($AN158)))),"0.000"))))</f>
        <v/>
      </c>
      <c r="P158" s="26" t="n"/>
      <c r="Q158" s="26" t="n"/>
      <c r="R158" s="26" t="n"/>
      <c r="S158" s="26" t="n"/>
      <c r="T158" s="26" t="n"/>
      <c r="V158" s="27">
        <f>IF(ISNUMBER($C158),COUNTIFS($A$14:$A$1213,$A158,$C$14:$C$1213,"&gt;"&amp;$C158)+(COUNTIFS($A$14:$A$1213,$A158,$C$14:$C$1213,"="&amp;$C158)+1)/2,"")</f>
        <v/>
      </c>
      <c r="W158" s="27">
        <f>IF(ISNUMBER($F158),COUNTIFS($A$14:$A$1213,$A158,$F$14:$F$1213,"&gt;"&amp;$F158)+(COUNTIFS($A$14:$A$1213,$A158,$F$14:$F$1213,"="&amp;$F158)+1)/2,"")</f>
        <v/>
      </c>
      <c r="X158" s="27">
        <f>IF(OR(NOT(ISNUMBER($V158)),$AO158=1),"",$V158-(COUNTIFS($A$14:$A$1213,$A158,$C$14:$C$1213,"&gt;=0")+1)/2)</f>
        <v/>
      </c>
      <c r="Y158" s="27">
        <f>IF(OR(NOT(ISNUMBER($W158)),$AO158=1),"",$W158-(COUNTIFS($A$14:$A$1213,$A158,$F$14:$F$1213,"&gt;=0")+1)/2)</f>
        <v/>
      </c>
      <c r="Z158" s="27">
        <f>IF(ISNUMBER($V158),$A158&amp;"|"&amp;$V158,"")</f>
        <v/>
      </c>
      <c r="AA158" s="27">
        <f>IF(ISNUMBER($W158),$A158&amp;"|"&amp;$W158,"")</f>
        <v/>
      </c>
      <c r="AB158" s="27">
        <f>IF(ISNUMBER($F158),$A158&amp;"|"&amp;$F158,"")</f>
        <v/>
      </c>
      <c r="AC158" s="27">
        <f>IF(ISNUMBER($P158),COUNTIFS($A$14:$A$1213,$A158,$P$14:$P$1213,"&gt;"&amp;$P158)+(COUNTIFS($A$14:$A$1213,$A158,$P$14:$P$1213,"="&amp;$P158)+1)/2,"")</f>
        <v/>
      </c>
      <c r="AD158" s="27">
        <f>IF(ISNUMBER($Q158),COUNTIFS($A$14:$A$1213,$A158,$Q$14:$Q$1213,"&gt;"&amp;$Q158)+(COUNTIFS($A$14:$A$1213,$A158,$Q$14:$Q$1213,"="&amp;$Q158)+1)/2,"")</f>
        <v/>
      </c>
      <c r="AE158" s="27">
        <f>IF(ISNUMBER($R158),COUNTIFS($A$14:$A$1213,$A158,$R$14:$R$1213,"&gt;"&amp;$R158)+(COUNTIFS($A$14:$A$1213,$A158,$R$14:$R$1213,"="&amp;$R158)+1)/2,"")</f>
        <v/>
      </c>
      <c r="AF158" s="27">
        <f>IF(ISNUMBER($S158),COUNTIFS($A$14:$A$1213,$A158,$S$14:$S$1213,"&gt;"&amp;$S158)+(COUNTIFS($A$14:$A$1213,$A158,$S$14:$S$1213,"="&amp;$S158)+1)/2,"")</f>
        <v/>
      </c>
      <c r="AG158" s="27">
        <f>IF(ISNUMBER($T158),COUNTIFS($A$14:$A$1213,$A158,$T$14:$T$1213,"&gt;"&amp;$T158)+(COUNTIFS($A$14:$A$1213,$A158,$T$14:$T$1213,"="&amp;$T158)+1)/2,"")</f>
        <v/>
      </c>
      <c r="AH158" s="27">
        <f>IF(COUNT($AC158:$AG158)&lt;2,"",IF(MAX($AC158:$AG158)=MIN($AC158:$AG158),0,1))</f>
        <v/>
      </c>
      <c r="AI158" s="27">
        <f>IF($A158="","",IF(COUNTIF($A$14:$A158,$A158)=1,COUNTIF($AI$13:AI157,"&gt;0")+1,""))</f>
        <v/>
      </c>
      <c r="AJ158" s="27">
        <f>IF(OR($H158="",COUNTIFS($A$14:$A$1213,$H158,$F$14:$F$1213,"&gt;=0")&lt;2,COUNTIFS($A$14:$A$1213,$H158,$F$14:$F$1213,_xlfn.MAXIFS($F$14:$F$1213,$A$14:$A$1213,$H158))&gt;1),"",IFERROR(INDEX($D$14:$D$1213,MATCH($H158&amp;"|"&amp;_xlfn.MAXIFS($F$14:$F$1213,$A$14:$A$1213,$H158),$AB$14:$AB$1213,0)),""))</f>
        <v/>
      </c>
      <c r="AK158" s="27">
        <f>IF(OR($H158="",COUNTIFS($A$14:$A$1213,$H158,$F$14:$F$1213,"&gt;=0")&lt;2,COUNTIFS($A$14:$A$1213,$H158,$F$14:$F$1213,_xlfn.MAXIFS($F$14:$F$1213,$A$14:$A$1213,$H158))&gt;1),"",IFERROR(INDEX($E$14:$E$1213,MATCH($H158&amp;"|"&amp;_xlfn.MAXIFS($F$14:$F$1213,$A$14:$A$1213,$H158),$AB$14:$AB$1213,0)),""))</f>
        <v/>
      </c>
      <c r="AL158" s="27">
        <f>IF(OR($H158="",COUNTIFS($A$14:$A$1213,$H158,$F$14:$F$1213,"&gt;=0")&lt;2,COUNTIFS($A$14:$A$1213,$H158,$F$14:$F$1213,_xlfn.MAXIFS($F$14:$F$1213,$A$14:$A$1213,$H158))&gt;1),"",IFERROR(INDEX($D$14:$D$1213,MATCH($H158&amp;"|"&amp;_xlfn.MAXIFS($F$14:$F$1213,$A$14:$A$1213,$H158,$F$14:$F$1213,"&lt;"&amp;_xlfn.MAXIFS($F$14:$F$1213,$A$14:$A$1213,$H158)),$AB$14:$AB$1213,0)),""))</f>
        <v/>
      </c>
      <c r="AM158" s="27">
        <f>IF(OR($H158="",COUNTIFS($A$14:$A$1213,$H158,$F$14:$F$1213,"&gt;=0")&lt;2,COUNTIFS($A$14:$A$1213,$H158,$F$14:$F$1213,_xlfn.MAXIFS($F$14:$F$1213,$A$14:$A$1213,$H158))&gt;1),"",IFERROR(INDEX($E$14:$E$1213,MATCH($H158&amp;"|"&amp;_xlfn.MAXIFS($F$14:$F$1213,$A$14:$A$1213,$H158,$F$14:$F$1213,"&lt;"&amp;_xlfn.MAXIFS($F$14:$F$1213,$A$14:$A$1213,$H158)),$AB$14:$AB$1213,0)),""))</f>
        <v/>
      </c>
      <c r="AN158" s="27">
        <f>IF(OR(NOT(ISNUMBER($AJ158)),NOT(ISNUMBER($AL158)),$AK158=0,$AM158=0),"",IF(OR((($AJ158+$AL158)/($AK158+$AM158))&lt;=0,(($AJ158+$AL158)/($AK158+$AM158))&gt;=1),"",($AJ158/$AK158-$AL158/$AM158)/SQRT((($AJ158+$AL158)/($AK158+$AM158))*(1-(($AJ158+$AL158)/($AK158+$AM158)))*(1/$AK158+1/$AM158))))</f>
        <v/>
      </c>
      <c r="AO158" s="27">
        <f>IF($A158="","",IF(AND(COUNTIFS($A$14:$A$1213,$A158,$F$14:$F$1213,"&gt;=0")=2,IFERROR(INDEX($M$14:$M$313,MATCH($A158,$H$14:$H$313,0)),"Yes")&lt;&gt;"Yes"),1,0))</f>
        <v/>
      </c>
    </row>
    <row r="159" ht="24" customHeight="1">
      <c r="A159" s="19" t="n"/>
      <c r="B159" s="20" t="n"/>
      <c r="C159" s="21">
        <f>IFERROR(AVERAGE(P159:T159),"")</f>
        <v/>
      </c>
      <c r="D159" s="29" t="n"/>
      <c r="E159" s="29" t="n"/>
      <c r="F159" s="30">
        <f>IF(AND(ISNUMBER($D159),ISNUMBER($E159),$E159&gt;0,$D159&lt;=$E159),$D159/$E159,"")</f>
        <v/>
      </c>
      <c r="H159" s="19">
        <f>IFERROR(INDEX($A$14:$A$1213,MATCH(146,$AI$14:$AI$1213,0)),"")</f>
        <v/>
      </c>
      <c r="I159" s="24">
        <f>IF($H159="","",IF(COUNTIFS($A$14:$A$1213,$H159,$C$14:$C$1213,"&gt;=0")=0,"—",IFERROR(INDEX($B$14:$B$1213,MATCH($H159&amp;"|1",$Z$14:$Z$1213,0)),"(tied)")))</f>
        <v/>
      </c>
      <c r="J159" s="25">
        <f>IF($H159="","",IF(OR(COUNTIFS($A$14:$A$1213,$H159,$C$14:$C$1213,"&gt;=0")=0,COUNTIFS($A$14:$A$1213,$H159,$F$14:$F$1213,"&gt;=0")=0),"—",IF(OR(ISERROR(MATCH($H159&amp;"|1",$Z$14:$Z$1213,0)),ISERROR(MATCH($H159&amp;"|1",$AA$14:$AA$1213,0))),"Tie",IF(MATCH($H159&amp;"|1",$Z$14:$Z$1213,0)=MATCH($H159&amp;"|1",$AA$14:$AA$1213,0),"Hit","Miss"))))</f>
        <v/>
      </c>
      <c r="K159" s="24">
        <f>IF($H159="","",IF(COUNTIFS($A$14:$A$1213,$H159,$F$14:$F$1213,"&gt;=0")=0,"—",IFERROR(INDEX($B$14:$B$1213,MATCH($H159&amp;"|1",$AA$14:$AA$1213,0)),"(tied)")))</f>
        <v/>
      </c>
      <c r="L159" s="25">
        <f>IF($H159="","",IF((--(COUNTIFS($A$14:$A$1213,$H159,$P$14:$P$1213,"&gt;=0")&gt;0)+--(COUNTIFS($A$14:$A$1213,$H159,$Q$14:$Q$1213,"&gt;=0")&gt;0)+--(COUNTIFS($A$14:$A$1213,$H159,$R$14:$R$1213,"&gt;=0")&gt;0)+--(COUNTIFS($A$14:$A$1213,$H159,$S$14:$S$1213,"&gt;=0")&gt;0)+--(COUNTIFS($A$14:$A$1213,$H159,$T$14:$T$1213,"&gt;=0")&gt;0))&lt;2,"—",IF(SUMIFS($AH$14:$AH$1213,$A$14:$A$1213,$H159)=0,"Yes","No")))</f>
        <v/>
      </c>
      <c r="M159" s="25">
        <f>IF($H159="","",IF(COUNTIFS($A$14:$A$1213,$H159,$F$14:$F$1213,"&gt;=0")&lt;2,"—",IF(COUNTIFS($A$14:$A$1213,$H159,$F$14:$F$1213,_xlfn.MAXIFS($F$14:$F$1213,$A$14:$A$1213,$H159))&gt;1,"No",IF(NOT(ISNUMBER($AN159)),"—",IF((2*(1-NORMSDIST(ABS($AN159))))&lt;0.05,"Yes","No")))))</f>
        <v/>
      </c>
      <c r="N159" s="21">
        <f>IF($H159="","",IF(NOT(ISNUMBER($AN159)),"—",IF((2*(1-NORMSDIST(ABS($AN159))))&lt;0.001,"&lt;0.001",TEXT((2*(1-NORMSDIST(ABS($AN159)))),"0.000"))))</f>
        <v/>
      </c>
      <c r="P159" s="26" t="n"/>
      <c r="Q159" s="26" t="n"/>
      <c r="R159" s="26" t="n"/>
      <c r="S159" s="26" t="n"/>
      <c r="T159" s="26" t="n"/>
      <c r="V159" s="27">
        <f>IF(ISNUMBER($C159),COUNTIFS($A$14:$A$1213,$A159,$C$14:$C$1213,"&gt;"&amp;$C159)+(COUNTIFS($A$14:$A$1213,$A159,$C$14:$C$1213,"="&amp;$C159)+1)/2,"")</f>
        <v/>
      </c>
      <c r="W159" s="27">
        <f>IF(ISNUMBER($F159),COUNTIFS($A$14:$A$1213,$A159,$F$14:$F$1213,"&gt;"&amp;$F159)+(COUNTIFS($A$14:$A$1213,$A159,$F$14:$F$1213,"="&amp;$F159)+1)/2,"")</f>
        <v/>
      </c>
      <c r="X159" s="27">
        <f>IF(OR(NOT(ISNUMBER($V159)),$AO159=1),"",$V159-(COUNTIFS($A$14:$A$1213,$A159,$C$14:$C$1213,"&gt;=0")+1)/2)</f>
        <v/>
      </c>
      <c r="Y159" s="27">
        <f>IF(OR(NOT(ISNUMBER($W159)),$AO159=1),"",$W159-(COUNTIFS($A$14:$A$1213,$A159,$F$14:$F$1213,"&gt;=0")+1)/2)</f>
        <v/>
      </c>
      <c r="Z159" s="27">
        <f>IF(ISNUMBER($V159),$A159&amp;"|"&amp;$V159,"")</f>
        <v/>
      </c>
      <c r="AA159" s="27">
        <f>IF(ISNUMBER($W159),$A159&amp;"|"&amp;$W159,"")</f>
        <v/>
      </c>
      <c r="AB159" s="27">
        <f>IF(ISNUMBER($F159),$A159&amp;"|"&amp;$F159,"")</f>
        <v/>
      </c>
      <c r="AC159" s="27">
        <f>IF(ISNUMBER($P159),COUNTIFS($A$14:$A$1213,$A159,$P$14:$P$1213,"&gt;"&amp;$P159)+(COUNTIFS($A$14:$A$1213,$A159,$P$14:$P$1213,"="&amp;$P159)+1)/2,"")</f>
        <v/>
      </c>
      <c r="AD159" s="27">
        <f>IF(ISNUMBER($Q159),COUNTIFS($A$14:$A$1213,$A159,$Q$14:$Q$1213,"&gt;"&amp;$Q159)+(COUNTIFS($A$14:$A$1213,$A159,$Q$14:$Q$1213,"="&amp;$Q159)+1)/2,"")</f>
        <v/>
      </c>
      <c r="AE159" s="27">
        <f>IF(ISNUMBER($R159),COUNTIFS($A$14:$A$1213,$A159,$R$14:$R$1213,"&gt;"&amp;$R159)+(COUNTIFS($A$14:$A$1213,$A159,$R$14:$R$1213,"="&amp;$R159)+1)/2,"")</f>
        <v/>
      </c>
      <c r="AF159" s="27">
        <f>IF(ISNUMBER($S159),COUNTIFS($A$14:$A$1213,$A159,$S$14:$S$1213,"&gt;"&amp;$S159)+(COUNTIFS($A$14:$A$1213,$A159,$S$14:$S$1213,"="&amp;$S159)+1)/2,"")</f>
        <v/>
      </c>
      <c r="AG159" s="27">
        <f>IF(ISNUMBER($T159),COUNTIFS($A$14:$A$1213,$A159,$T$14:$T$1213,"&gt;"&amp;$T159)+(COUNTIFS($A$14:$A$1213,$A159,$T$14:$T$1213,"="&amp;$T159)+1)/2,"")</f>
        <v/>
      </c>
      <c r="AH159" s="27">
        <f>IF(COUNT($AC159:$AG159)&lt;2,"",IF(MAX($AC159:$AG159)=MIN($AC159:$AG159),0,1))</f>
        <v/>
      </c>
      <c r="AI159" s="27">
        <f>IF($A159="","",IF(COUNTIF($A$14:$A159,$A159)=1,COUNTIF($AI$13:AI158,"&gt;0")+1,""))</f>
        <v/>
      </c>
      <c r="AJ159" s="27">
        <f>IF(OR($H159="",COUNTIFS($A$14:$A$1213,$H159,$F$14:$F$1213,"&gt;=0")&lt;2,COUNTIFS($A$14:$A$1213,$H159,$F$14:$F$1213,_xlfn.MAXIFS($F$14:$F$1213,$A$14:$A$1213,$H159))&gt;1),"",IFERROR(INDEX($D$14:$D$1213,MATCH($H159&amp;"|"&amp;_xlfn.MAXIFS($F$14:$F$1213,$A$14:$A$1213,$H159),$AB$14:$AB$1213,0)),""))</f>
        <v/>
      </c>
      <c r="AK159" s="27">
        <f>IF(OR($H159="",COUNTIFS($A$14:$A$1213,$H159,$F$14:$F$1213,"&gt;=0")&lt;2,COUNTIFS($A$14:$A$1213,$H159,$F$14:$F$1213,_xlfn.MAXIFS($F$14:$F$1213,$A$14:$A$1213,$H159))&gt;1),"",IFERROR(INDEX($E$14:$E$1213,MATCH($H159&amp;"|"&amp;_xlfn.MAXIFS($F$14:$F$1213,$A$14:$A$1213,$H159),$AB$14:$AB$1213,0)),""))</f>
        <v/>
      </c>
      <c r="AL159" s="27">
        <f>IF(OR($H159="",COUNTIFS($A$14:$A$1213,$H159,$F$14:$F$1213,"&gt;=0")&lt;2,COUNTIFS($A$14:$A$1213,$H159,$F$14:$F$1213,_xlfn.MAXIFS($F$14:$F$1213,$A$14:$A$1213,$H159))&gt;1),"",IFERROR(INDEX($D$14:$D$1213,MATCH($H159&amp;"|"&amp;_xlfn.MAXIFS($F$14:$F$1213,$A$14:$A$1213,$H159,$F$14:$F$1213,"&lt;"&amp;_xlfn.MAXIFS($F$14:$F$1213,$A$14:$A$1213,$H159)),$AB$14:$AB$1213,0)),""))</f>
        <v/>
      </c>
      <c r="AM159" s="27">
        <f>IF(OR($H159="",COUNTIFS($A$14:$A$1213,$H159,$F$14:$F$1213,"&gt;=0")&lt;2,COUNTIFS($A$14:$A$1213,$H159,$F$14:$F$1213,_xlfn.MAXIFS($F$14:$F$1213,$A$14:$A$1213,$H159))&gt;1),"",IFERROR(INDEX($E$14:$E$1213,MATCH($H159&amp;"|"&amp;_xlfn.MAXIFS($F$14:$F$1213,$A$14:$A$1213,$H159,$F$14:$F$1213,"&lt;"&amp;_xlfn.MAXIFS($F$14:$F$1213,$A$14:$A$1213,$H159)),$AB$14:$AB$1213,0)),""))</f>
        <v/>
      </c>
      <c r="AN159" s="27">
        <f>IF(OR(NOT(ISNUMBER($AJ159)),NOT(ISNUMBER($AL159)),$AK159=0,$AM159=0),"",IF(OR((($AJ159+$AL159)/($AK159+$AM159))&lt;=0,(($AJ159+$AL159)/($AK159+$AM159))&gt;=1),"",($AJ159/$AK159-$AL159/$AM159)/SQRT((($AJ159+$AL159)/($AK159+$AM159))*(1-(($AJ159+$AL159)/($AK159+$AM159)))*(1/$AK159+1/$AM159))))</f>
        <v/>
      </c>
      <c r="AO159" s="27">
        <f>IF($A159="","",IF(AND(COUNTIFS($A$14:$A$1213,$A159,$F$14:$F$1213,"&gt;=0")=2,IFERROR(INDEX($M$14:$M$313,MATCH($A159,$H$14:$H$313,0)),"Yes")&lt;&gt;"Yes"),1,0))</f>
        <v/>
      </c>
    </row>
    <row r="160" ht="24" customHeight="1">
      <c r="A160" s="19" t="n"/>
      <c r="B160" s="20" t="n"/>
      <c r="C160" s="21">
        <f>IFERROR(AVERAGE(P160:T160),"")</f>
        <v/>
      </c>
      <c r="D160" s="29" t="n"/>
      <c r="E160" s="29" t="n"/>
      <c r="F160" s="30">
        <f>IF(AND(ISNUMBER($D160),ISNUMBER($E160),$E160&gt;0,$D160&lt;=$E160),$D160/$E160,"")</f>
        <v/>
      </c>
      <c r="H160" s="19">
        <f>IFERROR(INDEX($A$14:$A$1213,MATCH(147,$AI$14:$AI$1213,0)),"")</f>
        <v/>
      </c>
      <c r="I160" s="24">
        <f>IF($H160="","",IF(COUNTIFS($A$14:$A$1213,$H160,$C$14:$C$1213,"&gt;=0")=0,"—",IFERROR(INDEX($B$14:$B$1213,MATCH($H160&amp;"|1",$Z$14:$Z$1213,0)),"(tied)")))</f>
        <v/>
      </c>
      <c r="J160" s="25">
        <f>IF($H160="","",IF(OR(COUNTIFS($A$14:$A$1213,$H160,$C$14:$C$1213,"&gt;=0")=0,COUNTIFS($A$14:$A$1213,$H160,$F$14:$F$1213,"&gt;=0")=0),"—",IF(OR(ISERROR(MATCH($H160&amp;"|1",$Z$14:$Z$1213,0)),ISERROR(MATCH($H160&amp;"|1",$AA$14:$AA$1213,0))),"Tie",IF(MATCH($H160&amp;"|1",$Z$14:$Z$1213,0)=MATCH($H160&amp;"|1",$AA$14:$AA$1213,0),"Hit","Miss"))))</f>
        <v/>
      </c>
      <c r="K160" s="24">
        <f>IF($H160="","",IF(COUNTIFS($A$14:$A$1213,$H160,$F$14:$F$1213,"&gt;=0")=0,"—",IFERROR(INDEX($B$14:$B$1213,MATCH($H160&amp;"|1",$AA$14:$AA$1213,0)),"(tied)")))</f>
        <v/>
      </c>
      <c r="L160" s="25">
        <f>IF($H160="","",IF((--(COUNTIFS($A$14:$A$1213,$H160,$P$14:$P$1213,"&gt;=0")&gt;0)+--(COUNTIFS($A$14:$A$1213,$H160,$Q$14:$Q$1213,"&gt;=0")&gt;0)+--(COUNTIFS($A$14:$A$1213,$H160,$R$14:$R$1213,"&gt;=0")&gt;0)+--(COUNTIFS($A$14:$A$1213,$H160,$S$14:$S$1213,"&gt;=0")&gt;0)+--(COUNTIFS($A$14:$A$1213,$H160,$T$14:$T$1213,"&gt;=0")&gt;0))&lt;2,"—",IF(SUMIFS($AH$14:$AH$1213,$A$14:$A$1213,$H160)=0,"Yes","No")))</f>
        <v/>
      </c>
      <c r="M160" s="25">
        <f>IF($H160="","",IF(COUNTIFS($A$14:$A$1213,$H160,$F$14:$F$1213,"&gt;=0")&lt;2,"—",IF(COUNTIFS($A$14:$A$1213,$H160,$F$14:$F$1213,_xlfn.MAXIFS($F$14:$F$1213,$A$14:$A$1213,$H160))&gt;1,"No",IF(NOT(ISNUMBER($AN160)),"—",IF((2*(1-NORMSDIST(ABS($AN160))))&lt;0.05,"Yes","No")))))</f>
        <v/>
      </c>
      <c r="N160" s="21">
        <f>IF($H160="","",IF(NOT(ISNUMBER($AN160)),"—",IF((2*(1-NORMSDIST(ABS($AN160))))&lt;0.001,"&lt;0.001",TEXT((2*(1-NORMSDIST(ABS($AN160)))),"0.000"))))</f>
        <v/>
      </c>
      <c r="P160" s="26" t="n"/>
      <c r="Q160" s="26" t="n"/>
      <c r="R160" s="26" t="n"/>
      <c r="S160" s="26" t="n"/>
      <c r="T160" s="26" t="n"/>
      <c r="V160" s="27">
        <f>IF(ISNUMBER($C160),COUNTIFS($A$14:$A$1213,$A160,$C$14:$C$1213,"&gt;"&amp;$C160)+(COUNTIFS($A$14:$A$1213,$A160,$C$14:$C$1213,"="&amp;$C160)+1)/2,"")</f>
        <v/>
      </c>
      <c r="W160" s="27">
        <f>IF(ISNUMBER($F160),COUNTIFS($A$14:$A$1213,$A160,$F$14:$F$1213,"&gt;"&amp;$F160)+(COUNTIFS($A$14:$A$1213,$A160,$F$14:$F$1213,"="&amp;$F160)+1)/2,"")</f>
        <v/>
      </c>
      <c r="X160" s="27">
        <f>IF(OR(NOT(ISNUMBER($V160)),$AO160=1),"",$V160-(COUNTIFS($A$14:$A$1213,$A160,$C$14:$C$1213,"&gt;=0")+1)/2)</f>
        <v/>
      </c>
      <c r="Y160" s="27">
        <f>IF(OR(NOT(ISNUMBER($W160)),$AO160=1),"",$W160-(COUNTIFS($A$14:$A$1213,$A160,$F$14:$F$1213,"&gt;=0")+1)/2)</f>
        <v/>
      </c>
      <c r="Z160" s="27">
        <f>IF(ISNUMBER($V160),$A160&amp;"|"&amp;$V160,"")</f>
        <v/>
      </c>
      <c r="AA160" s="27">
        <f>IF(ISNUMBER($W160),$A160&amp;"|"&amp;$W160,"")</f>
        <v/>
      </c>
      <c r="AB160" s="27">
        <f>IF(ISNUMBER($F160),$A160&amp;"|"&amp;$F160,"")</f>
        <v/>
      </c>
      <c r="AC160" s="27">
        <f>IF(ISNUMBER($P160),COUNTIFS($A$14:$A$1213,$A160,$P$14:$P$1213,"&gt;"&amp;$P160)+(COUNTIFS($A$14:$A$1213,$A160,$P$14:$P$1213,"="&amp;$P160)+1)/2,"")</f>
        <v/>
      </c>
      <c r="AD160" s="27">
        <f>IF(ISNUMBER($Q160),COUNTIFS($A$14:$A$1213,$A160,$Q$14:$Q$1213,"&gt;"&amp;$Q160)+(COUNTIFS($A$14:$A$1213,$A160,$Q$14:$Q$1213,"="&amp;$Q160)+1)/2,"")</f>
        <v/>
      </c>
      <c r="AE160" s="27">
        <f>IF(ISNUMBER($R160),COUNTIFS($A$14:$A$1213,$A160,$R$14:$R$1213,"&gt;"&amp;$R160)+(COUNTIFS($A$14:$A$1213,$A160,$R$14:$R$1213,"="&amp;$R160)+1)/2,"")</f>
        <v/>
      </c>
      <c r="AF160" s="27">
        <f>IF(ISNUMBER($S160),COUNTIFS($A$14:$A$1213,$A160,$S$14:$S$1213,"&gt;"&amp;$S160)+(COUNTIFS($A$14:$A$1213,$A160,$S$14:$S$1213,"="&amp;$S160)+1)/2,"")</f>
        <v/>
      </c>
      <c r="AG160" s="27">
        <f>IF(ISNUMBER($T160),COUNTIFS($A$14:$A$1213,$A160,$T$14:$T$1213,"&gt;"&amp;$T160)+(COUNTIFS($A$14:$A$1213,$A160,$T$14:$T$1213,"="&amp;$T160)+1)/2,"")</f>
        <v/>
      </c>
      <c r="AH160" s="27">
        <f>IF(COUNT($AC160:$AG160)&lt;2,"",IF(MAX($AC160:$AG160)=MIN($AC160:$AG160),0,1))</f>
        <v/>
      </c>
      <c r="AI160" s="27">
        <f>IF($A160="","",IF(COUNTIF($A$14:$A160,$A160)=1,COUNTIF($AI$13:AI159,"&gt;0")+1,""))</f>
        <v/>
      </c>
      <c r="AJ160" s="27">
        <f>IF(OR($H160="",COUNTIFS($A$14:$A$1213,$H160,$F$14:$F$1213,"&gt;=0")&lt;2,COUNTIFS($A$14:$A$1213,$H160,$F$14:$F$1213,_xlfn.MAXIFS($F$14:$F$1213,$A$14:$A$1213,$H160))&gt;1),"",IFERROR(INDEX($D$14:$D$1213,MATCH($H160&amp;"|"&amp;_xlfn.MAXIFS($F$14:$F$1213,$A$14:$A$1213,$H160),$AB$14:$AB$1213,0)),""))</f>
        <v/>
      </c>
      <c r="AK160" s="27">
        <f>IF(OR($H160="",COUNTIFS($A$14:$A$1213,$H160,$F$14:$F$1213,"&gt;=0")&lt;2,COUNTIFS($A$14:$A$1213,$H160,$F$14:$F$1213,_xlfn.MAXIFS($F$14:$F$1213,$A$14:$A$1213,$H160))&gt;1),"",IFERROR(INDEX($E$14:$E$1213,MATCH($H160&amp;"|"&amp;_xlfn.MAXIFS($F$14:$F$1213,$A$14:$A$1213,$H160),$AB$14:$AB$1213,0)),""))</f>
        <v/>
      </c>
      <c r="AL160" s="27">
        <f>IF(OR($H160="",COUNTIFS($A$14:$A$1213,$H160,$F$14:$F$1213,"&gt;=0")&lt;2,COUNTIFS($A$14:$A$1213,$H160,$F$14:$F$1213,_xlfn.MAXIFS($F$14:$F$1213,$A$14:$A$1213,$H160))&gt;1),"",IFERROR(INDEX($D$14:$D$1213,MATCH($H160&amp;"|"&amp;_xlfn.MAXIFS($F$14:$F$1213,$A$14:$A$1213,$H160,$F$14:$F$1213,"&lt;"&amp;_xlfn.MAXIFS($F$14:$F$1213,$A$14:$A$1213,$H160)),$AB$14:$AB$1213,0)),""))</f>
        <v/>
      </c>
      <c r="AM160" s="27">
        <f>IF(OR($H160="",COUNTIFS($A$14:$A$1213,$H160,$F$14:$F$1213,"&gt;=0")&lt;2,COUNTIFS($A$14:$A$1213,$H160,$F$14:$F$1213,_xlfn.MAXIFS($F$14:$F$1213,$A$14:$A$1213,$H160))&gt;1),"",IFERROR(INDEX($E$14:$E$1213,MATCH($H160&amp;"|"&amp;_xlfn.MAXIFS($F$14:$F$1213,$A$14:$A$1213,$H160,$F$14:$F$1213,"&lt;"&amp;_xlfn.MAXIFS($F$14:$F$1213,$A$14:$A$1213,$H160)),$AB$14:$AB$1213,0)),""))</f>
        <v/>
      </c>
      <c r="AN160" s="27">
        <f>IF(OR(NOT(ISNUMBER($AJ160)),NOT(ISNUMBER($AL160)),$AK160=0,$AM160=0),"",IF(OR((($AJ160+$AL160)/($AK160+$AM160))&lt;=0,(($AJ160+$AL160)/($AK160+$AM160))&gt;=1),"",($AJ160/$AK160-$AL160/$AM160)/SQRT((($AJ160+$AL160)/($AK160+$AM160))*(1-(($AJ160+$AL160)/($AK160+$AM160)))*(1/$AK160+1/$AM160))))</f>
        <v/>
      </c>
      <c r="AO160" s="27">
        <f>IF($A160="","",IF(AND(COUNTIFS($A$14:$A$1213,$A160,$F$14:$F$1213,"&gt;=0")=2,IFERROR(INDEX($M$14:$M$313,MATCH($A160,$H$14:$H$313,0)),"Yes")&lt;&gt;"Yes"),1,0))</f>
        <v/>
      </c>
    </row>
    <row r="161" ht="24" customHeight="1">
      <c r="A161" s="19" t="n"/>
      <c r="B161" s="20" t="n"/>
      <c r="C161" s="21">
        <f>IFERROR(AVERAGE(P161:T161),"")</f>
        <v/>
      </c>
      <c r="D161" s="29" t="n"/>
      <c r="E161" s="29" t="n"/>
      <c r="F161" s="30">
        <f>IF(AND(ISNUMBER($D161),ISNUMBER($E161),$E161&gt;0,$D161&lt;=$E161),$D161/$E161,"")</f>
        <v/>
      </c>
      <c r="H161" s="19">
        <f>IFERROR(INDEX($A$14:$A$1213,MATCH(148,$AI$14:$AI$1213,0)),"")</f>
        <v/>
      </c>
      <c r="I161" s="24">
        <f>IF($H161="","",IF(COUNTIFS($A$14:$A$1213,$H161,$C$14:$C$1213,"&gt;=0")=0,"—",IFERROR(INDEX($B$14:$B$1213,MATCH($H161&amp;"|1",$Z$14:$Z$1213,0)),"(tied)")))</f>
        <v/>
      </c>
      <c r="J161" s="25">
        <f>IF($H161="","",IF(OR(COUNTIFS($A$14:$A$1213,$H161,$C$14:$C$1213,"&gt;=0")=0,COUNTIFS($A$14:$A$1213,$H161,$F$14:$F$1213,"&gt;=0")=0),"—",IF(OR(ISERROR(MATCH($H161&amp;"|1",$Z$14:$Z$1213,0)),ISERROR(MATCH($H161&amp;"|1",$AA$14:$AA$1213,0))),"Tie",IF(MATCH($H161&amp;"|1",$Z$14:$Z$1213,0)=MATCH($H161&amp;"|1",$AA$14:$AA$1213,0),"Hit","Miss"))))</f>
        <v/>
      </c>
      <c r="K161" s="24">
        <f>IF($H161="","",IF(COUNTIFS($A$14:$A$1213,$H161,$F$14:$F$1213,"&gt;=0")=0,"—",IFERROR(INDEX($B$14:$B$1213,MATCH($H161&amp;"|1",$AA$14:$AA$1213,0)),"(tied)")))</f>
        <v/>
      </c>
      <c r="L161" s="25">
        <f>IF($H161="","",IF((--(COUNTIFS($A$14:$A$1213,$H161,$P$14:$P$1213,"&gt;=0")&gt;0)+--(COUNTIFS($A$14:$A$1213,$H161,$Q$14:$Q$1213,"&gt;=0")&gt;0)+--(COUNTIFS($A$14:$A$1213,$H161,$R$14:$R$1213,"&gt;=0")&gt;0)+--(COUNTIFS($A$14:$A$1213,$H161,$S$14:$S$1213,"&gt;=0")&gt;0)+--(COUNTIFS($A$14:$A$1213,$H161,$T$14:$T$1213,"&gt;=0")&gt;0))&lt;2,"—",IF(SUMIFS($AH$14:$AH$1213,$A$14:$A$1213,$H161)=0,"Yes","No")))</f>
        <v/>
      </c>
      <c r="M161" s="25">
        <f>IF($H161="","",IF(COUNTIFS($A$14:$A$1213,$H161,$F$14:$F$1213,"&gt;=0")&lt;2,"—",IF(COUNTIFS($A$14:$A$1213,$H161,$F$14:$F$1213,_xlfn.MAXIFS($F$14:$F$1213,$A$14:$A$1213,$H161))&gt;1,"No",IF(NOT(ISNUMBER($AN161)),"—",IF((2*(1-NORMSDIST(ABS($AN161))))&lt;0.05,"Yes","No")))))</f>
        <v/>
      </c>
      <c r="N161" s="21">
        <f>IF($H161="","",IF(NOT(ISNUMBER($AN161)),"—",IF((2*(1-NORMSDIST(ABS($AN161))))&lt;0.001,"&lt;0.001",TEXT((2*(1-NORMSDIST(ABS($AN161)))),"0.000"))))</f>
        <v/>
      </c>
      <c r="P161" s="26" t="n"/>
      <c r="Q161" s="26" t="n"/>
      <c r="R161" s="26" t="n"/>
      <c r="S161" s="26" t="n"/>
      <c r="T161" s="26" t="n"/>
      <c r="V161" s="27">
        <f>IF(ISNUMBER($C161),COUNTIFS($A$14:$A$1213,$A161,$C$14:$C$1213,"&gt;"&amp;$C161)+(COUNTIFS($A$14:$A$1213,$A161,$C$14:$C$1213,"="&amp;$C161)+1)/2,"")</f>
        <v/>
      </c>
      <c r="W161" s="27">
        <f>IF(ISNUMBER($F161),COUNTIFS($A$14:$A$1213,$A161,$F$14:$F$1213,"&gt;"&amp;$F161)+(COUNTIFS($A$14:$A$1213,$A161,$F$14:$F$1213,"="&amp;$F161)+1)/2,"")</f>
        <v/>
      </c>
      <c r="X161" s="27">
        <f>IF(OR(NOT(ISNUMBER($V161)),$AO161=1),"",$V161-(COUNTIFS($A$14:$A$1213,$A161,$C$14:$C$1213,"&gt;=0")+1)/2)</f>
        <v/>
      </c>
      <c r="Y161" s="27">
        <f>IF(OR(NOT(ISNUMBER($W161)),$AO161=1),"",$W161-(COUNTIFS($A$14:$A$1213,$A161,$F$14:$F$1213,"&gt;=0")+1)/2)</f>
        <v/>
      </c>
      <c r="Z161" s="27">
        <f>IF(ISNUMBER($V161),$A161&amp;"|"&amp;$V161,"")</f>
        <v/>
      </c>
      <c r="AA161" s="27">
        <f>IF(ISNUMBER($W161),$A161&amp;"|"&amp;$W161,"")</f>
        <v/>
      </c>
      <c r="AB161" s="27">
        <f>IF(ISNUMBER($F161),$A161&amp;"|"&amp;$F161,"")</f>
        <v/>
      </c>
      <c r="AC161" s="27">
        <f>IF(ISNUMBER($P161),COUNTIFS($A$14:$A$1213,$A161,$P$14:$P$1213,"&gt;"&amp;$P161)+(COUNTIFS($A$14:$A$1213,$A161,$P$14:$P$1213,"="&amp;$P161)+1)/2,"")</f>
        <v/>
      </c>
      <c r="AD161" s="27">
        <f>IF(ISNUMBER($Q161),COUNTIFS($A$14:$A$1213,$A161,$Q$14:$Q$1213,"&gt;"&amp;$Q161)+(COUNTIFS($A$14:$A$1213,$A161,$Q$14:$Q$1213,"="&amp;$Q161)+1)/2,"")</f>
        <v/>
      </c>
      <c r="AE161" s="27">
        <f>IF(ISNUMBER($R161),COUNTIFS($A$14:$A$1213,$A161,$R$14:$R$1213,"&gt;"&amp;$R161)+(COUNTIFS($A$14:$A$1213,$A161,$R$14:$R$1213,"="&amp;$R161)+1)/2,"")</f>
        <v/>
      </c>
      <c r="AF161" s="27">
        <f>IF(ISNUMBER($S161),COUNTIFS($A$14:$A$1213,$A161,$S$14:$S$1213,"&gt;"&amp;$S161)+(COUNTIFS($A$14:$A$1213,$A161,$S$14:$S$1213,"="&amp;$S161)+1)/2,"")</f>
        <v/>
      </c>
      <c r="AG161" s="27">
        <f>IF(ISNUMBER($T161),COUNTIFS($A$14:$A$1213,$A161,$T$14:$T$1213,"&gt;"&amp;$T161)+(COUNTIFS($A$14:$A$1213,$A161,$T$14:$T$1213,"="&amp;$T161)+1)/2,"")</f>
        <v/>
      </c>
      <c r="AH161" s="27">
        <f>IF(COUNT($AC161:$AG161)&lt;2,"",IF(MAX($AC161:$AG161)=MIN($AC161:$AG161),0,1))</f>
        <v/>
      </c>
      <c r="AI161" s="27">
        <f>IF($A161="","",IF(COUNTIF($A$14:$A161,$A161)=1,COUNTIF($AI$13:AI160,"&gt;0")+1,""))</f>
        <v/>
      </c>
      <c r="AJ161" s="27">
        <f>IF(OR($H161="",COUNTIFS($A$14:$A$1213,$H161,$F$14:$F$1213,"&gt;=0")&lt;2,COUNTIFS($A$14:$A$1213,$H161,$F$14:$F$1213,_xlfn.MAXIFS($F$14:$F$1213,$A$14:$A$1213,$H161))&gt;1),"",IFERROR(INDEX($D$14:$D$1213,MATCH($H161&amp;"|"&amp;_xlfn.MAXIFS($F$14:$F$1213,$A$14:$A$1213,$H161),$AB$14:$AB$1213,0)),""))</f>
        <v/>
      </c>
      <c r="AK161" s="27">
        <f>IF(OR($H161="",COUNTIFS($A$14:$A$1213,$H161,$F$14:$F$1213,"&gt;=0")&lt;2,COUNTIFS($A$14:$A$1213,$H161,$F$14:$F$1213,_xlfn.MAXIFS($F$14:$F$1213,$A$14:$A$1213,$H161))&gt;1),"",IFERROR(INDEX($E$14:$E$1213,MATCH($H161&amp;"|"&amp;_xlfn.MAXIFS($F$14:$F$1213,$A$14:$A$1213,$H161),$AB$14:$AB$1213,0)),""))</f>
        <v/>
      </c>
      <c r="AL161" s="27">
        <f>IF(OR($H161="",COUNTIFS($A$14:$A$1213,$H161,$F$14:$F$1213,"&gt;=0")&lt;2,COUNTIFS($A$14:$A$1213,$H161,$F$14:$F$1213,_xlfn.MAXIFS($F$14:$F$1213,$A$14:$A$1213,$H161))&gt;1),"",IFERROR(INDEX($D$14:$D$1213,MATCH($H161&amp;"|"&amp;_xlfn.MAXIFS($F$14:$F$1213,$A$14:$A$1213,$H161,$F$14:$F$1213,"&lt;"&amp;_xlfn.MAXIFS($F$14:$F$1213,$A$14:$A$1213,$H161)),$AB$14:$AB$1213,0)),""))</f>
        <v/>
      </c>
      <c r="AM161" s="27">
        <f>IF(OR($H161="",COUNTIFS($A$14:$A$1213,$H161,$F$14:$F$1213,"&gt;=0")&lt;2,COUNTIFS($A$14:$A$1213,$H161,$F$14:$F$1213,_xlfn.MAXIFS($F$14:$F$1213,$A$14:$A$1213,$H161))&gt;1),"",IFERROR(INDEX($E$14:$E$1213,MATCH($H161&amp;"|"&amp;_xlfn.MAXIFS($F$14:$F$1213,$A$14:$A$1213,$H161,$F$14:$F$1213,"&lt;"&amp;_xlfn.MAXIFS($F$14:$F$1213,$A$14:$A$1213,$H161)),$AB$14:$AB$1213,0)),""))</f>
        <v/>
      </c>
      <c r="AN161" s="27">
        <f>IF(OR(NOT(ISNUMBER($AJ161)),NOT(ISNUMBER($AL161)),$AK161=0,$AM161=0),"",IF(OR((($AJ161+$AL161)/($AK161+$AM161))&lt;=0,(($AJ161+$AL161)/($AK161+$AM161))&gt;=1),"",($AJ161/$AK161-$AL161/$AM161)/SQRT((($AJ161+$AL161)/($AK161+$AM161))*(1-(($AJ161+$AL161)/($AK161+$AM161)))*(1/$AK161+1/$AM161))))</f>
        <v/>
      </c>
      <c r="AO161" s="27">
        <f>IF($A161="","",IF(AND(COUNTIFS($A$14:$A$1213,$A161,$F$14:$F$1213,"&gt;=0")=2,IFERROR(INDEX($M$14:$M$313,MATCH($A161,$H$14:$H$313,0)),"Yes")&lt;&gt;"Yes"),1,0))</f>
        <v/>
      </c>
    </row>
    <row r="162" ht="24" customHeight="1">
      <c r="A162" s="19" t="n"/>
      <c r="B162" s="20" t="n"/>
      <c r="C162" s="21">
        <f>IFERROR(AVERAGE(P162:T162),"")</f>
        <v/>
      </c>
      <c r="D162" s="29" t="n"/>
      <c r="E162" s="29" t="n"/>
      <c r="F162" s="30">
        <f>IF(AND(ISNUMBER($D162),ISNUMBER($E162),$E162&gt;0,$D162&lt;=$E162),$D162/$E162,"")</f>
        <v/>
      </c>
      <c r="H162" s="19">
        <f>IFERROR(INDEX($A$14:$A$1213,MATCH(149,$AI$14:$AI$1213,0)),"")</f>
        <v/>
      </c>
      <c r="I162" s="24">
        <f>IF($H162="","",IF(COUNTIFS($A$14:$A$1213,$H162,$C$14:$C$1213,"&gt;=0")=0,"—",IFERROR(INDEX($B$14:$B$1213,MATCH($H162&amp;"|1",$Z$14:$Z$1213,0)),"(tied)")))</f>
        <v/>
      </c>
      <c r="J162" s="25">
        <f>IF($H162="","",IF(OR(COUNTIFS($A$14:$A$1213,$H162,$C$14:$C$1213,"&gt;=0")=0,COUNTIFS($A$14:$A$1213,$H162,$F$14:$F$1213,"&gt;=0")=0),"—",IF(OR(ISERROR(MATCH($H162&amp;"|1",$Z$14:$Z$1213,0)),ISERROR(MATCH($H162&amp;"|1",$AA$14:$AA$1213,0))),"Tie",IF(MATCH($H162&amp;"|1",$Z$14:$Z$1213,0)=MATCH($H162&amp;"|1",$AA$14:$AA$1213,0),"Hit","Miss"))))</f>
        <v/>
      </c>
      <c r="K162" s="24">
        <f>IF($H162="","",IF(COUNTIFS($A$14:$A$1213,$H162,$F$14:$F$1213,"&gt;=0")=0,"—",IFERROR(INDEX($B$14:$B$1213,MATCH($H162&amp;"|1",$AA$14:$AA$1213,0)),"(tied)")))</f>
        <v/>
      </c>
      <c r="L162" s="25">
        <f>IF($H162="","",IF((--(COUNTIFS($A$14:$A$1213,$H162,$P$14:$P$1213,"&gt;=0")&gt;0)+--(COUNTIFS($A$14:$A$1213,$H162,$Q$14:$Q$1213,"&gt;=0")&gt;0)+--(COUNTIFS($A$14:$A$1213,$H162,$R$14:$R$1213,"&gt;=0")&gt;0)+--(COUNTIFS($A$14:$A$1213,$H162,$S$14:$S$1213,"&gt;=0")&gt;0)+--(COUNTIFS($A$14:$A$1213,$H162,$T$14:$T$1213,"&gt;=0")&gt;0))&lt;2,"—",IF(SUMIFS($AH$14:$AH$1213,$A$14:$A$1213,$H162)=0,"Yes","No")))</f>
        <v/>
      </c>
      <c r="M162" s="25">
        <f>IF($H162="","",IF(COUNTIFS($A$14:$A$1213,$H162,$F$14:$F$1213,"&gt;=0")&lt;2,"—",IF(COUNTIFS($A$14:$A$1213,$H162,$F$14:$F$1213,_xlfn.MAXIFS($F$14:$F$1213,$A$14:$A$1213,$H162))&gt;1,"No",IF(NOT(ISNUMBER($AN162)),"—",IF((2*(1-NORMSDIST(ABS($AN162))))&lt;0.05,"Yes","No")))))</f>
        <v/>
      </c>
      <c r="N162" s="21">
        <f>IF($H162="","",IF(NOT(ISNUMBER($AN162)),"—",IF((2*(1-NORMSDIST(ABS($AN162))))&lt;0.001,"&lt;0.001",TEXT((2*(1-NORMSDIST(ABS($AN162)))),"0.000"))))</f>
        <v/>
      </c>
      <c r="P162" s="26" t="n"/>
      <c r="Q162" s="26" t="n"/>
      <c r="R162" s="26" t="n"/>
      <c r="S162" s="26" t="n"/>
      <c r="T162" s="26" t="n"/>
      <c r="V162" s="27">
        <f>IF(ISNUMBER($C162),COUNTIFS($A$14:$A$1213,$A162,$C$14:$C$1213,"&gt;"&amp;$C162)+(COUNTIFS($A$14:$A$1213,$A162,$C$14:$C$1213,"="&amp;$C162)+1)/2,"")</f>
        <v/>
      </c>
      <c r="W162" s="27">
        <f>IF(ISNUMBER($F162),COUNTIFS($A$14:$A$1213,$A162,$F$14:$F$1213,"&gt;"&amp;$F162)+(COUNTIFS($A$14:$A$1213,$A162,$F$14:$F$1213,"="&amp;$F162)+1)/2,"")</f>
        <v/>
      </c>
      <c r="X162" s="27">
        <f>IF(OR(NOT(ISNUMBER($V162)),$AO162=1),"",$V162-(COUNTIFS($A$14:$A$1213,$A162,$C$14:$C$1213,"&gt;=0")+1)/2)</f>
        <v/>
      </c>
      <c r="Y162" s="27">
        <f>IF(OR(NOT(ISNUMBER($W162)),$AO162=1),"",$W162-(COUNTIFS($A$14:$A$1213,$A162,$F$14:$F$1213,"&gt;=0")+1)/2)</f>
        <v/>
      </c>
      <c r="Z162" s="27">
        <f>IF(ISNUMBER($V162),$A162&amp;"|"&amp;$V162,"")</f>
        <v/>
      </c>
      <c r="AA162" s="27">
        <f>IF(ISNUMBER($W162),$A162&amp;"|"&amp;$W162,"")</f>
        <v/>
      </c>
      <c r="AB162" s="27">
        <f>IF(ISNUMBER($F162),$A162&amp;"|"&amp;$F162,"")</f>
        <v/>
      </c>
      <c r="AC162" s="27">
        <f>IF(ISNUMBER($P162),COUNTIFS($A$14:$A$1213,$A162,$P$14:$P$1213,"&gt;"&amp;$P162)+(COUNTIFS($A$14:$A$1213,$A162,$P$14:$P$1213,"="&amp;$P162)+1)/2,"")</f>
        <v/>
      </c>
      <c r="AD162" s="27">
        <f>IF(ISNUMBER($Q162),COUNTIFS($A$14:$A$1213,$A162,$Q$14:$Q$1213,"&gt;"&amp;$Q162)+(COUNTIFS($A$14:$A$1213,$A162,$Q$14:$Q$1213,"="&amp;$Q162)+1)/2,"")</f>
        <v/>
      </c>
      <c r="AE162" s="27">
        <f>IF(ISNUMBER($R162),COUNTIFS($A$14:$A$1213,$A162,$R$14:$R$1213,"&gt;"&amp;$R162)+(COUNTIFS($A$14:$A$1213,$A162,$R$14:$R$1213,"="&amp;$R162)+1)/2,"")</f>
        <v/>
      </c>
      <c r="AF162" s="27">
        <f>IF(ISNUMBER($S162),COUNTIFS($A$14:$A$1213,$A162,$S$14:$S$1213,"&gt;"&amp;$S162)+(COUNTIFS($A$14:$A$1213,$A162,$S$14:$S$1213,"="&amp;$S162)+1)/2,"")</f>
        <v/>
      </c>
      <c r="AG162" s="27">
        <f>IF(ISNUMBER($T162),COUNTIFS($A$14:$A$1213,$A162,$T$14:$T$1213,"&gt;"&amp;$T162)+(COUNTIFS($A$14:$A$1213,$A162,$T$14:$T$1213,"="&amp;$T162)+1)/2,"")</f>
        <v/>
      </c>
      <c r="AH162" s="27">
        <f>IF(COUNT($AC162:$AG162)&lt;2,"",IF(MAX($AC162:$AG162)=MIN($AC162:$AG162),0,1))</f>
        <v/>
      </c>
      <c r="AI162" s="27">
        <f>IF($A162="","",IF(COUNTIF($A$14:$A162,$A162)=1,COUNTIF($AI$13:AI161,"&gt;0")+1,""))</f>
        <v/>
      </c>
      <c r="AJ162" s="27">
        <f>IF(OR($H162="",COUNTIFS($A$14:$A$1213,$H162,$F$14:$F$1213,"&gt;=0")&lt;2,COUNTIFS($A$14:$A$1213,$H162,$F$14:$F$1213,_xlfn.MAXIFS($F$14:$F$1213,$A$14:$A$1213,$H162))&gt;1),"",IFERROR(INDEX($D$14:$D$1213,MATCH($H162&amp;"|"&amp;_xlfn.MAXIFS($F$14:$F$1213,$A$14:$A$1213,$H162),$AB$14:$AB$1213,0)),""))</f>
        <v/>
      </c>
      <c r="AK162" s="27">
        <f>IF(OR($H162="",COUNTIFS($A$14:$A$1213,$H162,$F$14:$F$1213,"&gt;=0")&lt;2,COUNTIFS($A$14:$A$1213,$H162,$F$14:$F$1213,_xlfn.MAXIFS($F$14:$F$1213,$A$14:$A$1213,$H162))&gt;1),"",IFERROR(INDEX($E$14:$E$1213,MATCH($H162&amp;"|"&amp;_xlfn.MAXIFS($F$14:$F$1213,$A$14:$A$1213,$H162),$AB$14:$AB$1213,0)),""))</f>
        <v/>
      </c>
      <c r="AL162" s="27">
        <f>IF(OR($H162="",COUNTIFS($A$14:$A$1213,$H162,$F$14:$F$1213,"&gt;=0")&lt;2,COUNTIFS($A$14:$A$1213,$H162,$F$14:$F$1213,_xlfn.MAXIFS($F$14:$F$1213,$A$14:$A$1213,$H162))&gt;1),"",IFERROR(INDEX($D$14:$D$1213,MATCH($H162&amp;"|"&amp;_xlfn.MAXIFS($F$14:$F$1213,$A$14:$A$1213,$H162,$F$14:$F$1213,"&lt;"&amp;_xlfn.MAXIFS($F$14:$F$1213,$A$14:$A$1213,$H162)),$AB$14:$AB$1213,0)),""))</f>
        <v/>
      </c>
      <c r="AM162" s="27">
        <f>IF(OR($H162="",COUNTIFS($A$14:$A$1213,$H162,$F$14:$F$1213,"&gt;=0")&lt;2,COUNTIFS($A$14:$A$1213,$H162,$F$14:$F$1213,_xlfn.MAXIFS($F$14:$F$1213,$A$14:$A$1213,$H162))&gt;1),"",IFERROR(INDEX($E$14:$E$1213,MATCH($H162&amp;"|"&amp;_xlfn.MAXIFS($F$14:$F$1213,$A$14:$A$1213,$H162,$F$14:$F$1213,"&lt;"&amp;_xlfn.MAXIFS($F$14:$F$1213,$A$14:$A$1213,$H162)),$AB$14:$AB$1213,0)),""))</f>
        <v/>
      </c>
      <c r="AN162" s="27">
        <f>IF(OR(NOT(ISNUMBER($AJ162)),NOT(ISNUMBER($AL162)),$AK162=0,$AM162=0),"",IF(OR((($AJ162+$AL162)/($AK162+$AM162))&lt;=0,(($AJ162+$AL162)/($AK162+$AM162))&gt;=1),"",($AJ162/$AK162-$AL162/$AM162)/SQRT((($AJ162+$AL162)/($AK162+$AM162))*(1-(($AJ162+$AL162)/($AK162+$AM162)))*(1/$AK162+1/$AM162))))</f>
        <v/>
      </c>
      <c r="AO162" s="27">
        <f>IF($A162="","",IF(AND(COUNTIFS($A$14:$A$1213,$A162,$F$14:$F$1213,"&gt;=0")=2,IFERROR(INDEX($M$14:$M$313,MATCH($A162,$H$14:$H$313,0)),"Yes")&lt;&gt;"Yes"),1,0))</f>
        <v/>
      </c>
    </row>
    <row r="163" ht="24" customHeight="1">
      <c r="A163" s="19" t="n"/>
      <c r="B163" s="20" t="n"/>
      <c r="C163" s="21">
        <f>IFERROR(AVERAGE(P163:T163),"")</f>
        <v/>
      </c>
      <c r="D163" s="29" t="n"/>
      <c r="E163" s="29" t="n"/>
      <c r="F163" s="30">
        <f>IF(AND(ISNUMBER($D163),ISNUMBER($E163),$E163&gt;0,$D163&lt;=$E163),$D163/$E163,"")</f>
        <v/>
      </c>
      <c r="H163" s="19">
        <f>IFERROR(INDEX($A$14:$A$1213,MATCH(150,$AI$14:$AI$1213,0)),"")</f>
        <v/>
      </c>
      <c r="I163" s="24">
        <f>IF($H163="","",IF(COUNTIFS($A$14:$A$1213,$H163,$C$14:$C$1213,"&gt;=0")=0,"—",IFERROR(INDEX($B$14:$B$1213,MATCH($H163&amp;"|1",$Z$14:$Z$1213,0)),"(tied)")))</f>
        <v/>
      </c>
      <c r="J163" s="25">
        <f>IF($H163="","",IF(OR(COUNTIFS($A$14:$A$1213,$H163,$C$14:$C$1213,"&gt;=0")=0,COUNTIFS($A$14:$A$1213,$H163,$F$14:$F$1213,"&gt;=0")=0),"—",IF(OR(ISERROR(MATCH($H163&amp;"|1",$Z$14:$Z$1213,0)),ISERROR(MATCH($H163&amp;"|1",$AA$14:$AA$1213,0))),"Tie",IF(MATCH($H163&amp;"|1",$Z$14:$Z$1213,0)=MATCH($H163&amp;"|1",$AA$14:$AA$1213,0),"Hit","Miss"))))</f>
        <v/>
      </c>
      <c r="K163" s="24">
        <f>IF($H163="","",IF(COUNTIFS($A$14:$A$1213,$H163,$F$14:$F$1213,"&gt;=0")=0,"—",IFERROR(INDEX($B$14:$B$1213,MATCH($H163&amp;"|1",$AA$14:$AA$1213,0)),"(tied)")))</f>
        <v/>
      </c>
      <c r="L163" s="25">
        <f>IF($H163="","",IF((--(COUNTIFS($A$14:$A$1213,$H163,$P$14:$P$1213,"&gt;=0")&gt;0)+--(COUNTIFS($A$14:$A$1213,$H163,$Q$14:$Q$1213,"&gt;=0")&gt;0)+--(COUNTIFS($A$14:$A$1213,$H163,$R$14:$R$1213,"&gt;=0")&gt;0)+--(COUNTIFS($A$14:$A$1213,$H163,$S$14:$S$1213,"&gt;=0")&gt;0)+--(COUNTIFS($A$14:$A$1213,$H163,$T$14:$T$1213,"&gt;=0")&gt;0))&lt;2,"—",IF(SUMIFS($AH$14:$AH$1213,$A$14:$A$1213,$H163)=0,"Yes","No")))</f>
        <v/>
      </c>
      <c r="M163" s="25">
        <f>IF($H163="","",IF(COUNTIFS($A$14:$A$1213,$H163,$F$14:$F$1213,"&gt;=0")&lt;2,"—",IF(COUNTIFS($A$14:$A$1213,$H163,$F$14:$F$1213,_xlfn.MAXIFS($F$14:$F$1213,$A$14:$A$1213,$H163))&gt;1,"No",IF(NOT(ISNUMBER($AN163)),"—",IF((2*(1-NORMSDIST(ABS($AN163))))&lt;0.05,"Yes","No")))))</f>
        <v/>
      </c>
      <c r="N163" s="21">
        <f>IF($H163="","",IF(NOT(ISNUMBER($AN163)),"—",IF((2*(1-NORMSDIST(ABS($AN163))))&lt;0.001,"&lt;0.001",TEXT((2*(1-NORMSDIST(ABS($AN163)))),"0.000"))))</f>
        <v/>
      </c>
      <c r="P163" s="26" t="n"/>
      <c r="Q163" s="26" t="n"/>
      <c r="R163" s="26" t="n"/>
      <c r="S163" s="26" t="n"/>
      <c r="T163" s="26" t="n"/>
      <c r="V163" s="27">
        <f>IF(ISNUMBER($C163),COUNTIFS($A$14:$A$1213,$A163,$C$14:$C$1213,"&gt;"&amp;$C163)+(COUNTIFS($A$14:$A$1213,$A163,$C$14:$C$1213,"="&amp;$C163)+1)/2,"")</f>
        <v/>
      </c>
      <c r="W163" s="27">
        <f>IF(ISNUMBER($F163),COUNTIFS($A$14:$A$1213,$A163,$F$14:$F$1213,"&gt;"&amp;$F163)+(COUNTIFS($A$14:$A$1213,$A163,$F$14:$F$1213,"="&amp;$F163)+1)/2,"")</f>
        <v/>
      </c>
      <c r="X163" s="27">
        <f>IF(OR(NOT(ISNUMBER($V163)),$AO163=1),"",$V163-(COUNTIFS($A$14:$A$1213,$A163,$C$14:$C$1213,"&gt;=0")+1)/2)</f>
        <v/>
      </c>
      <c r="Y163" s="27">
        <f>IF(OR(NOT(ISNUMBER($W163)),$AO163=1),"",$W163-(COUNTIFS($A$14:$A$1213,$A163,$F$14:$F$1213,"&gt;=0")+1)/2)</f>
        <v/>
      </c>
      <c r="Z163" s="27">
        <f>IF(ISNUMBER($V163),$A163&amp;"|"&amp;$V163,"")</f>
        <v/>
      </c>
      <c r="AA163" s="27">
        <f>IF(ISNUMBER($W163),$A163&amp;"|"&amp;$W163,"")</f>
        <v/>
      </c>
      <c r="AB163" s="27">
        <f>IF(ISNUMBER($F163),$A163&amp;"|"&amp;$F163,"")</f>
        <v/>
      </c>
      <c r="AC163" s="27">
        <f>IF(ISNUMBER($P163),COUNTIFS($A$14:$A$1213,$A163,$P$14:$P$1213,"&gt;"&amp;$P163)+(COUNTIFS($A$14:$A$1213,$A163,$P$14:$P$1213,"="&amp;$P163)+1)/2,"")</f>
        <v/>
      </c>
      <c r="AD163" s="27">
        <f>IF(ISNUMBER($Q163),COUNTIFS($A$14:$A$1213,$A163,$Q$14:$Q$1213,"&gt;"&amp;$Q163)+(COUNTIFS($A$14:$A$1213,$A163,$Q$14:$Q$1213,"="&amp;$Q163)+1)/2,"")</f>
        <v/>
      </c>
      <c r="AE163" s="27">
        <f>IF(ISNUMBER($R163),COUNTIFS($A$14:$A$1213,$A163,$R$14:$R$1213,"&gt;"&amp;$R163)+(COUNTIFS($A$14:$A$1213,$A163,$R$14:$R$1213,"="&amp;$R163)+1)/2,"")</f>
        <v/>
      </c>
      <c r="AF163" s="27">
        <f>IF(ISNUMBER($S163),COUNTIFS($A$14:$A$1213,$A163,$S$14:$S$1213,"&gt;"&amp;$S163)+(COUNTIFS($A$14:$A$1213,$A163,$S$14:$S$1213,"="&amp;$S163)+1)/2,"")</f>
        <v/>
      </c>
      <c r="AG163" s="27">
        <f>IF(ISNUMBER($T163),COUNTIFS($A$14:$A$1213,$A163,$T$14:$T$1213,"&gt;"&amp;$T163)+(COUNTIFS($A$14:$A$1213,$A163,$T$14:$T$1213,"="&amp;$T163)+1)/2,"")</f>
        <v/>
      </c>
      <c r="AH163" s="27">
        <f>IF(COUNT($AC163:$AG163)&lt;2,"",IF(MAX($AC163:$AG163)=MIN($AC163:$AG163),0,1))</f>
        <v/>
      </c>
      <c r="AI163" s="27">
        <f>IF($A163="","",IF(COUNTIF($A$14:$A163,$A163)=1,COUNTIF($AI$13:AI162,"&gt;0")+1,""))</f>
        <v/>
      </c>
      <c r="AJ163" s="27">
        <f>IF(OR($H163="",COUNTIFS($A$14:$A$1213,$H163,$F$14:$F$1213,"&gt;=0")&lt;2,COUNTIFS($A$14:$A$1213,$H163,$F$14:$F$1213,_xlfn.MAXIFS($F$14:$F$1213,$A$14:$A$1213,$H163))&gt;1),"",IFERROR(INDEX($D$14:$D$1213,MATCH($H163&amp;"|"&amp;_xlfn.MAXIFS($F$14:$F$1213,$A$14:$A$1213,$H163),$AB$14:$AB$1213,0)),""))</f>
        <v/>
      </c>
      <c r="AK163" s="27">
        <f>IF(OR($H163="",COUNTIFS($A$14:$A$1213,$H163,$F$14:$F$1213,"&gt;=0")&lt;2,COUNTIFS($A$14:$A$1213,$H163,$F$14:$F$1213,_xlfn.MAXIFS($F$14:$F$1213,$A$14:$A$1213,$H163))&gt;1),"",IFERROR(INDEX($E$14:$E$1213,MATCH($H163&amp;"|"&amp;_xlfn.MAXIFS($F$14:$F$1213,$A$14:$A$1213,$H163),$AB$14:$AB$1213,0)),""))</f>
        <v/>
      </c>
      <c r="AL163" s="27">
        <f>IF(OR($H163="",COUNTIFS($A$14:$A$1213,$H163,$F$14:$F$1213,"&gt;=0")&lt;2,COUNTIFS($A$14:$A$1213,$H163,$F$14:$F$1213,_xlfn.MAXIFS($F$14:$F$1213,$A$14:$A$1213,$H163))&gt;1),"",IFERROR(INDEX($D$14:$D$1213,MATCH($H163&amp;"|"&amp;_xlfn.MAXIFS($F$14:$F$1213,$A$14:$A$1213,$H163,$F$14:$F$1213,"&lt;"&amp;_xlfn.MAXIFS($F$14:$F$1213,$A$14:$A$1213,$H163)),$AB$14:$AB$1213,0)),""))</f>
        <v/>
      </c>
      <c r="AM163" s="27">
        <f>IF(OR($H163="",COUNTIFS($A$14:$A$1213,$H163,$F$14:$F$1213,"&gt;=0")&lt;2,COUNTIFS($A$14:$A$1213,$H163,$F$14:$F$1213,_xlfn.MAXIFS($F$14:$F$1213,$A$14:$A$1213,$H163))&gt;1),"",IFERROR(INDEX($E$14:$E$1213,MATCH($H163&amp;"|"&amp;_xlfn.MAXIFS($F$14:$F$1213,$A$14:$A$1213,$H163,$F$14:$F$1213,"&lt;"&amp;_xlfn.MAXIFS($F$14:$F$1213,$A$14:$A$1213,$H163)),$AB$14:$AB$1213,0)),""))</f>
        <v/>
      </c>
      <c r="AN163" s="27">
        <f>IF(OR(NOT(ISNUMBER($AJ163)),NOT(ISNUMBER($AL163)),$AK163=0,$AM163=0),"",IF(OR((($AJ163+$AL163)/($AK163+$AM163))&lt;=0,(($AJ163+$AL163)/($AK163+$AM163))&gt;=1),"",($AJ163/$AK163-$AL163/$AM163)/SQRT((($AJ163+$AL163)/($AK163+$AM163))*(1-(($AJ163+$AL163)/($AK163+$AM163)))*(1/$AK163+1/$AM163))))</f>
        <v/>
      </c>
      <c r="AO163" s="27">
        <f>IF($A163="","",IF(AND(COUNTIFS($A$14:$A$1213,$A163,$F$14:$F$1213,"&gt;=0")=2,IFERROR(INDEX($M$14:$M$313,MATCH($A163,$H$14:$H$313,0)),"Yes")&lt;&gt;"Yes"),1,0))</f>
        <v/>
      </c>
    </row>
    <row r="164" ht="24" customHeight="1">
      <c r="A164" s="19" t="n"/>
      <c r="B164" s="20" t="n"/>
      <c r="C164" s="21">
        <f>IFERROR(AVERAGE(P164:T164),"")</f>
        <v/>
      </c>
      <c r="D164" s="29" t="n"/>
      <c r="E164" s="29" t="n"/>
      <c r="F164" s="30">
        <f>IF(AND(ISNUMBER($D164),ISNUMBER($E164),$E164&gt;0,$D164&lt;=$E164),$D164/$E164,"")</f>
        <v/>
      </c>
      <c r="H164" s="19">
        <f>IFERROR(INDEX($A$14:$A$1213,MATCH(151,$AI$14:$AI$1213,0)),"")</f>
        <v/>
      </c>
      <c r="I164" s="24">
        <f>IF($H164="","",IF(COUNTIFS($A$14:$A$1213,$H164,$C$14:$C$1213,"&gt;=0")=0,"—",IFERROR(INDEX($B$14:$B$1213,MATCH($H164&amp;"|1",$Z$14:$Z$1213,0)),"(tied)")))</f>
        <v/>
      </c>
      <c r="J164" s="25">
        <f>IF($H164="","",IF(OR(COUNTIFS($A$14:$A$1213,$H164,$C$14:$C$1213,"&gt;=0")=0,COUNTIFS($A$14:$A$1213,$H164,$F$14:$F$1213,"&gt;=0")=0),"—",IF(OR(ISERROR(MATCH($H164&amp;"|1",$Z$14:$Z$1213,0)),ISERROR(MATCH($H164&amp;"|1",$AA$14:$AA$1213,0))),"Tie",IF(MATCH($H164&amp;"|1",$Z$14:$Z$1213,0)=MATCH($H164&amp;"|1",$AA$14:$AA$1213,0),"Hit","Miss"))))</f>
        <v/>
      </c>
      <c r="K164" s="24">
        <f>IF($H164="","",IF(COUNTIFS($A$14:$A$1213,$H164,$F$14:$F$1213,"&gt;=0")=0,"—",IFERROR(INDEX($B$14:$B$1213,MATCH($H164&amp;"|1",$AA$14:$AA$1213,0)),"(tied)")))</f>
        <v/>
      </c>
      <c r="L164" s="25">
        <f>IF($H164="","",IF((--(COUNTIFS($A$14:$A$1213,$H164,$P$14:$P$1213,"&gt;=0")&gt;0)+--(COUNTIFS($A$14:$A$1213,$H164,$Q$14:$Q$1213,"&gt;=0")&gt;0)+--(COUNTIFS($A$14:$A$1213,$H164,$R$14:$R$1213,"&gt;=0")&gt;0)+--(COUNTIFS($A$14:$A$1213,$H164,$S$14:$S$1213,"&gt;=0")&gt;0)+--(COUNTIFS($A$14:$A$1213,$H164,$T$14:$T$1213,"&gt;=0")&gt;0))&lt;2,"—",IF(SUMIFS($AH$14:$AH$1213,$A$14:$A$1213,$H164)=0,"Yes","No")))</f>
        <v/>
      </c>
      <c r="M164" s="25">
        <f>IF($H164="","",IF(COUNTIFS($A$14:$A$1213,$H164,$F$14:$F$1213,"&gt;=0")&lt;2,"—",IF(COUNTIFS($A$14:$A$1213,$H164,$F$14:$F$1213,_xlfn.MAXIFS($F$14:$F$1213,$A$14:$A$1213,$H164))&gt;1,"No",IF(NOT(ISNUMBER($AN164)),"—",IF((2*(1-NORMSDIST(ABS($AN164))))&lt;0.05,"Yes","No")))))</f>
        <v/>
      </c>
      <c r="N164" s="21">
        <f>IF($H164="","",IF(NOT(ISNUMBER($AN164)),"—",IF((2*(1-NORMSDIST(ABS($AN164))))&lt;0.001,"&lt;0.001",TEXT((2*(1-NORMSDIST(ABS($AN164)))),"0.000"))))</f>
        <v/>
      </c>
      <c r="P164" s="26" t="n"/>
      <c r="Q164" s="26" t="n"/>
      <c r="R164" s="26" t="n"/>
      <c r="S164" s="26" t="n"/>
      <c r="T164" s="26" t="n"/>
      <c r="V164" s="27">
        <f>IF(ISNUMBER($C164),COUNTIFS($A$14:$A$1213,$A164,$C$14:$C$1213,"&gt;"&amp;$C164)+(COUNTIFS($A$14:$A$1213,$A164,$C$14:$C$1213,"="&amp;$C164)+1)/2,"")</f>
        <v/>
      </c>
      <c r="W164" s="27">
        <f>IF(ISNUMBER($F164),COUNTIFS($A$14:$A$1213,$A164,$F$14:$F$1213,"&gt;"&amp;$F164)+(COUNTIFS($A$14:$A$1213,$A164,$F$14:$F$1213,"="&amp;$F164)+1)/2,"")</f>
        <v/>
      </c>
      <c r="X164" s="27">
        <f>IF(OR(NOT(ISNUMBER($V164)),$AO164=1),"",$V164-(COUNTIFS($A$14:$A$1213,$A164,$C$14:$C$1213,"&gt;=0")+1)/2)</f>
        <v/>
      </c>
      <c r="Y164" s="27">
        <f>IF(OR(NOT(ISNUMBER($W164)),$AO164=1),"",$W164-(COUNTIFS($A$14:$A$1213,$A164,$F$14:$F$1213,"&gt;=0")+1)/2)</f>
        <v/>
      </c>
      <c r="Z164" s="27">
        <f>IF(ISNUMBER($V164),$A164&amp;"|"&amp;$V164,"")</f>
        <v/>
      </c>
      <c r="AA164" s="27">
        <f>IF(ISNUMBER($W164),$A164&amp;"|"&amp;$W164,"")</f>
        <v/>
      </c>
      <c r="AB164" s="27">
        <f>IF(ISNUMBER($F164),$A164&amp;"|"&amp;$F164,"")</f>
        <v/>
      </c>
      <c r="AC164" s="27">
        <f>IF(ISNUMBER($P164),COUNTIFS($A$14:$A$1213,$A164,$P$14:$P$1213,"&gt;"&amp;$P164)+(COUNTIFS($A$14:$A$1213,$A164,$P$14:$P$1213,"="&amp;$P164)+1)/2,"")</f>
        <v/>
      </c>
      <c r="AD164" s="27">
        <f>IF(ISNUMBER($Q164),COUNTIFS($A$14:$A$1213,$A164,$Q$14:$Q$1213,"&gt;"&amp;$Q164)+(COUNTIFS($A$14:$A$1213,$A164,$Q$14:$Q$1213,"="&amp;$Q164)+1)/2,"")</f>
        <v/>
      </c>
      <c r="AE164" s="27">
        <f>IF(ISNUMBER($R164),COUNTIFS($A$14:$A$1213,$A164,$R$14:$R$1213,"&gt;"&amp;$R164)+(COUNTIFS($A$14:$A$1213,$A164,$R$14:$R$1213,"="&amp;$R164)+1)/2,"")</f>
        <v/>
      </c>
      <c r="AF164" s="27">
        <f>IF(ISNUMBER($S164),COUNTIFS($A$14:$A$1213,$A164,$S$14:$S$1213,"&gt;"&amp;$S164)+(COUNTIFS($A$14:$A$1213,$A164,$S$14:$S$1213,"="&amp;$S164)+1)/2,"")</f>
        <v/>
      </c>
      <c r="AG164" s="27">
        <f>IF(ISNUMBER($T164),COUNTIFS($A$14:$A$1213,$A164,$T$14:$T$1213,"&gt;"&amp;$T164)+(COUNTIFS($A$14:$A$1213,$A164,$T$14:$T$1213,"="&amp;$T164)+1)/2,"")</f>
        <v/>
      </c>
      <c r="AH164" s="27">
        <f>IF(COUNT($AC164:$AG164)&lt;2,"",IF(MAX($AC164:$AG164)=MIN($AC164:$AG164),0,1))</f>
        <v/>
      </c>
      <c r="AI164" s="27">
        <f>IF($A164="","",IF(COUNTIF($A$14:$A164,$A164)=1,COUNTIF($AI$13:AI163,"&gt;0")+1,""))</f>
        <v/>
      </c>
      <c r="AJ164" s="27">
        <f>IF(OR($H164="",COUNTIFS($A$14:$A$1213,$H164,$F$14:$F$1213,"&gt;=0")&lt;2,COUNTIFS($A$14:$A$1213,$H164,$F$14:$F$1213,_xlfn.MAXIFS($F$14:$F$1213,$A$14:$A$1213,$H164))&gt;1),"",IFERROR(INDEX($D$14:$D$1213,MATCH($H164&amp;"|"&amp;_xlfn.MAXIFS($F$14:$F$1213,$A$14:$A$1213,$H164),$AB$14:$AB$1213,0)),""))</f>
        <v/>
      </c>
      <c r="AK164" s="27">
        <f>IF(OR($H164="",COUNTIFS($A$14:$A$1213,$H164,$F$14:$F$1213,"&gt;=0")&lt;2,COUNTIFS($A$14:$A$1213,$H164,$F$14:$F$1213,_xlfn.MAXIFS($F$14:$F$1213,$A$14:$A$1213,$H164))&gt;1),"",IFERROR(INDEX($E$14:$E$1213,MATCH($H164&amp;"|"&amp;_xlfn.MAXIFS($F$14:$F$1213,$A$14:$A$1213,$H164),$AB$14:$AB$1213,0)),""))</f>
        <v/>
      </c>
      <c r="AL164" s="27">
        <f>IF(OR($H164="",COUNTIFS($A$14:$A$1213,$H164,$F$14:$F$1213,"&gt;=0")&lt;2,COUNTIFS($A$14:$A$1213,$H164,$F$14:$F$1213,_xlfn.MAXIFS($F$14:$F$1213,$A$14:$A$1213,$H164))&gt;1),"",IFERROR(INDEX($D$14:$D$1213,MATCH($H164&amp;"|"&amp;_xlfn.MAXIFS($F$14:$F$1213,$A$14:$A$1213,$H164,$F$14:$F$1213,"&lt;"&amp;_xlfn.MAXIFS($F$14:$F$1213,$A$14:$A$1213,$H164)),$AB$14:$AB$1213,0)),""))</f>
        <v/>
      </c>
      <c r="AM164" s="27">
        <f>IF(OR($H164="",COUNTIFS($A$14:$A$1213,$H164,$F$14:$F$1213,"&gt;=0")&lt;2,COUNTIFS($A$14:$A$1213,$H164,$F$14:$F$1213,_xlfn.MAXIFS($F$14:$F$1213,$A$14:$A$1213,$H164))&gt;1),"",IFERROR(INDEX($E$14:$E$1213,MATCH($H164&amp;"|"&amp;_xlfn.MAXIFS($F$14:$F$1213,$A$14:$A$1213,$H164,$F$14:$F$1213,"&lt;"&amp;_xlfn.MAXIFS($F$14:$F$1213,$A$14:$A$1213,$H164)),$AB$14:$AB$1213,0)),""))</f>
        <v/>
      </c>
      <c r="AN164" s="27">
        <f>IF(OR(NOT(ISNUMBER($AJ164)),NOT(ISNUMBER($AL164)),$AK164=0,$AM164=0),"",IF(OR((($AJ164+$AL164)/($AK164+$AM164))&lt;=0,(($AJ164+$AL164)/($AK164+$AM164))&gt;=1),"",($AJ164/$AK164-$AL164/$AM164)/SQRT((($AJ164+$AL164)/($AK164+$AM164))*(1-(($AJ164+$AL164)/($AK164+$AM164)))*(1/$AK164+1/$AM164))))</f>
        <v/>
      </c>
      <c r="AO164" s="27">
        <f>IF($A164="","",IF(AND(COUNTIFS($A$14:$A$1213,$A164,$F$14:$F$1213,"&gt;=0")=2,IFERROR(INDEX($M$14:$M$313,MATCH($A164,$H$14:$H$313,0)),"Yes")&lt;&gt;"Yes"),1,0))</f>
        <v/>
      </c>
    </row>
    <row r="165" ht="24" customHeight="1">
      <c r="A165" s="19" t="n"/>
      <c r="B165" s="20" t="n"/>
      <c r="C165" s="21">
        <f>IFERROR(AVERAGE(P165:T165),"")</f>
        <v/>
      </c>
      <c r="D165" s="29" t="n"/>
      <c r="E165" s="29" t="n"/>
      <c r="F165" s="30">
        <f>IF(AND(ISNUMBER($D165),ISNUMBER($E165),$E165&gt;0,$D165&lt;=$E165),$D165/$E165,"")</f>
        <v/>
      </c>
      <c r="H165" s="19">
        <f>IFERROR(INDEX($A$14:$A$1213,MATCH(152,$AI$14:$AI$1213,0)),"")</f>
        <v/>
      </c>
      <c r="I165" s="24">
        <f>IF($H165="","",IF(COUNTIFS($A$14:$A$1213,$H165,$C$14:$C$1213,"&gt;=0")=0,"—",IFERROR(INDEX($B$14:$B$1213,MATCH($H165&amp;"|1",$Z$14:$Z$1213,0)),"(tied)")))</f>
        <v/>
      </c>
      <c r="J165" s="25">
        <f>IF($H165="","",IF(OR(COUNTIFS($A$14:$A$1213,$H165,$C$14:$C$1213,"&gt;=0")=0,COUNTIFS($A$14:$A$1213,$H165,$F$14:$F$1213,"&gt;=0")=0),"—",IF(OR(ISERROR(MATCH($H165&amp;"|1",$Z$14:$Z$1213,0)),ISERROR(MATCH($H165&amp;"|1",$AA$14:$AA$1213,0))),"Tie",IF(MATCH($H165&amp;"|1",$Z$14:$Z$1213,0)=MATCH($H165&amp;"|1",$AA$14:$AA$1213,0),"Hit","Miss"))))</f>
        <v/>
      </c>
      <c r="K165" s="24">
        <f>IF($H165="","",IF(COUNTIFS($A$14:$A$1213,$H165,$F$14:$F$1213,"&gt;=0")=0,"—",IFERROR(INDEX($B$14:$B$1213,MATCH($H165&amp;"|1",$AA$14:$AA$1213,0)),"(tied)")))</f>
        <v/>
      </c>
      <c r="L165" s="25">
        <f>IF($H165="","",IF((--(COUNTIFS($A$14:$A$1213,$H165,$P$14:$P$1213,"&gt;=0")&gt;0)+--(COUNTIFS($A$14:$A$1213,$H165,$Q$14:$Q$1213,"&gt;=0")&gt;0)+--(COUNTIFS($A$14:$A$1213,$H165,$R$14:$R$1213,"&gt;=0")&gt;0)+--(COUNTIFS($A$14:$A$1213,$H165,$S$14:$S$1213,"&gt;=0")&gt;0)+--(COUNTIFS($A$14:$A$1213,$H165,$T$14:$T$1213,"&gt;=0")&gt;0))&lt;2,"—",IF(SUMIFS($AH$14:$AH$1213,$A$14:$A$1213,$H165)=0,"Yes","No")))</f>
        <v/>
      </c>
      <c r="M165" s="25">
        <f>IF($H165="","",IF(COUNTIFS($A$14:$A$1213,$H165,$F$14:$F$1213,"&gt;=0")&lt;2,"—",IF(COUNTIFS($A$14:$A$1213,$H165,$F$14:$F$1213,_xlfn.MAXIFS($F$14:$F$1213,$A$14:$A$1213,$H165))&gt;1,"No",IF(NOT(ISNUMBER($AN165)),"—",IF((2*(1-NORMSDIST(ABS($AN165))))&lt;0.05,"Yes","No")))))</f>
        <v/>
      </c>
      <c r="N165" s="21">
        <f>IF($H165="","",IF(NOT(ISNUMBER($AN165)),"—",IF((2*(1-NORMSDIST(ABS($AN165))))&lt;0.001,"&lt;0.001",TEXT((2*(1-NORMSDIST(ABS($AN165)))),"0.000"))))</f>
        <v/>
      </c>
      <c r="P165" s="26" t="n"/>
      <c r="Q165" s="26" t="n"/>
      <c r="R165" s="26" t="n"/>
      <c r="S165" s="26" t="n"/>
      <c r="T165" s="26" t="n"/>
      <c r="V165" s="27">
        <f>IF(ISNUMBER($C165),COUNTIFS($A$14:$A$1213,$A165,$C$14:$C$1213,"&gt;"&amp;$C165)+(COUNTIFS($A$14:$A$1213,$A165,$C$14:$C$1213,"="&amp;$C165)+1)/2,"")</f>
        <v/>
      </c>
      <c r="W165" s="27">
        <f>IF(ISNUMBER($F165),COUNTIFS($A$14:$A$1213,$A165,$F$14:$F$1213,"&gt;"&amp;$F165)+(COUNTIFS($A$14:$A$1213,$A165,$F$14:$F$1213,"="&amp;$F165)+1)/2,"")</f>
        <v/>
      </c>
      <c r="X165" s="27">
        <f>IF(OR(NOT(ISNUMBER($V165)),$AO165=1),"",$V165-(COUNTIFS($A$14:$A$1213,$A165,$C$14:$C$1213,"&gt;=0")+1)/2)</f>
        <v/>
      </c>
      <c r="Y165" s="27">
        <f>IF(OR(NOT(ISNUMBER($W165)),$AO165=1),"",$W165-(COUNTIFS($A$14:$A$1213,$A165,$F$14:$F$1213,"&gt;=0")+1)/2)</f>
        <v/>
      </c>
      <c r="Z165" s="27">
        <f>IF(ISNUMBER($V165),$A165&amp;"|"&amp;$V165,"")</f>
        <v/>
      </c>
      <c r="AA165" s="27">
        <f>IF(ISNUMBER($W165),$A165&amp;"|"&amp;$W165,"")</f>
        <v/>
      </c>
      <c r="AB165" s="27">
        <f>IF(ISNUMBER($F165),$A165&amp;"|"&amp;$F165,"")</f>
        <v/>
      </c>
      <c r="AC165" s="27">
        <f>IF(ISNUMBER($P165),COUNTIFS($A$14:$A$1213,$A165,$P$14:$P$1213,"&gt;"&amp;$P165)+(COUNTIFS($A$14:$A$1213,$A165,$P$14:$P$1213,"="&amp;$P165)+1)/2,"")</f>
        <v/>
      </c>
      <c r="AD165" s="27">
        <f>IF(ISNUMBER($Q165),COUNTIFS($A$14:$A$1213,$A165,$Q$14:$Q$1213,"&gt;"&amp;$Q165)+(COUNTIFS($A$14:$A$1213,$A165,$Q$14:$Q$1213,"="&amp;$Q165)+1)/2,"")</f>
        <v/>
      </c>
      <c r="AE165" s="27">
        <f>IF(ISNUMBER($R165),COUNTIFS($A$14:$A$1213,$A165,$R$14:$R$1213,"&gt;"&amp;$R165)+(COUNTIFS($A$14:$A$1213,$A165,$R$14:$R$1213,"="&amp;$R165)+1)/2,"")</f>
        <v/>
      </c>
      <c r="AF165" s="27">
        <f>IF(ISNUMBER($S165),COUNTIFS($A$14:$A$1213,$A165,$S$14:$S$1213,"&gt;"&amp;$S165)+(COUNTIFS($A$14:$A$1213,$A165,$S$14:$S$1213,"="&amp;$S165)+1)/2,"")</f>
        <v/>
      </c>
      <c r="AG165" s="27">
        <f>IF(ISNUMBER($T165),COUNTIFS($A$14:$A$1213,$A165,$T$14:$T$1213,"&gt;"&amp;$T165)+(COUNTIFS($A$14:$A$1213,$A165,$T$14:$T$1213,"="&amp;$T165)+1)/2,"")</f>
        <v/>
      </c>
      <c r="AH165" s="27">
        <f>IF(COUNT($AC165:$AG165)&lt;2,"",IF(MAX($AC165:$AG165)=MIN($AC165:$AG165),0,1))</f>
        <v/>
      </c>
      <c r="AI165" s="27">
        <f>IF($A165="","",IF(COUNTIF($A$14:$A165,$A165)=1,COUNTIF($AI$13:AI164,"&gt;0")+1,""))</f>
        <v/>
      </c>
      <c r="AJ165" s="27">
        <f>IF(OR($H165="",COUNTIFS($A$14:$A$1213,$H165,$F$14:$F$1213,"&gt;=0")&lt;2,COUNTIFS($A$14:$A$1213,$H165,$F$14:$F$1213,_xlfn.MAXIFS($F$14:$F$1213,$A$14:$A$1213,$H165))&gt;1),"",IFERROR(INDEX($D$14:$D$1213,MATCH($H165&amp;"|"&amp;_xlfn.MAXIFS($F$14:$F$1213,$A$14:$A$1213,$H165),$AB$14:$AB$1213,0)),""))</f>
        <v/>
      </c>
      <c r="AK165" s="27">
        <f>IF(OR($H165="",COUNTIFS($A$14:$A$1213,$H165,$F$14:$F$1213,"&gt;=0")&lt;2,COUNTIFS($A$14:$A$1213,$H165,$F$14:$F$1213,_xlfn.MAXIFS($F$14:$F$1213,$A$14:$A$1213,$H165))&gt;1),"",IFERROR(INDEX($E$14:$E$1213,MATCH($H165&amp;"|"&amp;_xlfn.MAXIFS($F$14:$F$1213,$A$14:$A$1213,$H165),$AB$14:$AB$1213,0)),""))</f>
        <v/>
      </c>
      <c r="AL165" s="27">
        <f>IF(OR($H165="",COUNTIFS($A$14:$A$1213,$H165,$F$14:$F$1213,"&gt;=0")&lt;2,COUNTIFS($A$14:$A$1213,$H165,$F$14:$F$1213,_xlfn.MAXIFS($F$14:$F$1213,$A$14:$A$1213,$H165))&gt;1),"",IFERROR(INDEX($D$14:$D$1213,MATCH($H165&amp;"|"&amp;_xlfn.MAXIFS($F$14:$F$1213,$A$14:$A$1213,$H165,$F$14:$F$1213,"&lt;"&amp;_xlfn.MAXIFS($F$14:$F$1213,$A$14:$A$1213,$H165)),$AB$14:$AB$1213,0)),""))</f>
        <v/>
      </c>
      <c r="AM165" s="27">
        <f>IF(OR($H165="",COUNTIFS($A$14:$A$1213,$H165,$F$14:$F$1213,"&gt;=0")&lt;2,COUNTIFS($A$14:$A$1213,$H165,$F$14:$F$1213,_xlfn.MAXIFS($F$14:$F$1213,$A$14:$A$1213,$H165))&gt;1),"",IFERROR(INDEX($E$14:$E$1213,MATCH($H165&amp;"|"&amp;_xlfn.MAXIFS($F$14:$F$1213,$A$14:$A$1213,$H165,$F$14:$F$1213,"&lt;"&amp;_xlfn.MAXIFS($F$14:$F$1213,$A$14:$A$1213,$H165)),$AB$14:$AB$1213,0)),""))</f>
        <v/>
      </c>
      <c r="AN165" s="27">
        <f>IF(OR(NOT(ISNUMBER($AJ165)),NOT(ISNUMBER($AL165)),$AK165=0,$AM165=0),"",IF(OR((($AJ165+$AL165)/($AK165+$AM165))&lt;=0,(($AJ165+$AL165)/($AK165+$AM165))&gt;=1),"",($AJ165/$AK165-$AL165/$AM165)/SQRT((($AJ165+$AL165)/($AK165+$AM165))*(1-(($AJ165+$AL165)/($AK165+$AM165)))*(1/$AK165+1/$AM165))))</f>
        <v/>
      </c>
      <c r="AO165" s="27">
        <f>IF($A165="","",IF(AND(COUNTIFS($A$14:$A$1213,$A165,$F$14:$F$1213,"&gt;=0")=2,IFERROR(INDEX($M$14:$M$313,MATCH($A165,$H$14:$H$313,0)),"Yes")&lt;&gt;"Yes"),1,0))</f>
        <v/>
      </c>
    </row>
    <row r="166" ht="24" customHeight="1">
      <c r="A166" s="19" t="n"/>
      <c r="B166" s="20" t="n"/>
      <c r="C166" s="21">
        <f>IFERROR(AVERAGE(P166:T166),"")</f>
        <v/>
      </c>
      <c r="D166" s="29" t="n"/>
      <c r="E166" s="29" t="n"/>
      <c r="F166" s="30">
        <f>IF(AND(ISNUMBER($D166),ISNUMBER($E166),$E166&gt;0,$D166&lt;=$E166),$D166/$E166,"")</f>
        <v/>
      </c>
      <c r="H166" s="19">
        <f>IFERROR(INDEX($A$14:$A$1213,MATCH(153,$AI$14:$AI$1213,0)),"")</f>
        <v/>
      </c>
      <c r="I166" s="24">
        <f>IF($H166="","",IF(COUNTIFS($A$14:$A$1213,$H166,$C$14:$C$1213,"&gt;=0")=0,"—",IFERROR(INDEX($B$14:$B$1213,MATCH($H166&amp;"|1",$Z$14:$Z$1213,0)),"(tied)")))</f>
        <v/>
      </c>
      <c r="J166" s="25">
        <f>IF($H166="","",IF(OR(COUNTIFS($A$14:$A$1213,$H166,$C$14:$C$1213,"&gt;=0")=0,COUNTIFS($A$14:$A$1213,$H166,$F$14:$F$1213,"&gt;=0")=0),"—",IF(OR(ISERROR(MATCH($H166&amp;"|1",$Z$14:$Z$1213,0)),ISERROR(MATCH($H166&amp;"|1",$AA$14:$AA$1213,0))),"Tie",IF(MATCH($H166&amp;"|1",$Z$14:$Z$1213,0)=MATCH($H166&amp;"|1",$AA$14:$AA$1213,0),"Hit","Miss"))))</f>
        <v/>
      </c>
      <c r="K166" s="24">
        <f>IF($H166="","",IF(COUNTIFS($A$14:$A$1213,$H166,$F$14:$F$1213,"&gt;=0")=0,"—",IFERROR(INDEX($B$14:$B$1213,MATCH($H166&amp;"|1",$AA$14:$AA$1213,0)),"(tied)")))</f>
        <v/>
      </c>
      <c r="L166" s="25">
        <f>IF($H166="","",IF((--(COUNTIFS($A$14:$A$1213,$H166,$P$14:$P$1213,"&gt;=0")&gt;0)+--(COUNTIFS($A$14:$A$1213,$H166,$Q$14:$Q$1213,"&gt;=0")&gt;0)+--(COUNTIFS($A$14:$A$1213,$H166,$R$14:$R$1213,"&gt;=0")&gt;0)+--(COUNTIFS($A$14:$A$1213,$H166,$S$14:$S$1213,"&gt;=0")&gt;0)+--(COUNTIFS($A$14:$A$1213,$H166,$T$14:$T$1213,"&gt;=0")&gt;0))&lt;2,"—",IF(SUMIFS($AH$14:$AH$1213,$A$14:$A$1213,$H166)=0,"Yes","No")))</f>
        <v/>
      </c>
      <c r="M166" s="25">
        <f>IF($H166="","",IF(COUNTIFS($A$14:$A$1213,$H166,$F$14:$F$1213,"&gt;=0")&lt;2,"—",IF(COUNTIFS($A$14:$A$1213,$H166,$F$14:$F$1213,_xlfn.MAXIFS($F$14:$F$1213,$A$14:$A$1213,$H166))&gt;1,"No",IF(NOT(ISNUMBER($AN166)),"—",IF((2*(1-NORMSDIST(ABS($AN166))))&lt;0.05,"Yes","No")))))</f>
        <v/>
      </c>
      <c r="N166" s="21">
        <f>IF($H166="","",IF(NOT(ISNUMBER($AN166)),"—",IF((2*(1-NORMSDIST(ABS($AN166))))&lt;0.001,"&lt;0.001",TEXT((2*(1-NORMSDIST(ABS($AN166)))),"0.000"))))</f>
        <v/>
      </c>
      <c r="P166" s="26" t="n"/>
      <c r="Q166" s="26" t="n"/>
      <c r="R166" s="26" t="n"/>
      <c r="S166" s="26" t="n"/>
      <c r="T166" s="26" t="n"/>
      <c r="V166" s="27">
        <f>IF(ISNUMBER($C166),COUNTIFS($A$14:$A$1213,$A166,$C$14:$C$1213,"&gt;"&amp;$C166)+(COUNTIFS($A$14:$A$1213,$A166,$C$14:$C$1213,"="&amp;$C166)+1)/2,"")</f>
        <v/>
      </c>
      <c r="W166" s="27">
        <f>IF(ISNUMBER($F166),COUNTIFS($A$14:$A$1213,$A166,$F$14:$F$1213,"&gt;"&amp;$F166)+(COUNTIFS($A$14:$A$1213,$A166,$F$14:$F$1213,"="&amp;$F166)+1)/2,"")</f>
        <v/>
      </c>
      <c r="X166" s="27">
        <f>IF(OR(NOT(ISNUMBER($V166)),$AO166=1),"",$V166-(COUNTIFS($A$14:$A$1213,$A166,$C$14:$C$1213,"&gt;=0")+1)/2)</f>
        <v/>
      </c>
      <c r="Y166" s="27">
        <f>IF(OR(NOT(ISNUMBER($W166)),$AO166=1),"",$W166-(COUNTIFS($A$14:$A$1213,$A166,$F$14:$F$1213,"&gt;=0")+1)/2)</f>
        <v/>
      </c>
      <c r="Z166" s="27">
        <f>IF(ISNUMBER($V166),$A166&amp;"|"&amp;$V166,"")</f>
        <v/>
      </c>
      <c r="AA166" s="27">
        <f>IF(ISNUMBER($W166),$A166&amp;"|"&amp;$W166,"")</f>
        <v/>
      </c>
      <c r="AB166" s="27">
        <f>IF(ISNUMBER($F166),$A166&amp;"|"&amp;$F166,"")</f>
        <v/>
      </c>
      <c r="AC166" s="27">
        <f>IF(ISNUMBER($P166),COUNTIFS($A$14:$A$1213,$A166,$P$14:$P$1213,"&gt;"&amp;$P166)+(COUNTIFS($A$14:$A$1213,$A166,$P$14:$P$1213,"="&amp;$P166)+1)/2,"")</f>
        <v/>
      </c>
      <c r="AD166" s="27">
        <f>IF(ISNUMBER($Q166),COUNTIFS($A$14:$A$1213,$A166,$Q$14:$Q$1213,"&gt;"&amp;$Q166)+(COUNTIFS($A$14:$A$1213,$A166,$Q$14:$Q$1213,"="&amp;$Q166)+1)/2,"")</f>
        <v/>
      </c>
      <c r="AE166" s="27">
        <f>IF(ISNUMBER($R166),COUNTIFS($A$14:$A$1213,$A166,$R$14:$R$1213,"&gt;"&amp;$R166)+(COUNTIFS($A$14:$A$1213,$A166,$R$14:$R$1213,"="&amp;$R166)+1)/2,"")</f>
        <v/>
      </c>
      <c r="AF166" s="27">
        <f>IF(ISNUMBER($S166),COUNTIFS($A$14:$A$1213,$A166,$S$14:$S$1213,"&gt;"&amp;$S166)+(COUNTIFS($A$14:$A$1213,$A166,$S$14:$S$1213,"="&amp;$S166)+1)/2,"")</f>
        <v/>
      </c>
      <c r="AG166" s="27">
        <f>IF(ISNUMBER($T166),COUNTIFS($A$14:$A$1213,$A166,$T$14:$T$1213,"&gt;"&amp;$T166)+(COUNTIFS($A$14:$A$1213,$A166,$T$14:$T$1213,"="&amp;$T166)+1)/2,"")</f>
        <v/>
      </c>
      <c r="AH166" s="27">
        <f>IF(COUNT($AC166:$AG166)&lt;2,"",IF(MAX($AC166:$AG166)=MIN($AC166:$AG166),0,1))</f>
        <v/>
      </c>
      <c r="AI166" s="27">
        <f>IF($A166="","",IF(COUNTIF($A$14:$A166,$A166)=1,COUNTIF($AI$13:AI165,"&gt;0")+1,""))</f>
        <v/>
      </c>
      <c r="AJ166" s="27">
        <f>IF(OR($H166="",COUNTIFS($A$14:$A$1213,$H166,$F$14:$F$1213,"&gt;=0")&lt;2,COUNTIFS($A$14:$A$1213,$H166,$F$14:$F$1213,_xlfn.MAXIFS($F$14:$F$1213,$A$14:$A$1213,$H166))&gt;1),"",IFERROR(INDEX($D$14:$D$1213,MATCH($H166&amp;"|"&amp;_xlfn.MAXIFS($F$14:$F$1213,$A$14:$A$1213,$H166),$AB$14:$AB$1213,0)),""))</f>
        <v/>
      </c>
      <c r="AK166" s="27">
        <f>IF(OR($H166="",COUNTIFS($A$14:$A$1213,$H166,$F$14:$F$1213,"&gt;=0")&lt;2,COUNTIFS($A$14:$A$1213,$H166,$F$14:$F$1213,_xlfn.MAXIFS($F$14:$F$1213,$A$14:$A$1213,$H166))&gt;1),"",IFERROR(INDEX($E$14:$E$1213,MATCH($H166&amp;"|"&amp;_xlfn.MAXIFS($F$14:$F$1213,$A$14:$A$1213,$H166),$AB$14:$AB$1213,0)),""))</f>
        <v/>
      </c>
      <c r="AL166" s="27">
        <f>IF(OR($H166="",COUNTIFS($A$14:$A$1213,$H166,$F$14:$F$1213,"&gt;=0")&lt;2,COUNTIFS($A$14:$A$1213,$H166,$F$14:$F$1213,_xlfn.MAXIFS($F$14:$F$1213,$A$14:$A$1213,$H166))&gt;1),"",IFERROR(INDEX($D$14:$D$1213,MATCH($H166&amp;"|"&amp;_xlfn.MAXIFS($F$14:$F$1213,$A$14:$A$1213,$H166,$F$14:$F$1213,"&lt;"&amp;_xlfn.MAXIFS($F$14:$F$1213,$A$14:$A$1213,$H166)),$AB$14:$AB$1213,0)),""))</f>
        <v/>
      </c>
      <c r="AM166" s="27">
        <f>IF(OR($H166="",COUNTIFS($A$14:$A$1213,$H166,$F$14:$F$1213,"&gt;=0")&lt;2,COUNTIFS($A$14:$A$1213,$H166,$F$14:$F$1213,_xlfn.MAXIFS($F$14:$F$1213,$A$14:$A$1213,$H166))&gt;1),"",IFERROR(INDEX($E$14:$E$1213,MATCH($H166&amp;"|"&amp;_xlfn.MAXIFS($F$14:$F$1213,$A$14:$A$1213,$H166,$F$14:$F$1213,"&lt;"&amp;_xlfn.MAXIFS($F$14:$F$1213,$A$14:$A$1213,$H166)),$AB$14:$AB$1213,0)),""))</f>
        <v/>
      </c>
      <c r="AN166" s="27">
        <f>IF(OR(NOT(ISNUMBER($AJ166)),NOT(ISNUMBER($AL166)),$AK166=0,$AM166=0),"",IF(OR((($AJ166+$AL166)/($AK166+$AM166))&lt;=0,(($AJ166+$AL166)/($AK166+$AM166))&gt;=1),"",($AJ166/$AK166-$AL166/$AM166)/SQRT((($AJ166+$AL166)/($AK166+$AM166))*(1-(($AJ166+$AL166)/($AK166+$AM166)))*(1/$AK166+1/$AM166))))</f>
        <v/>
      </c>
      <c r="AO166" s="27">
        <f>IF($A166="","",IF(AND(COUNTIFS($A$14:$A$1213,$A166,$F$14:$F$1213,"&gt;=0")=2,IFERROR(INDEX($M$14:$M$313,MATCH($A166,$H$14:$H$313,0)),"Yes")&lt;&gt;"Yes"),1,0))</f>
        <v/>
      </c>
    </row>
    <row r="167" ht="24" customHeight="1">
      <c r="A167" s="19" t="n"/>
      <c r="B167" s="20" t="n"/>
      <c r="C167" s="21">
        <f>IFERROR(AVERAGE(P167:T167),"")</f>
        <v/>
      </c>
      <c r="D167" s="29" t="n"/>
      <c r="E167" s="29" t="n"/>
      <c r="F167" s="30">
        <f>IF(AND(ISNUMBER($D167),ISNUMBER($E167),$E167&gt;0,$D167&lt;=$E167),$D167/$E167,"")</f>
        <v/>
      </c>
      <c r="H167" s="19">
        <f>IFERROR(INDEX($A$14:$A$1213,MATCH(154,$AI$14:$AI$1213,0)),"")</f>
        <v/>
      </c>
      <c r="I167" s="24">
        <f>IF($H167="","",IF(COUNTIFS($A$14:$A$1213,$H167,$C$14:$C$1213,"&gt;=0")=0,"—",IFERROR(INDEX($B$14:$B$1213,MATCH($H167&amp;"|1",$Z$14:$Z$1213,0)),"(tied)")))</f>
        <v/>
      </c>
      <c r="J167" s="25">
        <f>IF($H167="","",IF(OR(COUNTIFS($A$14:$A$1213,$H167,$C$14:$C$1213,"&gt;=0")=0,COUNTIFS($A$14:$A$1213,$H167,$F$14:$F$1213,"&gt;=0")=0),"—",IF(OR(ISERROR(MATCH($H167&amp;"|1",$Z$14:$Z$1213,0)),ISERROR(MATCH($H167&amp;"|1",$AA$14:$AA$1213,0))),"Tie",IF(MATCH($H167&amp;"|1",$Z$14:$Z$1213,0)=MATCH($H167&amp;"|1",$AA$14:$AA$1213,0),"Hit","Miss"))))</f>
        <v/>
      </c>
      <c r="K167" s="24">
        <f>IF($H167="","",IF(COUNTIFS($A$14:$A$1213,$H167,$F$14:$F$1213,"&gt;=0")=0,"—",IFERROR(INDEX($B$14:$B$1213,MATCH($H167&amp;"|1",$AA$14:$AA$1213,0)),"(tied)")))</f>
        <v/>
      </c>
      <c r="L167" s="25">
        <f>IF($H167="","",IF((--(COUNTIFS($A$14:$A$1213,$H167,$P$14:$P$1213,"&gt;=0")&gt;0)+--(COUNTIFS($A$14:$A$1213,$H167,$Q$14:$Q$1213,"&gt;=0")&gt;0)+--(COUNTIFS($A$14:$A$1213,$H167,$R$14:$R$1213,"&gt;=0")&gt;0)+--(COUNTIFS($A$14:$A$1213,$H167,$S$14:$S$1213,"&gt;=0")&gt;0)+--(COUNTIFS($A$14:$A$1213,$H167,$T$14:$T$1213,"&gt;=0")&gt;0))&lt;2,"—",IF(SUMIFS($AH$14:$AH$1213,$A$14:$A$1213,$H167)=0,"Yes","No")))</f>
        <v/>
      </c>
      <c r="M167" s="25">
        <f>IF($H167="","",IF(COUNTIFS($A$14:$A$1213,$H167,$F$14:$F$1213,"&gt;=0")&lt;2,"—",IF(COUNTIFS($A$14:$A$1213,$H167,$F$14:$F$1213,_xlfn.MAXIFS($F$14:$F$1213,$A$14:$A$1213,$H167))&gt;1,"No",IF(NOT(ISNUMBER($AN167)),"—",IF((2*(1-NORMSDIST(ABS($AN167))))&lt;0.05,"Yes","No")))))</f>
        <v/>
      </c>
      <c r="N167" s="21">
        <f>IF($H167="","",IF(NOT(ISNUMBER($AN167)),"—",IF((2*(1-NORMSDIST(ABS($AN167))))&lt;0.001,"&lt;0.001",TEXT((2*(1-NORMSDIST(ABS($AN167)))),"0.000"))))</f>
        <v/>
      </c>
      <c r="P167" s="26" t="n"/>
      <c r="Q167" s="26" t="n"/>
      <c r="R167" s="26" t="n"/>
      <c r="S167" s="26" t="n"/>
      <c r="T167" s="26" t="n"/>
      <c r="V167" s="27">
        <f>IF(ISNUMBER($C167),COUNTIFS($A$14:$A$1213,$A167,$C$14:$C$1213,"&gt;"&amp;$C167)+(COUNTIFS($A$14:$A$1213,$A167,$C$14:$C$1213,"="&amp;$C167)+1)/2,"")</f>
        <v/>
      </c>
      <c r="W167" s="27">
        <f>IF(ISNUMBER($F167),COUNTIFS($A$14:$A$1213,$A167,$F$14:$F$1213,"&gt;"&amp;$F167)+(COUNTIFS($A$14:$A$1213,$A167,$F$14:$F$1213,"="&amp;$F167)+1)/2,"")</f>
        <v/>
      </c>
      <c r="X167" s="27">
        <f>IF(OR(NOT(ISNUMBER($V167)),$AO167=1),"",$V167-(COUNTIFS($A$14:$A$1213,$A167,$C$14:$C$1213,"&gt;=0")+1)/2)</f>
        <v/>
      </c>
      <c r="Y167" s="27">
        <f>IF(OR(NOT(ISNUMBER($W167)),$AO167=1),"",$W167-(COUNTIFS($A$14:$A$1213,$A167,$F$14:$F$1213,"&gt;=0")+1)/2)</f>
        <v/>
      </c>
      <c r="Z167" s="27">
        <f>IF(ISNUMBER($V167),$A167&amp;"|"&amp;$V167,"")</f>
        <v/>
      </c>
      <c r="AA167" s="27">
        <f>IF(ISNUMBER($W167),$A167&amp;"|"&amp;$W167,"")</f>
        <v/>
      </c>
      <c r="AB167" s="27">
        <f>IF(ISNUMBER($F167),$A167&amp;"|"&amp;$F167,"")</f>
        <v/>
      </c>
      <c r="AC167" s="27">
        <f>IF(ISNUMBER($P167),COUNTIFS($A$14:$A$1213,$A167,$P$14:$P$1213,"&gt;"&amp;$P167)+(COUNTIFS($A$14:$A$1213,$A167,$P$14:$P$1213,"="&amp;$P167)+1)/2,"")</f>
        <v/>
      </c>
      <c r="AD167" s="27">
        <f>IF(ISNUMBER($Q167),COUNTIFS($A$14:$A$1213,$A167,$Q$14:$Q$1213,"&gt;"&amp;$Q167)+(COUNTIFS($A$14:$A$1213,$A167,$Q$14:$Q$1213,"="&amp;$Q167)+1)/2,"")</f>
        <v/>
      </c>
      <c r="AE167" s="27">
        <f>IF(ISNUMBER($R167),COUNTIFS($A$14:$A$1213,$A167,$R$14:$R$1213,"&gt;"&amp;$R167)+(COUNTIFS($A$14:$A$1213,$A167,$R$14:$R$1213,"="&amp;$R167)+1)/2,"")</f>
        <v/>
      </c>
      <c r="AF167" s="27">
        <f>IF(ISNUMBER($S167),COUNTIFS($A$14:$A$1213,$A167,$S$14:$S$1213,"&gt;"&amp;$S167)+(COUNTIFS($A$14:$A$1213,$A167,$S$14:$S$1213,"="&amp;$S167)+1)/2,"")</f>
        <v/>
      </c>
      <c r="AG167" s="27">
        <f>IF(ISNUMBER($T167),COUNTIFS($A$14:$A$1213,$A167,$T$14:$T$1213,"&gt;"&amp;$T167)+(COUNTIFS($A$14:$A$1213,$A167,$T$14:$T$1213,"="&amp;$T167)+1)/2,"")</f>
        <v/>
      </c>
      <c r="AH167" s="27">
        <f>IF(COUNT($AC167:$AG167)&lt;2,"",IF(MAX($AC167:$AG167)=MIN($AC167:$AG167),0,1))</f>
        <v/>
      </c>
      <c r="AI167" s="27">
        <f>IF($A167="","",IF(COUNTIF($A$14:$A167,$A167)=1,COUNTIF($AI$13:AI166,"&gt;0")+1,""))</f>
        <v/>
      </c>
      <c r="AJ167" s="27">
        <f>IF(OR($H167="",COUNTIFS($A$14:$A$1213,$H167,$F$14:$F$1213,"&gt;=0")&lt;2,COUNTIFS($A$14:$A$1213,$H167,$F$14:$F$1213,_xlfn.MAXIFS($F$14:$F$1213,$A$14:$A$1213,$H167))&gt;1),"",IFERROR(INDEX($D$14:$D$1213,MATCH($H167&amp;"|"&amp;_xlfn.MAXIFS($F$14:$F$1213,$A$14:$A$1213,$H167),$AB$14:$AB$1213,0)),""))</f>
        <v/>
      </c>
      <c r="AK167" s="27">
        <f>IF(OR($H167="",COUNTIFS($A$14:$A$1213,$H167,$F$14:$F$1213,"&gt;=0")&lt;2,COUNTIFS($A$14:$A$1213,$H167,$F$14:$F$1213,_xlfn.MAXIFS($F$14:$F$1213,$A$14:$A$1213,$H167))&gt;1),"",IFERROR(INDEX($E$14:$E$1213,MATCH($H167&amp;"|"&amp;_xlfn.MAXIFS($F$14:$F$1213,$A$14:$A$1213,$H167),$AB$14:$AB$1213,0)),""))</f>
        <v/>
      </c>
      <c r="AL167" s="27">
        <f>IF(OR($H167="",COUNTIFS($A$14:$A$1213,$H167,$F$14:$F$1213,"&gt;=0")&lt;2,COUNTIFS($A$14:$A$1213,$H167,$F$14:$F$1213,_xlfn.MAXIFS($F$14:$F$1213,$A$14:$A$1213,$H167))&gt;1),"",IFERROR(INDEX($D$14:$D$1213,MATCH($H167&amp;"|"&amp;_xlfn.MAXIFS($F$14:$F$1213,$A$14:$A$1213,$H167,$F$14:$F$1213,"&lt;"&amp;_xlfn.MAXIFS($F$14:$F$1213,$A$14:$A$1213,$H167)),$AB$14:$AB$1213,0)),""))</f>
        <v/>
      </c>
      <c r="AM167" s="27">
        <f>IF(OR($H167="",COUNTIFS($A$14:$A$1213,$H167,$F$14:$F$1213,"&gt;=0")&lt;2,COUNTIFS($A$14:$A$1213,$H167,$F$14:$F$1213,_xlfn.MAXIFS($F$14:$F$1213,$A$14:$A$1213,$H167))&gt;1),"",IFERROR(INDEX($E$14:$E$1213,MATCH($H167&amp;"|"&amp;_xlfn.MAXIFS($F$14:$F$1213,$A$14:$A$1213,$H167,$F$14:$F$1213,"&lt;"&amp;_xlfn.MAXIFS($F$14:$F$1213,$A$14:$A$1213,$H167)),$AB$14:$AB$1213,0)),""))</f>
        <v/>
      </c>
      <c r="AN167" s="27">
        <f>IF(OR(NOT(ISNUMBER($AJ167)),NOT(ISNUMBER($AL167)),$AK167=0,$AM167=0),"",IF(OR((($AJ167+$AL167)/($AK167+$AM167))&lt;=0,(($AJ167+$AL167)/($AK167+$AM167))&gt;=1),"",($AJ167/$AK167-$AL167/$AM167)/SQRT((($AJ167+$AL167)/($AK167+$AM167))*(1-(($AJ167+$AL167)/($AK167+$AM167)))*(1/$AK167+1/$AM167))))</f>
        <v/>
      </c>
      <c r="AO167" s="27">
        <f>IF($A167="","",IF(AND(COUNTIFS($A$14:$A$1213,$A167,$F$14:$F$1213,"&gt;=0")=2,IFERROR(INDEX($M$14:$M$313,MATCH($A167,$H$14:$H$313,0)),"Yes")&lt;&gt;"Yes"),1,0))</f>
        <v/>
      </c>
    </row>
    <row r="168" ht="24" customHeight="1">
      <c r="A168" s="19" t="n"/>
      <c r="B168" s="20" t="n"/>
      <c r="C168" s="21">
        <f>IFERROR(AVERAGE(P168:T168),"")</f>
        <v/>
      </c>
      <c r="D168" s="29" t="n"/>
      <c r="E168" s="29" t="n"/>
      <c r="F168" s="30">
        <f>IF(AND(ISNUMBER($D168),ISNUMBER($E168),$E168&gt;0,$D168&lt;=$E168),$D168/$E168,"")</f>
        <v/>
      </c>
      <c r="H168" s="19">
        <f>IFERROR(INDEX($A$14:$A$1213,MATCH(155,$AI$14:$AI$1213,0)),"")</f>
        <v/>
      </c>
      <c r="I168" s="24">
        <f>IF($H168="","",IF(COUNTIFS($A$14:$A$1213,$H168,$C$14:$C$1213,"&gt;=0")=0,"—",IFERROR(INDEX($B$14:$B$1213,MATCH($H168&amp;"|1",$Z$14:$Z$1213,0)),"(tied)")))</f>
        <v/>
      </c>
      <c r="J168" s="25">
        <f>IF($H168="","",IF(OR(COUNTIFS($A$14:$A$1213,$H168,$C$14:$C$1213,"&gt;=0")=0,COUNTIFS($A$14:$A$1213,$H168,$F$14:$F$1213,"&gt;=0")=0),"—",IF(OR(ISERROR(MATCH($H168&amp;"|1",$Z$14:$Z$1213,0)),ISERROR(MATCH($H168&amp;"|1",$AA$14:$AA$1213,0))),"Tie",IF(MATCH($H168&amp;"|1",$Z$14:$Z$1213,0)=MATCH($H168&amp;"|1",$AA$14:$AA$1213,0),"Hit","Miss"))))</f>
        <v/>
      </c>
      <c r="K168" s="24">
        <f>IF($H168="","",IF(COUNTIFS($A$14:$A$1213,$H168,$F$14:$F$1213,"&gt;=0")=0,"—",IFERROR(INDEX($B$14:$B$1213,MATCH($H168&amp;"|1",$AA$14:$AA$1213,0)),"(tied)")))</f>
        <v/>
      </c>
      <c r="L168" s="25">
        <f>IF($H168="","",IF((--(COUNTIFS($A$14:$A$1213,$H168,$P$14:$P$1213,"&gt;=0")&gt;0)+--(COUNTIFS($A$14:$A$1213,$H168,$Q$14:$Q$1213,"&gt;=0")&gt;0)+--(COUNTIFS($A$14:$A$1213,$H168,$R$14:$R$1213,"&gt;=0")&gt;0)+--(COUNTIFS($A$14:$A$1213,$H168,$S$14:$S$1213,"&gt;=0")&gt;0)+--(COUNTIFS($A$14:$A$1213,$H168,$T$14:$T$1213,"&gt;=0")&gt;0))&lt;2,"—",IF(SUMIFS($AH$14:$AH$1213,$A$14:$A$1213,$H168)=0,"Yes","No")))</f>
        <v/>
      </c>
      <c r="M168" s="25">
        <f>IF($H168="","",IF(COUNTIFS($A$14:$A$1213,$H168,$F$14:$F$1213,"&gt;=0")&lt;2,"—",IF(COUNTIFS($A$14:$A$1213,$H168,$F$14:$F$1213,_xlfn.MAXIFS($F$14:$F$1213,$A$14:$A$1213,$H168))&gt;1,"No",IF(NOT(ISNUMBER($AN168)),"—",IF((2*(1-NORMSDIST(ABS($AN168))))&lt;0.05,"Yes","No")))))</f>
        <v/>
      </c>
      <c r="N168" s="21">
        <f>IF($H168="","",IF(NOT(ISNUMBER($AN168)),"—",IF((2*(1-NORMSDIST(ABS($AN168))))&lt;0.001,"&lt;0.001",TEXT((2*(1-NORMSDIST(ABS($AN168)))),"0.000"))))</f>
        <v/>
      </c>
      <c r="P168" s="26" t="n"/>
      <c r="Q168" s="26" t="n"/>
      <c r="R168" s="26" t="n"/>
      <c r="S168" s="26" t="n"/>
      <c r="T168" s="26" t="n"/>
      <c r="V168" s="27">
        <f>IF(ISNUMBER($C168),COUNTIFS($A$14:$A$1213,$A168,$C$14:$C$1213,"&gt;"&amp;$C168)+(COUNTIFS($A$14:$A$1213,$A168,$C$14:$C$1213,"="&amp;$C168)+1)/2,"")</f>
        <v/>
      </c>
      <c r="W168" s="27">
        <f>IF(ISNUMBER($F168),COUNTIFS($A$14:$A$1213,$A168,$F$14:$F$1213,"&gt;"&amp;$F168)+(COUNTIFS($A$14:$A$1213,$A168,$F$14:$F$1213,"="&amp;$F168)+1)/2,"")</f>
        <v/>
      </c>
      <c r="X168" s="27">
        <f>IF(OR(NOT(ISNUMBER($V168)),$AO168=1),"",$V168-(COUNTIFS($A$14:$A$1213,$A168,$C$14:$C$1213,"&gt;=0")+1)/2)</f>
        <v/>
      </c>
      <c r="Y168" s="27">
        <f>IF(OR(NOT(ISNUMBER($W168)),$AO168=1),"",$W168-(COUNTIFS($A$14:$A$1213,$A168,$F$14:$F$1213,"&gt;=0")+1)/2)</f>
        <v/>
      </c>
      <c r="Z168" s="27">
        <f>IF(ISNUMBER($V168),$A168&amp;"|"&amp;$V168,"")</f>
        <v/>
      </c>
      <c r="AA168" s="27">
        <f>IF(ISNUMBER($W168),$A168&amp;"|"&amp;$W168,"")</f>
        <v/>
      </c>
      <c r="AB168" s="27">
        <f>IF(ISNUMBER($F168),$A168&amp;"|"&amp;$F168,"")</f>
        <v/>
      </c>
      <c r="AC168" s="27">
        <f>IF(ISNUMBER($P168),COUNTIFS($A$14:$A$1213,$A168,$P$14:$P$1213,"&gt;"&amp;$P168)+(COUNTIFS($A$14:$A$1213,$A168,$P$14:$P$1213,"="&amp;$P168)+1)/2,"")</f>
        <v/>
      </c>
      <c r="AD168" s="27">
        <f>IF(ISNUMBER($Q168),COUNTIFS($A$14:$A$1213,$A168,$Q$14:$Q$1213,"&gt;"&amp;$Q168)+(COUNTIFS($A$14:$A$1213,$A168,$Q$14:$Q$1213,"="&amp;$Q168)+1)/2,"")</f>
        <v/>
      </c>
      <c r="AE168" s="27">
        <f>IF(ISNUMBER($R168),COUNTIFS($A$14:$A$1213,$A168,$R$14:$R$1213,"&gt;"&amp;$R168)+(COUNTIFS($A$14:$A$1213,$A168,$R$14:$R$1213,"="&amp;$R168)+1)/2,"")</f>
        <v/>
      </c>
      <c r="AF168" s="27">
        <f>IF(ISNUMBER($S168),COUNTIFS($A$14:$A$1213,$A168,$S$14:$S$1213,"&gt;"&amp;$S168)+(COUNTIFS($A$14:$A$1213,$A168,$S$14:$S$1213,"="&amp;$S168)+1)/2,"")</f>
        <v/>
      </c>
      <c r="AG168" s="27">
        <f>IF(ISNUMBER($T168),COUNTIFS($A$14:$A$1213,$A168,$T$14:$T$1213,"&gt;"&amp;$T168)+(COUNTIFS($A$14:$A$1213,$A168,$T$14:$T$1213,"="&amp;$T168)+1)/2,"")</f>
        <v/>
      </c>
      <c r="AH168" s="27">
        <f>IF(COUNT($AC168:$AG168)&lt;2,"",IF(MAX($AC168:$AG168)=MIN($AC168:$AG168),0,1))</f>
        <v/>
      </c>
      <c r="AI168" s="27">
        <f>IF($A168="","",IF(COUNTIF($A$14:$A168,$A168)=1,COUNTIF($AI$13:AI167,"&gt;0")+1,""))</f>
        <v/>
      </c>
      <c r="AJ168" s="27">
        <f>IF(OR($H168="",COUNTIFS($A$14:$A$1213,$H168,$F$14:$F$1213,"&gt;=0")&lt;2,COUNTIFS($A$14:$A$1213,$H168,$F$14:$F$1213,_xlfn.MAXIFS($F$14:$F$1213,$A$14:$A$1213,$H168))&gt;1),"",IFERROR(INDEX($D$14:$D$1213,MATCH($H168&amp;"|"&amp;_xlfn.MAXIFS($F$14:$F$1213,$A$14:$A$1213,$H168),$AB$14:$AB$1213,0)),""))</f>
        <v/>
      </c>
      <c r="AK168" s="27">
        <f>IF(OR($H168="",COUNTIFS($A$14:$A$1213,$H168,$F$14:$F$1213,"&gt;=0")&lt;2,COUNTIFS($A$14:$A$1213,$H168,$F$14:$F$1213,_xlfn.MAXIFS($F$14:$F$1213,$A$14:$A$1213,$H168))&gt;1),"",IFERROR(INDEX($E$14:$E$1213,MATCH($H168&amp;"|"&amp;_xlfn.MAXIFS($F$14:$F$1213,$A$14:$A$1213,$H168),$AB$14:$AB$1213,0)),""))</f>
        <v/>
      </c>
      <c r="AL168" s="27">
        <f>IF(OR($H168="",COUNTIFS($A$14:$A$1213,$H168,$F$14:$F$1213,"&gt;=0")&lt;2,COUNTIFS($A$14:$A$1213,$H168,$F$14:$F$1213,_xlfn.MAXIFS($F$14:$F$1213,$A$14:$A$1213,$H168))&gt;1),"",IFERROR(INDEX($D$14:$D$1213,MATCH($H168&amp;"|"&amp;_xlfn.MAXIFS($F$14:$F$1213,$A$14:$A$1213,$H168,$F$14:$F$1213,"&lt;"&amp;_xlfn.MAXIFS($F$14:$F$1213,$A$14:$A$1213,$H168)),$AB$14:$AB$1213,0)),""))</f>
        <v/>
      </c>
      <c r="AM168" s="27">
        <f>IF(OR($H168="",COUNTIFS($A$14:$A$1213,$H168,$F$14:$F$1213,"&gt;=0")&lt;2,COUNTIFS($A$14:$A$1213,$H168,$F$14:$F$1213,_xlfn.MAXIFS($F$14:$F$1213,$A$14:$A$1213,$H168))&gt;1),"",IFERROR(INDEX($E$14:$E$1213,MATCH($H168&amp;"|"&amp;_xlfn.MAXIFS($F$14:$F$1213,$A$14:$A$1213,$H168,$F$14:$F$1213,"&lt;"&amp;_xlfn.MAXIFS($F$14:$F$1213,$A$14:$A$1213,$H168)),$AB$14:$AB$1213,0)),""))</f>
        <v/>
      </c>
      <c r="AN168" s="27">
        <f>IF(OR(NOT(ISNUMBER($AJ168)),NOT(ISNUMBER($AL168)),$AK168=0,$AM168=0),"",IF(OR((($AJ168+$AL168)/($AK168+$AM168))&lt;=0,(($AJ168+$AL168)/($AK168+$AM168))&gt;=1),"",($AJ168/$AK168-$AL168/$AM168)/SQRT((($AJ168+$AL168)/($AK168+$AM168))*(1-(($AJ168+$AL168)/($AK168+$AM168)))*(1/$AK168+1/$AM168))))</f>
        <v/>
      </c>
      <c r="AO168" s="27">
        <f>IF($A168="","",IF(AND(COUNTIFS($A$14:$A$1213,$A168,$F$14:$F$1213,"&gt;=0")=2,IFERROR(INDEX($M$14:$M$313,MATCH($A168,$H$14:$H$313,0)),"Yes")&lt;&gt;"Yes"),1,0))</f>
        <v/>
      </c>
    </row>
    <row r="169" ht="24" customHeight="1">
      <c r="A169" s="19" t="n"/>
      <c r="B169" s="20" t="n"/>
      <c r="C169" s="21">
        <f>IFERROR(AVERAGE(P169:T169),"")</f>
        <v/>
      </c>
      <c r="D169" s="29" t="n"/>
      <c r="E169" s="29" t="n"/>
      <c r="F169" s="30">
        <f>IF(AND(ISNUMBER($D169),ISNUMBER($E169),$E169&gt;0,$D169&lt;=$E169),$D169/$E169,"")</f>
        <v/>
      </c>
      <c r="H169" s="19">
        <f>IFERROR(INDEX($A$14:$A$1213,MATCH(156,$AI$14:$AI$1213,0)),"")</f>
        <v/>
      </c>
      <c r="I169" s="24">
        <f>IF($H169="","",IF(COUNTIFS($A$14:$A$1213,$H169,$C$14:$C$1213,"&gt;=0")=0,"—",IFERROR(INDEX($B$14:$B$1213,MATCH($H169&amp;"|1",$Z$14:$Z$1213,0)),"(tied)")))</f>
        <v/>
      </c>
      <c r="J169" s="25">
        <f>IF($H169="","",IF(OR(COUNTIFS($A$14:$A$1213,$H169,$C$14:$C$1213,"&gt;=0")=0,COUNTIFS($A$14:$A$1213,$H169,$F$14:$F$1213,"&gt;=0")=0),"—",IF(OR(ISERROR(MATCH($H169&amp;"|1",$Z$14:$Z$1213,0)),ISERROR(MATCH($H169&amp;"|1",$AA$14:$AA$1213,0))),"Tie",IF(MATCH($H169&amp;"|1",$Z$14:$Z$1213,0)=MATCH($H169&amp;"|1",$AA$14:$AA$1213,0),"Hit","Miss"))))</f>
        <v/>
      </c>
      <c r="K169" s="24">
        <f>IF($H169="","",IF(COUNTIFS($A$14:$A$1213,$H169,$F$14:$F$1213,"&gt;=0")=0,"—",IFERROR(INDEX($B$14:$B$1213,MATCH($H169&amp;"|1",$AA$14:$AA$1213,0)),"(tied)")))</f>
        <v/>
      </c>
      <c r="L169" s="25">
        <f>IF($H169="","",IF((--(COUNTIFS($A$14:$A$1213,$H169,$P$14:$P$1213,"&gt;=0")&gt;0)+--(COUNTIFS($A$14:$A$1213,$H169,$Q$14:$Q$1213,"&gt;=0")&gt;0)+--(COUNTIFS($A$14:$A$1213,$H169,$R$14:$R$1213,"&gt;=0")&gt;0)+--(COUNTIFS($A$14:$A$1213,$H169,$S$14:$S$1213,"&gt;=0")&gt;0)+--(COUNTIFS($A$14:$A$1213,$H169,$T$14:$T$1213,"&gt;=0")&gt;0))&lt;2,"—",IF(SUMIFS($AH$14:$AH$1213,$A$14:$A$1213,$H169)=0,"Yes","No")))</f>
        <v/>
      </c>
      <c r="M169" s="25">
        <f>IF($H169="","",IF(COUNTIFS($A$14:$A$1213,$H169,$F$14:$F$1213,"&gt;=0")&lt;2,"—",IF(COUNTIFS($A$14:$A$1213,$H169,$F$14:$F$1213,_xlfn.MAXIFS($F$14:$F$1213,$A$14:$A$1213,$H169))&gt;1,"No",IF(NOT(ISNUMBER($AN169)),"—",IF((2*(1-NORMSDIST(ABS($AN169))))&lt;0.05,"Yes","No")))))</f>
        <v/>
      </c>
      <c r="N169" s="21">
        <f>IF($H169="","",IF(NOT(ISNUMBER($AN169)),"—",IF((2*(1-NORMSDIST(ABS($AN169))))&lt;0.001,"&lt;0.001",TEXT((2*(1-NORMSDIST(ABS($AN169)))),"0.000"))))</f>
        <v/>
      </c>
      <c r="P169" s="26" t="n"/>
      <c r="Q169" s="26" t="n"/>
      <c r="R169" s="26" t="n"/>
      <c r="S169" s="26" t="n"/>
      <c r="T169" s="26" t="n"/>
      <c r="V169" s="27">
        <f>IF(ISNUMBER($C169),COUNTIFS($A$14:$A$1213,$A169,$C$14:$C$1213,"&gt;"&amp;$C169)+(COUNTIFS($A$14:$A$1213,$A169,$C$14:$C$1213,"="&amp;$C169)+1)/2,"")</f>
        <v/>
      </c>
      <c r="W169" s="27">
        <f>IF(ISNUMBER($F169),COUNTIFS($A$14:$A$1213,$A169,$F$14:$F$1213,"&gt;"&amp;$F169)+(COUNTIFS($A$14:$A$1213,$A169,$F$14:$F$1213,"="&amp;$F169)+1)/2,"")</f>
        <v/>
      </c>
      <c r="X169" s="27">
        <f>IF(OR(NOT(ISNUMBER($V169)),$AO169=1),"",$V169-(COUNTIFS($A$14:$A$1213,$A169,$C$14:$C$1213,"&gt;=0")+1)/2)</f>
        <v/>
      </c>
      <c r="Y169" s="27">
        <f>IF(OR(NOT(ISNUMBER($W169)),$AO169=1),"",$W169-(COUNTIFS($A$14:$A$1213,$A169,$F$14:$F$1213,"&gt;=0")+1)/2)</f>
        <v/>
      </c>
      <c r="Z169" s="27">
        <f>IF(ISNUMBER($V169),$A169&amp;"|"&amp;$V169,"")</f>
        <v/>
      </c>
      <c r="AA169" s="27">
        <f>IF(ISNUMBER($W169),$A169&amp;"|"&amp;$W169,"")</f>
        <v/>
      </c>
      <c r="AB169" s="27">
        <f>IF(ISNUMBER($F169),$A169&amp;"|"&amp;$F169,"")</f>
        <v/>
      </c>
      <c r="AC169" s="27">
        <f>IF(ISNUMBER($P169),COUNTIFS($A$14:$A$1213,$A169,$P$14:$P$1213,"&gt;"&amp;$P169)+(COUNTIFS($A$14:$A$1213,$A169,$P$14:$P$1213,"="&amp;$P169)+1)/2,"")</f>
        <v/>
      </c>
      <c r="AD169" s="27">
        <f>IF(ISNUMBER($Q169),COUNTIFS($A$14:$A$1213,$A169,$Q$14:$Q$1213,"&gt;"&amp;$Q169)+(COUNTIFS($A$14:$A$1213,$A169,$Q$14:$Q$1213,"="&amp;$Q169)+1)/2,"")</f>
        <v/>
      </c>
      <c r="AE169" s="27">
        <f>IF(ISNUMBER($R169),COUNTIFS($A$14:$A$1213,$A169,$R$14:$R$1213,"&gt;"&amp;$R169)+(COUNTIFS($A$14:$A$1213,$A169,$R$14:$R$1213,"="&amp;$R169)+1)/2,"")</f>
        <v/>
      </c>
      <c r="AF169" s="27">
        <f>IF(ISNUMBER($S169),COUNTIFS($A$14:$A$1213,$A169,$S$14:$S$1213,"&gt;"&amp;$S169)+(COUNTIFS($A$14:$A$1213,$A169,$S$14:$S$1213,"="&amp;$S169)+1)/2,"")</f>
        <v/>
      </c>
      <c r="AG169" s="27">
        <f>IF(ISNUMBER($T169),COUNTIFS($A$14:$A$1213,$A169,$T$14:$T$1213,"&gt;"&amp;$T169)+(COUNTIFS($A$14:$A$1213,$A169,$T$14:$T$1213,"="&amp;$T169)+1)/2,"")</f>
        <v/>
      </c>
      <c r="AH169" s="27">
        <f>IF(COUNT($AC169:$AG169)&lt;2,"",IF(MAX($AC169:$AG169)=MIN($AC169:$AG169),0,1))</f>
        <v/>
      </c>
      <c r="AI169" s="27">
        <f>IF($A169="","",IF(COUNTIF($A$14:$A169,$A169)=1,COUNTIF($AI$13:AI168,"&gt;0")+1,""))</f>
        <v/>
      </c>
      <c r="AJ169" s="27">
        <f>IF(OR($H169="",COUNTIFS($A$14:$A$1213,$H169,$F$14:$F$1213,"&gt;=0")&lt;2,COUNTIFS($A$14:$A$1213,$H169,$F$14:$F$1213,_xlfn.MAXIFS($F$14:$F$1213,$A$14:$A$1213,$H169))&gt;1),"",IFERROR(INDEX($D$14:$D$1213,MATCH($H169&amp;"|"&amp;_xlfn.MAXIFS($F$14:$F$1213,$A$14:$A$1213,$H169),$AB$14:$AB$1213,0)),""))</f>
        <v/>
      </c>
      <c r="AK169" s="27">
        <f>IF(OR($H169="",COUNTIFS($A$14:$A$1213,$H169,$F$14:$F$1213,"&gt;=0")&lt;2,COUNTIFS($A$14:$A$1213,$H169,$F$14:$F$1213,_xlfn.MAXIFS($F$14:$F$1213,$A$14:$A$1213,$H169))&gt;1),"",IFERROR(INDEX($E$14:$E$1213,MATCH($H169&amp;"|"&amp;_xlfn.MAXIFS($F$14:$F$1213,$A$14:$A$1213,$H169),$AB$14:$AB$1213,0)),""))</f>
        <v/>
      </c>
      <c r="AL169" s="27">
        <f>IF(OR($H169="",COUNTIFS($A$14:$A$1213,$H169,$F$14:$F$1213,"&gt;=0")&lt;2,COUNTIFS($A$14:$A$1213,$H169,$F$14:$F$1213,_xlfn.MAXIFS($F$14:$F$1213,$A$14:$A$1213,$H169))&gt;1),"",IFERROR(INDEX($D$14:$D$1213,MATCH($H169&amp;"|"&amp;_xlfn.MAXIFS($F$14:$F$1213,$A$14:$A$1213,$H169,$F$14:$F$1213,"&lt;"&amp;_xlfn.MAXIFS($F$14:$F$1213,$A$14:$A$1213,$H169)),$AB$14:$AB$1213,0)),""))</f>
        <v/>
      </c>
      <c r="AM169" s="27">
        <f>IF(OR($H169="",COUNTIFS($A$14:$A$1213,$H169,$F$14:$F$1213,"&gt;=0")&lt;2,COUNTIFS($A$14:$A$1213,$H169,$F$14:$F$1213,_xlfn.MAXIFS($F$14:$F$1213,$A$14:$A$1213,$H169))&gt;1),"",IFERROR(INDEX($E$14:$E$1213,MATCH($H169&amp;"|"&amp;_xlfn.MAXIFS($F$14:$F$1213,$A$14:$A$1213,$H169,$F$14:$F$1213,"&lt;"&amp;_xlfn.MAXIFS($F$14:$F$1213,$A$14:$A$1213,$H169)),$AB$14:$AB$1213,0)),""))</f>
        <v/>
      </c>
      <c r="AN169" s="27">
        <f>IF(OR(NOT(ISNUMBER($AJ169)),NOT(ISNUMBER($AL169)),$AK169=0,$AM169=0),"",IF(OR((($AJ169+$AL169)/($AK169+$AM169))&lt;=0,(($AJ169+$AL169)/($AK169+$AM169))&gt;=1),"",($AJ169/$AK169-$AL169/$AM169)/SQRT((($AJ169+$AL169)/($AK169+$AM169))*(1-(($AJ169+$AL169)/($AK169+$AM169)))*(1/$AK169+1/$AM169))))</f>
        <v/>
      </c>
      <c r="AO169" s="27">
        <f>IF($A169="","",IF(AND(COUNTIFS($A$14:$A$1213,$A169,$F$14:$F$1213,"&gt;=0")=2,IFERROR(INDEX($M$14:$M$313,MATCH($A169,$H$14:$H$313,0)),"Yes")&lt;&gt;"Yes"),1,0))</f>
        <v/>
      </c>
    </row>
    <row r="170" ht="24" customHeight="1">
      <c r="A170" s="19" t="n"/>
      <c r="B170" s="20" t="n"/>
      <c r="C170" s="21">
        <f>IFERROR(AVERAGE(P170:T170),"")</f>
        <v/>
      </c>
      <c r="D170" s="29" t="n"/>
      <c r="E170" s="29" t="n"/>
      <c r="F170" s="30">
        <f>IF(AND(ISNUMBER($D170),ISNUMBER($E170),$E170&gt;0,$D170&lt;=$E170),$D170/$E170,"")</f>
        <v/>
      </c>
      <c r="H170" s="19">
        <f>IFERROR(INDEX($A$14:$A$1213,MATCH(157,$AI$14:$AI$1213,0)),"")</f>
        <v/>
      </c>
      <c r="I170" s="24">
        <f>IF($H170="","",IF(COUNTIFS($A$14:$A$1213,$H170,$C$14:$C$1213,"&gt;=0")=0,"—",IFERROR(INDEX($B$14:$B$1213,MATCH($H170&amp;"|1",$Z$14:$Z$1213,0)),"(tied)")))</f>
        <v/>
      </c>
      <c r="J170" s="25">
        <f>IF($H170="","",IF(OR(COUNTIFS($A$14:$A$1213,$H170,$C$14:$C$1213,"&gt;=0")=0,COUNTIFS($A$14:$A$1213,$H170,$F$14:$F$1213,"&gt;=0")=0),"—",IF(OR(ISERROR(MATCH($H170&amp;"|1",$Z$14:$Z$1213,0)),ISERROR(MATCH($H170&amp;"|1",$AA$14:$AA$1213,0))),"Tie",IF(MATCH($H170&amp;"|1",$Z$14:$Z$1213,0)=MATCH($H170&amp;"|1",$AA$14:$AA$1213,0),"Hit","Miss"))))</f>
        <v/>
      </c>
      <c r="K170" s="24">
        <f>IF($H170="","",IF(COUNTIFS($A$14:$A$1213,$H170,$F$14:$F$1213,"&gt;=0")=0,"—",IFERROR(INDEX($B$14:$B$1213,MATCH($H170&amp;"|1",$AA$14:$AA$1213,0)),"(tied)")))</f>
        <v/>
      </c>
      <c r="L170" s="25">
        <f>IF($H170="","",IF((--(COUNTIFS($A$14:$A$1213,$H170,$P$14:$P$1213,"&gt;=0")&gt;0)+--(COUNTIFS($A$14:$A$1213,$H170,$Q$14:$Q$1213,"&gt;=0")&gt;0)+--(COUNTIFS($A$14:$A$1213,$H170,$R$14:$R$1213,"&gt;=0")&gt;0)+--(COUNTIFS($A$14:$A$1213,$H170,$S$14:$S$1213,"&gt;=0")&gt;0)+--(COUNTIFS($A$14:$A$1213,$H170,$T$14:$T$1213,"&gt;=0")&gt;0))&lt;2,"—",IF(SUMIFS($AH$14:$AH$1213,$A$14:$A$1213,$H170)=0,"Yes","No")))</f>
        <v/>
      </c>
      <c r="M170" s="25">
        <f>IF($H170="","",IF(COUNTIFS($A$14:$A$1213,$H170,$F$14:$F$1213,"&gt;=0")&lt;2,"—",IF(COUNTIFS($A$14:$A$1213,$H170,$F$14:$F$1213,_xlfn.MAXIFS($F$14:$F$1213,$A$14:$A$1213,$H170))&gt;1,"No",IF(NOT(ISNUMBER($AN170)),"—",IF((2*(1-NORMSDIST(ABS($AN170))))&lt;0.05,"Yes","No")))))</f>
        <v/>
      </c>
      <c r="N170" s="21">
        <f>IF($H170="","",IF(NOT(ISNUMBER($AN170)),"—",IF((2*(1-NORMSDIST(ABS($AN170))))&lt;0.001,"&lt;0.001",TEXT((2*(1-NORMSDIST(ABS($AN170)))),"0.000"))))</f>
        <v/>
      </c>
      <c r="P170" s="26" t="n"/>
      <c r="Q170" s="26" t="n"/>
      <c r="R170" s="26" t="n"/>
      <c r="S170" s="26" t="n"/>
      <c r="T170" s="26" t="n"/>
      <c r="V170" s="27">
        <f>IF(ISNUMBER($C170),COUNTIFS($A$14:$A$1213,$A170,$C$14:$C$1213,"&gt;"&amp;$C170)+(COUNTIFS($A$14:$A$1213,$A170,$C$14:$C$1213,"="&amp;$C170)+1)/2,"")</f>
        <v/>
      </c>
      <c r="W170" s="27">
        <f>IF(ISNUMBER($F170),COUNTIFS($A$14:$A$1213,$A170,$F$14:$F$1213,"&gt;"&amp;$F170)+(COUNTIFS($A$14:$A$1213,$A170,$F$14:$F$1213,"="&amp;$F170)+1)/2,"")</f>
        <v/>
      </c>
      <c r="X170" s="27">
        <f>IF(OR(NOT(ISNUMBER($V170)),$AO170=1),"",$V170-(COUNTIFS($A$14:$A$1213,$A170,$C$14:$C$1213,"&gt;=0")+1)/2)</f>
        <v/>
      </c>
      <c r="Y170" s="27">
        <f>IF(OR(NOT(ISNUMBER($W170)),$AO170=1),"",$W170-(COUNTIFS($A$14:$A$1213,$A170,$F$14:$F$1213,"&gt;=0")+1)/2)</f>
        <v/>
      </c>
      <c r="Z170" s="27">
        <f>IF(ISNUMBER($V170),$A170&amp;"|"&amp;$V170,"")</f>
        <v/>
      </c>
      <c r="AA170" s="27">
        <f>IF(ISNUMBER($W170),$A170&amp;"|"&amp;$W170,"")</f>
        <v/>
      </c>
      <c r="AB170" s="27">
        <f>IF(ISNUMBER($F170),$A170&amp;"|"&amp;$F170,"")</f>
        <v/>
      </c>
      <c r="AC170" s="27">
        <f>IF(ISNUMBER($P170),COUNTIFS($A$14:$A$1213,$A170,$P$14:$P$1213,"&gt;"&amp;$P170)+(COUNTIFS($A$14:$A$1213,$A170,$P$14:$P$1213,"="&amp;$P170)+1)/2,"")</f>
        <v/>
      </c>
      <c r="AD170" s="27">
        <f>IF(ISNUMBER($Q170),COUNTIFS($A$14:$A$1213,$A170,$Q$14:$Q$1213,"&gt;"&amp;$Q170)+(COUNTIFS($A$14:$A$1213,$A170,$Q$14:$Q$1213,"="&amp;$Q170)+1)/2,"")</f>
        <v/>
      </c>
      <c r="AE170" s="27">
        <f>IF(ISNUMBER($R170),COUNTIFS($A$14:$A$1213,$A170,$R$14:$R$1213,"&gt;"&amp;$R170)+(COUNTIFS($A$14:$A$1213,$A170,$R$14:$R$1213,"="&amp;$R170)+1)/2,"")</f>
        <v/>
      </c>
      <c r="AF170" s="27">
        <f>IF(ISNUMBER($S170),COUNTIFS($A$14:$A$1213,$A170,$S$14:$S$1213,"&gt;"&amp;$S170)+(COUNTIFS($A$14:$A$1213,$A170,$S$14:$S$1213,"="&amp;$S170)+1)/2,"")</f>
        <v/>
      </c>
      <c r="AG170" s="27">
        <f>IF(ISNUMBER($T170),COUNTIFS($A$14:$A$1213,$A170,$T$14:$T$1213,"&gt;"&amp;$T170)+(COUNTIFS($A$14:$A$1213,$A170,$T$14:$T$1213,"="&amp;$T170)+1)/2,"")</f>
        <v/>
      </c>
      <c r="AH170" s="27">
        <f>IF(COUNT($AC170:$AG170)&lt;2,"",IF(MAX($AC170:$AG170)=MIN($AC170:$AG170),0,1))</f>
        <v/>
      </c>
      <c r="AI170" s="27">
        <f>IF($A170="","",IF(COUNTIF($A$14:$A170,$A170)=1,COUNTIF($AI$13:AI169,"&gt;0")+1,""))</f>
        <v/>
      </c>
      <c r="AJ170" s="27">
        <f>IF(OR($H170="",COUNTIFS($A$14:$A$1213,$H170,$F$14:$F$1213,"&gt;=0")&lt;2,COUNTIFS($A$14:$A$1213,$H170,$F$14:$F$1213,_xlfn.MAXIFS($F$14:$F$1213,$A$14:$A$1213,$H170))&gt;1),"",IFERROR(INDEX($D$14:$D$1213,MATCH($H170&amp;"|"&amp;_xlfn.MAXIFS($F$14:$F$1213,$A$14:$A$1213,$H170),$AB$14:$AB$1213,0)),""))</f>
        <v/>
      </c>
      <c r="AK170" s="27">
        <f>IF(OR($H170="",COUNTIFS($A$14:$A$1213,$H170,$F$14:$F$1213,"&gt;=0")&lt;2,COUNTIFS($A$14:$A$1213,$H170,$F$14:$F$1213,_xlfn.MAXIFS($F$14:$F$1213,$A$14:$A$1213,$H170))&gt;1),"",IFERROR(INDEX($E$14:$E$1213,MATCH($H170&amp;"|"&amp;_xlfn.MAXIFS($F$14:$F$1213,$A$14:$A$1213,$H170),$AB$14:$AB$1213,0)),""))</f>
        <v/>
      </c>
      <c r="AL170" s="27">
        <f>IF(OR($H170="",COUNTIFS($A$14:$A$1213,$H170,$F$14:$F$1213,"&gt;=0")&lt;2,COUNTIFS($A$14:$A$1213,$H170,$F$14:$F$1213,_xlfn.MAXIFS($F$14:$F$1213,$A$14:$A$1213,$H170))&gt;1),"",IFERROR(INDEX($D$14:$D$1213,MATCH($H170&amp;"|"&amp;_xlfn.MAXIFS($F$14:$F$1213,$A$14:$A$1213,$H170,$F$14:$F$1213,"&lt;"&amp;_xlfn.MAXIFS($F$14:$F$1213,$A$14:$A$1213,$H170)),$AB$14:$AB$1213,0)),""))</f>
        <v/>
      </c>
      <c r="AM170" s="27">
        <f>IF(OR($H170="",COUNTIFS($A$14:$A$1213,$H170,$F$14:$F$1213,"&gt;=0")&lt;2,COUNTIFS($A$14:$A$1213,$H170,$F$14:$F$1213,_xlfn.MAXIFS($F$14:$F$1213,$A$14:$A$1213,$H170))&gt;1),"",IFERROR(INDEX($E$14:$E$1213,MATCH($H170&amp;"|"&amp;_xlfn.MAXIFS($F$14:$F$1213,$A$14:$A$1213,$H170,$F$14:$F$1213,"&lt;"&amp;_xlfn.MAXIFS($F$14:$F$1213,$A$14:$A$1213,$H170)),$AB$14:$AB$1213,0)),""))</f>
        <v/>
      </c>
      <c r="AN170" s="27">
        <f>IF(OR(NOT(ISNUMBER($AJ170)),NOT(ISNUMBER($AL170)),$AK170=0,$AM170=0),"",IF(OR((($AJ170+$AL170)/($AK170+$AM170))&lt;=0,(($AJ170+$AL170)/($AK170+$AM170))&gt;=1),"",($AJ170/$AK170-$AL170/$AM170)/SQRT((($AJ170+$AL170)/($AK170+$AM170))*(1-(($AJ170+$AL170)/($AK170+$AM170)))*(1/$AK170+1/$AM170))))</f>
        <v/>
      </c>
      <c r="AO170" s="27">
        <f>IF($A170="","",IF(AND(COUNTIFS($A$14:$A$1213,$A170,$F$14:$F$1213,"&gt;=0")=2,IFERROR(INDEX($M$14:$M$313,MATCH($A170,$H$14:$H$313,0)),"Yes")&lt;&gt;"Yes"),1,0))</f>
        <v/>
      </c>
    </row>
    <row r="171" ht="24" customHeight="1">
      <c r="A171" s="19" t="n"/>
      <c r="B171" s="20" t="n"/>
      <c r="C171" s="21">
        <f>IFERROR(AVERAGE(P171:T171),"")</f>
        <v/>
      </c>
      <c r="D171" s="29" t="n"/>
      <c r="E171" s="29" t="n"/>
      <c r="F171" s="30">
        <f>IF(AND(ISNUMBER($D171),ISNUMBER($E171),$E171&gt;0,$D171&lt;=$E171),$D171/$E171,"")</f>
        <v/>
      </c>
      <c r="H171" s="19">
        <f>IFERROR(INDEX($A$14:$A$1213,MATCH(158,$AI$14:$AI$1213,0)),"")</f>
        <v/>
      </c>
      <c r="I171" s="24">
        <f>IF($H171="","",IF(COUNTIFS($A$14:$A$1213,$H171,$C$14:$C$1213,"&gt;=0")=0,"—",IFERROR(INDEX($B$14:$B$1213,MATCH($H171&amp;"|1",$Z$14:$Z$1213,0)),"(tied)")))</f>
        <v/>
      </c>
      <c r="J171" s="25">
        <f>IF($H171="","",IF(OR(COUNTIFS($A$14:$A$1213,$H171,$C$14:$C$1213,"&gt;=0")=0,COUNTIFS($A$14:$A$1213,$H171,$F$14:$F$1213,"&gt;=0")=0),"—",IF(OR(ISERROR(MATCH($H171&amp;"|1",$Z$14:$Z$1213,0)),ISERROR(MATCH($H171&amp;"|1",$AA$14:$AA$1213,0))),"Tie",IF(MATCH($H171&amp;"|1",$Z$14:$Z$1213,0)=MATCH($H171&amp;"|1",$AA$14:$AA$1213,0),"Hit","Miss"))))</f>
        <v/>
      </c>
      <c r="K171" s="24">
        <f>IF($H171="","",IF(COUNTIFS($A$14:$A$1213,$H171,$F$14:$F$1213,"&gt;=0")=0,"—",IFERROR(INDEX($B$14:$B$1213,MATCH($H171&amp;"|1",$AA$14:$AA$1213,0)),"(tied)")))</f>
        <v/>
      </c>
      <c r="L171" s="25">
        <f>IF($H171="","",IF((--(COUNTIFS($A$14:$A$1213,$H171,$P$14:$P$1213,"&gt;=0")&gt;0)+--(COUNTIFS($A$14:$A$1213,$H171,$Q$14:$Q$1213,"&gt;=0")&gt;0)+--(COUNTIFS($A$14:$A$1213,$H171,$R$14:$R$1213,"&gt;=0")&gt;0)+--(COUNTIFS($A$14:$A$1213,$H171,$S$14:$S$1213,"&gt;=0")&gt;0)+--(COUNTIFS($A$14:$A$1213,$H171,$T$14:$T$1213,"&gt;=0")&gt;0))&lt;2,"—",IF(SUMIFS($AH$14:$AH$1213,$A$14:$A$1213,$H171)=0,"Yes","No")))</f>
        <v/>
      </c>
      <c r="M171" s="25">
        <f>IF($H171="","",IF(COUNTIFS($A$14:$A$1213,$H171,$F$14:$F$1213,"&gt;=0")&lt;2,"—",IF(COUNTIFS($A$14:$A$1213,$H171,$F$14:$F$1213,_xlfn.MAXIFS($F$14:$F$1213,$A$14:$A$1213,$H171))&gt;1,"No",IF(NOT(ISNUMBER($AN171)),"—",IF((2*(1-NORMSDIST(ABS($AN171))))&lt;0.05,"Yes","No")))))</f>
        <v/>
      </c>
      <c r="N171" s="21">
        <f>IF($H171="","",IF(NOT(ISNUMBER($AN171)),"—",IF((2*(1-NORMSDIST(ABS($AN171))))&lt;0.001,"&lt;0.001",TEXT((2*(1-NORMSDIST(ABS($AN171)))),"0.000"))))</f>
        <v/>
      </c>
      <c r="P171" s="26" t="n"/>
      <c r="Q171" s="26" t="n"/>
      <c r="R171" s="26" t="n"/>
      <c r="S171" s="26" t="n"/>
      <c r="T171" s="26" t="n"/>
      <c r="V171" s="27">
        <f>IF(ISNUMBER($C171),COUNTIFS($A$14:$A$1213,$A171,$C$14:$C$1213,"&gt;"&amp;$C171)+(COUNTIFS($A$14:$A$1213,$A171,$C$14:$C$1213,"="&amp;$C171)+1)/2,"")</f>
        <v/>
      </c>
      <c r="W171" s="27">
        <f>IF(ISNUMBER($F171),COUNTIFS($A$14:$A$1213,$A171,$F$14:$F$1213,"&gt;"&amp;$F171)+(COUNTIFS($A$14:$A$1213,$A171,$F$14:$F$1213,"="&amp;$F171)+1)/2,"")</f>
        <v/>
      </c>
      <c r="X171" s="27">
        <f>IF(OR(NOT(ISNUMBER($V171)),$AO171=1),"",$V171-(COUNTIFS($A$14:$A$1213,$A171,$C$14:$C$1213,"&gt;=0")+1)/2)</f>
        <v/>
      </c>
      <c r="Y171" s="27">
        <f>IF(OR(NOT(ISNUMBER($W171)),$AO171=1),"",$W171-(COUNTIFS($A$14:$A$1213,$A171,$F$14:$F$1213,"&gt;=0")+1)/2)</f>
        <v/>
      </c>
      <c r="Z171" s="27">
        <f>IF(ISNUMBER($V171),$A171&amp;"|"&amp;$V171,"")</f>
        <v/>
      </c>
      <c r="AA171" s="27">
        <f>IF(ISNUMBER($W171),$A171&amp;"|"&amp;$W171,"")</f>
        <v/>
      </c>
      <c r="AB171" s="27">
        <f>IF(ISNUMBER($F171),$A171&amp;"|"&amp;$F171,"")</f>
        <v/>
      </c>
      <c r="AC171" s="27">
        <f>IF(ISNUMBER($P171),COUNTIFS($A$14:$A$1213,$A171,$P$14:$P$1213,"&gt;"&amp;$P171)+(COUNTIFS($A$14:$A$1213,$A171,$P$14:$P$1213,"="&amp;$P171)+1)/2,"")</f>
        <v/>
      </c>
      <c r="AD171" s="27">
        <f>IF(ISNUMBER($Q171),COUNTIFS($A$14:$A$1213,$A171,$Q$14:$Q$1213,"&gt;"&amp;$Q171)+(COUNTIFS($A$14:$A$1213,$A171,$Q$14:$Q$1213,"="&amp;$Q171)+1)/2,"")</f>
        <v/>
      </c>
      <c r="AE171" s="27">
        <f>IF(ISNUMBER($R171),COUNTIFS($A$14:$A$1213,$A171,$R$14:$R$1213,"&gt;"&amp;$R171)+(COUNTIFS($A$14:$A$1213,$A171,$R$14:$R$1213,"="&amp;$R171)+1)/2,"")</f>
        <v/>
      </c>
      <c r="AF171" s="27">
        <f>IF(ISNUMBER($S171),COUNTIFS($A$14:$A$1213,$A171,$S$14:$S$1213,"&gt;"&amp;$S171)+(COUNTIFS($A$14:$A$1213,$A171,$S$14:$S$1213,"="&amp;$S171)+1)/2,"")</f>
        <v/>
      </c>
      <c r="AG171" s="27">
        <f>IF(ISNUMBER($T171),COUNTIFS($A$14:$A$1213,$A171,$T$14:$T$1213,"&gt;"&amp;$T171)+(COUNTIFS($A$14:$A$1213,$A171,$T$14:$T$1213,"="&amp;$T171)+1)/2,"")</f>
        <v/>
      </c>
      <c r="AH171" s="27">
        <f>IF(COUNT($AC171:$AG171)&lt;2,"",IF(MAX($AC171:$AG171)=MIN($AC171:$AG171),0,1))</f>
        <v/>
      </c>
      <c r="AI171" s="27">
        <f>IF($A171="","",IF(COUNTIF($A$14:$A171,$A171)=1,COUNTIF($AI$13:AI170,"&gt;0")+1,""))</f>
        <v/>
      </c>
      <c r="AJ171" s="27">
        <f>IF(OR($H171="",COUNTIFS($A$14:$A$1213,$H171,$F$14:$F$1213,"&gt;=0")&lt;2,COUNTIFS($A$14:$A$1213,$H171,$F$14:$F$1213,_xlfn.MAXIFS($F$14:$F$1213,$A$14:$A$1213,$H171))&gt;1),"",IFERROR(INDEX($D$14:$D$1213,MATCH($H171&amp;"|"&amp;_xlfn.MAXIFS($F$14:$F$1213,$A$14:$A$1213,$H171),$AB$14:$AB$1213,0)),""))</f>
        <v/>
      </c>
      <c r="AK171" s="27">
        <f>IF(OR($H171="",COUNTIFS($A$14:$A$1213,$H171,$F$14:$F$1213,"&gt;=0")&lt;2,COUNTIFS($A$14:$A$1213,$H171,$F$14:$F$1213,_xlfn.MAXIFS($F$14:$F$1213,$A$14:$A$1213,$H171))&gt;1),"",IFERROR(INDEX($E$14:$E$1213,MATCH($H171&amp;"|"&amp;_xlfn.MAXIFS($F$14:$F$1213,$A$14:$A$1213,$H171),$AB$14:$AB$1213,0)),""))</f>
        <v/>
      </c>
      <c r="AL171" s="27">
        <f>IF(OR($H171="",COUNTIFS($A$14:$A$1213,$H171,$F$14:$F$1213,"&gt;=0")&lt;2,COUNTIFS($A$14:$A$1213,$H171,$F$14:$F$1213,_xlfn.MAXIFS($F$14:$F$1213,$A$14:$A$1213,$H171))&gt;1),"",IFERROR(INDEX($D$14:$D$1213,MATCH($H171&amp;"|"&amp;_xlfn.MAXIFS($F$14:$F$1213,$A$14:$A$1213,$H171,$F$14:$F$1213,"&lt;"&amp;_xlfn.MAXIFS($F$14:$F$1213,$A$14:$A$1213,$H171)),$AB$14:$AB$1213,0)),""))</f>
        <v/>
      </c>
      <c r="AM171" s="27">
        <f>IF(OR($H171="",COUNTIFS($A$14:$A$1213,$H171,$F$14:$F$1213,"&gt;=0")&lt;2,COUNTIFS($A$14:$A$1213,$H171,$F$14:$F$1213,_xlfn.MAXIFS($F$14:$F$1213,$A$14:$A$1213,$H171))&gt;1),"",IFERROR(INDEX($E$14:$E$1213,MATCH($H171&amp;"|"&amp;_xlfn.MAXIFS($F$14:$F$1213,$A$14:$A$1213,$H171,$F$14:$F$1213,"&lt;"&amp;_xlfn.MAXIFS($F$14:$F$1213,$A$14:$A$1213,$H171)),$AB$14:$AB$1213,0)),""))</f>
        <v/>
      </c>
      <c r="AN171" s="27">
        <f>IF(OR(NOT(ISNUMBER($AJ171)),NOT(ISNUMBER($AL171)),$AK171=0,$AM171=0),"",IF(OR((($AJ171+$AL171)/($AK171+$AM171))&lt;=0,(($AJ171+$AL171)/($AK171+$AM171))&gt;=1),"",($AJ171/$AK171-$AL171/$AM171)/SQRT((($AJ171+$AL171)/($AK171+$AM171))*(1-(($AJ171+$AL171)/($AK171+$AM171)))*(1/$AK171+1/$AM171))))</f>
        <v/>
      </c>
      <c r="AO171" s="27">
        <f>IF($A171="","",IF(AND(COUNTIFS($A$14:$A$1213,$A171,$F$14:$F$1213,"&gt;=0")=2,IFERROR(INDEX($M$14:$M$313,MATCH($A171,$H$14:$H$313,0)),"Yes")&lt;&gt;"Yes"),1,0))</f>
        <v/>
      </c>
    </row>
    <row r="172" ht="24" customHeight="1">
      <c r="A172" s="19" t="n"/>
      <c r="B172" s="20" t="n"/>
      <c r="C172" s="21">
        <f>IFERROR(AVERAGE(P172:T172),"")</f>
        <v/>
      </c>
      <c r="D172" s="29" t="n"/>
      <c r="E172" s="29" t="n"/>
      <c r="F172" s="30">
        <f>IF(AND(ISNUMBER($D172),ISNUMBER($E172),$E172&gt;0,$D172&lt;=$E172),$D172/$E172,"")</f>
        <v/>
      </c>
      <c r="H172" s="19">
        <f>IFERROR(INDEX($A$14:$A$1213,MATCH(159,$AI$14:$AI$1213,0)),"")</f>
        <v/>
      </c>
      <c r="I172" s="24">
        <f>IF($H172="","",IF(COUNTIFS($A$14:$A$1213,$H172,$C$14:$C$1213,"&gt;=0")=0,"—",IFERROR(INDEX($B$14:$B$1213,MATCH($H172&amp;"|1",$Z$14:$Z$1213,0)),"(tied)")))</f>
        <v/>
      </c>
      <c r="J172" s="25">
        <f>IF($H172="","",IF(OR(COUNTIFS($A$14:$A$1213,$H172,$C$14:$C$1213,"&gt;=0")=0,COUNTIFS($A$14:$A$1213,$H172,$F$14:$F$1213,"&gt;=0")=0),"—",IF(OR(ISERROR(MATCH($H172&amp;"|1",$Z$14:$Z$1213,0)),ISERROR(MATCH($H172&amp;"|1",$AA$14:$AA$1213,0))),"Tie",IF(MATCH($H172&amp;"|1",$Z$14:$Z$1213,0)=MATCH($H172&amp;"|1",$AA$14:$AA$1213,0),"Hit","Miss"))))</f>
        <v/>
      </c>
      <c r="K172" s="24">
        <f>IF($H172="","",IF(COUNTIFS($A$14:$A$1213,$H172,$F$14:$F$1213,"&gt;=0")=0,"—",IFERROR(INDEX($B$14:$B$1213,MATCH($H172&amp;"|1",$AA$14:$AA$1213,0)),"(tied)")))</f>
        <v/>
      </c>
      <c r="L172" s="25">
        <f>IF($H172="","",IF((--(COUNTIFS($A$14:$A$1213,$H172,$P$14:$P$1213,"&gt;=0")&gt;0)+--(COUNTIFS($A$14:$A$1213,$H172,$Q$14:$Q$1213,"&gt;=0")&gt;0)+--(COUNTIFS($A$14:$A$1213,$H172,$R$14:$R$1213,"&gt;=0")&gt;0)+--(COUNTIFS($A$14:$A$1213,$H172,$S$14:$S$1213,"&gt;=0")&gt;0)+--(COUNTIFS($A$14:$A$1213,$H172,$T$14:$T$1213,"&gt;=0")&gt;0))&lt;2,"—",IF(SUMIFS($AH$14:$AH$1213,$A$14:$A$1213,$H172)=0,"Yes","No")))</f>
        <v/>
      </c>
      <c r="M172" s="25">
        <f>IF($H172="","",IF(COUNTIFS($A$14:$A$1213,$H172,$F$14:$F$1213,"&gt;=0")&lt;2,"—",IF(COUNTIFS($A$14:$A$1213,$H172,$F$14:$F$1213,_xlfn.MAXIFS($F$14:$F$1213,$A$14:$A$1213,$H172))&gt;1,"No",IF(NOT(ISNUMBER($AN172)),"—",IF((2*(1-NORMSDIST(ABS($AN172))))&lt;0.05,"Yes","No")))))</f>
        <v/>
      </c>
      <c r="N172" s="21">
        <f>IF($H172="","",IF(NOT(ISNUMBER($AN172)),"—",IF((2*(1-NORMSDIST(ABS($AN172))))&lt;0.001,"&lt;0.001",TEXT((2*(1-NORMSDIST(ABS($AN172)))),"0.000"))))</f>
        <v/>
      </c>
      <c r="P172" s="26" t="n"/>
      <c r="Q172" s="26" t="n"/>
      <c r="R172" s="26" t="n"/>
      <c r="S172" s="26" t="n"/>
      <c r="T172" s="26" t="n"/>
      <c r="V172" s="27">
        <f>IF(ISNUMBER($C172),COUNTIFS($A$14:$A$1213,$A172,$C$14:$C$1213,"&gt;"&amp;$C172)+(COUNTIFS($A$14:$A$1213,$A172,$C$14:$C$1213,"="&amp;$C172)+1)/2,"")</f>
        <v/>
      </c>
      <c r="W172" s="27">
        <f>IF(ISNUMBER($F172),COUNTIFS($A$14:$A$1213,$A172,$F$14:$F$1213,"&gt;"&amp;$F172)+(COUNTIFS($A$14:$A$1213,$A172,$F$14:$F$1213,"="&amp;$F172)+1)/2,"")</f>
        <v/>
      </c>
      <c r="X172" s="27">
        <f>IF(OR(NOT(ISNUMBER($V172)),$AO172=1),"",$V172-(COUNTIFS($A$14:$A$1213,$A172,$C$14:$C$1213,"&gt;=0")+1)/2)</f>
        <v/>
      </c>
      <c r="Y172" s="27">
        <f>IF(OR(NOT(ISNUMBER($W172)),$AO172=1),"",$W172-(COUNTIFS($A$14:$A$1213,$A172,$F$14:$F$1213,"&gt;=0")+1)/2)</f>
        <v/>
      </c>
      <c r="Z172" s="27">
        <f>IF(ISNUMBER($V172),$A172&amp;"|"&amp;$V172,"")</f>
        <v/>
      </c>
      <c r="AA172" s="27">
        <f>IF(ISNUMBER($W172),$A172&amp;"|"&amp;$W172,"")</f>
        <v/>
      </c>
      <c r="AB172" s="27">
        <f>IF(ISNUMBER($F172),$A172&amp;"|"&amp;$F172,"")</f>
        <v/>
      </c>
      <c r="AC172" s="27">
        <f>IF(ISNUMBER($P172),COUNTIFS($A$14:$A$1213,$A172,$P$14:$P$1213,"&gt;"&amp;$P172)+(COUNTIFS($A$14:$A$1213,$A172,$P$14:$P$1213,"="&amp;$P172)+1)/2,"")</f>
        <v/>
      </c>
      <c r="AD172" s="27">
        <f>IF(ISNUMBER($Q172),COUNTIFS($A$14:$A$1213,$A172,$Q$14:$Q$1213,"&gt;"&amp;$Q172)+(COUNTIFS($A$14:$A$1213,$A172,$Q$14:$Q$1213,"="&amp;$Q172)+1)/2,"")</f>
        <v/>
      </c>
      <c r="AE172" s="27">
        <f>IF(ISNUMBER($R172),COUNTIFS($A$14:$A$1213,$A172,$R$14:$R$1213,"&gt;"&amp;$R172)+(COUNTIFS($A$14:$A$1213,$A172,$R$14:$R$1213,"="&amp;$R172)+1)/2,"")</f>
        <v/>
      </c>
      <c r="AF172" s="27">
        <f>IF(ISNUMBER($S172),COUNTIFS($A$14:$A$1213,$A172,$S$14:$S$1213,"&gt;"&amp;$S172)+(COUNTIFS($A$14:$A$1213,$A172,$S$14:$S$1213,"="&amp;$S172)+1)/2,"")</f>
        <v/>
      </c>
      <c r="AG172" s="27">
        <f>IF(ISNUMBER($T172),COUNTIFS($A$14:$A$1213,$A172,$T$14:$T$1213,"&gt;"&amp;$T172)+(COUNTIFS($A$14:$A$1213,$A172,$T$14:$T$1213,"="&amp;$T172)+1)/2,"")</f>
        <v/>
      </c>
      <c r="AH172" s="27">
        <f>IF(COUNT($AC172:$AG172)&lt;2,"",IF(MAX($AC172:$AG172)=MIN($AC172:$AG172),0,1))</f>
        <v/>
      </c>
      <c r="AI172" s="27">
        <f>IF($A172="","",IF(COUNTIF($A$14:$A172,$A172)=1,COUNTIF($AI$13:AI171,"&gt;0")+1,""))</f>
        <v/>
      </c>
      <c r="AJ172" s="27">
        <f>IF(OR($H172="",COUNTIFS($A$14:$A$1213,$H172,$F$14:$F$1213,"&gt;=0")&lt;2,COUNTIFS($A$14:$A$1213,$H172,$F$14:$F$1213,_xlfn.MAXIFS($F$14:$F$1213,$A$14:$A$1213,$H172))&gt;1),"",IFERROR(INDEX($D$14:$D$1213,MATCH($H172&amp;"|"&amp;_xlfn.MAXIFS($F$14:$F$1213,$A$14:$A$1213,$H172),$AB$14:$AB$1213,0)),""))</f>
        <v/>
      </c>
      <c r="AK172" s="27">
        <f>IF(OR($H172="",COUNTIFS($A$14:$A$1213,$H172,$F$14:$F$1213,"&gt;=0")&lt;2,COUNTIFS($A$14:$A$1213,$H172,$F$14:$F$1213,_xlfn.MAXIFS($F$14:$F$1213,$A$14:$A$1213,$H172))&gt;1),"",IFERROR(INDEX($E$14:$E$1213,MATCH($H172&amp;"|"&amp;_xlfn.MAXIFS($F$14:$F$1213,$A$14:$A$1213,$H172),$AB$14:$AB$1213,0)),""))</f>
        <v/>
      </c>
      <c r="AL172" s="27">
        <f>IF(OR($H172="",COUNTIFS($A$14:$A$1213,$H172,$F$14:$F$1213,"&gt;=0")&lt;2,COUNTIFS($A$14:$A$1213,$H172,$F$14:$F$1213,_xlfn.MAXIFS($F$14:$F$1213,$A$14:$A$1213,$H172))&gt;1),"",IFERROR(INDEX($D$14:$D$1213,MATCH($H172&amp;"|"&amp;_xlfn.MAXIFS($F$14:$F$1213,$A$14:$A$1213,$H172,$F$14:$F$1213,"&lt;"&amp;_xlfn.MAXIFS($F$14:$F$1213,$A$14:$A$1213,$H172)),$AB$14:$AB$1213,0)),""))</f>
        <v/>
      </c>
      <c r="AM172" s="27">
        <f>IF(OR($H172="",COUNTIFS($A$14:$A$1213,$H172,$F$14:$F$1213,"&gt;=0")&lt;2,COUNTIFS($A$14:$A$1213,$H172,$F$14:$F$1213,_xlfn.MAXIFS($F$14:$F$1213,$A$14:$A$1213,$H172))&gt;1),"",IFERROR(INDEX($E$14:$E$1213,MATCH($H172&amp;"|"&amp;_xlfn.MAXIFS($F$14:$F$1213,$A$14:$A$1213,$H172,$F$14:$F$1213,"&lt;"&amp;_xlfn.MAXIFS($F$14:$F$1213,$A$14:$A$1213,$H172)),$AB$14:$AB$1213,0)),""))</f>
        <v/>
      </c>
      <c r="AN172" s="27">
        <f>IF(OR(NOT(ISNUMBER($AJ172)),NOT(ISNUMBER($AL172)),$AK172=0,$AM172=0),"",IF(OR((($AJ172+$AL172)/($AK172+$AM172))&lt;=0,(($AJ172+$AL172)/($AK172+$AM172))&gt;=1),"",($AJ172/$AK172-$AL172/$AM172)/SQRT((($AJ172+$AL172)/($AK172+$AM172))*(1-(($AJ172+$AL172)/($AK172+$AM172)))*(1/$AK172+1/$AM172))))</f>
        <v/>
      </c>
      <c r="AO172" s="27">
        <f>IF($A172="","",IF(AND(COUNTIFS($A$14:$A$1213,$A172,$F$14:$F$1213,"&gt;=0")=2,IFERROR(INDEX($M$14:$M$313,MATCH($A172,$H$14:$H$313,0)),"Yes")&lt;&gt;"Yes"),1,0))</f>
        <v/>
      </c>
    </row>
    <row r="173" ht="24" customHeight="1">
      <c r="A173" s="19" t="n"/>
      <c r="B173" s="20" t="n"/>
      <c r="C173" s="21">
        <f>IFERROR(AVERAGE(P173:T173),"")</f>
        <v/>
      </c>
      <c r="D173" s="29" t="n"/>
      <c r="E173" s="29" t="n"/>
      <c r="F173" s="30">
        <f>IF(AND(ISNUMBER($D173),ISNUMBER($E173),$E173&gt;0,$D173&lt;=$E173),$D173/$E173,"")</f>
        <v/>
      </c>
      <c r="H173" s="19">
        <f>IFERROR(INDEX($A$14:$A$1213,MATCH(160,$AI$14:$AI$1213,0)),"")</f>
        <v/>
      </c>
      <c r="I173" s="24">
        <f>IF($H173="","",IF(COUNTIFS($A$14:$A$1213,$H173,$C$14:$C$1213,"&gt;=0")=0,"—",IFERROR(INDEX($B$14:$B$1213,MATCH($H173&amp;"|1",$Z$14:$Z$1213,0)),"(tied)")))</f>
        <v/>
      </c>
      <c r="J173" s="25">
        <f>IF($H173="","",IF(OR(COUNTIFS($A$14:$A$1213,$H173,$C$14:$C$1213,"&gt;=0")=0,COUNTIFS($A$14:$A$1213,$H173,$F$14:$F$1213,"&gt;=0")=0),"—",IF(OR(ISERROR(MATCH($H173&amp;"|1",$Z$14:$Z$1213,0)),ISERROR(MATCH($H173&amp;"|1",$AA$14:$AA$1213,0))),"Tie",IF(MATCH($H173&amp;"|1",$Z$14:$Z$1213,0)=MATCH($H173&amp;"|1",$AA$14:$AA$1213,0),"Hit","Miss"))))</f>
        <v/>
      </c>
      <c r="K173" s="24">
        <f>IF($H173="","",IF(COUNTIFS($A$14:$A$1213,$H173,$F$14:$F$1213,"&gt;=0")=0,"—",IFERROR(INDEX($B$14:$B$1213,MATCH($H173&amp;"|1",$AA$14:$AA$1213,0)),"(tied)")))</f>
        <v/>
      </c>
      <c r="L173" s="25">
        <f>IF($H173="","",IF((--(COUNTIFS($A$14:$A$1213,$H173,$P$14:$P$1213,"&gt;=0")&gt;0)+--(COUNTIFS($A$14:$A$1213,$H173,$Q$14:$Q$1213,"&gt;=0")&gt;0)+--(COUNTIFS($A$14:$A$1213,$H173,$R$14:$R$1213,"&gt;=0")&gt;0)+--(COUNTIFS($A$14:$A$1213,$H173,$S$14:$S$1213,"&gt;=0")&gt;0)+--(COUNTIFS($A$14:$A$1213,$H173,$T$14:$T$1213,"&gt;=0")&gt;0))&lt;2,"—",IF(SUMIFS($AH$14:$AH$1213,$A$14:$A$1213,$H173)=0,"Yes","No")))</f>
        <v/>
      </c>
      <c r="M173" s="25">
        <f>IF($H173="","",IF(COUNTIFS($A$14:$A$1213,$H173,$F$14:$F$1213,"&gt;=0")&lt;2,"—",IF(COUNTIFS($A$14:$A$1213,$H173,$F$14:$F$1213,_xlfn.MAXIFS($F$14:$F$1213,$A$14:$A$1213,$H173))&gt;1,"No",IF(NOT(ISNUMBER($AN173)),"—",IF((2*(1-NORMSDIST(ABS($AN173))))&lt;0.05,"Yes","No")))))</f>
        <v/>
      </c>
      <c r="N173" s="21">
        <f>IF($H173="","",IF(NOT(ISNUMBER($AN173)),"—",IF((2*(1-NORMSDIST(ABS($AN173))))&lt;0.001,"&lt;0.001",TEXT((2*(1-NORMSDIST(ABS($AN173)))),"0.000"))))</f>
        <v/>
      </c>
      <c r="P173" s="26" t="n"/>
      <c r="Q173" s="26" t="n"/>
      <c r="R173" s="26" t="n"/>
      <c r="S173" s="26" t="n"/>
      <c r="T173" s="26" t="n"/>
      <c r="V173" s="27">
        <f>IF(ISNUMBER($C173),COUNTIFS($A$14:$A$1213,$A173,$C$14:$C$1213,"&gt;"&amp;$C173)+(COUNTIFS($A$14:$A$1213,$A173,$C$14:$C$1213,"="&amp;$C173)+1)/2,"")</f>
        <v/>
      </c>
      <c r="W173" s="27">
        <f>IF(ISNUMBER($F173),COUNTIFS($A$14:$A$1213,$A173,$F$14:$F$1213,"&gt;"&amp;$F173)+(COUNTIFS($A$14:$A$1213,$A173,$F$14:$F$1213,"="&amp;$F173)+1)/2,"")</f>
        <v/>
      </c>
      <c r="X173" s="27">
        <f>IF(OR(NOT(ISNUMBER($V173)),$AO173=1),"",$V173-(COUNTIFS($A$14:$A$1213,$A173,$C$14:$C$1213,"&gt;=0")+1)/2)</f>
        <v/>
      </c>
      <c r="Y173" s="27">
        <f>IF(OR(NOT(ISNUMBER($W173)),$AO173=1),"",$W173-(COUNTIFS($A$14:$A$1213,$A173,$F$14:$F$1213,"&gt;=0")+1)/2)</f>
        <v/>
      </c>
      <c r="Z173" s="27">
        <f>IF(ISNUMBER($V173),$A173&amp;"|"&amp;$V173,"")</f>
        <v/>
      </c>
      <c r="AA173" s="27">
        <f>IF(ISNUMBER($W173),$A173&amp;"|"&amp;$W173,"")</f>
        <v/>
      </c>
      <c r="AB173" s="27">
        <f>IF(ISNUMBER($F173),$A173&amp;"|"&amp;$F173,"")</f>
        <v/>
      </c>
      <c r="AC173" s="27">
        <f>IF(ISNUMBER($P173),COUNTIFS($A$14:$A$1213,$A173,$P$14:$P$1213,"&gt;"&amp;$P173)+(COUNTIFS($A$14:$A$1213,$A173,$P$14:$P$1213,"="&amp;$P173)+1)/2,"")</f>
        <v/>
      </c>
      <c r="AD173" s="27">
        <f>IF(ISNUMBER($Q173),COUNTIFS($A$14:$A$1213,$A173,$Q$14:$Q$1213,"&gt;"&amp;$Q173)+(COUNTIFS($A$14:$A$1213,$A173,$Q$14:$Q$1213,"="&amp;$Q173)+1)/2,"")</f>
        <v/>
      </c>
      <c r="AE173" s="27">
        <f>IF(ISNUMBER($R173),COUNTIFS($A$14:$A$1213,$A173,$R$14:$R$1213,"&gt;"&amp;$R173)+(COUNTIFS($A$14:$A$1213,$A173,$R$14:$R$1213,"="&amp;$R173)+1)/2,"")</f>
        <v/>
      </c>
      <c r="AF173" s="27">
        <f>IF(ISNUMBER($S173),COUNTIFS($A$14:$A$1213,$A173,$S$14:$S$1213,"&gt;"&amp;$S173)+(COUNTIFS($A$14:$A$1213,$A173,$S$14:$S$1213,"="&amp;$S173)+1)/2,"")</f>
        <v/>
      </c>
      <c r="AG173" s="27">
        <f>IF(ISNUMBER($T173),COUNTIFS($A$14:$A$1213,$A173,$T$14:$T$1213,"&gt;"&amp;$T173)+(COUNTIFS($A$14:$A$1213,$A173,$T$14:$T$1213,"="&amp;$T173)+1)/2,"")</f>
        <v/>
      </c>
      <c r="AH173" s="27">
        <f>IF(COUNT($AC173:$AG173)&lt;2,"",IF(MAX($AC173:$AG173)=MIN($AC173:$AG173),0,1))</f>
        <v/>
      </c>
      <c r="AI173" s="27">
        <f>IF($A173="","",IF(COUNTIF($A$14:$A173,$A173)=1,COUNTIF($AI$13:AI172,"&gt;0")+1,""))</f>
        <v/>
      </c>
      <c r="AJ173" s="27">
        <f>IF(OR($H173="",COUNTIFS($A$14:$A$1213,$H173,$F$14:$F$1213,"&gt;=0")&lt;2,COUNTIFS($A$14:$A$1213,$H173,$F$14:$F$1213,_xlfn.MAXIFS($F$14:$F$1213,$A$14:$A$1213,$H173))&gt;1),"",IFERROR(INDEX($D$14:$D$1213,MATCH($H173&amp;"|"&amp;_xlfn.MAXIFS($F$14:$F$1213,$A$14:$A$1213,$H173),$AB$14:$AB$1213,0)),""))</f>
        <v/>
      </c>
      <c r="AK173" s="27">
        <f>IF(OR($H173="",COUNTIFS($A$14:$A$1213,$H173,$F$14:$F$1213,"&gt;=0")&lt;2,COUNTIFS($A$14:$A$1213,$H173,$F$14:$F$1213,_xlfn.MAXIFS($F$14:$F$1213,$A$14:$A$1213,$H173))&gt;1),"",IFERROR(INDEX($E$14:$E$1213,MATCH($H173&amp;"|"&amp;_xlfn.MAXIFS($F$14:$F$1213,$A$14:$A$1213,$H173),$AB$14:$AB$1213,0)),""))</f>
        <v/>
      </c>
      <c r="AL173" s="27">
        <f>IF(OR($H173="",COUNTIFS($A$14:$A$1213,$H173,$F$14:$F$1213,"&gt;=0")&lt;2,COUNTIFS($A$14:$A$1213,$H173,$F$14:$F$1213,_xlfn.MAXIFS($F$14:$F$1213,$A$14:$A$1213,$H173))&gt;1),"",IFERROR(INDEX($D$14:$D$1213,MATCH($H173&amp;"|"&amp;_xlfn.MAXIFS($F$14:$F$1213,$A$14:$A$1213,$H173,$F$14:$F$1213,"&lt;"&amp;_xlfn.MAXIFS($F$14:$F$1213,$A$14:$A$1213,$H173)),$AB$14:$AB$1213,0)),""))</f>
        <v/>
      </c>
      <c r="AM173" s="27">
        <f>IF(OR($H173="",COUNTIFS($A$14:$A$1213,$H173,$F$14:$F$1213,"&gt;=0")&lt;2,COUNTIFS($A$14:$A$1213,$H173,$F$14:$F$1213,_xlfn.MAXIFS($F$14:$F$1213,$A$14:$A$1213,$H173))&gt;1),"",IFERROR(INDEX($E$14:$E$1213,MATCH($H173&amp;"|"&amp;_xlfn.MAXIFS($F$14:$F$1213,$A$14:$A$1213,$H173,$F$14:$F$1213,"&lt;"&amp;_xlfn.MAXIFS($F$14:$F$1213,$A$14:$A$1213,$H173)),$AB$14:$AB$1213,0)),""))</f>
        <v/>
      </c>
      <c r="AN173" s="27">
        <f>IF(OR(NOT(ISNUMBER($AJ173)),NOT(ISNUMBER($AL173)),$AK173=0,$AM173=0),"",IF(OR((($AJ173+$AL173)/($AK173+$AM173))&lt;=0,(($AJ173+$AL173)/($AK173+$AM173))&gt;=1),"",($AJ173/$AK173-$AL173/$AM173)/SQRT((($AJ173+$AL173)/($AK173+$AM173))*(1-(($AJ173+$AL173)/($AK173+$AM173)))*(1/$AK173+1/$AM173))))</f>
        <v/>
      </c>
      <c r="AO173" s="27">
        <f>IF($A173="","",IF(AND(COUNTIFS($A$14:$A$1213,$A173,$F$14:$F$1213,"&gt;=0")=2,IFERROR(INDEX($M$14:$M$313,MATCH($A173,$H$14:$H$313,0)),"Yes")&lt;&gt;"Yes"),1,0))</f>
        <v/>
      </c>
    </row>
    <row r="174" ht="24" customHeight="1">
      <c r="A174" s="19" t="n"/>
      <c r="B174" s="20" t="n"/>
      <c r="C174" s="21">
        <f>IFERROR(AVERAGE(P174:T174),"")</f>
        <v/>
      </c>
      <c r="D174" s="29" t="n"/>
      <c r="E174" s="29" t="n"/>
      <c r="F174" s="30">
        <f>IF(AND(ISNUMBER($D174),ISNUMBER($E174),$E174&gt;0,$D174&lt;=$E174),$D174/$E174,"")</f>
        <v/>
      </c>
      <c r="H174" s="19">
        <f>IFERROR(INDEX($A$14:$A$1213,MATCH(161,$AI$14:$AI$1213,0)),"")</f>
        <v/>
      </c>
      <c r="I174" s="24">
        <f>IF($H174="","",IF(COUNTIFS($A$14:$A$1213,$H174,$C$14:$C$1213,"&gt;=0")=0,"—",IFERROR(INDEX($B$14:$B$1213,MATCH($H174&amp;"|1",$Z$14:$Z$1213,0)),"(tied)")))</f>
        <v/>
      </c>
      <c r="J174" s="25">
        <f>IF($H174="","",IF(OR(COUNTIFS($A$14:$A$1213,$H174,$C$14:$C$1213,"&gt;=0")=0,COUNTIFS($A$14:$A$1213,$H174,$F$14:$F$1213,"&gt;=0")=0),"—",IF(OR(ISERROR(MATCH($H174&amp;"|1",$Z$14:$Z$1213,0)),ISERROR(MATCH($H174&amp;"|1",$AA$14:$AA$1213,0))),"Tie",IF(MATCH($H174&amp;"|1",$Z$14:$Z$1213,0)=MATCH($H174&amp;"|1",$AA$14:$AA$1213,0),"Hit","Miss"))))</f>
        <v/>
      </c>
      <c r="K174" s="24">
        <f>IF($H174="","",IF(COUNTIFS($A$14:$A$1213,$H174,$F$14:$F$1213,"&gt;=0")=0,"—",IFERROR(INDEX($B$14:$B$1213,MATCH($H174&amp;"|1",$AA$14:$AA$1213,0)),"(tied)")))</f>
        <v/>
      </c>
      <c r="L174" s="25">
        <f>IF($H174="","",IF((--(COUNTIFS($A$14:$A$1213,$H174,$P$14:$P$1213,"&gt;=0")&gt;0)+--(COUNTIFS($A$14:$A$1213,$H174,$Q$14:$Q$1213,"&gt;=0")&gt;0)+--(COUNTIFS($A$14:$A$1213,$H174,$R$14:$R$1213,"&gt;=0")&gt;0)+--(COUNTIFS($A$14:$A$1213,$H174,$S$14:$S$1213,"&gt;=0")&gt;0)+--(COUNTIFS($A$14:$A$1213,$H174,$T$14:$T$1213,"&gt;=0")&gt;0))&lt;2,"—",IF(SUMIFS($AH$14:$AH$1213,$A$14:$A$1213,$H174)=0,"Yes","No")))</f>
        <v/>
      </c>
      <c r="M174" s="25">
        <f>IF($H174="","",IF(COUNTIFS($A$14:$A$1213,$H174,$F$14:$F$1213,"&gt;=0")&lt;2,"—",IF(COUNTIFS($A$14:$A$1213,$H174,$F$14:$F$1213,_xlfn.MAXIFS($F$14:$F$1213,$A$14:$A$1213,$H174))&gt;1,"No",IF(NOT(ISNUMBER($AN174)),"—",IF((2*(1-NORMSDIST(ABS($AN174))))&lt;0.05,"Yes","No")))))</f>
        <v/>
      </c>
      <c r="N174" s="21">
        <f>IF($H174="","",IF(NOT(ISNUMBER($AN174)),"—",IF((2*(1-NORMSDIST(ABS($AN174))))&lt;0.001,"&lt;0.001",TEXT((2*(1-NORMSDIST(ABS($AN174)))),"0.000"))))</f>
        <v/>
      </c>
      <c r="P174" s="26" t="n"/>
      <c r="Q174" s="26" t="n"/>
      <c r="R174" s="26" t="n"/>
      <c r="S174" s="26" t="n"/>
      <c r="T174" s="26" t="n"/>
      <c r="V174" s="27">
        <f>IF(ISNUMBER($C174),COUNTIFS($A$14:$A$1213,$A174,$C$14:$C$1213,"&gt;"&amp;$C174)+(COUNTIFS($A$14:$A$1213,$A174,$C$14:$C$1213,"="&amp;$C174)+1)/2,"")</f>
        <v/>
      </c>
      <c r="W174" s="27">
        <f>IF(ISNUMBER($F174),COUNTIFS($A$14:$A$1213,$A174,$F$14:$F$1213,"&gt;"&amp;$F174)+(COUNTIFS($A$14:$A$1213,$A174,$F$14:$F$1213,"="&amp;$F174)+1)/2,"")</f>
        <v/>
      </c>
      <c r="X174" s="27">
        <f>IF(OR(NOT(ISNUMBER($V174)),$AO174=1),"",$V174-(COUNTIFS($A$14:$A$1213,$A174,$C$14:$C$1213,"&gt;=0")+1)/2)</f>
        <v/>
      </c>
      <c r="Y174" s="27">
        <f>IF(OR(NOT(ISNUMBER($W174)),$AO174=1),"",$W174-(COUNTIFS($A$14:$A$1213,$A174,$F$14:$F$1213,"&gt;=0")+1)/2)</f>
        <v/>
      </c>
      <c r="Z174" s="27">
        <f>IF(ISNUMBER($V174),$A174&amp;"|"&amp;$V174,"")</f>
        <v/>
      </c>
      <c r="AA174" s="27">
        <f>IF(ISNUMBER($W174),$A174&amp;"|"&amp;$W174,"")</f>
        <v/>
      </c>
      <c r="AB174" s="27">
        <f>IF(ISNUMBER($F174),$A174&amp;"|"&amp;$F174,"")</f>
        <v/>
      </c>
      <c r="AC174" s="27">
        <f>IF(ISNUMBER($P174),COUNTIFS($A$14:$A$1213,$A174,$P$14:$P$1213,"&gt;"&amp;$P174)+(COUNTIFS($A$14:$A$1213,$A174,$P$14:$P$1213,"="&amp;$P174)+1)/2,"")</f>
        <v/>
      </c>
      <c r="AD174" s="27">
        <f>IF(ISNUMBER($Q174),COUNTIFS($A$14:$A$1213,$A174,$Q$14:$Q$1213,"&gt;"&amp;$Q174)+(COUNTIFS($A$14:$A$1213,$A174,$Q$14:$Q$1213,"="&amp;$Q174)+1)/2,"")</f>
        <v/>
      </c>
      <c r="AE174" s="27">
        <f>IF(ISNUMBER($R174),COUNTIFS($A$14:$A$1213,$A174,$R$14:$R$1213,"&gt;"&amp;$R174)+(COUNTIFS($A$14:$A$1213,$A174,$R$14:$R$1213,"="&amp;$R174)+1)/2,"")</f>
        <v/>
      </c>
      <c r="AF174" s="27">
        <f>IF(ISNUMBER($S174),COUNTIFS($A$14:$A$1213,$A174,$S$14:$S$1213,"&gt;"&amp;$S174)+(COUNTIFS($A$14:$A$1213,$A174,$S$14:$S$1213,"="&amp;$S174)+1)/2,"")</f>
        <v/>
      </c>
      <c r="AG174" s="27">
        <f>IF(ISNUMBER($T174),COUNTIFS($A$14:$A$1213,$A174,$T$14:$T$1213,"&gt;"&amp;$T174)+(COUNTIFS($A$14:$A$1213,$A174,$T$14:$T$1213,"="&amp;$T174)+1)/2,"")</f>
        <v/>
      </c>
      <c r="AH174" s="27">
        <f>IF(COUNT($AC174:$AG174)&lt;2,"",IF(MAX($AC174:$AG174)=MIN($AC174:$AG174),0,1))</f>
        <v/>
      </c>
      <c r="AI174" s="27">
        <f>IF($A174="","",IF(COUNTIF($A$14:$A174,$A174)=1,COUNTIF($AI$13:AI173,"&gt;0")+1,""))</f>
        <v/>
      </c>
      <c r="AJ174" s="27">
        <f>IF(OR($H174="",COUNTIFS($A$14:$A$1213,$H174,$F$14:$F$1213,"&gt;=0")&lt;2,COUNTIFS($A$14:$A$1213,$H174,$F$14:$F$1213,_xlfn.MAXIFS($F$14:$F$1213,$A$14:$A$1213,$H174))&gt;1),"",IFERROR(INDEX($D$14:$D$1213,MATCH($H174&amp;"|"&amp;_xlfn.MAXIFS($F$14:$F$1213,$A$14:$A$1213,$H174),$AB$14:$AB$1213,0)),""))</f>
        <v/>
      </c>
      <c r="AK174" s="27">
        <f>IF(OR($H174="",COUNTIFS($A$14:$A$1213,$H174,$F$14:$F$1213,"&gt;=0")&lt;2,COUNTIFS($A$14:$A$1213,$H174,$F$14:$F$1213,_xlfn.MAXIFS($F$14:$F$1213,$A$14:$A$1213,$H174))&gt;1),"",IFERROR(INDEX($E$14:$E$1213,MATCH($H174&amp;"|"&amp;_xlfn.MAXIFS($F$14:$F$1213,$A$14:$A$1213,$H174),$AB$14:$AB$1213,0)),""))</f>
        <v/>
      </c>
      <c r="AL174" s="27">
        <f>IF(OR($H174="",COUNTIFS($A$14:$A$1213,$H174,$F$14:$F$1213,"&gt;=0")&lt;2,COUNTIFS($A$14:$A$1213,$H174,$F$14:$F$1213,_xlfn.MAXIFS($F$14:$F$1213,$A$14:$A$1213,$H174))&gt;1),"",IFERROR(INDEX($D$14:$D$1213,MATCH($H174&amp;"|"&amp;_xlfn.MAXIFS($F$14:$F$1213,$A$14:$A$1213,$H174,$F$14:$F$1213,"&lt;"&amp;_xlfn.MAXIFS($F$14:$F$1213,$A$14:$A$1213,$H174)),$AB$14:$AB$1213,0)),""))</f>
        <v/>
      </c>
      <c r="AM174" s="27">
        <f>IF(OR($H174="",COUNTIFS($A$14:$A$1213,$H174,$F$14:$F$1213,"&gt;=0")&lt;2,COUNTIFS($A$14:$A$1213,$H174,$F$14:$F$1213,_xlfn.MAXIFS($F$14:$F$1213,$A$14:$A$1213,$H174))&gt;1),"",IFERROR(INDEX($E$14:$E$1213,MATCH($H174&amp;"|"&amp;_xlfn.MAXIFS($F$14:$F$1213,$A$14:$A$1213,$H174,$F$14:$F$1213,"&lt;"&amp;_xlfn.MAXIFS($F$14:$F$1213,$A$14:$A$1213,$H174)),$AB$14:$AB$1213,0)),""))</f>
        <v/>
      </c>
      <c r="AN174" s="27">
        <f>IF(OR(NOT(ISNUMBER($AJ174)),NOT(ISNUMBER($AL174)),$AK174=0,$AM174=0),"",IF(OR((($AJ174+$AL174)/($AK174+$AM174))&lt;=0,(($AJ174+$AL174)/($AK174+$AM174))&gt;=1),"",($AJ174/$AK174-$AL174/$AM174)/SQRT((($AJ174+$AL174)/($AK174+$AM174))*(1-(($AJ174+$AL174)/($AK174+$AM174)))*(1/$AK174+1/$AM174))))</f>
        <v/>
      </c>
      <c r="AO174" s="27">
        <f>IF($A174="","",IF(AND(COUNTIFS($A$14:$A$1213,$A174,$F$14:$F$1213,"&gt;=0")=2,IFERROR(INDEX($M$14:$M$313,MATCH($A174,$H$14:$H$313,0)),"Yes")&lt;&gt;"Yes"),1,0))</f>
        <v/>
      </c>
    </row>
    <row r="175" ht="24" customHeight="1">
      <c r="A175" s="19" t="n"/>
      <c r="B175" s="20" t="n"/>
      <c r="C175" s="21">
        <f>IFERROR(AVERAGE(P175:T175),"")</f>
        <v/>
      </c>
      <c r="D175" s="29" t="n"/>
      <c r="E175" s="29" t="n"/>
      <c r="F175" s="30">
        <f>IF(AND(ISNUMBER($D175),ISNUMBER($E175),$E175&gt;0,$D175&lt;=$E175),$D175/$E175,"")</f>
        <v/>
      </c>
      <c r="H175" s="19">
        <f>IFERROR(INDEX($A$14:$A$1213,MATCH(162,$AI$14:$AI$1213,0)),"")</f>
        <v/>
      </c>
      <c r="I175" s="24">
        <f>IF($H175="","",IF(COUNTIFS($A$14:$A$1213,$H175,$C$14:$C$1213,"&gt;=0")=0,"—",IFERROR(INDEX($B$14:$B$1213,MATCH($H175&amp;"|1",$Z$14:$Z$1213,0)),"(tied)")))</f>
        <v/>
      </c>
      <c r="J175" s="25">
        <f>IF($H175="","",IF(OR(COUNTIFS($A$14:$A$1213,$H175,$C$14:$C$1213,"&gt;=0")=0,COUNTIFS($A$14:$A$1213,$H175,$F$14:$F$1213,"&gt;=0")=0),"—",IF(OR(ISERROR(MATCH($H175&amp;"|1",$Z$14:$Z$1213,0)),ISERROR(MATCH($H175&amp;"|1",$AA$14:$AA$1213,0))),"Tie",IF(MATCH($H175&amp;"|1",$Z$14:$Z$1213,0)=MATCH($H175&amp;"|1",$AA$14:$AA$1213,0),"Hit","Miss"))))</f>
        <v/>
      </c>
      <c r="K175" s="24">
        <f>IF($H175="","",IF(COUNTIFS($A$14:$A$1213,$H175,$F$14:$F$1213,"&gt;=0")=0,"—",IFERROR(INDEX($B$14:$B$1213,MATCH($H175&amp;"|1",$AA$14:$AA$1213,0)),"(tied)")))</f>
        <v/>
      </c>
      <c r="L175" s="25">
        <f>IF($H175="","",IF((--(COUNTIFS($A$14:$A$1213,$H175,$P$14:$P$1213,"&gt;=0")&gt;0)+--(COUNTIFS($A$14:$A$1213,$H175,$Q$14:$Q$1213,"&gt;=0")&gt;0)+--(COUNTIFS($A$14:$A$1213,$H175,$R$14:$R$1213,"&gt;=0")&gt;0)+--(COUNTIFS($A$14:$A$1213,$H175,$S$14:$S$1213,"&gt;=0")&gt;0)+--(COUNTIFS($A$14:$A$1213,$H175,$T$14:$T$1213,"&gt;=0")&gt;0))&lt;2,"—",IF(SUMIFS($AH$14:$AH$1213,$A$14:$A$1213,$H175)=0,"Yes","No")))</f>
        <v/>
      </c>
      <c r="M175" s="25">
        <f>IF($H175="","",IF(COUNTIFS($A$14:$A$1213,$H175,$F$14:$F$1213,"&gt;=0")&lt;2,"—",IF(COUNTIFS($A$14:$A$1213,$H175,$F$14:$F$1213,_xlfn.MAXIFS($F$14:$F$1213,$A$14:$A$1213,$H175))&gt;1,"No",IF(NOT(ISNUMBER($AN175)),"—",IF((2*(1-NORMSDIST(ABS($AN175))))&lt;0.05,"Yes","No")))))</f>
        <v/>
      </c>
      <c r="N175" s="21">
        <f>IF($H175="","",IF(NOT(ISNUMBER($AN175)),"—",IF((2*(1-NORMSDIST(ABS($AN175))))&lt;0.001,"&lt;0.001",TEXT((2*(1-NORMSDIST(ABS($AN175)))),"0.000"))))</f>
        <v/>
      </c>
      <c r="P175" s="26" t="n"/>
      <c r="Q175" s="26" t="n"/>
      <c r="R175" s="26" t="n"/>
      <c r="S175" s="26" t="n"/>
      <c r="T175" s="26" t="n"/>
      <c r="V175" s="27">
        <f>IF(ISNUMBER($C175),COUNTIFS($A$14:$A$1213,$A175,$C$14:$C$1213,"&gt;"&amp;$C175)+(COUNTIFS($A$14:$A$1213,$A175,$C$14:$C$1213,"="&amp;$C175)+1)/2,"")</f>
        <v/>
      </c>
      <c r="W175" s="27">
        <f>IF(ISNUMBER($F175),COUNTIFS($A$14:$A$1213,$A175,$F$14:$F$1213,"&gt;"&amp;$F175)+(COUNTIFS($A$14:$A$1213,$A175,$F$14:$F$1213,"="&amp;$F175)+1)/2,"")</f>
        <v/>
      </c>
      <c r="X175" s="27">
        <f>IF(OR(NOT(ISNUMBER($V175)),$AO175=1),"",$V175-(COUNTIFS($A$14:$A$1213,$A175,$C$14:$C$1213,"&gt;=0")+1)/2)</f>
        <v/>
      </c>
      <c r="Y175" s="27">
        <f>IF(OR(NOT(ISNUMBER($W175)),$AO175=1),"",$W175-(COUNTIFS($A$14:$A$1213,$A175,$F$14:$F$1213,"&gt;=0")+1)/2)</f>
        <v/>
      </c>
      <c r="Z175" s="27">
        <f>IF(ISNUMBER($V175),$A175&amp;"|"&amp;$V175,"")</f>
        <v/>
      </c>
      <c r="AA175" s="27">
        <f>IF(ISNUMBER($W175),$A175&amp;"|"&amp;$W175,"")</f>
        <v/>
      </c>
      <c r="AB175" s="27">
        <f>IF(ISNUMBER($F175),$A175&amp;"|"&amp;$F175,"")</f>
        <v/>
      </c>
      <c r="AC175" s="27">
        <f>IF(ISNUMBER($P175),COUNTIFS($A$14:$A$1213,$A175,$P$14:$P$1213,"&gt;"&amp;$P175)+(COUNTIFS($A$14:$A$1213,$A175,$P$14:$P$1213,"="&amp;$P175)+1)/2,"")</f>
        <v/>
      </c>
      <c r="AD175" s="27">
        <f>IF(ISNUMBER($Q175),COUNTIFS($A$14:$A$1213,$A175,$Q$14:$Q$1213,"&gt;"&amp;$Q175)+(COUNTIFS($A$14:$A$1213,$A175,$Q$14:$Q$1213,"="&amp;$Q175)+1)/2,"")</f>
        <v/>
      </c>
      <c r="AE175" s="27">
        <f>IF(ISNUMBER($R175),COUNTIFS($A$14:$A$1213,$A175,$R$14:$R$1213,"&gt;"&amp;$R175)+(COUNTIFS($A$14:$A$1213,$A175,$R$14:$R$1213,"="&amp;$R175)+1)/2,"")</f>
        <v/>
      </c>
      <c r="AF175" s="27">
        <f>IF(ISNUMBER($S175),COUNTIFS($A$14:$A$1213,$A175,$S$14:$S$1213,"&gt;"&amp;$S175)+(COUNTIFS($A$14:$A$1213,$A175,$S$14:$S$1213,"="&amp;$S175)+1)/2,"")</f>
        <v/>
      </c>
      <c r="AG175" s="27">
        <f>IF(ISNUMBER($T175),COUNTIFS($A$14:$A$1213,$A175,$T$14:$T$1213,"&gt;"&amp;$T175)+(COUNTIFS($A$14:$A$1213,$A175,$T$14:$T$1213,"="&amp;$T175)+1)/2,"")</f>
        <v/>
      </c>
      <c r="AH175" s="27">
        <f>IF(COUNT($AC175:$AG175)&lt;2,"",IF(MAX($AC175:$AG175)=MIN($AC175:$AG175),0,1))</f>
        <v/>
      </c>
      <c r="AI175" s="27">
        <f>IF($A175="","",IF(COUNTIF($A$14:$A175,$A175)=1,COUNTIF($AI$13:AI174,"&gt;0")+1,""))</f>
        <v/>
      </c>
      <c r="AJ175" s="27">
        <f>IF(OR($H175="",COUNTIFS($A$14:$A$1213,$H175,$F$14:$F$1213,"&gt;=0")&lt;2,COUNTIFS($A$14:$A$1213,$H175,$F$14:$F$1213,_xlfn.MAXIFS($F$14:$F$1213,$A$14:$A$1213,$H175))&gt;1),"",IFERROR(INDEX($D$14:$D$1213,MATCH($H175&amp;"|"&amp;_xlfn.MAXIFS($F$14:$F$1213,$A$14:$A$1213,$H175),$AB$14:$AB$1213,0)),""))</f>
        <v/>
      </c>
      <c r="AK175" s="27">
        <f>IF(OR($H175="",COUNTIFS($A$14:$A$1213,$H175,$F$14:$F$1213,"&gt;=0")&lt;2,COUNTIFS($A$14:$A$1213,$H175,$F$14:$F$1213,_xlfn.MAXIFS($F$14:$F$1213,$A$14:$A$1213,$H175))&gt;1),"",IFERROR(INDEX($E$14:$E$1213,MATCH($H175&amp;"|"&amp;_xlfn.MAXIFS($F$14:$F$1213,$A$14:$A$1213,$H175),$AB$14:$AB$1213,0)),""))</f>
        <v/>
      </c>
      <c r="AL175" s="27">
        <f>IF(OR($H175="",COUNTIFS($A$14:$A$1213,$H175,$F$14:$F$1213,"&gt;=0")&lt;2,COUNTIFS($A$14:$A$1213,$H175,$F$14:$F$1213,_xlfn.MAXIFS($F$14:$F$1213,$A$14:$A$1213,$H175))&gt;1),"",IFERROR(INDEX($D$14:$D$1213,MATCH($H175&amp;"|"&amp;_xlfn.MAXIFS($F$14:$F$1213,$A$14:$A$1213,$H175,$F$14:$F$1213,"&lt;"&amp;_xlfn.MAXIFS($F$14:$F$1213,$A$14:$A$1213,$H175)),$AB$14:$AB$1213,0)),""))</f>
        <v/>
      </c>
      <c r="AM175" s="27">
        <f>IF(OR($H175="",COUNTIFS($A$14:$A$1213,$H175,$F$14:$F$1213,"&gt;=0")&lt;2,COUNTIFS($A$14:$A$1213,$H175,$F$14:$F$1213,_xlfn.MAXIFS($F$14:$F$1213,$A$14:$A$1213,$H175))&gt;1),"",IFERROR(INDEX($E$14:$E$1213,MATCH($H175&amp;"|"&amp;_xlfn.MAXIFS($F$14:$F$1213,$A$14:$A$1213,$H175,$F$14:$F$1213,"&lt;"&amp;_xlfn.MAXIFS($F$14:$F$1213,$A$14:$A$1213,$H175)),$AB$14:$AB$1213,0)),""))</f>
        <v/>
      </c>
      <c r="AN175" s="27">
        <f>IF(OR(NOT(ISNUMBER($AJ175)),NOT(ISNUMBER($AL175)),$AK175=0,$AM175=0),"",IF(OR((($AJ175+$AL175)/($AK175+$AM175))&lt;=0,(($AJ175+$AL175)/($AK175+$AM175))&gt;=1),"",($AJ175/$AK175-$AL175/$AM175)/SQRT((($AJ175+$AL175)/($AK175+$AM175))*(1-(($AJ175+$AL175)/($AK175+$AM175)))*(1/$AK175+1/$AM175))))</f>
        <v/>
      </c>
      <c r="AO175" s="27">
        <f>IF($A175="","",IF(AND(COUNTIFS($A$14:$A$1213,$A175,$F$14:$F$1213,"&gt;=0")=2,IFERROR(INDEX($M$14:$M$313,MATCH($A175,$H$14:$H$313,0)),"Yes")&lt;&gt;"Yes"),1,0))</f>
        <v/>
      </c>
    </row>
    <row r="176" ht="24" customHeight="1">
      <c r="A176" s="19" t="n"/>
      <c r="B176" s="20" t="n"/>
      <c r="C176" s="21">
        <f>IFERROR(AVERAGE(P176:T176),"")</f>
        <v/>
      </c>
      <c r="D176" s="29" t="n"/>
      <c r="E176" s="29" t="n"/>
      <c r="F176" s="30">
        <f>IF(AND(ISNUMBER($D176),ISNUMBER($E176),$E176&gt;0,$D176&lt;=$E176),$D176/$E176,"")</f>
        <v/>
      </c>
      <c r="H176" s="19">
        <f>IFERROR(INDEX($A$14:$A$1213,MATCH(163,$AI$14:$AI$1213,0)),"")</f>
        <v/>
      </c>
      <c r="I176" s="24">
        <f>IF($H176="","",IF(COUNTIFS($A$14:$A$1213,$H176,$C$14:$C$1213,"&gt;=0")=0,"—",IFERROR(INDEX($B$14:$B$1213,MATCH($H176&amp;"|1",$Z$14:$Z$1213,0)),"(tied)")))</f>
        <v/>
      </c>
      <c r="J176" s="25">
        <f>IF($H176="","",IF(OR(COUNTIFS($A$14:$A$1213,$H176,$C$14:$C$1213,"&gt;=0")=0,COUNTIFS($A$14:$A$1213,$H176,$F$14:$F$1213,"&gt;=0")=0),"—",IF(OR(ISERROR(MATCH($H176&amp;"|1",$Z$14:$Z$1213,0)),ISERROR(MATCH($H176&amp;"|1",$AA$14:$AA$1213,0))),"Tie",IF(MATCH($H176&amp;"|1",$Z$14:$Z$1213,0)=MATCH($H176&amp;"|1",$AA$14:$AA$1213,0),"Hit","Miss"))))</f>
        <v/>
      </c>
      <c r="K176" s="24">
        <f>IF($H176="","",IF(COUNTIFS($A$14:$A$1213,$H176,$F$14:$F$1213,"&gt;=0")=0,"—",IFERROR(INDEX($B$14:$B$1213,MATCH($H176&amp;"|1",$AA$14:$AA$1213,0)),"(tied)")))</f>
        <v/>
      </c>
      <c r="L176" s="25">
        <f>IF($H176="","",IF((--(COUNTIFS($A$14:$A$1213,$H176,$P$14:$P$1213,"&gt;=0")&gt;0)+--(COUNTIFS($A$14:$A$1213,$H176,$Q$14:$Q$1213,"&gt;=0")&gt;0)+--(COUNTIFS($A$14:$A$1213,$H176,$R$14:$R$1213,"&gt;=0")&gt;0)+--(COUNTIFS($A$14:$A$1213,$H176,$S$14:$S$1213,"&gt;=0")&gt;0)+--(COUNTIFS($A$14:$A$1213,$H176,$T$14:$T$1213,"&gt;=0")&gt;0))&lt;2,"—",IF(SUMIFS($AH$14:$AH$1213,$A$14:$A$1213,$H176)=0,"Yes","No")))</f>
        <v/>
      </c>
      <c r="M176" s="25">
        <f>IF($H176="","",IF(COUNTIFS($A$14:$A$1213,$H176,$F$14:$F$1213,"&gt;=0")&lt;2,"—",IF(COUNTIFS($A$14:$A$1213,$H176,$F$14:$F$1213,_xlfn.MAXIFS($F$14:$F$1213,$A$14:$A$1213,$H176))&gt;1,"No",IF(NOT(ISNUMBER($AN176)),"—",IF((2*(1-NORMSDIST(ABS($AN176))))&lt;0.05,"Yes","No")))))</f>
        <v/>
      </c>
      <c r="N176" s="21">
        <f>IF($H176="","",IF(NOT(ISNUMBER($AN176)),"—",IF((2*(1-NORMSDIST(ABS($AN176))))&lt;0.001,"&lt;0.001",TEXT((2*(1-NORMSDIST(ABS($AN176)))),"0.000"))))</f>
        <v/>
      </c>
      <c r="P176" s="26" t="n"/>
      <c r="Q176" s="26" t="n"/>
      <c r="R176" s="26" t="n"/>
      <c r="S176" s="26" t="n"/>
      <c r="T176" s="26" t="n"/>
      <c r="V176" s="27">
        <f>IF(ISNUMBER($C176),COUNTIFS($A$14:$A$1213,$A176,$C$14:$C$1213,"&gt;"&amp;$C176)+(COUNTIFS($A$14:$A$1213,$A176,$C$14:$C$1213,"="&amp;$C176)+1)/2,"")</f>
        <v/>
      </c>
      <c r="W176" s="27">
        <f>IF(ISNUMBER($F176),COUNTIFS($A$14:$A$1213,$A176,$F$14:$F$1213,"&gt;"&amp;$F176)+(COUNTIFS($A$14:$A$1213,$A176,$F$14:$F$1213,"="&amp;$F176)+1)/2,"")</f>
        <v/>
      </c>
      <c r="X176" s="27">
        <f>IF(OR(NOT(ISNUMBER($V176)),$AO176=1),"",$V176-(COUNTIFS($A$14:$A$1213,$A176,$C$14:$C$1213,"&gt;=0")+1)/2)</f>
        <v/>
      </c>
      <c r="Y176" s="27">
        <f>IF(OR(NOT(ISNUMBER($W176)),$AO176=1),"",$W176-(COUNTIFS($A$14:$A$1213,$A176,$F$14:$F$1213,"&gt;=0")+1)/2)</f>
        <v/>
      </c>
      <c r="Z176" s="27">
        <f>IF(ISNUMBER($V176),$A176&amp;"|"&amp;$V176,"")</f>
        <v/>
      </c>
      <c r="AA176" s="27">
        <f>IF(ISNUMBER($W176),$A176&amp;"|"&amp;$W176,"")</f>
        <v/>
      </c>
      <c r="AB176" s="27">
        <f>IF(ISNUMBER($F176),$A176&amp;"|"&amp;$F176,"")</f>
        <v/>
      </c>
      <c r="AC176" s="27">
        <f>IF(ISNUMBER($P176),COUNTIFS($A$14:$A$1213,$A176,$P$14:$P$1213,"&gt;"&amp;$P176)+(COUNTIFS($A$14:$A$1213,$A176,$P$14:$P$1213,"="&amp;$P176)+1)/2,"")</f>
        <v/>
      </c>
      <c r="AD176" s="27">
        <f>IF(ISNUMBER($Q176),COUNTIFS($A$14:$A$1213,$A176,$Q$14:$Q$1213,"&gt;"&amp;$Q176)+(COUNTIFS($A$14:$A$1213,$A176,$Q$14:$Q$1213,"="&amp;$Q176)+1)/2,"")</f>
        <v/>
      </c>
      <c r="AE176" s="27">
        <f>IF(ISNUMBER($R176),COUNTIFS($A$14:$A$1213,$A176,$R$14:$R$1213,"&gt;"&amp;$R176)+(COUNTIFS($A$14:$A$1213,$A176,$R$14:$R$1213,"="&amp;$R176)+1)/2,"")</f>
        <v/>
      </c>
      <c r="AF176" s="27">
        <f>IF(ISNUMBER($S176),COUNTIFS($A$14:$A$1213,$A176,$S$14:$S$1213,"&gt;"&amp;$S176)+(COUNTIFS($A$14:$A$1213,$A176,$S$14:$S$1213,"="&amp;$S176)+1)/2,"")</f>
        <v/>
      </c>
      <c r="AG176" s="27">
        <f>IF(ISNUMBER($T176),COUNTIFS($A$14:$A$1213,$A176,$T$14:$T$1213,"&gt;"&amp;$T176)+(COUNTIFS($A$14:$A$1213,$A176,$T$14:$T$1213,"="&amp;$T176)+1)/2,"")</f>
        <v/>
      </c>
      <c r="AH176" s="27">
        <f>IF(COUNT($AC176:$AG176)&lt;2,"",IF(MAX($AC176:$AG176)=MIN($AC176:$AG176),0,1))</f>
        <v/>
      </c>
      <c r="AI176" s="27">
        <f>IF($A176="","",IF(COUNTIF($A$14:$A176,$A176)=1,COUNTIF($AI$13:AI175,"&gt;0")+1,""))</f>
        <v/>
      </c>
      <c r="AJ176" s="27">
        <f>IF(OR($H176="",COUNTIFS($A$14:$A$1213,$H176,$F$14:$F$1213,"&gt;=0")&lt;2,COUNTIFS($A$14:$A$1213,$H176,$F$14:$F$1213,_xlfn.MAXIFS($F$14:$F$1213,$A$14:$A$1213,$H176))&gt;1),"",IFERROR(INDEX($D$14:$D$1213,MATCH($H176&amp;"|"&amp;_xlfn.MAXIFS($F$14:$F$1213,$A$14:$A$1213,$H176),$AB$14:$AB$1213,0)),""))</f>
        <v/>
      </c>
      <c r="AK176" s="27">
        <f>IF(OR($H176="",COUNTIFS($A$14:$A$1213,$H176,$F$14:$F$1213,"&gt;=0")&lt;2,COUNTIFS($A$14:$A$1213,$H176,$F$14:$F$1213,_xlfn.MAXIFS($F$14:$F$1213,$A$14:$A$1213,$H176))&gt;1),"",IFERROR(INDEX($E$14:$E$1213,MATCH($H176&amp;"|"&amp;_xlfn.MAXIFS($F$14:$F$1213,$A$14:$A$1213,$H176),$AB$14:$AB$1213,0)),""))</f>
        <v/>
      </c>
      <c r="AL176" s="27">
        <f>IF(OR($H176="",COUNTIFS($A$14:$A$1213,$H176,$F$14:$F$1213,"&gt;=0")&lt;2,COUNTIFS($A$14:$A$1213,$H176,$F$14:$F$1213,_xlfn.MAXIFS($F$14:$F$1213,$A$14:$A$1213,$H176))&gt;1),"",IFERROR(INDEX($D$14:$D$1213,MATCH($H176&amp;"|"&amp;_xlfn.MAXIFS($F$14:$F$1213,$A$14:$A$1213,$H176,$F$14:$F$1213,"&lt;"&amp;_xlfn.MAXIFS($F$14:$F$1213,$A$14:$A$1213,$H176)),$AB$14:$AB$1213,0)),""))</f>
        <v/>
      </c>
      <c r="AM176" s="27">
        <f>IF(OR($H176="",COUNTIFS($A$14:$A$1213,$H176,$F$14:$F$1213,"&gt;=0")&lt;2,COUNTIFS($A$14:$A$1213,$H176,$F$14:$F$1213,_xlfn.MAXIFS($F$14:$F$1213,$A$14:$A$1213,$H176))&gt;1),"",IFERROR(INDEX($E$14:$E$1213,MATCH($H176&amp;"|"&amp;_xlfn.MAXIFS($F$14:$F$1213,$A$14:$A$1213,$H176,$F$14:$F$1213,"&lt;"&amp;_xlfn.MAXIFS($F$14:$F$1213,$A$14:$A$1213,$H176)),$AB$14:$AB$1213,0)),""))</f>
        <v/>
      </c>
      <c r="AN176" s="27">
        <f>IF(OR(NOT(ISNUMBER($AJ176)),NOT(ISNUMBER($AL176)),$AK176=0,$AM176=0),"",IF(OR((($AJ176+$AL176)/($AK176+$AM176))&lt;=0,(($AJ176+$AL176)/($AK176+$AM176))&gt;=1),"",($AJ176/$AK176-$AL176/$AM176)/SQRT((($AJ176+$AL176)/($AK176+$AM176))*(1-(($AJ176+$AL176)/($AK176+$AM176)))*(1/$AK176+1/$AM176))))</f>
        <v/>
      </c>
      <c r="AO176" s="27">
        <f>IF($A176="","",IF(AND(COUNTIFS($A$14:$A$1213,$A176,$F$14:$F$1213,"&gt;=0")=2,IFERROR(INDEX($M$14:$M$313,MATCH($A176,$H$14:$H$313,0)),"Yes")&lt;&gt;"Yes"),1,0))</f>
        <v/>
      </c>
    </row>
    <row r="177" ht="24" customHeight="1">
      <c r="A177" s="19" t="n"/>
      <c r="B177" s="20" t="n"/>
      <c r="C177" s="21">
        <f>IFERROR(AVERAGE(P177:T177),"")</f>
        <v/>
      </c>
      <c r="D177" s="29" t="n"/>
      <c r="E177" s="29" t="n"/>
      <c r="F177" s="30">
        <f>IF(AND(ISNUMBER($D177),ISNUMBER($E177),$E177&gt;0,$D177&lt;=$E177),$D177/$E177,"")</f>
        <v/>
      </c>
      <c r="H177" s="19">
        <f>IFERROR(INDEX($A$14:$A$1213,MATCH(164,$AI$14:$AI$1213,0)),"")</f>
        <v/>
      </c>
      <c r="I177" s="24">
        <f>IF($H177="","",IF(COUNTIFS($A$14:$A$1213,$H177,$C$14:$C$1213,"&gt;=0")=0,"—",IFERROR(INDEX($B$14:$B$1213,MATCH($H177&amp;"|1",$Z$14:$Z$1213,0)),"(tied)")))</f>
        <v/>
      </c>
      <c r="J177" s="25">
        <f>IF($H177="","",IF(OR(COUNTIFS($A$14:$A$1213,$H177,$C$14:$C$1213,"&gt;=0")=0,COUNTIFS($A$14:$A$1213,$H177,$F$14:$F$1213,"&gt;=0")=0),"—",IF(OR(ISERROR(MATCH($H177&amp;"|1",$Z$14:$Z$1213,0)),ISERROR(MATCH($H177&amp;"|1",$AA$14:$AA$1213,0))),"Tie",IF(MATCH($H177&amp;"|1",$Z$14:$Z$1213,0)=MATCH($H177&amp;"|1",$AA$14:$AA$1213,0),"Hit","Miss"))))</f>
        <v/>
      </c>
      <c r="K177" s="24">
        <f>IF($H177="","",IF(COUNTIFS($A$14:$A$1213,$H177,$F$14:$F$1213,"&gt;=0")=0,"—",IFERROR(INDEX($B$14:$B$1213,MATCH($H177&amp;"|1",$AA$14:$AA$1213,0)),"(tied)")))</f>
        <v/>
      </c>
      <c r="L177" s="25">
        <f>IF($H177="","",IF((--(COUNTIFS($A$14:$A$1213,$H177,$P$14:$P$1213,"&gt;=0")&gt;0)+--(COUNTIFS($A$14:$A$1213,$H177,$Q$14:$Q$1213,"&gt;=0")&gt;0)+--(COUNTIFS($A$14:$A$1213,$H177,$R$14:$R$1213,"&gt;=0")&gt;0)+--(COUNTIFS($A$14:$A$1213,$H177,$S$14:$S$1213,"&gt;=0")&gt;0)+--(COUNTIFS($A$14:$A$1213,$H177,$T$14:$T$1213,"&gt;=0")&gt;0))&lt;2,"—",IF(SUMIFS($AH$14:$AH$1213,$A$14:$A$1213,$H177)=0,"Yes","No")))</f>
        <v/>
      </c>
      <c r="M177" s="25">
        <f>IF($H177="","",IF(COUNTIFS($A$14:$A$1213,$H177,$F$14:$F$1213,"&gt;=0")&lt;2,"—",IF(COUNTIFS($A$14:$A$1213,$H177,$F$14:$F$1213,_xlfn.MAXIFS($F$14:$F$1213,$A$14:$A$1213,$H177))&gt;1,"No",IF(NOT(ISNUMBER($AN177)),"—",IF((2*(1-NORMSDIST(ABS($AN177))))&lt;0.05,"Yes","No")))))</f>
        <v/>
      </c>
      <c r="N177" s="21">
        <f>IF($H177="","",IF(NOT(ISNUMBER($AN177)),"—",IF((2*(1-NORMSDIST(ABS($AN177))))&lt;0.001,"&lt;0.001",TEXT((2*(1-NORMSDIST(ABS($AN177)))),"0.000"))))</f>
        <v/>
      </c>
      <c r="P177" s="26" t="n"/>
      <c r="Q177" s="26" t="n"/>
      <c r="R177" s="26" t="n"/>
      <c r="S177" s="26" t="n"/>
      <c r="T177" s="26" t="n"/>
      <c r="V177" s="27">
        <f>IF(ISNUMBER($C177),COUNTIFS($A$14:$A$1213,$A177,$C$14:$C$1213,"&gt;"&amp;$C177)+(COUNTIFS($A$14:$A$1213,$A177,$C$14:$C$1213,"="&amp;$C177)+1)/2,"")</f>
        <v/>
      </c>
      <c r="W177" s="27">
        <f>IF(ISNUMBER($F177),COUNTIFS($A$14:$A$1213,$A177,$F$14:$F$1213,"&gt;"&amp;$F177)+(COUNTIFS($A$14:$A$1213,$A177,$F$14:$F$1213,"="&amp;$F177)+1)/2,"")</f>
        <v/>
      </c>
      <c r="X177" s="27">
        <f>IF(OR(NOT(ISNUMBER($V177)),$AO177=1),"",$V177-(COUNTIFS($A$14:$A$1213,$A177,$C$14:$C$1213,"&gt;=0")+1)/2)</f>
        <v/>
      </c>
      <c r="Y177" s="27">
        <f>IF(OR(NOT(ISNUMBER($W177)),$AO177=1),"",$W177-(COUNTIFS($A$14:$A$1213,$A177,$F$14:$F$1213,"&gt;=0")+1)/2)</f>
        <v/>
      </c>
      <c r="Z177" s="27">
        <f>IF(ISNUMBER($V177),$A177&amp;"|"&amp;$V177,"")</f>
        <v/>
      </c>
      <c r="AA177" s="27">
        <f>IF(ISNUMBER($W177),$A177&amp;"|"&amp;$W177,"")</f>
        <v/>
      </c>
      <c r="AB177" s="27">
        <f>IF(ISNUMBER($F177),$A177&amp;"|"&amp;$F177,"")</f>
        <v/>
      </c>
      <c r="AC177" s="27">
        <f>IF(ISNUMBER($P177),COUNTIFS($A$14:$A$1213,$A177,$P$14:$P$1213,"&gt;"&amp;$P177)+(COUNTIFS($A$14:$A$1213,$A177,$P$14:$P$1213,"="&amp;$P177)+1)/2,"")</f>
        <v/>
      </c>
      <c r="AD177" s="27">
        <f>IF(ISNUMBER($Q177),COUNTIFS($A$14:$A$1213,$A177,$Q$14:$Q$1213,"&gt;"&amp;$Q177)+(COUNTIFS($A$14:$A$1213,$A177,$Q$14:$Q$1213,"="&amp;$Q177)+1)/2,"")</f>
        <v/>
      </c>
      <c r="AE177" s="27">
        <f>IF(ISNUMBER($R177),COUNTIFS($A$14:$A$1213,$A177,$R$14:$R$1213,"&gt;"&amp;$R177)+(COUNTIFS($A$14:$A$1213,$A177,$R$14:$R$1213,"="&amp;$R177)+1)/2,"")</f>
        <v/>
      </c>
      <c r="AF177" s="27">
        <f>IF(ISNUMBER($S177),COUNTIFS($A$14:$A$1213,$A177,$S$14:$S$1213,"&gt;"&amp;$S177)+(COUNTIFS($A$14:$A$1213,$A177,$S$14:$S$1213,"="&amp;$S177)+1)/2,"")</f>
        <v/>
      </c>
      <c r="AG177" s="27">
        <f>IF(ISNUMBER($T177),COUNTIFS($A$14:$A$1213,$A177,$T$14:$T$1213,"&gt;"&amp;$T177)+(COUNTIFS($A$14:$A$1213,$A177,$T$14:$T$1213,"="&amp;$T177)+1)/2,"")</f>
        <v/>
      </c>
      <c r="AH177" s="27">
        <f>IF(COUNT($AC177:$AG177)&lt;2,"",IF(MAX($AC177:$AG177)=MIN($AC177:$AG177),0,1))</f>
        <v/>
      </c>
      <c r="AI177" s="27">
        <f>IF($A177="","",IF(COUNTIF($A$14:$A177,$A177)=1,COUNTIF($AI$13:AI176,"&gt;0")+1,""))</f>
        <v/>
      </c>
      <c r="AJ177" s="27">
        <f>IF(OR($H177="",COUNTIFS($A$14:$A$1213,$H177,$F$14:$F$1213,"&gt;=0")&lt;2,COUNTIFS($A$14:$A$1213,$H177,$F$14:$F$1213,_xlfn.MAXIFS($F$14:$F$1213,$A$14:$A$1213,$H177))&gt;1),"",IFERROR(INDEX($D$14:$D$1213,MATCH($H177&amp;"|"&amp;_xlfn.MAXIFS($F$14:$F$1213,$A$14:$A$1213,$H177),$AB$14:$AB$1213,0)),""))</f>
        <v/>
      </c>
      <c r="AK177" s="27">
        <f>IF(OR($H177="",COUNTIFS($A$14:$A$1213,$H177,$F$14:$F$1213,"&gt;=0")&lt;2,COUNTIFS($A$14:$A$1213,$H177,$F$14:$F$1213,_xlfn.MAXIFS($F$14:$F$1213,$A$14:$A$1213,$H177))&gt;1),"",IFERROR(INDEX($E$14:$E$1213,MATCH($H177&amp;"|"&amp;_xlfn.MAXIFS($F$14:$F$1213,$A$14:$A$1213,$H177),$AB$14:$AB$1213,0)),""))</f>
        <v/>
      </c>
      <c r="AL177" s="27">
        <f>IF(OR($H177="",COUNTIFS($A$14:$A$1213,$H177,$F$14:$F$1213,"&gt;=0")&lt;2,COUNTIFS($A$14:$A$1213,$H177,$F$14:$F$1213,_xlfn.MAXIFS($F$14:$F$1213,$A$14:$A$1213,$H177))&gt;1),"",IFERROR(INDEX($D$14:$D$1213,MATCH($H177&amp;"|"&amp;_xlfn.MAXIFS($F$14:$F$1213,$A$14:$A$1213,$H177,$F$14:$F$1213,"&lt;"&amp;_xlfn.MAXIFS($F$14:$F$1213,$A$14:$A$1213,$H177)),$AB$14:$AB$1213,0)),""))</f>
        <v/>
      </c>
      <c r="AM177" s="27">
        <f>IF(OR($H177="",COUNTIFS($A$14:$A$1213,$H177,$F$14:$F$1213,"&gt;=0")&lt;2,COUNTIFS($A$14:$A$1213,$H177,$F$14:$F$1213,_xlfn.MAXIFS($F$14:$F$1213,$A$14:$A$1213,$H177))&gt;1),"",IFERROR(INDEX($E$14:$E$1213,MATCH($H177&amp;"|"&amp;_xlfn.MAXIFS($F$14:$F$1213,$A$14:$A$1213,$H177,$F$14:$F$1213,"&lt;"&amp;_xlfn.MAXIFS($F$14:$F$1213,$A$14:$A$1213,$H177)),$AB$14:$AB$1213,0)),""))</f>
        <v/>
      </c>
      <c r="AN177" s="27">
        <f>IF(OR(NOT(ISNUMBER($AJ177)),NOT(ISNUMBER($AL177)),$AK177=0,$AM177=0),"",IF(OR((($AJ177+$AL177)/($AK177+$AM177))&lt;=0,(($AJ177+$AL177)/($AK177+$AM177))&gt;=1),"",($AJ177/$AK177-$AL177/$AM177)/SQRT((($AJ177+$AL177)/($AK177+$AM177))*(1-(($AJ177+$AL177)/($AK177+$AM177)))*(1/$AK177+1/$AM177))))</f>
        <v/>
      </c>
      <c r="AO177" s="27">
        <f>IF($A177="","",IF(AND(COUNTIFS($A$14:$A$1213,$A177,$F$14:$F$1213,"&gt;=0")=2,IFERROR(INDEX($M$14:$M$313,MATCH($A177,$H$14:$H$313,0)),"Yes")&lt;&gt;"Yes"),1,0))</f>
        <v/>
      </c>
    </row>
    <row r="178" ht="24" customHeight="1">
      <c r="A178" s="19" t="n"/>
      <c r="B178" s="20" t="n"/>
      <c r="C178" s="21">
        <f>IFERROR(AVERAGE(P178:T178),"")</f>
        <v/>
      </c>
      <c r="D178" s="29" t="n"/>
      <c r="E178" s="29" t="n"/>
      <c r="F178" s="30">
        <f>IF(AND(ISNUMBER($D178),ISNUMBER($E178),$E178&gt;0,$D178&lt;=$E178),$D178/$E178,"")</f>
        <v/>
      </c>
      <c r="H178" s="19">
        <f>IFERROR(INDEX($A$14:$A$1213,MATCH(165,$AI$14:$AI$1213,0)),"")</f>
        <v/>
      </c>
      <c r="I178" s="24">
        <f>IF($H178="","",IF(COUNTIFS($A$14:$A$1213,$H178,$C$14:$C$1213,"&gt;=0")=0,"—",IFERROR(INDEX($B$14:$B$1213,MATCH($H178&amp;"|1",$Z$14:$Z$1213,0)),"(tied)")))</f>
        <v/>
      </c>
      <c r="J178" s="25">
        <f>IF($H178="","",IF(OR(COUNTIFS($A$14:$A$1213,$H178,$C$14:$C$1213,"&gt;=0")=0,COUNTIFS($A$14:$A$1213,$H178,$F$14:$F$1213,"&gt;=0")=0),"—",IF(OR(ISERROR(MATCH($H178&amp;"|1",$Z$14:$Z$1213,0)),ISERROR(MATCH($H178&amp;"|1",$AA$14:$AA$1213,0))),"Tie",IF(MATCH($H178&amp;"|1",$Z$14:$Z$1213,0)=MATCH($H178&amp;"|1",$AA$14:$AA$1213,0),"Hit","Miss"))))</f>
        <v/>
      </c>
      <c r="K178" s="24">
        <f>IF($H178="","",IF(COUNTIFS($A$14:$A$1213,$H178,$F$14:$F$1213,"&gt;=0")=0,"—",IFERROR(INDEX($B$14:$B$1213,MATCH($H178&amp;"|1",$AA$14:$AA$1213,0)),"(tied)")))</f>
        <v/>
      </c>
      <c r="L178" s="25">
        <f>IF($H178="","",IF((--(COUNTIFS($A$14:$A$1213,$H178,$P$14:$P$1213,"&gt;=0")&gt;0)+--(COUNTIFS($A$14:$A$1213,$H178,$Q$14:$Q$1213,"&gt;=0")&gt;0)+--(COUNTIFS($A$14:$A$1213,$H178,$R$14:$R$1213,"&gt;=0")&gt;0)+--(COUNTIFS($A$14:$A$1213,$H178,$S$14:$S$1213,"&gt;=0")&gt;0)+--(COUNTIFS($A$14:$A$1213,$H178,$T$14:$T$1213,"&gt;=0")&gt;0))&lt;2,"—",IF(SUMIFS($AH$14:$AH$1213,$A$14:$A$1213,$H178)=0,"Yes","No")))</f>
        <v/>
      </c>
      <c r="M178" s="25">
        <f>IF($H178="","",IF(COUNTIFS($A$14:$A$1213,$H178,$F$14:$F$1213,"&gt;=0")&lt;2,"—",IF(COUNTIFS($A$14:$A$1213,$H178,$F$14:$F$1213,_xlfn.MAXIFS($F$14:$F$1213,$A$14:$A$1213,$H178))&gt;1,"No",IF(NOT(ISNUMBER($AN178)),"—",IF((2*(1-NORMSDIST(ABS($AN178))))&lt;0.05,"Yes","No")))))</f>
        <v/>
      </c>
      <c r="N178" s="21">
        <f>IF($H178="","",IF(NOT(ISNUMBER($AN178)),"—",IF((2*(1-NORMSDIST(ABS($AN178))))&lt;0.001,"&lt;0.001",TEXT((2*(1-NORMSDIST(ABS($AN178)))),"0.000"))))</f>
        <v/>
      </c>
      <c r="P178" s="26" t="n"/>
      <c r="Q178" s="26" t="n"/>
      <c r="R178" s="26" t="n"/>
      <c r="S178" s="26" t="n"/>
      <c r="T178" s="26" t="n"/>
      <c r="V178" s="27">
        <f>IF(ISNUMBER($C178),COUNTIFS($A$14:$A$1213,$A178,$C$14:$C$1213,"&gt;"&amp;$C178)+(COUNTIFS($A$14:$A$1213,$A178,$C$14:$C$1213,"="&amp;$C178)+1)/2,"")</f>
        <v/>
      </c>
      <c r="W178" s="27">
        <f>IF(ISNUMBER($F178),COUNTIFS($A$14:$A$1213,$A178,$F$14:$F$1213,"&gt;"&amp;$F178)+(COUNTIFS($A$14:$A$1213,$A178,$F$14:$F$1213,"="&amp;$F178)+1)/2,"")</f>
        <v/>
      </c>
      <c r="X178" s="27">
        <f>IF(OR(NOT(ISNUMBER($V178)),$AO178=1),"",$V178-(COUNTIFS($A$14:$A$1213,$A178,$C$14:$C$1213,"&gt;=0")+1)/2)</f>
        <v/>
      </c>
      <c r="Y178" s="27">
        <f>IF(OR(NOT(ISNUMBER($W178)),$AO178=1),"",$W178-(COUNTIFS($A$14:$A$1213,$A178,$F$14:$F$1213,"&gt;=0")+1)/2)</f>
        <v/>
      </c>
      <c r="Z178" s="27">
        <f>IF(ISNUMBER($V178),$A178&amp;"|"&amp;$V178,"")</f>
        <v/>
      </c>
      <c r="AA178" s="27">
        <f>IF(ISNUMBER($W178),$A178&amp;"|"&amp;$W178,"")</f>
        <v/>
      </c>
      <c r="AB178" s="27">
        <f>IF(ISNUMBER($F178),$A178&amp;"|"&amp;$F178,"")</f>
        <v/>
      </c>
      <c r="AC178" s="27">
        <f>IF(ISNUMBER($P178),COUNTIFS($A$14:$A$1213,$A178,$P$14:$P$1213,"&gt;"&amp;$P178)+(COUNTIFS($A$14:$A$1213,$A178,$P$14:$P$1213,"="&amp;$P178)+1)/2,"")</f>
        <v/>
      </c>
      <c r="AD178" s="27">
        <f>IF(ISNUMBER($Q178),COUNTIFS($A$14:$A$1213,$A178,$Q$14:$Q$1213,"&gt;"&amp;$Q178)+(COUNTIFS($A$14:$A$1213,$A178,$Q$14:$Q$1213,"="&amp;$Q178)+1)/2,"")</f>
        <v/>
      </c>
      <c r="AE178" s="27">
        <f>IF(ISNUMBER($R178),COUNTIFS($A$14:$A$1213,$A178,$R$14:$R$1213,"&gt;"&amp;$R178)+(COUNTIFS($A$14:$A$1213,$A178,$R$14:$R$1213,"="&amp;$R178)+1)/2,"")</f>
        <v/>
      </c>
      <c r="AF178" s="27">
        <f>IF(ISNUMBER($S178),COUNTIFS($A$14:$A$1213,$A178,$S$14:$S$1213,"&gt;"&amp;$S178)+(COUNTIFS($A$14:$A$1213,$A178,$S$14:$S$1213,"="&amp;$S178)+1)/2,"")</f>
        <v/>
      </c>
      <c r="AG178" s="27">
        <f>IF(ISNUMBER($T178),COUNTIFS($A$14:$A$1213,$A178,$T$14:$T$1213,"&gt;"&amp;$T178)+(COUNTIFS($A$14:$A$1213,$A178,$T$14:$T$1213,"="&amp;$T178)+1)/2,"")</f>
        <v/>
      </c>
      <c r="AH178" s="27">
        <f>IF(COUNT($AC178:$AG178)&lt;2,"",IF(MAX($AC178:$AG178)=MIN($AC178:$AG178),0,1))</f>
        <v/>
      </c>
      <c r="AI178" s="27">
        <f>IF($A178="","",IF(COUNTIF($A$14:$A178,$A178)=1,COUNTIF($AI$13:AI177,"&gt;0")+1,""))</f>
        <v/>
      </c>
      <c r="AJ178" s="27">
        <f>IF(OR($H178="",COUNTIFS($A$14:$A$1213,$H178,$F$14:$F$1213,"&gt;=0")&lt;2,COUNTIFS($A$14:$A$1213,$H178,$F$14:$F$1213,_xlfn.MAXIFS($F$14:$F$1213,$A$14:$A$1213,$H178))&gt;1),"",IFERROR(INDEX($D$14:$D$1213,MATCH($H178&amp;"|"&amp;_xlfn.MAXIFS($F$14:$F$1213,$A$14:$A$1213,$H178),$AB$14:$AB$1213,0)),""))</f>
        <v/>
      </c>
      <c r="AK178" s="27">
        <f>IF(OR($H178="",COUNTIFS($A$14:$A$1213,$H178,$F$14:$F$1213,"&gt;=0")&lt;2,COUNTIFS($A$14:$A$1213,$H178,$F$14:$F$1213,_xlfn.MAXIFS($F$14:$F$1213,$A$14:$A$1213,$H178))&gt;1),"",IFERROR(INDEX($E$14:$E$1213,MATCH($H178&amp;"|"&amp;_xlfn.MAXIFS($F$14:$F$1213,$A$14:$A$1213,$H178),$AB$14:$AB$1213,0)),""))</f>
        <v/>
      </c>
      <c r="AL178" s="27">
        <f>IF(OR($H178="",COUNTIFS($A$14:$A$1213,$H178,$F$14:$F$1213,"&gt;=0")&lt;2,COUNTIFS($A$14:$A$1213,$H178,$F$14:$F$1213,_xlfn.MAXIFS($F$14:$F$1213,$A$14:$A$1213,$H178))&gt;1),"",IFERROR(INDEX($D$14:$D$1213,MATCH($H178&amp;"|"&amp;_xlfn.MAXIFS($F$14:$F$1213,$A$14:$A$1213,$H178,$F$14:$F$1213,"&lt;"&amp;_xlfn.MAXIFS($F$14:$F$1213,$A$14:$A$1213,$H178)),$AB$14:$AB$1213,0)),""))</f>
        <v/>
      </c>
      <c r="AM178" s="27">
        <f>IF(OR($H178="",COUNTIFS($A$14:$A$1213,$H178,$F$14:$F$1213,"&gt;=0")&lt;2,COUNTIFS($A$14:$A$1213,$H178,$F$14:$F$1213,_xlfn.MAXIFS($F$14:$F$1213,$A$14:$A$1213,$H178))&gt;1),"",IFERROR(INDEX($E$14:$E$1213,MATCH($H178&amp;"|"&amp;_xlfn.MAXIFS($F$14:$F$1213,$A$14:$A$1213,$H178,$F$14:$F$1213,"&lt;"&amp;_xlfn.MAXIFS($F$14:$F$1213,$A$14:$A$1213,$H178)),$AB$14:$AB$1213,0)),""))</f>
        <v/>
      </c>
      <c r="AN178" s="27">
        <f>IF(OR(NOT(ISNUMBER($AJ178)),NOT(ISNUMBER($AL178)),$AK178=0,$AM178=0),"",IF(OR((($AJ178+$AL178)/($AK178+$AM178))&lt;=0,(($AJ178+$AL178)/($AK178+$AM178))&gt;=1),"",($AJ178/$AK178-$AL178/$AM178)/SQRT((($AJ178+$AL178)/($AK178+$AM178))*(1-(($AJ178+$AL178)/($AK178+$AM178)))*(1/$AK178+1/$AM178))))</f>
        <v/>
      </c>
      <c r="AO178" s="27">
        <f>IF($A178="","",IF(AND(COUNTIFS($A$14:$A$1213,$A178,$F$14:$F$1213,"&gt;=0")=2,IFERROR(INDEX($M$14:$M$313,MATCH($A178,$H$14:$H$313,0)),"Yes")&lt;&gt;"Yes"),1,0))</f>
        <v/>
      </c>
    </row>
    <row r="179" ht="24" customHeight="1">
      <c r="A179" s="19" t="n"/>
      <c r="B179" s="20" t="n"/>
      <c r="C179" s="21">
        <f>IFERROR(AVERAGE(P179:T179),"")</f>
        <v/>
      </c>
      <c r="D179" s="29" t="n"/>
      <c r="E179" s="29" t="n"/>
      <c r="F179" s="30">
        <f>IF(AND(ISNUMBER($D179),ISNUMBER($E179),$E179&gt;0,$D179&lt;=$E179),$D179/$E179,"")</f>
        <v/>
      </c>
      <c r="H179" s="19">
        <f>IFERROR(INDEX($A$14:$A$1213,MATCH(166,$AI$14:$AI$1213,0)),"")</f>
        <v/>
      </c>
      <c r="I179" s="24">
        <f>IF($H179="","",IF(COUNTIFS($A$14:$A$1213,$H179,$C$14:$C$1213,"&gt;=0")=0,"—",IFERROR(INDEX($B$14:$B$1213,MATCH($H179&amp;"|1",$Z$14:$Z$1213,0)),"(tied)")))</f>
        <v/>
      </c>
      <c r="J179" s="25">
        <f>IF($H179="","",IF(OR(COUNTIFS($A$14:$A$1213,$H179,$C$14:$C$1213,"&gt;=0")=0,COUNTIFS($A$14:$A$1213,$H179,$F$14:$F$1213,"&gt;=0")=0),"—",IF(OR(ISERROR(MATCH($H179&amp;"|1",$Z$14:$Z$1213,0)),ISERROR(MATCH($H179&amp;"|1",$AA$14:$AA$1213,0))),"Tie",IF(MATCH($H179&amp;"|1",$Z$14:$Z$1213,0)=MATCH($H179&amp;"|1",$AA$14:$AA$1213,0),"Hit","Miss"))))</f>
        <v/>
      </c>
      <c r="K179" s="24">
        <f>IF($H179="","",IF(COUNTIFS($A$14:$A$1213,$H179,$F$14:$F$1213,"&gt;=0")=0,"—",IFERROR(INDEX($B$14:$B$1213,MATCH($H179&amp;"|1",$AA$14:$AA$1213,0)),"(tied)")))</f>
        <v/>
      </c>
      <c r="L179" s="25">
        <f>IF($H179="","",IF((--(COUNTIFS($A$14:$A$1213,$H179,$P$14:$P$1213,"&gt;=0")&gt;0)+--(COUNTIFS($A$14:$A$1213,$H179,$Q$14:$Q$1213,"&gt;=0")&gt;0)+--(COUNTIFS($A$14:$A$1213,$H179,$R$14:$R$1213,"&gt;=0")&gt;0)+--(COUNTIFS($A$14:$A$1213,$H179,$S$14:$S$1213,"&gt;=0")&gt;0)+--(COUNTIFS($A$14:$A$1213,$H179,$T$14:$T$1213,"&gt;=0")&gt;0))&lt;2,"—",IF(SUMIFS($AH$14:$AH$1213,$A$14:$A$1213,$H179)=0,"Yes","No")))</f>
        <v/>
      </c>
      <c r="M179" s="25">
        <f>IF($H179="","",IF(COUNTIFS($A$14:$A$1213,$H179,$F$14:$F$1213,"&gt;=0")&lt;2,"—",IF(COUNTIFS($A$14:$A$1213,$H179,$F$14:$F$1213,_xlfn.MAXIFS($F$14:$F$1213,$A$14:$A$1213,$H179))&gt;1,"No",IF(NOT(ISNUMBER($AN179)),"—",IF((2*(1-NORMSDIST(ABS($AN179))))&lt;0.05,"Yes","No")))))</f>
        <v/>
      </c>
      <c r="N179" s="21">
        <f>IF($H179="","",IF(NOT(ISNUMBER($AN179)),"—",IF((2*(1-NORMSDIST(ABS($AN179))))&lt;0.001,"&lt;0.001",TEXT((2*(1-NORMSDIST(ABS($AN179)))),"0.000"))))</f>
        <v/>
      </c>
      <c r="P179" s="26" t="n"/>
      <c r="Q179" s="26" t="n"/>
      <c r="R179" s="26" t="n"/>
      <c r="S179" s="26" t="n"/>
      <c r="T179" s="26" t="n"/>
      <c r="V179" s="27">
        <f>IF(ISNUMBER($C179),COUNTIFS($A$14:$A$1213,$A179,$C$14:$C$1213,"&gt;"&amp;$C179)+(COUNTIFS($A$14:$A$1213,$A179,$C$14:$C$1213,"="&amp;$C179)+1)/2,"")</f>
        <v/>
      </c>
      <c r="W179" s="27">
        <f>IF(ISNUMBER($F179),COUNTIFS($A$14:$A$1213,$A179,$F$14:$F$1213,"&gt;"&amp;$F179)+(COUNTIFS($A$14:$A$1213,$A179,$F$14:$F$1213,"="&amp;$F179)+1)/2,"")</f>
        <v/>
      </c>
      <c r="X179" s="27">
        <f>IF(OR(NOT(ISNUMBER($V179)),$AO179=1),"",$V179-(COUNTIFS($A$14:$A$1213,$A179,$C$14:$C$1213,"&gt;=0")+1)/2)</f>
        <v/>
      </c>
      <c r="Y179" s="27">
        <f>IF(OR(NOT(ISNUMBER($W179)),$AO179=1),"",$W179-(COUNTIFS($A$14:$A$1213,$A179,$F$14:$F$1213,"&gt;=0")+1)/2)</f>
        <v/>
      </c>
      <c r="Z179" s="27">
        <f>IF(ISNUMBER($V179),$A179&amp;"|"&amp;$V179,"")</f>
        <v/>
      </c>
      <c r="AA179" s="27">
        <f>IF(ISNUMBER($W179),$A179&amp;"|"&amp;$W179,"")</f>
        <v/>
      </c>
      <c r="AB179" s="27">
        <f>IF(ISNUMBER($F179),$A179&amp;"|"&amp;$F179,"")</f>
        <v/>
      </c>
      <c r="AC179" s="27">
        <f>IF(ISNUMBER($P179),COUNTIFS($A$14:$A$1213,$A179,$P$14:$P$1213,"&gt;"&amp;$P179)+(COUNTIFS($A$14:$A$1213,$A179,$P$14:$P$1213,"="&amp;$P179)+1)/2,"")</f>
        <v/>
      </c>
      <c r="AD179" s="27">
        <f>IF(ISNUMBER($Q179),COUNTIFS($A$14:$A$1213,$A179,$Q$14:$Q$1213,"&gt;"&amp;$Q179)+(COUNTIFS($A$14:$A$1213,$A179,$Q$14:$Q$1213,"="&amp;$Q179)+1)/2,"")</f>
        <v/>
      </c>
      <c r="AE179" s="27">
        <f>IF(ISNUMBER($R179),COUNTIFS($A$14:$A$1213,$A179,$R$14:$R$1213,"&gt;"&amp;$R179)+(COUNTIFS($A$14:$A$1213,$A179,$R$14:$R$1213,"="&amp;$R179)+1)/2,"")</f>
        <v/>
      </c>
      <c r="AF179" s="27">
        <f>IF(ISNUMBER($S179),COUNTIFS($A$14:$A$1213,$A179,$S$14:$S$1213,"&gt;"&amp;$S179)+(COUNTIFS($A$14:$A$1213,$A179,$S$14:$S$1213,"="&amp;$S179)+1)/2,"")</f>
        <v/>
      </c>
      <c r="AG179" s="27">
        <f>IF(ISNUMBER($T179),COUNTIFS($A$14:$A$1213,$A179,$T$14:$T$1213,"&gt;"&amp;$T179)+(COUNTIFS($A$14:$A$1213,$A179,$T$14:$T$1213,"="&amp;$T179)+1)/2,"")</f>
        <v/>
      </c>
      <c r="AH179" s="27">
        <f>IF(COUNT($AC179:$AG179)&lt;2,"",IF(MAX($AC179:$AG179)=MIN($AC179:$AG179),0,1))</f>
        <v/>
      </c>
      <c r="AI179" s="27">
        <f>IF($A179="","",IF(COUNTIF($A$14:$A179,$A179)=1,COUNTIF($AI$13:AI178,"&gt;0")+1,""))</f>
        <v/>
      </c>
      <c r="AJ179" s="27">
        <f>IF(OR($H179="",COUNTIFS($A$14:$A$1213,$H179,$F$14:$F$1213,"&gt;=0")&lt;2,COUNTIFS($A$14:$A$1213,$H179,$F$14:$F$1213,_xlfn.MAXIFS($F$14:$F$1213,$A$14:$A$1213,$H179))&gt;1),"",IFERROR(INDEX($D$14:$D$1213,MATCH($H179&amp;"|"&amp;_xlfn.MAXIFS($F$14:$F$1213,$A$14:$A$1213,$H179),$AB$14:$AB$1213,0)),""))</f>
        <v/>
      </c>
      <c r="AK179" s="27">
        <f>IF(OR($H179="",COUNTIFS($A$14:$A$1213,$H179,$F$14:$F$1213,"&gt;=0")&lt;2,COUNTIFS($A$14:$A$1213,$H179,$F$14:$F$1213,_xlfn.MAXIFS($F$14:$F$1213,$A$14:$A$1213,$H179))&gt;1),"",IFERROR(INDEX($E$14:$E$1213,MATCH($H179&amp;"|"&amp;_xlfn.MAXIFS($F$14:$F$1213,$A$14:$A$1213,$H179),$AB$14:$AB$1213,0)),""))</f>
        <v/>
      </c>
      <c r="AL179" s="27">
        <f>IF(OR($H179="",COUNTIFS($A$14:$A$1213,$H179,$F$14:$F$1213,"&gt;=0")&lt;2,COUNTIFS($A$14:$A$1213,$H179,$F$14:$F$1213,_xlfn.MAXIFS($F$14:$F$1213,$A$14:$A$1213,$H179))&gt;1),"",IFERROR(INDEX($D$14:$D$1213,MATCH($H179&amp;"|"&amp;_xlfn.MAXIFS($F$14:$F$1213,$A$14:$A$1213,$H179,$F$14:$F$1213,"&lt;"&amp;_xlfn.MAXIFS($F$14:$F$1213,$A$14:$A$1213,$H179)),$AB$14:$AB$1213,0)),""))</f>
        <v/>
      </c>
      <c r="AM179" s="27">
        <f>IF(OR($H179="",COUNTIFS($A$14:$A$1213,$H179,$F$14:$F$1213,"&gt;=0")&lt;2,COUNTIFS($A$14:$A$1213,$H179,$F$14:$F$1213,_xlfn.MAXIFS($F$14:$F$1213,$A$14:$A$1213,$H179))&gt;1),"",IFERROR(INDEX($E$14:$E$1213,MATCH($H179&amp;"|"&amp;_xlfn.MAXIFS($F$14:$F$1213,$A$14:$A$1213,$H179,$F$14:$F$1213,"&lt;"&amp;_xlfn.MAXIFS($F$14:$F$1213,$A$14:$A$1213,$H179)),$AB$14:$AB$1213,0)),""))</f>
        <v/>
      </c>
      <c r="AN179" s="27">
        <f>IF(OR(NOT(ISNUMBER($AJ179)),NOT(ISNUMBER($AL179)),$AK179=0,$AM179=0),"",IF(OR((($AJ179+$AL179)/($AK179+$AM179))&lt;=0,(($AJ179+$AL179)/($AK179+$AM179))&gt;=1),"",($AJ179/$AK179-$AL179/$AM179)/SQRT((($AJ179+$AL179)/($AK179+$AM179))*(1-(($AJ179+$AL179)/($AK179+$AM179)))*(1/$AK179+1/$AM179))))</f>
        <v/>
      </c>
      <c r="AO179" s="27">
        <f>IF($A179="","",IF(AND(COUNTIFS($A$14:$A$1213,$A179,$F$14:$F$1213,"&gt;=0")=2,IFERROR(INDEX($M$14:$M$313,MATCH($A179,$H$14:$H$313,0)),"Yes")&lt;&gt;"Yes"),1,0))</f>
        <v/>
      </c>
    </row>
    <row r="180" ht="24" customHeight="1">
      <c r="A180" s="19" t="n"/>
      <c r="B180" s="20" t="n"/>
      <c r="C180" s="21">
        <f>IFERROR(AVERAGE(P180:T180),"")</f>
        <v/>
      </c>
      <c r="D180" s="29" t="n"/>
      <c r="E180" s="29" t="n"/>
      <c r="F180" s="30">
        <f>IF(AND(ISNUMBER($D180),ISNUMBER($E180),$E180&gt;0,$D180&lt;=$E180),$D180/$E180,"")</f>
        <v/>
      </c>
      <c r="H180" s="19">
        <f>IFERROR(INDEX($A$14:$A$1213,MATCH(167,$AI$14:$AI$1213,0)),"")</f>
        <v/>
      </c>
      <c r="I180" s="24">
        <f>IF($H180="","",IF(COUNTIFS($A$14:$A$1213,$H180,$C$14:$C$1213,"&gt;=0")=0,"—",IFERROR(INDEX($B$14:$B$1213,MATCH($H180&amp;"|1",$Z$14:$Z$1213,0)),"(tied)")))</f>
        <v/>
      </c>
      <c r="J180" s="25">
        <f>IF($H180="","",IF(OR(COUNTIFS($A$14:$A$1213,$H180,$C$14:$C$1213,"&gt;=0")=0,COUNTIFS($A$14:$A$1213,$H180,$F$14:$F$1213,"&gt;=0")=0),"—",IF(OR(ISERROR(MATCH($H180&amp;"|1",$Z$14:$Z$1213,0)),ISERROR(MATCH($H180&amp;"|1",$AA$14:$AA$1213,0))),"Tie",IF(MATCH($H180&amp;"|1",$Z$14:$Z$1213,0)=MATCH($H180&amp;"|1",$AA$14:$AA$1213,0),"Hit","Miss"))))</f>
        <v/>
      </c>
      <c r="K180" s="24">
        <f>IF($H180="","",IF(COUNTIFS($A$14:$A$1213,$H180,$F$14:$F$1213,"&gt;=0")=0,"—",IFERROR(INDEX($B$14:$B$1213,MATCH($H180&amp;"|1",$AA$14:$AA$1213,0)),"(tied)")))</f>
        <v/>
      </c>
      <c r="L180" s="25">
        <f>IF($H180="","",IF((--(COUNTIFS($A$14:$A$1213,$H180,$P$14:$P$1213,"&gt;=0")&gt;0)+--(COUNTIFS($A$14:$A$1213,$H180,$Q$14:$Q$1213,"&gt;=0")&gt;0)+--(COUNTIFS($A$14:$A$1213,$H180,$R$14:$R$1213,"&gt;=0")&gt;0)+--(COUNTIFS($A$14:$A$1213,$H180,$S$14:$S$1213,"&gt;=0")&gt;0)+--(COUNTIFS($A$14:$A$1213,$H180,$T$14:$T$1213,"&gt;=0")&gt;0))&lt;2,"—",IF(SUMIFS($AH$14:$AH$1213,$A$14:$A$1213,$H180)=0,"Yes","No")))</f>
        <v/>
      </c>
      <c r="M180" s="25">
        <f>IF($H180="","",IF(COUNTIFS($A$14:$A$1213,$H180,$F$14:$F$1213,"&gt;=0")&lt;2,"—",IF(COUNTIFS($A$14:$A$1213,$H180,$F$14:$F$1213,_xlfn.MAXIFS($F$14:$F$1213,$A$14:$A$1213,$H180))&gt;1,"No",IF(NOT(ISNUMBER($AN180)),"—",IF((2*(1-NORMSDIST(ABS($AN180))))&lt;0.05,"Yes","No")))))</f>
        <v/>
      </c>
      <c r="N180" s="21">
        <f>IF($H180="","",IF(NOT(ISNUMBER($AN180)),"—",IF((2*(1-NORMSDIST(ABS($AN180))))&lt;0.001,"&lt;0.001",TEXT((2*(1-NORMSDIST(ABS($AN180)))),"0.000"))))</f>
        <v/>
      </c>
      <c r="P180" s="26" t="n"/>
      <c r="Q180" s="26" t="n"/>
      <c r="R180" s="26" t="n"/>
      <c r="S180" s="26" t="n"/>
      <c r="T180" s="26" t="n"/>
      <c r="V180" s="27">
        <f>IF(ISNUMBER($C180),COUNTIFS($A$14:$A$1213,$A180,$C$14:$C$1213,"&gt;"&amp;$C180)+(COUNTIFS($A$14:$A$1213,$A180,$C$14:$C$1213,"="&amp;$C180)+1)/2,"")</f>
        <v/>
      </c>
      <c r="W180" s="27">
        <f>IF(ISNUMBER($F180),COUNTIFS($A$14:$A$1213,$A180,$F$14:$F$1213,"&gt;"&amp;$F180)+(COUNTIFS($A$14:$A$1213,$A180,$F$14:$F$1213,"="&amp;$F180)+1)/2,"")</f>
        <v/>
      </c>
      <c r="X180" s="27">
        <f>IF(OR(NOT(ISNUMBER($V180)),$AO180=1),"",$V180-(COUNTIFS($A$14:$A$1213,$A180,$C$14:$C$1213,"&gt;=0")+1)/2)</f>
        <v/>
      </c>
      <c r="Y180" s="27">
        <f>IF(OR(NOT(ISNUMBER($W180)),$AO180=1),"",$W180-(COUNTIFS($A$14:$A$1213,$A180,$F$14:$F$1213,"&gt;=0")+1)/2)</f>
        <v/>
      </c>
      <c r="Z180" s="27">
        <f>IF(ISNUMBER($V180),$A180&amp;"|"&amp;$V180,"")</f>
        <v/>
      </c>
      <c r="AA180" s="27">
        <f>IF(ISNUMBER($W180),$A180&amp;"|"&amp;$W180,"")</f>
        <v/>
      </c>
      <c r="AB180" s="27">
        <f>IF(ISNUMBER($F180),$A180&amp;"|"&amp;$F180,"")</f>
        <v/>
      </c>
      <c r="AC180" s="27">
        <f>IF(ISNUMBER($P180),COUNTIFS($A$14:$A$1213,$A180,$P$14:$P$1213,"&gt;"&amp;$P180)+(COUNTIFS($A$14:$A$1213,$A180,$P$14:$P$1213,"="&amp;$P180)+1)/2,"")</f>
        <v/>
      </c>
      <c r="AD180" s="27">
        <f>IF(ISNUMBER($Q180),COUNTIFS($A$14:$A$1213,$A180,$Q$14:$Q$1213,"&gt;"&amp;$Q180)+(COUNTIFS($A$14:$A$1213,$A180,$Q$14:$Q$1213,"="&amp;$Q180)+1)/2,"")</f>
        <v/>
      </c>
      <c r="AE180" s="27">
        <f>IF(ISNUMBER($R180),COUNTIFS($A$14:$A$1213,$A180,$R$14:$R$1213,"&gt;"&amp;$R180)+(COUNTIFS($A$14:$A$1213,$A180,$R$14:$R$1213,"="&amp;$R180)+1)/2,"")</f>
        <v/>
      </c>
      <c r="AF180" s="27">
        <f>IF(ISNUMBER($S180),COUNTIFS($A$14:$A$1213,$A180,$S$14:$S$1213,"&gt;"&amp;$S180)+(COUNTIFS($A$14:$A$1213,$A180,$S$14:$S$1213,"="&amp;$S180)+1)/2,"")</f>
        <v/>
      </c>
      <c r="AG180" s="27">
        <f>IF(ISNUMBER($T180),COUNTIFS($A$14:$A$1213,$A180,$T$14:$T$1213,"&gt;"&amp;$T180)+(COUNTIFS($A$14:$A$1213,$A180,$T$14:$T$1213,"="&amp;$T180)+1)/2,"")</f>
        <v/>
      </c>
      <c r="AH180" s="27">
        <f>IF(COUNT($AC180:$AG180)&lt;2,"",IF(MAX($AC180:$AG180)=MIN($AC180:$AG180),0,1))</f>
        <v/>
      </c>
      <c r="AI180" s="27">
        <f>IF($A180="","",IF(COUNTIF($A$14:$A180,$A180)=1,COUNTIF($AI$13:AI179,"&gt;0")+1,""))</f>
        <v/>
      </c>
      <c r="AJ180" s="27">
        <f>IF(OR($H180="",COUNTIFS($A$14:$A$1213,$H180,$F$14:$F$1213,"&gt;=0")&lt;2,COUNTIFS($A$14:$A$1213,$H180,$F$14:$F$1213,_xlfn.MAXIFS($F$14:$F$1213,$A$14:$A$1213,$H180))&gt;1),"",IFERROR(INDEX($D$14:$D$1213,MATCH($H180&amp;"|"&amp;_xlfn.MAXIFS($F$14:$F$1213,$A$14:$A$1213,$H180),$AB$14:$AB$1213,0)),""))</f>
        <v/>
      </c>
      <c r="AK180" s="27">
        <f>IF(OR($H180="",COUNTIFS($A$14:$A$1213,$H180,$F$14:$F$1213,"&gt;=0")&lt;2,COUNTIFS($A$14:$A$1213,$H180,$F$14:$F$1213,_xlfn.MAXIFS($F$14:$F$1213,$A$14:$A$1213,$H180))&gt;1),"",IFERROR(INDEX($E$14:$E$1213,MATCH($H180&amp;"|"&amp;_xlfn.MAXIFS($F$14:$F$1213,$A$14:$A$1213,$H180),$AB$14:$AB$1213,0)),""))</f>
        <v/>
      </c>
      <c r="AL180" s="27">
        <f>IF(OR($H180="",COUNTIFS($A$14:$A$1213,$H180,$F$14:$F$1213,"&gt;=0")&lt;2,COUNTIFS($A$14:$A$1213,$H180,$F$14:$F$1213,_xlfn.MAXIFS($F$14:$F$1213,$A$14:$A$1213,$H180))&gt;1),"",IFERROR(INDEX($D$14:$D$1213,MATCH($H180&amp;"|"&amp;_xlfn.MAXIFS($F$14:$F$1213,$A$14:$A$1213,$H180,$F$14:$F$1213,"&lt;"&amp;_xlfn.MAXIFS($F$14:$F$1213,$A$14:$A$1213,$H180)),$AB$14:$AB$1213,0)),""))</f>
        <v/>
      </c>
      <c r="AM180" s="27">
        <f>IF(OR($H180="",COUNTIFS($A$14:$A$1213,$H180,$F$14:$F$1213,"&gt;=0")&lt;2,COUNTIFS($A$14:$A$1213,$H180,$F$14:$F$1213,_xlfn.MAXIFS($F$14:$F$1213,$A$14:$A$1213,$H180))&gt;1),"",IFERROR(INDEX($E$14:$E$1213,MATCH($H180&amp;"|"&amp;_xlfn.MAXIFS($F$14:$F$1213,$A$14:$A$1213,$H180,$F$14:$F$1213,"&lt;"&amp;_xlfn.MAXIFS($F$14:$F$1213,$A$14:$A$1213,$H180)),$AB$14:$AB$1213,0)),""))</f>
        <v/>
      </c>
      <c r="AN180" s="27">
        <f>IF(OR(NOT(ISNUMBER($AJ180)),NOT(ISNUMBER($AL180)),$AK180=0,$AM180=0),"",IF(OR((($AJ180+$AL180)/($AK180+$AM180))&lt;=0,(($AJ180+$AL180)/($AK180+$AM180))&gt;=1),"",($AJ180/$AK180-$AL180/$AM180)/SQRT((($AJ180+$AL180)/($AK180+$AM180))*(1-(($AJ180+$AL180)/($AK180+$AM180)))*(1/$AK180+1/$AM180))))</f>
        <v/>
      </c>
      <c r="AO180" s="27">
        <f>IF($A180="","",IF(AND(COUNTIFS($A$14:$A$1213,$A180,$F$14:$F$1213,"&gt;=0")=2,IFERROR(INDEX($M$14:$M$313,MATCH($A180,$H$14:$H$313,0)),"Yes")&lt;&gt;"Yes"),1,0))</f>
        <v/>
      </c>
    </row>
    <row r="181" ht="24" customHeight="1">
      <c r="A181" s="19" t="n"/>
      <c r="B181" s="20" t="n"/>
      <c r="C181" s="21">
        <f>IFERROR(AVERAGE(P181:T181),"")</f>
        <v/>
      </c>
      <c r="D181" s="29" t="n"/>
      <c r="E181" s="29" t="n"/>
      <c r="F181" s="30">
        <f>IF(AND(ISNUMBER($D181),ISNUMBER($E181),$E181&gt;0,$D181&lt;=$E181),$D181/$E181,"")</f>
        <v/>
      </c>
      <c r="H181" s="19">
        <f>IFERROR(INDEX($A$14:$A$1213,MATCH(168,$AI$14:$AI$1213,0)),"")</f>
        <v/>
      </c>
      <c r="I181" s="24">
        <f>IF($H181="","",IF(COUNTIFS($A$14:$A$1213,$H181,$C$14:$C$1213,"&gt;=0")=0,"—",IFERROR(INDEX($B$14:$B$1213,MATCH($H181&amp;"|1",$Z$14:$Z$1213,0)),"(tied)")))</f>
        <v/>
      </c>
      <c r="J181" s="25">
        <f>IF($H181="","",IF(OR(COUNTIFS($A$14:$A$1213,$H181,$C$14:$C$1213,"&gt;=0")=0,COUNTIFS($A$14:$A$1213,$H181,$F$14:$F$1213,"&gt;=0")=0),"—",IF(OR(ISERROR(MATCH($H181&amp;"|1",$Z$14:$Z$1213,0)),ISERROR(MATCH($H181&amp;"|1",$AA$14:$AA$1213,0))),"Tie",IF(MATCH($H181&amp;"|1",$Z$14:$Z$1213,0)=MATCH($H181&amp;"|1",$AA$14:$AA$1213,0),"Hit","Miss"))))</f>
        <v/>
      </c>
      <c r="K181" s="24">
        <f>IF($H181="","",IF(COUNTIFS($A$14:$A$1213,$H181,$F$14:$F$1213,"&gt;=0")=0,"—",IFERROR(INDEX($B$14:$B$1213,MATCH($H181&amp;"|1",$AA$14:$AA$1213,0)),"(tied)")))</f>
        <v/>
      </c>
      <c r="L181" s="25">
        <f>IF($H181="","",IF((--(COUNTIFS($A$14:$A$1213,$H181,$P$14:$P$1213,"&gt;=0")&gt;0)+--(COUNTIFS($A$14:$A$1213,$H181,$Q$14:$Q$1213,"&gt;=0")&gt;0)+--(COUNTIFS($A$14:$A$1213,$H181,$R$14:$R$1213,"&gt;=0")&gt;0)+--(COUNTIFS($A$14:$A$1213,$H181,$S$14:$S$1213,"&gt;=0")&gt;0)+--(COUNTIFS($A$14:$A$1213,$H181,$T$14:$T$1213,"&gt;=0")&gt;0))&lt;2,"—",IF(SUMIFS($AH$14:$AH$1213,$A$14:$A$1213,$H181)=0,"Yes","No")))</f>
        <v/>
      </c>
      <c r="M181" s="25">
        <f>IF($H181="","",IF(COUNTIFS($A$14:$A$1213,$H181,$F$14:$F$1213,"&gt;=0")&lt;2,"—",IF(COUNTIFS($A$14:$A$1213,$H181,$F$14:$F$1213,_xlfn.MAXIFS($F$14:$F$1213,$A$14:$A$1213,$H181))&gt;1,"No",IF(NOT(ISNUMBER($AN181)),"—",IF((2*(1-NORMSDIST(ABS($AN181))))&lt;0.05,"Yes","No")))))</f>
        <v/>
      </c>
      <c r="N181" s="21">
        <f>IF($H181="","",IF(NOT(ISNUMBER($AN181)),"—",IF((2*(1-NORMSDIST(ABS($AN181))))&lt;0.001,"&lt;0.001",TEXT((2*(1-NORMSDIST(ABS($AN181)))),"0.000"))))</f>
        <v/>
      </c>
      <c r="P181" s="26" t="n"/>
      <c r="Q181" s="26" t="n"/>
      <c r="R181" s="26" t="n"/>
      <c r="S181" s="26" t="n"/>
      <c r="T181" s="26" t="n"/>
      <c r="V181" s="27">
        <f>IF(ISNUMBER($C181),COUNTIFS($A$14:$A$1213,$A181,$C$14:$C$1213,"&gt;"&amp;$C181)+(COUNTIFS($A$14:$A$1213,$A181,$C$14:$C$1213,"="&amp;$C181)+1)/2,"")</f>
        <v/>
      </c>
      <c r="W181" s="27">
        <f>IF(ISNUMBER($F181),COUNTIFS($A$14:$A$1213,$A181,$F$14:$F$1213,"&gt;"&amp;$F181)+(COUNTIFS($A$14:$A$1213,$A181,$F$14:$F$1213,"="&amp;$F181)+1)/2,"")</f>
        <v/>
      </c>
      <c r="X181" s="27">
        <f>IF(OR(NOT(ISNUMBER($V181)),$AO181=1),"",$V181-(COUNTIFS($A$14:$A$1213,$A181,$C$14:$C$1213,"&gt;=0")+1)/2)</f>
        <v/>
      </c>
      <c r="Y181" s="27">
        <f>IF(OR(NOT(ISNUMBER($W181)),$AO181=1),"",$W181-(COUNTIFS($A$14:$A$1213,$A181,$F$14:$F$1213,"&gt;=0")+1)/2)</f>
        <v/>
      </c>
      <c r="Z181" s="27">
        <f>IF(ISNUMBER($V181),$A181&amp;"|"&amp;$V181,"")</f>
        <v/>
      </c>
      <c r="AA181" s="27">
        <f>IF(ISNUMBER($W181),$A181&amp;"|"&amp;$W181,"")</f>
        <v/>
      </c>
      <c r="AB181" s="27">
        <f>IF(ISNUMBER($F181),$A181&amp;"|"&amp;$F181,"")</f>
        <v/>
      </c>
      <c r="AC181" s="27">
        <f>IF(ISNUMBER($P181),COUNTIFS($A$14:$A$1213,$A181,$P$14:$P$1213,"&gt;"&amp;$P181)+(COUNTIFS($A$14:$A$1213,$A181,$P$14:$P$1213,"="&amp;$P181)+1)/2,"")</f>
        <v/>
      </c>
      <c r="AD181" s="27">
        <f>IF(ISNUMBER($Q181),COUNTIFS($A$14:$A$1213,$A181,$Q$14:$Q$1213,"&gt;"&amp;$Q181)+(COUNTIFS($A$14:$A$1213,$A181,$Q$14:$Q$1213,"="&amp;$Q181)+1)/2,"")</f>
        <v/>
      </c>
      <c r="AE181" s="27">
        <f>IF(ISNUMBER($R181),COUNTIFS($A$14:$A$1213,$A181,$R$14:$R$1213,"&gt;"&amp;$R181)+(COUNTIFS($A$14:$A$1213,$A181,$R$14:$R$1213,"="&amp;$R181)+1)/2,"")</f>
        <v/>
      </c>
      <c r="AF181" s="27">
        <f>IF(ISNUMBER($S181),COUNTIFS($A$14:$A$1213,$A181,$S$14:$S$1213,"&gt;"&amp;$S181)+(COUNTIFS($A$14:$A$1213,$A181,$S$14:$S$1213,"="&amp;$S181)+1)/2,"")</f>
        <v/>
      </c>
      <c r="AG181" s="27">
        <f>IF(ISNUMBER($T181),COUNTIFS($A$14:$A$1213,$A181,$T$14:$T$1213,"&gt;"&amp;$T181)+(COUNTIFS($A$14:$A$1213,$A181,$T$14:$T$1213,"="&amp;$T181)+1)/2,"")</f>
        <v/>
      </c>
      <c r="AH181" s="27">
        <f>IF(COUNT($AC181:$AG181)&lt;2,"",IF(MAX($AC181:$AG181)=MIN($AC181:$AG181),0,1))</f>
        <v/>
      </c>
      <c r="AI181" s="27">
        <f>IF($A181="","",IF(COUNTIF($A$14:$A181,$A181)=1,COUNTIF($AI$13:AI180,"&gt;0")+1,""))</f>
        <v/>
      </c>
      <c r="AJ181" s="27">
        <f>IF(OR($H181="",COUNTIFS($A$14:$A$1213,$H181,$F$14:$F$1213,"&gt;=0")&lt;2,COUNTIFS($A$14:$A$1213,$H181,$F$14:$F$1213,_xlfn.MAXIFS($F$14:$F$1213,$A$14:$A$1213,$H181))&gt;1),"",IFERROR(INDEX($D$14:$D$1213,MATCH($H181&amp;"|"&amp;_xlfn.MAXIFS($F$14:$F$1213,$A$14:$A$1213,$H181),$AB$14:$AB$1213,0)),""))</f>
        <v/>
      </c>
      <c r="AK181" s="27">
        <f>IF(OR($H181="",COUNTIFS($A$14:$A$1213,$H181,$F$14:$F$1213,"&gt;=0")&lt;2,COUNTIFS($A$14:$A$1213,$H181,$F$14:$F$1213,_xlfn.MAXIFS($F$14:$F$1213,$A$14:$A$1213,$H181))&gt;1),"",IFERROR(INDEX($E$14:$E$1213,MATCH($H181&amp;"|"&amp;_xlfn.MAXIFS($F$14:$F$1213,$A$14:$A$1213,$H181),$AB$14:$AB$1213,0)),""))</f>
        <v/>
      </c>
      <c r="AL181" s="27">
        <f>IF(OR($H181="",COUNTIFS($A$14:$A$1213,$H181,$F$14:$F$1213,"&gt;=0")&lt;2,COUNTIFS($A$14:$A$1213,$H181,$F$14:$F$1213,_xlfn.MAXIFS($F$14:$F$1213,$A$14:$A$1213,$H181))&gt;1),"",IFERROR(INDEX($D$14:$D$1213,MATCH($H181&amp;"|"&amp;_xlfn.MAXIFS($F$14:$F$1213,$A$14:$A$1213,$H181,$F$14:$F$1213,"&lt;"&amp;_xlfn.MAXIFS($F$14:$F$1213,$A$14:$A$1213,$H181)),$AB$14:$AB$1213,0)),""))</f>
        <v/>
      </c>
      <c r="AM181" s="27">
        <f>IF(OR($H181="",COUNTIFS($A$14:$A$1213,$H181,$F$14:$F$1213,"&gt;=0")&lt;2,COUNTIFS($A$14:$A$1213,$H181,$F$14:$F$1213,_xlfn.MAXIFS($F$14:$F$1213,$A$14:$A$1213,$H181))&gt;1),"",IFERROR(INDEX($E$14:$E$1213,MATCH($H181&amp;"|"&amp;_xlfn.MAXIFS($F$14:$F$1213,$A$14:$A$1213,$H181,$F$14:$F$1213,"&lt;"&amp;_xlfn.MAXIFS($F$14:$F$1213,$A$14:$A$1213,$H181)),$AB$14:$AB$1213,0)),""))</f>
        <v/>
      </c>
      <c r="AN181" s="27">
        <f>IF(OR(NOT(ISNUMBER($AJ181)),NOT(ISNUMBER($AL181)),$AK181=0,$AM181=0),"",IF(OR((($AJ181+$AL181)/($AK181+$AM181))&lt;=0,(($AJ181+$AL181)/($AK181+$AM181))&gt;=1),"",($AJ181/$AK181-$AL181/$AM181)/SQRT((($AJ181+$AL181)/($AK181+$AM181))*(1-(($AJ181+$AL181)/($AK181+$AM181)))*(1/$AK181+1/$AM181))))</f>
        <v/>
      </c>
      <c r="AO181" s="27">
        <f>IF($A181="","",IF(AND(COUNTIFS($A$14:$A$1213,$A181,$F$14:$F$1213,"&gt;=0")=2,IFERROR(INDEX($M$14:$M$313,MATCH($A181,$H$14:$H$313,0)),"Yes")&lt;&gt;"Yes"),1,0))</f>
        <v/>
      </c>
    </row>
    <row r="182" ht="24" customHeight="1">
      <c r="A182" s="19" t="n"/>
      <c r="B182" s="20" t="n"/>
      <c r="C182" s="21">
        <f>IFERROR(AVERAGE(P182:T182),"")</f>
        <v/>
      </c>
      <c r="D182" s="29" t="n"/>
      <c r="E182" s="29" t="n"/>
      <c r="F182" s="30">
        <f>IF(AND(ISNUMBER($D182),ISNUMBER($E182),$E182&gt;0,$D182&lt;=$E182),$D182/$E182,"")</f>
        <v/>
      </c>
      <c r="H182" s="19">
        <f>IFERROR(INDEX($A$14:$A$1213,MATCH(169,$AI$14:$AI$1213,0)),"")</f>
        <v/>
      </c>
      <c r="I182" s="24">
        <f>IF($H182="","",IF(COUNTIFS($A$14:$A$1213,$H182,$C$14:$C$1213,"&gt;=0")=0,"—",IFERROR(INDEX($B$14:$B$1213,MATCH($H182&amp;"|1",$Z$14:$Z$1213,0)),"(tied)")))</f>
        <v/>
      </c>
      <c r="J182" s="25">
        <f>IF($H182="","",IF(OR(COUNTIFS($A$14:$A$1213,$H182,$C$14:$C$1213,"&gt;=0")=0,COUNTIFS($A$14:$A$1213,$H182,$F$14:$F$1213,"&gt;=0")=0),"—",IF(OR(ISERROR(MATCH($H182&amp;"|1",$Z$14:$Z$1213,0)),ISERROR(MATCH($H182&amp;"|1",$AA$14:$AA$1213,0))),"Tie",IF(MATCH($H182&amp;"|1",$Z$14:$Z$1213,0)=MATCH($H182&amp;"|1",$AA$14:$AA$1213,0),"Hit","Miss"))))</f>
        <v/>
      </c>
      <c r="K182" s="24">
        <f>IF($H182="","",IF(COUNTIFS($A$14:$A$1213,$H182,$F$14:$F$1213,"&gt;=0")=0,"—",IFERROR(INDEX($B$14:$B$1213,MATCH($H182&amp;"|1",$AA$14:$AA$1213,0)),"(tied)")))</f>
        <v/>
      </c>
      <c r="L182" s="25">
        <f>IF($H182="","",IF((--(COUNTIFS($A$14:$A$1213,$H182,$P$14:$P$1213,"&gt;=0")&gt;0)+--(COUNTIFS($A$14:$A$1213,$H182,$Q$14:$Q$1213,"&gt;=0")&gt;0)+--(COUNTIFS($A$14:$A$1213,$H182,$R$14:$R$1213,"&gt;=0")&gt;0)+--(COUNTIFS($A$14:$A$1213,$H182,$S$14:$S$1213,"&gt;=0")&gt;0)+--(COUNTIFS($A$14:$A$1213,$H182,$T$14:$T$1213,"&gt;=0")&gt;0))&lt;2,"—",IF(SUMIFS($AH$14:$AH$1213,$A$14:$A$1213,$H182)=0,"Yes","No")))</f>
        <v/>
      </c>
      <c r="M182" s="25">
        <f>IF($H182="","",IF(COUNTIFS($A$14:$A$1213,$H182,$F$14:$F$1213,"&gt;=0")&lt;2,"—",IF(COUNTIFS($A$14:$A$1213,$H182,$F$14:$F$1213,_xlfn.MAXIFS($F$14:$F$1213,$A$14:$A$1213,$H182))&gt;1,"No",IF(NOT(ISNUMBER($AN182)),"—",IF((2*(1-NORMSDIST(ABS($AN182))))&lt;0.05,"Yes","No")))))</f>
        <v/>
      </c>
      <c r="N182" s="21">
        <f>IF($H182="","",IF(NOT(ISNUMBER($AN182)),"—",IF((2*(1-NORMSDIST(ABS($AN182))))&lt;0.001,"&lt;0.001",TEXT((2*(1-NORMSDIST(ABS($AN182)))),"0.000"))))</f>
        <v/>
      </c>
      <c r="P182" s="26" t="n"/>
      <c r="Q182" s="26" t="n"/>
      <c r="R182" s="26" t="n"/>
      <c r="S182" s="26" t="n"/>
      <c r="T182" s="26" t="n"/>
      <c r="V182" s="27">
        <f>IF(ISNUMBER($C182),COUNTIFS($A$14:$A$1213,$A182,$C$14:$C$1213,"&gt;"&amp;$C182)+(COUNTIFS($A$14:$A$1213,$A182,$C$14:$C$1213,"="&amp;$C182)+1)/2,"")</f>
        <v/>
      </c>
      <c r="W182" s="27">
        <f>IF(ISNUMBER($F182),COUNTIFS($A$14:$A$1213,$A182,$F$14:$F$1213,"&gt;"&amp;$F182)+(COUNTIFS($A$14:$A$1213,$A182,$F$14:$F$1213,"="&amp;$F182)+1)/2,"")</f>
        <v/>
      </c>
      <c r="X182" s="27">
        <f>IF(OR(NOT(ISNUMBER($V182)),$AO182=1),"",$V182-(COUNTIFS($A$14:$A$1213,$A182,$C$14:$C$1213,"&gt;=0")+1)/2)</f>
        <v/>
      </c>
      <c r="Y182" s="27">
        <f>IF(OR(NOT(ISNUMBER($W182)),$AO182=1),"",$W182-(COUNTIFS($A$14:$A$1213,$A182,$F$14:$F$1213,"&gt;=0")+1)/2)</f>
        <v/>
      </c>
      <c r="Z182" s="27">
        <f>IF(ISNUMBER($V182),$A182&amp;"|"&amp;$V182,"")</f>
        <v/>
      </c>
      <c r="AA182" s="27">
        <f>IF(ISNUMBER($W182),$A182&amp;"|"&amp;$W182,"")</f>
        <v/>
      </c>
      <c r="AB182" s="27">
        <f>IF(ISNUMBER($F182),$A182&amp;"|"&amp;$F182,"")</f>
        <v/>
      </c>
      <c r="AC182" s="27">
        <f>IF(ISNUMBER($P182),COUNTIFS($A$14:$A$1213,$A182,$P$14:$P$1213,"&gt;"&amp;$P182)+(COUNTIFS($A$14:$A$1213,$A182,$P$14:$P$1213,"="&amp;$P182)+1)/2,"")</f>
        <v/>
      </c>
      <c r="AD182" s="27">
        <f>IF(ISNUMBER($Q182),COUNTIFS($A$14:$A$1213,$A182,$Q$14:$Q$1213,"&gt;"&amp;$Q182)+(COUNTIFS($A$14:$A$1213,$A182,$Q$14:$Q$1213,"="&amp;$Q182)+1)/2,"")</f>
        <v/>
      </c>
      <c r="AE182" s="27">
        <f>IF(ISNUMBER($R182),COUNTIFS($A$14:$A$1213,$A182,$R$14:$R$1213,"&gt;"&amp;$R182)+(COUNTIFS($A$14:$A$1213,$A182,$R$14:$R$1213,"="&amp;$R182)+1)/2,"")</f>
        <v/>
      </c>
      <c r="AF182" s="27">
        <f>IF(ISNUMBER($S182),COUNTIFS($A$14:$A$1213,$A182,$S$14:$S$1213,"&gt;"&amp;$S182)+(COUNTIFS($A$14:$A$1213,$A182,$S$14:$S$1213,"="&amp;$S182)+1)/2,"")</f>
        <v/>
      </c>
      <c r="AG182" s="27">
        <f>IF(ISNUMBER($T182),COUNTIFS($A$14:$A$1213,$A182,$T$14:$T$1213,"&gt;"&amp;$T182)+(COUNTIFS($A$14:$A$1213,$A182,$T$14:$T$1213,"="&amp;$T182)+1)/2,"")</f>
        <v/>
      </c>
      <c r="AH182" s="27">
        <f>IF(COUNT($AC182:$AG182)&lt;2,"",IF(MAX($AC182:$AG182)=MIN($AC182:$AG182),0,1))</f>
        <v/>
      </c>
      <c r="AI182" s="27">
        <f>IF($A182="","",IF(COUNTIF($A$14:$A182,$A182)=1,COUNTIF($AI$13:AI181,"&gt;0")+1,""))</f>
        <v/>
      </c>
      <c r="AJ182" s="27">
        <f>IF(OR($H182="",COUNTIFS($A$14:$A$1213,$H182,$F$14:$F$1213,"&gt;=0")&lt;2,COUNTIFS($A$14:$A$1213,$H182,$F$14:$F$1213,_xlfn.MAXIFS($F$14:$F$1213,$A$14:$A$1213,$H182))&gt;1),"",IFERROR(INDEX($D$14:$D$1213,MATCH($H182&amp;"|"&amp;_xlfn.MAXIFS($F$14:$F$1213,$A$14:$A$1213,$H182),$AB$14:$AB$1213,0)),""))</f>
        <v/>
      </c>
      <c r="AK182" s="27">
        <f>IF(OR($H182="",COUNTIFS($A$14:$A$1213,$H182,$F$14:$F$1213,"&gt;=0")&lt;2,COUNTIFS($A$14:$A$1213,$H182,$F$14:$F$1213,_xlfn.MAXIFS($F$14:$F$1213,$A$14:$A$1213,$H182))&gt;1),"",IFERROR(INDEX($E$14:$E$1213,MATCH($H182&amp;"|"&amp;_xlfn.MAXIFS($F$14:$F$1213,$A$14:$A$1213,$H182),$AB$14:$AB$1213,0)),""))</f>
        <v/>
      </c>
      <c r="AL182" s="27">
        <f>IF(OR($H182="",COUNTIFS($A$14:$A$1213,$H182,$F$14:$F$1213,"&gt;=0")&lt;2,COUNTIFS($A$14:$A$1213,$H182,$F$14:$F$1213,_xlfn.MAXIFS($F$14:$F$1213,$A$14:$A$1213,$H182))&gt;1),"",IFERROR(INDEX($D$14:$D$1213,MATCH($H182&amp;"|"&amp;_xlfn.MAXIFS($F$14:$F$1213,$A$14:$A$1213,$H182,$F$14:$F$1213,"&lt;"&amp;_xlfn.MAXIFS($F$14:$F$1213,$A$14:$A$1213,$H182)),$AB$14:$AB$1213,0)),""))</f>
        <v/>
      </c>
      <c r="AM182" s="27">
        <f>IF(OR($H182="",COUNTIFS($A$14:$A$1213,$H182,$F$14:$F$1213,"&gt;=0")&lt;2,COUNTIFS($A$14:$A$1213,$H182,$F$14:$F$1213,_xlfn.MAXIFS($F$14:$F$1213,$A$14:$A$1213,$H182))&gt;1),"",IFERROR(INDEX($E$14:$E$1213,MATCH($H182&amp;"|"&amp;_xlfn.MAXIFS($F$14:$F$1213,$A$14:$A$1213,$H182,$F$14:$F$1213,"&lt;"&amp;_xlfn.MAXIFS($F$14:$F$1213,$A$14:$A$1213,$H182)),$AB$14:$AB$1213,0)),""))</f>
        <v/>
      </c>
      <c r="AN182" s="27">
        <f>IF(OR(NOT(ISNUMBER($AJ182)),NOT(ISNUMBER($AL182)),$AK182=0,$AM182=0),"",IF(OR((($AJ182+$AL182)/($AK182+$AM182))&lt;=0,(($AJ182+$AL182)/($AK182+$AM182))&gt;=1),"",($AJ182/$AK182-$AL182/$AM182)/SQRT((($AJ182+$AL182)/($AK182+$AM182))*(1-(($AJ182+$AL182)/($AK182+$AM182)))*(1/$AK182+1/$AM182))))</f>
        <v/>
      </c>
      <c r="AO182" s="27">
        <f>IF($A182="","",IF(AND(COUNTIFS($A$14:$A$1213,$A182,$F$14:$F$1213,"&gt;=0")=2,IFERROR(INDEX($M$14:$M$313,MATCH($A182,$H$14:$H$313,0)),"Yes")&lt;&gt;"Yes"),1,0))</f>
        <v/>
      </c>
    </row>
    <row r="183" ht="24" customHeight="1">
      <c r="A183" s="19" t="n"/>
      <c r="B183" s="20" t="n"/>
      <c r="C183" s="21">
        <f>IFERROR(AVERAGE(P183:T183),"")</f>
        <v/>
      </c>
      <c r="D183" s="29" t="n"/>
      <c r="E183" s="29" t="n"/>
      <c r="F183" s="30">
        <f>IF(AND(ISNUMBER($D183),ISNUMBER($E183),$E183&gt;0,$D183&lt;=$E183),$D183/$E183,"")</f>
        <v/>
      </c>
      <c r="H183" s="19">
        <f>IFERROR(INDEX($A$14:$A$1213,MATCH(170,$AI$14:$AI$1213,0)),"")</f>
        <v/>
      </c>
      <c r="I183" s="24">
        <f>IF($H183="","",IF(COUNTIFS($A$14:$A$1213,$H183,$C$14:$C$1213,"&gt;=0")=0,"—",IFERROR(INDEX($B$14:$B$1213,MATCH($H183&amp;"|1",$Z$14:$Z$1213,0)),"(tied)")))</f>
        <v/>
      </c>
      <c r="J183" s="25">
        <f>IF($H183="","",IF(OR(COUNTIFS($A$14:$A$1213,$H183,$C$14:$C$1213,"&gt;=0")=0,COUNTIFS($A$14:$A$1213,$H183,$F$14:$F$1213,"&gt;=0")=0),"—",IF(OR(ISERROR(MATCH($H183&amp;"|1",$Z$14:$Z$1213,0)),ISERROR(MATCH($H183&amp;"|1",$AA$14:$AA$1213,0))),"Tie",IF(MATCH($H183&amp;"|1",$Z$14:$Z$1213,0)=MATCH($H183&amp;"|1",$AA$14:$AA$1213,0),"Hit","Miss"))))</f>
        <v/>
      </c>
      <c r="K183" s="24">
        <f>IF($H183="","",IF(COUNTIFS($A$14:$A$1213,$H183,$F$14:$F$1213,"&gt;=0")=0,"—",IFERROR(INDEX($B$14:$B$1213,MATCH($H183&amp;"|1",$AA$14:$AA$1213,0)),"(tied)")))</f>
        <v/>
      </c>
      <c r="L183" s="25">
        <f>IF($H183="","",IF((--(COUNTIFS($A$14:$A$1213,$H183,$P$14:$P$1213,"&gt;=0")&gt;0)+--(COUNTIFS($A$14:$A$1213,$H183,$Q$14:$Q$1213,"&gt;=0")&gt;0)+--(COUNTIFS($A$14:$A$1213,$H183,$R$14:$R$1213,"&gt;=0")&gt;0)+--(COUNTIFS($A$14:$A$1213,$H183,$S$14:$S$1213,"&gt;=0")&gt;0)+--(COUNTIFS($A$14:$A$1213,$H183,$T$14:$T$1213,"&gt;=0")&gt;0))&lt;2,"—",IF(SUMIFS($AH$14:$AH$1213,$A$14:$A$1213,$H183)=0,"Yes","No")))</f>
        <v/>
      </c>
      <c r="M183" s="25">
        <f>IF($H183="","",IF(COUNTIFS($A$14:$A$1213,$H183,$F$14:$F$1213,"&gt;=0")&lt;2,"—",IF(COUNTIFS($A$14:$A$1213,$H183,$F$14:$F$1213,_xlfn.MAXIFS($F$14:$F$1213,$A$14:$A$1213,$H183))&gt;1,"No",IF(NOT(ISNUMBER($AN183)),"—",IF((2*(1-NORMSDIST(ABS($AN183))))&lt;0.05,"Yes","No")))))</f>
        <v/>
      </c>
      <c r="N183" s="21">
        <f>IF($H183="","",IF(NOT(ISNUMBER($AN183)),"—",IF((2*(1-NORMSDIST(ABS($AN183))))&lt;0.001,"&lt;0.001",TEXT((2*(1-NORMSDIST(ABS($AN183)))),"0.000"))))</f>
        <v/>
      </c>
      <c r="P183" s="26" t="n"/>
      <c r="Q183" s="26" t="n"/>
      <c r="R183" s="26" t="n"/>
      <c r="S183" s="26" t="n"/>
      <c r="T183" s="26" t="n"/>
      <c r="V183" s="27">
        <f>IF(ISNUMBER($C183),COUNTIFS($A$14:$A$1213,$A183,$C$14:$C$1213,"&gt;"&amp;$C183)+(COUNTIFS($A$14:$A$1213,$A183,$C$14:$C$1213,"="&amp;$C183)+1)/2,"")</f>
        <v/>
      </c>
      <c r="W183" s="27">
        <f>IF(ISNUMBER($F183),COUNTIFS($A$14:$A$1213,$A183,$F$14:$F$1213,"&gt;"&amp;$F183)+(COUNTIFS($A$14:$A$1213,$A183,$F$14:$F$1213,"="&amp;$F183)+1)/2,"")</f>
        <v/>
      </c>
      <c r="X183" s="27">
        <f>IF(OR(NOT(ISNUMBER($V183)),$AO183=1),"",$V183-(COUNTIFS($A$14:$A$1213,$A183,$C$14:$C$1213,"&gt;=0")+1)/2)</f>
        <v/>
      </c>
      <c r="Y183" s="27">
        <f>IF(OR(NOT(ISNUMBER($W183)),$AO183=1),"",$W183-(COUNTIFS($A$14:$A$1213,$A183,$F$14:$F$1213,"&gt;=0")+1)/2)</f>
        <v/>
      </c>
      <c r="Z183" s="27">
        <f>IF(ISNUMBER($V183),$A183&amp;"|"&amp;$V183,"")</f>
        <v/>
      </c>
      <c r="AA183" s="27">
        <f>IF(ISNUMBER($W183),$A183&amp;"|"&amp;$W183,"")</f>
        <v/>
      </c>
      <c r="AB183" s="27">
        <f>IF(ISNUMBER($F183),$A183&amp;"|"&amp;$F183,"")</f>
        <v/>
      </c>
      <c r="AC183" s="27">
        <f>IF(ISNUMBER($P183),COUNTIFS($A$14:$A$1213,$A183,$P$14:$P$1213,"&gt;"&amp;$P183)+(COUNTIFS($A$14:$A$1213,$A183,$P$14:$P$1213,"="&amp;$P183)+1)/2,"")</f>
        <v/>
      </c>
      <c r="AD183" s="27">
        <f>IF(ISNUMBER($Q183),COUNTIFS($A$14:$A$1213,$A183,$Q$14:$Q$1213,"&gt;"&amp;$Q183)+(COUNTIFS($A$14:$A$1213,$A183,$Q$14:$Q$1213,"="&amp;$Q183)+1)/2,"")</f>
        <v/>
      </c>
      <c r="AE183" s="27">
        <f>IF(ISNUMBER($R183),COUNTIFS($A$14:$A$1213,$A183,$R$14:$R$1213,"&gt;"&amp;$R183)+(COUNTIFS($A$14:$A$1213,$A183,$R$14:$R$1213,"="&amp;$R183)+1)/2,"")</f>
        <v/>
      </c>
      <c r="AF183" s="27">
        <f>IF(ISNUMBER($S183),COUNTIFS($A$14:$A$1213,$A183,$S$14:$S$1213,"&gt;"&amp;$S183)+(COUNTIFS($A$14:$A$1213,$A183,$S$14:$S$1213,"="&amp;$S183)+1)/2,"")</f>
        <v/>
      </c>
      <c r="AG183" s="27">
        <f>IF(ISNUMBER($T183),COUNTIFS($A$14:$A$1213,$A183,$T$14:$T$1213,"&gt;"&amp;$T183)+(COUNTIFS($A$14:$A$1213,$A183,$T$14:$T$1213,"="&amp;$T183)+1)/2,"")</f>
        <v/>
      </c>
      <c r="AH183" s="27">
        <f>IF(COUNT($AC183:$AG183)&lt;2,"",IF(MAX($AC183:$AG183)=MIN($AC183:$AG183),0,1))</f>
        <v/>
      </c>
      <c r="AI183" s="27">
        <f>IF($A183="","",IF(COUNTIF($A$14:$A183,$A183)=1,COUNTIF($AI$13:AI182,"&gt;0")+1,""))</f>
        <v/>
      </c>
      <c r="AJ183" s="27">
        <f>IF(OR($H183="",COUNTIFS($A$14:$A$1213,$H183,$F$14:$F$1213,"&gt;=0")&lt;2,COUNTIFS($A$14:$A$1213,$H183,$F$14:$F$1213,_xlfn.MAXIFS($F$14:$F$1213,$A$14:$A$1213,$H183))&gt;1),"",IFERROR(INDEX($D$14:$D$1213,MATCH($H183&amp;"|"&amp;_xlfn.MAXIFS($F$14:$F$1213,$A$14:$A$1213,$H183),$AB$14:$AB$1213,0)),""))</f>
        <v/>
      </c>
      <c r="AK183" s="27">
        <f>IF(OR($H183="",COUNTIFS($A$14:$A$1213,$H183,$F$14:$F$1213,"&gt;=0")&lt;2,COUNTIFS($A$14:$A$1213,$H183,$F$14:$F$1213,_xlfn.MAXIFS($F$14:$F$1213,$A$14:$A$1213,$H183))&gt;1),"",IFERROR(INDEX($E$14:$E$1213,MATCH($H183&amp;"|"&amp;_xlfn.MAXIFS($F$14:$F$1213,$A$14:$A$1213,$H183),$AB$14:$AB$1213,0)),""))</f>
        <v/>
      </c>
      <c r="AL183" s="27">
        <f>IF(OR($H183="",COUNTIFS($A$14:$A$1213,$H183,$F$14:$F$1213,"&gt;=0")&lt;2,COUNTIFS($A$14:$A$1213,$H183,$F$14:$F$1213,_xlfn.MAXIFS($F$14:$F$1213,$A$14:$A$1213,$H183))&gt;1),"",IFERROR(INDEX($D$14:$D$1213,MATCH($H183&amp;"|"&amp;_xlfn.MAXIFS($F$14:$F$1213,$A$14:$A$1213,$H183,$F$14:$F$1213,"&lt;"&amp;_xlfn.MAXIFS($F$14:$F$1213,$A$14:$A$1213,$H183)),$AB$14:$AB$1213,0)),""))</f>
        <v/>
      </c>
      <c r="AM183" s="27">
        <f>IF(OR($H183="",COUNTIFS($A$14:$A$1213,$H183,$F$14:$F$1213,"&gt;=0")&lt;2,COUNTIFS($A$14:$A$1213,$H183,$F$14:$F$1213,_xlfn.MAXIFS($F$14:$F$1213,$A$14:$A$1213,$H183))&gt;1),"",IFERROR(INDEX($E$14:$E$1213,MATCH($H183&amp;"|"&amp;_xlfn.MAXIFS($F$14:$F$1213,$A$14:$A$1213,$H183,$F$14:$F$1213,"&lt;"&amp;_xlfn.MAXIFS($F$14:$F$1213,$A$14:$A$1213,$H183)),$AB$14:$AB$1213,0)),""))</f>
        <v/>
      </c>
      <c r="AN183" s="27">
        <f>IF(OR(NOT(ISNUMBER($AJ183)),NOT(ISNUMBER($AL183)),$AK183=0,$AM183=0),"",IF(OR((($AJ183+$AL183)/($AK183+$AM183))&lt;=0,(($AJ183+$AL183)/($AK183+$AM183))&gt;=1),"",($AJ183/$AK183-$AL183/$AM183)/SQRT((($AJ183+$AL183)/($AK183+$AM183))*(1-(($AJ183+$AL183)/($AK183+$AM183)))*(1/$AK183+1/$AM183))))</f>
        <v/>
      </c>
      <c r="AO183" s="27">
        <f>IF($A183="","",IF(AND(COUNTIFS($A$14:$A$1213,$A183,$F$14:$F$1213,"&gt;=0")=2,IFERROR(INDEX($M$14:$M$313,MATCH($A183,$H$14:$H$313,0)),"Yes")&lt;&gt;"Yes"),1,0))</f>
        <v/>
      </c>
    </row>
    <row r="184" ht="24" customHeight="1">
      <c r="A184" s="19" t="n"/>
      <c r="B184" s="20" t="n"/>
      <c r="C184" s="21">
        <f>IFERROR(AVERAGE(P184:T184),"")</f>
        <v/>
      </c>
      <c r="D184" s="29" t="n"/>
      <c r="E184" s="29" t="n"/>
      <c r="F184" s="30">
        <f>IF(AND(ISNUMBER($D184),ISNUMBER($E184),$E184&gt;0,$D184&lt;=$E184),$D184/$E184,"")</f>
        <v/>
      </c>
      <c r="H184" s="19">
        <f>IFERROR(INDEX($A$14:$A$1213,MATCH(171,$AI$14:$AI$1213,0)),"")</f>
        <v/>
      </c>
      <c r="I184" s="24">
        <f>IF($H184="","",IF(COUNTIFS($A$14:$A$1213,$H184,$C$14:$C$1213,"&gt;=0")=0,"—",IFERROR(INDEX($B$14:$B$1213,MATCH($H184&amp;"|1",$Z$14:$Z$1213,0)),"(tied)")))</f>
        <v/>
      </c>
      <c r="J184" s="25">
        <f>IF($H184="","",IF(OR(COUNTIFS($A$14:$A$1213,$H184,$C$14:$C$1213,"&gt;=0")=0,COUNTIFS($A$14:$A$1213,$H184,$F$14:$F$1213,"&gt;=0")=0),"—",IF(OR(ISERROR(MATCH($H184&amp;"|1",$Z$14:$Z$1213,0)),ISERROR(MATCH($H184&amp;"|1",$AA$14:$AA$1213,0))),"Tie",IF(MATCH($H184&amp;"|1",$Z$14:$Z$1213,0)=MATCH($H184&amp;"|1",$AA$14:$AA$1213,0),"Hit","Miss"))))</f>
        <v/>
      </c>
      <c r="K184" s="24">
        <f>IF($H184="","",IF(COUNTIFS($A$14:$A$1213,$H184,$F$14:$F$1213,"&gt;=0")=0,"—",IFERROR(INDEX($B$14:$B$1213,MATCH($H184&amp;"|1",$AA$14:$AA$1213,0)),"(tied)")))</f>
        <v/>
      </c>
      <c r="L184" s="25">
        <f>IF($H184="","",IF((--(COUNTIFS($A$14:$A$1213,$H184,$P$14:$P$1213,"&gt;=0")&gt;0)+--(COUNTIFS($A$14:$A$1213,$H184,$Q$14:$Q$1213,"&gt;=0")&gt;0)+--(COUNTIFS($A$14:$A$1213,$H184,$R$14:$R$1213,"&gt;=0")&gt;0)+--(COUNTIFS($A$14:$A$1213,$H184,$S$14:$S$1213,"&gt;=0")&gt;0)+--(COUNTIFS($A$14:$A$1213,$H184,$T$14:$T$1213,"&gt;=0")&gt;0))&lt;2,"—",IF(SUMIFS($AH$14:$AH$1213,$A$14:$A$1213,$H184)=0,"Yes","No")))</f>
        <v/>
      </c>
      <c r="M184" s="25">
        <f>IF($H184="","",IF(COUNTIFS($A$14:$A$1213,$H184,$F$14:$F$1213,"&gt;=0")&lt;2,"—",IF(COUNTIFS($A$14:$A$1213,$H184,$F$14:$F$1213,_xlfn.MAXIFS($F$14:$F$1213,$A$14:$A$1213,$H184))&gt;1,"No",IF(NOT(ISNUMBER($AN184)),"—",IF((2*(1-NORMSDIST(ABS($AN184))))&lt;0.05,"Yes","No")))))</f>
        <v/>
      </c>
      <c r="N184" s="21">
        <f>IF($H184="","",IF(NOT(ISNUMBER($AN184)),"—",IF((2*(1-NORMSDIST(ABS($AN184))))&lt;0.001,"&lt;0.001",TEXT((2*(1-NORMSDIST(ABS($AN184)))),"0.000"))))</f>
        <v/>
      </c>
      <c r="P184" s="26" t="n"/>
      <c r="Q184" s="26" t="n"/>
      <c r="R184" s="26" t="n"/>
      <c r="S184" s="26" t="n"/>
      <c r="T184" s="26" t="n"/>
      <c r="V184" s="27">
        <f>IF(ISNUMBER($C184),COUNTIFS($A$14:$A$1213,$A184,$C$14:$C$1213,"&gt;"&amp;$C184)+(COUNTIFS($A$14:$A$1213,$A184,$C$14:$C$1213,"="&amp;$C184)+1)/2,"")</f>
        <v/>
      </c>
      <c r="W184" s="27">
        <f>IF(ISNUMBER($F184),COUNTIFS($A$14:$A$1213,$A184,$F$14:$F$1213,"&gt;"&amp;$F184)+(COUNTIFS($A$14:$A$1213,$A184,$F$14:$F$1213,"="&amp;$F184)+1)/2,"")</f>
        <v/>
      </c>
      <c r="X184" s="27">
        <f>IF(OR(NOT(ISNUMBER($V184)),$AO184=1),"",$V184-(COUNTIFS($A$14:$A$1213,$A184,$C$14:$C$1213,"&gt;=0")+1)/2)</f>
        <v/>
      </c>
      <c r="Y184" s="27">
        <f>IF(OR(NOT(ISNUMBER($W184)),$AO184=1),"",$W184-(COUNTIFS($A$14:$A$1213,$A184,$F$14:$F$1213,"&gt;=0")+1)/2)</f>
        <v/>
      </c>
      <c r="Z184" s="27">
        <f>IF(ISNUMBER($V184),$A184&amp;"|"&amp;$V184,"")</f>
        <v/>
      </c>
      <c r="AA184" s="27">
        <f>IF(ISNUMBER($W184),$A184&amp;"|"&amp;$W184,"")</f>
        <v/>
      </c>
      <c r="AB184" s="27">
        <f>IF(ISNUMBER($F184),$A184&amp;"|"&amp;$F184,"")</f>
        <v/>
      </c>
      <c r="AC184" s="27">
        <f>IF(ISNUMBER($P184),COUNTIFS($A$14:$A$1213,$A184,$P$14:$P$1213,"&gt;"&amp;$P184)+(COUNTIFS($A$14:$A$1213,$A184,$P$14:$P$1213,"="&amp;$P184)+1)/2,"")</f>
        <v/>
      </c>
      <c r="AD184" s="27">
        <f>IF(ISNUMBER($Q184),COUNTIFS($A$14:$A$1213,$A184,$Q$14:$Q$1213,"&gt;"&amp;$Q184)+(COUNTIFS($A$14:$A$1213,$A184,$Q$14:$Q$1213,"="&amp;$Q184)+1)/2,"")</f>
        <v/>
      </c>
      <c r="AE184" s="27">
        <f>IF(ISNUMBER($R184),COUNTIFS($A$14:$A$1213,$A184,$R$14:$R$1213,"&gt;"&amp;$R184)+(COUNTIFS($A$14:$A$1213,$A184,$R$14:$R$1213,"="&amp;$R184)+1)/2,"")</f>
        <v/>
      </c>
      <c r="AF184" s="27">
        <f>IF(ISNUMBER($S184),COUNTIFS($A$14:$A$1213,$A184,$S$14:$S$1213,"&gt;"&amp;$S184)+(COUNTIFS($A$14:$A$1213,$A184,$S$14:$S$1213,"="&amp;$S184)+1)/2,"")</f>
        <v/>
      </c>
      <c r="AG184" s="27">
        <f>IF(ISNUMBER($T184),COUNTIFS($A$14:$A$1213,$A184,$T$14:$T$1213,"&gt;"&amp;$T184)+(COUNTIFS($A$14:$A$1213,$A184,$T$14:$T$1213,"="&amp;$T184)+1)/2,"")</f>
        <v/>
      </c>
      <c r="AH184" s="27">
        <f>IF(COUNT($AC184:$AG184)&lt;2,"",IF(MAX($AC184:$AG184)=MIN($AC184:$AG184),0,1))</f>
        <v/>
      </c>
      <c r="AI184" s="27">
        <f>IF($A184="","",IF(COUNTIF($A$14:$A184,$A184)=1,COUNTIF($AI$13:AI183,"&gt;0")+1,""))</f>
        <v/>
      </c>
      <c r="AJ184" s="27">
        <f>IF(OR($H184="",COUNTIFS($A$14:$A$1213,$H184,$F$14:$F$1213,"&gt;=0")&lt;2,COUNTIFS($A$14:$A$1213,$H184,$F$14:$F$1213,_xlfn.MAXIFS($F$14:$F$1213,$A$14:$A$1213,$H184))&gt;1),"",IFERROR(INDEX($D$14:$D$1213,MATCH($H184&amp;"|"&amp;_xlfn.MAXIFS($F$14:$F$1213,$A$14:$A$1213,$H184),$AB$14:$AB$1213,0)),""))</f>
        <v/>
      </c>
      <c r="AK184" s="27">
        <f>IF(OR($H184="",COUNTIFS($A$14:$A$1213,$H184,$F$14:$F$1213,"&gt;=0")&lt;2,COUNTIFS($A$14:$A$1213,$H184,$F$14:$F$1213,_xlfn.MAXIFS($F$14:$F$1213,$A$14:$A$1213,$H184))&gt;1),"",IFERROR(INDEX($E$14:$E$1213,MATCH($H184&amp;"|"&amp;_xlfn.MAXIFS($F$14:$F$1213,$A$14:$A$1213,$H184),$AB$14:$AB$1213,0)),""))</f>
        <v/>
      </c>
      <c r="AL184" s="27">
        <f>IF(OR($H184="",COUNTIFS($A$14:$A$1213,$H184,$F$14:$F$1213,"&gt;=0")&lt;2,COUNTIFS($A$14:$A$1213,$H184,$F$14:$F$1213,_xlfn.MAXIFS($F$14:$F$1213,$A$14:$A$1213,$H184))&gt;1),"",IFERROR(INDEX($D$14:$D$1213,MATCH($H184&amp;"|"&amp;_xlfn.MAXIFS($F$14:$F$1213,$A$14:$A$1213,$H184,$F$14:$F$1213,"&lt;"&amp;_xlfn.MAXIFS($F$14:$F$1213,$A$14:$A$1213,$H184)),$AB$14:$AB$1213,0)),""))</f>
        <v/>
      </c>
      <c r="AM184" s="27">
        <f>IF(OR($H184="",COUNTIFS($A$14:$A$1213,$H184,$F$14:$F$1213,"&gt;=0")&lt;2,COUNTIFS($A$14:$A$1213,$H184,$F$14:$F$1213,_xlfn.MAXIFS($F$14:$F$1213,$A$14:$A$1213,$H184))&gt;1),"",IFERROR(INDEX($E$14:$E$1213,MATCH($H184&amp;"|"&amp;_xlfn.MAXIFS($F$14:$F$1213,$A$14:$A$1213,$H184,$F$14:$F$1213,"&lt;"&amp;_xlfn.MAXIFS($F$14:$F$1213,$A$14:$A$1213,$H184)),$AB$14:$AB$1213,0)),""))</f>
        <v/>
      </c>
      <c r="AN184" s="27">
        <f>IF(OR(NOT(ISNUMBER($AJ184)),NOT(ISNUMBER($AL184)),$AK184=0,$AM184=0),"",IF(OR((($AJ184+$AL184)/($AK184+$AM184))&lt;=0,(($AJ184+$AL184)/($AK184+$AM184))&gt;=1),"",($AJ184/$AK184-$AL184/$AM184)/SQRT((($AJ184+$AL184)/($AK184+$AM184))*(1-(($AJ184+$AL184)/($AK184+$AM184)))*(1/$AK184+1/$AM184))))</f>
        <v/>
      </c>
      <c r="AO184" s="27">
        <f>IF($A184="","",IF(AND(COUNTIFS($A$14:$A$1213,$A184,$F$14:$F$1213,"&gt;=0")=2,IFERROR(INDEX($M$14:$M$313,MATCH($A184,$H$14:$H$313,0)),"Yes")&lt;&gt;"Yes"),1,0))</f>
        <v/>
      </c>
    </row>
    <row r="185" ht="24" customHeight="1">
      <c r="A185" s="19" t="n"/>
      <c r="B185" s="20" t="n"/>
      <c r="C185" s="21">
        <f>IFERROR(AVERAGE(P185:T185),"")</f>
        <v/>
      </c>
      <c r="D185" s="29" t="n"/>
      <c r="E185" s="29" t="n"/>
      <c r="F185" s="30">
        <f>IF(AND(ISNUMBER($D185),ISNUMBER($E185),$E185&gt;0,$D185&lt;=$E185),$D185/$E185,"")</f>
        <v/>
      </c>
      <c r="H185" s="19">
        <f>IFERROR(INDEX($A$14:$A$1213,MATCH(172,$AI$14:$AI$1213,0)),"")</f>
        <v/>
      </c>
      <c r="I185" s="24">
        <f>IF($H185="","",IF(COUNTIFS($A$14:$A$1213,$H185,$C$14:$C$1213,"&gt;=0")=0,"—",IFERROR(INDEX($B$14:$B$1213,MATCH($H185&amp;"|1",$Z$14:$Z$1213,0)),"(tied)")))</f>
        <v/>
      </c>
      <c r="J185" s="25">
        <f>IF($H185="","",IF(OR(COUNTIFS($A$14:$A$1213,$H185,$C$14:$C$1213,"&gt;=0")=0,COUNTIFS($A$14:$A$1213,$H185,$F$14:$F$1213,"&gt;=0")=0),"—",IF(OR(ISERROR(MATCH($H185&amp;"|1",$Z$14:$Z$1213,0)),ISERROR(MATCH($H185&amp;"|1",$AA$14:$AA$1213,0))),"Tie",IF(MATCH($H185&amp;"|1",$Z$14:$Z$1213,0)=MATCH($H185&amp;"|1",$AA$14:$AA$1213,0),"Hit","Miss"))))</f>
        <v/>
      </c>
      <c r="K185" s="24">
        <f>IF($H185="","",IF(COUNTIFS($A$14:$A$1213,$H185,$F$14:$F$1213,"&gt;=0")=0,"—",IFERROR(INDEX($B$14:$B$1213,MATCH($H185&amp;"|1",$AA$14:$AA$1213,0)),"(tied)")))</f>
        <v/>
      </c>
      <c r="L185" s="25">
        <f>IF($H185="","",IF((--(COUNTIFS($A$14:$A$1213,$H185,$P$14:$P$1213,"&gt;=0")&gt;0)+--(COUNTIFS($A$14:$A$1213,$H185,$Q$14:$Q$1213,"&gt;=0")&gt;0)+--(COUNTIFS($A$14:$A$1213,$H185,$R$14:$R$1213,"&gt;=0")&gt;0)+--(COUNTIFS($A$14:$A$1213,$H185,$S$14:$S$1213,"&gt;=0")&gt;0)+--(COUNTIFS($A$14:$A$1213,$H185,$T$14:$T$1213,"&gt;=0")&gt;0))&lt;2,"—",IF(SUMIFS($AH$14:$AH$1213,$A$14:$A$1213,$H185)=0,"Yes","No")))</f>
        <v/>
      </c>
      <c r="M185" s="25">
        <f>IF($H185="","",IF(COUNTIFS($A$14:$A$1213,$H185,$F$14:$F$1213,"&gt;=0")&lt;2,"—",IF(COUNTIFS($A$14:$A$1213,$H185,$F$14:$F$1213,_xlfn.MAXIFS($F$14:$F$1213,$A$14:$A$1213,$H185))&gt;1,"No",IF(NOT(ISNUMBER($AN185)),"—",IF((2*(1-NORMSDIST(ABS($AN185))))&lt;0.05,"Yes","No")))))</f>
        <v/>
      </c>
      <c r="N185" s="21">
        <f>IF($H185="","",IF(NOT(ISNUMBER($AN185)),"—",IF((2*(1-NORMSDIST(ABS($AN185))))&lt;0.001,"&lt;0.001",TEXT((2*(1-NORMSDIST(ABS($AN185)))),"0.000"))))</f>
        <v/>
      </c>
      <c r="P185" s="26" t="n"/>
      <c r="Q185" s="26" t="n"/>
      <c r="R185" s="26" t="n"/>
      <c r="S185" s="26" t="n"/>
      <c r="T185" s="26" t="n"/>
      <c r="V185" s="27">
        <f>IF(ISNUMBER($C185),COUNTIFS($A$14:$A$1213,$A185,$C$14:$C$1213,"&gt;"&amp;$C185)+(COUNTIFS($A$14:$A$1213,$A185,$C$14:$C$1213,"="&amp;$C185)+1)/2,"")</f>
        <v/>
      </c>
      <c r="W185" s="27">
        <f>IF(ISNUMBER($F185),COUNTIFS($A$14:$A$1213,$A185,$F$14:$F$1213,"&gt;"&amp;$F185)+(COUNTIFS($A$14:$A$1213,$A185,$F$14:$F$1213,"="&amp;$F185)+1)/2,"")</f>
        <v/>
      </c>
      <c r="X185" s="27">
        <f>IF(OR(NOT(ISNUMBER($V185)),$AO185=1),"",$V185-(COUNTIFS($A$14:$A$1213,$A185,$C$14:$C$1213,"&gt;=0")+1)/2)</f>
        <v/>
      </c>
      <c r="Y185" s="27">
        <f>IF(OR(NOT(ISNUMBER($W185)),$AO185=1),"",$W185-(COUNTIFS($A$14:$A$1213,$A185,$F$14:$F$1213,"&gt;=0")+1)/2)</f>
        <v/>
      </c>
      <c r="Z185" s="27">
        <f>IF(ISNUMBER($V185),$A185&amp;"|"&amp;$V185,"")</f>
        <v/>
      </c>
      <c r="AA185" s="27">
        <f>IF(ISNUMBER($W185),$A185&amp;"|"&amp;$W185,"")</f>
        <v/>
      </c>
      <c r="AB185" s="27">
        <f>IF(ISNUMBER($F185),$A185&amp;"|"&amp;$F185,"")</f>
        <v/>
      </c>
      <c r="AC185" s="27">
        <f>IF(ISNUMBER($P185),COUNTIFS($A$14:$A$1213,$A185,$P$14:$P$1213,"&gt;"&amp;$P185)+(COUNTIFS($A$14:$A$1213,$A185,$P$14:$P$1213,"="&amp;$P185)+1)/2,"")</f>
        <v/>
      </c>
      <c r="AD185" s="27">
        <f>IF(ISNUMBER($Q185),COUNTIFS($A$14:$A$1213,$A185,$Q$14:$Q$1213,"&gt;"&amp;$Q185)+(COUNTIFS($A$14:$A$1213,$A185,$Q$14:$Q$1213,"="&amp;$Q185)+1)/2,"")</f>
        <v/>
      </c>
      <c r="AE185" s="27">
        <f>IF(ISNUMBER($R185),COUNTIFS($A$14:$A$1213,$A185,$R$14:$R$1213,"&gt;"&amp;$R185)+(COUNTIFS($A$14:$A$1213,$A185,$R$14:$R$1213,"="&amp;$R185)+1)/2,"")</f>
        <v/>
      </c>
      <c r="AF185" s="27">
        <f>IF(ISNUMBER($S185),COUNTIFS($A$14:$A$1213,$A185,$S$14:$S$1213,"&gt;"&amp;$S185)+(COUNTIFS($A$14:$A$1213,$A185,$S$14:$S$1213,"="&amp;$S185)+1)/2,"")</f>
        <v/>
      </c>
      <c r="AG185" s="27">
        <f>IF(ISNUMBER($T185),COUNTIFS($A$14:$A$1213,$A185,$T$14:$T$1213,"&gt;"&amp;$T185)+(COUNTIFS($A$14:$A$1213,$A185,$T$14:$T$1213,"="&amp;$T185)+1)/2,"")</f>
        <v/>
      </c>
      <c r="AH185" s="27">
        <f>IF(COUNT($AC185:$AG185)&lt;2,"",IF(MAX($AC185:$AG185)=MIN($AC185:$AG185),0,1))</f>
        <v/>
      </c>
      <c r="AI185" s="27">
        <f>IF($A185="","",IF(COUNTIF($A$14:$A185,$A185)=1,COUNTIF($AI$13:AI184,"&gt;0")+1,""))</f>
        <v/>
      </c>
      <c r="AJ185" s="27">
        <f>IF(OR($H185="",COUNTIFS($A$14:$A$1213,$H185,$F$14:$F$1213,"&gt;=0")&lt;2,COUNTIFS($A$14:$A$1213,$H185,$F$14:$F$1213,_xlfn.MAXIFS($F$14:$F$1213,$A$14:$A$1213,$H185))&gt;1),"",IFERROR(INDEX($D$14:$D$1213,MATCH($H185&amp;"|"&amp;_xlfn.MAXIFS($F$14:$F$1213,$A$14:$A$1213,$H185),$AB$14:$AB$1213,0)),""))</f>
        <v/>
      </c>
      <c r="AK185" s="27">
        <f>IF(OR($H185="",COUNTIFS($A$14:$A$1213,$H185,$F$14:$F$1213,"&gt;=0")&lt;2,COUNTIFS($A$14:$A$1213,$H185,$F$14:$F$1213,_xlfn.MAXIFS($F$14:$F$1213,$A$14:$A$1213,$H185))&gt;1),"",IFERROR(INDEX($E$14:$E$1213,MATCH($H185&amp;"|"&amp;_xlfn.MAXIFS($F$14:$F$1213,$A$14:$A$1213,$H185),$AB$14:$AB$1213,0)),""))</f>
        <v/>
      </c>
      <c r="AL185" s="27">
        <f>IF(OR($H185="",COUNTIFS($A$14:$A$1213,$H185,$F$14:$F$1213,"&gt;=0")&lt;2,COUNTIFS($A$14:$A$1213,$H185,$F$14:$F$1213,_xlfn.MAXIFS($F$14:$F$1213,$A$14:$A$1213,$H185))&gt;1),"",IFERROR(INDEX($D$14:$D$1213,MATCH($H185&amp;"|"&amp;_xlfn.MAXIFS($F$14:$F$1213,$A$14:$A$1213,$H185,$F$14:$F$1213,"&lt;"&amp;_xlfn.MAXIFS($F$14:$F$1213,$A$14:$A$1213,$H185)),$AB$14:$AB$1213,0)),""))</f>
        <v/>
      </c>
      <c r="AM185" s="27">
        <f>IF(OR($H185="",COUNTIFS($A$14:$A$1213,$H185,$F$14:$F$1213,"&gt;=0")&lt;2,COUNTIFS($A$14:$A$1213,$H185,$F$14:$F$1213,_xlfn.MAXIFS($F$14:$F$1213,$A$14:$A$1213,$H185))&gt;1),"",IFERROR(INDEX($E$14:$E$1213,MATCH($H185&amp;"|"&amp;_xlfn.MAXIFS($F$14:$F$1213,$A$14:$A$1213,$H185,$F$14:$F$1213,"&lt;"&amp;_xlfn.MAXIFS($F$14:$F$1213,$A$14:$A$1213,$H185)),$AB$14:$AB$1213,0)),""))</f>
        <v/>
      </c>
      <c r="AN185" s="27">
        <f>IF(OR(NOT(ISNUMBER($AJ185)),NOT(ISNUMBER($AL185)),$AK185=0,$AM185=0),"",IF(OR((($AJ185+$AL185)/($AK185+$AM185))&lt;=0,(($AJ185+$AL185)/($AK185+$AM185))&gt;=1),"",($AJ185/$AK185-$AL185/$AM185)/SQRT((($AJ185+$AL185)/($AK185+$AM185))*(1-(($AJ185+$AL185)/($AK185+$AM185)))*(1/$AK185+1/$AM185))))</f>
        <v/>
      </c>
      <c r="AO185" s="27">
        <f>IF($A185="","",IF(AND(COUNTIFS($A$14:$A$1213,$A185,$F$14:$F$1213,"&gt;=0")=2,IFERROR(INDEX($M$14:$M$313,MATCH($A185,$H$14:$H$313,0)),"Yes")&lt;&gt;"Yes"),1,0))</f>
        <v/>
      </c>
    </row>
    <row r="186" ht="24" customHeight="1">
      <c r="A186" s="19" t="n"/>
      <c r="B186" s="20" t="n"/>
      <c r="C186" s="21">
        <f>IFERROR(AVERAGE(P186:T186),"")</f>
        <v/>
      </c>
      <c r="D186" s="29" t="n"/>
      <c r="E186" s="29" t="n"/>
      <c r="F186" s="30">
        <f>IF(AND(ISNUMBER($D186),ISNUMBER($E186),$E186&gt;0,$D186&lt;=$E186),$D186/$E186,"")</f>
        <v/>
      </c>
      <c r="H186" s="19">
        <f>IFERROR(INDEX($A$14:$A$1213,MATCH(173,$AI$14:$AI$1213,0)),"")</f>
        <v/>
      </c>
      <c r="I186" s="24">
        <f>IF($H186="","",IF(COUNTIFS($A$14:$A$1213,$H186,$C$14:$C$1213,"&gt;=0")=0,"—",IFERROR(INDEX($B$14:$B$1213,MATCH($H186&amp;"|1",$Z$14:$Z$1213,0)),"(tied)")))</f>
        <v/>
      </c>
      <c r="J186" s="25">
        <f>IF($H186="","",IF(OR(COUNTIFS($A$14:$A$1213,$H186,$C$14:$C$1213,"&gt;=0")=0,COUNTIFS($A$14:$A$1213,$H186,$F$14:$F$1213,"&gt;=0")=0),"—",IF(OR(ISERROR(MATCH($H186&amp;"|1",$Z$14:$Z$1213,0)),ISERROR(MATCH($H186&amp;"|1",$AA$14:$AA$1213,0))),"Tie",IF(MATCH($H186&amp;"|1",$Z$14:$Z$1213,0)=MATCH($H186&amp;"|1",$AA$14:$AA$1213,0),"Hit","Miss"))))</f>
        <v/>
      </c>
      <c r="K186" s="24">
        <f>IF($H186="","",IF(COUNTIFS($A$14:$A$1213,$H186,$F$14:$F$1213,"&gt;=0")=0,"—",IFERROR(INDEX($B$14:$B$1213,MATCH($H186&amp;"|1",$AA$14:$AA$1213,0)),"(tied)")))</f>
        <v/>
      </c>
      <c r="L186" s="25">
        <f>IF($H186="","",IF((--(COUNTIFS($A$14:$A$1213,$H186,$P$14:$P$1213,"&gt;=0")&gt;0)+--(COUNTIFS($A$14:$A$1213,$H186,$Q$14:$Q$1213,"&gt;=0")&gt;0)+--(COUNTIFS($A$14:$A$1213,$H186,$R$14:$R$1213,"&gt;=0")&gt;0)+--(COUNTIFS($A$14:$A$1213,$H186,$S$14:$S$1213,"&gt;=0")&gt;0)+--(COUNTIFS($A$14:$A$1213,$H186,$T$14:$T$1213,"&gt;=0")&gt;0))&lt;2,"—",IF(SUMIFS($AH$14:$AH$1213,$A$14:$A$1213,$H186)=0,"Yes","No")))</f>
        <v/>
      </c>
      <c r="M186" s="25">
        <f>IF($H186="","",IF(COUNTIFS($A$14:$A$1213,$H186,$F$14:$F$1213,"&gt;=0")&lt;2,"—",IF(COUNTIFS($A$14:$A$1213,$H186,$F$14:$F$1213,_xlfn.MAXIFS($F$14:$F$1213,$A$14:$A$1213,$H186))&gt;1,"No",IF(NOT(ISNUMBER($AN186)),"—",IF((2*(1-NORMSDIST(ABS($AN186))))&lt;0.05,"Yes","No")))))</f>
        <v/>
      </c>
      <c r="N186" s="21">
        <f>IF($H186="","",IF(NOT(ISNUMBER($AN186)),"—",IF((2*(1-NORMSDIST(ABS($AN186))))&lt;0.001,"&lt;0.001",TEXT((2*(1-NORMSDIST(ABS($AN186)))),"0.000"))))</f>
        <v/>
      </c>
      <c r="P186" s="26" t="n"/>
      <c r="Q186" s="26" t="n"/>
      <c r="R186" s="26" t="n"/>
      <c r="S186" s="26" t="n"/>
      <c r="T186" s="26" t="n"/>
      <c r="V186" s="27">
        <f>IF(ISNUMBER($C186),COUNTIFS($A$14:$A$1213,$A186,$C$14:$C$1213,"&gt;"&amp;$C186)+(COUNTIFS($A$14:$A$1213,$A186,$C$14:$C$1213,"="&amp;$C186)+1)/2,"")</f>
        <v/>
      </c>
      <c r="W186" s="27">
        <f>IF(ISNUMBER($F186),COUNTIFS($A$14:$A$1213,$A186,$F$14:$F$1213,"&gt;"&amp;$F186)+(COUNTIFS($A$14:$A$1213,$A186,$F$14:$F$1213,"="&amp;$F186)+1)/2,"")</f>
        <v/>
      </c>
      <c r="X186" s="27">
        <f>IF(OR(NOT(ISNUMBER($V186)),$AO186=1),"",$V186-(COUNTIFS($A$14:$A$1213,$A186,$C$14:$C$1213,"&gt;=0")+1)/2)</f>
        <v/>
      </c>
      <c r="Y186" s="27">
        <f>IF(OR(NOT(ISNUMBER($W186)),$AO186=1),"",$W186-(COUNTIFS($A$14:$A$1213,$A186,$F$14:$F$1213,"&gt;=0")+1)/2)</f>
        <v/>
      </c>
      <c r="Z186" s="27">
        <f>IF(ISNUMBER($V186),$A186&amp;"|"&amp;$V186,"")</f>
        <v/>
      </c>
      <c r="AA186" s="27">
        <f>IF(ISNUMBER($W186),$A186&amp;"|"&amp;$W186,"")</f>
        <v/>
      </c>
      <c r="AB186" s="27">
        <f>IF(ISNUMBER($F186),$A186&amp;"|"&amp;$F186,"")</f>
        <v/>
      </c>
      <c r="AC186" s="27">
        <f>IF(ISNUMBER($P186),COUNTIFS($A$14:$A$1213,$A186,$P$14:$P$1213,"&gt;"&amp;$P186)+(COUNTIFS($A$14:$A$1213,$A186,$P$14:$P$1213,"="&amp;$P186)+1)/2,"")</f>
        <v/>
      </c>
      <c r="AD186" s="27">
        <f>IF(ISNUMBER($Q186),COUNTIFS($A$14:$A$1213,$A186,$Q$14:$Q$1213,"&gt;"&amp;$Q186)+(COUNTIFS($A$14:$A$1213,$A186,$Q$14:$Q$1213,"="&amp;$Q186)+1)/2,"")</f>
        <v/>
      </c>
      <c r="AE186" s="27">
        <f>IF(ISNUMBER($R186),COUNTIFS($A$14:$A$1213,$A186,$R$14:$R$1213,"&gt;"&amp;$R186)+(COUNTIFS($A$14:$A$1213,$A186,$R$14:$R$1213,"="&amp;$R186)+1)/2,"")</f>
        <v/>
      </c>
      <c r="AF186" s="27">
        <f>IF(ISNUMBER($S186),COUNTIFS($A$14:$A$1213,$A186,$S$14:$S$1213,"&gt;"&amp;$S186)+(COUNTIFS($A$14:$A$1213,$A186,$S$14:$S$1213,"="&amp;$S186)+1)/2,"")</f>
        <v/>
      </c>
      <c r="AG186" s="27">
        <f>IF(ISNUMBER($T186),COUNTIFS($A$14:$A$1213,$A186,$T$14:$T$1213,"&gt;"&amp;$T186)+(COUNTIFS($A$14:$A$1213,$A186,$T$14:$T$1213,"="&amp;$T186)+1)/2,"")</f>
        <v/>
      </c>
      <c r="AH186" s="27">
        <f>IF(COUNT($AC186:$AG186)&lt;2,"",IF(MAX($AC186:$AG186)=MIN($AC186:$AG186),0,1))</f>
        <v/>
      </c>
      <c r="AI186" s="27">
        <f>IF($A186="","",IF(COUNTIF($A$14:$A186,$A186)=1,COUNTIF($AI$13:AI185,"&gt;0")+1,""))</f>
        <v/>
      </c>
      <c r="AJ186" s="27">
        <f>IF(OR($H186="",COUNTIFS($A$14:$A$1213,$H186,$F$14:$F$1213,"&gt;=0")&lt;2,COUNTIFS($A$14:$A$1213,$H186,$F$14:$F$1213,_xlfn.MAXIFS($F$14:$F$1213,$A$14:$A$1213,$H186))&gt;1),"",IFERROR(INDEX($D$14:$D$1213,MATCH($H186&amp;"|"&amp;_xlfn.MAXIFS($F$14:$F$1213,$A$14:$A$1213,$H186),$AB$14:$AB$1213,0)),""))</f>
        <v/>
      </c>
      <c r="AK186" s="27">
        <f>IF(OR($H186="",COUNTIFS($A$14:$A$1213,$H186,$F$14:$F$1213,"&gt;=0")&lt;2,COUNTIFS($A$14:$A$1213,$H186,$F$14:$F$1213,_xlfn.MAXIFS($F$14:$F$1213,$A$14:$A$1213,$H186))&gt;1),"",IFERROR(INDEX($E$14:$E$1213,MATCH($H186&amp;"|"&amp;_xlfn.MAXIFS($F$14:$F$1213,$A$14:$A$1213,$H186),$AB$14:$AB$1213,0)),""))</f>
        <v/>
      </c>
      <c r="AL186" s="27">
        <f>IF(OR($H186="",COUNTIFS($A$14:$A$1213,$H186,$F$14:$F$1213,"&gt;=0")&lt;2,COUNTIFS($A$14:$A$1213,$H186,$F$14:$F$1213,_xlfn.MAXIFS($F$14:$F$1213,$A$14:$A$1213,$H186))&gt;1),"",IFERROR(INDEX($D$14:$D$1213,MATCH($H186&amp;"|"&amp;_xlfn.MAXIFS($F$14:$F$1213,$A$14:$A$1213,$H186,$F$14:$F$1213,"&lt;"&amp;_xlfn.MAXIFS($F$14:$F$1213,$A$14:$A$1213,$H186)),$AB$14:$AB$1213,0)),""))</f>
        <v/>
      </c>
      <c r="AM186" s="27">
        <f>IF(OR($H186="",COUNTIFS($A$14:$A$1213,$H186,$F$14:$F$1213,"&gt;=0")&lt;2,COUNTIFS($A$14:$A$1213,$H186,$F$14:$F$1213,_xlfn.MAXIFS($F$14:$F$1213,$A$14:$A$1213,$H186))&gt;1),"",IFERROR(INDEX($E$14:$E$1213,MATCH($H186&amp;"|"&amp;_xlfn.MAXIFS($F$14:$F$1213,$A$14:$A$1213,$H186,$F$14:$F$1213,"&lt;"&amp;_xlfn.MAXIFS($F$14:$F$1213,$A$14:$A$1213,$H186)),$AB$14:$AB$1213,0)),""))</f>
        <v/>
      </c>
      <c r="AN186" s="27">
        <f>IF(OR(NOT(ISNUMBER($AJ186)),NOT(ISNUMBER($AL186)),$AK186=0,$AM186=0),"",IF(OR((($AJ186+$AL186)/($AK186+$AM186))&lt;=0,(($AJ186+$AL186)/($AK186+$AM186))&gt;=1),"",($AJ186/$AK186-$AL186/$AM186)/SQRT((($AJ186+$AL186)/($AK186+$AM186))*(1-(($AJ186+$AL186)/($AK186+$AM186)))*(1/$AK186+1/$AM186))))</f>
        <v/>
      </c>
      <c r="AO186" s="27">
        <f>IF($A186="","",IF(AND(COUNTIFS($A$14:$A$1213,$A186,$F$14:$F$1213,"&gt;=0")=2,IFERROR(INDEX($M$14:$M$313,MATCH($A186,$H$14:$H$313,0)),"Yes")&lt;&gt;"Yes"),1,0))</f>
        <v/>
      </c>
    </row>
    <row r="187" ht="24" customHeight="1">
      <c r="A187" s="19" t="n"/>
      <c r="B187" s="20" t="n"/>
      <c r="C187" s="21">
        <f>IFERROR(AVERAGE(P187:T187),"")</f>
        <v/>
      </c>
      <c r="D187" s="29" t="n"/>
      <c r="E187" s="29" t="n"/>
      <c r="F187" s="30">
        <f>IF(AND(ISNUMBER($D187),ISNUMBER($E187),$E187&gt;0,$D187&lt;=$E187),$D187/$E187,"")</f>
        <v/>
      </c>
      <c r="H187" s="19">
        <f>IFERROR(INDEX($A$14:$A$1213,MATCH(174,$AI$14:$AI$1213,0)),"")</f>
        <v/>
      </c>
      <c r="I187" s="24">
        <f>IF($H187="","",IF(COUNTIFS($A$14:$A$1213,$H187,$C$14:$C$1213,"&gt;=0")=0,"—",IFERROR(INDEX($B$14:$B$1213,MATCH($H187&amp;"|1",$Z$14:$Z$1213,0)),"(tied)")))</f>
        <v/>
      </c>
      <c r="J187" s="25">
        <f>IF($H187="","",IF(OR(COUNTIFS($A$14:$A$1213,$H187,$C$14:$C$1213,"&gt;=0")=0,COUNTIFS($A$14:$A$1213,$H187,$F$14:$F$1213,"&gt;=0")=0),"—",IF(OR(ISERROR(MATCH($H187&amp;"|1",$Z$14:$Z$1213,0)),ISERROR(MATCH($H187&amp;"|1",$AA$14:$AA$1213,0))),"Tie",IF(MATCH($H187&amp;"|1",$Z$14:$Z$1213,0)=MATCH($H187&amp;"|1",$AA$14:$AA$1213,0),"Hit","Miss"))))</f>
        <v/>
      </c>
      <c r="K187" s="24">
        <f>IF($H187="","",IF(COUNTIFS($A$14:$A$1213,$H187,$F$14:$F$1213,"&gt;=0")=0,"—",IFERROR(INDEX($B$14:$B$1213,MATCH($H187&amp;"|1",$AA$14:$AA$1213,0)),"(tied)")))</f>
        <v/>
      </c>
      <c r="L187" s="25">
        <f>IF($H187="","",IF((--(COUNTIFS($A$14:$A$1213,$H187,$P$14:$P$1213,"&gt;=0")&gt;0)+--(COUNTIFS($A$14:$A$1213,$H187,$Q$14:$Q$1213,"&gt;=0")&gt;0)+--(COUNTIFS($A$14:$A$1213,$H187,$R$14:$R$1213,"&gt;=0")&gt;0)+--(COUNTIFS($A$14:$A$1213,$H187,$S$14:$S$1213,"&gt;=0")&gt;0)+--(COUNTIFS($A$14:$A$1213,$H187,$T$14:$T$1213,"&gt;=0")&gt;0))&lt;2,"—",IF(SUMIFS($AH$14:$AH$1213,$A$14:$A$1213,$H187)=0,"Yes","No")))</f>
        <v/>
      </c>
      <c r="M187" s="25">
        <f>IF($H187="","",IF(COUNTIFS($A$14:$A$1213,$H187,$F$14:$F$1213,"&gt;=0")&lt;2,"—",IF(COUNTIFS($A$14:$A$1213,$H187,$F$14:$F$1213,_xlfn.MAXIFS($F$14:$F$1213,$A$14:$A$1213,$H187))&gt;1,"No",IF(NOT(ISNUMBER($AN187)),"—",IF((2*(1-NORMSDIST(ABS($AN187))))&lt;0.05,"Yes","No")))))</f>
        <v/>
      </c>
      <c r="N187" s="21">
        <f>IF($H187="","",IF(NOT(ISNUMBER($AN187)),"—",IF((2*(1-NORMSDIST(ABS($AN187))))&lt;0.001,"&lt;0.001",TEXT((2*(1-NORMSDIST(ABS($AN187)))),"0.000"))))</f>
        <v/>
      </c>
      <c r="P187" s="26" t="n"/>
      <c r="Q187" s="26" t="n"/>
      <c r="R187" s="26" t="n"/>
      <c r="S187" s="26" t="n"/>
      <c r="T187" s="26" t="n"/>
      <c r="V187" s="27">
        <f>IF(ISNUMBER($C187),COUNTIFS($A$14:$A$1213,$A187,$C$14:$C$1213,"&gt;"&amp;$C187)+(COUNTIFS($A$14:$A$1213,$A187,$C$14:$C$1213,"="&amp;$C187)+1)/2,"")</f>
        <v/>
      </c>
      <c r="W187" s="27">
        <f>IF(ISNUMBER($F187),COUNTIFS($A$14:$A$1213,$A187,$F$14:$F$1213,"&gt;"&amp;$F187)+(COUNTIFS($A$14:$A$1213,$A187,$F$14:$F$1213,"="&amp;$F187)+1)/2,"")</f>
        <v/>
      </c>
      <c r="X187" s="27">
        <f>IF(OR(NOT(ISNUMBER($V187)),$AO187=1),"",$V187-(COUNTIFS($A$14:$A$1213,$A187,$C$14:$C$1213,"&gt;=0")+1)/2)</f>
        <v/>
      </c>
      <c r="Y187" s="27">
        <f>IF(OR(NOT(ISNUMBER($W187)),$AO187=1),"",$W187-(COUNTIFS($A$14:$A$1213,$A187,$F$14:$F$1213,"&gt;=0")+1)/2)</f>
        <v/>
      </c>
      <c r="Z187" s="27">
        <f>IF(ISNUMBER($V187),$A187&amp;"|"&amp;$V187,"")</f>
        <v/>
      </c>
      <c r="AA187" s="27">
        <f>IF(ISNUMBER($W187),$A187&amp;"|"&amp;$W187,"")</f>
        <v/>
      </c>
      <c r="AB187" s="27">
        <f>IF(ISNUMBER($F187),$A187&amp;"|"&amp;$F187,"")</f>
        <v/>
      </c>
      <c r="AC187" s="27">
        <f>IF(ISNUMBER($P187),COUNTIFS($A$14:$A$1213,$A187,$P$14:$P$1213,"&gt;"&amp;$P187)+(COUNTIFS($A$14:$A$1213,$A187,$P$14:$P$1213,"="&amp;$P187)+1)/2,"")</f>
        <v/>
      </c>
      <c r="AD187" s="27">
        <f>IF(ISNUMBER($Q187),COUNTIFS($A$14:$A$1213,$A187,$Q$14:$Q$1213,"&gt;"&amp;$Q187)+(COUNTIFS($A$14:$A$1213,$A187,$Q$14:$Q$1213,"="&amp;$Q187)+1)/2,"")</f>
        <v/>
      </c>
      <c r="AE187" s="27">
        <f>IF(ISNUMBER($R187),COUNTIFS($A$14:$A$1213,$A187,$R$14:$R$1213,"&gt;"&amp;$R187)+(COUNTIFS($A$14:$A$1213,$A187,$R$14:$R$1213,"="&amp;$R187)+1)/2,"")</f>
        <v/>
      </c>
      <c r="AF187" s="27">
        <f>IF(ISNUMBER($S187),COUNTIFS($A$14:$A$1213,$A187,$S$14:$S$1213,"&gt;"&amp;$S187)+(COUNTIFS($A$14:$A$1213,$A187,$S$14:$S$1213,"="&amp;$S187)+1)/2,"")</f>
        <v/>
      </c>
      <c r="AG187" s="27">
        <f>IF(ISNUMBER($T187),COUNTIFS($A$14:$A$1213,$A187,$T$14:$T$1213,"&gt;"&amp;$T187)+(COUNTIFS($A$14:$A$1213,$A187,$T$14:$T$1213,"="&amp;$T187)+1)/2,"")</f>
        <v/>
      </c>
      <c r="AH187" s="27">
        <f>IF(COUNT($AC187:$AG187)&lt;2,"",IF(MAX($AC187:$AG187)=MIN($AC187:$AG187),0,1))</f>
        <v/>
      </c>
      <c r="AI187" s="27">
        <f>IF($A187="","",IF(COUNTIF($A$14:$A187,$A187)=1,COUNTIF($AI$13:AI186,"&gt;0")+1,""))</f>
        <v/>
      </c>
      <c r="AJ187" s="27">
        <f>IF(OR($H187="",COUNTIFS($A$14:$A$1213,$H187,$F$14:$F$1213,"&gt;=0")&lt;2,COUNTIFS($A$14:$A$1213,$H187,$F$14:$F$1213,_xlfn.MAXIFS($F$14:$F$1213,$A$14:$A$1213,$H187))&gt;1),"",IFERROR(INDEX($D$14:$D$1213,MATCH($H187&amp;"|"&amp;_xlfn.MAXIFS($F$14:$F$1213,$A$14:$A$1213,$H187),$AB$14:$AB$1213,0)),""))</f>
        <v/>
      </c>
      <c r="AK187" s="27">
        <f>IF(OR($H187="",COUNTIFS($A$14:$A$1213,$H187,$F$14:$F$1213,"&gt;=0")&lt;2,COUNTIFS($A$14:$A$1213,$H187,$F$14:$F$1213,_xlfn.MAXIFS($F$14:$F$1213,$A$14:$A$1213,$H187))&gt;1),"",IFERROR(INDEX($E$14:$E$1213,MATCH($H187&amp;"|"&amp;_xlfn.MAXIFS($F$14:$F$1213,$A$14:$A$1213,$H187),$AB$14:$AB$1213,0)),""))</f>
        <v/>
      </c>
      <c r="AL187" s="27">
        <f>IF(OR($H187="",COUNTIFS($A$14:$A$1213,$H187,$F$14:$F$1213,"&gt;=0")&lt;2,COUNTIFS($A$14:$A$1213,$H187,$F$14:$F$1213,_xlfn.MAXIFS($F$14:$F$1213,$A$14:$A$1213,$H187))&gt;1),"",IFERROR(INDEX($D$14:$D$1213,MATCH($H187&amp;"|"&amp;_xlfn.MAXIFS($F$14:$F$1213,$A$14:$A$1213,$H187,$F$14:$F$1213,"&lt;"&amp;_xlfn.MAXIFS($F$14:$F$1213,$A$14:$A$1213,$H187)),$AB$14:$AB$1213,0)),""))</f>
        <v/>
      </c>
      <c r="AM187" s="27">
        <f>IF(OR($H187="",COUNTIFS($A$14:$A$1213,$H187,$F$14:$F$1213,"&gt;=0")&lt;2,COUNTIFS($A$14:$A$1213,$H187,$F$14:$F$1213,_xlfn.MAXIFS($F$14:$F$1213,$A$14:$A$1213,$H187))&gt;1),"",IFERROR(INDEX($E$14:$E$1213,MATCH($H187&amp;"|"&amp;_xlfn.MAXIFS($F$14:$F$1213,$A$14:$A$1213,$H187,$F$14:$F$1213,"&lt;"&amp;_xlfn.MAXIFS($F$14:$F$1213,$A$14:$A$1213,$H187)),$AB$14:$AB$1213,0)),""))</f>
        <v/>
      </c>
      <c r="AN187" s="27">
        <f>IF(OR(NOT(ISNUMBER($AJ187)),NOT(ISNUMBER($AL187)),$AK187=0,$AM187=0),"",IF(OR((($AJ187+$AL187)/($AK187+$AM187))&lt;=0,(($AJ187+$AL187)/($AK187+$AM187))&gt;=1),"",($AJ187/$AK187-$AL187/$AM187)/SQRT((($AJ187+$AL187)/($AK187+$AM187))*(1-(($AJ187+$AL187)/($AK187+$AM187)))*(1/$AK187+1/$AM187))))</f>
        <v/>
      </c>
      <c r="AO187" s="27">
        <f>IF($A187="","",IF(AND(COUNTIFS($A$14:$A$1213,$A187,$F$14:$F$1213,"&gt;=0")=2,IFERROR(INDEX($M$14:$M$313,MATCH($A187,$H$14:$H$313,0)),"Yes")&lt;&gt;"Yes"),1,0))</f>
        <v/>
      </c>
    </row>
    <row r="188" ht="24" customHeight="1">
      <c r="A188" s="19" t="n"/>
      <c r="B188" s="20" t="n"/>
      <c r="C188" s="21">
        <f>IFERROR(AVERAGE(P188:T188),"")</f>
        <v/>
      </c>
      <c r="D188" s="29" t="n"/>
      <c r="E188" s="29" t="n"/>
      <c r="F188" s="30">
        <f>IF(AND(ISNUMBER($D188),ISNUMBER($E188),$E188&gt;0,$D188&lt;=$E188),$D188/$E188,"")</f>
        <v/>
      </c>
      <c r="H188" s="19">
        <f>IFERROR(INDEX($A$14:$A$1213,MATCH(175,$AI$14:$AI$1213,0)),"")</f>
        <v/>
      </c>
      <c r="I188" s="24">
        <f>IF($H188="","",IF(COUNTIFS($A$14:$A$1213,$H188,$C$14:$C$1213,"&gt;=0")=0,"—",IFERROR(INDEX($B$14:$B$1213,MATCH($H188&amp;"|1",$Z$14:$Z$1213,0)),"(tied)")))</f>
        <v/>
      </c>
      <c r="J188" s="25">
        <f>IF($H188="","",IF(OR(COUNTIFS($A$14:$A$1213,$H188,$C$14:$C$1213,"&gt;=0")=0,COUNTIFS($A$14:$A$1213,$H188,$F$14:$F$1213,"&gt;=0")=0),"—",IF(OR(ISERROR(MATCH($H188&amp;"|1",$Z$14:$Z$1213,0)),ISERROR(MATCH($H188&amp;"|1",$AA$14:$AA$1213,0))),"Tie",IF(MATCH($H188&amp;"|1",$Z$14:$Z$1213,0)=MATCH($H188&amp;"|1",$AA$14:$AA$1213,0),"Hit","Miss"))))</f>
        <v/>
      </c>
      <c r="K188" s="24">
        <f>IF($H188="","",IF(COUNTIFS($A$14:$A$1213,$H188,$F$14:$F$1213,"&gt;=0")=0,"—",IFERROR(INDEX($B$14:$B$1213,MATCH($H188&amp;"|1",$AA$14:$AA$1213,0)),"(tied)")))</f>
        <v/>
      </c>
      <c r="L188" s="25">
        <f>IF($H188="","",IF((--(COUNTIFS($A$14:$A$1213,$H188,$P$14:$P$1213,"&gt;=0")&gt;0)+--(COUNTIFS($A$14:$A$1213,$H188,$Q$14:$Q$1213,"&gt;=0")&gt;0)+--(COUNTIFS($A$14:$A$1213,$H188,$R$14:$R$1213,"&gt;=0")&gt;0)+--(COUNTIFS($A$14:$A$1213,$H188,$S$14:$S$1213,"&gt;=0")&gt;0)+--(COUNTIFS($A$14:$A$1213,$H188,$T$14:$T$1213,"&gt;=0")&gt;0))&lt;2,"—",IF(SUMIFS($AH$14:$AH$1213,$A$14:$A$1213,$H188)=0,"Yes","No")))</f>
        <v/>
      </c>
      <c r="M188" s="25">
        <f>IF($H188="","",IF(COUNTIFS($A$14:$A$1213,$H188,$F$14:$F$1213,"&gt;=0")&lt;2,"—",IF(COUNTIFS($A$14:$A$1213,$H188,$F$14:$F$1213,_xlfn.MAXIFS($F$14:$F$1213,$A$14:$A$1213,$H188))&gt;1,"No",IF(NOT(ISNUMBER($AN188)),"—",IF((2*(1-NORMSDIST(ABS($AN188))))&lt;0.05,"Yes","No")))))</f>
        <v/>
      </c>
      <c r="N188" s="21">
        <f>IF($H188="","",IF(NOT(ISNUMBER($AN188)),"—",IF((2*(1-NORMSDIST(ABS($AN188))))&lt;0.001,"&lt;0.001",TEXT((2*(1-NORMSDIST(ABS($AN188)))),"0.000"))))</f>
        <v/>
      </c>
      <c r="P188" s="26" t="n"/>
      <c r="Q188" s="26" t="n"/>
      <c r="R188" s="26" t="n"/>
      <c r="S188" s="26" t="n"/>
      <c r="T188" s="26" t="n"/>
      <c r="V188" s="27">
        <f>IF(ISNUMBER($C188),COUNTIFS($A$14:$A$1213,$A188,$C$14:$C$1213,"&gt;"&amp;$C188)+(COUNTIFS($A$14:$A$1213,$A188,$C$14:$C$1213,"="&amp;$C188)+1)/2,"")</f>
        <v/>
      </c>
      <c r="W188" s="27">
        <f>IF(ISNUMBER($F188),COUNTIFS($A$14:$A$1213,$A188,$F$14:$F$1213,"&gt;"&amp;$F188)+(COUNTIFS($A$14:$A$1213,$A188,$F$14:$F$1213,"="&amp;$F188)+1)/2,"")</f>
        <v/>
      </c>
      <c r="X188" s="27">
        <f>IF(OR(NOT(ISNUMBER($V188)),$AO188=1),"",$V188-(COUNTIFS($A$14:$A$1213,$A188,$C$14:$C$1213,"&gt;=0")+1)/2)</f>
        <v/>
      </c>
      <c r="Y188" s="27">
        <f>IF(OR(NOT(ISNUMBER($W188)),$AO188=1),"",$W188-(COUNTIFS($A$14:$A$1213,$A188,$F$14:$F$1213,"&gt;=0")+1)/2)</f>
        <v/>
      </c>
      <c r="Z188" s="27">
        <f>IF(ISNUMBER($V188),$A188&amp;"|"&amp;$V188,"")</f>
        <v/>
      </c>
      <c r="AA188" s="27">
        <f>IF(ISNUMBER($W188),$A188&amp;"|"&amp;$W188,"")</f>
        <v/>
      </c>
      <c r="AB188" s="27">
        <f>IF(ISNUMBER($F188),$A188&amp;"|"&amp;$F188,"")</f>
        <v/>
      </c>
      <c r="AC188" s="27">
        <f>IF(ISNUMBER($P188),COUNTIFS($A$14:$A$1213,$A188,$P$14:$P$1213,"&gt;"&amp;$P188)+(COUNTIFS($A$14:$A$1213,$A188,$P$14:$P$1213,"="&amp;$P188)+1)/2,"")</f>
        <v/>
      </c>
      <c r="AD188" s="27">
        <f>IF(ISNUMBER($Q188),COUNTIFS($A$14:$A$1213,$A188,$Q$14:$Q$1213,"&gt;"&amp;$Q188)+(COUNTIFS($A$14:$A$1213,$A188,$Q$14:$Q$1213,"="&amp;$Q188)+1)/2,"")</f>
        <v/>
      </c>
      <c r="AE188" s="27">
        <f>IF(ISNUMBER($R188),COUNTIFS($A$14:$A$1213,$A188,$R$14:$R$1213,"&gt;"&amp;$R188)+(COUNTIFS($A$14:$A$1213,$A188,$R$14:$R$1213,"="&amp;$R188)+1)/2,"")</f>
        <v/>
      </c>
      <c r="AF188" s="27">
        <f>IF(ISNUMBER($S188),COUNTIFS($A$14:$A$1213,$A188,$S$14:$S$1213,"&gt;"&amp;$S188)+(COUNTIFS($A$14:$A$1213,$A188,$S$14:$S$1213,"="&amp;$S188)+1)/2,"")</f>
        <v/>
      </c>
      <c r="AG188" s="27">
        <f>IF(ISNUMBER($T188),COUNTIFS($A$14:$A$1213,$A188,$T$14:$T$1213,"&gt;"&amp;$T188)+(COUNTIFS($A$14:$A$1213,$A188,$T$14:$T$1213,"="&amp;$T188)+1)/2,"")</f>
        <v/>
      </c>
      <c r="AH188" s="27">
        <f>IF(COUNT($AC188:$AG188)&lt;2,"",IF(MAX($AC188:$AG188)=MIN($AC188:$AG188),0,1))</f>
        <v/>
      </c>
      <c r="AI188" s="27">
        <f>IF($A188="","",IF(COUNTIF($A$14:$A188,$A188)=1,COUNTIF($AI$13:AI187,"&gt;0")+1,""))</f>
        <v/>
      </c>
      <c r="AJ188" s="27">
        <f>IF(OR($H188="",COUNTIFS($A$14:$A$1213,$H188,$F$14:$F$1213,"&gt;=0")&lt;2,COUNTIFS($A$14:$A$1213,$H188,$F$14:$F$1213,_xlfn.MAXIFS($F$14:$F$1213,$A$14:$A$1213,$H188))&gt;1),"",IFERROR(INDEX($D$14:$D$1213,MATCH($H188&amp;"|"&amp;_xlfn.MAXIFS($F$14:$F$1213,$A$14:$A$1213,$H188),$AB$14:$AB$1213,0)),""))</f>
        <v/>
      </c>
      <c r="AK188" s="27">
        <f>IF(OR($H188="",COUNTIFS($A$14:$A$1213,$H188,$F$14:$F$1213,"&gt;=0")&lt;2,COUNTIFS($A$14:$A$1213,$H188,$F$14:$F$1213,_xlfn.MAXIFS($F$14:$F$1213,$A$14:$A$1213,$H188))&gt;1),"",IFERROR(INDEX($E$14:$E$1213,MATCH($H188&amp;"|"&amp;_xlfn.MAXIFS($F$14:$F$1213,$A$14:$A$1213,$H188),$AB$14:$AB$1213,0)),""))</f>
        <v/>
      </c>
      <c r="AL188" s="27">
        <f>IF(OR($H188="",COUNTIFS($A$14:$A$1213,$H188,$F$14:$F$1213,"&gt;=0")&lt;2,COUNTIFS($A$14:$A$1213,$H188,$F$14:$F$1213,_xlfn.MAXIFS($F$14:$F$1213,$A$14:$A$1213,$H188))&gt;1),"",IFERROR(INDEX($D$14:$D$1213,MATCH($H188&amp;"|"&amp;_xlfn.MAXIFS($F$14:$F$1213,$A$14:$A$1213,$H188,$F$14:$F$1213,"&lt;"&amp;_xlfn.MAXIFS($F$14:$F$1213,$A$14:$A$1213,$H188)),$AB$14:$AB$1213,0)),""))</f>
        <v/>
      </c>
      <c r="AM188" s="27">
        <f>IF(OR($H188="",COUNTIFS($A$14:$A$1213,$H188,$F$14:$F$1213,"&gt;=0")&lt;2,COUNTIFS($A$14:$A$1213,$H188,$F$14:$F$1213,_xlfn.MAXIFS($F$14:$F$1213,$A$14:$A$1213,$H188))&gt;1),"",IFERROR(INDEX($E$14:$E$1213,MATCH($H188&amp;"|"&amp;_xlfn.MAXIFS($F$14:$F$1213,$A$14:$A$1213,$H188,$F$14:$F$1213,"&lt;"&amp;_xlfn.MAXIFS($F$14:$F$1213,$A$14:$A$1213,$H188)),$AB$14:$AB$1213,0)),""))</f>
        <v/>
      </c>
      <c r="AN188" s="27">
        <f>IF(OR(NOT(ISNUMBER($AJ188)),NOT(ISNUMBER($AL188)),$AK188=0,$AM188=0),"",IF(OR((($AJ188+$AL188)/($AK188+$AM188))&lt;=0,(($AJ188+$AL188)/($AK188+$AM188))&gt;=1),"",($AJ188/$AK188-$AL188/$AM188)/SQRT((($AJ188+$AL188)/($AK188+$AM188))*(1-(($AJ188+$AL188)/($AK188+$AM188)))*(1/$AK188+1/$AM188))))</f>
        <v/>
      </c>
      <c r="AO188" s="27">
        <f>IF($A188="","",IF(AND(COUNTIFS($A$14:$A$1213,$A188,$F$14:$F$1213,"&gt;=0")=2,IFERROR(INDEX($M$14:$M$313,MATCH($A188,$H$14:$H$313,0)),"Yes")&lt;&gt;"Yes"),1,0))</f>
        <v/>
      </c>
    </row>
    <row r="189" ht="24" customHeight="1">
      <c r="A189" s="19" t="n"/>
      <c r="B189" s="20" t="n"/>
      <c r="C189" s="21">
        <f>IFERROR(AVERAGE(P189:T189),"")</f>
        <v/>
      </c>
      <c r="D189" s="29" t="n"/>
      <c r="E189" s="29" t="n"/>
      <c r="F189" s="30">
        <f>IF(AND(ISNUMBER($D189),ISNUMBER($E189),$E189&gt;0,$D189&lt;=$E189),$D189/$E189,"")</f>
        <v/>
      </c>
      <c r="H189" s="19">
        <f>IFERROR(INDEX($A$14:$A$1213,MATCH(176,$AI$14:$AI$1213,0)),"")</f>
        <v/>
      </c>
      <c r="I189" s="24">
        <f>IF($H189="","",IF(COUNTIFS($A$14:$A$1213,$H189,$C$14:$C$1213,"&gt;=0")=0,"—",IFERROR(INDEX($B$14:$B$1213,MATCH($H189&amp;"|1",$Z$14:$Z$1213,0)),"(tied)")))</f>
        <v/>
      </c>
      <c r="J189" s="25">
        <f>IF($H189="","",IF(OR(COUNTIFS($A$14:$A$1213,$H189,$C$14:$C$1213,"&gt;=0")=0,COUNTIFS($A$14:$A$1213,$H189,$F$14:$F$1213,"&gt;=0")=0),"—",IF(OR(ISERROR(MATCH($H189&amp;"|1",$Z$14:$Z$1213,0)),ISERROR(MATCH($H189&amp;"|1",$AA$14:$AA$1213,0))),"Tie",IF(MATCH($H189&amp;"|1",$Z$14:$Z$1213,0)=MATCH($H189&amp;"|1",$AA$14:$AA$1213,0),"Hit","Miss"))))</f>
        <v/>
      </c>
      <c r="K189" s="24">
        <f>IF($H189="","",IF(COUNTIFS($A$14:$A$1213,$H189,$F$14:$F$1213,"&gt;=0")=0,"—",IFERROR(INDEX($B$14:$B$1213,MATCH($H189&amp;"|1",$AA$14:$AA$1213,0)),"(tied)")))</f>
        <v/>
      </c>
      <c r="L189" s="25">
        <f>IF($H189="","",IF((--(COUNTIFS($A$14:$A$1213,$H189,$P$14:$P$1213,"&gt;=0")&gt;0)+--(COUNTIFS($A$14:$A$1213,$H189,$Q$14:$Q$1213,"&gt;=0")&gt;0)+--(COUNTIFS($A$14:$A$1213,$H189,$R$14:$R$1213,"&gt;=0")&gt;0)+--(COUNTIFS($A$14:$A$1213,$H189,$S$14:$S$1213,"&gt;=0")&gt;0)+--(COUNTIFS($A$14:$A$1213,$H189,$T$14:$T$1213,"&gt;=0")&gt;0))&lt;2,"—",IF(SUMIFS($AH$14:$AH$1213,$A$14:$A$1213,$H189)=0,"Yes","No")))</f>
        <v/>
      </c>
      <c r="M189" s="25">
        <f>IF($H189="","",IF(COUNTIFS($A$14:$A$1213,$H189,$F$14:$F$1213,"&gt;=0")&lt;2,"—",IF(COUNTIFS($A$14:$A$1213,$H189,$F$14:$F$1213,_xlfn.MAXIFS($F$14:$F$1213,$A$14:$A$1213,$H189))&gt;1,"No",IF(NOT(ISNUMBER($AN189)),"—",IF((2*(1-NORMSDIST(ABS($AN189))))&lt;0.05,"Yes","No")))))</f>
        <v/>
      </c>
      <c r="N189" s="21">
        <f>IF($H189="","",IF(NOT(ISNUMBER($AN189)),"—",IF((2*(1-NORMSDIST(ABS($AN189))))&lt;0.001,"&lt;0.001",TEXT((2*(1-NORMSDIST(ABS($AN189)))),"0.000"))))</f>
        <v/>
      </c>
      <c r="P189" s="26" t="n"/>
      <c r="Q189" s="26" t="n"/>
      <c r="R189" s="26" t="n"/>
      <c r="S189" s="26" t="n"/>
      <c r="T189" s="26" t="n"/>
      <c r="V189" s="27">
        <f>IF(ISNUMBER($C189),COUNTIFS($A$14:$A$1213,$A189,$C$14:$C$1213,"&gt;"&amp;$C189)+(COUNTIFS($A$14:$A$1213,$A189,$C$14:$C$1213,"="&amp;$C189)+1)/2,"")</f>
        <v/>
      </c>
      <c r="W189" s="27">
        <f>IF(ISNUMBER($F189),COUNTIFS($A$14:$A$1213,$A189,$F$14:$F$1213,"&gt;"&amp;$F189)+(COUNTIFS($A$14:$A$1213,$A189,$F$14:$F$1213,"="&amp;$F189)+1)/2,"")</f>
        <v/>
      </c>
      <c r="X189" s="27">
        <f>IF(OR(NOT(ISNUMBER($V189)),$AO189=1),"",$V189-(COUNTIFS($A$14:$A$1213,$A189,$C$14:$C$1213,"&gt;=0")+1)/2)</f>
        <v/>
      </c>
      <c r="Y189" s="27">
        <f>IF(OR(NOT(ISNUMBER($W189)),$AO189=1),"",$W189-(COUNTIFS($A$14:$A$1213,$A189,$F$14:$F$1213,"&gt;=0")+1)/2)</f>
        <v/>
      </c>
      <c r="Z189" s="27">
        <f>IF(ISNUMBER($V189),$A189&amp;"|"&amp;$V189,"")</f>
        <v/>
      </c>
      <c r="AA189" s="27">
        <f>IF(ISNUMBER($W189),$A189&amp;"|"&amp;$W189,"")</f>
        <v/>
      </c>
      <c r="AB189" s="27">
        <f>IF(ISNUMBER($F189),$A189&amp;"|"&amp;$F189,"")</f>
        <v/>
      </c>
      <c r="AC189" s="27">
        <f>IF(ISNUMBER($P189),COUNTIFS($A$14:$A$1213,$A189,$P$14:$P$1213,"&gt;"&amp;$P189)+(COUNTIFS($A$14:$A$1213,$A189,$P$14:$P$1213,"="&amp;$P189)+1)/2,"")</f>
        <v/>
      </c>
      <c r="AD189" s="27">
        <f>IF(ISNUMBER($Q189),COUNTIFS($A$14:$A$1213,$A189,$Q$14:$Q$1213,"&gt;"&amp;$Q189)+(COUNTIFS($A$14:$A$1213,$A189,$Q$14:$Q$1213,"="&amp;$Q189)+1)/2,"")</f>
        <v/>
      </c>
      <c r="AE189" s="27">
        <f>IF(ISNUMBER($R189),COUNTIFS($A$14:$A$1213,$A189,$R$14:$R$1213,"&gt;"&amp;$R189)+(COUNTIFS($A$14:$A$1213,$A189,$R$14:$R$1213,"="&amp;$R189)+1)/2,"")</f>
        <v/>
      </c>
      <c r="AF189" s="27">
        <f>IF(ISNUMBER($S189),COUNTIFS($A$14:$A$1213,$A189,$S$14:$S$1213,"&gt;"&amp;$S189)+(COUNTIFS($A$14:$A$1213,$A189,$S$14:$S$1213,"="&amp;$S189)+1)/2,"")</f>
        <v/>
      </c>
      <c r="AG189" s="27">
        <f>IF(ISNUMBER($T189),COUNTIFS($A$14:$A$1213,$A189,$T$14:$T$1213,"&gt;"&amp;$T189)+(COUNTIFS($A$14:$A$1213,$A189,$T$14:$T$1213,"="&amp;$T189)+1)/2,"")</f>
        <v/>
      </c>
      <c r="AH189" s="27">
        <f>IF(COUNT($AC189:$AG189)&lt;2,"",IF(MAX($AC189:$AG189)=MIN($AC189:$AG189),0,1))</f>
        <v/>
      </c>
      <c r="AI189" s="27">
        <f>IF($A189="","",IF(COUNTIF($A$14:$A189,$A189)=1,COUNTIF($AI$13:AI188,"&gt;0")+1,""))</f>
        <v/>
      </c>
      <c r="AJ189" s="27">
        <f>IF(OR($H189="",COUNTIFS($A$14:$A$1213,$H189,$F$14:$F$1213,"&gt;=0")&lt;2,COUNTIFS($A$14:$A$1213,$H189,$F$14:$F$1213,_xlfn.MAXIFS($F$14:$F$1213,$A$14:$A$1213,$H189))&gt;1),"",IFERROR(INDEX($D$14:$D$1213,MATCH($H189&amp;"|"&amp;_xlfn.MAXIFS($F$14:$F$1213,$A$14:$A$1213,$H189),$AB$14:$AB$1213,0)),""))</f>
        <v/>
      </c>
      <c r="AK189" s="27">
        <f>IF(OR($H189="",COUNTIFS($A$14:$A$1213,$H189,$F$14:$F$1213,"&gt;=0")&lt;2,COUNTIFS($A$14:$A$1213,$H189,$F$14:$F$1213,_xlfn.MAXIFS($F$14:$F$1213,$A$14:$A$1213,$H189))&gt;1),"",IFERROR(INDEX($E$14:$E$1213,MATCH($H189&amp;"|"&amp;_xlfn.MAXIFS($F$14:$F$1213,$A$14:$A$1213,$H189),$AB$14:$AB$1213,0)),""))</f>
        <v/>
      </c>
      <c r="AL189" s="27">
        <f>IF(OR($H189="",COUNTIFS($A$14:$A$1213,$H189,$F$14:$F$1213,"&gt;=0")&lt;2,COUNTIFS($A$14:$A$1213,$H189,$F$14:$F$1213,_xlfn.MAXIFS($F$14:$F$1213,$A$14:$A$1213,$H189))&gt;1),"",IFERROR(INDEX($D$14:$D$1213,MATCH($H189&amp;"|"&amp;_xlfn.MAXIFS($F$14:$F$1213,$A$14:$A$1213,$H189,$F$14:$F$1213,"&lt;"&amp;_xlfn.MAXIFS($F$14:$F$1213,$A$14:$A$1213,$H189)),$AB$14:$AB$1213,0)),""))</f>
        <v/>
      </c>
      <c r="AM189" s="27">
        <f>IF(OR($H189="",COUNTIFS($A$14:$A$1213,$H189,$F$14:$F$1213,"&gt;=0")&lt;2,COUNTIFS($A$14:$A$1213,$H189,$F$14:$F$1213,_xlfn.MAXIFS($F$14:$F$1213,$A$14:$A$1213,$H189))&gt;1),"",IFERROR(INDEX($E$14:$E$1213,MATCH($H189&amp;"|"&amp;_xlfn.MAXIFS($F$14:$F$1213,$A$14:$A$1213,$H189,$F$14:$F$1213,"&lt;"&amp;_xlfn.MAXIFS($F$14:$F$1213,$A$14:$A$1213,$H189)),$AB$14:$AB$1213,0)),""))</f>
        <v/>
      </c>
      <c r="AN189" s="27">
        <f>IF(OR(NOT(ISNUMBER($AJ189)),NOT(ISNUMBER($AL189)),$AK189=0,$AM189=0),"",IF(OR((($AJ189+$AL189)/($AK189+$AM189))&lt;=0,(($AJ189+$AL189)/($AK189+$AM189))&gt;=1),"",($AJ189/$AK189-$AL189/$AM189)/SQRT((($AJ189+$AL189)/($AK189+$AM189))*(1-(($AJ189+$AL189)/($AK189+$AM189)))*(1/$AK189+1/$AM189))))</f>
        <v/>
      </c>
      <c r="AO189" s="27">
        <f>IF($A189="","",IF(AND(COUNTIFS($A$14:$A$1213,$A189,$F$14:$F$1213,"&gt;=0")=2,IFERROR(INDEX($M$14:$M$313,MATCH($A189,$H$14:$H$313,0)),"Yes")&lt;&gt;"Yes"),1,0))</f>
        <v/>
      </c>
    </row>
    <row r="190" ht="24" customHeight="1">
      <c r="A190" s="19" t="n"/>
      <c r="B190" s="20" t="n"/>
      <c r="C190" s="21">
        <f>IFERROR(AVERAGE(P190:T190),"")</f>
        <v/>
      </c>
      <c r="D190" s="29" t="n"/>
      <c r="E190" s="29" t="n"/>
      <c r="F190" s="30">
        <f>IF(AND(ISNUMBER($D190),ISNUMBER($E190),$E190&gt;0,$D190&lt;=$E190),$D190/$E190,"")</f>
        <v/>
      </c>
      <c r="H190" s="19">
        <f>IFERROR(INDEX($A$14:$A$1213,MATCH(177,$AI$14:$AI$1213,0)),"")</f>
        <v/>
      </c>
      <c r="I190" s="24">
        <f>IF($H190="","",IF(COUNTIFS($A$14:$A$1213,$H190,$C$14:$C$1213,"&gt;=0")=0,"—",IFERROR(INDEX($B$14:$B$1213,MATCH($H190&amp;"|1",$Z$14:$Z$1213,0)),"(tied)")))</f>
        <v/>
      </c>
      <c r="J190" s="25">
        <f>IF($H190="","",IF(OR(COUNTIFS($A$14:$A$1213,$H190,$C$14:$C$1213,"&gt;=0")=0,COUNTIFS($A$14:$A$1213,$H190,$F$14:$F$1213,"&gt;=0")=0),"—",IF(OR(ISERROR(MATCH($H190&amp;"|1",$Z$14:$Z$1213,0)),ISERROR(MATCH($H190&amp;"|1",$AA$14:$AA$1213,0))),"Tie",IF(MATCH($H190&amp;"|1",$Z$14:$Z$1213,0)=MATCH($H190&amp;"|1",$AA$14:$AA$1213,0),"Hit","Miss"))))</f>
        <v/>
      </c>
      <c r="K190" s="24">
        <f>IF($H190="","",IF(COUNTIFS($A$14:$A$1213,$H190,$F$14:$F$1213,"&gt;=0")=0,"—",IFERROR(INDEX($B$14:$B$1213,MATCH($H190&amp;"|1",$AA$14:$AA$1213,0)),"(tied)")))</f>
        <v/>
      </c>
      <c r="L190" s="25">
        <f>IF($H190="","",IF((--(COUNTIFS($A$14:$A$1213,$H190,$P$14:$P$1213,"&gt;=0")&gt;0)+--(COUNTIFS($A$14:$A$1213,$H190,$Q$14:$Q$1213,"&gt;=0")&gt;0)+--(COUNTIFS($A$14:$A$1213,$H190,$R$14:$R$1213,"&gt;=0")&gt;0)+--(COUNTIFS($A$14:$A$1213,$H190,$S$14:$S$1213,"&gt;=0")&gt;0)+--(COUNTIFS($A$14:$A$1213,$H190,$T$14:$T$1213,"&gt;=0")&gt;0))&lt;2,"—",IF(SUMIFS($AH$14:$AH$1213,$A$14:$A$1213,$H190)=0,"Yes","No")))</f>
        <v/>
      </c>
      <c r="M190" s="25">
        <f>IF($H190="","",IF(COUNTIFS($A$14:$A$1213,$H190,$F$14:$F$1213,"&gt;=0")&lt;2,"—",IF(COUNTIFS($A$14:$A$1213,$H190,$F$14:$F$1213,_xlfn.MAXIFS($F$14:$F$1213,$A$14:$A$1213,$H190))&gt;1,"No",IF(NOT(ISNUMBER($AN190)),"—",IF((2*(1-NORMSDIST(ABS($AN190))))&lt;0.05,"Yes","No")))))</f>
        <v/>
      </c>
      <c r="N190" s="21">
        <f>IF($H190="","",IF(NOT(ISNUMBER($AN190)),"—",IF((2*(1-NORMSDIST(ABS($AN190))))&lt;0.001,"&lt;0.001",TEXT((2*(1-NORMSDIST(ABS($AN190)))),"0.000"))))</f>
        <v/>
      </c>
      <c r="P190" s="26" t="n"/>
      <c r="Q190" s="26" t="n"/>
      <c r="R190" s="26" t="n"/>
      <c r="S190" s="26" t="n"/>
      <c r="T190" s="26" t="n"/>
      <c r="V190" s="27">
        <f>IF(ISNUMBER($C190),COUNTIFS($A$14:$A$1213,$A190,$C$14:$C$1213,"&gt;"&amp;$C190)+(COUNTIFS($A$14:$A$1213,$A190,$C$14:$C$1213,"="&amp;$C190)+1)/2,"")</f>
        <v/>
      </c>
      <c r="W190" s="27">
        <f>IF(ISNUMBER($F190),COUNTIFS($A$14:$A$1213,$A190,$F$14:$F$1213,"&gt;"&amp;$F190)+(COUNTIFS($A$14:$A$1213,$A190,$F$14:$F$1213,"="&amp;$F190)+1)/2,"")</f>
        <v/>
      </c>
      <c r="X190" s="27">
        <f>IF(OR(NOT(ISNUMBER($V190)),$AO190=1),"",$V190-(COUNTIFS($A$14:$A$1213,$A190,$C$14:$C$1213,"&gt;=0")+1)/2)</f>
        <v/>
      </c>
      <c r="Y190" s="27">
        <f>IF(OR(NOT(ISNUMBER($W190)),$AO190=1),"",$W190-(COUNTIFS($A$14:$A$1213,$A190,$F$14:$F$1213,"&gt;=0")+1)/2)</f>
        <v/>
      </c>
      <c r="Z190" s="27">
        <f>IF(ISNUMBER($V190),$A190&amp;"|"&amp;$V190,"")</f>
        <v/>
      </c>
      <c r="AA190" s="27">
        <f>IF(ISNUMBER($W190),$A190&amp;"|"&amp;$W190,"")</f>
        <v/>
      </c>
      <c r="AB190" s="27">
        <f>IF(ISNUMBER($F190),$A190&amp;"|"&amp;$F190,"")</f>
        <v/>
      </c>
      <c r="AC190" s="27">
        <f>IF(ISNUMBER($P190),COUNTIFS($A$14:$A$1213,$A190,$P$14:$P$1213,"&gt;"&amp;$P190)+(COUNTIFS($A$14:$A$1213,$A190,$P$14:$P$1213,"="&amp;$P190)+1)/2,"")</f>
        <v/>
      </c>
      <c r="AD190" s="27">
        <f>IF(ISNUMBER($Q190),COUNTIFS($A$14:$A$1213,$A190,$Q$14:$Q$1213,"&gt;"&amp;$Q190)+(COUNTIFS($A$14:$A$1213,$A190,$Q$14:$Q$1213,"="&amp;$Q190)+1)/2,"")</f>
        <v/>
      </c>
      <c r="AE190" s="27">
        <f>IF(ISNUMBER($R190),COUNTIFS($A$14:$A$1213,$A190,$R$14:$R$1213,"&gt;"&amp;$R190)+(COUNTIFS($A$14:$A$1213,$A190,$R$14:$R$1213,"="&amp;$R190)+1)/2,"")</f>
        <v/>
      </c>
      <c r="AF190" s="27">
        <f>IF(ISNUMBER($S190),COUNTIFS($A$14:$A$1213,$A190,$S$14:$S$1213,"&gt;"&amp;$S190)+(COUNTIFS($A$14:$A$1213,$A190,$S$14:$S$1213,"="&amp;$S190)+1)/2,"")</f>
        <v/>
      </c>
      <c r="AG190" s="27">
        <f>IF(ISNUMBER($T190),COUNTIFS($A$14:$A$1213,$A190,$T$14:$T$1213,"&gt;"&amp;$T190)+(COUNTIFS($A$14:$A$1213,$A190,$T$14:$T$1213,"="&amp;$T190)+1)/2,"")</f>
        <v/>
      </c>
      <c r="AH190" s="27">
        <f>IF(COUNT($AC190:$AG190)&lt;2,"",IF(MAX($AC190:$AG190)=MIN($AC190:$AG190),0,1))</f>
        <v/>
      </c>
      <c r="AI190" s="27">
        <f>IF($A190="","",IF(COUNTIF($A$14:$A190,$A190)=1,COUNTIF($AI$13:AI189,"&gt;0")+1,""))</f>
        <v/>
      </c>
      <c r="AJ190" s="27">
        <f>IF(OR($H190="",COUNTIFS($A$14:$A$1213,$H190,$F$14:$F$1213,"&gt;=0")&lt;2,COUNTIFS($A$14:$A$1213,$H190,$F$14:$F$1213,_xlfn.MAXIFS($F$14:$F$1213,$A$14:$A$1213,$H190))&gt;1),"",IFERROR(INDEX($D$14:$D$1213,MATCH($H190&amp;"|"&amp;_xlfn.MAXIFS($F$14:$F$1213,$A$14:$A$1213,$H190),$AB$14:$AB$1213,0)),""))</f>
        <v/>
      </c>
      <c r="AK190" s="27">
        <f>IF(OR($H190="",COUNTIFS($A$14:$A$1213,$H190,$F$14:$F$1213,"&gt;=0")&lt;2,COUNTIFS($A$14:$A$1213,$H190,$F$14:$F$1213,_xlfn.MAXIFS($F$14:$F$1213,$A$14:$A$1213,$H190))&gt;1),"",IFERROR(INDEX($E$14:$E$1213,MATCH($H190&amp;"|"&amp;_xlfn.MAXIFS($F$14:$F$1213,$A$14:$A$1213,$H190),$AB$14:$AB$1213,0)),""))</f>
        <v/>
      </c>
      <c r="AL190" s="27">
        <f>IF(OR($H190="",COUNTIFS($A$14:$A$1213,$H190,$F$14:$F$1213,"&gt;=0")&lt;2,COUNTIFS($A$14:$A$1213,$H190,$F$14:$F$1213,_xlfn.MAXIFS($F$14:$F$1213,$A$14:$A$1213,$H190))&gt;1),"",IFERROR(INDEX($D$14:$D$1213,MATCH($H190&amp;"|"&amp;_xlfn.MAXIFS($F$14:$F$1213,$A$14:$A$1213,$H190,$F$14:$F$1213,"&lt;"&amp;_xlfn.MAXIFS($F$14:$F$1213,$A$14:$A$1213,$H190)),$AB$14:$AB$1213,0)),""))</f>
        <v/>
      </c>
      <c r="AM190" s="27">
        <f>IF(OR($H190="",COUNTIFS($A$14:$A$1213,$H190,$F$14:$F$1213,"&gt;=0")&lt;2,COUNTIFS($A$14:$A$1213,$H190,$F$14:$F$1213,_xlfn.MAXIFS($F$14:$F$1213,$A$14:$A$1213,$H190))&gt;1),"",IFERROR(INDEX($E$14:$E$1213,MATCH($H190&amp;"|"&amp;_xlfn.MAXIFS($F$14:$F$1213,$A$14:$A$1213,$H190,$F$14:$F$1213,"&lt;"&amp;_xlfn.MAXIFS($F$14:$F$1213,$A$14:$A$1213,$H190)),$AB$14:$AB$1213,0)),""))</f>
        <v/>
      </c>
      <c r="AN190" s="27">
        <f>IF(OR(NOT(ISNUMBER($AJ190)),NOT(ISNUMBER($AL190)),$AK190=0,$AM190=0),"",IF(OR((($AJ190+$AL190)/($AK190+$AM190))&lt;=0,(($AJ190+$AL190)/($AK190+$AM190))&gt;=1),"",($AJ190/$AK190-$AL190/$AM190)/SQRT((($AJ190+$AL190)/($AK190+$AM190))*(1-(($AJ190+$AL190)/($AK190+$AM190)))*(1/$AK190+1/$AM190))))</f>
        <v/>
      </c>
      <c r="AO190" s="27">
        <f>IF($A190="","",IF(AND(COUNTIFS($A$14:$A$1213,$A190,$F$14:$F$1213,"&gt;=0")=2,IFERROR(INDEX($M$14:$M$313,MATCH($A190,$H$14:$H$313,0)),"Yes")&lt;&gt;"Yes"),1,0))</f>
        <v/>
      </c>
    </row>
    <row r="191" ht="24" customHeight="1">
      <c r="A191" s="19" t="n"/>
      <c r="B191" s="20" t="n"/>
      <c r="C191" s="21">
        <f>IFERROR(AVERAGE(P191:T191),"")</f>
        <v/>
      </c>
      <c r="D191" s="29" t="n"/>
      <c r="E191" s="29" t="n"/>
      <c r="F191" s="30">
        <f>IF(AND(ISNUMBER($D191),ISNUMBER($E191),$E191&gt;0,$D191&lt;=$E191),$D191/$E191,"")</f>
        <v/>
      </c>
      <c r="H191" s="19">
        <f>IFERROR(INDEX($A$14:$A$1213,MATCH(178,$AI$14:$AI$1213,0)),"")</f>
        <v/>
      </c>
      <c r="I191" s="24">
        <f>IF($H191="","",IF(COUNTIFS($A$14:$A$1213,$H191,$C$14:$C$1213,"&gt;=0")=0,"—",IFERROR(INDEX($B$14:$B$1213,MATCH($H191&amp;"|1",$Z$14:$Z$1213,0)),"(tied)")))</f>
        <v/>
      </c>
      <c r="J191" s="25">
        <f>IF($H191="","",IF(OR(COUNTIFS($A$14:$A$1213,$H191,$C$14:$C$1213,"&gt;=0")=0,COUNTIFS($A$14:$A$1213,$H191,$F$14:$F$1213,"&gt;=0")=0),"—",IF(OR(ISERROR(MATCH($H191&amp;"|1",$Z$14:$Z$1213,0)),ISERROR(MATCH($H191&amp;"|1",$AA$14:$AA$1213,0))),"Tie",IF(MATCH($H191&amp;"|1",$Z$14:$Z$1213,0)=MATCH($H191&amp;"|1",$AA$14:$AA$1213,0),"Hit","Miss"))))</f>
        <v/>
      </c>
      <c r="K191" s="24">
        <f>IF($H191="","",IF(COUNTIFS($A$14:$A$1213,$H191,$F$14:$F$1213,"&gt;=0")=0,"—",IFERROR(INDEX($B$14:$B$1213,MATCH($H191&amp;"|1",$AA$14:$AA$1213,0)),"(tied)")))</f>
        <v/>
      </c>
      <c r="L191" s="25">
        <f>IF($H191="","",IF((--(COUNTIFS($A$14:$A$1213,$H191,$P$14:$P$1213,"&gt;=0")&gt;0)+--(COUNTIFS($A$14:$A$1213,$H191,$Q$14:$Q$1213,"&gt;=0")&gt;0)+--(COUNTIFS($A$14:$A$1213,$H191,$R$14:$R$1213,"&gt;=0")&gt;0)+--(COUNTIFS($A$14:$A$1213,$H191,$S$14:$S$1213,"&gt;=0")&gt;0)+--(COUNTIFS($A$14:$A$1213,$H191,$T$14:$T$1213,"&gt;=0")&gt;0))&lt;2,"—",IF(SUMIFS($AH$14:$AH$1213,$A$14:$A$1213,$H191)=0,"Yes","No")))</f>
        <v/>
      </c>
      <c r="M191" s="25">
        <f>IF($H191="","",IF(COUNTIFS($A$14:$A$1213,$H191,$F$14:$F$1213,"&gt;=0")&lt;2,"—",IF(COUNTIFS($A$14:$A$1213,$H191,$F$14:$F$1213,_xlfn.MAXIFS($F$14:$F$1213,$A$14:$A$1213,$H191))&gt;1,"No",IF(NOT(ISNUMBER($AN191)),"—",IF((2*(1-NORMSDIST(ABS($AN191))))&lt;0.05,"Yes","No")))))</f>
        <v/>
      </c>
      <c r="N191" s="21">
        <f>IF($H191="","",IF(NOT(ISNUMBER($AN191)),"—",IF((2*(1-NORMSDIST(ABS($AN191))))&lt;0.001,"&lt;0.001",TEXT((2*(1-NORMSDIST(ABS($AN191)))),"0.000"))))</f>
        <v/>
      </c>
      <c r="P191" s="26" t="n"/>
      <c r="Q191" s="26" t="n"/>
      <c r="R191" s="26" t="n"/>
      <c r="S191" s="26" t="n"/>
      <c r="T191" s="26" t="n"/>
      <c r="V191" s="27">
        <f>IF(ISNUMBER($C191),COUNTIFS($A$14:$A$1213,$A191,$C$14:$C$1213,"&gt;"&amp;$C191)+(COUNTIFS($A$14:$A$1213,$A191,$C$14:$C$1213,"="&amp;$C191)+1)/2,"")</f>
        <v/>
      </c>
      <c r="W191" s="27">
        <f>IF(ISNUMBER($F191),COUNTIFS($A$14:$A$1213,$A191,$F$14:$F$1213,"&gt;"&amp;$F191)+(COUNTIFS($A$14:$A$1213,$A191,$F$14:$F$1213,"="&amp;$F191)+1)/2,"")</f>
        <v/>
      </c>
      <c r="X191" s="27">
        <f>IF(OR(NOT(ISNUMBER($V191)),$AO191=1),"",$V191-(COUNTIFS($A$14:$A$1213,$A191,$C$14:$C$1213,"&gt;=0")+1)/2)</f>
        <v/>
      </c>
      <c r="Y191" s="27">
        <f>IF(OR(NOT(ISNUMBER($W191)),$AO191=1),"",$W191-(COUNTIFS($A$14:$A$1213,$A191,$F$14:$F$1213,"&gt;=0")+1)/2)</f>
        <v/>
      </c>
      <c r="Z191" s="27">
        <f>IF(ISNUMBER($V191),$A191&amp;"|"&amp;$V191,"")</f>
        <v/>
      </c>
      <c r="AA191" s="27">
        <f>IF(ISNUMBER($W191),$A191&amp;"|"&amp;$W191,"")</f>
        <v/>
      </c>
      <c r="AB191" s="27">
        <f>IF(ISNUMBER($F191),$A191&amp;"|"&amp;$F191,"")</f>
        <v/>
      </c>
      <c r="AC191" s="27">
        <f>IF(ISNUMBER($P191),COUNTIFS($A$14:$A$1213,$A191,$P$14:$P$1213,"&gt;"&amp;$P191)+(COUNTIFS($A$14:$A$1213,$A191,$P$14:$P$1213,"="&amp;$P191)+1)/2,"")</f>
        <v/>
      </c>
      <c r="AD191" s="27">
        <f>IF(ISNUMBER($Q191),COUNTIFS($A$14:$A$1213,$A191,$Q$14:$Q$1213,"&gt;"&amp;$Q191)+(COUNTIFS($A$14:$A$1213,$A191,$Q$14:$Q$1213,"="&amp;$Q191)+1)/2,"")</f>
        <v/>
      </c>
      <c r="AE191" s="27">
        <f>IF(ISNUMBER($R191),COUNTIFS($A$14:$A$1213,$A191,$R$14:$R$1213,"&gt;"&amp;$R191)+(COUNTIFS($A$14:$A$1213,$A191,$R$14:$R$1213,"="&amp;$R191)+1)/2,"")</f>
        <v/>
      </c>
      <c r="AF191" s="27">
        <f>IF(ISNUMBER($S191),COUNTIFS($A$14:$A$1213,$A191,$S$14:$S$1213,"&gt;"&amp;$S191)+(COUNTIFS($A$14:$A$1213,$A191,$S$14:$S$1213,"="&amp;$S191)+1)/2,"")</f>
        <v/>
      </c>
      <c r="AG191" s="27">
        <f>IF(ISNUMBER($T191),COUNTIFS($A$14:$A$1213,$A191,$T$14:$T$1213,"&gt;"&amp;$T191)+(COUNTIFS($A$14:$A$1213,$A191,$T$14:$T$1213,"="&amp;$T191)+1)/2,"")</f>
        <v/>
      </c>
      <c r="AH191" s="27">
        <f>IF(COUNT($AC191:$AG191)&lt;2,"",IF(MAX($AC191:$AG191)=MIN($AC191:$AG191),0,1))</f>
        <v/>
      </c>
      <c r="AI191" s="27">
        <f>IF($A191="","",IF(COUNTIF($A$14:$A191,$A191)=1,COUNTIF($AI$13:AI190,"&gt;0")+1,""))</f>
        <v/>
      </c>
      <c r="AJ191" s="27">
        <f>IF(OR($H191="",COUNTIFS($A$14:$A$1213,$H191,$F$14:$F$1213,"&gt;=0")&lt;2,COUNTIFS($A$14:$A$1213,$H191,$F$14:$F$1213,_xlfn.MAXIFS($F$14:$F$1213,$A$14:$A$1213,$H191))&gt;1),"",IFERROR(INDEX($D$14:$D$1213,MATCH($H191&amp;"|"&amp;_xlfn.MAXIFS($F$14:$F$1213,$A$14:$A$1213,$H191),$AB$14:$AB$1213,0)),""))</f>
        <v/>
      </c>
      <c r="AK191" s="27">
        <f>IF(OR($H191="",COUNTIFS($A$14:$A$1213,$H191,$F$14:$F$1213,"&gt;=0")&lt;2,COUNTIFS($A$14:$A$1213,$H191,$F$14:$F$1213,_xlfn.MAXIFS($F$14:$F$1213,$A$14:$A$1213,$H191))&gt;1),"",IFERROR(INDEX($E$14:$E$1213,MATCH($H191&amp;"|"&amp;_xlfn.MAXIFS($F$14:$F$1213,$A$14:$A$1213,$H191),$AB$14:$AB$1213,0)),""))</f>
        <v/>
      </c>
      <c r="AL191" s="27">
        <f>IF(OR($H191="",COUNTIFS($A$14:$A$1213,$H191,$F$14:$F$1213,"&gt;=0")&lt;2,COUNTIFS($A$14:$A$1213,$H191,$F$14:$F$1213,_xlfn.MAXIFS($F$14:$F$1213,$A$14:$A$1213,$H191))&gt;1),"",IFERROR(INDEX($D$14:$D$1213,MATCH($H191&amp;"|"&amp;_xlfn.MAXIFS($F$14:$F$1213,$A$14:$A$1213,$H191,$F$14:$F$1213,"&lt;"&amp;_xlfn.MAXIFS($F$14:$F$1213,$A$14:$A$1213,$H191)),$AB$14:$AB$1213,0)),""))</f>
        <v/>
      </c>
      <c r="AM191" s="27">
        <f>IF(OR($H191="",COUNTIFS($A$14:$A$1213,$H191,$F$14:$F$1213,"&gt;=0")&lt;2,COUNTIFS($A$14:$A$1213,$H191,$F$14:$F$1213,_xlfn.MAXIFS($F$14:$F$1213,$A$14:$A$1213,$H191))&gt;1),"",IFERROR(INDEX($E$14:$E$1213,MATCH($H191&amp;"|"&amp;_xlfn.MAXIFS($F$14:$F$1213,$A$14:$A$1213,$H191,$F$14:$F$1213,"&lt;"&amp;_xlfn.MAXIFS($F$14:$F$1213,$A$14:$A$1213,$H191)),$AB$14:$AB$1213,0)),""))</f>
        <v/>
      </c>
      <c r="AN191" s="27">
        <f>IF(OR(NOT(ISNUMBER($AJ191)),NOT(ISNUMBER($AL191)),$AK191=0,$AM191=0),"",IF(OR((($AJ191+$AL191)/($AK191+$AM191))&lt;=0,(($AJ191+$AL191)/($AK191+$AM191))&gt;=1),"",($AJ191/$AK191-$AL191/$AM191)/SQRT((($AJ191+$AL191)/($AK191+$AM191))*(1-(($AJ191+$AL191)/($AK191+$AM191)))*(1/$AK191+1/$AM191))))</f>
        <v/>
      </c>
      <c r="AO191" s="27">
        <f>IF($A191="","",IF(AND(COUNTIFS($A$14:$A$1213,$A191,$F$14:$F$1213,"&gt;=0")=2,IFERROR(INDEX($M$14:$M$313,MATCH($A191,$H$14:$H$313,0)),"Yes")&lt;&gt;"Yes"),1,0))</f>
        <v/>
      </c>
    </row>
    <row r="192" ht="24" customHeight="1">
      <c r="A192" s="19" t="n"/>
      <c r="B192" s="20" t="n"/>
      <c r="C192" s="21">
        <f>IFERROR(AVERAGE(P192:T192),"")</f>
        <v/>
      </c>
      <c r="D192" s="29" t="n"/>
      <c r="E192" s="29" t="n"/>
      <c r="F192" s="30">
        <f>IF(AND(ISNUMBER($D192),ISNUMBER($E192),$E192&gt;0,$D192&lt;=$E192),$D192/$E192,"")</f>
        <v/>
      </c>
      <c r="H192" s="19">
        <f>IFERROR(INDEX($A$14:$A$1213,MATCH(179,$AI$14:$AI$1213,0)),"")</f>
        <v/>
      </c>
      <c r="I192" s="24">
        <f>IF($H192="","",IF(COUNTIFS($A$14:$A$1213,$H192,$C$14:$C$1213,"&gt;=0")=0,"—",IFERROR(INDEX($B$14:$B$1213,MATCH($H192&amp;"|1",$Z$14:$Z$1213,0)),"(tied)")))</f>
        <v/>
      </c>
      <c r="J192" s="25">
        <f>IF($H192="","",IF(OR(COUNTIFS($A$14:$A$1213,$H192,$C$14:$C$1213,"&gt;=0")=0,COUNTIFS($A$14:$A$1213,$H192,$F$14:$F$1213,"&gt;=0")=0),"—",IF(OR(ISERROR(MATCH($H192&amp;"|1",$Z$14:$Z$1213,0)),ISERROR(MATCH($H192&amp;"|1",$AA$14:$AA$1213,0))),"Tie",IF(MATCH($H192&amp;"|1",$Z$14:$Z$1213,0)=MATCH($H192&amp;"|1",$AA$14:$AA$1213,0),"Hit","Miss"))))</f>
        <v/>
      </c>
      <c r="K192" s="24">
        <f>IF($H192="","",IF(COUNTIFS($A$14:$A$1213,$H192,$F$14:$F$1213,"&gt;=0")=0,"—",IFERROR(INDEX($B$14:$B$1213,MATCH($H192&amp;"|1",$AA$14:$AA$1213,0)),"(tied)")))</f>
        <v/>
      </c>
      <c r="L192" s="25">
        <f>IF($H192="","",IF((--(COUNTIFS($A$14:$A$1213,$H192,$P$14:$P$1213,"&gt;=0")&gt;0)+--(COUNTIFS($A$14:$A$1213,$H192,$Q$14:$Q$1213,"&gt;=0")&gt;0)+--(COUNTIFS($A$14:$A$1213,$H192,$R$14:$R$1213,"&gt;=0")&gt;0)+--(COUNTIFS($A$14:$A$1213,$H192,$S$14:$S$1213,"&gt;=0")&gt;0)+--(COUNTIFS($A$14:$A$1213,$H192,$T$14:$T$1213,"&gt;=0")&gt;0))&lt;2,"—",IF(SUMIFS($AH$14:$AH$1213,$A$14:$A$1213,$H192)=0,"Yes","No")))</f>
        <v/>
      </c>
      <c r="M192" s="25">
        <f>IF($H192="","",IF(COUNTIFS($A$14:$A$1213,$H192,$F$14:$F$1213,"&gt;=0")&lt;2,"—",IF(COUNTIFS($A$14:$A$1213,$H192,$F$14:$F$1213,_xlfn.MAXIFS($F$14:$F$1213,$A$14:$A$1213,$H192))&gt;1,"No",IF(NOT(ISNUMBER($AN192)),"—",IF((2*(1-NORMSDIST(ABS($AN192))))&lt;0.05,"Yes","No")))))</f>
        <v/>
      </c>
      <c r="N192" s="21">
        <f>IF($H192="","",IF(NOT(ISNUMBER($AN192)),"—",IF((2*(1-NORMSDIST(ABS($AN192))))&lt;0.001,"&lt;0.001",TEXT((2*(1-NORMSDIST(ABS($AN192)))),"0.000"))))</f>
        <v/>
      </c>
      <c r="P192" s="26" t="n"/>
      <c r="Q192" s="26" t="n"/>
      <c r="R192" s="26" t="n"/>
      <c r="S192" s="26" t="n"/>
      <c r="T192" s="26" t="n"/>
      <c r="V192" s="27">
        <f>IF(ISNUMBER($C192),COUNTIFS($A$14:$A$1213,$A192,$C$14:$C$1213,"&gt;"&amp;$C192)+(COUNTIFS($A$14:$A$1213,$A192,$C$14:$C$1213,"="&amp;$C192)+1)/2,"")</f>
        <v/>
      </c>
      <c r="W192" s="27">
        <f>IF(ISNUMBER($F192),COUNTIFS($A$14:$A$1213,$A192,$F$14:$F$1213,"&gt;"&amp;$F192)+(COUNTIFS($A$14:$A$1213,$A192,$F$14:$F$1213,"="&amp;$F192)+1)/2,"")</f>
        <v/>
      </c>
      <c r="X192" s="27">
        <f>IF(OR(NOT(ISNUMBER($V192)),$AO192=1),"",$V192-(COUNTIFS($A$14:$A$1213,$A192,$C$14:$C$1213,"&gt;=0")+1)/2)</f>
        <v/>
      </c>
      <c r="Y192" s="27">
        <f>IF(OR(NOT(ISNUMBER($W192)),$AO192=1),"",$W192-(COUNTIFS($A$14:$A$1213,$A192,$F$14:$F$1213,"&gt;=0")+1)/2)</f>
        <v/>
      </c>
      <c r="Z192" s="27">
        <f>IF(ISNUMBER($V192),$A192&amp;"|"&amp;$V192,"")</f>
        <v/>
      </c>
      <c r="AA192" s="27">
        <f>IF(ISNUMBER($W192),$A192&amp;"|"&amp;$W192,"")</f>
        <v/>
      </c>
      <c r="AB192" s="27">
        <f>IF(ISNUMBER($F192),$A192&amp;"|"&amp;$F192,"")</f>
        <v/>
      </c>
      <c r="AC192" s="27">
        <f>IF(ISNUMBER($P192),COUNTIFS($A$14:$A$1213,$A192,$P$14:$P$1213,"&gt;"&amp;$P192)+(COUNTIFS($A$14:$A$1213,$A192,$P$14:$P$1213,"="&amp;$P192)+1)/2,"")</f>
        <v/>
      </c>
      <c r="AD192" s="27">
        <f>IF(ISNUMBER($Q192),COUNTIFS($A$14:$A$1213,$A192,$Q$14:$Q$1213,"&gt;"&amp;$Q192)+(COUNTIFS($A$14:$A$1213,$A192,$Q$14:$Q$1213,"="&amp;$Q192)+1)/2,"")</f>
        <v/>
      </c>
      <c r="AE192" s="27">
        <f>IF(ISNUMBER($R192),COUNTIFS($A$14:$A$1213,$A192,$R$14:$R$1213,"&gt;"&amp;$R192)+(COUNTIFS($A$14:$A$1213,$A192,$R$14:$R$1213,"="&amp;$R192)+1)/2,"")</f>
        <v/>
      </c>
      <c r="AF192" s="27">
        <f>IF(ISNUMBER($S192),COUNTIFS($A$14:$A$1213,$A192,$S$14:$S$1213,"&gt;"&amp;$S192)+(COUNTIFS($A$14:$A$1213,$A192,$S$14:$S$1213,"="&amp;$S192)+1)/2,"")</f>
        <v/>
      </c>
      <c r="AG192" s="27">
        <f>IF(ISNUMBER($T192),COUNTIFS($A$14:$A$1213,$A192,$T$14:$T$1213,"&gt;"&amp;$T192)+(COUNTIFS($A$14:$A$1213,$A192,$T$14:$T$1213,"="&amp;$T192)+1)/2,"")</f>
        <v/>
      </c>
      <c r="AH192" s="27">
        <f>IF(COUNT($AC192:$AG192)&lt;2,"",IF(MAX($AC192:$AG192)=MIN($AC192:$AG192),0,1))</f>
        <v/>
      </c>
      <c r="AI192" s="27">
        <f>IF($A192="","",IF(COUNTIF($A$14:$A192,$A192)=1,COUNTIF($AI$13:AI191,"&gt;0")+1,""))</f>
        <v/>
      </c>
      <c r="AJ192" s="27">
        <f>IF(OR($H192="",COUNTIFS($A$14:$A$1213,$H192,$F$14:$F$1213,"&gt;=0")&lt;2,COUNTIFS($A$14:$A$1213,$H192,$F$14:$F$1213,_xlfn.MAXIFS($F$14:$F$1213,$A$14:$A$1213,$H192))&gt;1),"",IFERROR(INDEX($D$14:$D$1213,MATCH($H192&amp;"|"&amp;_xlfn.MAXIFS($F$14:$F$1213,$A$14:$A$1213,$H192),$AB$14:$AB$1213,0)),""))</f>
        <v/>
      </c>
      <c r="AK192" s="27">
        <f>IF(OR($H192="",COUNTIFS($A$14:$A$1213,$H192,$F$14:$F$1213,"&gt;=0")&lt;2,COUNTIFS($A$14:$A$1213,$H192,$F$14:$F$1213,_xlfn.MAXIFS($F$14:$F$1213,$A$14:$A$1213,$H192))&gt;1),"",IFERROR(INDEX($E$14:$E$1213,MATCH($H192&amp;"|"&amp;_xlfn.MAXIFS($F$14:$F$1213,$A$14:$A$1213,$H192),$AB$14:$AB$1213,0)),""))</f>
        <v/>
      </c>
      <c r="AL192" s="27">
        <f>IF(OR($H192="",COUNTIFS($A$14:$A$1213,$H192,$F$14:$F$1213,"&gt;=0")&lt;2,COUNTIFS($A$14:$A$1213,$H192,$F$14:$F$1213,_xlfn.MAXIFS($F$14:$F$1213,$A$14:$A$1213,$H192))&gt;1),"",IFERROR(INDEX($D$14:$D$1213,MATCH($H192&amp;"|"&amp;_xlfn.MAXIFS($F$14:$F$1213,$A$14:$A$1213,$H192,$F$14:$F$1213,"&lt;"&amp;_xlfn.MAXIFS($F$14:$F$1213,$A$14:$A$1213,$H192)),$AB$14:$AB$1213,0)),""))</f>
        <v/>
      </c>
      <c r="AM192" s="27">
        <f>IF(OR($H192="",COUNTIFS($A$14:$A$1213,$H192,$F$14:$F$1213,"&gt;=0")&lt;2,COUNTIFS($A$14:$A$1213,$H192,$F$14:$F$1213,_xlfn.MAXIFS($F$14:$F$1213,$A$14:$A$1213,$H192))&gt;1),"",IFERROR(INDEX($E$14:$E$1213,MATCH($H192&amp;"|"&amp;_xlfn.MAXIFS($F$14:$F$1213,$A$14:$A$1213,$H192,$F$14:$F$1213,"&lt;"&amp;_xlfn.MAXIFS($F$14:$F$1213,$A$14:$A$1213,$H192)),$AB$14:$AB$1213,0)),""))</f>
        <v/>
      </c>
      <c r="AN192" s="27">
        <f>IF(OR(NOT(ISNUMBER($AJ192)),NOT(ISNUMBER($AL192)),$AK192=0,$AM192=0),"",IF(OR((($AJ192+$AL192)/($AK192+$AM192))&lt;=0,(($AJ192+$AL192)/($AK192+$AM192))&gt;=1),"",($AJ192/$AK192-$AL192/$AM192)/SQRT((($AJ192+$AL192)/($AK192+$AM192))*(1-(($AJ192+$AL192)/($AK192+$AM192)))*(1/$AK192+1/$AM192))))</f>
        <v/>
      </c>
      <c r="AO192" s="27">
        <f>IF($A192="","",IF(AND(COUNTIFS($A$14:$A$1213,$A192,$F$14:$F$1213,"&gt;=0")=2,IFERROR(INDEX($M$14:$M$313,MATCH($A192,$H$14:$H$313,0)),"Yes")&lt;&gt;"Yes"),1,0))</f>
        <v/>
      </c>
    </row>
    <row r="193" ht="24" customHeight="1">
      <c r="A193" s="19" t="n"/>
      <c r="B193" s="20" t="n"/>
      <c r="C193" s="21">
        <f>IFERROR(AVERAGE(P193:T193),"")</f>
        <v/>
      </c>
      <c r="D193" s="29" t="n"/>
      <c r="E193" s="29" t="n"/>
      <c r="F193" s="30">
        <f>IF(AND(ISNUMBER($D193),ISNUMBER($E193),$E193&gt;0,$D193&lt;=$E193),$D193/$E193,"")</f>
        <v/>
      </c>
      <c r="H193" s="19">
        <f>IFERROR(INDEX($A$14:$A$1213,MATCH(180,$AI$14:$AI$1213,0)),"")</f>
        <v/>
      </c>
      <c r="I193" s="24">
        <f>IF($H193="","",IF(COUNTIFS($A$14:$A$1213,$H193,$C$14:$C$1213,"&gt;=0")=0,"—",IFERROR(INDEX($B$14:$B$1213,MATCH($H193&amp;"|1",$Z$14:$Z$1213,0)),"(tied)")))</f>
        <v/>
      </c>
      <c r="J193" s="25">
        <f>IF($H193="","",IF(OR(COUNTIFS($A$14:$A$1213,$H193,$C$14:$C$1213,"&gt;=0")=0,COUNTIFS($A$14:$A$1213,$H193,$F$14:$F$1213,"&gt;=0")=0),"—",IF(OR(ISERROR(MATCH($H193&amp;"|1",$Z$14:$Z$1213,0)),ISERROR(MATCH($H193&amp;"|1",$AA$14:$AA$1213,0))),"Tie",IF(MATCH($H193&amp;"|1",$Z$14:$Z$1213,0)=MATCH($H193&amp;"|1",$AA$14:$AA$1213,0),"Hit","Miss"))))</f>
        <v/>
      </c>
      <c r="K193" s="24">
        <f>IF($H193="","",IF(COUNTIFS($A$14:$A$1213,$H193,$F$14:$F$1213,"&gt;=0")=0,"—",IFERROR(INDEX($B$14:$B$1213,MATCH($H193&amp;"|1",$AA$14:$AA$1213,0)),"(tied)")))</f>
        <v/>
      </c>
      <c r="L193" s="25">
        <f>IF($H193="","",IF((--(COUNTIFS($A$14:$A$1213,$H193,$P$14:$P$1213,"&gt;=0")&gt;0)+--(COUNTIFS($A$14:$A$1213,$H193,$Q$14:$Q$1213,"&gt;=0")&gt;0)+--(COUNTIFS($A$14:$A$1213,$H193,$R$14:$R$1213,"&gt;=0")&gt;0)+--(COUNTIFS($A$14:$A$1213,$H193,$S$14:$S$1213,"&gt;=0")&gt;0)+--(COUNTIFS($A$14:$A$1213,$H193,$T$14:$T$1213,"&gt;=0")&gt;0))&lt;2,"—",IF(SUMIFS($AH$14:$AH$1213,$A$14:$A$1213,$H193)=0,"Yes","No")))</f>
        <v/>
      </c>
      <c r="M193" s="25">
        <f>IF($H193="","",IF(COUNTIFS($A$14:$A$1213,$H193,$F$14:$F$1213,"&gt;=0")&lt;2,"—",IF(COUNTIFS($A$14:$A$1213,$H193,$F$14:$F$1213,_xlfn.MAXIFS($F$14:$F$1213,$A$14:$A$1213,$H193))&gt;1,"No",IF(NOT(ISNUMBER($AN193)),"—",IF((2*(1-NORMSDIST(ABS($AN193))))&lt;0.05,"Yes","No")))))</f>
        <v/>
      </c>
      <c r="N193" s="21">
        <f>IF($H193="","",IF(NOT(ISNUMBER($AN193)),"—",IF((2*(1-NORMSDIST(ABS($AN193))))&lt;0.001,"&lt;0.001",TEXT((2*(1-NORMSDIST(ABS($AN193)))),"0.000"))))</f>
        <v/>
      </c>
      <c r="P193" s="26" t="n"/>
      <c r="Q193" s="26" t="n"/>
      <c r="R193" s="26" t="n"/>
      <c r="S193" s="26" t="n"/>
      <c r="T193" s="26" t="n"/>
      <c r="V193" s="27">
        <f>IF(ISNUMBER($C193),COUNTIFS($A$14:$A$1213,$A193,$C$14:$C$1213,"&gt;"&amp;$C193)+(COUNTIFS($A$14:$A$1213,$A193,$C$14:$C$1213,"="&amp;$C193)+1)/2,"")</f>
        <v/>
      </c>
      <c r="W193" s="27">
        <f>IF(ISNUMBER($F193),COUNTIFS($A$14:$A$1213,$A193,$F$14:$F$1213,"&gt;"&amp;$F193)+(COUNTIFS($A$14:$A$1213,$A193,$F$14:$F$1213,"="&amp;$F193)+1)/2,"")</f>
        <v/>
      </c>
      <c r="X193" s="27">
        <f>IF(OR(NOT(ISNUMBER($V193)),$AO193=1),"",$V193-(COUNTIFS($A$14:$A$1213,$A193,$C$14:$C$1213,"&gt;=0")+1)/2)</f>
        <v/>
      </c>
      <c r="Y193" s="27">
        <f>IF(OR(NOT(ISNUMBER($W193)),$AO193=1),"",$W193-(COUNTIFS($A$14:$A$1213,$A193,$F$14:$F$1213,"&gt;=0")+1)/2)</f>
        <v/>
      </c>
      <c r="Z193" s="27">
        <f>IF(ISNUMBER($V193),$A193&amp;"|"&amp;$V193,"")</f>
        <v/>
      </c>
      <c r="AA193" s="27">
        <f>IF(ISNUMBER($W193),$A193&amp;"|"&amp;$W193,"")</f>
        <v/>
      </c>
      <c r="AB193" s="27">
        <f>IF(ISNUMBER($F193),$A193&amp;"|"&amp;$F193,"")</f>
        <v/>
      </c>
      <c r="AC193" s="27">
        <f>IF(ISNUMBER($P193),COUNTIFS($A$14:$A$1213,$A193,$P$14:$P$1213,"&gt;"&amp;$P193)+(COUNTIFS($A$14:$A$1213,$A193,$P$14:$P$1213,"="&amp;$P193)+1)/2,"")</f>
        <v/>
      </c>
      <c r="AD193" s="27">
        <f>IF(ISNUMBER($Q193),COUNTIFS($A$14:$A$1213,$A193,$Q$14:$Q$1213,"&gt;"&amp;$Q193)+(COUNTIFS($A$14:$A$1213,$A193,$Q$14:$Q$1213,"="&amp;$Q193)+1)/2,"")</f>
        <v/>
      </c>
      <c r="AE193" s="27">
        <f>IF(ISNUMBER($R193),COUNTIFS($A$14:$A$1213,$A193,$R$14:$R$1213,"&gt;"&amp;$R193)+(COUNTIFS($A$14:$A$1213,$A193,$R$14:$R$1213,"="&amp;$R193)+1)/2,"")</f>
        <v/>
      </c>
      <c r="AF193" s="27">
        <f>IF(ISNUMBER($S193),COUNTIFS($A$14:$A$1213,$A193,$S$14:$S$1213,"&gt;"&amp;$S193)+(COUNTIFS($A$14:$A$1213,$A193,$S$14:$S$1213,"="&amp;$S193)+1)/2,"")</f>
        <v/>
      </c>
      <c r="AG193" s="27">
        <f>IF(ISNUMBER($T193),COUNTIFS($A$14:$A$1213,$A193,$T$14:$T$1213,"&gt;"&amp;$T193)+(COUNTIFS($A$14:$A$1213,$A193,$T$14:$T$1213,"="&amp;$T193)+1)/2,"")</f>
        <v/>
      </c>
      <c r="AH193" s="27">
        <f>IF(COUNT($AC193:$AG193)&lt;2,"",IF(MAX($AC193:$AG193)=MIN($AC193:$AG193),0,1))</f>
        <v/>
      </c>
      <c r="AI193" s="27">
        <f>IF($A193="","",IF(COUNTIF($A$14:$A193,$A193)=1,COUNTIF($AI$13:AI192,"&gt;0")+1,""))</f>
        <v/>
      </c>
      <c r="AJ193" s="27">
        <f>IF(OR($H193="",COUNTIFS($A$14:$A$1213,$H193,$F$14:$F$1213,"&gt;=0")&lt;2,COUNTIFS($A$14:$A$1213,$H193,$F$14:$F$1213,_xlfn.MAXIFS($F$14:$F$1213,$A$14:$A$1213,$H193))&gt;1),"",IFERROR(INDEX($D$14:$D$1213,MATCH($H193&amp;"|"&amp;_xlfn.MAXIFS($F$14:$F$1213,$A$14:$A$1213,$H193),$AB$14:$AB$1213,0)),""))</f>
        <v/>
      </c>
      <c r="AK193" s="27">
        <f>IF(OR($H193="",COUNTIFS($A$14:$A$1213,$H193,$F$14:$F$1213,"&gt;=0")&lt;2,COUNTIFS($A$14:$A$1213,$H193,$F$14:$F$1213,_xlfn.MAXIFS($F$14:$F$1213,$A$14:$A$1213,$H193))&gt;1),"",IFERROR(INDEX($E$14:$E$1213,MATCH($H193&amp;"|"&amp;_xlfn.MAXIFS($F$14:$F$1213,$A$14:$A$1213,$H193),$AB$14:$AB$1213,0)),""))</f>
        <v/>
      </c>
      <c r="AL193" s="27">
        <f>IF(OR($H193="",COUNTIFS($A$14:$A$1213,$H193,$F$14:$F$1213,"&gt;=0")&lt;2,COUNTIFS($A$14:$A$1213,$H193,$F$14:$F$1213,_xlfn.MAXIFS($F$14:$F$1213,$A$14:$A$1213,$H193))&gt;1),"",IFERROR(INDEX($D$14:$D$1213,MATCH($H193&amp;"|"&amp;_xlfn.MAXIFS($F$14:$F$1213,$A$14:$A$1213,$H193,$F$14:$F$1213,"&lt;"&amp;_xlfn.MAXIFS($F$14:$F$1213,$A$14:$A$1213,$H193)),$AB$14:$AB$1213,0)),""))</f>
        <v/>
      </c>
      <c r="AM193" s="27">
        <f>IF(OR($H193="",COUNTIFS($A$14:$A$1213,$H193,$F$14:$F$1213,"&gt;=0")&lt;2,COUNTIFS($A$14:$A$1213,$H193,$F$14:$F$1213,_xlfn.MAXIFS($F$14:$F$1213,$A$14:$A$1213,$H193))&gt;1),"",IFERROR(INDEX($E$14:$E$1213,MATCH($H193&amp;"|"&amp;_xlfn.MAXIFS($F$14:$F$1213,$A$14:$A$1213,$H193,$F$14:$F$1213,"&lt;"&amp;_xlfn.MAXIFS($F$14:$F$1213,$A$14:$A$1213,$H193)),$AB$14:$AB$1213,0)),""))</f>
        <v/>
      </c>
      <c r="AN193" s="27">
        <f>IF(OR(NOT(ISNUMBER($AJ193)),NOT(ISNUMBER($AL193)),$AK193=0,$AM193=0),"",IF(OR((($AJ193+$AL193)/($AK193+$AM193))&lt;=0,(($AJ193+$AL193)/($AK193+$AM193))&gt;=1),"",($AJ193/$AK193-$AL193/$AM193)/SQRT((($AJ193+$AL193)/($AK193+$AM193))*(1-(($AJ193+$AL193)/($AK193+$AM193)))*(1/$AK193+1/$AM193))))</f>
        <v/>
      </c>
      <c r="AO193" s="27">
        <f>IF($A193="","",IF(AND(COUNTIFS($A$14:$A$1213,$A193,$F$14:$F$1213,"&gt;=0")=2,IFERROR(INDEX($M$14:$M$313,MATCH($A193,$H$14:$H$313,0)),"Yes")&lt;&gt;"Yes"),1,0))</f>
        <v/>
      </c>
    </row>
    <row r="194" ht="24" customHeight="1">
      <c r="A194" s="19" t="n"/>
      <c r="B194" s="20" t="n"/>
      <c r="C194" s="21">
        <f>IFERROR(AVERAGE(P194:T194),"")</f>
        <v/>
      </c>
      <c r="D194" s="29" t="n"/>
      <c r="E194" s="29" t="n"/>
      <c r="F194" s="30">
        <f>IF(AND(ISNUMBER($D194),ISNUMBER($E194),$E194&gt;0,$D194&lt;=$E194),$D194/$E194,"")</f>
        <v/>
      </c>
      <c r="H194" s="19">
        <f>IFERROR(INDEX($A$14:$A$1213,MATCH(181,$AI$14:$AI$1213,0)),"")</f>
        <v/>
      </c>
      <c r="I194" s="24">
        <f>IF($H194="","",IF(COUNTIFS($A$14:$A$1213,$H194,$C$14:$C$1213,"&gt;=0")=0,"—",IFERROR(INDEX($B$14:$B$1213,MATCH($H194&amp;"|1",$Z$14:$Z$1213,0)),"(tied)")))</f>
        <v/>
      </c>
      <c r="J194" s="25">
        <f>IF($H194="","",IF(OR(COUNTIFS($A$14:$A$1213,$H194,$C$14:$C$1213,"&gt;=0")=0,COUNTIFS($A$14:$A$1213,$H194,$F$14:$F$1213,"&gt;=0")=0),"—",IF(OR(ISERROR(MATCH($H194&amp;"|1",$Z$14:$Z$1213,0)),ISERROR(MATCH($H194&amp;"|1",$AA$14:$AA$1213,0))),"Tie",IF(MATCH($H194&amp;"|1",$Z$14:$Z$1213,0)=MATCH($H194&amp;"|1",$AA$14:$AA$1213,0),"Hit","Miss"))))</f>
        <v/>
      </c>
      <c r="K194" s="24">
        <f>IF($H194="","",IF(COUNTIFS($A$14:$A$1213,$H194,$F$14:$F$1213,"&gt;=0")=0,"—",IFERROR(INDEX($B$14:$B$1213,MATCH($H194&amp;"|1",$AA$14:$AA$1213,0)),"(tied)")))</f>
        <v/>
      </c>
      <c r="L194" s="25">
        <f>IF($H194="","",IF((--(COUNTIFS($A$14:$A$1213,$H194,$P$14:$P$1213,"&gt;=0")&gt;0)+--(COUNTIFS($A$14:$A$1213,$H194,$Q$14:$Q$1213,"&gt;=0")&gt;0)+--(COUNTIFS($A$14:$A$1213,$H194,$R$14:$R$1213,"&gt;=0")&gt;0)+--(COUNTIFS($A$14:$A$1213,$H194,$S$14:$S$1213,"&gt;=0")&gt;0)+--(COUNTIFS($A$14:$A$1213,$H194,$T$14:$T$1213,"&gt;=0")&gt;0))&lt;2,"—",IF(SUMIFS($AH$14:$AH$1213,$A$14:$A$1213,$H194)=0,"Yes","No")))</f>
        <v/>
      </c>
      <c r="M194" s="25">
        <f>IF($H194="","",IF(COUNTIFS($A$14:$A$1213,$H194,$F$14:$F$1213,"&gt;=0")&lt;2,"—",IF(COUNTIFS($A$14:$A$1213,$H194,$F$14:$F$1213,_xlfn.MAXIFS($F$14:$F$1213,$A$14:$A$1213,$H194))&gt;1,"No",IF(NOT(ISNUMBER($AN194)),"—",IF((2*(1-NORMSDIST(ABS($AN194))))&lt;0.05,"Yes","No")))))</f>
        <v/>
      </c>
      <c r="N194" s="21">
        <f>IF($H194="","",IF(NOT(ISNUMBER($AN194)),"—",IF((2*(1-NORMSDIST(ABS($AN194))))&lt;0.001,"&lt;0.001",TEXT((2*(1-NORMSDIST(ABS($AN194)))),"0.000"))))</f>
        <v/>
      </c>
      <c r="P194" s="26" t="n"/>
      <c r="Q194" s="26" t="n"/>
      <c r="R194" s="26" t="n"/>
      <c r="S194" s="26" t="n"/>
      <c r="T194" s="26" t="n"/>
      <c r="V194" s="27">
        <f>IF(ISNUMBER($C194),COUNTIFS($A$14:$A$1213,$A194,$C$14:$C$1213,"&gt;"&amp;$C194)+(COUNTIFS($A$14:$A$1213,$A194,$C$14:$C$1213,"="&amp;$C194)+1)/2,"")</f>
        <v/>
      </c>
      <c r="W194" s="27">
        <f>IF(ISNUMBER($F194),COUNTIFS($A$14:$A$1213,$A194,$F$14:$F$1213,"&gt;"&amp;$F194)+(COUNTIFS($A$14:$A$1213,$A194,$F$14:$F$1213,"="&amp;$F194)+1)/2,"")</f>
        <v/>
      </c>
      <c r="X194" s="27">
        <f>IF(OR(NOT(ISNUMBER($V194)),$AO194=1),"",$V194-(COUNTIFS($A$14:$A$1213,$A194,$C$14:$C$1213,"&gt;=0")+1)/2)</f>
        <v/>
      </c>
      <c r="Y194" s="27">
        <f>IF(OR(NOT(ISNUMBER($W194)),$AO194=1),"",$W194-(COUNTIFS($A$14:$A$1213,$A194,$F$14:$F$1213,"&gt;=0")+1)/2)</f>
        <v/>
      </c>
      <c r="Z194" s="27">
        <f>IF(ISNUMBER($V194),$A194&amp;"|"&amp;$V194,"")</f>
        <v/>
      </c>
      <c r="AA194" s="27">
        <f>IF(ISNUMBER($W194),$A194&amp;"|"&amp;$W194,"")</f>
        <v/>
      </c>
      <c r="AB194" s="27">
        <f>IF(ISNUMBER($F194),$A194&amp;"|"&amp;$F194,"")</f>
        <v/>
      </c>
      <c r="AC194" s="27">
        <f>IF(ISNUMBER($P194),COUNTIFS($A$14:$A$1213,$A194,$P$14:$P$1213,"&gt;"&amp;$P194)+(COUNTIFS($A$14:$A$1213,$A194,$P$14:$P$1213,"="&amp;$P194)+1)/2,"")</f>
        <v/>
      </c>
      <c r="AD194" s="27">
        <f>IF(ISNUMBER($Q194),COUNTIFS($A$14:$A$1213,$A194,$Q$14:$Q$1213,"&gt;"&amp;$Q194)+(COUNTIFS($A$14:$A$1213,$A194,$Q$14:$Q$1213,"="&amp;$Q194)+1)/2,"")</f>
        <v/>
      </c>
      <c r="AE194" s="27">
        <f>IF(ISNUMBER($R194),COUNTIFS($A$14:$A$1213,$A194,$R$14:$R$1213,"&gt;"&amp;$R194)+(COUNTIFS($A$14:$A$1213,$A194,$R$14:$R$1213,"="&amp;$R194)+1)/2,"")</f>
        <v/>
      </c>
      <c r="AF194" s="27">
        <f>IF(ISNUMBER($S194),COUNTIFS($A$14:$A$1213,$A194,$S$14:$S$1213,"&gt;"&amp;$S194)+(COUNTIFS($A$14:$A$1213,$A194,$S$14:$S$1213,"="&amp;$S194)+1)/2,"")</f>
        <v/>
      </c>
      <c r="AG194" s="27">
        <f>IF(ISNUMBER($T194),COUNTIFS($A$14:$A$1213,$A194,$T$14:$T$1213,"&gt;"&amp;$T194)+(COUNTIFS($A$14:$A$1213,$A194,$T$14:$T$1213,"="&amp;$T194)+1)/2,"")</f>
        <v/>
      </c>
      <c r="AH194" s="27">
        <f>IF(COUNT($AC194:$AG194)&lt;2,"",IF(MAX($AC194:$AG194)=MIN($AC194:$AG194),0,1))</f>
        <v/>
      </c>
      <c r="AI194" s="27">
        <f>IF($A194="","",IF(COUNTIF($A$14:$A194,$A194)=1,COUNTIF($AI$13:AI193,"&gt;0")+1,""))</f>
        <v/>
      </c>
      <c r="AJ194" s="27">
        <f>IF(OR($H194="",COUNTIFS($A$14:$A$1213,$H194,$F$14:$F$1213,"&gt;=0")&lt;2,COUNTIFS($A$14:$A$1213,$H194,$F$14:$F$1213,_xlfn.MAXIFS($F$14:$F$1213,$A$14:$A$1213,$H194))&gt;1),"",IFERROR(INDEX($D$14:$D$1213,MATCH($H194&amp;"|"&amp;_xlfn.MAXIFS($F$14:$F$1213,$A$14:$A$1213,$H194),$AB$14:$AB$1213,0)),""))</f>
        <v/>
      </c>
      <c r="AK194" s="27">
        <f>IF(OR($H194="",COUNTIFS($A$14:$A$1213,$H194,$F$14:$F$1213,"&gt;=0")&lt;2,COUNTIFS($A$14:$A$1213,$H194,$F$14:$F$1213,_xlfn.MAXIFS($F$14:$F$1213,$A$14:$A$1213,$H194))&gt;1),"",IFERROR(INDEX($E$14:$E$1213,MATCH($H194&amp;"|"&amp;_xlfn.MAXIFS($F$14:$F$1213,$A$14:$A$1213,$H194),$AB$14:$AB$1213,0)),""))</f>
        <v/>
      </c>
      <c r="AL194" s="27">
        <f>IF(OR($H194="",COUNTIFS($A$14:$A$1213,$H194,$F$14:$F$1213,"&gt;=0")&lt;2,COUNTIFS($A$14:$A$1213,$H194,$F$14:$F$1213,_xlfn.MAXIFS($F$14:$F$1213,$A$14:$A$1213,$H194))&gt;1),"",IFERROR(INDEX($D$14:$D$1213,MATCH($H194&amp;"|"&amp;_xlfn.MAXIFS($F$14:$F$1213,$A$14:$A$1213,$H194,$F$14:$F$1213,"&lt;"&amp;_xlfn.MAXIFS($F$14:$F$1213,$A$14:$A$1213,$H194)),$AB$14:$AB$1213,0)),""))</f>
        <v/>
      </c>
      <c r="AM194" s="27">
        <f>IF(OR($H194="",COUNTIFS($A$14:$A$1213,$H194,$F$14:$F$1213,"&gt;=0")&lt;2,COUNTIFS($A$14:$A$1213,$H194,$F$14:$F$1213,_xlfn.MAXIFS($F$14:$F$1213,$A$14:$A$1213,$H194))&gt;1),"",IFERROR(INDEX($E$14:$E$1213,MATCH($H194&amp;"|"&amp;_xlfn.MAXIFS($F$14:$F$1213,$A$14:$A$1213,$H194,$F$14:$F$1213,"&lt;"&amp;_xlfn.MAXIFS($F$14:$F$1213,$A$14:$A$1213,$H194)),$AB$14:$AB$1213,0)),""))</f>
        <v/>
      </c>
      <c r="AN194" s="27">
        <f>IF(OR(NOT(ISNUMBER($AJ194)),NOT(ISNUMBER($AL194)),$AK194=0,$AM194=0),"",IF(OR((($AJ194+$AL194)/($AK194+$AM194))&lt;=0,(($AJ194+$AL194)/($AK194+$AM194))&gt;=1),"",($AJ194/$AK194-$AL194/$AM194)/SQRT((($AJ194+$AL194)/($AK194+$AM194))*(1-(($AJ194+$AL194)/($AK194+$AM194)))*(1/$AK194+1/$AM194))))</f>
        <v/>
      </c>
      <c r="AO194" s="27">
        <f>IF($A194="","",IF(AND(COUNTIFS($A$14:$A$1213,$A194,$F$14:$F$1213,"&gt;=0")=2,IFERROR(INDEX($M$14:$M$313,MATCH($A194,$H$14:$H$313,0)),"Yes")&lt;&gt;"Yes"),1,0))</f>
        <v/>
      </c>
    </row>
    <row r="195" ht="24" customHeight="1">
      <c r="A195" s="19" t="n"/>
      <c r="B195" s="20" t="n"/>
      <c r="C195" s="21">
        <f>IFERROR(AVERAGE(P195:T195),"")</f>
        <v/>
      </c>
      <c r="D195" s="29" t="n"/>
      <c r="E195" s="29" t="n"/>
      <c r="F195" s="30">
        <f>IF(AND(ISNUMBER($D195),ISNUMBER($E195),$E195&gt;0,$D195&lt;=$E195),$D195/$E195,"")</f>
        <v/>
      </c>
      <c r="H195" s="19">
        <f>IFERROR(INDEX($A$14:$A$1213,MATCH(182,$AI$14:$AI$1213,0)),"")</f>
        <v/>
      </c>
      <c r="I195" s="24">
        <f>IF($H195="","",IF(COUNTIFS($A$14:$A$1213,$H195,$C$14:$C$1213,"&gt;=0")=0,"—",IFERROR(INDEX($B$14:$B$1213,MATCH($H195&amp;"|1",$Z$14:$Z$1213,0)),"(tied)")))</f>
        <v/>
      </c>
      <c r="J195" s="25">
        <f>IF($H195="","",IF(OR(COUNTIFS($A$14:$A$1213,$H195,$C$14:$C$1213,"&gt;=0")=0,COUNTIFS($A$14:$A$1213,$H195,$F$14:$F$1213,"&gt;=0")=0),"—",IF(OR(ISERROR(MATCH($H195&amp;"|1",$Z$14:$Z$1213,0)),ISERROR(MATCH($H195&amp;"|1",$AA$14:$AA$1213,0))),"Tie",IF(MATCH($H195&amp;"|1",$Z$14:$Z$1213,0)=MATCH($H195&amp;"|1",$AA$14:$AA$1213,0),"Hit","Miss"))))</f>
        <v/>
      </c>
      <c r="K195" s="24">
        <f>IF($H195="","",IF(COUNTIFS($A$14:$A$1213,$H195,$F$14:$F$1213,"&gt;=0")=0,"—",IFERROR(INDEX($B$14:$B$1213,MATCH($H195&amp;"|1",$AA$14:$AA$1213,0)),"(tied)")))</f>
        <v/>
      </c>
      <c r="L195" s="25">
        <f>IF($H195="","",IF((--(COUNTIFS($A$14:$A$1213,$H195,$P$14:$P$1213,"&gt;=0")&gt;0)+--(COUNTIFS($A$14:$A$1213,$H195,$Q$14:$Q$1213,"&gt;=0")&gt;0)+--(COUNTIFS($A$14:$A$1213,$H195,$R$14:$R$1213,"&gt;=0")&gt;0)+--(COUNTIFS($A$14:$A$1213,$H195,$S$14:$S$1213,"&gt;=0")&gt;0)+--(COUNTIFS($A$14:$A$1213,$H195,$T$14:$T$1213,"&gt;=0")&gt;0))&lt;2,"—",IF(SUMIFS($AH$14:$AH$1213,$A$14:$A$1213,$H195)=0,"Yes","No")))</f>
        <v/>
      </c>
      <c r="M195" s="25">
        <f>IF($H195="","",IF(COUNTIFS($A$14:$A$1213,$H195,$F$14:$F$1213,"&gt;=0")&lt;2,"—",IF(COUNTIFS($A$14:$A$1213,$H195,$F$14:$F$1213,_xlfn.MAXIFS($F$14:$F$1213,$A$14:$A$1213,$H195))&gt;1,"No",IF(NOT(ISNUMBER($AN195)),"—",IF((2*(1-NORMSDIST(ABS($AN195))))&lt;0.05,"Yes","No")))))</f>
        <v/>
      </c>
      <c r="N195" s="21">
        <f>IF($H195="","",IF(NOT(ISNUMBER($AN195)),"—",IF((2*(1-NORMSDIST(ABS($AN195))))&lt;0.001,"&lt;0.001",TEXT((2*(1-NORMSDIST(ABS($AN195)))),"0.000"))))</f>
        <v/>
      </c>
      <c r="P195" s="26" t="n"/>
      <c r="Q195" s="26" t="n"/>
      <c r="R195" s="26" t="n"/>
      <c r="S195" s="26" t="n"/>
      <c r="T195" s="26" t="n"/>
      <c r="V195" s="27">
        <f>IF(ISNUMBER($C195),COUNTIFS($A$14:$A$1213,$A195,$C$14:$C$1213,"&gt;"&amp;$C195)+(COUNTIFS($A$14:$A$1213,$A195,$C$14:$C$1213,"="&amp;$C195)+1)/2,"")</f>
        <v/>
      </c>
      <c r="W195" s="27">
        <f>IF(ISNUMBER($F195),COUNTIFS($A$14:$A$1213,$A195,$F$14:$F$1213,"&gt;"&amp;$F195)+(COUNTIFS($A$14:$A$1213,$A195,$F$14:$F$1213,"="&amp;$F195)+1)/2,"")</f>
        <v/>
      </c>
      <c r="X195" s="27">
        <f>IF(OR(NOT(ISNUMBER($V195)),$AO195=1),"",$V195-(COUNTIFS($A$14:$A$1213,$A195,$C$14:$C$1213,"&gt;=0")+1)/2)</f>
        <v/>
      </c>
      <c r="Y195" s="27">
        <f>IF(OR(NOT(ISNUMBER($W195)),$AO195=1),"",$W195-(COUNTIFS($A$14:$A$1213,$A195,$F$14:$F$1213,"&gt;=0")+1)/2)</f>
        <v/>
      </c>
      <c r="Z195" s="27">
        <f>IF(ISNUMBER($V195),$A195&amp;"|"&amp;$V195,"")</f>
        <v/>
      </c>
      <c r="AA195" s="27">
        <f>IF(ISNUMBER($W195),$A195&amp;"|"&amp;$W195,"")</f>
        <v/>
      </c>
      <c r="AB195" s="27">
        <f>IF(ISNUMBER($F195),$A195&amp;"|"&amp;$F195,"")</f>
        <v/>
      </c>
      <c r="AC195" s="27">
        <f>IF(ISNUMBER($P195),COUNTIFS($A$14:$A$1213,$A195,$P$14:$P$1213,"&gt;"&amp;$P195)+(COUNTIFS($A$14:$A$1213,$A195,$P$14:$P$1213,"="&amp;$P195)+1)/2,"")</f>
        <v/>
      </c>
      <c r="AD195" s="27">
        <f>IF(ISNUMBER($Q195),COUNTIFS($A$14:$A$1213,$A195,$Q$14:$Q$1213,"&gt;"&amp;$Q195)+(COUNTIFS($A$14:$A$1213,$A195,$Q$14:$Q$1213,"="&amp;$Q195)+1)/2,"")</f>
        <v/>
      </c>
      <c r="AE195" s="27">
        <f>IF(ISNUMBER($R195),COUNTIFS($A$14:$A$1213,$A195,$R$14:$R$1213,"&gt;"&amp;$R195)+(COUNTIFS($A$14:$A$1213,$A195,$R$14:$R$1213,"="&amp;$R195)+1)/2,"")</f>
        <v/>
      </c>
      <c r="AF195" s="27">
        <f>IF(ISNUMBER($S195),COUNTIFS($A$14:$A$1213,$A195,$S$14:$S$1213,"&gt;"&amp;$S195)+(COUNTIFS($A$14:$A$1213,$A195,$S$14:$S$1213,"="&amp;$S195)+1)/2,"")</f>
        <v/>
      </c>
      <c r="AG195" s="27">
        <f>IF(ISNUMBER($T195),COUNTIFS($A$14:$A$1213,$A195,$T$14:$T$1213,"&gt;"&amp;$T195)+(COUNTIFS($A$14:$A$1213,$A195,$T$14:$T$1213,"="&amp;$T195)+1)/2,"")</f>
        <v/>
      </c>
      <c r="AH195" s="27">
        <f>IF(COUNT($AC195:$AG195)&lt;2,"",IF(MAX($AC195:$AG195)=MIN($AC195:$AG195),0,1))</f>
        <v/>
      </c>
      <c r="AI195" s="27">
        <f>IF($A195="","",IF(COUNTIF($A$14:$A195,$A195)=1,COUNTIF($AI$13:AI194,"&gt;0")+1,""))</f>
        <v/>
      </c>
      <c r="AJ195" s="27">
        <f>IF(OR($H195="",COUNTIFS($A$14:$A$1213,$H195,$F$14:$F$1213,"&gt;=0")&lt;2,COUNTIFS($A$14:$A$1213,$H195,$F$14:$F$1213,_xlfn.MAXIFS($F$14:$F$1213,$A$14:$A$1213,$H195))&gt;1),"",IFERROR(INDEX($D$14:$D$1213,MATCH($H195&amp;"|"&amp;_xlfn.MAXIFS($F$14:$F$1213,$A$14:$A$1213,$H195),$AB$14:$AB$1213,0)),""))</f>
        <v/>
      </c>
      <c r="AK195" s="27">
        <f>IF(OR($H195="",COUNTIFS($A$14:$A$1213,$H195,$F$14:$F$1213,"&gt;=0")&lt;2,COUNTIFS($A$14:$A$1213,$H195,$F$14:$F$1213,_xlfn.MAXIFS($F$14:$F$1213,$A$14:$A$1213,$H195))&gt;1),"",IFERROR(INDEX($E$14:$E$1213,MATCH($H195&amp;"|"&amp;_xlfn.MAXIFS($F$14:$F$1213,$A$14:$A$1213,$H195),$AB$14:$AB$1213,0)),""))</f>
        <v/>
      </c>
      <c r="AL195" s="27">
        <f>IF(OR($H195="",COUNTIFS($A$14:$A$1213,$H195,$F$14:$F$1213,"&gt;=0")&lt;2,COUNTIFS($A$14:$A$1213,$H195,$F$14:$F$1213,_xlfn.MAXIFS($F$14:$F$1213,$A$14:$A$1213,$H195))&gt;1),"",IFERROR(INDEX($D$14:$D$1213,MATCH($H195&amp;"|"&amp;_xlfn.MAXIFS($F$14:$F$1213,$A$14:$A$1213,$H195,$F$14:$F$1213,"&lt;"&amp;_xlfn.MAXIFS($F$14:$F$1213,$A$14:$A$1213,$H195)),$AB$14:$AB$1213,0)),""))</f>
        <v/>
      </c>
      <c r="AM195" s="27">
        <f>IF(OR($H195="",COUNTIFS($A$14:$A$1213,$H195,$F$14:$F$1213,"&gt;=0")&lt;2,COUNTIFS($A$14:$A$1213,$H195,$F$14:$F$1213,_xlfn.MAXIFS($F$14:$F$1213,$A$14:$A$1213,$H195))&gt;1),"",IFERROR(INDEX($E$14:$E$1213,MATCH($H195&amp;"|"&amp;_xlfn.MAXIFS($F$14:$F$1213,$A$14:$A$1213,$H195,$F$14:$F$1213,"&lt;"&amp;_xlfn.MAXIFS($F$14:$F$1213,$A$14:$A$1213,$H195)),$AB$14:$AB$1213,0)),""))</f>
        <v/>
      </c>
      <c r="AN195" s="27">
        <f>IF(OR(NOT(ISNUMBER($AJ195)),NOT(ISNUMBER($AL195)),$AK195=0,$AM195=0),"",IF(OR((($AJ195+$AL195)/($AK195+$AM195))&lt;=0,(($AJ195+$AL195)/($AK195+$AM195))&gt;=1),"",($AJ195/$AK195-$AL195/$AM195)/SQRT((($AJ195+$AL195)/($AK195+$AM195))*(1-(($AJ195+$AL195)/($AK195+$AM195)))*(1/$AK195+1/$AM195))))</f>
        <v/>
      </c>
      <c r="AO195" s="27">
        <f>IF($A195="","",IF(AND(COUNTIFS($A$14:$A$1213,$A195,$F$14:$F$1213,"&gt;=0")=2,IFERROR(INDEX($M$14:$M$313,MATCH($A195,$H$14:$H$313,0)),"Yes")&lt;&gt;"Yes"),1,0))</f>
        <v/>
      </c>
    </row>
    <row r="196" ht="24" customHeight="1">
      <c r="A196" s="19" t="n"/>
      <c r="B196" s="20" t="n"/>
      <c r="C196" s="21">
        <f>IFERROR(AVERAGE(P196:T196),"")</f>
        <v/>
      </c>
      <c r="D196" s="29" t="n"/>
      <c r="E196" s="29" t="n"/>
      <c r="F196" s="30">
        <f>IF(AND(ISNUMBER($D196),ISNUMBER($E196),$E196&gt;0,$D196&lt;=$E196),$D196/$E196,"")</f>
        <v/>
      </c>
      <c r="H196" s="19">
        <f>IFERROR(INDEX($A$14:$A$1213,MATCH(183,$AI$14:$AI$1213,0)),"")</f>
        <v/>
      </c>
      <c r="I196" s="24">
        <f>IF($H196="","",IF(COUNTIFS($A$14:$A$1213,$H196,$C$14:$C$1213,"&gt;=0")=0,"—",IFERROR(INDEX($B$14:$B$1213,MATCH($H196&amp;"|1",$Z$14:$Z$1213,0)),"(tied)")))</f>
        <v/>
      </c>
      <c r="J196" s="25">
        <f>IF($H196="","",IF(OR(COUNTIFS($A$14:$A$1213,$H196,$C$14:$C$1213,"&gt;=0")=0,COUNTIFS($A$14:$A$1213,$H196,$F$14:$F$1213,"&gt;=0")=0),"—",IF(OR(ISERROR(MATCH($H196&amp;"|1",$Z$14:$Z$1213,0)),ISERROR(MATCH($H196&amp;"|1",$AA$14:$AA$1213,0))),"Tie",IF(MATCH($H196&amp;"|1",$Z$14:$Z$1213,0)=MATCH($H196&amp;"|1",$AA$14:$AA$1213,0),"Hit","Miss"))))</f>
        <v/>
      </c>
      <c r="K196" s="24">
        <f>IF($H196="","",IF(COUNTIFS($A$14:$A$1213,$H196,$F$14:$F$1213,"&gt;=0")=0,"—",IFERROR(INDEX($B$14:$B$1213,MATCH($H196&amp;"|1",$AA$14:$AA$1213,0)),"(tied)")))</f>
        <v/>
      </c>
      <c r="L196" s="25">
        <f>IF($H196="","",IF((--(COUNTIFS($A$14:$A$1213,$H196,$P$14:$P$1213,"&gt;=0")&gt;0)+--(COUNTIFS($A$14:$A$1213,$H196,$Q$14:$Q$1213,"&gt;=0")&gt;0)+--(COUNTIFS($A$14:$A$1213,$H196,$R$14:$R$1213,"&gt;=0")&gt;0)+--(COUNTIFS($A$14:$A$1213,$H196,$S$14:$S$1213,"&gt;=0")&gt;0)+--(COUNTIFS($A$14:$A$1213,$H196,$T$14:$T$1213,"&gt;=0")&gt;0))&lt;2,"—",IF(SUMIFS($AH$14:$AH$1213,$A$14:$A$1213,$H196)=0,"Yes","No")))</f>
        <v/>
      </c>
      <c r="M196" s="25">
        <f>IF($H196="","",IF(COUNTIFS($A$14:$A$1213,$H196,$F$14:$F$1213,"&gt;=0")&lt;2,"—",IF(COUNTIFS($A$14:$A$1213,$H196,$F$14:$F$1213,_xlfn.MAXIFS($F$14:$F$1213,$A$14:$A$1213,$H196))&gt;1,"No",IF(NOT(ISNUMBER($AN196)),"—",IF((2*(1-NORMSDIST(ABS($AN196))))&lt;0.05,"Yes","No")))))</f>
        <v/>
      </c>
      <c r="N196" s="21">
        <f>IF($H196="","",IF(NOT(ISNUMBER($AN196)),"—",IF((2*(1-NORMSDIST(ABS($AN196))))&lt;0.001,"&lt;0.001",TEXT((2*(1-NORMSDIST(ABS($AN196)))),"0.000"))))</f>
        <v/>
      </c>
      <c r="P196" s="26" t="n"/>
      <c r="Q196" s="26" t="n"/>
      <c r="R196" s="26" t="n"/>
      <c r="S196" s="26" t="n"/>
      <c r="T196" s="26" t="n"/>
      <c r="V196" s="27">
        <f>IF(ISNUMBER($C196),COUNTIFS($A$14:$A$1213,$A196,$C$14:$C$1213,"&gt;"&amp;$C196)+(COUNTIFS($A$14:$A$1213,$A196,$C$14:$C$1213,"="&amp;$C196)+1)/2,"")</f>
        <v/>
      </c>
      <c r="W196" s="27">
        <f>IF(ISNUMBER($F196),COUNTIFS($A$14:$A$1213,$A196,$F$14:$F$1213,"&gt;"&amp;$F196)+(COUNTIFS($A$14:$A$1213,$A196,$F$14:$F$1213,"="&amp;$F196)+1)/2,"")</f>
        <v/>
      </c>
      <c r="X196" s="27">
        <f>IF(OR(NOT(ISNUMBER($V196)),$AO196=1),"",$V196-(COUNTIFS($A$14:$A$1213,$A196,$C$14:$C$1213,"&gt;=0")+1)/2)</f>
        <v/>
      </c>
      <c r="Y196" s="27">
        <f>IF(OR(NOT(ISNUMBER($W196)),$AO196=1),"",$W196-(COUNTIFS($A$14:$A$1213,$A196,$F$14:$F$1213,"&gt;=0")+1)/2)</f>
        <v/>
      </c>
      <c r="Z196" s="27">
        <f>IF(ISNUMBER($V196),$A196&amp;"|"&amp;$V196,"")</f>
        <v/>
      </c>
      <c r="AA196" s="27">
        <f>IF(ISNUMBER($W196),$A196&amp;"|"&amp;$W196,"")</f>
        <v/>
      </c>
      <c r="AB196" s="27">
        <f>IF(ISNUMBER($F196),$A196&amp;"|"&amp;$F196,"")</f>
        <v/>
      </c>
      <c r="AC196" s="27">
        <f>IF(ISNUMBER($P196),COUNTIFS($A$14:$A$1213,$A196,$P$14:$P$1213,"&gt;"&amp;$P196)+(COUNTIFS($A$14:$A$1213,$A196,$P$14:$P$1213,"="&amp;$P196)+1)/2,"")</f>
        <v/>
      </c>
      <c r="AD196" s="27">
        <f>IF(ISNUMBER($Q196),COUNTIFS($A$14:$A$1213,$A196,$Q$14:$Q$1213,"&gt;"&amp;$Q196)+(COUNTIFS($A$14:$A$1213,$A196,$Q$14:$Q$1213,"="&amp;$Q196)+1)/2,"")</f>
        <v/>
      </c>
      <c r="AE196" s="27">
        <f>IF(ISNUMBER($R196),COUNTIFS($A$14:$A$1213,$A196,$R$14:$R$1213,"&gt;"&amp;$R196)+(COUNTIFS($A$14:$A$1213,$A196,$R$14:$R$1213,"="&amp;$R196)+1)/2,"")</f>
        <v/>
      </c>
      <c r="AF196" s="27">
        <f>IF(ISNUMBER($S196),COUNTIFS($A$14:$A$1213,$A196,$S$14:$S$1213,"&gt;"&amp;$S196)+(COUNTIFS($A$14:$A$1213,$A196,$S$14:$S$1213,"="&amp;$S196)+1)/2,"")</f>
        <v/>
      </c>
      <c r="AG196" s="27">
        <f>IF(ISNUMBER($T196),COUNTIFS($A$14:$A$1213,$A196,$T$14:$T$1213,"&gt;"&amp;$T196)+(COUNTIFS($A$14:$A$1213,$A196,$T$14:$T$1213,"="&amp;$T196)+1)/2,"")</f>
        <v/>
      </c>
      <c r="AH196" s="27">
        <f>IF(COUNT($AC196:$AG196)&lt;2,"",IF(MAX($AC196:$AG196)=MIN($AC196:$AG196),0,1))</f>
        <v/>
      </c>
      <c r="AI196" s="27">
        <f>IF($A196="","",IF(COUNTIF($A$14:$A196,$A196)=1,COUNTIF($AI$13:AI195,"&gt;0")+1,""))</f>
        <v/>
      </c>
      <c r="AJ196" s="27">
        <f>IF(OR($H196="",COUNTIFS($A$14:$A$1213,$H196,$F$14:$F$1213,"&gt;=0")&lt;2,COUNTIFS($A$14:$A$1213,$H196,$F$14:$F$1213,_xlfn.MAXIFS($F$14:$F$1213,$A$14:$A$1213,$H196))&gt;1),"",IFERROR(INDEX($D$14:$D$1213,MATCH($H196&amp;"|"&amp;_xlfn.MAXIFS($F$14:$F$1213,$A$14:$A$1213,$H196),$AB$14:$AB$1213,0)),""))</f>
        <v/>
      </c>
      <c r="AK196" s="27">
        <f>IF(OR($H196="",COUNTIFS($A$14:$A$1213,$H196,$F$14:$F$1213,"&gt;=0")&lt;2,COUNTIFS($A$14:$A$1213,$H196,$F$14:$F$1213,_xlfn.MAXIFS($F$14:$F$1213,$A$14:$A$1213,$H196))&gt;1),"",IFERROR(INDEX($E$14:$E$1213,MATCH($H196&amp;"|"&amp;_xlfn.MAXIFS($F$14:$F$1213,$A$14:$A$1213,$H196),$AB$14:$AB$1213,0)),""))</f>
        <v/>
      </c>
      <c r="AL196" s="27">
        <f>IF(OR($H196="",COUNTIFS($A$14:$A$1213,$H196,$F$14:$F$1213,"&gt;=0")&lt;2,COUNTIFS($A$14:$A$1213,$H196,$F$14:$F$1213,_xlfn.MAXIFS($F$14:$F$1213,$A$14:$A$1213,$H196))&gt;1),"",IFERROR(INDEX($D$14:$D$1213,MATCH($H196&amp;"|"&amp;_xlfn.MAXIFS($F$14:$F$1213,$A$14:$A$1213,$H196,$F$14:$F$1213,"&lt;"&amp;_xlfn.MAXIFS($F$14:$F$1213,$A$14:$A$1213,$H196)),$AB$14:$AB$1213,0)),""))</f>
        <v/>
      </c>
      <c r="AM196" s="27">
        <f>IF(OR($H196="",COUNTIFS($A$14:$A$1213,$H196,$F$14:$F$1213,"&gt;=0")&lt;2,COUNTIFS($A$14:$A$1213,$H196,$F$14:$F$1213,_xlfn.MAXIFS($F$14:$F$1213,$A$14:$A$1213,$H196))&gt;1),"",IFERROR(INDEX($E$14:$E$1213,MATCH($H196&amp;"|"&amp;_xlfn.MAXIFS($F$14:$F$1213,$A$14:$A$1213,$H196,$F$14:$F$1213,"&lt;"&amp;_xlfn.MAXIFS($F$14:$F$1213,$A$14:$A$1213,$H196)),$AB$14:$AB$1213,0)),""))</f>
        <v/>
      </c>
      <c r="AN196" s="27">
        <f>IF(OR(NOT(ISNUMBER($AJ196)),NOT(ISNUMBER($AL196)),$AK196=0,$AM196=0),"",IF(OR((($AJ196+$AL196)/($AK196+$AM196))&lt;=0,(($AJ196+$AL196)/($AK196+$AM196))&gt;=1),"",($AJ196/$AK196-$AL196/$AM196)/SQRT((($AJ196+$AL196)/($AK196+$AM196))*(1-(($AJ196+$AL196)/($AK196+$AM196)))*(1/$AK196+1/$AM196))))</f>
        <v/>
      </c>
      <c r="AO196" s="27">
        <f>IF($A196="","",IF(AND(COUNTIFS($A$14:$A$1213,$A196,$F$14:$F$1213,"&gt;=0")=2,IFERROR(INDEX($M$14:$M$313,MATCH($A196,$H$14:$H$313,0)),"Yes")&lt;&gt;"Yes"),1,0))</f>
        <v/>
      </c>
    </row>
    <row r="197" ht="24" customHeight="1">
      <c r="A197" s="19" t="n"/>
      <c r="B197" s="20" t="n"/>
      <c r="C197" s="21">
        <f>IFERROR(AVERAGE(P197:T197),"")</f>
        <v/>
      </c>
      <c r="D197" s="29" t="n"/>
      <c r="E197" s="29" t="n"/>
      <c r="F197" s="30">
        <f>IF(AND(ISNUMBER($D197),ISNUMBER($E197),$E197&gt;0,$D197&lt;=$E197),$D197/$E197,"")</f>
        <v/>
      </c>
      <c r="H197" s="19">
        <f>IFERROR(INDEX($A$14:$A$1213,MATCH(184,$AI$14:$AI$1213,0)),"")</f>
        <v/>
      </c>
      <c r="I197" s="24">
        <f>IF($H197="","",IF(COUNTIFS($A$14:$A$1213,$H197,$C$14:$C$1213,"&gt;=0")=0,"—",IFERROR(INDEX($B$14:$B$1213,MATCH($H197&amp;"|1",$Z$14:$Z$1213,0)),"(tied)")))</f>
        <v/>
      </c>
      <c r="J197" s="25">
        <f>IF($H197="","",IF(OR(COUNTIFS($A$14:$A$1213,$H197,$C$14:$C$1213,"&gt;=0")=0,COUNTIFS($A$14:$A$1213,$H197,$F$14:$F$1213,"&gt;=0")=0),"—",IF(OR(ISERROR(MATCH($H197&amp;"|1",$Z$14:$Z$1213,0)),ISERROR(MATCH($H197&amp;"|1",$AA$14:$AA$1213,0))),"Tie",IF(MATCH($H197&amp;"|1",$Z$14:$Z$1213,0)=MATCH($H197&amp;"|1",$AA$14:$AA$1213,0),"Hit","Miss"))))</f>
        <v/>
      </c>
      <c r="K197" s="24">
        <f>IF($H197="","",IF(COUNTIFS($A$14:$A$1213,$H197,$F$14:$F$1213,"&gt;=0")=0,"—",IFERROR(INDEX($B$14:$B$1213,MATCH($H197&amp;"|1",$AA$14:$AA$1213,0)),"(tied)")))</f>
        <v/>
      </c>
      <c r="L197" s="25">
        <f>IF($H197="","",IF((--(COUNTIFS($A$14:$A$1213,$H197,$P$14:$P$1213,"&gt;=0")&gt;0)+--(COUNTIFS($A$14:$A$1213,$H197,$Q$14:$Q$1213,"&gt;=0")&gt;0)+--(COUNTIFS($A$14:$A$1213,$H197,$R$14:$R$1213,"&gt;=0")&gt;0)+--(COUNTIFS($A$14:$A$1213,$H197,$S$14:$S$1213,"&gt;=0")&gt;0)+--(COUNTIFS($A$14:$A$1213,$H197,$T$14:$T$1213,"&gt;=0")&gt;0))&lt;2,"—",IF(SUMIFS($AH$14:$AH$1213,$A$14:$A$1213,$H197)=0,"Yes","No")))</f>
        <v/>
      </c>
      <c r="M197" s="25">
        <f>IF($H197="","",IF(COUNTIFS($A$14:$A$1213,$H197,$F$14:$F$1213,"&gt;=0")&lt;2,"—",IF(COUNTIFS($A$14:$A$1213,$H197,$F$14:$F$1213,_xlfn.MAXIFS($F$14:$F$1213,$A$14:$A$1213,$H197))&gt;1,"No",IF(NOT(ISNUMBER($AN197)),"—",IF((2*(1-NORMSDIST(ABS($AN197))))&lt;0.05,"Yes","No")))))</f>
        <v/>
      </c>
      <c r="N197" s="21">
        <f>IF($H197="","",IF(NOT(ISNUMBER($AN197)),"—",IF((2*(1-NORMSDIST(ABS($AN197))))&lt;0.001,"&lt;0.001",TEXT((2*(1-NORMSDIST(ABS($AN197)))),"0.000"))))</f>
        <v/>
      </c>
      <c r="P197" s="26" t="n"/>
      <c r="Q197" s="26" t="n"/>
      <c r="R197" s="26" t="n"/>
      <c r="S197" s="26" t="n"/>
      <c r="T197" s="26" t="n"/>
      <c r="V197" s="27">
        <f>IF(ISNUMBER($C197),COUNTIFS($A$14:$A$1213,$A197,$C$14:$C$1213,"&gt;"&amp;$C197)+(COUNTIFS($A$14:$A$1213,$A197,$C$14:$C$1213,"="&amp;$C197)+1)/2,"")</f>
        <v/>
      </c>
      <c r="W197" s="27">
        <f>IF(ISNUMBER($F197),COUNTIFS($A$14:$A$1213,$A197,$F$14:$F$1213,"&gt;"&amp;$F197)+(COUNTIFS($A$14:$A$1213,$A197,$F$14:$F$1213,"="&amp;$F197)+1)/2,"")</f>
        <v/>
      </c>
      <c r="X197" s="27">
        <f>IF(OR(NOT(ISNUMBER($V197)),$AO197=1),"",$V197-(COUNTIFS($A$14:$A$1213,$A197,$C$14:$C$1213,"&gt;=0")+1)/2)</f>
        <v/>
      </c>
      <c r="Y197" s="27">
        <f>IF(OR(NOT(ISNUMBER($W197)),$AO197=1),"",$W197-(COUNTIFS($A$14:$A$1213,$A197,$F$14:$F$1213,"&gt;=0")+1)/2)</f>
        <v/>
      </c>
      <c r="Z197" s="27">
        <f>IF(ISNUMBER($V197),$A197&amp;"|"&amp;$V197,"")</f>
        <v/>
      </c>
      <c r="AA197" s="27">
        <f>IF(ISNUMBER($W197),$A197&amp;"|"&amp;$W197,"")</f>
        <v/>
      </c>
      <c r="AB197" s="27">
        <f>IF(ISNUMBER($F197),$A197&amp;"|"&amp;$F197,"")</f>
        <v/>
      </c>
      <c r="AC197" s="27">
        <f>IF(ISNUMBER($P197),COUNTIFS($A$14:$A$1213,$A197,$P$14:$P$1213,"&gt;"&amp;$P197)+(COUNTIFS($A$14:$A$1213,$A197,$P$14:$P$1213,"="&amp;$P197)+1)/2,"")</f>
        <v/>
      </c>
      <c r="AD197" s="27">
        <f>IF(ISNUMBER($Q197),COUNTIFS($A$14:$A$1213,$A197,$Q$14:$Q$1213,"&gt;"&amp;$Q197)+(COUNTIFS($A$14:$A$1213,$A197,$Q$14:$Q$1213,"="&amp;$Q197)+1)/2,"")</f>
        <v/>
      </c>
      <c r="AE197" s="27">
        <f>IF(ISNUMBER($R197),COUNTIFS($A$14:$A$1213,$A197,$R$14:$R$1213,"&gt;"&amp;$R197)+(COUNTIFS($A$14:$A$1213,$A197,$R$14:$R$1213,"="&amp;$R197)+1)/2,"")</f>
        <v/>
      </c>
      <c r="AF197" s="27">
        <f>IF(ISNUMBER($S197),COUNTIFS($A$14:$A$1213,$A197,$S$14:$S$1213,"&gt;"&amp;$S197)+(COUNTIFS($A$14:$A$1213,$A197,$S$14:$S$1213,"="&amp;$S197)+1)/2,"")</f>
        <v/>
      </c>
      <c r="AG197" s="27">
        <f>IF(ISNUMBER($T197),COUNTIFS($A$14:$A$1213,$A197,$T$14:$T$1213,"&gt;"&amp;$T197)+(COUNTIFS($A$14:$A$1213,$A197,$T$14:$T$1213,"="&amp;$T197)+1)/2,"")</f>
        <v/>
      </c>
      <c r="AH197" s="27">
        <f>IF(COUNT($AC197:$AG197)&lt;2,"",IF(MAX($AC197:$AG197)=MIN($AC197:$AG197),0,1))</f>
        <v/>
      </c>
      <c r="AI197" s="27">
        <f>IF($A197="","",IF(COUNTIF($A$14:$A197,$A197)=1,COUNTIF($AI$13:AI196,"&gt;0")+1,""))</f>
        <v/>
      </c>
      <c r="AJ197" s="27">
        <f>IF(OR($H197="",COUNTIFS($A$14:$A$1213,$H197,$F$14:$F$1213,"&gt;=0")&lt;2,COUNTIFS($A$14:$A$1213,$H197,$F$14:$F$1213,_xlfn.MAXIFS($F$14:$F$1213,$A$14:$A$1213,$H197))&gt;1),"",IFERROR(INDEX($D$14:$D$1213,MATCH($H197&amp;"|"&amp;_xlfn.MAXIFS($F$14:$F$1213,$A$14:$A$1213,$H197),$AB$14:$AB$1213,0)),""))</f>
        <v/>
      </c>
      <c r="AK197" s="27">
        <f>IF(OR($H197="",COUNTIFS($A$14:$A$1213,$H197,$F$14:$F$1213,"&gt;=0")&lt;2,COUNTIFS($A$14:$A$1213,$H197,$F$14:$F$1213,_xlfn.MAXIFS($F$14:$F$1213,$A$14:$A$1213,$H197))&gt;1),"",IFERROR(INDEX($E$14:$E$1213,MATCH($H197&amp;"|"&amp;_xlfn.MAXIFS($F$14:$F$1213,$A$14:$A$1213,$H197),$AB$14:$AB$1213,0)),""))</f>
        <v/>
      </c>
      <c r="AL197" s="27">
        <f>IF(OR($H197="",COUNTIFS($A$14:$A$1213,$H197,$F$14:$F$1213,"&gt;=0")&lt;2,COUNTIFS($A$14:$A$1213,$H197,$F$14:$F$1213,_xlfn.MAXIFS($F$14:$F$1213,$A$14:$A$1213,$H197))&gt;1),"",IFERROR(INDEX($D$14:$D$1213,MATCH($H197&amp;"|"&amp;_xlfn.MAXIFS($F$14:$F$1213,$A$14:$A$1213,$H197,$F$14:$F$1213,"&lt;"&amp;_xlfn.MAXIFS($F$14:$F$1213,$A$14:$A$1213,$H197)),$AB$14:$AB$1213,0)),""))</f>
        <v/>
      </c>
      <c r="AM197" s="27">
        <f>IF(OR($H197="",COUNTIFS($A$14:$A$1213,$H197,$F$14:$F$1213,"&gt;=0")&lt;2,COUNTIFS($A$14:$A$1213,$H197,$F$14:$F$1213,_xlfn.MAXIFS($F$14:$F$1213,$A$14:$A$1213,$H197))&gt;1),"",IFERROR(INDEX($E$14:$E$1213,MATCH($H197&amp;"|"&amp;_xlfn.MAXIFS($F$14:$F$1213,$A$14:$A$1213,$H197,$F$14:$F$1213,"&lt;"&amp;_xlfn.MAXIFS($F$14:$F$1213,$A$14:$A$1213,$H197)),$AB$14:$AB$1213,0)),""))</f>
        <v/>
      </c>
      <c r="AN197" s="27">
        <f>IF(OR(NOT(ISNUMBER($AJ197)),NOT(ISNUMBER($AL197)),$AK197=0,$AM197=0),"",IF(OR((($AJ197+$AL197)/($AK197+$AM197))&lt;=0,(($AJ197+$AL197)/($AK197+$AM197))&gt;=1),"",($AJ197/$AK197-$AL197/$AM197)/SQRT((($AJ197+$AL197)/($AK197+$AM197))*(1-(($AJ197+$AL197)/($AK197+$AM197)))*(1/$AK197+1/$AM197))))</f>
        <v/>
      </c>
      <c r="AO197" s="27">
        <f>IF($A197="","",IF(AND(COUNTIFS($A$14:$A$1213,$A197,$F$14:$F$1213,"&gt;=0")=2,IFERROR(INDEX($M$14:$M$313,MATCH($A197,$H$14:$H$313,0)),"Yes")&lt;&gt;"Yes"),1,0))</f>
        <v/>
      </c>
    </row>
    <row r="198" ht="24" customHeight="1">
      <c r="A198" s="19" t="n"/>
      <c r="B198" s="20" t="n"/>
      <c r="C198" s="21">
        <f>IFERROR(AVERAGE(P198:T198),"")</f>
        <v/>
      </c>
      <c r="D198" s="29" t="n"/>
      <c r="E198" s="29" t="n"/>
      <c r="F198" s="30">
        <f>IF(AND(ISNUMBER($D198),ISNUMBER($E198),$E198&gt;0,$D198&lt;=$E198),$D198/$E198,"")</f>
        <v/>
      </c>
      <c r="H198" s="19">
        <f>IFERROR(INDEX($A$14:$A$1213,MATCH(185,$AI$14:$AI$1213,0)),"")</f>
        <v/>
      </c>
      <c r="I198" s="24">
        <f>IF($H198="","",IF(COUNTIFS($A$14:$A$1213,$H198,$C$14:$C$1213,"&gt;=0")=0,"—",IFERROR(INDEX($B$14:$B$1213,MATCH($H198&amp;"|1",$Z$14:$Z$1213,0)),"(tied)")))</f>
        <v/>
      </c>
      <c r="J198" s="25">
        <f>IF($H198="","",IF(OR(COUNTIFS($A$14:$A$1213,$H198,$C$14:$C$1213,"&gt;=0")=0,COUNTIFS($A$14:$A$1213,$H198,$F$14:$F$1213,"&gt;=0")=0),"—",IF(OR(ISERROR(MATCH($H198&amp;"|1",$Z$14:$Z$1213,0)),ISERROR(MATCH($H198&amp;"|1",$AA$14:$AA$1213,0))),"Tie",IF(MATCH($H198&amp;"|1",$Z$14:$Z$1213,0)=MATCH($H198&amp;"|1",$AA$14:$AA$1213,0),"Hit","Miss"))))</f>
        <v/>
      </c>
      <c r="K198" s="24">
        <f>IF($H198="","",IF(COUNTIFS($A$14:$A$1213,$H198,$F$14:$F$1213,"&gt;=0")=0,"—",IFERROR(INDEX($B$14:$B$1213,MATCH($H198&amp;"|1",$AA$14:$AA$1213,0)),"(tied)")))</f>
        <v/>
      </c>
      <c r="L198" s="25">
        <f>IF($H198="","",IF((--(COUNTIFS($A$14:$A$1213,$H198,$P$14:$P$1213,"&gt;=0")&gt;0)+--(COUNTIFS($A$14:$A$1213,$H198,$Q$14:$Q$1213,"&gt;=0")&gt;0)+--(COUNTIFS($A$14:$A$1213,$H198,$R$14:$R$1213,"&gt;=0")&gt;0)+--(COUNTIFS($A$14:$A$1213,$H198,$S$14:$S$1213,"&gt;=0")&gt;0)+--(COUNTIFS($A$14:$A$1213,$H198,$T$14:$T$1213,"&gt;=0")&gt;0))&lt;2,"—",IF(SUMIFS($AH$14:$AH$1213,$A$14:$A$1213,$H198)=0,"Yes","No")))</f>
        <v/>
      </c>
      <c r="M198" s="25">
        <f>IF($H198="","",IF(COUNTIFS($A$14:$A$1213,$H198,$F$14:$F$1213,"&gt;=0")&lt;2,"—",IF(COUNTIFS($A$14:$A$1213,$H198,$F$14:$F$1213,_xlfn.MAXIFS($F$14:$F$1213,$A$14:$A$1213,$H198))&gt;1,"No",IF(NOT(ISNUMBER($AN198)),"—",IF((2*(1-NORMSDIST(ABS($AN198))))&lt;0.05,"Yes","No")))))</f>
        <v/>
      </c>
      <c r="N198" s="21">
        <f>IF($H198="","",IF(NOT(ISNUMBER($AN198)),"—",IF((2*(1-NORMSDIST(ABS($AN198))))&lt;0.001,"&lt;0.001",TEXT((2*(1-NORMSDIST(ABS($AN198)))),"0.000"))))</f>
        <v/>
      </c>
      <c r="P198" s="26" t="n"/>
      <c r="Q198" s="26" t="n"/>
      <c r="R198" s="26" t="n"/>
      <c r="S198" s="26" t="n"/>
      <c r="T198" s="26" t="n"/>
      <c r="V198" s="27">
        <f>IF(ISNUMBER($C198),COUNTIFS($A$14:$A$1213,$A198,$C$14:$C$1213,"&gt;"&amp;$C198)+(COUNTIFS($A$14:$A$1213,$A198,$C$14:$C$1213,"="&amp;$C198)+1)/2,"")</f>
        <v/>
      </c>
      <c r="W198" s="27">
        <f>IF(ISNUMBER($F198),COUNTIFS($A$14:$A$1213,$A198,$F$14:$F$1213,"&gt;"&amp;$F198)+(COUNTIFS($A$14:$A$1213,$A198,$F$14:$F$1213,"="&amp;$F198)+1)/2,"")</f>
        <v/>
      </c>
      <c r="X198" s="27">
        <f>IF(OR(NOT(ISNUMBER($V198)),$AO198=1),"",$V198-(COUNTIFS($A$14:$A$1213,$A198,$C$14:$C$1213,"&gt;=0")+1)/2)</f>
        <v/>
      </c>
      <c r="Y198" s="27">
        <f>IF(OR(NOT(ISNUMBER($W198)),$AO198=1),"",$W198-(COUNTIFS($A$14:$A$1213,$A198,$F$14:$F$1213,"&gt;=0")+1)/2)</f>
        <v/>
      </c>
      <c r="Z198" s="27">
        <f>IF(ISNUMBER($V198),$A198&amp;"|"&amp;$V198,"")</f>
        <v/>
      </c>
      <c r="AA198" s="27">
        <f>IF(ISNUMBER($W198),$A198&amp;"|"&amp;$W198,"")</f>
        <v/>
      </c>
      <c r="AB198" s="27">
        <f>IF(ISNUMBER($F198),$A198&amp;"|"&amp;$F198,"")</f>
        <v/>
      </c>
      <c r="AC198" s="27">
        <f>IF(ISNUMBER($P198),COUNTIFS($A$14:$A$1213,$A198,$P$14:$P$1213,"&gt;"&amp;$P198)+(COUNTIFS($A$14:$A$1213,$A198,$P$14:$P$1213,"="&amp;$P198)+1)/2,"")</f>
        <v/>
      </c>
      <c r="AD198" s="27">
        <f>IF(ISNUMBER($Q198),COUNTIFS($A$14:$A$1213,$A198,$Q$14:$Q$1213,"&gt;"&amp;$Q198)+(COUNTIFS($A$14:$A$1213,$A198,$Q$14:$Q$1213,"="&amp;$Q198)+1)/2,"")</f>
        <v/>
      </c>
      <c r="AE198" s="27">
        <f>IF(ISNUMBER($R198),COUNTIFS($A$14:$A$1213,$A198,$R$14:$R$1213,"&gt;"&amp;$R198)+(COUNTIFS($A$14:$A$1213,$A198,$R$14:$R$1213,"="&amp;$R198)+1)/2,"")</f>
        <v/>
      </c>
      <c r="AF198" s="27">
        <f>IF(ISNUMBER($S198),COUNTIFS($A$14:$A$1213,$A198,$S$14:$S$1213,"&gt;"&amp;$S198)+(COUNTIFS($A$14:$A$1213,$A198,$S$14:$S$1213,"="&amp;$S198)+1)/2,"")</f>
        <v/>
      </c>
      <c r="AG198" s="27">
        <f>IF(ISNUMBER($T198),COUNTIFS($A$14:$A$1213,$A198,$T$14:$T$1213,"&gt;"&amp;$T198)+(COUNTIFS($A$14:$A$1213,$A198,$T$14:$T$1213,"="&amp;$T198)+1)/2,"")</f>
        <v/>
      </c>
      <c r="AH198" s="27">
        <f>IF(COUNT($AC198:$AG198)&lt;2,"",IF(MAX($AC198:$AG198)=MIN($AC198:$AG198),0,1))</f>
        <v/>
      </c>
      <c r="AI198" s="27">
        <f>IF($A198="","",IF(COUNTIF($A$14:$A198,$A198)=1,COUNTIF($AI$13:AI197,"&gt;0")+1,""))</f>
        <v/>
      </c>
      <c r="AJ198" s="27">
        <f>IF(OR($H198="",COUNTIFS($A$14:$A$1213,$H198,$F$14:$F$1213,"&gt;=0")&lt;2,COUNTIFS($A$14:$A$1213,$H198,$F$14:$F$1213,_xlfn.MAXIFS($F$14:$F$1213,$A$14:$A$1213,$H198))&gt;1),"",IFERROR(INDEX($D$14:$D$1213,MATCH($H198&amp;"|"&amp;_xlfn.MAXIFS($F$14:$F$1213,$A$14:$A$1213,$H198),$AB$14:$AB$1213,0)),""))</f>
        <v/>
      </c>
      <c r="AK198" s="27">
        <f>IF(OR($H198="",COUNTIFS($A$14:$A$1213,$H198,$F$14:$F$1213,"&gt;=0")&lt;2,COUNTIFS($A$14:$A$1213,$H198,$F$14:$F$1213,_xlfn.MAXIFS($F$14:$F$1213,$A$14:$A$1213,$H198))&gt;1),"",IFERROR(INDEX($E$14:$E$1213,MATCH($H198&amp;"|"&amp;_xlfn.MAXIFS($F$14:$F$1213,$A$14:$A$1213,$H198),$AB$14:$AB$1213,0)),""))</f>
        <v/>
      </c>
      <c r="AL198" s="27">
        <f>IF(OR($H198="",COUNTIFS($A$14:$A$1213,$H198,$F$14:$F$1213,"&gt;=0")&lt;2,COUNTIFS($A$14:$A$1213,$H198,$F$14:$F$1213,_xlfn.MAXIFS($F$14:$F$1213,$A$14:$A$1213,$H198))&gt;1),"",IFERROR(INDEX($D$14:$D$1213,MATCH($H198&amp;"|"&amp;_xlfn.MAXIFS($F$14:$F$1213,$A$14:$A$1213,$H198,$F$14:$F$1213,"&lt;"&amp;_xlfn.MAXIFS($F$14:$F$1213,$A$14:$A$1213,$H198)),$AB$14:$AB$1213,0)),""))</f>
        <v/>
      </c>
      <c r="AM198" s="27">
        <f>IF(OR($H198="",COUNTIFS($A$14:$A$1213,$H198,$F$14:$F$1213,"&gt;=0")&lt;2,COUNTIFS($A$14:$A$1213,$H198,$F$14:$F$1213,_xlfn.MAXIFS($F$14:$F$1213,$A$14:$A$1213,$H198))&gt;1),"",IFERROR(INDEX($E$14:$E$1213,MATCH($H198&amp;"|"&amp;_xlfn.MAXIFS($F$14:$F$1213,$A$14:$A$1213,$H198,$F$14:$F$1213,"&lt;"&amp;_xlfn.MAXIFS($F$14:$F$1213,$A$14:$A$1213,$H198)),$AB$14:$AB$1213,0)),""))</f>
        <v/>
      </c>
      <c r="AN198" s="27">
        <f>IF(OR(NOT(ISNUMBER($AJ198)),NOT(ISNUMBER($AL198)),$AK198=0,$AM198=0),"",IF(OR((($AJ198+$AL198)/($AK198+$AM198))&lt;=0,(($AJ198+$AL198)/($AK198+$AM198))&gt;=1),"",($AJ198/$AK198-$AL198/$AM198)/SQRT((($AJ198+$AL198)/($AK198+$AM198))*(1-(($AJ198+$AL198)/($AK198+$AM198)))*(1/$AK198+1/$AM198))))</f>
        <v/>
      </c>
      <c r="AO198" s="27">
        <f>IF($A198="","",IF(AND(COUNTIFS($A$14:$A$1213,$A198,$F$14:$F$1213,"&gt;=0")=2,IFERROR(INDEX($M$14:$M$313,MATCH($A198,$H$14:$H$313,0)),"Yes")&lt;&gt;"Yes"),1,0))</f>
        <v/>
      </c>
    </row>
    <row r="199" ht="24" customHeight="1">
      <c r="A199" s="19" t="n"/>
      <c r="B199" s="20" t="n"/>
      <c r="C199" s="21">
        <f>IFERROR(AVERAGE(P199:T199),"")</f>
        <v/>
      </c>
      <c r="D199" s="29" t="n"/>
      <c r="E199" s="29" t="n"/>
      <c r="F199" s="30">
        <f>IF(AND(ISNUMBER($D199),ISNUMBER($E199),$E199&gt;0,$D199&lt;=$E199),$D199/$E199,"")</f>
        <v/>
      </c>
      <c r="H199" s="19">
        <f>IFERROR(INDEX($A$14:$A$1213,MATCH(186,$AI$14:$AI$1213,0)),"")</f>
        <v/>
      </c>
      <c r="I199" s="24">
        <f>IF($H199="","",IF(COUNTIFS($A$14:$A$1213,$H199,$C$14:$C$1213,"&gt;=0")=0,"—",IFERROR(INDEX($B$14:$B$1213,MATCH($H199&amp;"|1",$Z$14:$Z$1213,0)),"(tied)")))</f>
        <v/>
      </c>
      <c r="J199" s="25">
        <f>IF($H199="","",IF(OR(COUNTIFS($A$14:$A$1213,$H199,$C$14:$C$1213,"&gt;=0")=0,COUNTIFS($A$14:$A$1213,$H199,$F$14:$F$1213,"&gt;=0")=0),"—",IF(OR(ISERROR(MATCH($H199&amp;"|1",$Z$14:$Z$1213,0)),ISERROR(MATCH($H199&amp;"|1",$AA$14:$AA$1213,0))),"Tie",IF(MATCH($H199&amp;"|1",$Z$14:$Z$1213,0)=MATCH($H199&amp;"|1",$AA$14:$AA$1213,0),"Hit","Miss"))))</f>
        <v/>
      </c>
      <c r="K199" s="24">
        <f>IF($H199="","",IF(COUNTIFS($A$14:$A$1213,$H199,$F$14:$F$1213,"&gt;=0")=0,"—",IFERROR(INDEX($B$14:$B$1213,MATCH($H199&amp;"|1",$AA$14:$AA$1213,0)),"(tied)")))</f>
        <v/>
      </c>
      <c r="L199" s="25">
        <f>IF($H199="","",IF((--(COUNTIFS($A$14:$A$1213,$H199,$P$14:$P$1213,"&gt;=0")&gt;0)+--(COUNTIFS($A$14:$A$1213,$H199,$Q$14:$Q$1213,"&gt;=0")&gt;0)+--(COUNTIFS($A$14:$A$1213,$H199,$R$14:$R$1213,"&gt;=0")&gt;0)+--(COUNTIFS($A$14:$A$1213,$H199,$S$14:$S$1213,"&gt;=0")&gt;0)+--(COUNTIFS($A$14:$A$1213,$H199,$T$14:$T$1213,"&gt;=0")&gt;0))&lt;2,"—",IF(SUMIFS($AH$14:$AH$1213,$A$14:$A$1213,$H199)=0,"Yes","No")))</f>
        <v/>
      </c>
      <c r="M199" s="25">
        <f>IF($H199="","",IF(COUNTIFS($A$14:$A$1213,$H199,$F$14:$F$1213,"&gt;=0")&lt;2,"—",IF(COUNTIFS($A$14:$A$1213,$H199,$F$14:$F$1213,_xlfn.MAXIFS($F$14:$F$1213,$A$14:$A$1213,$H199))&gt;1,"No",IF(NOT(ISNUMBER($AN199)),"—",IF((2*(1-NORMSDIST(ABS($AN199))))&lt;0.05,"Yes","No")))))</f>
        <v/>
      </c>
      <c r="N199" s="21">
        <f>IF($H199="","",IF(NOT(ISNUMBER($AN199)),"—",IF((2*(1-NORMSDIST(ABS($AN199))))&lt;0.001,"&lt;0.001",TEXT((2*(1-NORMSDIST(ABS($AN199)))),"0.000"))))</f>
        <v/>
      </c>
      <c r="P199" s="26" t="n"/>
      <c r="Q199" s="26" t="n"/>
      <c r="R199" s="26" t="n"/>
      <c r="S199" s="26" t="n"/>
      <c r="T199" s="26" t="n"/>
      <c r="V199" s="27">
        <f>IF(ISNUMBER($C199),COUNTIFS($A$14:$A$1213,$A199,$C$14:$C$1213,"&gt;"&amp;$C199)+(COUNTIFS($A$14:$A$1213,$A199,$C$14:$C$1213,"="&amp;$C199)+1)/2,"")</f>
        <v/>
      </c>
      <c r="W199" s="27">
        <f>IF(ISNUMBER($F199),COUNTIFS($A$14:$A$1213,$A199,$F$14:$F$1213,"&gt;"&amp;$F199)+(COUNTIFS($A$14:$A$1213,$A199,$F$14:$F$1213,"="&amp;$F199)+1)/2,"")</f>
        <v/>
      </c>
      <c r="X199" s="27">
        <f>IF(OR(NOT(ISNUMBER($V199)),$AO199=1),"",$V199-(COUNTIFS($A$14:$A$1213,$A199,$C$14:$C$1213,"&gt;=0")+1)/2)</f>
        <v/>
      </c>
      <c r="Y199" s="27">
        <f>IF(OR(NOT(ISNUMBER($W199)),$AO199=1),"",$W199-(COUNTIFS($A$14:$A$1213,$A199,$F$14:$F$1213,"&gt;=0")+1)/2)</f>
        <v/>
      </c>
      <c r="Z199" s="27">
        <f>IF(ISNUMBER($V199),$A199&amp;"|"&amp;$V199,"")</f>
        <v/>
      </c>
      <c r="AA199" s="27">
        <f>IF(ISNUMBER($W199),$A199&amp;"|"&amp;$W199,"")</f>
        <v/>
      </c>
      <c r="AB199" s="27">
        <f>IF(ISNUMBER($F199),$A199&amp;"|"&amp;$F199,"")</f>
        <v/>
      </c>
      <c r="AC199" s="27">
        <f>IF(ISNUMBER($P199),COUNTIFS($A$14:$A$1213,$A199,$P$14:$P$1213,"&gt;"&amp;$P199)+(COUNTIFS($A$14:$A$1213,$A199,$P$14:$P$1213,"="&amp;$P199)+1)/2,"")</f>
        <v/>
      </c>
      <c r="AD199" s="27">
        <f>IF(ISNUMBER($Q199),COUNTIFS($A$14:$A$1213,$A199,$Q$14:$Q$1213,"&gt;"&amp;$Q199)+(COUNTIFS($A$14:$A$1213,$A199,$Q$14:$Q$1213,"="&amp;$Q199)+1)/2,"")</f>
        <v/>
      </c>
      <c r="AE199" s="27">
        <f>IF(ISNUMBER($R199),COUNTIFS($A$14:$A$1213,$A199,$R$14:$R$1213,"&gt;"&amp;$R199)+(COUNTIFS($A$14:$A$1213,$A199,$R$14:$R$1213,"="&amp;$R199)+1)/2,"")</f>
        <v/>
      </c>
      <c r="AF199" s="27">
        <f>IF(ISNUMBER($S199),COUNTIFS($A$14:$A$1213,$A199,$S$14:$S$1213,"&gt;"&amp;$S199)+(COUNTIFS($A$14:$A$1213,$A199,$S$14:$S$1213,"="&amp;$S199)+1)/2,"")</f>
        <v/>
      </c>
      <c r="AG199" s="27">
        <f>IF(ISNUMBER($T199),COUNTIFS($A$14:$A$1213,$A199,$T$14:$T$1213,"&gt;"&amp;$T199)+(COUNTIFS($A$14:$A$1213,$A199,$T$14:$T$1213,"="&amp;$T199)+1)/2,"")</f>
        <v/>
      </c>
      <c r="AH199" s="27">
        <f>IF(COUNT($AC199:$AG199)&lt;2,"",IF(MAX($AC199:$AG199)=MIN($AC199:$AG199),0,1))</f>
        <v/>
      </c>
      <c r="AI199" s="27">
        <f>IF($A199="","",IF(COUNTIF($A$14:$A199,$A199)=1,COUNTIF($AI$13:AI198,"&gt;0")+1,""))</f>
        <v/>
      </c>
      <c r="AJ199" s="27">
        <f>IF(OR($H199="",COUNTIFS($A$14:$A$1213,$H199,$F$14:$F$1213,"&gt;=0")&lt;2,COUNTIFS($A$14:$A$1213,$H199,$F$14:$F$1213,_xlfn.MAXIFS($F$14:$F$1213,$A$14:$A$1213,$H199))&gt;1),"",IFERROR(INDEX($D$14:$D$1213,MATCH($H199&amp;"|"&amp;_xlfn.MAXIFS($F$14:$F$1213,$A$14:$A$1213,$H199),$AB$14:$AB$1213,0)),""))</f>
        <v/>
      </c>
      <c r="AK199" s="27">
        <f>IF(OR($H199="",COUNTIFS($A$14:$A$1213,$H199,$F$14:$F$1213,"&gt;=0")&lt;2,COUNTIFS($A$14:$A$1213,$H199,$F$14:$F$1213,_xlfn.MAXIFS($F$14:$F$1213,$A$14:$A$1213,$H199))&gt;1),"",IFERROR(INDEX($E$14:$E$1213,MATCH($H199&amp;"|"&amp;_xlfn.MAXIFS($F$14:$F$1213,$A$14:$A$1213,$H199),$AB$14:$AB$1213,0)),""))</f>
        <v/>
      </c>
      <c r="AL199" s="27">
        <f>IF(OR($H199="",COUNTIFS($A$14:$A$1213,$H199,$F$14:$F$1213,"&gt;=0")&lt;2,COUNTIFS($A$14:$A$1213,$H199,$F$14:$F$1213,_xlfn.MAXIFS($F$14:$F$1213,$A$14:$A$1213,$H199))&gt;1),"",IFERROR(INDEX($D$14:$D$1213,MATCH($H199&amp;"|"&amp;_xlfn.MAXIFS($F$14:$F$1213,$A$14:$A$1213,$H199,$F$14:$F$1213,"&lt;"&amp;_xlfn.MAXIFS($F$14:$F$1213,$A$14:$A$1213,$H199)),$AB$14:$AB$1213,0)),""))</f>
        <v/>
      </c>
      <c r="AM199" s="27">
        <f>IF(OR($H199="",COUNTIFS($A$14:$A$1213,$H199,$F$14:$F$1213,"&gt;=0")&lt;2,COUNTIFS($A$14:$A$1213,$H199,$F$14:$F$1213,_xlfn.MAXIFS($F$14:$F$1213,$A$14:$A$1213,$H199))&gt;1),"",IFERROR(INDEX($E$14:$E$1213,MATCH($H199&amp;"|"&amp;_xlfn.MAXIFS($F$14:$F$1213,$A$14:$A$1213,$H199,$F$14:$F$1213,"&lt;"&amp;_xlfn.MAXIFS($F$14:$F$1213,$A$14:$A$1213,$H199)),$AB$14:$AB$1213,0)),""))</f>
        <v/>
      </c>
      <c r="AN199" s="27">
        <f>IF(OR(NOT(ISNUMBER($AJ199)),NOT(ISNUMBER($AL199)),$AK199=0,$AM199=0),"",IF(OR((($AJ199+$AL199)/($AK199+$AM199))&lt;=0,(($AJ199+$AL199)/($AK199+$AM199))&gt;=1),"",($AJ199/$AK199-$AL199/$AM199)/SQRT((($AJ199+$AL199)/($AK199+$AM199))*(1-(($AJ199+$AL199)/($AK199+$AM199)))*(1/$AK199+1/$AM199))))</f>
        <v/>
      </c>
      <c r="AO199" s="27">
        <f>IF($A199="","",IF(AND(COUNTIFS($A$14:$A$1213,$A199,$F$14:$F$1213,"&gt;=0")=2,IFERROR(INDEX($M$14:$M$313,MATCH($A199,$H$14:$H$313,0)),"Yes")&lt;&gt;"Yes"),1,0))</f>
        <v/>
      </c>
    </row>
    <row r="200" ht="24" customHeight="1">
      <c r="A200" s="19" t="n"/>
      <c r="B200" s="20" t="n"/>
      <c r="C200" s="21">
        <f>IFERROR(AVERAGE(P200:T200),"")</f>
        <v/>
      </c>
      <c r="D200" s="29" t="n"/>
      <c r="E200" s="29" t="n"/>
      <c r="F200" s="30">
        <f>IF(AND(ISNUMBER($D200),ISNUMBER($E200),$E200&gt;0,$D200&lt;=$E200),$D200/$E200,"")</f>
        <v/>
      </c>
      <c r="H200" s="19">
        <f>IFERROR(INDEX($A$14:$A$1213,MATCH(187,$AI$14:$AI$1213,0)),"")</f>
        <v/>
      </c>
      <c r="I200" s="24">
        <f>IF($H200="","",IF(COUNTIFS($A$14:$A$1213,$H200,$C$14:$C$1213,"&gt;=0")=0,"—",IFERROR(INDEX($B$14:$B$1213,MATCH($H200&amp;"|1",$Z$14:$Z$1213,0)),"(tied)")))</f>
        <v/>
      </c>
      <c r="J200" s="25">
        <f>IF($H200="","",IF(OR(COUNTIFS($A$14:$A$1213,$H200,$C$14:$C$1213,"&gt;=0")=0,COUNTIFS($A$14:$A$1213,$H200,$F$14:$F$1213,"&gt;=0")=0),"—",IF(OR(ISERROR(MATCH($H200&amp;"|1",$Z$14:$Z$1213,0)),ISERROR(MATCH($H200&amp;"|1",$AA$14:$AA$1213,0))),"Tie",IF(MATCH($H200&amp;"|1",$Z$14:$Z$1213,0)=MATCH($H200&amp;"|1",$AA$14:$AA$1213,0),"Hit","Miss"))))</f>
        <v/>
      </c>
      <c r="K200" s="24">
        <f>IF($H200="","",IF(COUNTIFS($A$14:$A$1213,$H200,$F$14:$F$1213,"&gt;=0")=0,"—",IFERROR(INDEX($B$14:$B$1213,MATCH($H200&amp;"|1",$AA$14:$AA$1213,0)),"(tied)")))</f>
        <v/>
      </c>
      <c r="L200" s="25">
        <f>IF($H200="","",IF((--(COUNTIFS($A$14:$A$1213,$H200,$P$14:$P$1213,"&gt;=0")&gt;0)+--(COUNTIFS($A$14:$A$1213,$H200,$Q$14:$Q$1213,"&gt;=0")&gt;0)+--(COUNTIFS($A$14:$A$1213,$H200,$R$14:$R$1213,"&gt;=0")&gt;0)+--(COUNTIFS($A$14:$A$1213,$H200,$S$14:$S$1213,"&gt;=0")&gt;0)+--(COUNTIFS($A$14:$A$1213,$H200,$T$14:$T$1213,"&gt;=0")&gt;0))&lt;2,"—",IF(SUMIFS($AH$14:$AH$1213,$A$14:$A$1213,$H200)=0,"Yes","No")))</f>
        <v/>
      </c>
      <c r="M200" s="25">
        <f>IF($H200="","",IF(COUNTIFS($A$14:$A$1213,$H200,$F$14:$F$1213,"&gt;=0")&lt;2,"—",IF(COUNTIFS($A$14:$A$1213,$H200,$F$14:$F$1213,_xlfn.MAXIFS($F$14:$F$1213,$A$14:$A$1213,$H200))&gt;1,"No",IF(NOT(ISNUMBER($AN200)),"—",IF((2*(1-NORMSDIST(ABS($AN200))))&lt;0.05,"Yes","No")))))</f>
        <v/>
      </c>
      <c r="N200" s="21">
        <f>IF($H200="","",IF(NOT(ISNUMBER($AN200)),"—",IF((2*(1-NORMSDIST(ABS($AN200))))&lt;0.001,"&lt;0.001",TEXT((2*(1-NORMSDIST(ABS($AN200)))),"0.000"))))</f>
        <v/>
      </c>
      <c r="P200" s="26" t="n"/>
      <c r="Q200" s="26" t="n"/>
      <c r="R200" s="26" t="n"/>
      <c r="S200" s="26" t="n"/>
      <c r="T200" s="26" t="n"/>
      <c r="V200" s="27">
        <f>IF(ISNUMBER($C200),COUNTIFS($A$14:$A$1213,$A200,$C$14:$C$1213,"&gt;"&amp;$C200)+(COUNTIFS($A$14:$A$1213,$A200,$C$14:$C$1213,"="&amp;$C200)+1)/2,"")</f>
        <v/>
      </c>
      <c r="W200" s="27">
        <f>IF(ISNUMBER($F200),COUNTIFS($A$14:$A$1213,$A200,$F$14:$F$1213,"&gt;"&amp;$F200)+(COUNTIFS($A$14:$A$1213,$A200,$F$14:$F$1213,"="&amp;$F200)+1)/2,"")</f>
        <v/>
      </c>
      <c r="X200" s="27">
        <f>IF(OR(NOT(ISNUMBER($V200)),$AO200=1),"",$V200-(COUNTIFS($A$14:$A$1213,$A200,$C$14:$C$1213,"&gt;=0")+1)/2)</f>
        <v/>
      </c>
      <c r="Y200" s="27">
        <f>IF(OR(NOT(ISNUMBER($W200)),$AO200=1),"",$W200-(COUNTIFS($A$14:$A$1213,$A200,$F$14:$F$1213,"&gt;=0")+1)/2)</f>
        <v/>
      </c>
      <c r="Z200" s="27">
        <f>IF(ISNUMBER($V200),$A200&amp;"|"&amp;$V200,"")</f>
        <v/>
      </c>
      <c r="AA200" s="27">
        <f>IF(ISNUMBER($W200),$A200&amp;"|"&amp;$W200,"")</f>
        <v/>
      </c>
      <c r="AB200" s="27">
        <f>IF(ISNUMBER($F200),$A200&amp;"|"&amp;$F200,"")</f>
        <v/>
      </c>
      <c r="AC200" s="27">
        <f>IF(ISNUMBER($P200),COUNTIFS($A$14:$A$1213,$A200,$P$14:$P$1213,"&gt;"&amp;$P200)+(COUNTIFS($A$14:$A$1213,$A200,$P$14:$P$1213,"="&amp;$P200)+1)/2,"")</f>
        <v/>
      </c>
      <c r="AD200" s="27">
        <f>IF(ISNUMBER($Q200),COUNTIFS($A$14:$A$1213,$A200,$Q$14:$Q$1213,"&gt;"&amp;$Q200)+(COUNTIFS($A$14:$A$1213,$A200,$Q$14:$Q$1213,"="&amp;$Q200)+1)/2,"")</f>
        <v/>
      </c>
      <c r="AE200" s="27">
        <f>IF(ISNUMBER($R200),COUNTIFS($A$14:$A$1213,$A200,$R$14:$R$1213,"&gt;"&amp;$R200)+(COUNTIFS($A$14:$A$1213,$A200,$R$14:$R$1213,"="&amp;$R200)+1)/2,"")</f>
        <v/>
      </c>
      <c r="AF200" s="27">
        <f>IF(ISNUMBER($S200),COUNTIFS($A$14:$A$1213,$A200,$S$14:$S$1213,"&gt;"&amp;$S200)+(COUNTIFS($A$14:$A$1213,$A200,$S$14:$S$1213,"="&amp;$S200)+1)/2,"")</f>
        <v/>
      </c>
      <c r="AG200" s="27">
        <f>IF(ISNUMBER($T200),COUNTIFS($A$14:$A$1213,$A200,$T$14:$T$1213,"&gt;"&amp;$T200)+(COUNTIFS($A$14:$A$1213,$A200,$T$14:$T$1213,"="&amp;$T200)+1)/2,"")</f>
        <v/>
      </c>
      <c r="AH200" s="27">
        <f>IF(COUNT($AC200:$AG200)&lt;2,"",IF(MAX($AC200:$AG200)=MIN($AC200:$AG200),0,1))</f>
        <v/>
      </c>
      <c r="AI200" s="27">
        <f>IF($A200="","",IF(COUNTIF($A$14:$A200,$A200)=1,COUNTIF($AI$13:AI199,"&gt;0")+1,""))</f>
        <v/>
      </c>
      <c r="AJ200" s="27">
        <f>IF(OR($H200="",COUNTIFS($A$14:$A$1213,$H200,$F$14:$F$1213,"&gt;=0")&lt;2,COUNTIFS($A$14:$A$1213,$H200,$F$14:$F$1213,_xlfn.MAXIFS($F$14:$F$1213,$A$14:$A$1213,$H200))&gt;1),"",IFERROR(INDEX($D$14:$D$1213,MATCH($H200&amp;"|"&amp;_xlfn.MAXIFS($F$14:$F$1213,$A$14:$A$1213,$H200),$AB$14:$AB$1213,0)),""))</f>
        <v/>
      </c>
      <c r="AK200" s="27">
        <f>IF(OR($H200="",COUNTIFS($A$14:$A$1213,$H200,$F$14:$F$1213,"&gt;=0")&lt;2,COUNTIFS($A$14:$A$1213,$H200,$F$14:$F$1213,_xlfn.MAXIFS($F$14:$F$1213,$A$14:$A$1213,$H200))&gt;1),"",IFERROR(INDEX($E$14:$E$1213,MATCH($H200&amp;"|"&amp;_xlfn.MAXIFS($F$14:$F$1213,$A$14:$A$1213,$H200),$AB$14:$AB$1213,0)),""))</f>
        <v/>
      </c>
      <c r="AL200" s="27">
        <f>IF(OR($H200="",COUNTIFS($A$14:$A$1213,$H200,$F$14:$F$1213,"&gt;=0")&lt;2,COUNTIFS($A$14:$A$1213,$H200,$F$14:$F$1213,_xlfn.MAXIFS($F$14:$F$1213,$A$14:$A$1213,$H200))&gt;1),"",IFERROR(INDEX($D$14:$D$1213,MATCH($H200&amp;"|"&amp;_xlfn.MAXIFS($F$14:$F$1213,$A$14:$A$1213,$H200,$F$14:$F$1213,"&lt;"&amp;_xlfn.MAXIFS($F$14:$F$1213,$A$14:$A$1213,$H200)),$AB$14:$AB$1213,0)),""))</f>
        <v/>
      </c>
      <c r="AM200" s="27">
        <f>IF(OR($H200="",COUNTIFS($A$14:$A$1213,$H200,$F$14:$F$1213,"&gt;=0")&lt;2,COUNTIFS($A$14:$A$1213,$H200,$F$14:$F$1213,_xlfn.MAXIFS($F$14:$F$1213,$A$14:$A$1213,$H200))&gt;1),"",IFERROR(INDEX($E$14:$E$1213,MATCH($H200&amp;"|"&amp;_xlfn.MAXIFS($F$14:$F$1213,$A$14:$A$1213,$H200,$F$14:$F$1213,"&lt;"&amp;_xlfn.MAXIFS($F$14:$F$1213,$A$14:$A$1213,$H200)),$AB$14:$AB$1213,0)),""))</f>
        <v/>
      </c>
      <c r="AN200" s="27">
        <f>IF(OR(NOT(ISNUMBER($AJ200)),NOT(ISNUMBER($AL200)),$AK200=0,$AM200=0),"",IF(OR((($AJ200+$AL200)/($AK200+$AM200))&lt;=0,(($AJ200+$AL200)/($AK200+$AM200))&gt;=1),"",($AJ200/$AK200-$AL200/$AM200)/SQRT((($AJ200+$AL200)/($AK200+$AM200))*(1-(($AJ200+$AL200)/($AK200+$AM200)))*(1/$AK200+1/$AM200))))</f>
        <v/>
      </c>
      <c r="AO200" s="27">
        <f>IF($A200="","",IF(AND(COUNTIFS($A$14:$A$1213,$A200,$F$14:$F$1213,"&gt;=0")=2,IFERROR(INDEX($M$14:$M$313,MATCH($A200,$H$14:$H$313,0)),"Yes")&lt;&gt;"Yes"),1,0))</f>
        <v/>
      </c>
    </row>
    <row r="201" ht="24" customHeight="1">
      <c r="A201" s="19" t="n"/>
      <c r="B201" s="20" t="n"/>
      <c r="C201" s="21">
        <f>IFERROR(AVERAGE(P201:T201),"")</f>
        <v/>
      </c>
      <c r="D201" s="29" t="n"/>
      <c r="E201" s="29" t="n"/>
      <c r="F201" s="30">
        <f>IF(AND(ISNUMBER($D201),ISNUMBER($E201),$E201&gt;0,$D201&lt;=$E201),$D201/$E201,"")</f>
        <v/>
      </c>
      <c r="H201" s="19">
        <f>IFERROR(INDEX($A$14:$A$1213,MATCH(188,$AI$14:$AI$1213,0)),"")</f>
        <v/>
      </c>
      <c r="I201" s="24">
        <f>IF($H201="","",IF(COUNTIFS($A$14:$A$1213,$H201,$C$14:$C$1213,"&gt;=0")=0,"—",IFERROR(INDEX($B$14:$B$1213,MATCH($H201&amp;"|1",$Z$14:$Z$1213,0)),"(tied)")))</f>
        <v/>
      </c>
      <c r="J201" s="25">
        <f>IF($H201="","",IF(OR(COUNTIFS($A$14:$A$1213,$H201,$C$14:$C$1213,"&gt;=0")=0,COUNTIFS($A$14:$A$1213,$H201,$F$14:$F$1213,"&gt;=0")=0),"—",IF(OR(ISERROR(MATCH($H201&amp;"|1",$Z$14:$Z$1213,0)),ISERROR(MATCH($H201&amp;"|1",$AA$14:$AA$1213,0))),"Tie",IF(MATCH($H201&amp;"|1",$Z$14:$Z$1213,0)=MATCH($H201&amp;"|1",$AA$14:$AA$1213,0),"Hit","Miss"))))</f>
        <v/>
      </c>
      <c r="K201" s="24">
        <f>IF($H201="","",IF(COUNTIFS($A$14:$A$1213,$H201,$F$14:$F$1213,"&gt;=0")=0,"—",IFERROR(INDEX($B$14:$B$1213,MATCH($H201&amp;"|1",$AA$14:$AA$1213,0)),"(tied)")))</f>
        <v/>
      </c>
      <c r="L201" s="25">
        <f>IF($H201="","",IF((--(COUNTIFS($A$14:$A$1213,$H201,$P$14:$P$1213,"&gt;=0")&gt;0)+--(COUNTIFS($A$14:$A$1213,$H201,$Q$14:$Q$1213,"&gt;=0")&gt;0)+--(COUNTIFS($A$14:$A$1213,$H201,$R$14:$R$1213,"&gt;=0")&gt;0)+--(COUNTIFS($A$14:$A$1213,$H201,$S$14:$S$1213,"&gt;=0")&gt;0)+--(COUNTIFS($A$14:$A$1213,$H201,$T$14:$T$1213,"&gt;=0")&gt;0))&lt;2,"—",IF(SUMIFS($AH$14:$AH$1213,$A$14:$A$1213,$H201)=0,"Yes","No")))</f>
        <v/>
      </c>
      <c r="M201" s="25">
        <f>IF($H201="","",IF(COUNTIFS($A$14:$A$1213,$H201,$F$14:$F$1213,"&gt;=0")&lt;2,"—",IF(COUNTIFS($A$14:$A$1213,$H201,$F$14:$F$1213,_xlfn.MAXIFS($F$14:$F$1213,$A$14:$A$1213,$H201))&gt;1,"No",IF(NOT(ISNUMBER($AN201)),"—",IF((2*(1-NORMSDIST(ABS($AN201))))&lt;0.05,"Yes","No")))))</f>
        <v/>
      </c>
      <c r="N201" s="21">
        <f>IF($H201="","",IF(NOT(ISNUMBER($AN201)),"—",IF((2*(1-NORMSDIST(ABS($AN201))))&lt;0.001,"&lt;0.001",TEXT((2*(1-NORMSDIST(ABS($AN201)))),"0.000"))))</f>
        <v/>
      </c>
      <c r="P201" s="26" t="n"/>
      <c r="Q201" s="26" t="n"/>
      <c r="R201" s="26" t="n"/>
      <c r="S201" s="26" t="n"/>
      <c r="T201" s="26" t="n"/>
      <c r="V201" s="27">
        <f>IF(ISNUMBER($C201),COUNTIFS($A$14:$A$1213,$A201,$C$14:$C$1213,"&gt;"&amp;$C201)+(COUNTIFS($A$14:$A$1213,$A201,$C$14:$C$1213,"="&amp;$C201)+1)/2,"")</f>
        <v/>
      </c>
      <c r="W201" s="27">
        <f>IF(ISNUMBER($F201),COUNTIFS($A$14:$A$1213,$A201,$F$14:$F$1213,"&gt;"&amp;$F201)+(COUNTIFS($A$14:$A$1213,$A201,$F$14:$F$1213,"="&amp;$F201)+1)/2,"")</f>
        <v/>
      </c>
      <c r="X201" s="27">
        <f>IF(OR(NOT(ISNUMBER($V201)),$AO201=1),"",$V201-(COUNTIFS($A$14:$A$1213,$A201,$C$14:$C$1213,"&gt;=0")+1)/2)</f>
        <v/>
      </c>
      <c r="Y201" s="27">
        <f>IF(OR(NOT(ISNUMBER($W201)),$AO201=1),"",$W201-(COUNTIFS($A$14:$A$1213,$A201,$F$14:$F$1213,"&gt;=0")+1)/2)</f>
        <v/>
      </c>
      <c r="Z201" s="27">
        <f>IF(ISNUMBER($V201),$A201&amp;"|"&amp;$V201,"")</f>
        <v/>
      </c>
      <c r="AA201" s="27">
        <f>IF(ISNUMBER($W201),$A201&amp;"|"&amp;$W201,"")</f>
        <v/>
      </c>
      <c r="AB201" s="27">
        <f>IF(ISNUMBER($F201),$A201&amp;"|"&amp;$F201,"")</f>
        <v/>
      </c>
      <c r="AC201" s="27">
        <f>IF(ISNUMBER($P201),COUNTIFS($A$14:$A$1213,$A201,$P$14:$P$1213,"&gt;"&amp;$P201)+(COUNTIFS($A$14:$A$1213,$A201,$P$14:$P$1213,"="&amp;$P201)+1)/2,"")</f>
        <v/>
      </c>
      <c r="AD201" s="27">
        <f>IF(ISNUMBER($Q201),COUNTIFS($A$14:$A$1213,$A201,$Q$14:$Q$1213,"&gt;"&amp;$Q201)+(COUNTIFS($A$14:$A$1213,$A201,$Q$14:$Q$1213,"="&amp;$Q201)+1)/2,"")</f>
        <v/>
      </c>
      <c r="AE201" s="27">
        <f>IF(ISNUMBER($R201),COUNTIFS($A$14:$A$1213,$A201,$R$14:$R$1213,"&gt;"&amp;$R201)+(COUNTIFS($A$14:$A$1213,$A201,$R$14:$R$1213,"="&amp;$R201)+1)/2,"")</f>
        <v/>
      </c>
      <c r="AF201" s="27">
        <f>IF(ISNUMBER($S201),COUNTIFS($A$14:$A$1213,$A201,$S$14:$S$1213,"&gt;"&amp;$S201)+(COUNTIFS($A$14:$A$1213,$A201,$S$14:$S$1213,"="&amp;$S201)+1)/2,"")</f>
        <v/>
      </c>
      <c r="AG201" s="27">
        <f>IF(ISNUMBER($T201),COUNTIFS($A$14:$A$1213,$A201,$T$14:$T$1213,"&gt;"&amp;$T201)+(COUNTIFS($A$14:$A$1213,$A201,$T$14:$T$1213,"="&amp;$T201)+1)/2,"")</f>
        <v/>
      </c>
      <c r="AH201" s="27">
        <f>IF(COUNT($AC201:$AG201)&lt;2,"",IF(MAX($AC201:$AG201)=MIN($AC201:$AG201),0,1))</f>
        <v/>
      </c>
      <c r="AI201" s="27">
        <f>IF($A201="","",IF(COUNTIF($A$14:$A201,$A201)=1,COUNTIF($AI$13:AI200,"&gt;0")+1,""))</f>
        <v/>
      </c>
      <c r="AJ201" s="27">
        <f>IF(OR($H201="",COUNTIFS($A$14:$A$1213,$H201,$F$14:$F$1213,"&gt;=0")&lt;2,COUNTIFS($A$14:$A$1213,$H201,$F$14:$F$1213,_xlfn.MAXIFS($F$14:$F$1213,$A$14:$A$1213,$H201))&gt;1),"",IFERROR(INDEX($D$14:$D$1213,MATCH($H201&amp;"|"&amp;_xlfn.MAXIFS($F$14:$F$1213,$A$14:$A$1213,$H201),$AB$14:$AB$1213,0)),""))</f>
        <v/>
      </c>
      <c r="AK201" s="27">
        <f>IF(OR($H201="",COUNTIFS($A$14:$A$1213,$H201,$F$14:$F$1213,"&gt;=0")&lt;2,COUNTIFS($A$14:$A$1213,$H201,$F$14:$F$1213,_xlfn.MAXIFS($F$14:$F$1213,$A$14:$A$1213,$H201))&gt;1),"",IFERROR(INDEX($E$14:$E$1213,MATCH($H201&amp;"|"&amp;_xlfn.MAXIFS($F$14:$F$1213,$A$14:$A$1213,$H201),$AB$14:$AB$1213,0)),""))</f>
        <v/>
      </c>
      <c r="AL201" s="27">
        <f>IF(OR($H201="",COUNTIFS($A$14:$A$1213,$H201,$F$14:$F$1213,"&gt;=0")&lt;2,COUNTIFS($A$14:$A$1213,$H201,$F$14:$F$1213,_xlfn.MAXIFS($F$14:$F$1213,$A$14:$A$1213,$H201))&gt;1),"",IFERROR(INDEX($D$14:$D$1213,MATCH($H201&amp;"|"&amp;_xlfn.MAXIFS($F$14:$F$1213,$A$14:$A$1213,$H201,$F$14:$F$1213,"&lt;"&amp;_xlfn.MAXIFS($F$14:$F$1213,$A$14:$A$1213,$H201)),$AB$14:$AB$1213,0)),""))</f>
        <v/>
      </c>
      <c r="AM201" s="27">
        <f>IF(OR($H201="",COUNTIFS($A$14:$A$1213,$H201,$F$14:$F$1213,"&gt;=0")&lt;2,COUNTIFS($A$14:$A$1213,$H201,$F$14:$F$1213,_xlfn.MAXIFS($F$14:$F$1213,$A$14:$A$1213,$H201))&gt;1),"",IFERROR(INDEX($E$14:$E$1213,MATCH($H201&amp;"|"&amp;_xlfn.MAXIFS($F$14:$F$1213,$A$14:$A$1213,$H201,$F$14:$F$1213,"&lt;"&amp;_xlfn.MAXIFS($F$14:$F$1213,$A$14:$A$1213,$H201)),$AB$14:$AB$1213,0)),""))</f>
        <v/>
      </c>
      <c r="AN201" s="27">
        <f>IF(OR(NOT(ISNUMBER($AJ201)),NOT(ISNUMBER($AL201)),$AK201=0,$AM201=0),"",IF(OR((($AJ201+$AL201)/($AK201+$AM201))&lt;=0,(($AJ201+$AL201)/($AK201+$AM201))&gt;=1),"",($AJ201/$AK201-$AL201/$AM201)/SQRT((($AJ201+$AL201)/($AK201+$AM201))*(1-(($AJ201+$AL201)/($AK201+$AM201)))*(1/$AK201+1/$AM201))))</f>
        <v/>
      </c>
      <c r="AO201" s="27">
        <f>IF($A201="","",IF(AND(COUNTIFS($A$14:$A$1213,$A201,$F$14:$F$1213,"&gt;=0")=2,IFERROR(INDEX($M$14:$M$313,MATCH($A201,$H$14:$H$313,0)),"Yes")&lt;&gt;"Yes"),1,0))</f>
        <v/>
      </c>
    </row>
    <row r="202" ht="24" customHeight="1">
      <c r="A202" s="19" t="n"/>
      <c r="B202" s="20" t="n"/>
      <c r="C202" s="21">
        <f>IFERROR(AVERAGE(P202:T202),"")</f>
        <v/>
      </c>
      <c r="D202" s="29" t="n"/>
      <c r="E202" s="29" t="n"/>
      <c r="F202" s="30">
        <f>IF(AND(ISNUMBER($D202),ISNUMBER($E202),$E202&gt;0,$D202&lt;=$E202),$D202/$E202,"")</f>
        <v/>
      </c>
      <c r="H202" s="19">
        <f>IFERROR(INDEX($A$14:$A$1213,MATCH(189,$AI$14:$AI$1213,0)),"")</f>
        <v/>
      </c>
      <c r="I202" s="24">
        <f>IF($H202="","",IF(COUNTIFS($A$14:$A$1213,$H202,$C$14:$C$1213,"&gt;=0")=0,"—",IFERROR(INDEX($B$14:$B$1213,MATCH($H202&amp;"|1",$Z$14:$Z$1213,0)),"(tied)")))</f>
        <v/>
      </c>
      <c r="J202" s="25">
        <f>IF($H202="","",IF(OR(COUNTIFS($A$14:$A$1213,$H202,$C$14:$C$1213,"&gt;=0")=0,COUNTIFS($A$14:$A$1213,$H202,$F$14:$F$1213,"&gt;=0")=0),"—",IF(OR(ISERROR(MATCH($H202&amp;"|1",$Z$14:$Z$1213,0)),ISERROR(MATCH($H202&amp;"|1",$AA$14:$AA$1213,0))),"Tie",IF(MATCH($H202&amp;"|1",$Z$14:$Z$1213,0)=MATCH($H202&amp;"|1",$AA$14:$AA$1213,0),"Hit","Miss"))))</f>
        <v/>
      </c>
      <c r="K202" s="24">
        <f>IF($H202="","",IF(COUNTIFS($A$14:$A$1213,$H202,$F$14:$F$1213,"&gt;=0")=0,"—",IFERROR(INDEX($B$14:$B$1213,MATCH($H202&amp;"|1",$AA$14:$AA$1213,0)),"(tied)")))</f>
        <v/>
      </c>
      <c r="L202" s="25">
        <f>IF($H202="","",IF((--(COUNTIFS($A$14:$A$1213,$H202,$P$14:$P$1213,"&gt;=0")&gt;0)+--(COUNTIFS($A$14:$A$1213,$H202,$Q$14:$Q$1213,"&gt;=0")&gt;0)+--(COUNTIFS($A$14:$A$1213,$H202,$R$14:$R$1213,"&gt;=0")&gt;0)+--(COUNTIFS($A$14:$A$1213,$H202,$S$14:$S$1213,"&gt;=0")&gt;0)+--(COUNTIFS($A$14:$A$1213,$H202,$T$14:$T$1213,"&gt;=0")&gt;0))&lt;2,"—",IF(SUMIFS($AH$14:$AH$1213,$A$14:$A$1213,$H202)=0,"Yes","No")))</f>
        <v/>
      </c>
      <c r="M202" s="25">
        <f>IF($H202="","",IF(COUNTIFS($A$14:$A$1213,$H202,$F$14:$F$1213,"&gt;=0")&lt;2,"—",IF(COUNTIFS($A$14:$A$1213,$H202,$F$14:$F$1213,_xlfn.MAXIFS($F$14:$F$1213,$A$14:$A$1213,$H202))&gt;1,"No",IF(NOT(ISNUMBER($AN202)),"—",IF((2*(1-NORMSDIST(ABS($AN202))))&lt;0.05,"Yes","No")))))</f>
        <v/>
      </c>
      <c r="N202" s="21">
        <f>IF($H202="","",IF(NOT(ISNUMBER($AN202)),"—",IF((2*(1-NORMSDIST(ABS($AN202))))&lt;0.001,"&lt;0.001",TEXT((2*(1-NORMSDIST(ABS($AN202)))),"0.000"))))</f>
        <v/>
      </c>
      <c r="P202" s="26" t="n"/>
      <c r="Q202" s="26" t="n"/>
      <c r="R202" s="26" t="n"/>
      <c r="S202" s="26" t="n"/>
      <c r="T202" s="26" t="n"/>
      <c r="V202" s="27">
        <f>IF(ISNUMBER($C202),COUNTIFS($A$14:$A$1213,$A202,$C$14:$C$1213,"&gt;"&amp;$C202)+(COUNTIFS($A$14:$A$1213,$A202,$C$14:$C$1213,"="&amp;$C202)+1)/2,"")</f>
        <v/>
      </c>
      <c r="W202" s="27">
        <f>IF(ISNUMBER($F202),COUNTIFS($A$14:$A$1213,$A202,$F$14:$F$1213,"&gt;"&amp;$F202)+(COUNTIFS($A$14:$A$1213,$A202,$F$14:$F$1213,"="&amp;$F202)+1)/2,"")</f>
        <v/>
      </c>
      <c r="X202" s="27">
        <f>IF(OR(NOT(ISNUMBER($V202)),$AO202=1),"",$V202-(COUNTIFS($A$14:$A$1213,$A202,$C$14:$C$1213,"&gt;=0")+1)/2)</f>
        <v/>
      </c>
      <c r="Y202" s="27">
        <f>IF(OR(NOT(ISNUMBER($W202)),$AO202=1),"",$W202-(COUNTIFS($A$14:$A$1213,$A202,$F$14:$F$1213,"&gt;=0")+1)/2)</f>
        <v/>
      </c>
      <c r="Z202" s="27">
        <f>IF(ISNUMBER($V202),$A202&amp;"|"&amp;$V202,"")</f>
        <v/>
      </c>
      <c r="AA202" s="27">
        <f>IF(ISNUMBER($W202),$A202&amp;"|"&amp;$W202,"")</f>
        <v/>
      </c>
      <c r="AB202" s="27">
        <f>IF(ISNUMBER($F202),$A202&amp;"|"&amp;$F202,"")</f>
        <v/>
      </c>
      <c r="AC202" s="27">
        <f>IF(ISNUMBER($P202),COUNTIFS($A$14:$A$1213,$A202,$P$14:$P$1213,"&gt;"&amp;$P202)+(COUNTIFS($A$14:$A$1213,$A202,$P$14:$P$1213,"="&amp;$P202)+1)/2,"")</f>
        <v/>
      </c>
      <c r="AD202" s="27">
        <f>IF(ISNUMBER($Q202),COUNTIFS($A$14:$A$1213,$A202,$Q$14:$Q$1213,"&gt;"&amp;$Q202)+(COUNTIFS($A$14:$A$1213,$A202,$Q$14:$Q$1213,"="&amp;$Q202)+1)/2,"")</f>
        <v/>
      </c>
      <c r="AE202" s="27">
        <f>IF(ISNUMBER($R202),COUNTIFS($A$14:$A$1213,$A202,$R$14:$R$1213,"&gt;"&amp;$R202)+(COUNTIFS($A$14:$A$1213,$A202,$R$14:$R$1213,"="&amp;$R202)+1)/2,"")</f>
        <v/>
      </c>
      <c r="AF202" s="27">
        <f>IF(ISNUMBER($S202),COUNTIFS($A$14:$A$1213,$A202,$S$14:$S$1213,"&gt;"&amp;$S202)+(COUNTIFS($A$14:$A$1213,$A202,$S$14:$S$1213,"="&amp;$S202)+1)/2,"")</f>
        <v/>
      </c>
      <c r="AG202" s="27">
        <f>IF(ISNUMBER($T202),COUNTIFS($A$14:$A$1213,$A202,$T$14:$T$1213,"&gt;"&amp;$T202)+(COUNTIFS($A$14:$A$1213,$A202,$T$14:$T$1213,"="&amp;$T202)+1)/2,"")</f>
        <v/>
      </c>
      <c r="AH202" s="27">
        <f>IF(COUNT($AC202:$AG202)&lt;2,"",IF(MAX($AC202:$AG202)=MIN($AC202:$AG202),0,1))</f>
        <v/>
      </c>
      <c r="AI202" s="27">
        <f>IF($A202="","",IF(COUNTIF($A$14:$A202,$A202)=1,COUNTIF($AI$13:AI201,"&gt;0")+1,""))</f>
        <v/>
      </c>
      <c r="AJ202" s="27">
        <f>IF(OR($H202="",COUNTIFS($A$14:$A$1213,$H202,$F$14:$F$1213,"&gt;=0")&lt;2,COUNTIFS($A$14:$A$1213,$H202,$F$14:$F$1213,_xlfn.MAXIFS($F$14:$F$1213,$A$14:$A$1213,$H202))&gt;1),"",IFERROR(INDEX($D$14:$D$1213,MATCH($H202&amp;"|"&amp;_xlfn.MAXIFS($F$14:$F$1213,$A$14:$A$1213,$H202),$AB$14:$AB$1213,0)),""))</f>
        <v/>
      </c>
      <c r="AK202" s="27">
        <f>IF(OR($H202="",COUNTIFS($A$14:$A$1213,$H202,$F$14:$F$1213,"&gt;=0")&lt;2,COUNTIFS($A$14:$A$1213,$H202,$F$14:$F$1213,_xlfn.MAXIFS($F$14:$F$1213,$A$14:$A$1213,$H202))&gt;1),"",IFERROR(INDEX($E$14:$E$1213,MATCH($H202&amp;"|"&amp;_xlfn.MAXIFS($F$14:$F$1213,$A$14:$A$1213,$H202),$AB$14:$AB$1213,0)),""))</f>
        <v/>
      </c>
      <c r="AL202" s="27">
        <f>IF(OR($H202="",COUNTIFS($A$14:$A$1213,$H202,$F$14:$F$1213,"&gt;=0")&lt;2,COUNTIFS($A$14:$A$1213,$H202,$F$14:$F$1213,_xlfn.MAXIFS($F$14:$F$1213,$A$14:$A$1213,$H202))&gt;1),"",IFERROR(INDEX($D$14:$D$1213,MATCH($H202&amp;"|"&amp;_xlfn.MAXIFS($F$14:$F$1213,$A$14:$A$1213,$H202,$F$14:$F$1213,"&lt;"&amp;_xlfn.MAXIFS($F$14:$F$1213,$A$14:$A$1213,$H202)),$AB$14:$AB$1213,0)),""))</f>
        <v/>
      </c>
      <c r="AM202" s="27">
        <f>IF(OR($H202="",COUNTIFS($A$14:$A$1213,$H202,$F$14:$F$1213,"&gt;=0")&lt;2,COUNTIFS($A$14:$A$1213,$H202,$F$14:$F$1213,_xlfn.MAXIFS($F$14:$F$1213,$A$14:$A$1213,$H202))&gt;1),"",IFERROR(INDEX($E$14:$E$1213,MATCH($H202&amp;"|"&amp;_xlfn.MAXIFS($F$14:$F$1213,$A$14:$A$1213,$H202,$F$14:$F$1213,"&lt;"&amp;_xlfn.MAXIFS($F$14:$F$1213,$A$14:$A$1213,$H202)),$AB$14:$AB$1213,0)),""))</f>
        <v/>
      </c>
      <c r="AN202" s="27">
        <f>IF(OR(NOT(ISNUMBER($AJ202)),NOT(ISNUMBER($AL202)),$AK202=0,$AM202=0),"",IF(OR((($AJ202+$AL202)/($AK202+$AM202))&lt;=0,(($AJ202+$AL202)/($AK202+$AM202))&gt;=1),"",($AJ202/$AK202-$AL202/$AM202)/SQRT((($AJ202+$AL202)/($AK202+$AM202))*(1-(($AJ202+$AL202)/($AK202+$AM202)))*(1/$AK202+1/$AM202))))</f>
        <v/>
      </c>
      <c r="AO202" s="27">
        <f>IF($A202="","",IF(AND(COUNTIFS($A$14:$A$1213,$A202,$F$14:$F$1213,"&gt;=0")=2,IFERROR(INDEX($M$14:$M$313,MATCH($A202,$H$14:$H$313,0)),"Yes")&lt;&gt;"Yes"),1,0))</f>
        <v/>
      </c>
    </row>
    <row r="203" ht="24" customHeight="1">
      <c r="A203" s="19" t="n"/>
      <c r="B203" s="20" t="n"/>
      <c r="C203" s="21">
        <f>IFERROR(AVERAGE(P203:T203),"")</f>
        <v/>
      </c>
      <c r="D203" s="29" t="n"/>
      <c r="E203" s="29" t="n"/>
      <c r="F203" s="30">
        <f>IF(AND(ISNUMBER($D203),ISNUMBER($E203),$E203&gt;0,$D203&lt;=$E203),$D203/$E203,"")</f>
        <v/>
      </c>
      <c r="H203" s="19">
        <f>IFERROR(INDEX($A$14:$A$1213,MATCH(190,$AI$14:$AI$1213,0)),"")</f>
        <v/>
      </c>
      <c r="I203" s="24">
        <f>IF($H203="","",IF(COUNTIFS($A$14:$A$1213,$H203,$C$14:$C$1213,"&gt;=0")=0,"—",IFERROR(INDEX($B$14:$B$1213,MATCH($H203&amp;"|1",$Z$14:$Z$1213,0)),"(tied)")))</f>
        <v/>
      </c>
      <c r="J203" s="25">
        <f>IF($H203="","",IF(OR(COUNTIFS($A$14:$A$1213,$H203,$C$14:$C$1213,"&gt;=0")=0,COUNTIFS($A$14:$A$1213,$H203,$F$14:$F$1213,"&gt;=0")=0),"—",IF(OR(ISERROR(MATCH($H203&amp;"|1",$Z$14:$Z$1213,0)),ISERROR(MATCH($H203&amp;"|1",$AA$14:$AA$1213,0))),"Tie",IF(MATCH($H203&amp;"|1",$Z$14:$Z$1213,0)=MATCH($H203&amp;"|1",$AA$14:$AA$1213,0),"Hit","Miss"))))</f>
        <v/>
      </c>
      <c r="K203" s="24">
        <f>IF($H203="","",IF(COUNTIFS($A$14:$A$1213,$H203,$F$14:$F$1213,"&gt;=0")=0,"—",IFERROR(INDEX($B$14:$B$1213,MATCH($H203&amp;"|1",$AA$14:$AA$1213,0)),"(tied)")))</f>
        <v/>
      </c>
      <c r="L203" s="25">
        <f>IF($H203="","",IF((--(COUNTIFS($A$14:$A$1213,$H203,$P$14:$P$1213,"&gt;=0")&gt;0)+--(COUNTIFS($A$14:$A$1213,$H203,$Q$14:$Q$1213,"&gt;=0")&gt;0)+--(COUNTIFS($A$14:$A$1213,$H203,$R$14:$R$1213,"&gt;=0")&gt;0)+--(COUNTIFS($A$14:$A$1213,$H203,$S$14:$S$1213,"&gt;=0")&gt;0)+--(COUNTIFS($A$14:$A$1213,$H203,$T$14:$T$1213,"&gt;=0")&gt;0))&lt;2,"—",IF(SUMIFS($AH$14:$AH$1213,$A$14:$A$1213,$H203)=0,"Yes","No")))</f>
        <v/>
      </c>
      <c r="M203" s="25">
        <f>IF($H203="","",IF(COUNTIFS($A$14:$A$1213,$H203,$F$14:$F$1213,"&gt;=0")&lt;2,"—",IF(COUNTIFS($A$14:$A$1213,$H203,$F$14:$F$1213,_xlfn.MAXIFS($F$14:$F$1213,$A$14:$A$1213,$H203))&gt;1,"No",IF(NOT(ISNUMBER($AN203)),"—",IF((2*(1-NORMSDIST(ABS($AN203))))&lt;0.05,"Yes","No")))))</f>
        <v/>
      </c>
      <c r="N203" s="21">
        <f>IF($H203="","",IF(NOT(ISNUMBER($AN203)),"—",IF((2*(1-NORMSDIST(ABS($AN203))))&lt;0.001,"&lt;0.001",TEXT((2*(1-NORMSDIST(ABS($AN203)))),"0.000"))))</f>
        <v/>
      </c>
      <c r="P203" s="26" t="n"/>
      <c r="Q203" s="26" t="n"/>
      <c r="R203" s="26" t="n"/>
      <c r="S203" s="26" t="n"/>
      <c r="T203" s="26" t="n"/>
      <c r="V203" s="27">
        <f>IF(ISNUMBER($C203),COUNTIFS($A$14:$A$1213,$A203,$C$14:$C$1213,"&gt;"&amp;$C203)+(COUNTIFS($A$14:$A$1213,$A203,$C$14:$C$1213,"="&amp;$C203)+1)/2,"")</f>
        <v/>
      </c>
      <c r="W203" s="27">
        <f>IF(ISNUMBER($F203),COUNTIFS($A$14:$A$1213,$A203,$F$14:$F$1213,"&gt;"&amp;$F203)+(COUNTIFS($A$14:$A$1213,$A203,$F$14:$F$1213,"="&amp;$F203)+1)/2,"")</f>
        <v/>
      </c>
      <c r="X203" s="27">
        <f>IF(OR(NOT(ISNUMBER($V203)),$AO203=1),"",$V203-(COUNTIFS($A$14:$A$1213,$A203,$C$14:$C$1213,"&gt;=0")+1)/2)</f>
        <v/>
      </c>
      <c r="Y203" s="27">
        <f>IF(OR(NOT(ISNUMBER($W203)),$AO203=1),"",$W203-(COUNTIFS($A$14:$A$1213,$A203,$F$14:$F$1213,"&gt;=0")+1)/2)</f>
        <v/>
      </c>
      <c r="Z203" s="27">
        <f>IF(ISNUMBER($V203),$A203&amp;"|"&amp;$V203,"")</f>
        <v/>
      </c>
      <c r="AA203" s="27">
        <f>IF(ISNUMBER($W203),$A203&amp;"|"&amp;$W203,"")</f>
        <v/>
      </c>
      <c r="AB203" s="27">
        <f>IF(ISNUMBER($F203),$A203&amp;"|"&amp;$F203,"")</f>
        <v/>
      </c>
      <c r="AC203" s="27">
        <f>IF(ISNUMBER($P203),COUNTIFS($A$14:$A$1213,$A203,$P$14:$P$1213,"&gt;"&amp;$P203)+(COUNTIFS($A$14:$A$1213,$A203,$P$14:$P$1213,"="&amp;$P203)+1)/2,"")</f>
        <v/>
      </c>
      <c r="AD203" s="27">
        <f>IF(ISNUMBER($Q203),COUNTIFS($A$14:$A$1213,$A203,$Q$14:$Q$1213,"&gt;"&amp;$Q203)+(COUNTIFS($A$14:$A$1213,$A203,$Q$14:$Q$1213,"="&amp;$Q203)+1)/2,"")</f>
        <v/>
      </c>
      <c r="AE203" s="27">
        <f>IF(ISNUMBER($R203),COUNTIFS($A$14:$A$1213,$A203,$R$14:$R$1213,"&gt;"&amp;$R203)+(COUNTIFS($A$14:$A$1213,$A203,$R$14:$R$1213,"="&amp;$R203)+1)/2,"")</f>
        <v/>
      </c>
      <c r="AF203" s="27">
        <f>IF(ISNUMBER($S203),COUNTIFS($A$14:$A$1213,$A203,$S$14:$S$1213,"&gt;"&amp;$S203)+(COUNTIFS($A$14:$A$1213,$A203,$S$14:$S$1213,"="&amp;$S203)+1)/2,"")</f>
        <v/>
      </c>
      <c r="AG203" s="27">
        <f>IF(ISNUMBER($T203),COUNTIFS($A$14:$A$1213,$A203,$T$14:$T$1213,"&gt;"&amp;$T203)+(COUNTIFS($A$14:$A$1213,$A203,$T$14:$T$1213,"="&amp;$T203)+1)/2,"")</f>
        <v/>
      </c>
      <c r="AH203" s="27">
        <f>IF(COUNT($AC203:$AG203)&lt;2,"",IF(MAX($AC203:$AG203)=MIN($AC203:$AG203),0,1))</f>
        <v/>
      </c>
      <c r="AI203" s="27">
        <f>IF($A203="","",IF(COUNTIF($A$14:$A203,$A203)=1,COUNTIF($AI$13:AI202,"&gt;0")+1,""))</f>
        <v/>
      </c>
      <c r="AJ203" s="27">
        <f>IF(OR($H203="",COUNTIFS($A$14:$A$1213,$H203,$F$14:$F$1213,"&gt;=0")&lt;2,COUNTIFS($A$14:$A$1213,$H203,$F$14:$F$1213,_xlfn.MAXIFS($F$14:$F$1213,$A$14:$A$1213,$H203))&gt;1),"",IFERROR(INDEX($D$14:$D$1213,MATCH($H203&amp;"|"&amp;_xlfn.MAXIFS($F$14:$F$1213,$A$14:$A$1213,$H203),$AB$14:$AB$1213,0)),""))</f>
        <v/>
      </c>
      <c r="AK203" s="27">
        <f>IF(OR($H203="",COUNTIFS($A$14:$A$1213,$H203,$F$14:$F$1213,"&gt;=0")&lt;2,COUNTIFS($A$14:$A$1213,$H203,$F$14:$F$1213,_xlfn.MAXIFS($F$14:$F$1213,$A$14:$A$1213,$H203))&gt;1),"",IFERROR(INDEX($E$14:$E$1213,MATCH($H203&amp;"|"&amp;_xlfn.MAXIFS($F$14:$F$1213,$A$14:$A$1213,$H203),$AB$14:$AB$1213,0)),""))</f>
        <v/>
      </c>
      <c r="AL203" s="27">
        <f>IF(OR($H203="",COUNTIFS($A$14:$A$1213,$H203,$F$14:$F$1213,"&gt;=0")&lt;2,COUNTIFS($A$14:$A$1213,$H203,$F$14:$F$1213,_xlfn.MAXIFS($F$14:$F$1213,$A$14:$A$1213,$H203))&gt;1),"",IFERROR(INDEX($D$14:$D$1213,MATCH($H203&amp;"|"&amp;_xlfn.MAXIFS($F$14:$F$1213,$A$14:$A$1213,$H203,$F$14:$F$1213,"&lt;"&amp;_xlfn.MAXIFS($F$14:$F$1213,$A$14:$A$1213,$H203)),$AB$14:$AB$1213,0)),""))</f>
        <v/>
      </c>
      <c r="AM203" s="27">
        <f>IF(OR($H203="",COUNTIFS($A$14:$A$1213,$H203,$F$14:$F$1213,"&gt;=0")&lt;2,COUNTIFS($A$14:$A$1213,$H203,$F$14:$F$1213,_xlfn.MAXIFS($F$14:$F$1213,$A$14:$A$1213,$H203))&gt;1),"",IFERROR(INDEX($E$14:$E$1213,MATCH($H203&amp;"|"&amp;_xlfn.MAXIFS($F$14:$F$1213,$A$14:$A$1213,$H203,$F$14:$F$1213,"&lt;"&amp;_xlfn.MAXIFS($F$14:$F$1213,$A$14:$A$1213,$H203)),$AB$14:$AB$1213,0)),""))</f>
        <v/>
      </c>
      <c r="AN203" s="27">
        <f>IF(OR(NOT(ISNUMBER($AJ203)),NOT(ISNUMBER($AL203)),$AK203=0,$AM203=0),"",IF(OR((($AJ203+$AL203)/($AK203+$AM203))&lt;=0,(($AJ203+$AL203)/($AK203+$AM203))&gt;=1),"",($AJ203/$AK203-$AL203/$AM203)/SQRT((($AJ203+$AL203)/($AK203+$AM203))*(1-(($AJ203+$AL203)/($AK203+$AM203)))*(1/$AK203+1/$AM203))))</f>
        <v/>
      </c>
      <c r="AO203" s="27">
        <f>IF($A203="","",IF(AND(COUNTIFS($A$14:$A$1213,$A203,$F$14:$F$1213,"&gt;=0")=2,IFERROR(INDEX($M$14:$M$313,MATCH($A203,$H$14:$H$313,0)),"Yes")&lt;&gt;"Yes"),1,0))</f>
        <v/>
      </c>
    </row>
    <row r="204" ht="24" customHeight="1">
      <c r="A204" s="19" t="n"/>
      <c r="B204" s="20" t="n"/>
      <c r="C204" s="21">
        <f>IFERROR(AVERAGE(P204:T204),"")</f>
        <v/>
      </c>
      <c r="D204" s="29" t="n"/>
      <c r="E204" s="29" t="n"/>
      <c r="F204" s="30">
        <f>IF(AND(ISNUMBER($D204),ISNUMBER($E204),$E204&gt;0,$D204&lt;=$E204),$D204/$E204,"")</f>
        <v/>
      </c>
      <c r="H204" s="19">
        <f>IFERROR(INDEX($A$14:$A$1213,MATCH(191,$AI$14:$AI$1213,0)),"")</f>
        <v/>
      </c>
      <c r="I204" s="24">
        <f>IF($H204="","",IF(COUNTIFS($A$14:$A$1213,$H204,$C$14:$C$1213,"&gt;=0")=0,"—",IFERROR(INDEX($B$14:$B$1213,MATCH($H204&amp;"|1",$Z$14:$Z$1213,0)),"(tied)")))</f>
        <v/>
      </c>
      <c r="J204" s="25">
        <f>IF($H204="","",IF(OR(COUNTIFS($A$14:$A$1213,$H204,$C$14:$C$1213,"&gt;=0")=0,COUNTIFS($A$14:$A$1213,$H204,$F$14:$F$1213,"&gt;=0")=0),"—",IF(OR(ISERROR(MATCH($H204&amp;"|1",$Z$14:$Z$1213,0)),ISERROR(MATCH($H204&amp;"|1",$AA$14:$AA$1213,0))),"Tie",IF(MATCH($H204&amp;"|1",$Z$14:$Z$1213,0)=MATCH($H204&amp;"|1",$AA$14:$AA$1213,0),"Hit","Miss"))))</f>
        <v/>
      </c>
      <c r="K204" s="24">
        <f>IF($H204="","",IF(COUNTIFS($A$14:$A$1213,$H204,$F$14:$F$1213,"&gt;=0")=0,"—",IFERROR(INDEX($B$14:$B$1213,MATCH($H204&amp;"|1",$AA$14:$AA$1213,0)),"(tied)")))</f>
        <v/>
      </c>
      <c r="L204" s="25">
        <f>IF($H204="","",IF((--(COUNTIFS($A$14:$A$1213,$H204,$P$14:$P$1213,"&gt;=0")&gt;0)+--(COUNTIFS($A$14:$A$1213,$H204,$Q$14:$Q$1213,"&gt;=0")&gt;0)+--(COUNTIFS($A$14:$A$1213,$H204,$R$14:$R$1213,"&gt;=0")&gt;0)+--(COUNTIFS($A$14:$A$1213,$H204,$S$14:$S$1213,"&gt;=0")&gt;0)+--(COUNTIFS($A$14:$A$1213,$H204,$T$14:$T$1213,"&gt;=0")&gt;0))&lt;2,"—",IF(SUMIFS($AH$14:$AH$1213,$A$14:$A$1213,$H204)=0,"Yes","No")))</f>
        <v/>
      </c>
      <c r="M204" s="25">
        <f>IF($H204="","",IF(COUNTIFS($A$14:$A$1213,$H204,$F$14:$F$1213,"&gt;=0")&lt;2,"—",IF(COUNTIFS($A$14:$A$1213,$H204,$F$14:$F$1213,_xlfn.MAXIFS($F$14:$F$1213,$A$14:$A$1213,$H204))&gt;1,"No",IF(NOT(ISNUMBER($AN204)),"—",IF((2*(1-NORMSDIST(ABS($AN204))))&lt;0.05,"Yes","No")))))</f>
        <v/>
      </c>
      <c r="N204" s="21">
        <f>IF($H204="","",IF(NOT(ISNUMBER($AN204)),"—",IF((2*(1-NORMSDIST(ABS($AN204))))&lt;0.001,"&lt;0.001",TEXT((2*(1-NORMSDIST(ABS($AN204)))),"0.000"))))</f>
        <v/>
      </c>
      <c r="P204" s="26" t="n"/>
      <c r="Q204" s="26" t="n"/>
      <c r="R204" s="26" t="n"/>
      <c r="S204" s="26" t="n"/>
      <c r="T204" s="26" t="n"/>
      <c r="V204" s="27">
        <f>IF(ISNUMBER($C204),COUNTIFS($A$14:$A$1213,$A204,$C$14:$C$1213,"&gt;"&amp;$C204)+(COUNTIFS($A$14:$A$1213,$A204,$C$14:$C$1213,"="&amp;$C204)+1)/2,"")</f>
        <v/>
      </c>
      <c r="W204" s="27">
        <f>IF(ISNUMBER($F204),COUNTIFS($A$14:$A$1213,$A204,$F$14:$F$1213,"&gt;"&amp;$F204)+(COUNTIFS($A$14:$A$1213,$A204,$F$14:$F$1213,"="&amp;$F204)+1)/2,"")</f>
        <v/>
      </c>
      <c r="X204" s="27">
        <f>IF(OR(NOT(ISNUMBER($V204)),$AO204=1),"",$V204-(COUNTIFS($A$14:$A$1213,$A204,$C$14:$C$1213,"&gt;=0")+1)/2)</f>
        <v/>
      </c>
      <c r="Y204" s="27">
        <f>IF(OR(NOT(ISNUMBER($W204)),$AO204=1),"",$W204-(COUNTIFS($A$14:$A$1213,$A204,$F$14:$F$1213,"&gt;=0")+1)/2)</f>
        <v/>
      </c>
      <c r="Z204" s="27">
        <f>IF(ISNUMBER($V204),$A204&amp;"|"&amp;$V204,"")</f>
        <v/>
      </c>
      <c r="AA204" s="27">
        <f>IF(ISNUMBER($W204),$A204&amp;"|"&amp;$W204,"")</f>
        <v/>
      </c>
      <c r="AB204" s="27">
        <f>IF(ISNUMBER($F204),$A204&amp;"|"&amp;$F204,"")</f>
        <v/>
      </c>
      <c r="AC204" s="27">
        <f>IF(ISNUMBER($P204),COUNTIFS($A$14:$A$1213,$A204,$P$14:$P$1213,"&gt;"&amp;$P204)+(COUNTIFS($A$14:$A$1213,$A204,$P$14:$P$1213,"="&amp;$P204)+1)/2,"")</f>
        <v/>
      </c>
      <c r="AD204" s="27">
        <f>IF(ISNUMBER($Q204),COUNTIFS($A$14:$A$1213,$A204,$Q$14:$Q$1213,"&gt;"&amp;$Q204)+(COUNTIFS($A$14:$A$1213,$A204,$Q$14:$Q$1213,"="&amp;$Q204)+1)/2,"")</f>
        <v/>
      </c>
      <c r="AE204" s="27">
        <f>IF(ISNUMBER($R204),COUNTIFS($A$14:$A$1213,$A204,$R$14:$R$1213,"&gt;"&amp;$R204)+(COUNTIFS($A$14:$A$1213,$A204,$R$14:$R$1213,"="&amp;$R204)+1)/2,"")</f>
        <v/>
      </c>
      <c r="AF204" s="27">
        <f>IF(ISNUMBER($S204),COUNTIFS($A$14:$A$1213,$A204,$S$14:$S$1213,"&gt;"&amp;$S204)+(COUNTIFS($A$14:$A$1213,$A204,$S$14:$S$1213,"="&amp;$S204)+1)/2,"")</f>
        <v/>
      </c>
      <c r="AG204" s="27">
        <f>IF(ISNUMBER($T204),COUNTIFS($A$14:$A$1213,$A204,$T$14:$T$1213,"&gt;"&amp;$T204)+(COUNTIFS($A$14:$A$1213,$A204,$T$14:$T$1213,"="&amp;$T204)+1)/2,"")</f>
        <v/>
      </c>
      <c r="AH204" s="27">
        <f>IF(COUNT($AC204:$AG204)&lt;2,"",IF(MAX($AC204:$AG204)=MIN($AC204:$AG204),0,1))</f>
        <v/>
      </c>
      <c r="AI204" s="27">
        <f>IF($A204="","",IF(COUNTIF($A$14:$A204,$A204)=1,COUNTIF($AI$13:AI203,"&gt;0")+1,""))</f>
        <v/>
      </c>
      <c r="AJ204" s="27">
        <f>IF(OR($H204="",COUNTIFS($A$14:$A$1213,$H204,$F$14:$F$1213,"&gt;=0")&lt;2,COUNTIFS($A$14:$A$1213,$H204,$F$14:$F$1213,_xlfn.MAXIFS($F$14:$F$1213,$A$14:$A$1213,$H204))&gt;1),"",IFERROR(INDEX($D$14:$D$1213,MATCH($H204&amp;"|"&amp;_xlfn.MAXIFS($F$14:$F$1213,$A$14:$A$1213,$H204),$AB$14:$AB$1213,0)),""))</f>
        <v/>
      </c>
      <c r="AK204" s="27">
        <f>IF(OR($H204="",COUNTIFS($A$14:$A$1213,$H204,$F$14:$F$1213,"&gt;=0")&lt;2,COUNTIFS($A$14:$A$1213,$H204,$F$14:$F$1213,_xlfn.MAXIFS($F$14:$F$1213,$A$14:$A$1213,$H204))&gt;1),"",IFERROR(INDEX($E$14:$E$1213,MATCH($H204&amp;"|"&amp;_xlfn.MAXIFS($F$14:$F$1213,$A$14:$A$1213,$H204),$AB$14:$AB$1213,0)),""))</f>
        <v/>
      </c>
      <c r="AL204" s="27">
        <f>IF(OR($H204="",COUNTIFS($A$14:$A$1213,$H204,$F$14:$F$1213,"&gt;=0")&lt;2,COUNTIFS($A$14:$A$1213,$H204,$F$14:$F$1213,_xlfn.MAXIFS($F$14:$F$1213,$A$14:$A$1213,$H204))&gt;1),"",IFERROR(INDEX($D$14:$D$1213,MATCH($H204&amp;"|"&amp;_xlfn.MAXIFS($F$14:$F$1213,$A$14:$A$1213,$H204,$F$14:$F$1213,"&lt;"&amp;_xlfn.MAXIFS($F$14:$F$1213,$A$14:$A$1213,$H204)),$AB$14:$AB$1213,0)),""))</f>
        <v/>
      </c>
      <c r="AM204" s="27">
        <f>IF(OR($H204="",COUNTIFS($A$14:$A$1213,$H204,$F$14:$F$1213,"&gt;=0")&lt;2,COUNTIFS($A$14:$A$1213,$H204,$F$14:$F$1213,_xlfn.MAXIFS($F$14:$F$1213,$A$14:$A$1213,$H204))&gt;1),"",IFERROR(INDEX($E$14:$E$1213,MATCH($H204&amp;"|"&amp;_xlfn.MAXIFS($F$14:$F$1213,$A$14:$A$1213,$H204,$F$14:$F$1213,"&lt;"&amp;_xlfn.MAXIFS($F$14:$F$1213,$A$14:$A$1213,$H204)),$AB$14:$AB$1213,0)),""))</f>
        <v/>
      </c>
      <c r="AN204" s="27">
        <f>IF(OR(NOT(ISNUMBER($AJ204)),NOT(ISNUMBER($AL204)),$AK204=0,$AM204=0),"",IF(OR((($AJ204+$AL204)/($AK204+$AM204))&lt;=0,(($AJ204+$AL204)/($AK204+$AM204))&gt;=1),"",($AJ204/$AK204-$AL204/$AM204)/SQRT((($AJ204+$AL204)/($AK204+$AM204))*(1-(($AJ204+$AL204)/($AK204+$AM204)))*(1/$AK204+1/$AM204))))</f>
        <v/>
      </c>
      <c r="AO204" s="27">
        <f>IF($A204="","",IF(AND(COUNTIFS($A$14:$A$1213,$A204,$F$14:$F$1213,"&gt;=0")=2,IFERROR(INDEX($M$14:$M$313,MATCH($A204,$H$14:$H$313,0)),"Yes")&lt;&gt;"Yes"),1,0))</f>
        <v/>
      </c>
    </row>
    <row r="205" ht="24" customHeight="1">
      <c r="A205" s="19" t="n"/>
      <c r="B205" s="20" t="n"/>
      <c r="C205" s="21">
        <f>IFERROR(AVERAGE(P205:T205),"")</f>
        <v/>
      </c>
      <c r="D205" s="29" t="n"/>
      <c r="E205" s="29" t="n"/>
      <c r="F205" s="30">
        <f>IF(AND(ISNUMBER($D205),ISNUMBER($E205),$E205&gt;0,$D205&lt;=$E205),$D205/$E205,"")</f>
        <v/>
      </c>
      <c r="H205" s="19">
        <f>IFERROR(INDEX($A$14:$A$1213,MATCH(192,$AI$14:$AI$1213,0)),"")</f>
        <v/>
      </c>
      <c r="I205" s="24">
        <f>IF($H205="","",IF(COUNTIFS($A$14:$A$1213,$H205,$C$14:$C$1213,"&gt;=0")=0,"—",IFERROR(INDEX($B$14:$B$1213,MATCH($H205&amp;"|1",$Z$14:$Z$1213,0)),"(tied)")))</f>
        <v/>
      </c>
      <c r="J205" s="25">
        <f>IF($H205="","",IF(OR(COUNTIFS($A$14:$A$1213,$H205,$C$14:$C$1213,"&gt;=0")=0,COUNTIFS($A$14:$A$1213,$H205,$F$14:$F$1213,"&gt;=0")=0),"—",IF(OR(ISERROR(MATCH($H205&amp;"|1",$Z$14:$Z$1213,0)),ISERROR(MATCH($H205&amp;"|1",$AA$14:$AA$1213,0))),"Tie",IF(MATCH($H205&amp;"|1",$Z$14:$Z$1213,0)=MATCH($H205&amp;"|1",$AA$14:$AA$1213,0),"Hit","Miss"))))</f>
        <v/>
      </c>
      <c r="K205" s="24">
        <f>IF($H205="","",IF(COUNTIFS($A$14:$A$1213,$H205,$F$14:$F$1213,"&gt;=0")=0,"—",IFERROR(INDEX($B$14:$B$1213,MATCH($H205&amp;"|1",$AA$14:$AA$1213,0)),"(tied)")))</f>
        <v/>
      </c>
      <c r="L205" s="25">
        <f>IF($H205="","",IF((--(COUNTIFS($A$14:$A$1213,$H205,$P$14:$P$1213,"&gt;=0")&gt;0)+--(COUNTIFS($A$14:$A$1213,$H205,$Q$14:$Q$1213,"&gt;=0")&gt;0)+--(COUNTIFS($A$14:$A$1213,$H205,$R$14:$R$1213,"&gt;=0")&gt;0)+--(COUNTIFS($A$14:$A$1213,$H205,$S$14:$S$1213,"&gt;=0")&gt;0)+--(COUNTIFS($A$14:$A$1213,$H205,$T$14:$T$1213,"&gt;=0")&gt;0))&lt;2,"—",IF(SUMIFS($AH$14:$AH$1213,$A$14:$A$1213,$H205)=0,"Yes","No")))</f>
        <v/>
      </c>
      <c r="M205" s="25">
        <f>IF($H205="","",IF(COUNTIFS($A$14:$A$1213,$H205,$F$14:$F$1213,"&gt;=0")&lt;2,"—",IF(COUNTIFS($A$14:$A$1213,$H205,$F$14:$F$1213,_xlfn.MAXIFS($F$14:$F$1213,$A$14:$A$1213,$H205))&gt;1,"No",IF(NOT(ISNUMBER($AN205)),"—",IF((2*(1-NORMSDIST(ABS($AN205))))&lt;0.05,"Yes","No")))))</f>
        <v/>
      </c>
      <c r="N205" s="21">
        <f>IF($H205="","",IF(NOT(ISNUMBER($AN205)),"—",IF((2*(1-NORMSDIST(ABS($AN205))))&lt;0.001,"&lt;0.001",TEXT((2*(1-NORMSDIST(ABS($AN205)))),"0.000"))))</f>
        <v/>
      </c>
      <c r="P205" s="26" t="n"/>
      <c r="Q205" s="26" t="n"/>
      <c r="R205" s="26" t="n"/>
      <c r="S205" s="26" t="n"/>
      <c r="T205" s="26" t="n"/>
      <c r="V205" s="27">
        <f>IF(ISNUMBER($C205),COUNTIFS($A$14:$A$1213,$A205,$C$14:$C$1213,"&gt;"&amp;$C205)+(COUNTIFS($A$14:$A$1213,$A205,$C$14:$C$1213,"="&amp;$C205)+1)/2,"")</f>
        <v/>
      </c>
      <c r="W205" s="27">
        <f>IF(ISNUMBER($F205),COUNTIFS($A$14:$A$1213,$A205,$F$14:$F$1213,"&gt;"&amp;$F205)+(COUNTIFS($A$14:$A$1213,$A205,$F$14:$F$1213,"="&amp;$F205)+1)/2,"")</f>
        <v/>
      </c>
      <c r="X205" s="27">
        <f>IF(OR(NOT(ISNUMBER($V205)),$AO205=1),"",$V205-(COUNTIFS($A$14:$A$1213,$A205,$C$14:$C$1213,"&gt;=0")+1)/2)</f>
        <v/>
      </c>
      <c r="Y205" s="27">
        <f>IF(OR(NOT(ISNUMBER($W205)),$AO205=1),"",$W205-(COUNTIFS($A$14:$A$1213,$A205,$F$14:$F$1213,"&gt;=0")+1)/2)</f>
        <v/>
      </c>
      <c r="Z205" s="27">
        <f>IF(ISNUMBER($V205),$A205&amp;"|"&amp;$V205,"")</f>
        <v/>
      </c>
      <c r="AA205" s="27">
        <f>IF(ISNUMBER($W205),$A205&amp;"|"&amp;$W205,"")</f>
        <v/>
      </c>
      <c r="AB205" s="27">
        <f>IF(ISNUMBER($F205),$A205&amp;"|"&amp;$F205,"")</f>
        <v/>
      </c>
      <c r="AC205" s="27">
        <f>IF(ISNUMBER($P205),COUNTIFS($A$14:$A$1213,$A205,$P$14:$P$1213,"&gt;"&amp;$P205)+(COUNTIFS($A$14:$A$1213,$A205,$P$14:$P$1213,"="&amp;$P205)+1)/2,"")</f>
        <v/>
      </c>
      <c r="AD205" s="27">
        <f>IF(ISNUMBER($Q205),COUNTIFS($A$14:$A$1213,$A205,$Q$14:$Q$1213,"&gt;"&amp;$Q205)+(COUNTIFS($A$14:$A$1213,$A205,$Q$14:$Q$1213,"="&amp;$Q205)+1)/2,"")</f>
        <v/>
      </c>
      <c r="AE205" s="27">
        <f>IF(ISNUMBER($R205),COUNTIFS($A$14:$A$1213,$A205,$R$14:$R$1213,"&gt;"&amp;$R205)+(COUNTIFS($A$14:$A$1213,$A205,$R$14:$R$1213,"="&amp;$R205)+1)/2,"")</f>
        <v/>
      </c>
      <c r="AF205" s="27">
        <f>IF(ISNUMBER($S205),COUNTIFS($A$14:$A$1213,$A205,$S$14:$S$1213,"&gt;"&amp;$S205)+(COUNTIFS($A$14:$A$1213,$A205,$S$14:$S$1213,"="&amp;$S205)+1)/2,"")</f>
        <v/>
      </c>
      <c r="AG205" s="27">
        <f>IF(ISNUMBER($T205),COUNTIFS($A$14:$A$1213,$A205,$T$14:$T$1213,"&gt;"&amp;$T205)+(COUNTIFS($A$14:$A$1213,$A205,$T$14:$T$1213,"="&amp;$T205)+1)/2,"")</f>
        <v/>
      </c>
      <c r="AH205" s="27">
        <f>IF(COUNT($AC205:$AG205)&lt;2,"",IF(MAX($AC205:$AG205)=MIN($AC205:$AG205),0,1))</f>
        <v/>
      </c>
      <c r="AI205" s="27">
        <f>IF($A205="","",IF(COUNTIF($A$14:$A205,$A205)=1,COUNTIF($AI$13:AI204,"&gt;0")+1,""))</f>
        <v/>
      </c>
      <c r="AJ205" s="27">
        <f>IF(OR($H205="",COUNTIFS($A$14:$A$1213,$H205,$F$14:$F$1213,"&gt;=0")&lt;2,COUNTIFS($A$14:$A$1213,$H205,$F$14:$F$1213,_xlfn.MAXIFS($F$14:$F$1213,$A$14:$A$1213,$H205))&gt;1),"",IFERROR(INDEX($D$14:$D$1213,MATCH($H205&amp;"|"&amp;_xlfn.MAXIFS($F$14:$F$1213,$A$14:$A$1213,$H205),$AB$14:$AB$1213,0)),""))</f>
        <v/>
      </c>
      <c r="AK205" s="27">
        <f>IF(OR($H205="",COUNTIFS($A$14:$A$1213,$H205,$F$14:$F$1213,"&gt;=0")&lt;2,COUNTIFS($A$14:$A$1213,$H205,$F$14:$F$1213,_xlfn.MAXIFS($F$14:$F$1213,$A$14:$A$1213,$H205))&gt;1),"",IFERROR(INDEX($E$14:$E$1213,MATCH($H205&amp;"|"&amp;_xlfn.MAXIFS($F$14:$F$1213,$A$14:$A$1213,$H205),$AB$14:$AB$1213,0)),""))</f>
        <v/>
      </c>
      <c r="AL205" s="27">
        <f>IF(OR($H205="",COUNTIFS($A$14:$A$1213,$H205,$F$14:$F$1213,"&gt;=0")&lt;2,COUNTIFS($A$14:$A$1213,$H205,$F$14:$F$1213,_xlfn.MAXIFS($F$14:$F$1213,$A$14:$A$1213,$H205))&gt;1),"",IFERROR(INDEX($D$14:$D$1213,MATCH($H205&amp;"|"&amp;_xlfn.MAXIFS($F$14:$F$1213,$A$14:$A$1213,$H205,$F$14:$F$1213,"&lt;"&amp;_xlfn.MAXIFS($F$14:$F$1213,$A$14:$A$1213,$H205)),$AB$14:$AB$1213,0)),""))</f>
        <v/>
      </c>
      <c r="AM205" s="27">
        <f>IF(OR($H205="",COUNTIFS($A$14:$A$1213,$H205,$F$14:$F$1213,"&gt;=0")&lt;2,COUNTIFS($A$14:$A$1213,$H205,$F$14:$F$1213,_xlfn.MAXIFS($F$14:$F$1213,$A$14:$A$1213,$H205))&gt;1),"",IFERROR(INDEX($E$14:$E$1213,MATCH($H205&amp;"|"&amp;_xlfn.MAXIFS($F$14:$F$1213,$A$14:$A$1213,$H205,$F$14:$F$1213,"&lt;"&amp;_xlfn.MAXIFS($F$14:$F$1213,$A$14:$A$1213,$H205)),$AB$14:$AB$1213,0)),""))</f>
        <v/>
      </c>
      <c r="AN205" s="27">
        <f>IF(OR(NOT(ISNUMBER($AJ205)),NOT(ISNUMBER($AL205)),$AK205=0,$AM205=0),"",IF(OR((($AJ205+$AL205)/($AK205+$AM205))&lt;=0,(($AJ205+$AL205)/($AK205+$AM205))&gt;=1),"",($AJ205/$AK205-$AL205/$AM205)/SQRT((($AJ205+$AL205)/($AK205+$AM205))*(1-(($AJ205+$AL205)/($AK205+$AM205)))*(1/$AK205+1/$AM205))))</f>
        <v/>
      </c>
      <c r="AO205" s="27">
        <f>IF($A205="","",IF(AND(COUNTIFS($A$14:$A$1213,$A205,$F$14:$F$1213,"&gt;=0")=2,IFERROR(INDEX($M$14:$M$313,MATCH($A205,$H$14:$H$313,0)),"Yes")&lt;&gt;"Yes"),1,0))</f>
        <v/>
      </c>
    </row>
    <row r="206" ht="24" customHeight="1">
      <c r="A206" s="19" t="n"/>
      <c r="B206" s="20" t="n"/>
      <c r="C206" s="21">
        <f>IFERROR(AVERAGE(P206:T206),"")</f>
        <v/>
      </c>
      <c r="D206" s="29" t="n"/>
      <c r="E206" s="29" t="n"/>
      <c r="F206" s="30">
        <f>IF(AND(ISNUMBER($D206),ISNUMBER($E206),$E206&gt;0,$D206&lt;=$E206),$D206/$E206,"")</f>
        <v/>
      </c>
      <c r="H206" s="19">
        <f>IFERROR(INDEX($A$14:$A$1213,MATCH(193,$AI$14:$AI$1213,0)),"")</f>
        <v/>
      </c>
      <c r="I206" s="24">
        <f>IF($H206="","",IF(COUNTIFS($A$14:$A$1213,$H206,$C$14:$C$1213,"&gt;=0")=0,"—",IFERROR(INDEX($B$14:$B$1213,MATCH($H206&amp;"|1",$Z$14:$Z$1213,0)),"(tied)")))</f>
        <v/>
      </c>
      <c r="J206" s="25">
        <f>IF($H206="","",IF(OR(COUNTIFS($A$14:$A$1213,$H206,$C$14:$C$1213,"&gt;=0")=0,COUNTIFS($A$14:$A$1213,$H206,$F$14:$F$1213,"&gt;=0")=0),"—",IF(OR(ISERROR(MATCH($H206&amp;"|1",$Z$14:$Z$1213,0)),ISERROR(MATCH($H206&amp;"|1",$AA$14:$AA$1213,0))),"Tie",IF(MATCH($H206&amp;"|1",$Z$14:$Z$1213,0)=MATCH($H206&amp;"|1",$AA$14:$AA$1213,0),"Hit","Miss"))))</f>
        <v/>
      </c>
      <c r="K206" s="24">
        <f>IF($H206="","",IF(COUNTIFS($A$14:$A$1213,$H206,$F$14:$F$1213,"&gt;=0")=0,"—",IFERROR(INDEX($B$14:$B$1213,MATCH($H206&amp;"|1",$AA$14:$AA$1213,0)),"(tied)")))</f>
        <v/>
      </c>
      <c r="L206" s="25">
        <f>IF($H206="","",IF((--(COUNTIFS($A$14:$A$1213,$H206,$P$14:$P$1213,"&gt;=0")&gt;0)+--(COUNTIFS($A$14:$A$1213,$H206,$Q$14:$Q$1213,"&gt;=0")&gt;0)+--(COUNTIFS($A$14:$A$1213,$H206,$R$14:$R$1213,"&gt;=0")&gt;0)+--(COUNTIFS($A$14:$A$1213,$H206,$S$14:$S$1213,"&gt;=0")&gt;0)+--(COUNTIFS($A$14:$A$1213,$H206,$T$14:$T$1213,"&gt;=0")&gt;0))&lt;2,"—",IF(SUMIFS($AH$14:$AH$1213,$A$14:$A$1213,$H206)=0,"Yes","No")))</f>
        <v/>
      </c>
      <c r="M206" s="25">
        <f>IF($H206="","",IF(COUNTIFS($A$14:$A$1213,$H206,$F$14:$F$1213,"&gt;=0")&lt;2,"—",IF(COUNTIFS($A$14:$A$1213,$H206,$F$14:$F$1213,_xlfn.MAXIFS($F$14:$F$1213,$A$14:$A$1213,$H206))&gt;1,"No",IF(NOT(ISNUMBER($AN206)),"—",IF((2*(1-NORMSDIST(ABS($AN206))))&lt;0.05,"Yes","No")))))</f>
        <v/>
      </c>
      <c r="N206" s="21">
        <f>IF($H206="","",IF(NOT(ISNUMBER($AN206)),"—",IF((2*(1-NORMSDIST(ABS($AN206))))&lt;0.001,"&lt;0.001",TEXT((2*(1-NORMSDIST(ABS($AN206)))),"0.000"))))</f>
        <v/>
      </c>
      <c r="P206" s="26" t="n"/>
      <c r="Q206" s="26" t="n"/>
      <c r="R206" s="26" t="n"/>
      <c r="S206" s="26" t="n"/>
      <c r="T206" s="26" t="n"/>
      <c r="V206" s="27">
        <f>IF(ISNUMBER($C206),COUNTIFS($A$14:$A$1213,$A206,$C$14:$C$1213,"&gt;"&amp;$C206)+(COUNTIFS($A$14:$A$1213,$A206,$C$14:$C$1213,"="&amp;$C206)+1)/2,"")</f>
        <v/>
      </c>
      <c r="W206" s="27">
        <f>IF(ISNUMBER($F206),COUNTIFS($A$14:$A$1213,$A206,$F$14:$F$1213,"&gt;"&amp;$F206)+(COUNTIFS($A$14:$A$1213,$A206,$F$14:$F$1213,"="&amp;$F206)+1)/2,"")</f>
        <v/>
      </c>
      <c r="X206" s="27">
        <f>IF(OR(NOT(ISNUMBER($V206)),$AO206=1),"",$V206-(COUNTIFS($A$14:$A$1213,$A206,$C$14:$C$1213,"&gt;=0")+1)/2)</f>
        <v/>
      </c>
      <c r="Y206" s="27">
        <f>IF(OR(NOT(ISNUMBER($W206)),$AO206=1),"",$W206-(COUNTIFS($A$14:$A$1213,$A206,$F$14:$F$1213,"&gt;=0")+1)/2)</f>
        <v/>
      </c>
      <c r="Z206" s="27">
        <f>IF(ISNUMBER($V206),$A206&amp;"|"&amp;$V206,"")</f>
        <v/>
      </c>
      <c r="AA206" s="27">
        <f>IF(ISNUMBER($W206),$A206&amp;"|"&amp;$W206,"")</f>
        <v/>
      </c>
      <c r="AB206" s="27">
        <f>IF(ISNUMBER($F206),$A206&amp;"|"&amp;$F206,"")</f>
        <v/>
      </c>
      <c r="AC206" s="27">
        <f>IF(ISNUMBER($P206),COUNTIFS($A$14:$A$1213,$A206,$P$14:$P$1213,"&gt;"&amp;$P206)+(COUNTIFS($A$14:$A$1213,$A206,$P$14:$P$1213,"="&amp;$P206)+1)/2,"")</f>
        <v/>
      </c>
      <c r="AD206" s="27">
        <f>IF(ISNUMBER($Q206),COUNTIFS($A$14:$A$1213,$A206,$Q$14:$Q$1213,"&gt;"&amp;$Q206)+(COUNTIFS($A$14:$A$1213,$A206,$Q$14:$Q$1213,"="&amp;$Q206)+1)/2,"")</f>
        <v/>
      </c>
      <c r="AE206" s="27">
        <f>IF(ISNUMBER($R206),COUNTIFS($A$14:$A$1213,$A206,$R$14:$R$1213,"&gt;"&amp;$R206)+(COUNTIFS($A$14:$A$1213,$A206,$R$14:$R$1213,"="&amp;$R206)+1)/2,"")</f>
        <v/>
      </c>
      <c r="AF206" s="27">
        <f>IF(ISNUMBER($S206),COUNTIFS($A$14:$A$1213,$A206,$S$14:$S$1213,"&gt;"&amp;$S206)+(COUNTIFS($A$14:$A$1213,$A206,$S$14:$S$1213,"="&amp;$S206)+1)/2,"")</f>
        <v/>
      </c>
      <c r="AG206" s="27">
        <f>IF(ISNUMBER($T206),COUNTIFS($A$14:$A$1213,$A206,$T$14:$T$1213,"&gt;"&amp;$T206)+(COUNTIFS($A$14:$A$1213,$A206,$T$14:$T$1213,"="&amp;$T206)+1)/2,"")</f>
        <v/>
      </c>
      <c r="AH206" s="27">
        <f>IF(COUNT($AC206:$AG206)&lt;2,"",IF(MAX($AC206:$AG206)=MIN($AC206:$AG206),0,1))</f>
        <v/>
      </c>
      <c r="AI206" s="27">
        <f>IF($A206="","",IF(COUNTIF($A$14:$A206,$A206)=1,COUNTIF($AI$13:AI205,"&gt;0")+1,""))</f>
        <v/>
      </c>
      <c r="AJ206" s="27">
        <f>IF(OR($H206="",COUNTIFS($A$14:$A$1213,$H206,$F$14:$F$1213,"&gt;=0")&lt;2,COUNTIFS($A$14:$A$1213,$H206,$F$14:$F$1213,_xlfn.MAXIFS($F$14:$F$1213,$A$14:$A$1213,$H206))&gt;1),"",IFERROR(INDEX($D$14:$D$1213,MATCH($H206&amp;"|"&amp;_xlfn.MAXIFS($F$14:$F$1213,$A$14:$A$1213,$H206),$AB$14:$AB$1213,0)),""))</f>
        <v/>
      </c>
      <c r="AK206" s="27">
        <f>IF(OR($H206="",COUNTIFS($A$14:$A$1213,$H206,$F$14:$F$1213,"&gt;=0")&lt;2,COUNTIFS($A$14:$A$1213,$H206,$F$14:$F$1213,_xlfn.MAXIFS($F$14:$F$1213,$A$14:$A$1213,$H206))&gt;1),"",IFERROR(INDEX($E$14:$E$1213,MATCH($H206&amp;"|"&amp;_xlfn.MAXIFS($F$14:$F$1213,$A$14:$A$1213,$H206),$AB$14:$AB$1213,0)),""))</f>
        <v/>
      </c>
      <c r="AL206" s="27">
        <f>IF(OR($H206="",COUNTIFS($A$14:$A$1213,$H206,$F$14:$F$1213,"&gt;=0")&lt;2,COUNTIFS($A$14:$A$1213,$H206,$F$14:$F$1213,_xlfn.MAXIFS($F$14:$F$1213,$A$14:$A$1213,$H206))&gt;1),"",IFERROR(INDEX($D$14:$D$1213,MATCH($H206&amp;"|"&amp;_xlfn.MAXIFS($F$14:$F$1213,$A$14:$A$1213,$H206,$F$14:$F$1213,"&lt;"&amp;_xlfn.MAXIFS($F$14:$F$1213,$A$14:$A$1213,$H206)),$AB$14:$AB$1213,0)),""))</f>
        <v/>
      </c>
      <c r="AM206" s="27">
        <f>IF(OR($H206="",COUNTIFS($A$14:$A$1213,$H206,$F$14:$F$1213,"&gt;=0")&lt;2,COUNTIFS($A$14:$A$1213,$H206,$F$14:$F$1213,_xlfn.MAXIFS($F$14:$F$1213,$A$14:$A$1213,$H206))&gt;1),"",IFERROR(INDEX($E$14:$E$1213,MATCH($H206&amp;"|"&amp;_xlfn.MAXIFS($F$14:$F$1213,$A$14:$A$1213,$H206,$F$14:$F$1213,"&lt;"&amp;_xlfn.MAXIFS($F$14:$F$1213,$A$14:$A$1213,$H206)),$AB$14:$AB$1213,0)),""))</f>
        <v/>
      </c>
      <c r="AN206" s="27">
        <f>IF(OR(NOT(ISNUMBER($AJ206)),NOT(ISNUMBER($AL206)),$AK206=0,$AM206=0),"",IF(OR((($AJ206+$AL206)/($AK206+$AM206))&lt;=0,(($AJ206+$AL206)/($AK206+$AM206))&gt;=1),"",($AJ206/$AK206-$AL206/$AM206)/SQRT((($AJ206+$AL206)/($AK206+$AM206))*(1-(($AJ206+$AL206)/($AK206+$AM206)))*(1/$AK206+1/$AM206))))</f>
        <v/>
      </c>
      <c r="AO206" s="27">
        <f>IF($A206="","",IF(AND(COUNTIFS($A$14:$A$1213,$A206,$F$14:$F$1213,"&gt;=0")=2,IFERROR(INDEX($M$14:$M$313,MATCH($A206,$H$14:$H$313,0)),"Yes")&lt;&gt;"Yes"),1,0))</f>
        <v/>
      </c>
    </row>
    <row r="207" ht="24" customHeight="1">
      <c r="A207" s="19" t="n"/>
      <c r="B207" s="20" t="n"/>
      <c r="C207" s="21">
        <f>IFERROR(AVERAGE(P207:T207),"")</f>
        <v/>
      </c>
      <c r="D207" s="29" t="n"/>
      <c r="E207" s="29" t="n"/>
      <c r="F207" s="30">
        <f>IF(AND(ISNUMBER($D207),ISNUMBER($E207),$E207&gt;0,$D207&lt;=$E207),$D207/$E207,"")</f>
        <v/>
      </c>
      <c r="H207" s="19">
        <f>IFERROR(INDEX($A$14:$A$1213,MATCH(194,$AI$14:$AI$1213,0)),"")</f>
        <v/>
      </c>
      <c r="I207" s="24">
        <f>IF($H207="","",IF(COUNTIFS($A$14:$A$1213,$H207,$C$14:$C$1213,"&gt;=0")=0,"—",IFERROR(INDEX($B$14:$B$1213,MATCH($H207&amp;"|1",$Z$14:$Z$1213,0)),"(tied)")))</f>
        <v/>
      </c>
      <c r="J207" s="25">
        <f>IF($H207="","",IF(OR(COUNTIFS($A$14:$A$1213,$H207,$C$14:$C$1213,"&gt;=0")=0,COUNTIFS($A$14:$A$1213,$H207,$F$14:$F$1213,"&gt;=0")=0),"—",IF(OR(ISERROR(MATCH($H207&amp;"|1",$Z$14:$Z$1213,0)),ISERROR(MATCH($H207&amp;"|1",$AA$14:$AA$1213,0))),"Tie",IF(MATCH($H207&amp;"|1",$Z$14:$Z$1213,0)=MATCH($H207&amp;"|1",$AA$14:$AA$1213,0),"Hit","Miss"))))</f>
        <v/>
      </c>
      <c r="K207" s="24">
        <f>IF($H207="","",IF(COUNTIFS($A$14:$A$1213,$H207,$F$14:$F$1213,"&gt;=0")=0,"—",IFERROR(INDEX($B$14:$B$1213,MATCH($H207&amp;"|1",$AA$14:$AA$1213,0)),"(tied)")))</f>
        <v/>
      </c>
      <c r="L207" s="25">
        <f>IF($H207="","",IF((--(COUNTIFS($A$14:$A$1213,$H207,$P$14:$P$1213,"&gt;=0")&gt;0)+--(COUNTIFS($A$14:$A$1213,$H207,$Q$14:$Q$1213,"&gt;=0")&gt;0)+--(COUNTIFS($A$14:$A$1213,$H207,$R$14:$R$1213,"&gt;=0")&gt;0)+--(COUNTIFS($A$14:$A$1213,$H207,$S$14:$S$1213,"&gt;=0")&gt;0)+--(COUNTIFS($A$14:$A$1213,$H207,$T$14:$T$1213,"&gt;=0")&gt;0))&lt;2,"—",IF(SUMIFS($AH$14:$AH$1213,$A$14:$A$1213,$H207)=0,"Yes","No")))</f>
        <v/>
      </c>
      <c r="M207" s="25">
        <f>IF($H207="","",IF(COUNTIFS($A$14:$A$1213,$H207,$F$14:$F$1213,"&gt;=0")&lt;2,"—",IF(COUNTIFS($A$14:$A$1213,$H207,$F$14:$F$1213,_xlfn.MAXIFS($F$14:$F$1213,$A$14:$A$1213,$H207))&gt;1,"No",IF(NOT(ISNUMBER($AN207)),"—",IF((2*(1-NORMSDIST(ABS($AN207))))&lt;0.05,"Yes","No")))))</f>
        <v/>
      </c>
      <c r="N207" s="21">
        <f>IF($H207="","",IF(NOT(ISNUMBER($AN207)),"—",IF((2*(1-NORMSDIST(ABS($AN207))))&lt;0.001,"&lt;0.001",TEXT((2*(1-NORMSDIST(ABS($AN207)))),"0.000"))))</f>
        <v/>
      </c>
      <c r="P207" s="26" t="n"/>
      <c r="Q207" s="26" t="n"/>
      <c r="R207" s="26" t="n"/>
      <c r="S207" s="26" t="n"/>
      <c r="T207" s="26" t="n"/>
      <c r="V207" s="27">
        <f>IF(ISNUMBER($C207),COUNTIFS($A$14:$A$1213,$A207,$C$14:$C$1213,"&gt;"&amp;$C207)+(COUNTIFS($A$14:$A$1213,$A207,$C$14:$C$1213,"="&amp;$C207)+1)/2,"")</f>
        <v/>
      </c>
      <c r="W207" s="27">
        <f>IF(ISNUMBER($F207),COUNTIFS($A$14:$A$1213,$A207,$F$14:$F$1213,"&gt;"&amp;$F207)+(COUNTIFS($A$14:$A$1213,$A207,$F$14:$F$1213,"="&amp;$F207)+1)/2,"")</f>
        <v/>
      </c>
      <c r="X207" s="27">
        <f>IF(OR(NOT(ISNUMBER($V207)),$AO207=1),"",$V207-(COUNTIFS($A$14:$A$1213,$A207,$C$14:$C$1213,"&gt;=0")+1)/2)</f>
        <v/>
      </c>
      <c r="Y207" s="27">
        <f>IF(OR(NOT(ISNUMBER($W207)),$AO207=1),"",$W207-(COUNTIFS($A$14:$A$1213,$A207,$F$14:$F$1213,"&gt;=0")+1)/2)</f>
        <v/>
      </c>
      <c r="Z207" s="27">
        <f>IF(ISNUMBER($V207),$A207&amp;"|"&amp;$V207,"")</f>
        <v/>
      </c>
      <c r="AA207" s="27">
        <f>IF(ISNUMBER($W207),$A207&amp;"|"&amp;$W207,"")</f>
        <v/>
      </c>
      <c r="AB207" s="27">
        <f>IF(ISNUMBER($F207),$A207&amp;"|"&amp;$F207,"")</f>
        <v/>
      </c>
      <c r="AC207" s="27">
        <f>IF(ISNUMBER($P207),COUNTIFS($A$14:$A$1213,$A207,$P$14:$P$1213,"&gt;"&amp;$P207)+(COUNTIFS($A$14:$A$1213,$A207,$P$14:$P$1213,"="&amp;$P207)+1)/2,"")</f>
        <v/>
      </c>
      <c r="AD207" s="27">
        <f>IF(ISNUMBER($Q207),COUNTIFS($A$14:$A$1213,$A207,$Q$14:$Q$1213,"&gt;"&amp;$Q207)+(COUNTIFS($A$14:$A$1213,$A207,$Q$14:$Q$1213,"="&amp;$Q207)+1)/2,"")</f>
        <v/>
      </c>
      <c r="AE207" s="27">
        <f>IF(ISNUMBER($R207),COUNTIFS($A$14:$A$1213,$A207,$R$14:$R$1213,"&gt;"&amp;$R207)+(COUNTIFS($A$14:$A$1213,$A207,$R$14:$R$1213,"="&amp;$R207)+1)/2,"")</f>
        <v/>
      </c>
      <c r="AF207" s="27">
        <f>IF(ISNUMBER($S207),COUNTIFS($A$14:$A$1213,$A207,$S$14:$S$1213,"&gt;"&amp;$S207)+(COUNTIFS($A$14:$A$1213,$A207,$S$14:$S$1213,"="&amp;$S207)+1)/2,"")</f>
        <v/>
      </c>
      <c r="AG207" s="27">
        <f>IF(ISNUMBER($T207),COUNTIFS($A$14:$A$1213,$A207,$T$14:$T$1213,"&gt;"&amp;$T207)+(COUNTIFS($A$14:$A$1213,$A207,$T$14:$T$1213,"="&amp;$T207)+1)/2,"")</f>
        <v/>
      </c>
      <c r="AH207" s="27">
        <f>IF(COUNT($AC207:$AG207)&lt;2,"",IF(MAX($AC207:$AG207)=MIN($AC207:$AG207),0,1))</f>
        <v/>
      </c>
      <c r="AI207" s="27">
        <f>IF($A207="","",IF(COUNTIF($A$14:$A207,$A207)=1,COUNTIF($AI$13:AI206,"&gt;0")+1,""))</f>
        <v/>
      </c>
      <c r="AJ207" s="27">
        <f>IF(OR($H207="",COUNTIFS($A$14:$A$1213,$H207,$F$14:$F$1213,"&gt;=0")&lt;2,COUNTIFS($A$14:$A$1213,$H207,$F$14:$F$1213,_xlfn.MAXIFS($F$14:$F$1213,$A$14:$A$1213,$H207))&gt;1),"",IFERROR(INDEX($D$14:$D$1213,MATCH($H207&amp;"|"&amp;_xlfn.MAXIFS($F$14:$F$1213,$A$14:$A$1213,$H207),$AB$14:$AB$1213,0)),""))</f>
        <v/>
      </c>
      <c r="AK207" s="27">
        <f>IF(OR($H207="",COUNTIFS($A$14:$A$1213,$H207,$F$14:$F$1213,"&gt;=0")&lt;2,COUNTIFS($A$14:$A$1213,$H207,$F$14:$F$1213,_xlfn.MAXIFS($F$14:$F$1213,$A$14:$A$1213,$H207))&gt;1),"",IFERROR(INDEX($E$14:$E$1213,MATCH($H207&amp;"|"&amp;_xlfn.MAXIFS($F$14:$F$1213,$A$14:$A$1213,$H207),$AB$14:$AB$1213,0)),""))</f>
        <v/>
      </c>
      <c r="AL207" s="27">
        <f>IF(OR($H207="",COUNTIFS($A$14:$A$1213,$H207,$F$14:$F$1213,"&gt;=0")&lt;2,COUNTIFS($A$14:$A$1213,$H207,$F$14:$F$1213,_xlfn.MAXIFS($F$14:$F$1213,$A$14:$A$1213,$H207))&gt;1),"",IFERROR(INDEX($D$14:$D$1213,MATCH($H207&amp;"|"&amp;_xlfn.MAXIFS($F$14:$F$1213,$A$14:$A$1213,$H207,$F$14:$F$1213,"&lt;"&amp;_xlfn.MAXIFS($F$14:$F$1213,$A$14:$A$1213,$H207)),$AB$14:$AB$1213,0)),""))</f>
        <v/>
      </c>
      <c r="AM207" s="27">
        <f>IF(OR($H207="",COUNTIFS($A$14:$A$1213,$H207,$F$14:$F$1213,"&gt;=0")&lt;2,COUNTIFS($A$14:$A$1213,$H207,$F$14:$F$1213,_xlfn.MAXIFS($F$14:$F$1213,$A$14:$A$1213,$H207))&gt;1),"",IFERROR(INDEX($E$14:$E$1213,MATCH($H207&amp;"|"&amp;_xlfn.MAXIFS($F$14:$F$1213,$A$14:$A$1213,$H207,$F$14:$F$1213,"&lt;"&amp;_xlfn.MAXIFS($F$14:$F$1213,$A$14:$A$1213,$H207)),$AB$14:$AB$1213,0)),""))</f>
        <v/>
      </c>
      <c r="AN207" s="27">
        <f>IF(OR(NOT(ISNUMBER($AJ207)),NOT(ISNUMBER($AL207)),$AK207=0,$AM207=0),"",IF(OR((($AJ207+$AL207)/($AK207+$AM207))&lt;=0,(($AJ207+$AL207)/($AK207+$AM207))&gt;=1),"",($AJ207/$AK207-$AL207/$AM207)/SQRT((($AJ207+$AL207)/($AK207+$AM207))*(1-(($AJ207+$AL207)/($AK207+$AM207)))*(1/$AK207+1/$AM207))))</f>
        <v/>
      </c>
      <c r="AO207" s="27">
        <f>IF($A207="","",IF(AND(COUNTIFS($A$14:$A$1213,$A207,$F$14:$F$1213,"&gt;=0")=2,IFERROR(INDEX($M$14:$M$313,MATCH($A207,$H$14:$H$313,0)),"Yes")&lt;&gt;"Yes"),1,0))</f>
        <v/>
      </c>
    </row>
    <row r="208" ht="24" customHeight="1">
      <c r="A208" s="19" t="n"/>
      <c r="B208" s="20" t="n"/>
      <c r="C208" s="21">
        <f>IFERROR(AVERAGE(P208:T208),"")</f>
        <v/>
      </c>
      <c r="D208" s="29" t="n"/>
      <c r="E208" s="29" t="n"/>
      <c r="F208" s="30">
        <f>IF(AND(ISNUMBER($D208),ISNUMBER($E208),$E208&gt;0,$D208&lt;=$E208),$D208/$E208,"")</f>
        <v/>
      </c>
      <c r="H208" s="19">
        <f>IFERROR(INDEX($A$14:$A$1213,MATCH(195,$AI$14:$AI$1213,0)),"")</f>
        <v/>
      </c>
      <c r="I208" s="24">
        <f>IF($H208="","",IF(COUNTIFS($A$14:$A$1213,$H208,$C$14:$C$1213,"&gt;=0")=0,"—",IFERROR(INDEX($B$14:$B$1213,MATCH($H208&amp;"|1",$Z$14:$Z$1213,0)),"(tied)")))</f>
        <v/>
      </c>
      <c r="J208" s="25">
        <f>IF($H208="","",IF(OR(COUNTIFS($A$14:$A$1213,$H208,$C$14:$C$1213,"&gt;=0")=0,COUNTIFS($A$14:$A$1213,$H208,$F$14:$F$1213,"&gt;=0")=0),"—",IF(OR(ISERROR(MATCH($H208&amp;"|1",$Z$14:$Z$1213,0)),ISERROR(MATCH($H208&amp;"|1",$AA$14:$AA$1213,0))),"Tie",IF(MATCH($H208&amp;"|1",$Z$14:$Z$1213,0)=MATCH($H208&amp;"|1",$AA$14:$AA$1213,0),"Hit","Miss"))))</f>
        <v/>
      </c>
      <c r="K208" s="24">
        <f>IF($H208="","",IF(COUNTIFS($A$14:$A$1213,$H208,$F$14:$F$1213,"&gt;=0")=0,"—",IFERROR(INDEX($B$14:$B$1213,MATCH($H208&amp;"|1",$AA$14:$AA$1213,0)),"(tied)")))</f>
        <v/>
      </c>
      <c r="L208" s="25">
        <f>IF($H208="","",IF((--(COUNTIFS($A$14:$A$1213,$H208,$P$14:$P$1213,"&gt;=0")&gt;0)+--(COUNTIFS($A$14:$A$1213,$H208,$Q$14:$Q$1213,"&gt;=0")&gt;0)+--(COUNTIFS($A$14:$A$1213,$H208,$R$14:$R$1213,"&gt;=0")&gt;0)+--(COUNTIFS($A$14:$A$1213,$H208,$S$14:$S$1213,"&gt;=0")&gt;0)+--(COUNTIFS($A$14:$A$1213,$H208,$T$14:$T$1213,"&gt;=0")&gt;0))&lt;2,"—",IF(SUMIFS($AH$14:$AH$1213,$A$14:$A$1213,$H208)=0,"Yes","No")))</f>
        <v/>
      </c>
      <c r="M208" s="25">
        <f>IF($H208="","",IF(COUNTIFS($A$14:$A$1213,$H208,$F$14:$F$1213,"&gt;=0")&lt;2,"—",IF(COUNTIFS($A$14:$A$1213,$H208,$F$14:$F$1213,_xlfn.MAXIFS($F$14:$F$1213,$A$14:$A$1213,$H208))&gt;1,"No",IF(NOT(ISNUMBER($AN208)),"—",IF((2*(1-NORMSDIST(ABS($AN208))))&lt;0.05,"Yes","No")))))</f>
        <v/>
      </c>
      <c r="N208" s="21">
        <f>IF($H208="","",IF(NOT(ISNUMBER($AN208)),"—",IF((2*(1-NORMSDIST(ABS($AN208))))&lt;0.001,"&lt;0.001",TEXT((2*(1-NORMSDIST(ABS($AN208)))),"0.000"))))</f>
        <v/>
      </c>
      <c r="P208" s="26" t="n"/>
      <c r="Q208" s="26" t="n"/>
      <c r="R208" s="26" t="n"/>
      <c r="S208" s="26" t="n"/>
      <c r="T208" s="26" t="n"/>
      <c r="V208" s="27">
        <f>IF(ISNUMBER($C208),COUNTIFS($A$14:$A$1213,$A208,$C$14:$C$1213,"&gt;"&amp;$C208)+(COUNTIFS($A$14:$A$1213,$A208,$C$14:$C$1213,"="&amp;$C208)+1)/2,"")</f>
        <v/>
      </c>
      <c r="W208" s="27">
        <f>IF(ISNUMBER($F208),COUNTIFS($A$14:$A$1213,$A208,$F$14:$F$1213,"&gt;"&amp;$F208)+(COUNTIFS($A$14:$A$1213,$A208,$F$14:$F$1213,"="&amp;$F208)+1)/2,"")</f>
        <v/>
      </c>
      <c r="X208" s="27">
        <f>IF(OR(NOT(ISNUMBER($V208)),$AO208=1),"",$V208-(COUNTIFS($A$14:$A$1213,$A208,$C$14:$C$1213,"&gt;=0")+1)/2)</f>
        <v/>
      </c>
      <c r="Y208" s="27">
        <f>IF(OR(NOT(ISNUMBER($W208)),$AO208=1),"",$W208-(COUNTIFS($A$14:$A$1213,$A208,$F$14:$F$1213,"&gt;=0")+1)/2)</f>
        <v/>
      </c>
      <c r="Z208" s="27">
        <f>IF(ISNUMBER($V208),$A208&amp;"|"&amp;$V208,"")</f>
        <v/>
      </c>
      <c r="AA208" s="27">
        <f>IF(ISNUMBER($W208),$A208&amp;"|"&amp;$W208,"")</f>
        <v/>
      </c>
      <c r="AB208" s="27">
        <f>IF(ISNUMBER($F208),$A208&amp;"|"&amp;$F208,"")</f>
        <v/>
      </c>
      <c r="AC208" s="27">
        <f>IF(ISNUMBER($P208),COUNTIFS($A$14:$A$1213,$A208,$P$14:$P$1213,"&gt;"&amp;$P208)+(COUNTIFS($A$14:$A$1213,$A208,$P$14:$P$1213,"="&amp;$P208)+1)/2,"")</f>
        <v/>
      </c>
      <c r="AD208" s="27">
        <f>IF(ISNUMBER($Q208),COUNTIFS($A$14:$A$1213,$A208,$Q$14:$Q$1213,"&gt;"&amp;$Q208)+(COUNTIFS($A$14:$A$1213,$A208,$Q$14:$Q$1213,"="&amp;$Q208)+1)/2,"")</f>
        <v/>
      </c>
      <c r="AE208" s="27">
        <f>IF(ISNUMBER($R208),COUNTIFS($A$14:$A$1213,$A208,$R$14:$R$1213,"&gt;"&amp;$R208)+(COUNTIFS($A$14:$A$1213,$A208,$R$14:$R$1213,"="&amp;$R208)+1)/2,"")</f>
        <v/>
      </c>
      <c r="AF208" s="27">
        <f>IF(ISNUMBER($S208),COUNTIFS($A$14:$A$1213,$A208,$S$14:$S$1213,"&gt;"&amp;$S208)+(COUNTIFS($A$14:$A$1213,$A208,$S$14:$S$1213,"="&amp;$S208)+1)/2,"")</f>
        <v/>
      </c>
      <c r="AG208" s="27">
        <f>IF(ISNUMBER($T208),COUNTIFS($A$14:$A$1213,$A208,$T$14:$T$1213,"&gt;"&amp;$T208)+(COUNTIFS($A$14:$A$1213,$A208,$T$14:$T$1213,"="&amp;$T208)+1)/2,"")</f>
        <v/>
      </c>
      <c r="AH208" s="27">
        <f>IF(COUNT($AC208:$AG208)&lt;2,"",IF(MAX($AC208:$AG208)=MIN($AC208:$AG208),0,1))</f>
        <v/>
      </c>
      <c r="AI208" s="27">
        <f>IF($A208="","",IF(COUNTIF($A$14:$A208,$A208)=1,COUNTIF($AI$13:AI207,"&gt;0")+1,""))</f>
        <v/>
      </c>
      <c r="AJ208" s="27">
        <f>IF(OR($H208="",COUNTIFS($A$14:$A$1213,$H208,$F$14:$F$1213,"&gt;=0")&lt;2,COUNTIFS($A$14:$A$1213,$H208,$F$14:$F$1213,_xlfn.MAXIFS($F$14:$F$1213,$A$14:$A$1213,$H208))&gt;1),"",IFERROR(INDEX($D$14:$D$1213,MATCH($H208&amp;"|"&amp;_xlfn.MAXIFS($F$14:$F$1213,$A$14:$A$1213,$H208),$AB$14:$AB$1213,0)),""))</f>
        <v/>
      </c>
      <c r="AK208" s="27">
        <f>IF(OR($H208="",COUNTIFS($A$14:$A$1213,$H208,$F$14:$F$1213,"&gt;=0")&lt;2,COUNTIFS($A$14:$A$1213,$H208,$F$14:$F$1213,_xlfn.MAXIFS($F$14:$F$1213,$A$14:$A$1213,$H208))&gt;1),"",IFERROR(INDEX($E$14:$E$1213,MATCH($H208&amp;"|"&amp;_xlfn.MAXIFS($F$14:$F$1213,$A$14:$A$1213,$H208),$AB$14:$AB$1213,0)),""))</f>
        <v/>
      </c>
      <c r="AL208" s="27">
        <f>IF(OR($H208="",COUNTIFS($A$14:$A$1213,$H208,$F$14:$F$1213,"&gt;=0")&lt;2,COUNTIFS($A$14:$A$1213,$H208,$F$14:$F$1213,_xlfn.MAXIFS($F$14:$F$1213,$A$14:$A$1213,$H208))&gt;1),"",IFERROR(INDEX($D$14:$D$1213,MATCH($H208&amp;"|"&amp;_xlfn.MAXIFS($F$14:$F$1213,$A$14:$A$1213,$H208,$F$14:$F$1213,"&lt;"&amp;_xlfn.MAXIFS($F$14:$F$1213,$A$14:$A$1213,$H208)),$AB$14:$AB$1213,0)),""))</f>
        <v/>
      </c>
      <c r="AM208" s="27">
        <f>IF(OR($H208="",COUNTIFS($A$14:$A$1213,$H208,$F$14:$F$1213,"&gt;=0")&lt;2,COUNTIFS($A$14:$A$1213,$H208,$F$14:$F$1213,_xlfn.MAXIFS($F$14:$F$1213,$A$14:$A$1213,$H208))&gt;1),"",IFERROR(INDEX($E$14:$E$1213,MATCH($H208&amp;"|"&amp;_xlfn.MAXIFS($F$14:$F$1213,$A$14:$A$1213,$H208,$F$14:$F$1213,"&lt;"&amp;_xlfn.MAXIFS($F$14:$F$1213,$A$14:$A$1213,$H208)),$AB$14:$AB$1213,0)),""))</f>
        <v/>
      </c>
      <c r="AN208" s="27">
        <f>IF(OR(NOT(ISNUMBER($AJ208)),NOT(ISNUMBER($AL208)),$AK208=0,$AM208=0),"",IF(OR((($AJ208+$AL208)/($AK208+$AM208))&lt;=0,(($AJ208+$AL208)/($AK208+$AM208))&gt;=1),"",($AJ208/$AK208-$AL208/$AM208)/SQRT((($AJ208+$AL208)/($AK208+$AM208))*(1-(($AJ208+$AL208)/($AK208+$AM208)))*(1/$AK208+1/$AM208))))</f>
        <v/>
      </c>
      <c r="AO208" s="27">
        <f>IF($A208="","",IF(AND(COUNTIFS($A$14:$A$1213,$A208,$F$14:$F$1213,"&gt;=0")=2,IFERROR(INDEX($M$14:$M$313,MATCH($A208,$H$14:$H$313,0)),"Yes")&lt;&gt;"Yes"),1,0))</f>
        <v/>
      </c>
    </row>
    <row r="209" ht="24" customHeight="1">
      <c r="A209" s="19" t="n"/>
      <c r="B209" s="20" t="n"/>
      <c r="C209" s="21">
        <f>IFERROR(AVERAGE(P209:T209),"")</f>
        <v/>
      </c>
      <c r="D209" s="29" t="n"/>
      <c r="E209" s="29" t="n"/>
      <c r="F209" s="30">
        <f>IF(AND(ISNUMBER($D209),ISNUMBER($E209),$E209&gt;0,$D209&lt;=$E209),$D209/$E209,"")</f>
        <v/>
      </c>
      <c r="H209" s="19">
        <f>IFERROR(INDEX($A$14:$A$1213,MATCH(196,$AI$14:$AI$1213,0)),"")</f>
        <v/>
      </c>
      <c r="I209" s="24">
        <f>IF($H209="","",IF(COUNTIFS($A$14:$A$1213,$H209,$C$14:$C$1213,"&gt;=0")=0,"—",IFERROR(INDEX($B$14:$B$1213,MATCH($H209&amp;"|1",$Z$14:$Z$1213,0)),"(tied)")))</f>
        <v/>
      </c>
      <c r="J209" s="25">
        <f>IF($H209="","",IF(OR(COUNTIFS($A$14:$A$1213,$H209,$C$14:$C$1213,"&gt;=0")=0,COUNTIFS($A$14:$A$1213,$H209,$F$14:$F$1213,"&gt;=0")=0),"—",IF(OR(ISERROR(MATCH($H209&amp;"|1",$Z$14:$Z$1213,0)),ISERROR(MATCH($H209&amp;"|1",$AA$14:$AA$1213,0))),"Tie",IF(MATCH($H209&amp;"|1",$Z$14:$Z$1213,0)=MATCH($H209&amp;"|1",$AA$14:$AA$1213,0),"Hit","Miss"))))</f>
        <v/>
      </c>
      <c r="K209" s="24">
        <f>IF($H209="","",IF(COUNTIFS($A$14:$A$1213,$H209,$F$14:$F$1213,"&gt;=0")=0,"—",IFERROR(INDEX($B$14:$B$1213,MATCH($H209&amp;"|1",$AA$14:$AA$1213,0)),"(tied)")))</f>
        <v/>
      </c>
      <c r="L209" s="25">
        <f>IF($H209="","",IF((--(COUNTIFS($A$14:$A$1213,$H209,$P$14:$P$1213,"&gt;=0")&gt;0)+--(COUNTIFS($A$14:$A$1213,$H209,$Q$14:$Q$1213,"&gt;=0")&gt;0)+--(COUNTIFS($A$14:$A$1213,$H209,$R$14:$R$1213,"&gt;=0")&gt;0)+--(COUNTIFS($A$14:$A$1213,$H209,$S$14:$S$1213,"&gt;=0")&gt;0)+--(COUNTIFS($A$14:$A$1213,$H209,$T$14:$T$1213,"&gt;=0")&gt;0))&lt;2,"—",IF(SUMIFS($AH$14:$AH$1213,$A$14:$A$1213,$H209)=0,"Yes","No")))</f>
        <v/>
      </c>
      <c r="M209" s="25">
        <f>IF($H209="","",IF(COUNTIFS($A$14:$A$1213,$H209,$F$14:$F$1213,"&gt;=0")&lt;2,"—",IF(COUNTIFS($A$14:$A$1213,$H209,$F$14:$F$1213,_xlfn.MAXIFS($F$14:$F$1213,$A$14:$A$1213,$H209))&gt;1,"No",IF(NOT(ISNUMBER($AN209)),"—",IF((2*(1-NORMSDIST(ABS($AN209))))&lt;0.05,"Yes","No")))))</f>
        <v/>
      </c>
      <c r="N209" s="21">
        <f>IF($H209="","",IF(NOT(ISNUMBER($AN209)),"—",IF((2*(1-NORMSDIST(ABS($AN209))))&lt;0.001,"&lt;0.001",TEXT((2*(1-NORMSDIST(ABS($AN209)))),"0.000"))))</f>
        <v/>
      </c>
      <c r="P209" s="26" t="n"/>
      <c r="Q209" s="26" t="n"/>
      <c r="R209" s="26" t="n"/>
      <c r="S209" s="26" t="n"/>
      <c r="T209" s="26" t="n"/>
      <c r="V209" s="27">
        <f>IF(ISNUMBER($C209),COUNTIFS($A$14:$A$1213,$A209,$C$14:$C$1213,"&gt;"&amp;$C209)+(COUNTIFS($A$14:$A$1213,$A209,$C$14:$C$1213,"="&amp;$C209)+1)/2,"")</f>
        <v/>
      </c>
      <c r="W209" s="27">
        <f>IF(ISNUMBER($F209),COUNTIFS($A$14:$A$1213,$A209,$F$14:$F$1213,"&gt;"&amp;$F209)+(COUNTIFS($A$14:$A$1213,$A209,$F$14:$F$1213,"="&amp;$F209)+1)/2,"")</f>
        <v/>
      </c>
      <c r="X209" s="27">
        <f>IF(OR(NOT(ISNUMBER($V209)),$AO209=1),"",$V209-(COUNTIFS($A$14:$A$1213,$A209,$C$14:$C$1213,"&gt;=0")+1)/2)</f>
        <v/>
      </c>
      <c r="Y209" s="27">
        <f>IF(OR(NOT(ISNUMBER($W209)),$AO209=1),"",$W209-(COUNTIFS($A$14:$A$1213,$A209,$F$14:$F$1213,"&gt;=0")+1)/2)</f>
        <v/>
      </c>
      <c r="Z209" s="27">
        <f>IF(ISNUMBER($V209),$A209&amp;"|"&amp;$V209,"")</f>
        <v/>
      </c>
      <c r="AA209" s="27">
        <f>IF(ISNUMBER($W209),$A209&amp;"|"&amp;$W209,"")</f>
        <v/>
      </c>
      <c r="AB209" s="27">
        <f>IF(ISNUMBER($F209),$A209&amp;"|"&amp;$F209,"")</f>
        <v/>
      </c>
      <c r="AC209" s="27">
        <f>IF(ISNUMBER($P209),COUNTIFS($A$14:$A$1213,$A209,$P$14:$P$1213,"&gt;"&amp;$P209)+(COUNTIFS($A$14:$A$1213,$A209,$P$14:$P$1213,"="&amp;$P209)+1)/2,"")</f>
        <v/>
      </c>
      <c r="AD209" s="27">
        <f>IF(ISNUMBER($Q209),COUNTIFS($A$14:$A$1213,$A209,$Q$14:$Q$1213,"&gt;"&amp;$Q209)+(COUNTIFS($A$14:$A$1213,$A209,$Q$14:$Q$1213,"="&amp;$Q209)+1)/2,"")</f>
        <v/>
      </c>
      <c r="AE209" s="27">
        <f>IF(ISNUMBER($R209),COUNTIFS($A$14:$A$1213,$A209,$R$14:$R$1213,"&gt;"&amp;$R209)+(COUNTIFS($A$14:$A$1213,$A209,$R$14:$R$1213,"="&amp;$R209)+1)/2,"")</f>
        <v/>
      </c>
      <c r="AF209" s="27">
        <f>IF(ISNUMBER($S209),COUNTIFS($A$14:$A$1213,$A209,$S$14:$S$1213,"&gt;"&amp;$S209)+(COUNTIFS($A$14:$A$1213,$A209,$S$14:$S$1213,"="&amp;$S209)+1)/2,"")</f>
        <v/>
      </c>
      <c r="AG209" s="27">
        <f>IF(ISNUMBER($T209),COUNTIFS($A$14:$A$1213,$A209,$T$14:$T$1213,"&gt;"&amp;$T209)+(COUNTIFS($A$14:$A$1213,$A209,$T$14:$T$1213,"="&amp;$T209)+1)/2,"")</f>
        <v/>
      </c>
      <c r="AH209" s="27">
        <f>IF(COUNT($AC209:$AG209)&lt;2,"",IF(MAX($AC209:$AG209)=MIN($AC209:$AG209),0,1))</f>
        <v/>
      </c>
      <c r="AI209" s="27">
        <f>IF($A209="","",IF(COUNTIF($A$14:$A209,$A209)=1,COUNTIF($AI$13:AI208,"&gt;0")+1,""))</f>
        <v/>
      </c>
      <c r="AJ209" s="27">
        <f>IF(OR($H209="",COUNTIFS($A$14:$A$1213,$H209,$F$14:$F$1213,"&gt;=0")&lt;2,COUNTIFS($A$14:$A$1213,$H209,$F$14:$F$1213,_xlfn.MAXIFS($F$14:$F$1213,$A$14:$A$1213,$H209))&gt;1),"",IFERROR(INDEX($D$14:$D$1213,MATCH($H209&amp;"|"&amp;_xlfn.MAXIFS($F$14:$F$1213,$A$14:$A$1213,$H209),$AB$14:$AB$1213,0)),""))</f>
        <v/>
      </c>
      <c r="AK209" s="27">
        <f>IF(OR($H209="",COUNTIFS($A$14:$A$1213,$H209,$F$14:$F$1213,"&gt;=0")&lt;2,COUNTIFS($A$14:$A$1213,$H209,$F$14:$F$1213,_xlfn.MAXIFS($F$14:$F$1213,$A$14:$A$1213,$H209))&gt;1),"",IFERROR(INDEX($E$14:$E$1213,MATCH($H209&amp;"|"&amp;_xlfn.MAXIFS($F$14:$F$1213,$A$14:$A$1213,$H209),$AB$14:$AB$1213,0)),""))</f>
        <v/>
      </c>
      <c r="AL209" s="27">
        <f>IF(OR($H209="",COUNTIFS($A$14:$A$1213,$H209,$F$14:$F$1213,"&gt;=0")&lt;2,COUNTIFS($A$14:$A$1213,$H209,$F$14:$F$1213,_xlfn.MAXIFS($F$14:$F$1213,$A$14:$A$1213,$H209))&gt;1),"",IFERROR(INDEX($D$14:$D$1213,MATCH($H209&amp;"|"&amp;_xlfn.MAXIFS($F$14:$F$1213,$A$14:$A$1213,$H209,$F$14:$F$1213,"&lt;"&amp;_xlfn.MAXIFS($F$14:$F$1213,$A$14:$A$1213,$H209)),$AB$14:$AB$1213,0)),""))</f>
        <v/>
      </c>
      <c r="AM209" s="27">
        <f>IF(OR($H209="",COUNTIFS($A$14:$A$1213,$H209,$F$14:$F$1213,"&gt;=0")&lt;2,COUNTIFS($A$14:$A$1213,$H209,$F$14:$F$1213,_xlfn.MAXIFS($F$14:$F$1213,$A$14:$A$1213,$H209))&gt;1),"",IFERROR(INDEX($E$14:$E$1213,MATCH($H209&amp;"|"&amp;_xlfn.MAXIFS($F$14:$F$1213,$A$14:$A$1213,$H209,$F$14:$F$1213,"&lt;"&amp;_xlfn.MAXIFS($F$14:$F$1213,$A$14:$A$1213,$H209)),$AB$14:$AB$1213,0)),""))</f>
        <v/>
      </c>
      <c r="AN209" s="27">
        <f>IF(OR(NOT(ISNUMBER($AJ209)),NOT(ISNUMBER($AL209)),$AK209=0,$AM209=0),"",IF(OR((($AJ209+$AL209)/($AK209+$AM209))&lt;=0,(($AJ209+$AL209)/($AK209+$AM209))&gt;=1),"",($AJ209/$AK209-$AL209/$AM209)/SQRT((($AJ209+$AL209)/($AK209+$AM209))*(1-(($AJ209+$AL209)/($AK209+$AM209)))*(1/$AK209+1/$AM209))))</f>
        <v/>
      </c>
      <c r="AO209" s="27">
        <f>IF($A209="","",IF(AND(COUNTIFS($A$14:$A$1213,$A209,$F$14:$F$1213,"&gt;=0")=2,IFERROR(INDEX($M$14:$M$313,MATCH($A209,$H$14:$H$313,0)),"Yes")&lt;&gt;"Yes"),1,0))</f>
        <v/>
      </c>
    </row>
    <row r="210" ht="24" customHeight="1">
      <c r="A210" s="19" t="n"/>
      <c r="B210" s="20" t="n"/>
      <c r="C210" s="21">
        <f>IFERROR(AVERAGE(P210:T210),"")</f>
        <v/>
      </c>
      <c r="D210" s="29" t="n"/>
      <c r="E210" s="29" t="n"/>
      <c r="F210" s="30">
        <f>IF(AND(ISNUMBER($D210),ISNUMBER($E210),$E210&gt;0,$D210&lt;=$E210),$D210/$E210,"")</f>
        <v/>
      </c>
      <c r="H210" s="19">
        <f>IFERROR(INDEX($A$14:$A$1213,MATCH(197,$AI$14:$AI$1213,0)),"")</f>
        <v/>
      </c>
      <c r="I210" s="24">
        <f>IF($H210="","",IF(COUNTIFS($A$14:$A$1213,$H210,$C$14:$C$1213,"&gt;=0")=0,"—",IFERROR(INDEX($B$14:$B$1213,MATCH($H210&amp;"|1",$Z$14:$Z$1213,0)),"(tied)")))</f>
        <v/>
      </c>
      <c r="J210" s="25">
        <f>IF($H210="","",IF(OR(COUNTIFS($A$14:$A$1213,$H210,$C$14:$C$1213,"&gt;=0")=0,COUNTIFS($A$14:$A$1213,$H210,$F$14:$F$1213,"&gt;=0")=0),"—",IF(OR(ISERROR(MATCH($H210&amp;"|1",$Z$14:$Z$1213,0)),ISERROR(MATCH($H210&amp;"|1",$AA$14:$AA$1213,0))),"Tie",IF(MATCH($H210&amp;"|1",$Z$14:$Z$1213,0)=MATCH($H210&amp;"|1",$AA$14:$AA$1213,0),"Hit","Miss"))))</f>
        <v/>
      </c>
      <c r="K210" s="24">
        <f>IF($H210="","",IF(COUNTIFS($A$14:$A$1213,$H210,$F$14:$F$1213,"&gt;=0")=0,"—",IFERROR(INDEX($B$14:$B$1213,MATCH($H210&amp;"|1",$AA$14:$AA$1213,0)),"(tied)")))</f>
        <v/>
      </c>
      <c r="L210" s="25">
        <f>IF($H210="","",IF((--(COUNTIFS($A$14:$A$1213,$H210,$P$14:$P$1213,"&gt;=0")&gt;0)+--(COUNTIFS($A$14:$A$1213,$H210,$Q$14:$Q$1213,"&gt;=0")&gt;0)+--(COUNTIFS($A$14:$A$1213,$H210,$R$14:$R$1213,"&gt;=0")&gt;0)+--(COUNTIFS($A$14:$A$1213,$H210,$S$14:$S$1213,"&gt;=0")&gt;0)+--(COUNTIFS($A$14:$A$1213,$H210,$T$14:$T$1213,"&gt;=0")&gt;0))&lt;2,"—",IF(SUMIFS($AH$14:$AH$1213,$A$14:$A$1213,$H210)=0,"Yes","No")))</f>
        <v/>
      </c>
      <c r="M210" s="25">
        <f>IF($H210="","",IF(COUNTIFS($A$14:$A$1213,$H210,$F$14:$F$1213,"&gt;=0")&lt;2,"—",IF(COUNTIFS($A$14:$A$1213,$H210,$F$14:$F$1213,_xlfn.MAXIFS($F$14:$F$1213,$A$14:$A$1213,$H210))&gt;1,"No",IF(NOT(ISNUMBER($AN210)),"—",IF((2*(1-NORMSDIST(ABS($AN210))))&lt;0.05,"Yes","No")))))</f>
        <v/>
      </c>
      <c r="N210" s="21">
        <f>IF($H210="","",IF(NOT(ISNUMBER($AN210)),"—",IF((2*(1-NORMSDIST(ABS($AN210))))&lt;0.001,"&lt;0.001",TEXT((2*(1-NORMSDIST(ABS($AN210)))),"0.000"))))</f>
        <v/>
      </c>
      <c r="P210" s="26" t="n"/>
      <c r="Q210" s="26" t="n"/>
      <c r="R210" s="26" t="n"/>
      <c r="S210" s="26" t="n"/>
      <c r="T210" s="26" t="n"/>
      <c r="V210" s="27">
        <f>IF(ISNUMBER($C210),COUNTIFS($A$14:$A$1213,$A210,$C$14:$C$1213,"&gt;"&amp;$C210)+(COUNTIFS($A$14:$A$1213,$A210,$C$14:$C$1213,"="&amp;$C210)+1)/2,"")</f>
        <v/>
      </c>
      <c r="W210" s="27">
        <f>IF(ISNUMBER($F210),COUNTIFS($A$14:$A$1213,$A210,$F$14:$F$1213,"&gt;"&amp;$F210)+(COUNTIFS($A$14:$A$1213,$A210,$F$14:$F$1213,"="&amp;$F210)+1)/2,"")</f>
        <v/>
      </c>
      <c r="X210" s="27">
        <f>IF(OR(NOT(ISNUMBER($V210)),$AO210=1),"",$V210-(COUNTIFS($A$14:$A$1213,$A210,$C$14:$C$1213,"&gt;=0")+1)/2)</f>
        <v/>
      </c>
      <c r="Y210" s="27">
        <f>IF(OR(NOT(ISNUMBER($W210)),$AO210=1),"",$W210-(COUNTIFS($A$14:$A$1213,$A210,$F$14:$F$1213,"&gt;=0")+1)/2)</f>
        <v/>
      </c>
      <c r="Z210" s="27">
        <f>IF(ISNUMBER($V210),$A210&amp;"|"&amp;$V210,"")</f>
        <v/>
      </c>
      <c r="AA210" s="27">
        <f>IF(ISNUMBER($W210),$A210&amp;"|"&amp;$W210,"")</f>
        <v/>
      </c>
      <c r="AB210" s="27">
        <f>IF(ISNUMBER($F210),$A210&amp;"|"&amp;$F210,"")</f>
        <v/>
      </c>
      <c r="AC210" s="27">
        <f>IF(ISNUMBER($P210),COUNTIFS($A$14:$A$1213,$A210,$P$14:$P$1213,"&gt;"&amp;$P210)+(COUNTIFS($A$14:$A$1213,$A210,$P$14:$P$1213,"="&amp;$P210)+1)/2,"")</f>
        <v/>
      </c>
      <c r="AD210" s="27">
        <f>IF(ISNUMBER($Q210),COUNTIFS($A$14:$A$1213,$A210,$Q$14:$Q$1213,"&gt;"&amp;$Q210)+(COUNTIFS($A$14:$A$1213,$A210,$Q$14:$Q$1213,"="&amp;$Q210)+1)/2,"")</f>
        <v/>
      </c>
      <c r="AE210" s="27">
        <f>IF(ISNUMBER($R210),COUNTIFS($A$14:$A$1213,$A210,$R$14:$R$1213,"&gt;"&amp;$R210)+(COUNTIFS($A$14:$A$1213,$A210,$R$14:$R$1213,"="&amp;$R210)+1)/2,"")</f>
        <v/>
      </c>
      <c r="AF210" s="27">
        <f>IF(ISNUMBER($S210),COUNTIFS($A$14:$A$1213,$A210,$S$14:$S$1213,"&gt;"&amp;$S210)+(COUNTIFS($A$14:$A$1213,$A210,$S$14:$S$1213,"="&amp;$S210)+1)/2,"")</f>
        <v/>
      </c>
      <c r="AG210" s="27">
        <f>IF(ISNUMBER($T210),COUNTIFS($A$14:$A$1213,$A210,$T$14:$T$1213,"&gt;"&amp;$T210)+(COUNTIFS($A$14:$A$1213,$A210,$T$14:$T$1213,"="&amp;$T210)+1)/2,"")</f>
        <v/>
      </c>
      <c r="AH210" s="27">
        <f>IF(COUNT($AC210:$AG210)&lt;2,"",IF(MAX($AC210:$AG210)=MIN($AC210:$AG210),0,1))</f>
        <v/>
      </c>
      <c r="AI210" s="27">
        <f>IF($A210="","",IF(COUNTIF($A$14:$A210,$A210)=1,COUNTIF($AI$13:AI209,"&gt;0")+1,""))</f>
        <v/>
      </c>
      <c r="AJ210" s="27">
        <f>IF(OR($H210="",COUNTIFS($A$14:$A$1213,$H210,$F$14:$F$1213,"&gt;=0")&lt;2,COUNTIFS($A$14:$A$1213,$H210,$F$14:$F$1213,_xlfn.MAXIFS($F$14:$F$1213,$A$14:$A$1213,$H210))&gt;1),"",IFERROR(INDEX($D$14:$D$1213,MATCH($H210&amp;"|"&amp;_xlfn.MAXIFS($F$14:$F$1213,$A$14:$A$1213,$H210),$AB$14:$AB$1213,0)),""))</f>
        <v/>
      </c>
      <c r="AK210" s="27">
        <f>IF(OR($H210="",COUNTIFS($A$14:$A$1213,$H210,$F$14:$F$1213,"&gt;=0")&lt;2,COUNTIFS($A$14:$A$1213,$H210,$F$14:$F$1213,_xlfn.MAXIFS($F$14:$F$1213,$A$14:$A$1213,$H210))&gt;1),"",IFERROR(INDEX($E$14:$E$1213,MATCH($H210&amp;"|"&amp;_xlfn.MAXIFS($F$14:$F$1213,$A$14:$A$1213,$H210),$AB$14:$AB$1213,0)),""))</f>
        <v/>
      </c>
      <c r="AL210" s="27">
        <f>IF(OR($H210="",COUNTIFS($A$14:$A$1213,$H210,$F$14:$F$1213,"&gt;=0")&lt;2,COUNTIFS($A$14:$A$1213,$H210,$F$14:$F$1213,_xlfn.MAXIFS($F$14:$F$1213,$A$14:$A$1213,$H210))&gt;1),"",IFERROR(INDEX($D$14:$D$1213,MATCH($H210&amp;"|"&amp;_xlfn.MAXIFS($F$14:$F$1213,$A$14:$A$1213,$H210,$F$14:$F$1213,"&lt;"&amp;_xlfn.MAXIFS($F$14:$F$1213,$A$14:$A$1213,$H210)),$AB$14:$AB$1213,0)),""))</f>
        <v/>
      </c>
      <c r="AM210" s="27">
        <f>IF(OR($H210="",COUNTIFS($A$14:$A$1213,$H210,$F$14:$F$1213,"&gt;=0")&lt;2,COUNTIFS($A$14:$A$1213,$H210,$F$14:$F$1213,_xlfn.MAXIFS($F$14:$F$1213,$A$14:$A$1213,$H210))&gt;1),"",IFERROR(INDEX($E$14:$E$1213,MATCH($H210&amp;"|"&amp;_xlfn.MAXIFS($F$14:$F$1213,$A$14:$A$1213,$H210,$F$14:$F$1213,"&lt;"&amp;_xlfn.MAXIFS($F$14:$F$1213,$A$14:$A$1213,$H210)),$AB$14:$AB$1213,0)),""))</f>
        <v/>
      </c>
      <c r="AN210" s="27">
        <f>IF(OR(NOT(ISNUMBER($AJ210)),NOT(ISNUMBER($AL210)),$AK210=0,$AM210=0),"",IF(OR((($AJ210+$AL210)/($AK210+$AM210))&lt;=0,(($AJ210+$AL210)/($AK210+$AM210))&gt;=1),"",($AJ210/$AK210-$AL210/$AM210)/SQRT((($AJ210+$AL210)/($AK210+$AM210))*(1-(($AJ210+$AL210)/($AK210+$AM210)))*(1/$AK210+1/$AM210))))</f>
        <v/>
      </c>
      <c r="AO210" s="27">
        <f>IF($A210="","",IF(AND(COUNTIFS($A$14:$A$1213,$A210,$F$14:$F$1213,"&gt;=0")=2,IFERROR(INDEX($M$14:$M$313,MATCH($A210,$H$14:$H$313,0)),"Yes")&lt;&gt;"Yes"),1,0))</f>
        <v/>
      </c>
    </row>
    <row r="211" ht="24" customHeight="1">
      <c r="A211" s="19" t="n"/>
      <c r="B211" s="20" t="n"/>
      <c r="C211" s="21">
        <f>IFERROR(AVERAGE(P211:T211),"")</f>
        <v/>
      </c>
      <c r="D211" s="29" t="n"/>
      <c r="E211" s="29" t="n"/>
      <c r="F211" s="30">
        <f>IF(AND(ISNUMBER($D211),ISNUMBER($E211),$E211&gt;0,$D211&lt;=$E211),$D211/$E211,"")</f>
        <v/>
      </c>
      <c r="H211" s="19">
        <f>IFERROR(INDEX($A$14:$A$1213,MATCH(198,$AI$14:$AI$1213,0)),"")</f>
        <v/>
      </c>
      <c r="I211" s="24">
        <f>IF($H211="","",IF(COUNTIFS($A$14:$A$1213,$H211,$C$14:$C$1213,"&gt;=0")=0,"—",IFERROR(INDEX($B$14:$B$1213,MATCH($H211&amp;"|1",$Z$14:$Z$1213,0)),"(tied)")))</f>
        <v/>
      </c>
      <c r="J211" s="25">
        <f>IF($H211="","",IF(OR(COUNTIFS($A$14:$A$1213,$H211,$C$14:$C$1213,"&gt;=0")=0,COUNTIFS($A$14:$A$1213,$H211,$F$14:$F$1213,"&gt;=0")=0),"—",IF(OR(ISERROR(MATCH($H211&amp;"|1",$Z$14:$Z$1213,0)),ISERROR(MATCH($H211&amp;"|1",$AA$14:$AA$1213,0))),"Tie",IF(MATCH($H211&amp;"|1",$Z$14:$Z$1213,0)=MATCH($H211&amp;"|1",$AA$14:$AA$1213,0),"Hit","Miss"))))</f>
        <v/>
      </c>
      <c r="K211" s="24">
        <f>IF($H211="","",IF(COUNTIFS($A$14:$A$1213,$H211,$F$14:$F$1213,"&gt;=0")=0,"—",IFERROR(INDEX($B$14:$B$1213,MATCH($H211&amp;"|1",$AA$14:$AA$1213,0)),"(tied)")))</f>
        <v/>
      </c>
      <c r="L211" s="25">
        <f>IF($H211="","",IF((--(COUNTIFS($A$14:$A$1213,$H211,$P$14:$P$1213,"&gt;=0")&gt;0)+--(COUNTIFS($A$14:$A$1213,$H211,$Q$14:$Q$1213,"&gt;=0")&gt;0)+--(COUNTIFS($A$14:$A$1213,$H211,$R$14:$R$1213,"&gt;=0")&gt;0)+--(COUNTIFS($A$14:$A$1213,$H211,$S$14:$S$1213,"&gt;=0")&gt;0)+--(COUNTIFS($A$14:$A$1213,$H211,$T$14:$T$1213,"&gt;=0")&gt;0))&lt;2,"—",IF(SUMIFS($AH$14:$AH$1213,$A$14:$A$1213,$H211)=0,"Yes","No")))</f>
        <v/>
      </c>
      <c r="M211" s="25">
        <f>IF($H211="","",IF(COUNTIFS($A$14:$A$1213,$H211,$F$14:$F$1213,"&gt;=0")&lt;2,"—",IF(COUNTIFS($A$14:$A$1213,$H211,$F$14:$F$1213,_xlfn.MAXIFS($F$14:$F$1213,$A$14:$A$1213,$H211))&gt;1,"No",IF(NOT(ISNUMBER($AN211)),"—",IF((2*(1-NORMSDIST(ABS($AN211))))&lt;0.05,"Yes","No")))))</f>
        <v/>
      </c>
      <c r="N211" s="21">
        <f>IF($H211="","",IF(NOT(ISNUMBER($AN211)),"—",IF((2*(1-NORMSDIST(ABS($AN211))))&lt;0.001,"&lt;0.001",TEXT((2*(1-NORMSDIST(ABS($AN211)))),"0.000"))))</f>
        <v/>
      </c>
      <c r="P211" s="26" t="n"/>
      <c r="Q211" s="26" t="n"/>
      <c r="R211" s="26" t="n"/>
      <c r="S211" s="26" t="n"/>
      <c r="T211" s="26" t="n"/>
      <c r="V211" s="27">
        <f>IF(ISNUMBER($C211),COUNTIFS($A$14:$A$1213,$A211,$C$14:$C$1213,"&gt;"&amp;$C211)+(COUNTIFS($A$14:$A$1213,$A211,$C$14:$C$1213,"="&amp;$C211)+1)/2,"")</f>
        <v/>
      </c>
      <c r="W211" s="27">
        <f>IF(ISNUMBER($F211),COUNTIFS($A$14:$A$1213,$A211,$F$14:$F$1213,"&gt;"&amp;$F211)+(COUNTIFS($A$14:$A$1213,$A211,$F$14:$F$1213,"="&amp;$F211)+1)/2,"")</f>
        <v/>
      </c>
      <c r="X211" s="27">
        <f>IF(OR(NOT(ISNUMBER($V211)),$AO211=1),"",$V211-(COUNTIFS($A$14:$A$1213,$A211,$C$14:$C$1213,"&gt;=0")+1)/2)</f>
        <v/>
      </c>
      <c r="Y211" s="27">
        <f>IF(OR(NOT(ISNUMBER($W211)),$AO211=1),"",$W211-(COUNTIFS($A$14:$A$1213,$A211,$F$14:$F$1213,"&gt;=0")+1)/2)</f>
        <v/>
      </c>
      <c r="Z211" s="27">
        <f>IF(ISNUMBER($V211),$A211&amp;"|"&amp;$V211,"")</f>
        <v/>
      </c>
      <c r="AA211" s="27">
        <f>IF(ISNUMBER($W211),$A211&amp;"|"&amp;$W211,"")</f>
        <v/>
      </c>
      <c r="AB211" s="27">
        <f>IF(ISNUMBER($F211),$A211&amp;"|"&amp;$F211,"")</f>
        <v/>
      </c>
      <c r="AC211" s="27">
        <f>IF(ISNUMBER($P211),COUNTIFS($A$14:$A$1213,$A211,$P$14:$P$1213,"&gt;"&amp;$P211)+(COUNTIFS($A$14:$A$1213,$A211,$P$14:$P$1213,"="&amp;$P211)+1)/2,"")</f>
        <v/>
      </c>
      <c r="AD211" s="27">
        <f>IF(ISNUMBER($Q211),COUNTIFS($A$14:$A$1213,$A211,$Q$14:$Q$1213,"&gt;"&amp;$Q211)+(COUNTIFS($A$14:$A$1213,$A211,$Q$14:$Q$1213,"="&amp;$Q211)+1)/2,"")</f>
        <v/>
      </c>
      <c r="AE211" s="27">
        <f>IF(ISNUMBER($R211),COUNTIFS($A$14:$A$1213,$A211,$R$14:$R$1213,"&gt;"&amp;$R211)+(COUNTIFS($A$14:$A$1213,$A211,$R$14:$R$1213,"="&amp;$R211)+1)/2,"")</f>
        <v/>
      </c>
      <c r="AF211" s="27">
        <f>IF(ISNUMBER($S211),COUNTIFS($A$14:$A$1213,$A211,$S$14:$S$1213,"&gt;"&amp;$S211)+(COUNTIFS($A$14:$A$1213,$A211,$S$14:$S$1213,"="&amp;$S211)+1)/2,"")</f>
        <v/>
      </c>
      <c r="AG211" s="27">
        <f>IF(ISNUMBER($T211),COUNTIFS($A$14:$A$1213,$A211,$T$14:$T$1213,"&gt;"&amp;$T211)+(COUNTIFS($A$14:$A$1213,$A211,$T$14:$T$1213,"="&amp;$T211)+1)/2,"")</f>
        <v/>
      </c>
      <c r="AH211" s="27">
        <f>IF(COUNT($AC211:$AG211)&lt;2,"",IF(MAX($AC211:$AG211)=MIN($AC211:$AG211),0,1))</f>
        <v/>
      </c>
      <c r="AI211" s="27">
        <f>IF($A211="","",IF(COUNTIF($A$14:$A211,$A211)=1,COUNTIF($AI$13:AI210,"&gt;0")+1,""))</f>
        <v/>
      </c>
      <c r="AJ211" s="27">
        <f>IF(OR($H211="",COUNTIFS($A$14:$A$1213,$H211,$F$14:$F$1213,"&gt;=0")&lt;2,COUNTIFS($A$14:$A$1213,$H211,$F$14:$F$1213,_xlfn.MAXIFS($F$14:$F$1213,$A$14:$A$1213,$H211))&gt;1),"",IFERROR(INDEX($D$14:$D$1213,MATCH($H211&amp;"|"&amp;_xlfn.MAXIFS($F$14:$F$1213,$A$14:$A$1213,$H211),$AB$14:$AB$1213,0)),""))</f>
        <v/>
      </c>
      <c r="AK211" s="27">
        <f>IF(OR($H211="",COUNTIFS($A$14:$A$1213,$H211,$F$14:$F$1213,"&gt;=0")&lt;2,COUNTIFS($A$14:$A$1213,$H211,$F$14:$F$1213,_xlfn.MAXIFS($F$14:$F$1213,$A$14:$A$1213,$H211))&gt;1),"",IFERROR(INDEX($E$14:$E$1213,MATCH($H211&amp;"|"&amp;_xlfn.MAXIFS($F$14:$F$1213,$A$14:$A$1213,$H211),$AB$14:$AB$1213,0)),""))</f>
        <v/>
      </c>
      <c r="AL211" s="27">
        <f>IF(OR($H211="",COUNTIFS($A$14:$A$1213,$H211,$F$14:$F$1213,"&gt;=0")&lt;2,COUNTIFS($A$14:$A$1213,$H211,$F$14:$F$1213,_xlfn.MAXIFS($F$14:$F$1213,$A$14:$A$1213,$H211))&gt;1),"",IFERROR(INDEX($D$14:$D$1213,MATCH($H211&amp;"|"&amp;_xlfn.MAXIFS($F$14:$F$1213,$A$14:$A$1213,$H211,$F$14:$F$1213,"&lt;"&amp;_xlfn.MAXIFS($F$14:$F$1213,$A$14:$A$1213,$H211)),$AB$14:$AB$1213,0)),""))</f>
        <v/>
      </c>
      <c r="AM211" s="27">
        <f>IF(OR($H211="",COUNTIFS($A$14:$A$1213,$H211,$F$14:$F$1213,"&gt;=0")&lt;2,COUNTIFS($A$14:$A$1213,$H211,$F$14:$F$1213,_xlfn.MAXIFS($F$14:$F$1213,$A$14:$A$1213,$H211))&gt;1),"",IFERROR(INDEX($E$14:$E$1213,MATCH($H211&amp;"|"&amp;_xlfn.MAXIFS($F$14:$F$1213,$A$14:$A$1213,$H211,$F$14:$F$1213,"&lt;"&amp;_xlfn.MAXIFS($F$14:$F$1213,$A$14:$A$1213,$H211)),$AB$14:$AB$1213,0)),""))</f>
        <v/>
      </c>
      <c r="AN211" s="27">
        <f>IF(OR(NOT(ISNUMBER($AJ211)),NOT(ISNUMBER($AL211)),$AK211=0,$AM211=0),"",IF(OR((($AJ211+$AL211)/($AK211+$AM211))&lt;=0,(($AJ211+$AL211)/($AK211+$AM211))&gt;=1),"",($AJ211/$AK211-$AL211/$AM211)/SQRT((($AJ211+$AL211)/($AK211+$AM211))*(1-(($AJ211+$AL211)/($AK211+$AM211)))*(1/$AK211+1/$AM211))))</f>
        <v/>
      </c>
      <c r="AO211" s="27">
        <f>IF($A211="","",IF(AND(COUNTIFS($A$14:$A$1213,$A211,$F$14:$F$1213,"&gt;=0")=2,IFERROR(INDEX($M$14:$M$313,MATCH($A211,$H$14:$H$313,0)),"Yes")&lt;&gt;"Yes"),1,0))</f>
        <v/>
      </c>
    </row>
    <row r="212" ht="24" customHeight="1">
      <c r="A212" s="19" t="n"/>
      <c r="B212" s="20" t="n"/>
      <c r="C212" s="21">
        <f>IFERROR(AVERAGE(P212:T212),"")</f>
        <v/>
      </c>
      <c r="D212" s="29" t="n"/>
      <c r="E212" s="29" t="n"/>
      <c r="F212" s="30">
        <f>IF(AND(ISNUMBER($D212),ISNUMBER($E212),$E212&gt;0,$D212&lt;=$E212),$D212/$E212,"")</f>
        <v/>
      </c>
      <c r="H212" s="19">
        <f>IFERROR(INDEX($A$14:$A$1213,MATCH(199,$AI$14:$AI$1213,0)),"")</f>
        <v/>
      </c>
      <c r="I212" s="24">
        <f>IF($H212="","",IF(COUNTIFS($A$14:$A$1213,$H212,$C$14:$C$1213,"&gt;=0")=0,"—",IFERROR(INDEX($B$14:$B$1213,MATCH($H212&amp;"|1",$Z$14:$Z$1213,0)),"(tied)")))</f>
        <v/>
      </c>
      <c r="J212" s="25">
        <f>IF($H212="","",IF(OR(COUNTIFS($A$14:$A$1213,$H212,$C$14:$C$1213,"&gt;=0")=0,COUNTIFS($A$14:$A$1213,$H212,$F$14:$F$1213,"&gt;=0")=0),"—",IF(OR(ISERROR(MATCH($H212&amp;"|1",$Z$14:$Z$1213,0)),ISERROR(MATCH($H212&amp;"|1",$AA$14:$AA$1213,0))),"Tie",IF(MATCH($H212&amp;"|1",$Z$14:$Z$1213,0)=MATCH($H212&amp;"|1",$AA$14:$AA$1213,0),"Hit","Miss"))))</f>
        <v/>
      </c>
      <c r="K212" s="24">
        <f>IF($H212="","",IF(COUNTIFS($A$14:$A$1213,$H212,$F$14:$F$1213,"&gt;=0")=0,"—",IFERROR(INDEX($B$14:$B$1213,MATCH($H212&amp;"|1",$AA$14:$AA$1213,0)),"(tied)")))</f>
        <v/>
      </c>
      <c r="L212" s="25">
        <f>IF($H212="","",IF((--(COUNTIFS($A$14:$A$1213,$H212,$P$14:$P$1213,"&gt;=0")&gt;0)+--(COUNTIFS($A$14:$A$1213,$H212,$Q$14:$Q$1213,"&gt;=0")&gt;0)+--(COUNTIFS($A$14:$A$1213,$H212,$R$14:$R$1213,"&gt;=0")&gt;0)+--(COUNTIFS($A$14:$A$1213,$H212,$S$14:$S$1213,"&gt;=0")&gt;0)+--(COUNTIFS($A$14:$A$1213,$H212,$T$14:$T$1213,"&gt;=0")&gt;0))&lt;2,"—",IF(SUMIFS($AH$14:$AH$1213,$A$14:$A$1213,$H212)=0,"Yes","No")))</f>
        <v/>
      </c>
      <c r="M212" s="25">
        <f>IF($H212="","",IF(COUNTIFS($A$14:$A$1213,$H212,$F$14:$F$1213,"&gt;=0")&lt;2,"—",IF(COUNTIFS($A$14:$A$1213,$H212,$F$14:$F$1213,_xlfn.MAXIFS($F$14:$F$1213,$A$14:$A$1213,$H212))&gt;1,"No",IF(NOT(ISNUMBER($AN212)),"—",IF((2*(1-NORMSDIST(ABS($AN212))))&lt;0.05,"Yes","No")))))</f>
        <v/>
      </c>
      <c r="N212" s="21">
        <f>IF($H212="","",IF(NOT(ISNUMBER($AN212)),"—",IF((2*(1-NORMSDIST(ABS($AN212))))&lt;0.001,"&lt;0.001",TEXT((2*(1-NORMSDIST(ABS($AN212)))),"0.000"))))</f>
        <v/>
      </c>
      <c r="P212" s="26" t="n"/>
      <c r="Q212" s="26" t="n"/>
      <c r="R212" s="26" t="n"/>
      <c r="S212" s="26" t="n"/>
      <c r="T212" s="26" t="n"/>
      <c r="V212" s="27">
        <f>IF(ISNUMBER($C212),COUNTIFS($A$14:$A$1213,$A212,$C$14:$C$1213,"&gt;"&amp;$C212)+(COUNTIFS($A$14:$A$1213,$A212,$C$14:$C$1213,"="&amp;$C212)+1)/2,"")</f>
        <v/>
      </c>
      <c r="W212" s="27">
        <f>IF(ISNUMBER($F212),COUNTIFS($A$14:$A$1213,$A212,$F$14:$F$1213,"&gt;"&amp;$F212)+(COUNTIFS($A$14:$A$1213,$A212,$F$14:$F$1213,"="&amp;$F212)+1)/2,"")</f>
        <v/>
      </c>
      <c r="X212" s="27">
        <f>IF(OR(NOT(ISNUMBER($V212)),$AO212=1),"",$V212-(COUNTIFS($A$14:$A$1213,$A212,$C$14:$C$1213,"&gt;=0")+1)/2)</f>
        <v/>
      </c>
      <c r="Y212" s="27">
        <f>IF(OR(NOT(ISNUMBER($W212)),$AO212=1),"",$W212-(COUNTIFS($A$14:$A$1213,$A212,$F$14:$F$1213,"&gt;=0")+1)/2)</f>
        <v/>
      </c>
      <c r="Z212" s="27">
        <f>IF(ISNUMBER($V212),$A212&amp;"|"&amp;$V212,"")</f>
        <v/>
      </c>
      <c r="AA212" s="27">
        <f>IF(ISNUMBER($W212),$A212&amp;"|"&amp;$W212,"")</f>
        <v/>
      </c>
      <c r="AB212" s="27">
        <f>IF(ISNUMBER($F212),$A212&amp;"|"&amp;$F212,"")</f>
        <v/>
      </c>
      <c r="AC212" s="27">
        <f>IF(ISNUMBER($P212),COUNTIFS($A$14:$A$1213,$A212,$P$14:$P$1213,"&gt;"&amp;$P212)+(COUNTIFS($A$14:$A$1213,$A212,$P$14:$P$1213,"="&amp;$P212)+1)/2,"")</f>
        <v/>
      </c>
      <c r="AD212" s="27">
        <f>IF(ISNUMBER($Q212),COUNTIFS($A$14:$A$1213,$A212,$Q$14:$Q$1213,"&gt;"&amp;$Q212)+(COUNTIFS($A$14:$A$1213,$A212,$Q$14:$Q$1213,"="&amp;$Q212)+1)/2,"")</f>
        <v/>
      </c>
      <c r="AE212" s="27">
        <f>IF(ISNUMBER($R212),COUNTIFS($A$14:$A$1213,$A212,$R$14:$R$1213,"&gt;"&amp;$R212)+(COUNTIFS($A$14:$A$1213,$A212,$R$14:$R$1213,"="&amp;$R212)+1)/2,"")</f>
        <v/>
      </c>
      <c r="AF212" s="27">
        <f>IF(ISNUMBER($S212),COUNTIFS($A$14:$A$1213,$A212,$S$14:$S$1213,"&gt;"&amp;$S212)+(COUNTIFS($A$14:$A$1213,$A212,$S$14:$S$1213,"="&amp;$S212)+1)/2,"")</f>
        <v/>
      </c>
      <c r="AG212" s="27">
        <f>IF(ISNUMBER($T212),COUNTIFS($A$14:$A$1213,$A212,$T$14:$T$1213,"&gt;"&amp;$T212)+(COUNTIFS($A$14:$A$1213,$A212,$T$14:$T$1213,"="&amp;$T212)+1)/2,"")</f>
        <v/>
      </c>
      <c r="AH212" s="27">
        <f>IF(COUNT($AC212:$AG212)&lt;2,"",IF(MAX($AC212:$AG212)=MIN($AC212:$AG212),0,1))</f>
        <v/>
      </c>
      <c r="AI212" s="27">
        <f>IF($A212="","",IF(COUNTIF($A$14:$A212,$A212)=1,COUNTIF($AI$13:AI211,"&gt;0")+1,""))</f>
        <v/>
      </c>
      <c r="AJ212" s="27">
        <f>IF(OR($H212="",COUNTIFS($A$14:$A$1213,$H212,$F$14:$F$1213,"&gt;=0")&lt;2,COUNTIFS($A$14:$A$1213,$H212,$F$14:$F$1213,_xlfn.MAXIFS($F$14:$F$1213,$A$14:$A$1213,$H212))&gt;1),"",IFERROR(INDEX($D$14:$D$1213,MATCH($H212&amp;"|"&amp;_xlfn.MAXIFS($F$14:$F$1213,$A$14:$A$1213,$H212),$AB$14:$AB$1213,0)),""))</f>
        <v/>
      </c>
      <c r="AK212" s="27">
        <f>IF(OR($H212="",COUNTIFS($A$14:$A$1213,$H212,$F$14:$F$1213,"&gt;=0")&lt;2,COUNTIFS($A$14:$A$1213,$H212,$F$14:$F$1213,_xlfn.MAXIFS($F$14:$F$1213,$A$14:$A$1213,$H212))&gt;1),"",IFERROR(INDEX($E$14:$E$1213,MATCH($H212&amp;"|"&amp;_xlfn.MAXIFS($F$14:$F$1213,$A$14:$A$1213,$H212),$AB$14:$AB$1213,0)),""))</f>
        <v/>
      </c>
      <c r="AL212" s="27">
        <f>IF(OR($H212="",COUNTIFS($A$14:$A$1213,$H212,$F$14:$F$1213,"&gt;=0")&lt;2,COUNTIFS($A$14:$A$1213,$H212,$F$14:$F$1213,_xlfn.MAXIFS($F$14:$F$1213,$A$14:$A$1213,$H212))&gt;1),"",IFERROR(INDEX($D$14:$D$1213,MATCH($H212&amp;"|"&amp;_xlfn.MAXIFS($F$14:$F$1213,$A$14:$A$1213,$H212,$F$14:$F$1213,"&lt;"&amp;_xlfn.MAXIFS($F$14:$F$1213,$A$14:$A$1213,$H212)),$AB$14:$AB$1213,0)),""))</f>
        <v/>
      </c>
      <c r="AM212" s="27">
        <f>IF(OR($H212="",COUNTIFS($A$14:$A$1213,$H212,$F$14:$F$1213,"&gt;=0")&lt;2,COUNTIFS($A$14:$A$1213,$H212,$F$14:$F$1213,_xlfn.MAXIFS($F$14:$F$1213,$A$14:$A$1213,$H212))&gt;1),"",IFERROR(INDEX($E$14:$E$1213,MATCH($H212&amp;"|"&amp;_xlfn.MAXIFS($F$14:$F$1213,$A$14:$A$1213,$H212,$F$14:$F$1213,"&lt;"&amp;_xlfn.MAXIFS($F$14:$F$1213,$A$14:$A$1213,$H212)),$AB$14:$AB$1213,0)),""))</f>
        <v/>
      </c>
      <c r="AN212" s="27">
        <f>IF(OR(NOT(ISNUMBER($AJ212)),NOT(ISNUMBER($AL212)),$AK212=0,$AM212=0),"",IF(OR((($AJ212+$AL212)/($AK212+$AM212))&lt;=0,(($AJ212+$AL212)/($AK212+$AM212))&gt;=1),"",($AJ212/$AK212-$AL212/$AM212)/SQRT((($AJ212+$AL212)/($AK212+$AM212))*(1-(($AJ212+$AL212)/($AK212+$AM212)))*(1/$AK212+1/$AM212))))</f>
        <v/>
      </c>
      <c r="AO212" s="27">
        <f>IF($A212="","",IF(AND(COUNTIFS($A$14:$A$1213,$A212,$F$14:$F$1213,"&gt;=0")=2,IFERROR(INDEX($M$14:$M$313,MATCH($A212,$H$14:$H$313,0)),"Yes")&lt;&gt;"Yes"),1,0))</f>
        <v/>
      </c>
    </row>
    <row r="213" ht="24" customHeight="1">
      <c r="A213" s="19" t="n"/>
      <c r="B213" s="20" t="n"/>
      <c r="C213" s="21">
        <f>IFERROR(AVERAGE(P213:T213),"")</f>
        <v/>
      </c>
      <c r="D213" s="29" t="n"/>
      <c r="E213" s="29" t="n"/>
      <c r="F213" s="30">
        <f>IF(AND(ISNUMBER($D213),ISNUMBER($E213),$E213&gt;0,$D213&lt;=$E213),$D213/$E213,"")</f>
        <v/>
      </c>
      <c r="H213" s="19">
        <f>IFERROR(INDEX($A$14:$A$1213,MATCH(200,$AI$14:$AI$1213,0)),"")</f>
        <v/>
      </c>
      <c r="I213" s="24">
        <f>IF($H213="","",IF(COUNTIFS($A$14:$A$1213,$H213,$C$14:$C$1213,"&gt;=0")=0,"—",IFERROR(INDEX($B$14:$B$1213,MATCH($H213&amp;"|1",$Z$14:$Z$1213,0)),"(tied)")))</f>
        <v/>
      </c>
      <c r="J213" s="25">
        <f>IF($H213="","",IF(OR(COUNTIFS($A$14:$A$1213,$H213,$C$14:$C$1213,"&gt;=0")=0,COUNTIFS($A$14:$A$1213,$H213,$F$14:$F$1213,"&gt;=0")=0),"—",IF(OR(ISERROR(MATCH($H213&amp;"|1",$Z$14:$Z$1213,0)),ISERROR(MATCH($H213&amp;"|1",$AA$14:$AA$1213,0))),"Tie",IF(MATCH($H213&amp;"|1",$Z$14:$Z$1213,0)=MATCH($H213&amp;"|1",$AA$14:$AA$1213,0),"Hit","Miss"))))</f>
        <v/>
      </c>
      <c r="K213" s="24">
        <f>IF($H213="","",IF(COUNTIFS($A$14:$A$1213,$H213,$F$14:$F$1213,"&gt;=0")=0,"—",IFERROR(INDEX($B$14:$B$1213,MATCH($H213&amp;"|1",$AA$14:$AA$1213,0)),"(tied)")))</f>
        <v/>
      </c>
      <c r="L213" s="25">
        <f>IF($H213="","",IF((--(COUNTIFS($A$14:$A$1213,$H213,$P$14:$P$1213,"&gt;=0")&gt;0)+--(COUNTIFS($A$14:$A$1213,$H213,$Q$14:$Q$1213,"&gt;=0")&gt;0)+--(COUNTIFS($A$14:$A$1213,$H213,$R$14:$R$1213,"&gt;=0")&gt;0)+--(COUNTIFS($A$14:$A$1213,$H213,$S$14:$S$1213,"&gt;=0")&gt;0)+--(COUNTIFS($A$14:$A$1213,$H213,$T$14:$T$1213,"&gt;=0")&gt;0))&lt;2,"—",IF(SUMIFS($AH$14:$AH$1213,$A$14:$A$1213,$H213)=0,"Yes","No")))</f>
        <v/>
      </c>
      <c r="M213" s="25">
        <f>IF($H213="","",IF(COUNTIFS($A$14:$A$1213,$H213,$F$14:$F$1213,"&gt;=0")&lt;2,"—",IF(COUNTIFS($A$14:$A$1213,$H213,$F$14:$F$1213,_xlfn.MAXIFS($F$14:$F$1213,$A$14:$A$1213,$H213))&gt;1,"No",IF(NOT(ISNUMBER($AN213)),"—",IF((2*(1-NORMSDIST(ABS($AN213))))&lt;0.05,"Yes","No")))))</f>
        <v/>
      </c>
      <c r="N213" s="21">
        <f>IF($H213="","",IF(NOT(ISNUMBER($AN213)),"—",IF((2*(1-NORMSDIST(ABS($AN213))))&lt;0.001,"&lt;0.001",TEXT((2*(1-NORMSDIST(ABS($AN213)))),"0.000"))))</f>
        <v/>
      </c>
      <c r="P213" s="26" t="n"/>
      <c r="Q213" s="26" t="n"/>
      <c r="R213" s="26" t="n"/>
      <c r="S213" s="26" t="n"/>
      <c r="T213" s="26" t="n"/>
      <c r="V213" s="27">
        <f>IF(ISNUMBER($C213),COUNTIFS($A$14:$A$1213,$A213,$C$14:$C$1213,"&gt;"&amp;$C213)+(COUNTIFS($A$14:$A$1213,$A213,$C$14:$C$1213,"="&amp;$C213)+1)/2,"")</f>
        <v/>
      </c>
      <c r="W213" s="27">
        <f>IF(ISNUMBER($F213),COUNTIFS($A$14:$A$1213,$A213,$F$14:$F$1213,"&gt;"&amp;$F213)+(COUNTIFS($A$14:$A$1213,$A213,$F$14:$F$1213,"="&amp;$F213)+1)/2,"")</f>
        <v/>
      </c>
      <c r="X213" s="27">
        <f>IF(OR(NOT(ISNUMBER($V213)),$AO213=1),"",$V213-(COUNTIFS($A$14:$A$1213,$A213,$C$14:$C$1213,"&gt;=0")+1)/2)</f>
        <v/>
      </c>
      <c r="Y213" s="27">
        <f>IF(OR(NOT(ISNUMBER($W213)),$AO213=1),"",$W213-(COUNTIFS($A$14:$A$1213,$A213,$F$14:$F$1213,"&gt;=0")+1)/2)</f>
        <v/>
      </c>
      <c r="Z213" s="27">
        <f>IF(ISNUMBER($V213),$A213&amp;"|"&amp;$V213,"")</f>
        <v/>
      </c>
      <c r="AA213" s="27">
        <f>IF(ISNUMBER($W213),$A213&amp;"|"&amp;$W213,"")</f>
        <v/>
      </c>
      <c r="AB213" s="27">
        <f>IF(ISNUMBER($F213),$A213&amp;"|"&amp;$F213,"")</f>
        <v/>
      </c>
      <c r="AC213" s="27">
        <f>IF(ISNUMBER($P213),COUNTIFS($A$14:$A$1213,$A213,$P$14:$P$1213,"&gt;"&amp;$P213)+(COUNTIFS($A$14:$A$1213,$A213,$P$14:$P$1213,"="&amp;$P213)+1)/2,"")</f>
        <v/>
      </c>
      <c r="AD213" s="27">
        <f>IF(ISNUMBER($Q213),COUNTIFS($A$14:$A$1213,$A213,$Q$14:$Q$1213,"&gt;"&amp;$Q213)+(COUNTIFS($A$14:$A$1213,$A213,$Q$14:$Q$1213,"="&amp;$Q213)+1)/2,"")</f>
        <v/>
      </c>
      <c r="AE213" s="27">
        <f>IF(ISNUMBER($R213),COUNTIFS($A$14:$A$1213,$A213,$R$14:$R$1213,"&gt;"&amp;$R213)+(COUNTIFS($A$14:$A$1213,$A213,$R$14:$R$1213,"="&amp;$R213)+1)/2,"")</f>
        <v/>
      </c>
      <c r="AF213" s="27">
        <f>IF(ISNUMBER($S213),COUNTIFS($A$14:$A$1213,$A213,$S$14:$S$1213,"&gt;"&amp;$S213)+(COUNTIFS($A$14:$A$1213,$A213,$S$14:$S$1213,"="&amp;$S213)+1)/2,"")</f>
        <v/>
      </c>
      <c r="AG213" s="27">
        <f>IF(ISNUMBER($T213),COUNTIFS($A$14:$A$1213,$A213,$T$14:$T$1213,"&gt;"&amp;$T213)+(COUNTIFS($A$14:$A$1213,$A213,$T$14:$T$1213,"="&amp;$T213)+1)/2,"")</f>
        <v/>
      </c>
      <c r="AH213" s="27">
        <f>IF(COUNT($AC213:$AG213)&lt;2,"",IF(MAX($AC213:$AG213)=MIN($AC213:$AG213),0,1))</f>
        <v/>
      </c>
      <c r="AI213" s="27">
        <f>IF($A213="","",IF(COUNTIF($A$14:$A213,$A213)=1,COUNTIF($AI$13:AI212,"&gt;0")+1,""))</f>
        <v/>
      </c>
      <c r="AJ213" s="27">
        <f>IF(OR($H213="",COUNTIFS($A$14:$A$1213,$H213,$F$14:$F$1213,"&gt;=0")&lt;2,COUNTIFS($A$14:$A$1213,$H213,$F$14:$F$1213,_xlfn.MAXIFS($F$14:$F$1213,$A$14:$A$1213,$H213))&gt;1),"",IFERROR(INDEX($D$14:$D$1213,MATCH($H213&amp;"|"&amp;_xlfn.MAXIFS($F$14:$F$1213,$A$14:$A$1213,$H213),$AB$14:$AB$1213,0)),""))</f>
        <v/>
      </c>
      <c r="AK213" s="27">
        <f>IF(OR($H213="",COUNTIFS($A$14:$A$1213,$H213,$F$14:$F$1213,"&gt;=0")&lt;2,COUNTIFS($A$14:$A$1213,$H213,$F$14:$F$1213,_xlfn.MAXIFS($F$14:$F$1213,$A$14:$A$1213,$H213))&gt;1),"",IFERROR(INDEX($E$14:$E$1213,MATCH($H213&amp;"|"&amp;_xlfn.MAXIFS($F$14:$F$1213,$A$14:$A$1213,$H213),$AB$14:$AB$1213,0)),""))</f>
        <v/>
      </c>
      <c r="AL213" s="27">
        <f>IF(OR($H213="",COUNTIFS($A$14:$A$1213,$H213,$F$14:$F$1213,"&gt;=0")&lt;2,COUNTIFS($A$14:$A$1213,$H213,$F$14:$F$1213,_xlfn.MAXIFS($F$14:$F$1213,$A$14:$A$1213,$H213))&gt;1),"",IFERROR(INDEX($D$14:$D$1213,MATCH($H213&amp;"|"&amp;_xlfn.MAXIFS($F$14:$F$1213,$A$14:$A$1213,$H213,$F$14:$F$1213,"&lt;"&amp;_xlfn.MAXIFS($F$14:$F$1213,$A$14:$A$1213,$H213)),$AB$14:$AB$1213,0)),""))</f>
        <v/>
      </c>
      <c r="AM213" s="27">
        <f>IF(OR($H213="",COUNTIFS($A$14:$A$1213,$H213,$F$14:$F$1213,"&gt;=0")&lt;2,COUNTIFS($A$14:$A$1213,$H213,$F$14:$F$1213,_xlfn.MAXIFS($F$14:$F$1213,$A$14:$A$1213,$H213))&gt;1),"",IFERROR(INDEX($E$14:$E$1213,MATCH($H213&amp;"|"&amp;_xlfn.MAXIFS($F$14:$F$1213,$A$14:$A$1213,$H213,$F$14:$F$1213,"&lt;"&amp;_xlfn.MAXIFS($F$14:$F$1213,$A$14:$A$1213,$H213)),$AB$14:$AB$1213,0)),""))</f>
        <v/>
      </c>
      <c r="AN213" s="27">
        <f>IF(OR(NOT(ISNUMBER($AJ213)),NOT(ISNUMBER($AL213)),$AK213=0,$AM213=0),"",IF(OR((($AJ213+$AL213)/($AK213+$AM213))&lt;=0,(($AJ213+$AL213)/($AK213+$AM213))&gt;=1),"",($AJ213/$AK213-$AL213/$AM213)/SQRT((($AJ213+$AL213)/($AK213+$AM213))*(1-(($AJ213+$AL213)/($AK213+$AM213)))*(1/$AK213+1/$AM213))))</f>
        <v/>
      </c>
      <c r="AO213" s="27">
        <f>IF($A213="","",IF(AND(COUNTIFS($A$14:$A$1213,$A213,$F$14:$F$1213,"&gt;=0")=2,IFERROR(INDEX($M$14:$M$313,MATCH($A213,$H$14:$H$313,0)),"Yes")&lt;&gt;"Yes"),1,0))</f>
        <v/>
      </c>
    </row>
    <row r="214" ht="24" customHeight="1">
      <c r="A214" s="19" t="n"/>
      <c r="B214" s="20" t="n"/>
      <c r="C214" s="21">
        <f>IFERROR(AVERAGE(P214:T214),"")</f>
        <v/>
      </c>
      <c r="D214" s="29" t="n"/>
      <c r="E214" s="29" t="n"/>
      <c r="F214" s="30">
        <f>IF(AND(ISNUMBER($D214),ISNUMBER($E214),$E214&gt;0,$D214&lt;=$E214),$D214/$E214,"")</f>
        <v/>
      </c>
      <c r="H214" s="19">
        <f>IFERROR(INDEX($A$14:$A$1213,MATCH(201,$AI$14:$AI$1213,0)),"")</f>
        <v/>
      </c>
      <c r="I214" s="24">
        <f>IF($H214="","",IF(COUNTIFS($A$14:$A$1213,$H214,$C$14:$C$1213,"&gt;=0")=0,"—",IFERROR(INDEX($B$14:$B$1213,MATCH($H214&amp;"|1",$Z$14:$Z$1213,0)),"(tied)")))</f>
        <v/>
      </c>
      <c r="J214" s="25">
        <f>IF($H214="","",IF(OR(COUNTIFS($A$14:$A$1213,$H214,$C$14:$C$1213,"&gt;=0")=0,COUNTIFS($A$14:$A$1213,$H214,$F$14:$F$1213,"&gt;=0")=0),"—",IF(OR(ISERROR(MATCH($H214&amp;"|1",$Z$14:$Z$1213,0)),ISERROR(MATCH($H214&amp;"|1",$AA$14:$AA$1213,0))),"Tie",IF(MATCH($H214&amp;"|1",$Z$14:$Z$1213,0)=MATCH($H214&amp;"|1",$AA$14:$AA$1213,0),"Hit","Miss"))))</f>
        <v/>
      </c>
      <c r="K214" s="24">
        <f>IF($H214="","",IF(COUNTIFS($A$14:$A$1213,$H214,$F$14:$F$1213,"&gt;=0")=0,"—",IFERROR(INDEX($B$14:$B$1213,MATCH($H214&amp;"|1",$AA$14:$AA$1213,0)),"(tied)")))</f>
        <v/>
      </c>
      <c r="L214" s="25">
        <f>IF($H214="","",IF((--(COUNTIFS($A$14:$A$1213,$H214,$P$14:$P$1213,"&gt;=0")&gt;0)+--(COUNTIFS($A$14:$A$1213,$H214,$Q$14:$Q$1213,"&gt;=0")&gt;0)+--(COUNTIFS($A$14:$A$1213,$H214,$R$14:$R$1213,"&gt;=0")&gt;0)+--(COUNTIFS($A$14:$A$1213,$H214,$S$14:$S$1213,"&gt;=0")&gt;0)+--(COUNTIFS($A$14:$A$1213,$H214,$T$14:$T$1213,"&gt;=0")&gt;0))&lt;2,"—",IF(SUMIFS($AH$14:$AH$1213,$A$14:$A$1213,$H214)=0,"Yes","No")))</f>
        <v/>
      </c>
      <c r="M214" s="25">
        <f>IF($H214="","",IF(COUNTIFS($A$14:$A$1213,$H214,$F$14:$F$1213,"&gt;=0")&lt;2,"—",IF(COUNTIFS($A$14:$A$1213,$H214,$F$14:$F$1213,_xlfn.MAXIFS($F$14:$F$1213,$A$14:$A$1213,$H214))&gt;1,"No",IF(NOT(ISNUMBER($AN214)),"—",IF((2*(1-NORMSDIST(ABS($AN214))))&lt;0.05,"Yes","No")))))</f>
        <v/>
      </c>
      <c r="N214" s="21">
        <f>IF($H214="","",IF(NOT(ISNUMBER($AN214)),"—",IF((2*(1-NORMSDIST(ABS($AN214))))&lt;0.001,"&lt;0.001",TEXT((2*(1-NORMSDIST(ABS($AN214)))),"0.000"))))</f>
        <v/>
      </c>
      <c r="P214" s="26" t="n"/>
      <c r="Q214" s="26" t="n"/>
      <c r="R214" s="26" t="n"/>
      <c r="S214" s="26" t="n"/>
      <c r="T214" s="26" t="n"/>
      <c r="V214" s="27">
        <f>IF(ISNUMBER($C214),COUNTIFS($A$14:$A$1213,$A214,$C$14:$C$1213,"&gt;"&amp;$C214)+(COUNTIFS($A$14:$A$1213,$A214,$C$14:$C$1213,"="&amp;$C214)+1)/2,"")</f>
        <v/>
      </c>
      <c r="W214" s="27">
        <f>IF(ISNUMBER($F214),COUNTIFS($A$14:$A$1213,$A214,$F$14:$F$1213,"&gt;"&amp;$F214)+(COUNTIFS($A$14:$A$1213,$A214,$F$14:$F$1213,"="&amp;$F214)+1)/2,"")</f>
        <v/>
      </c>
      <c r="X214" s="27">
        <f>IF(OR(NOT(ISNUMBER($V214)),$AO214=1),"",$V214-(COUNTIFS($A$14:$A$1213,$A214,$C$14:$C$1213,"&gt;=0")+1)/2)</f>
        <v/>
      </c>
      <c r="Y214" s="27">
        <f>IF(OR(NOT(ISNUMBER($W214)),$AO214=1),"",$W214-(COUNTIFS($A$14:$A$1213,$A214,$F$14:$F$1213,"&gt;=0")+1)/2)</f>
        <v/>
      </c>
      <c r="Z214" s="27">
        <f>IF(ISNUMBER($V214),$A214&amp;"|"&amp;$V214,"")</f>
        <v/>
      </c>
      <c r="AA214" s="27">
        <f>IF(ISNUMBER($W214),$A214&amp;"|"&amp;$W214,"")</f>
        <v/>
      </c>
      <c r="AB214" s="27">
        <f>IF(ISNUMBER($F214),$A214&amp;"|"&amp;$F214,"")</f>
        <v/>
      </c>
      <c r="AC214" s="27">
        <f>IF(ISNUMBER($P214),COUNTIFS($A$14:$A$1213,$A214,$P$14:$P$1213,"&gt;"&amp;$P214)+(COUNTIFS($A$14:$A$1213,$A214,$P$14:$P$1213,"="&amp;$P214)+1)/2,"")</f>
        <v/>
      </c>
      <c r="AD214" s="27">
        <f>IF(ISNUMBER($Q214),COUNTIFS($A$14:$A$1213,$A214,$Q$14:$Q$1213,"&gt;"&amp;$Q214)+(COUNTIFS($A$14:$A$1213,$A214,$Q$14:$Q$1213,"="&amp;$Q214)+1)/2,"")</f>
        <v/>
      </c>
      <c r="AE214" s="27">
        <f>IF(ISNUMBER($R214),COUNTIFS($A$14:$A$1213,$A214,$R$14:$R$1213,"&gt;"&amp;$R214)+(COUNTIFS($A$14:$A$1213,$A214,$R$14:$R$1213,"="&amp;$R214)+1)/2,"")</f>
        <v/>
      </c>
      <c r="AF214" s="27">
        <f>IF(ISNUMBER($S214),COUNTIFS($A$14:$A$1213,$A214,$S$14:$S$1213,"&gt;"&amp;$S214)+(COUNTIFS($A$14:$A$1213,$A214,$S$14:$S$1213,"="&amp;$S214)+1)/2,"")</f>
        <v/>
      </c>
      <c r="AG214" s="27">
        <f>IF(ISNUMBER($T214),COUNTIFS($A$14:$A$1213,$A214,$T$14:$T$1213,"&gt;"&amp;$T214)+(COUNTIFS($A$14:$A$1213,$A214,$T$14:$T$1213,"="&amp;$T214)+1)/2,"")</f>
        <v/>
      </c>
      <c r="AH214" s="27">
        <f>IF(COUNT($AC214:$AG214)&lt;2,"",IF(MAX($AC214:$AG214)=MIN($AC214:$AG214),0,1))</f>
        <v/>
      </c>
      <c r="AI214" s="27">
        <f>IF($A214="","",IF(COUNTIF($A$14:$A214,$A214)=1,COUNTIF($AI$13:AI213,"&gt;0")+1,""))</f>
        <v/>
      </c>
      <c r="AJ214" s="27">
        <f>IF(OR($H214="",COUNTIFS($A$14:$A$1213,$H214,$F$14:$F$1213,"&gt;=0")&lt;2,COUNTIFS($A$14:$A$1213,$H214,$F$14:$F$1213,_xlfn.MAXIFS($F$14:$F$1213,$A$14:$A$1213,$H214))&gt;1),"",IFERROR(INDEX($D$14:$D$1213,MATCH($H214&amp;"|"&amp;_xlfn.MAXIFS($F$14:$F$1213,$A$14:$A$1213,$H214),$AB$14:$AB$1213,0)),""))</f>
        <v/>
      </c>
      <c r="AK214" s="27">
        <f>IF(OR($H214="",COUNTIFS($A$14:$A$1213,$H214,$F$14:$F$1213,"&gt;=0")&lt;2,COUNTIFS($A$14:$A$1213,$H214,$F$14:$F$1213,_xlfn.MAXIFS($F$14:$F$1213,$A$14:$A$1213,$H214))&gt;1),"",IFERROR(INDEX($E$14:$E$1213,MATCH($H214&amp;"|"&amp;_xlfn.MAXIFS($F$14:$F$1213,$A$14:$A$1213,$H214),$AB$14:$AB$1213,0)),""))</f>
        <v/>
      </c>
      <c r="AL214" s="27">
        <f>IF(OR($H214="",COUNTIFS($A$14:$A$1213,$H214,$F$14:$F$1213,"&gt;=0")&lt;2,COUNTIFS($A$14:$A$1213,$H214,$F$14:$F$1213,_xlfn.MAXIFS($F$14:$F$1213,$A$14:$A$1213,$H214))&gt;1),"",IFERROR(INDEX($D$14:$D$1213,MATCH($H214&amp;"|"&amp;_xlfn.MAXIFS($F$14:$F$1213,$A$14:$A$1213,$H214,$F$14:$F$1213,"&lt;"&amp;_xlfn.MAXIFS($F$14:$F$1213,$A$14:$A$1213,$H214)),$AB$14:$AB$1213,0)),""))</f>
        <v/>
      </c>
      <c r="AM214" s="27">
        <f>IF(OR($H214="",COUNTIFS($A$14:$A$1213,$H214,$F$14:$F$1213,"&gt;=0")&lt;2,COUNTIFS($A$14:$A$1213,$H214,$F$14:$F$1213,_xlfn.MAXIFS($F$14:$F$1213,$A$14:$A$1213,$H214))&gt;1),"",IFERROR(INDEX($E$14:$E$1213,MATCH($H214&amp;"|"&amp;_xlfn.MAXIFS($F$14:$F$1213,$A$14:$A$1213,$H214,$F$14:$F$1213,"&lt;"&amp;_xlfn.MAXIFS($F$14:$F$1213,$A$14:$A$1213,$H214)),$AB$14:$AB$1213,0)),""))</f>
        <v/>
      </c>
      <c r="AN214" s="27">
        <f>IF(OR(NOT(ISNUMBER($AJ214)),NOT(ISNUMBER($AL214)),$AK214=0,$AM214=0),"",IF(OR((($AJ214+$AL214)/($AK214+$AM214))&lt;=0,(($AJ214+$AL214)/($AK214+$AM214))&gt;=1),"",($AJ214/$AK214-$AL214/$AM214)/SQRT((($AJ214+$AL214)/($AK214+$AM214))*(1-(($AJ214+$AL214)/($AK214+$AM214)))*(1/$AK214+1/$AM214))))</f>
        <v/>
      </c>
      <c r="AO214" s="27">
        <f>IF($A214="","",IF(AND(COUNTIFS($A$14:$A$1213,$A214,$F$14:$F$1213,"&gt;=0")=2,IFERROR(INDEX($M$14:$M$313,MATCH($A214,$H$14:$H$313,0)),"Yes")&lt;&gt;"Yes"),1,0))</f>
        <v/>
      </c>
    </row>
    <row r="215" ht="24" customHeight="1">
      <c r="A215" s="19" t="n"/>
      <c r="B215" s="20" t="n"/>
      <c r="C215" s="21">
        <f>IFERROR(AVERAGE(P215:T215),"")</f>
        <v/>
      </c>
      <c r="D215" s="29" t="n"/>
      <c r="E215" s="29" t="n"/>
      <c r="F215" s="30">
        <f>IF(AND(ISNUMBER($D215),ISNUMBER($E215),$E215&gt;0,$D215&lt;=$E215),$D215/$E215,"")</f>
        <v/>
      </c>
      <c r="H215" s="19">
        <f>IFERROR(INDEX($A$14:$A$1213,MATCH(202,$AI$14:$AI$1213,0)),"")</f>
        <v/>
      </c>
      <c r="I215" s="24">
        <f>IF($H215="","",IF(COUNTIFS($A$14:$A$1213,$H215,$C$14:$C$1213,"&gt;=0")=0,"—",IFERROR(INDEX($B$14:$B$1213,MATCH($H215&amp;"|1",$Z$14:$Z$1213,0)),"(tied)")))</f>
        <v/>
      </c>
      <c r="J215" s="25">
        <f>IF($H215="","",IF(OR(COUNTIFS($A$14:$A$1213,$H215,$C$14:$C$1213,"&gt;=0")=0,COUNTIFS($A$14:$A$1213,$H215,$F$14:$F$1213,"&gt;=0")=0),"—",IF(OR(ISERROR(MATCH($H215&amp;"|1",$Z$14:$Z$1213,0)),ISERROR(MATCH($H215&amp;"|1",$AA$14:$AA$1213,0))),"Tie",IF(MATCH($H215&amp;"|1",$Z$14:$Z$1213,0)=MATCH($H215&amp;"|1",$AA$14:$AA$1213,0),"Hit","Miss"))))</f>
        <v/>
      </c>
      <c r="K215" s="24">
        <f>IF($H215="","",IF(COUNTIFS($A$14:$A$1213,$H215,$F$14:$F$1213,"&gt;=0")=0,"—",IFERROR(INDEX($B$14:$B$1213,MATCH($H215&amp;"|1",$AA$14:$AA$1213,0)),"(tied)")))</f>
        <v/>
      </c>
      <c r="L215" s="25">
        <f>IF($H215="","",IF((--(COUNTIFS($A$14:$A$1213,$H215,$P$14:$P$1213,"&gt;=0")&gt;0)+--(COUNTIFS($A$14:$A$1213,$H215,$Q$14:$Q$1213,"&gt;=0")&gt;0)+--(COUNTIFS($A$14:$A$1213,$H215,$R$14:$R$1213,"&gt;=0")&gt;0)+--(COUNTIFS($A$14:$A$1213,$H215,$S$14:$S$1213,"&gt;=0")&gt;0)+--(COUNTIFS($A$14:$A$1213,$H215,$T$14:$T$1213,"&gt;=0")&gt;0))&lt;2,"—",IF(SUMIFS($AH$14:$AH$1213,$A$14:$A$1213,$H215)=0,"Yes","No")))</f>
        <v/>
      </c>
      <c r="M215" s="25">
        <f>IF($H215="","",IF(COUNTIFS($A$14:$A$1213,$H215,$F$14:$F$1213,"&gt;=0")&lt;2,"—",IF(COUNTIFS($A$14:$A$1213,$H215,$F$14:$F$1213,_xlfn.MAXIFS($F$14:$F$1213,$A$14:$A$1213,$H215))&gt;1,"No",IF(NOT(ISNUMBER($AN215)),"—",IF((2*(1-NORMSDIST(ABS($AN215))))&lt;0.05,"Yes","No")))))</f>
        <v/>
      </c>
      <c r="N215" s="21">
        <f>IF($H215="","",IF(NOT(ISNUMBER($AN215)),"—",IF((2*(1-NORMSDIST(ABS($AN215))))&lt;0.001,"&lt;0.001",TEXT((2*(1-NORMSDIST(ABS($AN215)))),"0.000"))))</f>
        <v/>
      </c>
      <c r="P215" s="26" t="n"/>
      <c r="Q215" s="26" t="n"/>
      <c r="R215" s="26" t="n"/>
      <c r="S215" s="26" t="n"/>
      <c r="T215" s="26" t="n"/>
      <c r="V215" s="27">
        <f>IF(ISNUMBER($C215),COUNTIFS($A$14:$A$1213,$A215,$C$14:$C$1213,"&gt;"&amp;$C215)+(COUNTIFS($A$14:$A$1213,$A215,$C$14:$C$1213,"="&amp;$C215)+1)/2,"")</f>
        <v/>
      </c>
      <c r="W215" s="27">
        <f>IF(ISNUMBER($F215),COUNTIFS($A$14:$A$1213,$A215,$F$14:$F$1213,"&gt;"&amp;$F215)+(COUNTIFS($A$14:$A$1213,$A215,$F$14:$F$1213,"="&amp;$F215)+1)/2,"")</f>
        <v/>
      </c>
      <c r="X215" s="27">
        <f>IF(OR(NOT(ISNUMBER($V215)),$AO215=1),"",$V215-(COUNTIFS($A$14:$A$1213,$A215,$C$14:$C$1213,"&gt;=0")+1)/2)</f>
        <v/>
      </c>
      <c r="Y215" s="27">
        <f>IF(OR(NOT(ISNUMBER($W215)),$AO215=1),"",$W215-(COUNTIFS($A$14:$A$1213,$A215,$F$14:$F$1213,"&gt;=0")+1)/2)</f>
        <v/>
      </c>
      <c r="Z215" s="27">
        <f>IF(ISNUMBER($V215),$A215&amp;"|"&amp;$V215,"")</f>
        <v/>
      </c>
      <c r="AA215" s="27">
        <f>IF(ISNUMBER($W215),$A215&amp;"|"&amp;$W215,"")</f>
        <v/>
      </c>
      <c r="AB215" s="27">
        <f>IF(ISNUMBER($F215),$A215&amp;"|"&amp;$F215,"")</f>
        <v/>
      </c>
      <c r="AC215" s="27">
        <f>IF(ISNUMBER($P215),COUNTIFS($A$14:$A$1213,$A215,$P$14:$P$1213,"&gt;"&amp;$P215)+(COUNTIFS($A$14:$A$1213,$A215,$P$14:$P$1213,"="&amp;$P215)+1)/2,"")</f>
        <v/>
      </c>
      <c r="AD215" s="27">
        <f>IF(ISNUMBER($Q215),COUNTIFS($A$14:$A$1213,$A215,$Q$14:$Q$1213,"&gt;"&amp;$Q215)+(COUNTIFS($A$14:$A$1213,$A215,$Q$14:$Q$1213,"="&amp;$Q215)+1)/2,"")</f>
        <v/>
      </c>
      <c r="AE215" s="27">
        <f>IF(ISNUMBER($R215),COUNTIFS($A$14:$A$1213,$A215,$R$14:$R$1213,"&gt;"&amp;$R215)+(COUNTIFS($A$14:$A$1213,$A215,$R$14:$R$1213,"="&amp;$R215)+1)/2,"")</f>
        <v/>
      </c>
      <c r="AF215" s="27">
        <f>IF(ISNUMBER($S215),COUNTIFS($A$14:$A$1213,$A215,$S$14:$S$1213,"&gt;"&amp;$S215)+(COUNTIFS($A$14:$A$1213,$A215,$S$14:$S$1213,"="&amp;$S215)+1)/2,"")</f>
        <v/>
      </c>
      <c r="AG215" s="27">
        <f>IF(ISNUMBER($T215),COUNTIFS($A$14:$A$1213,$A215,$T$14:$T$1213,"&gt;"&amp;$T215)+(COUNTIFS($A$14:$A$1213,$A215,$T$14:$T$1213,"="&amp;$T215)+1)/2,"")</f>
        <v/>
      </c>
      <c r="AH215" s="27">
        <f>IF(COUNT($AC215:$AG215)&lt;2,"",IF(MAX($AC215:$AG215)=MIN($AC215:$AG215),0,1))</f>
        <v/>
      </c>
      <c r="AI215" s="27">
        <f>IF($A215="","",IF(COUNTIF($A$14:$A215,$A215)=1,COUNTIF($AI$13:AI214,"&gt;0")+1,""))</f>
        <v/>
      </c>
      <c r="AJ215" s="27">
        <f>IF(OR($H215="",COUNTIFS($A$14:$A$1213,$H215,$F$14:$F$1213,"&gt;=0")&lt;2,COUNTIFS($A$14:$A$1213,$H215,$F$14:$F$1213,_xlfn.MAXIFS($F$14:$F$1213,$A$14:$A$1213,$H215))&gt;1),"",IFERROR(INDEX($D$14:$D$1213,MATCH($H215&amp;"|"&amp;_xlfn.MAXIFS($F$14:$F$1213,$A$14:$A$1213,$H215),$AB$14:$AB$1213,0)),""))</f>
        <v/>
      </c>
      <c r="AK215" s="27">
        <f>IF(OR($H215="",COUNTIFS($A$14:$A$1213,$H215,$F$14:$F$1213,"&gt;=0")&lt;2,COUNTIFS($A$14:$A$1213,$H215,$F$14:$F$1213,_xlfn.MAXIFS($F$14:$F$1213,$A$14:$A$1213,$H215))&gt;1),"",IFERROR(INDEX($E$14:$E$1213,MATCH($H215&amp;"|"&amp;_xlfn.MAXIFS($F$14:$F$1213,$A$14:$A$1213,$H215),$AB$14:$AB$1213,0)),""))</f>
        <v/>
      </c>
      <c r="AL215" s="27">
        <f>IF(OR($H215="",COUNTIFS($A$14:$A$1213,$H215,$F$14:$F$1213,"&gt;=0")&lt;2,COUNTIFS($A$14:$A$1213,$H215,$F$14:$F$1213,_xlfn.MAXIFS($F$14:$F$1213,$A$14:$A$1213,$H215))&gt;1),"",IFERROR(INDEX($D$14:$D$1213,MATCH($H215&amp;"|"&amp;_xlfn.MAXIFS($F$14:$F$1213,$A$14:$A$1213,$H215,$F$14:$F$1213,"&lt;"&amp;_xlfn.MAXIFS($F$14:$F$1213,$A$14:$A$1213,$H215)),$AB$14:$AB$1213,0)),""))</f>
        <v/>
      </c>
      <c r="AM215" s="27">
        <f>IF(OR($H215="",COUNTIFS($A$14:$A$1213,$H215,$F$14:$F$1213,"&gt;=0")&lt;2,COUNTIFS($A$14:$A$1213,$H215,$F$14:$F$1213,_xlfn.MAXIFS($F$14:$F$1213,$A$14:$A$1213,$H215))&gt;1),"",IFERROR(INDEX($E$14:$E$1213,MATCH($H215&amp;"|"&amp;_xlfn.MAXIFS($F$14:$F$1213,$A$14:$A$1213,$H215,$F$14:$F$1213,"&lt;"&amp;_xlfn.MAXIFS($F$14:$F$1213,$A$14:$A$1213,$H215)),$AB$14:$AB$1213,0)),""))</f>
        <v/>
      </c>
      <c r="AN215" s="27">
        <f>IF(OR(NOT(ISNUMBER($AJ215)),NOT(ISNUMBER($AL215)),$AK215=0,$AM215=0),"",IF(OR((($AJ215+$AL215)/($AK215+$AM215))&lt;=0,(($AJ215+$AL215)/($AK215+$AM215))&gt;=1),"",($AJ215/$AK215-$AL215/$AM215)/SQRT((($AJ215+$AL215)/($AK215+$AM215))*(1-(($AJ215+$AL215)/($AK215+$AM215)))*(1/$AK215+1/$AM215))))</f>
        <v/>
      </c>
      <c r="AO215" s="27">
        <f>IF($A215="","",IF(AND(COUNTIFS($A$14:$A$1213,$A215,$F$14:$F$1213,"&gt;=0")=2,IFERROR(INDEX($M$14:$M$313,MATCH($A215,$H$14:$H$313,0)),"Yes")&lt;&gt;"Yes"),1,0))</f>
        <v/>
      </c>
    </row>
    <row r="216" ht="24" customHeight="1">
      <c r="A216" s="19" t="n"/>
      <c r="B216" s="20" t="n"/>
      <c r="C216" s="21">
        <f>IFERROR(AVERAGE(P216:T216),"")</f>
        <v/>
      </c>
      <c r="D216" s="29" t="n"/>
      <c r="E216" s="29" t="n"/>
      <c r="F216" s="30">
        <f>IF(AND(ISNUMBER($D216),ISNUMBER($E216),$E216&gt;0,$D216&lt;=$E216),$D216/$E216,"")</f>
        <v/>
      </c>
      <c r="H216" s="19">
        <f>IFERROR(INDEX($A$14:$A$1213,MATCH(203,$AI$14:$AI$1213,0)),"")</f>
        <v/>
      </c>
      <c r="I216" s="24">
        <f>IF($H216="","",IF(COUNTIFS($A$14:$A$1213,$H216,$C$14:$C$1213,"&gt;=0")=0,"—",IFERROR(INDEX($B$14:$B$1213,MATCH($H216&amp;"|1",$Z$14:$Z$1213,0)),"(tied)")))</f>
        <v/>
      </c>
      <c r="J216" s="25">
        <f>IF($H216="","",IF(OR(COUNTIFS($A$14:$A$1213,$H216,$C$14:$C$1213,"&gt;=0")=0,COUNTIFS($A$14:$A$1213,$H216,$F$14:$F$1213,"&gt;=0")=0),"—",IF(OR(ISERROR(MATCH($H216&amp;"|1",$Z$14:$Z$1213,0)),ISERROR(MATCH($H216&amp;"|1",$AA$14:$AA$1213,0))),"Tie",IF(MATCH($H216&amp;"|1",$Z$14:$Z$1213,0)=MATCH($H216&amp;"|1",$AA$14:$AA$1213,0),"Hit","Miss"))))</f>
        <v/>
      </c>
      <c r="K216" s="24">
        <f>IF($H216="","",IF(COUNTIFS($A$14:$A$1213,$H216,$F$14:$F$1213,"&gt;=0")=0,"—",IFERROR(INDEX($B$14:$B$1213,MATCH($H216&amp;"|1",$AA$14:$AA$1213,0)),"(tied)")))</f>
        <v/>
      </c>
      <c r="L216" s="25">
        <f>IF($H216="","",IF((--(COUNTIFS($A$14:$A$1213,$H216,$P$14:$P$1213,"&gt;=0")&gt;0)+--(COUNTIFS($A$14:$A$1213,$H216,$Q$14:$Q$1213,"&gt;=0")&gt;0)+--(COUNTIFS($A$14:$A$1213,$H216,$R$14:$R$1213,"&gt;=0")&gt;0)+--(COUNTIFS($A$14:$A$1213,$H216,$S$14:$S$1213,"&gt;=0")&gt;0)+--(COUNTIFS($A$14:$A$1213,$H216,$T$14:$T$1213,"&gt;=0")&gt;0))&lt;2,"—",IF(SUMIFS($AH$14:$AH$1213,$A$14:$A$1213,$H216)=0,"Yes","No")))</f>
        <v/>
      </c>
      <c r="M216" s="25">
        <f>IF($H216="","",IF(COUNTIFS($A$14:$A$1213,$H216,$F$14:$F$1213,"&gt;=0")&lt;2,"—",IF(COUNTIFS($A$14:$A$1213,$H216,$F$14:$F$1213,_xlfn.MAXIFS($F$14:$F$1213,$A$14:$A$1213,$H216))&gt;1,"No",IF(NOT(ISNUMBER($AN216)),"—",IF((2*(1-NORMSDIST(ABS($AN216))))&lt;0.05,"Yes","No")))))</f>
        <v/>
      </c>
      <c r="N216" s="21">
        <f>IF($H216="","",IF(NOT(ISNUMBER($AN216)),"—",IF((2*(1-NORMSDIST(ABS($AN216))))&lt;0.001,"&lt;0.001",TEXT((2*(1-NORMSDIST(ABS($AN216)))),"0.000"))))</f>
        <v/>
      </c>
      <c r="P216" s="26" t="n"/>
      <c r="Q216" s="26" t="n"/>
      <c r="R216" s="26" t="n"/>
      <c r="S216" s="26" t="n"/>
      <c r="T216" s="26" t="n"/>
      <c r="V216" s="27">
        <f>IF(ISNUMBER($C216),COUNTIFS($A$14:$A$1213,$A216,$C$14:$C$1213,"&gt;"&amp;$C216)+(COUNTIFS($A$14:$A$1213,$A216,$C$14:$C$1213,"="&amp;$C216)+1)/2,"")</f>
        <v/>
      </c>
      <c r="W216" s="27">
        <f>IF(ISNUMBER($F216),COUNTIFS($A$14:$A$1213,$A216,$F$14:$F$1213,"&gt;"&amp;$F216)+(COUNTIFS($A$14:$A$1213,$A216,$F$14:$F$1213,"="&amp;$F216)+1)/2,"")</f>
        <v/>
      </c>
      <c r="X216" s="27">
        <f>IF(OR(NOT(ISNUMBER($V216)),$AO216=1),"",$V216-(COUNTIFS($A$14:$A$1213,$A216,$C$14:$C$1213,"&gt;=0")+1)/2)</f>
        <v/>
      </c>
      <c r="Y216" s="27">
        <f>IF(OR(NOT(ISNUMBER($W216)),$AO216=1),"",$W216-(COUNTIFS($A$14:$A$1213,$A216,$F$14:$F$1213,"&gt;=0")+1)/2)</f>
        <v/>
      </c>
      <c r="Z216" s="27">
        <f>IF(ISNUMBER($V216),$A216&amp;"|"&amp;$V216,"")</f>
        <v/>
      </c>
      <c r="AA216" s="27">
        <f>IF(ISNUMBER($W216),$A216&amp;"|"&amp;$W216,"")</f>
        <v/>
      </c>
      <c r="AB216" s="27">
        <f>IF(ISNUMBER($F216),$A216&amp;"|"&amp;$F216,"")</f>
        <v/>
      </c>
      <c r="AC216" s="27">
        <f>IF(ISNUMBER($P216),COUNTIFS($A$14:$A$1213,$A216,$P$14:$P$1213,"&gt;"&amp;$P216)+(COUNTIFS($A$14:$A$1213,$A216,$P$14:$P$1213,"="&amp;$P216)+1)/2,"")</f>
        <v/>
      </c>
      <c r="AD216" s="27">
        <f>IF(ISNUMBER($Q216),COUNTIFS($A$14:$A$1213,$A216,$Q$14:$Q$1213,"&gt;"&amp;$Q216)+(COUNTIFS($A$14:$A$1213,$A216,$Q$14:$Q$1213,"="&amp;$Q216)+1)/2,"")</f>
        <v/>
      </c>
      <c r="AE216" s="27">
        <f>IF(ISNUMBER($R216),COUNTIFS($A$14:$A$1213,$A216,$R$14:$R$1213,"&gt;"&amp;$R216)+(COUNTIFS($A$14:$A$1213,$A216,$R$14:$R$1213,"="&amp;$R216)+1)/2,"")</f>
        <v/>
      </c>
      <c r="AF216" s="27">
        <f>IF(ISNUMBER($S216),COUNTIFS($A$14:$A$1213,$A216,$S$14:$S$1213,"&gt;"&amp;$S216)+(COUNTIFS($A$14:$A$1213,$A216,$S$14:$S$1213,"="&amp;$S216)+1)/2,"")</f>
        <v/>
      </c>
      <c r="AG216" s="27">
        <f>IF(ISNUMBER($T216),COUNTIFS($A$14:$A$1213,$A216,$T$14:$T$1213,"&gt;"&amp;$T216)+(COUNTIFS($A$14:$A$1213,$A216,$T$14:$T$1213,"="&amp;$T216)+1)/2,"")</f>
        <v/>
      </c>
      <c r="AH216" s="27">
        <f>IF(COUNT($AC216:$AG216)&lt;2,"",IF(MAX($AC216:$AG216)=MIN($AC216:$AG216),0,1))</f>
        <v/>
      </c>
      <c r="AI216" s="27">
        <f>IF($A216="","",IF(COUNTIF($A$14:$A216,$A216)=1,COUNTIF($AI$13:AI215,"&gt;0")+1,""))</f>
        <v/>
      </c>
      <c r="AJ216" s="27">
        <f>IF(OR($H216="",COUNTIFS($A$14:$A$1213,$H216,$F$14:$F$1213,"&gt;=0")&lt;2,COUNTIFS($A$14:$A$1213,$H216,$F$14:$F$1213,_xlfn.MAXIFS($F$14:$F$1213,$A$14:$A$1213,$H216))&gt;1),"",IFERROR(INDEX($D$14:$D$1213,MATCH($H216&amp;"|"&amp;_xlfn.MAXIFS($F$14:$F$1213,$A$14:$A$1213,$H216),$AB$14:$AB$1213,0)),""))</f>
        <v/>
      </c>
      <c r="AK216" s="27">
        <f>IF(OR($H216="",COUNTIFS($A$14:$A$1213,$H216,$F$14:$F$1213,"&gt;=0")&lt;2,COUNTIFS($A$14:$A$1213,$H216,$F$14:$F$1213,_xlfn.MAXIFS($F$14:$F$1213,$A$14:$A$1213,$H216))&gt;1),"",IFERROR(INDEX($E$14:$E$1213,MATCH($H216&amp;"|"&amp;_xlfn.MAXIFS($F$14:$F$1213,$A$14:$A$1213,$H216),$AB$14:$AB$1213,0)),""))</f>
        <v/>
      </c>
      <c r="AL216" s="27">
        <f>IF(OR($H216="",COUNTIFS($A$14:$A$1213,$H216,$F$14:$F$1213,"&gt;=0")&lt;2,COUNTIFS($A$14:$A$1213,$H216,$F$14:$F$1213,_xlfn.MAXIFS($F$14:$F$1213,$A$14:$A$1213,$H216))&gt;1),"",IFERROR(INDEX($D$14:$D$1213,MATCH($H216&amp;"|"&amp;_xlfn.MAXIFS($F$14:$F$1213,$A$14:$A$1213,$H216,$F$14:$F$1213,"&lt;"&amp;_xlfn.MAXIFS($F$14:$F$1213,$A$14:$A$1213,$H216)),$AB$14:$AB$1213,0)),""))</f>
        <v/>
      </c>
      <c r="AM216" s="27">
        <f>IF(OR($H216="",COUNTIFS($A$14:$A$1213,$H216,$F$14:$F$1213,"&gt;=0")&lt;2,COUNTIFS($A$14:$A$1213,$H216,$F$14:$F$1213,_xlfn.MAXIFS($F$14:$F$1213,$A$14:$A$1213,$H216))&gt;1),"",IFERROR(INDEX($E$14:$E$1213,MATCH($H216&amp;"|"&amp;_xlfn.MAXIFS($F$14:$F$1213,$A$14:$A$1213,$H216,$F$14:$F$1213,"&lt;"&amp;_xlfn.MAXIFS($F$14:$F$1213,$A$14:$A$1213,$H216)),$AB$14:$AB$1213,0)),""))</f>
        <v/>
      </c>
      <c r="AN216" s="27">
        <f>IF(OR(NOT(ISNUMBER($AJ216)),NOT(ISNUMBER($AL216)),$AK216=0,$AM216=0),"",IF(OR((($AJ216+$AL216)/($AK216+$AM216))&lt;=0,(($AJ216+$AL216)/($AK216+$AM216))&gt;=1),"",($AJ216/$AK216-$AL216/$AM216)/SQRT((($AJ216+$AL216)/($AK216+$AM216))*(1-(($AJ216+$AL216)/($AK216+$AM216)))*(1/$AK216+1/$AM216))))</f>
        <v/>
      </c>
      <c r="AO216" s="27">
        <f>IF($A216="","",IF(AND(COUNTIFS($A$14:$A$1213,$A216,$F$14:$F$1213,"&gt;=0")=2,IFERROR(INDEX($M$14:$M$313,MATCH($A216,$H$14:$H$313,0)),"Yes")&lt;&gt;"Yes"),1,0))</f>
        <v/>
      </c>
    </row>
    <row r="217" ht="24" customHeight="1">
      <c r="A217" s="19" t="n"/>
      <c r="B217" s="20" t="n"/>
      <c r="C217" s="21">
        <f>IFERROR(AVERAGE(P217:T217),"")</f>
        <v/>
      </c>
      <c r="D217" s="29" t="n"/>
      <c r="E217" s="29" t="n"/>
      <c r="F217" s="30">
        <f>IF(AND(ISNUMBER($D217),ISNUMBER($E217),$E217&gt;0,$D217&lt;=$E217),$D217/$E217,"")</f>
        <v/>
      </c>
      <c r="H217" s="19">
        <f>IFERROR(INDEX($A$14:$A$1213,MATCH(204,$AI$14:$AI$1213,0)),"")</f>
        <v/>
      </c>
      <c r="I217" s="24">
        <f>IF($H217="","",IF(COUNTIFS($A$14:$A$1213,$H217,$C$14:$C$1213,"&gt;=0")=0,"—",IFERROR(INDEX($B$14:$B$1213,MATCH($H217&amp;"|1",$Z$14:$Z$1213,0)),"(tied)")))</f>
        <v/>
      </c>
      <c r="J217" s="25">
        <f>IF($H217="","",IF(OR(COUNTIFS($A$14:$A$1213,$H217,$C$14:$C$1213,"&gt;=0")=0,COUNTIFS($A$14:$A$1213,$H217,$F$14:$F$1213,"&gt;=0")=0),"—",IF(OR(ISERROR(MATCH($H217&amp;"|1",$Z$14:$Z$1213,0)),ISERROR(MATCH($H217&amp;"|1",$AA$14:$AA$1213,0))),"Tie",IF(MATCH($H217&amp;"|1",$Z$14:$Z$1213,0)=MATCH($H217&amp;"|1",$AA$14:$AA$1213,0),"Hit","Miss"))))</f>
        <v/>
      </c>
      <c r="K217" s="24">
        <f>IF($H217="","",IF(COUNTIFS($A$14:$A$1213,$H217,$F$14:$F$1213,"&gt;=0")=0,"—",IFERROR(INDEX($B$14:$B$1213,MATCH($H217&amp;"|1",$AA$14:$AA$1213,0)),"(tied)")))</f>
        <v/>
      </c>
      <c r="L217" s="25">
        <f>IF($H217="","",IF((--(COUNTIFS($A$14:$A$1213,$H217,$P$14:$P$1213,"&gt;=0")&gt;0)+--(COUNTIFS($A$14:$A$1213,$H217,$Q$14:$Q$1213,"&gt;=0")&gt;0)+--(COUNTIFS($A$14:$A$1213,$H217,$R$14:$R$1213,"&gt;=0")&gt;0)+--(COUNTIFS($A$14:$A$1213,$H217,$S$14:$S$1213,"&gt;=0")&gt;0)+--(COUNTIFS($A$14:$A$1213,$H217,$T$14:$T$1213,"&gt;=0")&gt;0))&lt;2,"—",IF(SUMIFS($AH$14:$AH$1213,$A$14:$A$1213,$H217)=0,"Yes","No")))</f>
        <v/>
      </c>
      <c r="M217" s="25">
        <f>IF($H217="","",IF(COUNTIFS($A$14:$A$1213,$H217,$F$14:$F$1213,"&gt;=0")&lt;2,"—",IF(COUNTIFS($A$14:$A$1213,$H217,$F$14:$F$1213,_xlfn.MAXIFS($F$14:$F$1213,$A$14:$A$1213,$H217))&gt;1,"No",IF(NOT(ISNUMBER($AN217)),"—",IF((2*(1-NORMSDIST(ABS($AN217))))&lt;0.05,"Yes","No")))))</f>
        <v/>
      </c>
      <c r="N217" s="21">
        <f>IF($H217="","",IF(NOT(ISNUMBER($AN217)),"—",IF((2*(1-NORMSDIST(ABS($AN217))))&lt;0.001,"&lt;0.001",TEXT((2*(1-NORMSDIST(ABS($AN217)))),"0.000"))))</f>
        <v/>
      </c>
      <c r="P217" s="26" t="n"/>
      <c r="Q217" s="26" t="n"/>
      <c r="R217" s="26" t="n"/>
      <c r="S217" s="26" t="n"/>
      <c r="T217" s="26" t="n"/>
      <c r="V217" s="27">
        <f>IF(ISNUMBER($C217),COUNTIFS($A$14:$A$1213,$A217,$C$14:$C$1213,"&gt;"&amp;$C217)+(COUNTIFS($A$14:$A$1213,$A217,$C$14:$C$1213,"="&amp;$C217)+1)/2,"")</f>
        <v/>
      </c>
      <c r="W217" s="27">
        <f>IF(ISNUMBER($F217),COUNTIFS($A$14:$A$1213,$A217,$F$14:$F$1213,"&gt;"&amp;$F217)+(COUNTIFS($A$14:$A$1213,$A217,$F$14:$F$1213,"="&amp;$F217)+1)/2,"")</f>
        <v/>
      </c>
      <c r="X217" s="27">
        <f>IF(OR(NOT(ISNUMBER($V217)),$AO217=1),"",$V217-(COUNTIFS($A$14:$A$1213,$A217,$C$14:$C$1213,"&gt;=0")+1)/2)</f>
        <v/>
      </c>
      <c r="Y217" s="27">
        <f>IF(OR(NOT(ISNUMBER($W217)),$AO217=1),"",$W217-(COUNTIFS($A$14:$A$1213,$A217,$F$14:$F$1213,"&gt;=0")+1)/2)</f>
        <v/>
      </c>
      <c r="Z217" s="27">
        <f>IF(ISNUMBER($V217),$A217&amp;"|"&amp;$V217,"")</f>
        <v/>
      </c>
      <c r="AA217" s="27">
        <f>IF(ISNUMBER($W217),$A217&amp;"|"&amp;$W217,"")</f>
        <v/>
      </c>
      <c r="AB217" s="27">
        <f>IF(ISNUMBER($F217),$A217&amp;"|"&amp;$F217,"")</f>
        <v/>
      </c>
      <c r="AC217" s="27">
        <f>IF(ISNUMBER($P217),COUNTIFS($A$14:$A$1213,$A217,$P$14:$P$1213,"&gt;"&amp;$P217)+(COUNTIFS($A$14:$A$1213,$A217,$P$14:$P$1213,"="&amp;$P217)+1)/2,"")</f>
        <v/>
      </c>
      <c r="AD217" s="27">
        <f>IF(ISNUMBER($Q217),COUNTIFS($A$14:$A$1213,$A217,$Q$14:$Q$1213,"&gt;"&amp;$Q217)+(COUNTIFS($A$14:$A$1213,$A217,$Q$14:$Q$1213,"="&amp;$Q217)+1)/2,"")</f>
        <v/>
      </c>
      <c r="AE217" s="27">
        <f>IF(ISNUMBER($R217),COUNTIFS($A$14:$A$1213,$A217,$R$14:$R$1213,"&gt;"&amp;$R217)+(COUNTIFS($A$14:$A$1213,$A217,$R$14:$R$1213,"="&amp;$R217)+1)/2,"")</f>
        <v/>
      </c>
      <c r="AF217" s="27">
        <f>IF(ISNUMBER($S217),COUNTIFS($A$14:$A$1213,$A217,$S$14:$S$1213,"&gt;"&amp;$S217)+(COUNTIFS($A$14:$A$1213,$A217,$S$14:$S$1213,"="&amp;$S217)+1)/2,"")</f>
        <v/>
      </c>
      <c r="AG217" s="27">
        <f>IF(ISNUMBER($T217),COUNTIFS($A$14:$A$1213,$A217,$T$14:$T$1213,"&gt;"&amp;$T217)+(COUNTIFS($A$14:$A$1213,$A217,$T$14:$T$1213,"="&amp;$T217)+1)/2,"")</f>
        <v/>
      </c>
      <c r="AH217" s="27">
        <f>IF(COUNT($AC217:$AG217)&lt;2,"",IF(MAX($AC217:$AG217)=MIN($AC217:$AG217),0,1))</f>
        <v/>
      </c>
      <c r="AI217" s="27">
        <f>IF($A217="","",IF(COUNTIF($A$14:$A217,$A217)=1,COUNTIF($AI$13:AI216,"&gt;0")+1,""))</f>
        <v/>
      </c>
      <c r="AJ217" s="27">
        <f>IF(OR($H217="",COUNTIFS($A$14:$A$1213,$H217,$F$14:$F$1213,"&gt;=0")&lt;2,COUNTIFS($A$14:$A$1213,$H217,$F$14:$F$1213,_xlfn.MAXIFS($F$14:$F$1213,$A$14:$A$1213,$H217))&gt;1),"",IFERROR(INDEX($D$14:$D$1213,MATCH($H217&amp;"|"&amp;_xlfn.MAXIFS($F$14:$F$1213,$A$14:$A$1213,$H217),$AB$14:$AB$1213,0)),""))</f>
        <v/>
      </c>
      <c r="AK217" s="27">
        <f>IF(OR($H217="",COUNTIFS($A$14:$A$1213,$H217,$F$14:$F$1213,"&gt;=0")&lt;2,COUNTIFS($A$14:$A$1213,$H217,$F$14:$F$1213,_xlfn.MAXIFS($F$14:$F$1213,$A$14:$A$1213,$H217))&gt;1),"",IFERROR(INDEX($E$14:$E$1213,MATCH($H217&amp;"|"&amp;_xlfn.MAXIFS($F$14:$F$1213,$A$14:$A$1213,$H217),$AB$14:$AB$1213,0)),""))</f>
        <v/>
      </c>
      <c r="AL217" s="27">
        <f>IF(OR($H217="",COUNTIFS($A$14:$A$1213,$H217,$F$14:$F$1213,"&gt;=0")&lt;2,COUNTIFS($A$14:$A$1213,$H217,$F$14:$F$1213,_xlfn.MAXIFS($F$14:$F$1213,$A$14:$A$1213,$H217))&gt;1),"",IFERROR(INDEX($D$14:$D$1213,MATCH($H217&amp;"|"&amp;_xlfn.MAXIFS($F$14:$F$1213,$A$14:$A$1213,$H217,$F$14:$F$1213,"&lt;"&amp;_xlfn.MAXIFS($F$14:$F$1213,$A$14:$A$1213,$H217)),$AB$14:$AB$1213,0)),""))</f>
        <v/>
      </c>
      <c r="AM217" s="27">
        <f>IF(OR($H217="",COUNTIFS($A$14:$A$1213,$H217,$F$14:$F$1213,"&gt;=0")&lt;2,COUNTIFS($A$14:$A$1213,$H217,$F$14:$F$1213,_xlfn.MAXIFS($F$14:$F$1213,$A$14:$A$1213,$H217))&gt;1),"",IFERROR(INDEX($E$14:$E$1213,MATCH($H217&amp;"|"&amp;_xlfn.MAXIFS($F$14:$F$1213,$A$14:$A$1213,$H217,$F$14:$F$1213,"&lt;"&amp;_xlfn.MAXIFS($F$14:$F$1213,$A$14:$A$1213,$H217)),$AB$14:$AB$1213,0)),""))</f>
        <v/>
      </c>
      <c r="AN217" s="27">
        <f>IF(OR(NOT(ISNUMBER($AJ217)),NOT(ISNUMBER($AL217)),$AK217=0,$AM217=0),"",IF(OR((($AJ217+$AL217)/($AK217+$AM217))&lt;=0,(($AJ217+$AL217)/($AK217+$AM217))&gt;=1),"",($AJ217/$AK217-$AL217/$AM217)/SQRT((($AJ217+$AL217)/($AK217+$AM217))*(1-(($AJ217+$AL217)/($AK217+$AM217)))*(1/$AK217+1/$AM217))))</f>
        <v/>
      </c>
      <c r="AO217" s="27">
        <f>IF($A217="","",IF(AND(COUNTIFS($A$14:$A$1213,$A217,$F$14:$F$1213,"&gt;=0")=2,IFERROR(INDEX($M$14:$M$313,MATCH($A217,$H$14:$H$313,0)),"Yes")&lt;&gt;"Yes"),1,0))</f>
        <v/>
      </c>
    </row>
    <row r="218" ht="24" customHeight="1">
      <c r="A218" s="19" t="n"/>
      <c r="B218" s="20" t="n"/>
      <c r="C218" s="21">
        <f>IFERROR(AVERAGE(P218:T218),"")</f>
        <v/>
      </c>
      <c r="D218" s="29" t="n"/>
      <c r="E218" s="29" t="n"/>
      <c r="F218" s="30">
        <f>IF(AND(ISNUMBER($D218),ISNUMBER($E218),$E218&gt;0,$D218&lt;=$E218),$D218/$E218,"")</f>
        <v/>
      </c>
      <c r="H218" s="19">
        <f>IFERROR(INDEX($A$14:$A$1213,MATCH(205,$AI$14:$AI$1213,0)),"")</f>
        <v/>
      </c>
      <c r="I218" s="24">
        <f>IF($H218="","",IF(COUNTIFS($A$14:$A$1213,$H218,$C$14:$C$1213,"&gt;=0")=0,"—",IFERROR(INDEX($B$14:$B$1213,MATCH($H218&amp;"|1",$Z$14:$Z$1213,0)),"(tied)")))</f>
        <v/>
      </c>
      <c r="J218" s="25">
        <f>IF($H218="","",IF(OR(COUNTIFS($A$14:$A$1213,$H218,$C$14:$C$1213,"&gt;=0")=0,COUNTIFS($A$14:$A$1213,$H218,$F$14:$F$1213,"&gt;=0")=0),"—",IF(OR(ISERROR(MATCH($H218&amp;"|1",$Z$14:$Z$1213,0)),ISERROR(MATCH($H218&amp;"|1",$AA$14:$AA$1213,0))),"Tie",IF(MATCH($H218&amp;"|1",$Z$14:$Z$1213,0)=MATCH($H218&amp;"|1",$AA$14:$AA$1213,0),"Hit","Miss"))))</f>
        <v/>
      </c>
      <c r="K218" s="24">
        <f>IF($H218="","",IF(COUNTIFS($A$14:$A$1213,$H218,$F$14:$F$1213,"&gt;=0")=0,"—",IFERROR(INDEX($B$14:$B$1213,MATCH($H218&amp;"|1",$AA$14:$AA$1213,0)),"(tied)")))</f>
        <v/>
      </c>
      <c r="L218" s="25">
        <f>IF($H218="","",IF((--(COUNTIFS($A$14:$A$1213,$H218,$P$14:$P$1213,"&gt;=0")&gt;0)+--(COUNTIFS($A$14:$A$1213,$H218,$Q$14:$Q$1213,"&gt;=0")&gt;0)+--(COUNTIFS($A$14:$A$1213,$H218,$R$14:$R$1213,"&gt;=0")&gt;0)+--(COUNTIFS($A$14:$A$1213,$H218,$S$14:$S$1213,"&gt;=0")&gt;0)+--(COUNTIFS($A$14:$A$1213,$H218,$T$14:$T$1213,"&gt;=0")&gt;0))&lt;2,"—",IF(SUMIFS($AH$14:$AH$1213,$A$14:$A$1213,$H218)=0,"Yes","No")))</f>
        <v/>
      </c>
      <c r="M218" s="25">
        <f>IF($H218="","",IF(COUNTIFS($A$14:$A$1213,$H218,$F$14:$F$1213,"&gt;=0")&lt;2,"—",IF(COUNTIFS($A$14:$A$1213,$H218,$F$14:$F$1213,_xlfn.MAXIFS($F$14:$F$1213,$A$14:$A$1213,$H218))&gt;1,"No",IF(NOT(ISNUMBER($AN218)),"—",IF((2*(1-NORMSDIST(ABS($AN218))))&lt;0.05,"Yes","No")))))</f>
        <v/>
      </c>
      <c r="N218" s="21">
        <f>IF($H218="","",IF(NOT(ISNUMBER($AN218)),"—",IF((2*(1-NORMSDIST(ABS($AN218))))&lt;0.001,"&lt;0.001",TEXT((2*(1-NORMSDIST(ABS($AN218)))),"0.000"))))</f>
        <v/>
      </c>
      <c r="P218" s="26" t="n"/>
      <c r="Q218" s="26" t="n"/>
      <c r="R218" s="26" t="n"/>
      <c r="S218" s="26" t="n"/>
      <c r="T218" s="26" t="n"/>
      <c r="V218" s="27">
        <f>IF(ISNUMBER($C218),COUNTIFS($A$14:$A$1213,$A218,$C$14:$C$1213,"&gt;"&amp;$C218)+(COUNTIFS($A$14:$A$1213,$A218,$C$14:$C$1213,"="&amp;$C218)+1)/2,"")</f>
        <v/>
      </c>
      <c r="W218" s="27">
        <f>IF(ISNUMBER($F218),COUNTIFS($A$14:$A$1213,$A218,$F$14:$F$1213,"&gt;"&amp;$F218)+(COUNTIFS($A$14:$A$1213,$A218,$F$14:$F$1213,"="&amp;$F218)+1)/2,"")</f>
        <v/>
      </c>
      <c r="X218" s="27">
        <f>IF(OR(NOT(ISNUMBER($V218)),$AO218=1),"",$V218-(COUNTIFS($A$14:$A$1213,$A218,$C$14:$C$1213,"&gt;=0")+1)/2)</f>
        <v/>
      </c>
      <c r="Y218" s="27">
        <f>IF(OR(NOT(ISNUMBER($W218)),$AO218=1),"",$W218-(COUNTIFS($A$14:$A$1213,$A218,$F$14:$F$1213,"&gt;=0")+1)/2)</f>
        <v/>
      </c>
      <c r="Z218" s="27">
        <f>IF(ISNUMBER($V218),$A218&amp;"|"&amp;$V218,"")</f>
        <v/>
      </c>
      <c r="AA218" s="27">
        <f>IF(ISNUMBER($W218),$A218&amp;"|"&amp;$W218,"")</f>
        <v/>
      </c>
      <c r="AB218" s="27">
        <f>IF(ISNUMBER($F218),$A218&amp;"|"&amp;$F218,"")</f>
        <v/>
      </c>
      <c r="AC218" s="27">
        <f>IF(ISNUMBER($P218),COUNTIFS($A$14:$A$1213,$A218,$P$14:$P$1213,"&gt;"&amp;$P218)+(COUNTIFS($A$14:$A$1213,$A218,$P$14:$P$1213,"="&amp;$P218)+1)/2,"")</f>
        <v/>
      </c>
      <c r="AD218" s="27">
        <f>IF(ISNUMBER($Q218),COUNTIFS($A$14:$A$1213,$A218,$Q$14:$Q$1213,"&gt;"&amp;$Q218)+(COUNTIFS($A$14:$A$1213,$A218,$Q$14:$Q$1213,"="&amp;$Q218)+1)/2,"")</f>
        <v/>
      </c>
      <c r="AE218" s="27">
        <f>IF(ISNUMBER($R218),COUNTIFS($A$14:$A$1213,$A218,$R$14:$R$1213,"&gt;"&amp;$R218)+(COUNTIFS($A$14:$A$1213,$A218,$R$14:$R$1213,"="&amp;$R218)+1)/2,"")</f>
        <v/>
      </c>
      <c r="AF218" s="27">
        <f>IF(ISNUMBER($S218),COUNTIFS($A$14:$A$1213,$A218,$S$14:$S$1213,"&gt;"&amp;$S218)+(COUNTIFS($A$14:$A$1213,$A218,$S$14:$S$1213,"="&amp;$S218)+1)/2,"")</f>
        <v/>
      </c>
      <c r="AG218" s="27">
        <f>IF(ISNUMBER($T218),COUNTIFS($A$14:$A$1213,$A218,$T$14:$T$1213,"&gt;"&amp;$T218)+(COUNTIFS($A$14:$A$1213,$A218,$T$14:$T$1213,"="&amp;$T218)+1)/2,"")</f>
        <v/>
      </c>
      <c r="AH218" s="27">
        <f>IF(COUNT($AC218:$AG218)&lt;2,"",IF(MAX($AC218:$AG218)=MIN($AC218:$AG218),0,1))</f>
        <v/>
      </c>
      <c r="AI218" s="27">
        <f>IF($A218="","",IF(COUNTIF($A$14:$A218,$A218)=1,COUNTIF($AI$13:AI217,"&gt;0")+1,""))</f>
        <v/>
      </c>
      <c r="AJ218" s="27">
        <f>IF(OR($H218="",COUNTIFS($A$14:$A$1213,$H218,$F$14:$F$1213,"&gt;=0")&lt;2,COUNTIFS($A$14:$A$1213,$H218,$F$14:$F$1213,_xlfn.MAXIFS($F$14:$F$1213,$A$14:$A$1213,$H218))&gt;1),"",IFERROR(INDEX($D$14:$D$1213,MATCH($H218&amp;"|"&amp;_xlfn.MAXIFS($F$14:$F$1213,$A$14:$A$1213,$H218),$AB$14:$AB$1213,0)),""))</f>
        <v/>
      </c>
      <c r="AK218" s="27">
        <f>IF(OR($H218="",COUNTIFS($A$14:$A$1213,$H218,$F$14:$F$1213,"&gt;=0")&lt;2,COUNTIFS($A$14:$A$1213,$H218,$F$14:$F$1213,_xlfn.MAXIFS($F$14:$F$1213,$A$14:$A$1213,$H218))&gt;1),"",IFERROR(INDEX($E$14:$E$1213,MATCH($H218&amp;"|"&amp;_xlfn.MAXIFS($F$14:$F$1213,$A$14:$A$1213,$H218),$AB$14:$AB$1213,0)),""))</f>
        <v/>
      </c>
      <c r="AL218" s="27">
        <f>IF(OR($H218="",COUNTIFS($A$14:$A$1213,$H218,$F$14:$F$1213,"&gt;=0")&lt;2,COUNTIFS($A$14:$A$1213,$H218,$F$14:$F$1213,_xlfn.MAXIFS($F$14:$F$1213,$A$14:$A$1213,$H218))&gt;1),"",IFERROR(INDEX($D$14:$D$1213,MATCH($H218&amp;"|"&amp;_xlfn.MAXIFS($F$14:$F$1213,$A$14:$A$1213,$H218,$F$14:$F$1213,"&lt;"&amp;_xlfn.MAXIFS($F$14:$F$1213,$A$14:$A$1213,$H218)),$AB$14:$AB$1213,0)),""))</f>
        <v/>
      </c>
      <c r="AM218" s="27">
        <f>IF(OR($H218="",COUNTIFS($A$14:$A$1213,$H218,$F$14:$F$1213,"&gt;=0")&lt;2,COUNTIFS($A$14:$A$1213,$H218,$F$14:$F$1213,_xlfn.MAXIFS($F$14:$F$1213,$A$14:$A$1213,$H218))&gt;1),"",IFERROR(INDEX($E$14:$E$1213,MATCH($H218&amp;"|"&amp;_xlfn.MAXIFS($F$14:$F$1213,$A$14:$A$1213,$H218,$F$14:$F$1213,"&lt;"&amp;_xlfn.MAXIFS($F$14:$F$1213,$A$14:$A$1213,$H218)),$AB$14:$AB$1213,0)),""))</f>
        <v/>
      </c>
      <c r="AN218" s="27">
        <f>IF(OR(NOT(ISNUMBER($AJ218)),NOT(ISNUMBER($AL218)),$AK218=0,$AM218=0),"",IF(OR((($AJ218+$AL218)/($AK218+$AM218))&lt;=0,(($AJ218+$AL218)/($AK218+$AM218))&gt;=1),"",($AJ218/$AK218-$AL218/$AM218)/SQRT((($AJ218+$AL218)/($AK218+$AM218))*(1-(($AJ218+$AL218)/($AK218+$AM218)))*(1/$AK218+1/$AM218))))</f>
        <v/>
      </c>
      <c r="AO218" s="27">
        <f>IF($A218="","",IF(AND(COUNTIFS($A$14:$A$1213,$A218,$F$14:$F$1213,"&gt;=0")=2,IFERROR(INDEX($M$14:$M$313,MATCH($A218,$H$14:$H$313,0)),"Yes")&lt;&gt;"Yes"),1,0))</f>
        <v/>
      </c>
    </row>
    <row r="219" ht="24" customHeight="1">
      <c r="A219" s="19" t="n"/>
      <c r="B219" s="20" t="n"/>
      <c r="C219" s="21">
        <f>IFERROR(AVERAGE(P219:T219),"")</f>
        <v/>
      </c>
      <c r="D219" s="29" t="n"/>
      <c r="E219" s="29" t="n"/>
      <c r="F219" s="30">
        <f>IF(AND(ISNUMBER($D219),ISNUMBER($E219),$E219&gt;0,$D219&lt;=$E219),$D219/$E219,"")</f>
        <v/>
      </c>
      <c r="H219" s="19">
        <f>IFERROR(INDEX($A$14:$A$1213,MATCH(206,$AI$14:$AI$1213,0)),"")</f>
        <v/>
      </c>
      <c r="I219" s="24">
        <f>IF($H219="","",IF(COUNTIFS($A$14:$A$1213,$H219,$C$14:$C$1213,"&gt;=0")=0,"—",IFERROR(INDEX($B$14:$B$1213,MATCH($H219&amp;"|1",$Z$14:$Z$1213,0)),"(tied)")))</f>
        <v/>
      </c>
      <c r="J219" s="25">
        <f>IF($H219="","",IF(OR(COUNTIFS($A$14:$A$1213,$H219,$C$14:$C$1213,"&gt;=0")=0,COUNTIFS($A$14:$A$1213,$H219,$F$14:$F$1213,"&gt;=0")=0),"—",IF(OR(ISERROR(MATCH($H219&amp;"|1",$Z$14:$Z$1213,0)),ISERROR(MATCH($H219&amp;"|1",$AA$14:$AA$1213,0))),"Tie",IF(MATCH($H219&amp;"|1",$Z$14:$Z$1213,0)=MATCH($H219&amp;"|1",$AA$14:$AA$1213,0),"Hit","Miss"))))</f>
        <v/>
      </c>
      <c r="K219" s="24">
        <f>IF($H219="","",IF(COUNTIFS($A$14:$A$1213,$H219,$F$14:$F$1213,"&gt;=0")=0,"—",IFERROR(INDEX($B$14:$B$1213,MATCH($H219&amp;"|1",$AA$14:$AA$1213,0)),"(tied)")))</f>
        <v/>
      </c>
      <c r="L219" s="25">
        <f>IF($H219="","",IF((--(COUNTIFS($A$14:$A$1213,$H219,$P$14:$P$1213,"&gt;=0")&gt;0)+--(COUNTIFS($A$14:$A$1213,$H219,$Q$14:$Q$1213,"&gt;=0")&gt;0)+--(COUNTIFS($A$14:$A$1213,$H219,$R$14:$R$1213,"&gt;=0")&gt;0)+--(COUNTIFS($A$14:$A$1213,$H219,$S$14:$S$1213,"&gt;=0")&gt;0)+--(COUNTIFS($A$14:$A$1213,$H219,$T$14:$T$1213,"&gt;=0")&gt;0))&lt;2,"—",IF(SUMIFS($AH$14:$AH$1213,$A$14:$A$1213,$H219)=0,"Yes","No")))</f>
        <v/>
      </c>
      <c r="M219" s="25">
        <f>IF($H219="","",IF(COUNTIFS($A$14:$A$1213,$H219,$F$14:$F$1213,"&gt;=0")&lt;2,"—",IF(COUNTIFS($A$14:$A$1213,$H219,$F$14:$F$1213,_xlfn.MAXIFS($F$14:$F$1213,$A$14:$A$1213,$H219))&gt;1,"No",IF(NOT(ISNUMBER($AN219)),"—",IF((2*(1-NORMSDIST(ABS($AN219))))&lt;0.05,"Yes","No")))))</f>
        <v/>
      </c>
      <c r="N219" s="21">
        <f>IF($H219="","",IF(NOT(ISNUMBER($AN219)),"—",IF((2*(1-NORMSDIST(ABS($AN219))))&lt;0.001,"&lt;0.001",TEXT((2*(1-NORMSDIST(ABS($AN219)))),"0.000"))))</f>
        <v/>
      </c>
      <c r="P219" s="26" t="n"/>
      <c r="Q219" s="26" t="n"/>
      <c r="R219" s="26" t="n"/>
      <c r="S219" s="26" t="n"/>
      <c r="T219" s="26" t="n"/>
      <c r="V219" s="27">
        <f>IF(ISNUMBER($C219),COUNTIFS($A$14:$A$1213,$A219,$C$14:$C$1213,"&gt;"&amp;$C219)+(COUNTIFS($A$14:$A$1213,$A219,$C$14:$C$1213,"="&amp;$C219)+1)/2,"")</f>
        <v/>
      </c>
      <c r="W219" s="27">
        <f>IF(ISNUMBER($F219),COUNTIFS($A$14:$A$1213,$A219,$F$14:$F$1213,"&gt;"&amp;$F219)+(COUNTIFS($A$14:$A$1213,$A219,$F$14:$F$1213,"="&amp;$F219)+1)/2,"")</f>
        <v/>
      </c>
      <c r="X219" s="27">
        <f>IF(OR(NOT(ISNUMBER($V219)),$AO219=1),"",$V219-(COUNTIFS($A$14:$A$1213,$A219,$C$14:$C$1213,"&gt;=0")+1)/2)</f>
        <v/>
      </c>
      <c r="Y219" s="27">
        <f>IF(OR(NOT(ISNUMBER($W219)),$AO219=1),"",$W219-(COUNTIFS($A$14:$A$1213,$A219,$F$14:$F$1213,"&gt;=0")+1)/2)</f>
        <v/>
      </c>
      <c r="Z219" s="27">
        <f>IF(ISNUMBER($V219),$A219&amp;"|"&amp;$V219,"")</f>
        <v/>
      </c>
      <c r="AA219" s="27">
        <f>IF(ISNUMBER($W219),$A219&amp;"|"&amp;$W219,"")</f>
        <v/>
      </c>
      <c r="AB219" s="27">
        <f>IF(ISNUMBER($F219),$A219&amp;"|"&amp;$F219,"")</f>
        <v/>
      </c>
      <c r="AC219" s="27">
        <f>IF(ISNUMBER($P219),COUNTIFS($A$14:$A$1213,$A219,$P$14:$P$1213,"&gt;"&amp;$P219)+(COUNTIFS($A$14:$A$1213,$A219,$P$14:$P$1213,"="&amp;$P219)+1)/2,"")</f>
        <v/>
      </c>
      <c r="AD219" s="27">
        <f>IF(ISNUMBER($Q219),COUNTIFS($A$14:$A$1213,$A219,$Q$14:$Q$1213,"&gt;"&amp;$Q219)+(COUNTIFS($A$14:$A$1213,$A219,$Q$14:$Q$1213,"="&amp;$Q219)+1)/2,"")</f>
        <v/>
      </c>
      <c r="AE219" s="27">
        <f>IF(ISNUMBER($R219),COUNTIFS($A$14:$A$1213,$A219,$R$14:$R$1213,"&gt;"&amp;$R219)+(COUNTIFS($A$14:$A$1213,$A219,$R$14:$R$1213,"="&amp;$R219)+1)/2,"")</f>
        <v/>
      </c>
      <c r="AF219" s="27">
        <f>IF(ISNUMBER($S219),COUNTIFS($A$14:$A$1213,$A219,$S$14:$S$1213,"&gt;"&amp;$S219)+(COUNTIFS($A$14:$A$1213,$A219,$S$14:$S$1213,"="&amp;$S219)+1)/2,"")</f>
        <v/>
      </c>
      <c r="AG219" s="27">
        <f>IF(ISNUMBER($T219),COUNTIFS($A$14:$A$1213,$A219,$T$14:$T$1213,"&gt;"&amp;$T219)+(COUNTIFS($A$14:$A$1213,$A219,$T$14:$T$1213,"="&amp;$T219)+1)/2,"")</f>
        <v/>
      </c>
      <c r="AH219" s="27">
        <f>IF(COUNT($AC219:$AG219)&lt;2,"",IF(MAX($AC219:$AG219)=MIN($AC219:$AG219),0,1))</f>
        <v/>
      </c>
      <c r="AI219" s="27">
        <f>IF($A219="","",IF(COUNTIF($A$14:$A219,$A219)=1,COUNTIF($AI$13:AI218,"&gt;0")+1,""))</f>
        <v/>
      </c>
      <c r="AJ219" s="27">
        <f>IF(OR($H219="",COUNTIFS($A$14:$A$1213,$H219,$F$14:$F$1213,"&gt;=0")&lt;2,COUNTIFS($A$14:$A$1213,$H219,$F$14:$F$1213,_xlfn.MAXIFS($F$14:$F$1213,$A$14:$A$1213,$H219))&gt;1),"",IFERROR(INDEX($D$14:$D$1213,MATCH($H219&amp;"|"&amp;_xlfn.MAXIFS($F$14:$F$1213,$A$14:$A$1213,$H219),$AB$14:$AB$1213,0)),""))</f>
        <v/>
      </c>
      <c r="AK219" s="27">
        <f>IF(OR($H219="",COUNTIFS($A$14:$A$1213,$H219,$F$14:$F$1213,"&gt;=0")&lt;2,COUNTIFS($A$14:$A$1213,$H219,$F$14:$F$1213,_xlfn.MAXIFS($F$14:$F$1213,$A$14:$A$1213,$H219))&gt;1),"",IFERROR(INDEX($E$14:$E$1213,MATCH($H219&amp;"|"&amp;_xlfn.MAXIFS($F$14:$F$1213,$A$14:$A$1213,$H219),$AB$14:$AB$1213,0)),""))</f>
        <v/>
      </c>
      <c r="AL219" s="27">
        <f>IF(OR($H219="",COUNTIFS($A$14:$A$1213,$H219,$F$14:$F$1213,"&gt;=0")&lt;2,COUNTIFS($A$14:$A$1213,$H219,$F$14:$F$1213,_xlfn.MAXIFS($F$14:$F$1213,$A$14:$A$1213,$H219))&gt;1),"",IFERROR(INDEX($D$14:$D$1213,MATCH($H219&amp;"|"&amp;_xlfn.MAXIFS($F$14:$F$1213,$A$14:$A$1213,$H219,$F$14:$F$1213,"&lt;"&amp;_xlfn.MAXIFS($F$14:$F$1213,$A$14:$A$1213,$H219)),$AB$14:$AB$1213,0)),""))</f>
        <v/>
      </c>
      <c r="AM219" s="27">
        <f>IF(OR($H219="",COUNTIFS($A$14:$A$1213,$H219,$F$14:$F$1213,"&gt;=0")&lt;2,COUNTIFS($A$14:$A$1213,$H219,$F$14:$F$1213,_xlfn.MAXIFS($F$14:$F$1213,$A$14:$A$1213,$H219))&gt;1),"",IFERROR(INDEX($E$14:$E$1213,MATCH($H219&amp;"|"&amp;_xlfn.MAXIFS($F$14:$F$1213,$A$14:$A$1213,$H219,$F$14:$F$1213,"&lt;"&amp;_xlfn.MAXIFS($F$14:$F$1213,$A$14:$A$1213,$H219)),$AB$14:$AB$1213,0)),""))</f>
        <v/>
      </c>
      <c r="AN219" s="27">
        <f>IF(OR(NOT(ISNUMBER($AJ219)),NOT(ISNUMBER($AL219)),$AK219=0,$AM219=0),"",IF(OR((($AJ219+$AL219)/($AK219+$AM219))&lt;=0,(($AJ219+$AL219)/($AK219+$AM219))&gt;=1),"",($AJ219/$AK219-$AL219/$AM219)/SQRT((($AJ219+$AL219)/($AK219+$AM219))*(1-(($AJ219+$AL219)/($AK219+$AM219)))*(1/$AK219+1/$AM219))))</f>
        <v/>
      </c>
      <c r="AO219" s="27">
        <f>IF($A219="","",IF(AND(COUNTIFS($A$14:$A$1213,$A219,$F$14:$F$1213,"&gt;=0")=2,IFERROR(INDEX($M$14:$M$313,MATCH($A219,$H$14:$H$313,0)),"Yes")&lt;&gt;"Yes"),1,0))</f>
        <v/>
      </c>
    </row>
    <row r="220" ht="24" customHeight="1">
      <c r="A220" s="19" t="n"/>
      <c r="B220" s="20" t="n"/>
      <c r="C220" s="21">
        <f>IFERROR(AVERAGE(P220:T220),"")</f>
        <v/>
      </c>
      <c r="D220" s="29" t="n"/>
      <c r="E220" s="29" t="n"/>
      <c r="F220" s="30">
        <f>IF(AND(ISNUMBER($D220),ISNUMBER($E220),$E220&gt;0,$D220&lt;=$E220),$D220/$E220,"")</f>
        <v/>
      </c>
      <c r="H220" s="19">
        <f>IFERROR(INDEX($A$14:$A$1213,MATCH(207,$AI$14:$AI$1213,0)),"")</f>
        <v/>
      </c>
      <c r="I220" s="24">
        <f>IF($H220="","",IF(COUNTIFS($A$14:$A$1213,$H220,$C$14:$C$1213,"&gt;=0")=0,"—",IFERROR(INDEX($B$14:$B$1213,MATCH($H220&amp;"|1",$Z$14:$Z$1213,0)),"(tied)")))</f>
        <v/>
      </c>
      <c r="J220" s="25">
        <f>IF($H220="","",IF(OR(COUNTIFS($A$14:$A$1213,$H220,$C$14:$C$1213,"&gt;=0")=0,COUNTIFS($A$14:$A$1213,$H220,$F$14:$F$1213,"&gt;=0")=0),"—",IF(OR(ISERROR(MATCH($H220&amp;"|1",$Z$14:$Z$1213,0)),ISERROR(MATCH($H220&amp;"|1",$AA$14:$AA$1213,0))),"Tie",IF(MATCH($H220&amp;"|1",$Z$14:$Z$1213,0)=MATCH($H220&amp;"|1",$AA$14:$AA$1213,0),"Hit","Miss"))))</f>
        <v/>
      </c>
      <c r="K220" s="24">
        <f>IF($H220="","",IF(COUNTIFS($A$14:$A$1213,$H220,$F$14:$F$1213,"&gt;=0")=0,"—",IFERROR(INDEX($B$14:$B$1213,MATCH($H220&amp;"|1",$AA$14:$AA$1213,0)),"(tied)")))</f>
        <v/>
      </c>
      <c r="L220" s="25">
        <f>IF($H220="","",IF((--(COUNTIFS($A$14:$A$1213,$H220,$P$14:$P$1213,"&gt;=0")&gt;0)+--(COUNTIFS($A$14:$A$1213,$H220,$Q$14:$Q$1213,"&gt;=0")&gt;0)+--(COUNTIFS($A$14:$A$1213,$H220,$R$14:$R$1213,"&gt;=0")&gt;0)+--(COUNTIFS($A$14:$A$1213,$H220,$S$14:$S$1213,"&gt;=0")&gt;0)+--(COUNTIFS($A$14:$A$1213,$H220,$T$14:$T$1213,"&gt;=0")&gt;0))&lt;2,"—",IF(SUMIFS($AH$14:$AH$1213,$A$14:$A$1213,$H220)=0,"Yes","No")))</f>
        <v/>
      </c>
      <c r="M220" s="25">
        <f>IF($H220="","",IF(COUNTIFS($A$14:$A$1213,$H220,$F$14:$F$1213,"&gt;=0")&lt;2,"—",IF(COUNTIFS($A$14:$A$1213,$H220,$F$14:$F$1213,_xlfn.MAXIFS($F$14:$F$1213,$A$14:$A$1213,$H220))&gt;1,"No",IF(NOT(ISNUMBER($AN220)),"—",IF((2*(1-NORMSDIST(ABS($AN220))))&lt;0.05,"Yes","No")))))</f>
        <v/>
      </c>
      <c r="N220" s="21">
        <f>IF($H220="","",IF(NOT(ISNUMBER($AN220)),"—",IF((2*(1-NORMSDIST(ABS($AN220))))&lt;0.001,"&lt;0.001",TEXT((2*(1-NORMSDIST(ABS($AN220)))),"0.000"))))</f>
        <v/>
      </c>
      <c r="P220" s="26" t="n"/>
      <c r="Q220" s="26" t="n"/>
      <c r="R220" s="26" t="n"/>
      <c r="S220" s="26" t="n"/>
      <c r="T220" s="26" t="n"/>
      <c r="V220" s="27">
        <f>IF(ISNUMBER($C220),COUNTIFS($A$14:$A$1213,$A220,$C$14:$C$1213,"&gt;"&amp;$C220)+(COUNTIFS($A$14:$A$1213,$A220,$C$14:$C$1213,"="&amp;$C220)+1)/2,"")</f>
        <v/>
      </c>
      <c r="W220" s="27">
        <f>IF(ISNUMBER($F220),COUNTIFS($A$14:$A$1213,$A220,$F$14:$F$1213,"&gt;"&amp;$F220)+(COUNTIFS($A$14:$A$1213,$A220,$F$14:$F$1213,"="&amp;$F220)+1)/2,"")</f>
        <v/>
      </c>
      <c r="X220" s="27">
        <f>IF(OR(NOT(ISNUMBER($V220)),$AO220=1),"",$V220-(COUNTIFS($A$14:$A$1213,$A220,$C$14:$C$1213,"&gt;=0")+1)/2)</f>
        <v/>
      </c>
      <c r="Y220" s="27">
        <f>IF(OR(NOT(ISNUMBER($W220)),$AO220=1),"",$W220-(COUNTIFS($A$14:$A$1213,$A220,$F$14:$F$1213,"&gt;=0")+1)/2)</f>
        <v/>
      </c>
      <c r="Z220" s="27">
        <f>IF(ISNUMBER($V220),$A220&amp;"|"&amp;$V220,"")</f>
        <v/>
      </c>
      <c r="AA220" s="27">
        <f>IF(ISNUMBER($W220),$A220&amp;"|"&amp;$W220,"")</f>
        <v/>
      </c>
      <c r="AB220" s="27">
        <f>IF(ISNUMBER($F220),$A220&amp;"|"&amp;$F220,"")</f>
        <v/>
      </c>
      <c r="AC220" s="27">
        <f>IF(ISNUMBER($P220),COUNTIFS($A$14:$A$1213,$A220,$P$14:$P$1213,"&gt;"&amp;$P220)+(COUNTIFS($A$14:$A$1213,$A220,$P$14:$P$1213,"="&amp;$P220)+1)/2,"")</f>
        <v/>
      </c>
      <c r="AD220" s="27">
        <f>IF(ISNUMBER($Q220),COUNTIFS($A$14:$A$1213,$A220,$Q$14:$Q$1213,"&gt;"&amp;$Q220)+(COUNTIFS($A$14:$A$1213,$A220,$Q$14:$Q$1213,"="&amp;$Q220)+1)/2,"")</f>
        <v/>
      </c>
      <c r="AE220" s="27">
        <f>IF(ISNUMBER($R220),COUNTIFS($A$14:$A$1213,$A220,$R$14:$R$1213,"&gt;"&amp;$R220)+(COUNTIFS($A$14:$A$1213,$A220,$R$14:$R$1213,"="&amp;$R220)+1)/2,"")</f>
        <v/>
      </c>
      <c r="AF220" s="27">
        <f>IF(ISNUMBER($S220),COUNTIFS($A$14:$A$1213,$A220,$S$14:$S$1213,"&gt;"&amp;$S220)+(COUNTIFS($A$14:$A$1213,$A220,$S$14:$S$1213,"="&amp;$S220)+1)/2,"")</f>
        <v/>
      </c>
      <c r="AG220" s="27">
        <f>IF(ISNUMBER($T220),COUNTIFS($A$14:$A$1213,$A220,$T$14:$T$1213,"&gt;"&amp;$T220)+(COUNTIFS($A$14:$A$1213,$A220,$T$14:$T$1213,"="&amp;$T220)+1)/2,"")</f>
        <v/>
      </c>
      <c r="AH220" s="27">
        <f>IF(COUNT($AC220:$AG220)&lt;2,"",IF(MAX($AC220:$AG220)=MIN($AC220:$AG220),0,1))</f>
        <v/>
      </c>
      <c r="AI220" s="27">
        <f>IF($A220="","",IF(COUNTIF($A$14:$A220,$A220)=1,COUNTIF($AI$13:AI219,"&gt;0")+1,""))</f>
        <v/>
      </c>
      <c r="AJ220" s="27">
        <f>IF(OR($H220="",COUNTIFS($A$14:$A$1213,$H220,$F$14:$F$1213,"&gt;=0")&lt;2,COUNTIFS($A$14:$A$1213,$H220,$F$14:$F$1213,_xlfn.MAXIFS($F$14:$F$1213,$A$14:$A$1213,$H220))&gt;1),"",IFERROR(INDEX($D$14:$D$1213,MATCH($H220&amp;"|"&amp;_xlfn.MAXIFS($F$14:$F$1213,$A$14:$A$1213,$H220),$AB$14:$AB$1213,0)),""))</f>
        <v/>
      </c>
      <c r="AK220" s="27">
        <f>IF(OR($H220="",COUNTIFS($A$14:$A$1213,$H220,$F$14:$F$1213,"&gt;=0")&lt;2,COUNTIFS($A$14:$A$1213,$H220,$F$14:$F$1213,_xlfn.MAXIFS($F$14:$F$1213,$A$14:$A$1213,$H220))&gt;1),"",IFERROR(INDEX($E$14:$E$1213,MATCH($H220&amp;"|"&amp;_xlfn.MAXIFS($F$14:$F$1213,$A$14:$A$1213,$H220),$AB$14:$AB$1213,0)),""))</f>
        <v/>
      </c>
      <c r="AL220" s="27">
        <f>IF(OR($H220="",COUNTIFS($A$14:$A$1213,$H220,$F$14:$F$1213,"&gt;=0")&lt;2,COUNTIFS($A$14:$A$1213,$H220,$F$14:$F$1213,_xlfn.MAXIFS($F$14:$F$1213,$A$14:$A$1213,$H220))&gt;1),"",IFERROR(INDEX($D$14:$D$1213,MATCH($H220&amp;"|"&amp;_xlfn.MAXIFS($F$14:$F$1213,$A$14:$A$1213,$H220,$F$14:$F$1213,"&lt;"&amp;_xlfn.MAXIFS($F$14:$F$1213,$A$14:$A$1213,$H220)),$AB$14:$AB$1213,0)),""))</f>
        <v/>
      </c>
      <c r="AM220" s="27">
        <f>IF(OR($H220="",COUNTIFS($A$14:$A$1213,$H220,$F$14:$F$1213,"&gt;=0")&lt;2,COUNTIFS($A$14:$A$1213,$H220,$F$14:$F$1213,_xlfn.MAXIFS($F$14:$F$1213,$A$14:$A$1213,$H220))&gt;1),"",IFERROR(INDEX($E$14:$E$1213,MATCH($H220&amp;"|"&amp;_xlfn.MAXIFS($F$14:$F$1213,$A$14:$A$1213,$H220,$F$14:$F$1213,"&lt;"&amp;_xlfn.MAXIFS($F$14:$F$1213,$A$14:$A$1213,$H220)),$AB$14:$AB$1213,0)),""))</f>
        <v/>
      </c>
      <c r="AN220" s="27">
        <f>IF(OR(NOT(ISNUMBER($AJ220)),NOT(ISNUMBER($AL220)),$AK220=0,$AM220=0),"",IF(OR((($AJ220+$AL220)/($AK220+$AM220))&lt;=0,(($AJ220+$AL220)/($AK220+$AM220))&gt;=1),"",($AJ220/$AK220-$AL220/$AM220)/SQRT((($AJ220+$AL220)/($AK220+$AM220))*(1-(($AJ220+$AL220)/($AK220+$AM220)))*(1/$AK220+1/$AM220))))</f>
        <v/>
      </c>
      <c r="AO220" s="27">
        <f>IF($A220="","",IF(AND(COUNTIFS($A$14:$A$1213,$A220,$F$14:$F$1213,"&gt;=0")=2,IFERROR(INDEX($M$14:$M$313,MATCH($A220,$H$14:$H$313,0)),"Yes")&lt;&gt;"Yes"),1,0))</f>
        <v/>
      </c>
    </row>
    <row r="221" ht="24" customHeight="1">
      <c r="A221" s="19" t="n"/>
      <c r="B221" s="20" t="n"/>
      <c r="C221" s="21">
        <f>IFERROR(AVERAGE(P221:T221),"")</f>
        <v/>
      </c>
      <c r="D221" s="29" t="n"/>
      <c r="E221" s="29" t="n"/>
      <c r="F221" s="30">
        <f>IF(AND(ISNUMBER($D221),ISNUMBER($E221),$E221&gt;0,$D221&lt;=$E221),$D221/$E221,"")</f>
        <v/>
      </c>
      <c r="H221" s="19">
        <f>IFERROR(INDEX($A$14:$A$1213,MATCH(208,$AI$14:$AI$1213,0)),"")</f>
        <v/>
      </c>
      <c r="I221" s="24">
        <f>IF($H221="","",IF(COUNTIFS($A$14:$A$1213,$H221,$C$14:$C$1213,"&gt;=0")=0,"—",IFERROR(INDEX($B$14:$B$1213,MATCH($H221&amp;"|1",$Z$14:$Z$1213,0)),"(tied)")))</f>
        <v/>
      </c>
      <c r="J221" s="25">
        <f>IF($H221="","",IF(OR(COUNTIFS($A$14:$A$1213,$H221,$C$14:$C$1213,"&gt;=0")=0,COUNTIFS($A$14:$A$1213,$H221,$F$14:$F$1213,"&gt;=0")=0),"—",IF(OR(ISERROR(MATCH($H221&amp;"|1",$Z$14:$Z$1213,0)),ISERROR(MATCH($H221&amp;"|1",$AA$14:$AA$1213,0))),"Tie",IF(MATCH($H221&amp;"|1",$Z$14:$Z$1213,0)=MATCH($H221&amp;"|1",$AA$14:$AA$1213,0),"Hit","Miss"))))</f>
        <v/>
      </c>
      <c r="K221" s="24">
        <f>IF($H221="","",IF(COUNTIFS($A$14:$A$1213,$H221,$F$14:$F$1213,"&gt;=0")=0,"—",IFERROR(INDEX($B$14:$B$1213,MATCH($H221&amp;"|1",$AA$14:$AA$1213,0)),"(tied)")))</f>
        <v/>
      </c>
      <c r="L221" s="25">
        <f>IF($H221="","",IF((--(COUNTIFS($A$14:$A$1213,$H221,$P$14:$P$1213,"&gt;=0")&gt;0)+--(COUNTIFS($A$14:$A$1213,$H221,$Q$14:$Q$1213,"&gt;=0")&gt;0)+--(COUNTIFS($A$14:$A$1213,$H221,$R$14:$R$1213,"&gt;=0")&gt;0)+--(COUNTIFS($A$14:$A$1213,$H221,$S$14:$S$1213,"&gt;=0")&gt;0)+--(COUNTIFS($A$14:$A$1213,$H221,$T$14:$T$1213,"&gt;=0")&gt;0))&lt;2,"—",IF(SUMIFS($AH$14:$AH$1213,$A$14:$A$1213,$H221)=0,"Yes","No")))</f>
        <v/>
      </c>
      <c r="M221" s="25">
        <f>IF($H221="","",IF(COUNTIFS($A$14:$A$1213,$H221,$F$14:$F$1213,"&gt;=0")&lt;2,"—",IF(COUNTIFS($A$14:$A$1213,$H221,$F$14:$F$1213,_xlfn.MAXIFS($F$14:$F$1213,$A$14:$A$1213,$H221))&gt;1,"No",IF(NOT(ISNUMBER($AN221)),"—",IF((2*(1-NORMSDIST(ABS($AN221))))&lt;0.05,"Yes","No")))))</f>
        <v/>
      </c>
      <c r="N221" s="21">
        <f>IF($H221="","",IF(NOT(ISNUMBER($AN221)),"—",IF((2*(1-NORMSDIST(ABS($AN221))))&lt;0.001,"&lt;0.001",TEXT((2*(1-NORMSDIST(ABS($AN221)))),"0.000"))))</f>
        <v/>
      </c>
      <c r="P221" s="26" t="n"/>
      <c r="Q221" s="26" t="n"/>
      <c r="R221" s="26" t="n"/>
      <c r="S221" s="26" t="n"/>
      <c r="T221" s="26" t="n"/>
      <c r="V221" s="27">
        <f>IF(ISNUMBER($C221),COUNTIFS($A$14:$A$1213,$A221,$C$14:$C$1213,"&gt;"&amp;$C221)+(COUNTIFS($A$14:$A$1213,$A221,$C$14:$C$1213,"="&amp;$C221)+1)/2,"")</f>
        <v/>
      </c>
      <c r="W221" s="27">
        <f>IF(ISNUMBER($F221),COUNTIFS($A$14:$A$1213,$A221,$F$14:$F$1213,"&gt;"&amp;$F221)+(COUNTIFS($A$14:$A$1213,$A221,$F$14:$F$1213,"="&amp;$F221)+1)/2,"")</f>
        <v/>
      </c>
      <c r="X221" s="27">
        <f>IF(OR(NOT(ISNUMBER($V221)),$AO221=1),"",$V221-(COUNTIFS($A$14:$A$1213,$A221,$C$14:$C$1213,"&gt;=0")+1)/2)</f>
        <v/>
      </c>
      <c r="Y221" s="27">
        <f>IF(OR(NOT(ISNUMBER($W221)),$AO221=1),"",$W221-(COUNTIFS($A$14:$A$1213,$A221,$F$14:$F$1213,"&gt;=0")+1)/2)</f>
        <v/>
      </c>
      <c r="Z221" s="27">
        <f>IF(ISNUMBER($V221),$A221&amp;"|"&amp;$V221,"")</f>
        <v/>
      </c>
      <c r="AA221" s="27">
        <f>IF(ISNUMBER($W221),$A221&amp;"|"&amp;$W221,"")</f>
        <v/>
      </c>
      <c r="AB221" s="27">
        <f>IF(ISNUMBER($F221),$A221&amp;"|"&amp;$F221,"")</f>
        <v/>
      </c>
      <c r="AC221" s="27">
        <f>IF(ISNUMBER($P221),COUNTIFS($A$14:$A$1213,$A221,$P$14:$P$1213,"&gt;"&amp;$P221)+(COUNTIFS($A$14:$A$1213,$A221,$P$14:$P$1213,"="&amp;$P221)+1)/2,"")</f>
        <v/>
      </c>
      <c r="AD221" s="27">
        <f>IF(ISNUMBER($Q221),COUNTIFS($A$14:$A$1213,$A221,$Q$14:$Q$1213,"&gt;"&amp;$Q221)+(COUNTIFS($A$14:$A$1213,$A221,$Q$14:$Q$1213,"="&amp;$Q221)+1)/2,"")</f>
        <v/>
      </c>
      <c r="AE221" s="27">
        <f>IF(ISNUMBER($R221),COUNTIFS($A$14:$A$1213,$A221,$R$14:$R$1213,"&gt;"&amp;$R221)+(COUNTIFS($A$14:$A$1213,$A221,$R$14:$R$1213,"="&amp;$R221)+1)/2,"")</f>
        <v/>
      </c>
      <c r="AF221" s="27">
        <f>IF(ISNUMBER($S221),COUNTIFS($A$14:$A$1213,$A221,$S$14:$S$1213,"&gt;"&amp;$S221)+(COUNTIFS($A$14:$A$1213,$A221,$S$14:$S$1213,"="&amp;$S221)+1)/2,"")</f>
        <v/>
      </c>
      <c r="AG221" s="27">
        <f>IF(ISNUMBER($T221),COUNTIFS($A$14:$A$1213,$A221,$T$14:$T$1213,"&gt;"&amp;$T221)+(COUNTIFS($A$14:$A$1213,$A221,$T$14:$T$1213,"="&amp;$T221)+1)/2,"")</f>
        <v/>
      </c>
      <c r="AH221" s="27">
        <f>IF(COUNT($AC221:$AG221)&lt;2,"",IF(MAX($AC221:$AG221)=MIN($AC221:$AG221),0,1))</f>
        <v/>
      </c>
      <c r="AI221" s="27">
        <f>IF($A221="","",IF(COUNTIF($A$14:$A221,$A221)=1,COUNTIF($AI$13:AI220,"&gt;0")+1,""))</f>
        <v/>
      </c>
      <c r="AJ221" s="27">
        <f>IF(OR($H221="",COUNTIFS($A$14:$A$1213,$H221,$F$14:$F$1213,"&gt;=0")&lt;2,COUNTIFS($A$14:$A$1213,$H221,$F$14:$F$1213,_xlfn.MAXIFS($F$14:$F$1213,$A$14:$A$1213,$H221))&gt;1),"",IFERROR(INDEX($D$14:$D$1213,MATCH($H221&amp;"|"&amp;_xlfn.MAXIFS($F$14:$F$1213,$A$14:$A$1213,$H221),$AB$14:$AB$1213,0)),""))</f>
        <v/>
      </c>
      <c r="AK221" s="27">
        <f>IF(OR($H221="",COUNTIFS($A$14:$A$1213,$H221,$F$14:$F$1213,"&gt;=0")&lt;2,COUNTIFS($A$14:$A$1213,$H221,$F$14:$F$1213,_xlfn.MAXIFS($F$14:$F$1213,$A$14:$A$1213,$H221))&gt;1),"",IFERROR(INDEX($E$14:$E$1213,MATCH($H221&amp;"|"&amp;_xlfn.MAXIFS($F$14:$F$1213,$A$14:$A$1213,$H221),$AB$14:$AB$1213,0)),""))</f>
        <v/>
      </c>
      <c r="AL221" s="27">
        <f>IF(OR($H221="",COUNTIFS($A$14:$A$1213,$H221,$F$14:$F$1213,"&gt;=0")&lt;2,COUNTIFS($A$14:$A$1213,$H221,$F$14:$F$1213,_xlfn.MAXIFS($F$14:$F$1213,$A$14:$A$1213,$H221))&gt;1),"",IFERROR(INDEX($D$14:$D$1213,MATCH($H221&amp;"|"&amp;_xlfn.MAXIFS($F$14:$F$1213,$A$14:$A$1213,$H221,$F$14:$F$1213,"&lt;"&amp;_xlfn.MAXIFS($F$14:$F$1213,$A$14:$A$1213,$H221)),$AB$14:$AB$1213,0)),""))</f>
        <v/>
      </c>
      <c r="AM221" s="27">
        <f>IF(OR($H221="",COUNTIFS($A$14:$A$1213,$H221,$F$14:$F$1213,"&gt;=0")&lt;2,COUNTIFS($A$14:$A$1213,$H221,$F$14:$F$1213,_xlfn.MAXIFS($F$14:$F$1213,$A$14:$A$1213,$H221))&gt;1),"",IFERROR(INDEX($E$14:$E$1213,MATCH($H221&amp;"|"&amp;_xlfn.MAXIFS($F$14:$F$1213,$A$14:$A$1213,$H221,$F$14:$F$1213,"&lt;"&amp;_xlfn.MAXIFS($F$14:$F$1213,$A$14:$A$1213,$H221)),$AB$14:$AB$1213,0)),""))</f>
        <v/>
      </c>
      <c r="AN221" s="27">
        <f>IF(OR(NOT(ISNUMBER($AJ221)),NOT(ISNUMBER($AL221)),$AK221=0,$AM221=0),"",IF(OR((($AJ221+$AL221)/($AK221+$AM221))&lt;=0,(($AJ221+$AL221)/($AK221+$AM221))&gt;=1),"",($AJ221/$AK221-$AL221/$AM221)/SQRT((($AJ221+$AL221)/($AK221+$AM221))*(1-(($AJ221+$AL221)/($AK221+$AM221)))*(1/$AK221+1/$AM221))))</f>
        <v/>
      </c>
      <c r="AO221" s="27">
        <f>IF($A221="","",IF(AND(COUNTIFS($A$14:$A$1213,$A221,$F$14:$F$1213,"&gt;=0")=2,IFERROR(INDEX($M$14:$M$313,MATCH($A221,$H$14:$H$313,0)),"Yes")&lt;&gt;"Yes"),1,0))</f>
        <v/>
      </c>
    </row>
    <row r="222" ht="24" customHeight="1">
      <c r="A222" s="19" t="n"/>
      <c r="B222" s="20" t="n"/>
      <c r="C222" s="21">
        <f>IFERROR(AVERAGE(P222:T222),"")</f>
        <v/>
      </c>
      <c r="D222" s="29" t="n"/>
      <c r="E222" s="29" t="n"/>
      <c r="F222" s="30">
        <f>IF(AND(ISNUMBER($D222),ISNUMBER($E222),$E222&gt;0,$D222&lt;=$E222),$D222/$E222,"")</f>
        <v/>
      </c>
      <c r="H222" s="19">
        <f>IFERROR(INDEX($A$14:$A$1213,MATCH(209,$AI$14:$AI$1213,0)),"")</f>
        <v/>
      </c>
      <c r="I222" s="24">
        <f>IF($H222="","",IF(COUNTIFS($A$14:$A$1213,$H222,$C$14:$C$1213,"&gt;=0")=0,"—",IFERROR(INDEX($B$14:$B$1213,MATCH($H222&amp;"|1",$Z$14:$Z$1213,0)),"(tied)")))</f>
        <v/>
      </c>
      <c r="J222" s="25">
        <f>IF($H222="","",IF(OR(COUNTIFS($A$14:$A$1213,$H222,$C$14:$C$1213,"&gt;=0")=0,COUNTIFS($A$14:$A$1213,$H222,$F$14:$F$1213,"&gt;=0")=0),"—",IF(OR(ISERROR(MATCH($H222&amp;"|1",$Z$14:$Z$1213,0)),ISERROR(MATCH($H222&amp;"|1",$AA$14:$AA$1213,0))),"Tie",IF(MATCH($H222&amp;"|1",$Z$14:$Z$1213,0)=MATCH($H222&amp;"|1",$AA$14:$AA$1213,0),"Hit","Miss"))))</f>
        <v/>
      </c>
      <c r="K222" s="24">
        <f>IF($H222="","",IF(COUNTIFS($A$14:$A$1213,$H222,$F$14:$F$1213,"&gt;=0")=0,"—",IFERROR(INDEX($B$14:$B$1213,MATCH($H222&amp;"|1",$AA$14:$AA$1213,0)),"(tied)")))</f>
        <v/>
      </c>
      <c r="L222" s="25">
        <f>IF($H222="","",IF((--(COUNTIFS($A$14:$A$1213,$H222,$P$14:$P$1213,"&gt;=0")&gt;0)+--(COUNTIFS($A$14:$A$1213,$H222,$Q$14:$Q$1213,"&gt;=0")&gt;0)+--(COUNTIFS($A$14:$A$1213,$H222,$R$14:$R$1213,"&gt;=0")&gt;0)+--(COUNTIFS($A$14:$A$1213,$H222,$S$14:$S$1213,"&gt;=0")&gt;0)+--(COUNTIFS($A$14:$A$1213,$H222,$T$14:$T$1213,"&gt;=0")&gt;0))&lt;2,"—",IF(SUMIFS($AH$14:$AH$1213,$A$14:$A$1213,$H222)=0,"Yes","No")))</f>
        <v/>
      </c>
      <c r="M222" s="25">
        <f>IF($H222="","",IF(COUNTIFS($A$14:$A$1213,$H222,$F$14:$F$1213,"&gt;=0")&lt;2,"—",IF(COUNTIFS($A$14:$A$1213,$H222,$F$14:$F$1213,_xlfn.MAXIFS($F$14:$F$1213,$A$14:$A$1213,$H222))&gt;1,"No",IF(NOT(ISNUMBER($AN222)),"—",IF((2*(1-NORMSDIST(ABS($AN222))))&lt;0.05,"Yes","No")))))</f>
        <v/>
      </c>
      <c r="N222" s="21">
        <f>IF($H222="","",IF(NOT(ISNUMBER($AN222)),"—",IF((2*(1-NORMSDIST(ABS($AN222))))&lt;0.001,"&lt;0.001",TEXT((2*(1-NORMSDIST(ABS($AN222)))),"0.000"))))</f>
        <v/>
      </c>
      <c r="P222" s="26" t="n"/>
      <c r="Q222" s="26" t="n"/>
      <c r="R222" s="26" t="n"/>
      <c r="S222" s="26" t="n"/>
      <c r="T222" s="26" t="n"/>
      <c r="V222" s="27">
        <f>IF(ISNUMBER($C222),COUNTIFS($A$14:$A$1213,$A222,$C$14:$C$1213,"&gt;"&amp;$C222)+(COUNTIFS($A$14:$A$1213,$A222,$C$14:$C$1213,"="&amp;$C222)+1)/2,"")</f>
        <v/>
      </c>
      <c r="W222" s="27">
        <f>IF(ISNUMBER($F222),COUNTIFS($A$14:$A$1213,$A222,$F$14:$F$1213,"&gt;"&amp;$F222)+(COUNTIFS($A$14:$A$1213,$A222,$F$14:$F$1213,"="&amp;$F222)+1)/2,"")</f>
        <v/>
      </c>
      <c r="X222" s="27">
        <f>IF(OR(NOT(ISNUMBER($V222)),$AO222=1),"",$V222-(COUNTIFS($A$14:$A$1213,$A222,$C$14:$C$1213,"&gt;=0")+1)/2)</f>
        <v/>
      </c>
      <c r="Y222" s="27">
        <f>IF(OR(NOT(ISNUMBER($W222)),$AO222=1),"",$W222-(COUNTIFS($A$14:$A$1213,$A222,$F$14:$F$1213,"&gt;=0")+1)/2)</f>
        <v/>
      </c>
      <c r="Z222" s="27">
        <f>IF(ISNUMBER($V222),$A222&amp;"|"&amp;$V222,"")</f>
        <v/>
      </c>
      <c r="AA222" s="27">
        <f>IF(ISNUMBER($W222),$A222&amp;"|"&amp;$W222,"")</f>
        <v/>
      </c>
      <c r="AB222" s="27">
        <f>IF(ISNUMBER($F222),$A222&amp;"|"&amp;$F222,"")</f>
        <v/>
      </c>
      <c r="AC222" s="27">
        <f>IF(ISNUMBER($P222),COUNTIFS($A$14:$A$1213,$A222,$P$14:$P$1213,"&gt;"&amp;$P222)+(COUNTIFS($A$14:$A$1213,$A222,$P$14:$P$1213,"="&amp;$P222)+1)/2,"")</f>
        <v/>
      </c>
      <c r="AD222" s="27">
        <f>IF(ISNUMBER($Q222),COUNTIFS($A$14:$A$1213,$A222,$Q$14:$Q$1213,"&gt;"&amp;$Q222)+(COUNTIFS($A$14:$A$1213,$A222,$Q$14:$Q$1213,"="&amp;$Q222)+1)/2,"")</f>
        <v/>
      </c>
      <c r="AE222" s="27">
        <f>IF(ISNUMBER($R222),COUNTIFS($A$14:$A$1213,$A222,$R$14:$R$1213,"&gt;"&amp;$R222)+(COUNTIFS($A$14:$A$1213,$A222,$R$14:$R$1213,"="&amp;$R222)+1)/2,"")</f>
        <v/>
      </c>
      <c r="AF222" s="27">
        <f>IF(ISNUMBER($S222),COUNTIFS($A$14:$A$1213,$A222,$S$14:$S$1213,"&gt;"&amp;$S222)+(COUNTIFS($A$14:$A$1213,$A222,$S$14:$S$1213,"="&amp;$S222)+1)/2,"")</f>
        <v/>
      </c>
      <c r="AG222" s="27">
        <f>IF(ISNUMBER($T222),COUNTIFS($A$14:$A$1213,$A222,$T$14:$T$1213,"&gt;"&amp;$T222)+(COUNTIFS($A$14:$A$1213,$A222,$T$14:$T$1213,"="&amp;$T222)+1)/2,"")</f>
        <v/>
      </c>
      <c r="AH222" s="27">
        <f>IF(COUNT($AC222:$AG222)&lt;2,"",IF(MAX($AC222:$AG222)=MIN($AC222:$AG222),0,1))</f>
        <v/>
      </c>
      <c r="AI222" s="27">
        <f>IF($A222="","",IF(COUNTIF($A$14:$A222,$A222)=1,COUNTIF($AI$13:AI221,"&gt;0")+1,""))</f>
        <v/>
      </c>
      <c r="AJ222" s="27">
        <f>IF(OR($H222="",COUNTIFS($A$14:$A$1213,$H222,$F$14:$F$1213,"&gt;=0")&lt;2,COUNTIFS($A$14:$A$1213,$H222,$F$14:$F$1213,_xlfn.MAXIFS($F$14:$F$1213,$A$14:$A$1213,$H222))&gt;1),"",IFERROR(INDEX($D$14:$D$1213,MATCH($H222&amp;"|"&amp;_xlfn.MAXIFS($F$14:$F$1213,$A$14:$A$1213,$H222),$AB$14:$AB$1213,0)),""))</f>
        <v/>
      </c>
      <c r="AK222" s="27">
        <f>IF(OR($H222="",COUNTIFS($A$14:$A$1213,$H222,$F$14:$F$1213,"&gt;=0")&lt;2,COUNTIFS($A$14:$A$1213,$H222,$F$14:$F$1213,_xlfn.MAXIFS($F$14:$F$1213,$A$14:$A$1213,$H222))&gt;1),"",IFERROR(INDEX($E$14:$E$1213,MATCH($H222&amp;"|"&amp;_xlfn.MAXIFS($F$14:$F$1213,$A$14:$A$1213,$H222),$AB$14:$AB$1213,0)),""))</f>
        <v/>
      </c>
      <c r="AL222" s="27">
        <f>IF(OR($H222="",COUNTIFS($A$14:$A$1213,$H222,$F$14:$F$1213,"&gt;=0")&lt;2,COUNTIFS($A$14:$A$1213,$H222,$F$14:$F$1213,_xlfn.MAXIFS($F$14:$F$1213,$A$14:$A$1213,$H222))&gt;1),"",IFERROR(INDEX($D$14:$D$1213,MATCH($H222&amp;"|"&amp;_xlfn.MAXIFS($F$14:$F$1213,$A$14:$A$1213,$H222,$F$14:$F$1213,"&lt;"&amp;_xlfn.MAXIFS($F$14:$F$1213,$A$14:$A$1213,$H222)),$AB$14:$AB$1213,0)),""))</f>
        <v/>
      </c>
      <c r="AM222" s="27">
        <f>IF(OR($H222="",COUNTIFS($A$14:$A$1213,$H222,$F$14:$F$1213,"&gt;=0")&lt;2,COUNTIFS($A$14:$A$1213,$H222,$F$14:$F$1213,_xlfn.MAXIFS($F$14:$F$1213,$A$14:$A$1213,$H222))&gt;1),"",IFERROR(INDEX($E$14:$E$1213,MATCH($H222&amp;"|"&amp;_xlfn.MAXIFS($F$14:$F$1213,$A$14:$A$1213,$H222,$F$14:$F$1213,"&lt;"&amp;_xlfn.MAXIFS($F$14:$F$1213,$A$14:$A$1213,$H222)),$AB$14:$AB$1213,0)),""))</f>
        <v/>
      </c>
      <c r="AN222" s="27">
        <f>IF(OR(NOT(ISNUMBER($AJ222)),NOT(ISNUMBER($AL222)),$AK222=0,$AM222=0),"",IF(OR((($AJ222+$AL222)/($AK222+$AM222))&lt;=0,(($AJ222+$AL222)/($AK222+$AM222))&gt;=1),"",($AJ222/$AK222-$AL222/$AM222)/SQRT((($AJ222+$AL222)/($AK222+$AM222))*(1-(($AJ222+$AL222)/($AK222+$AM222)))*(1/$AK222+1/$AM222))))</f>
        <v/>
      </c>
      <c r="AO222" s="27">
        <f>IF($A222="","",IF(AND(COUNTIFS($A$14:$A$1213,$A222,$F$14:$F$1213,"&gt;=0")=2,IFERROR(INDEX($M$14:$M$313,MATCH($A222,$H$14:$H$313,0)),"Yes")&lt;&gt;"Yes"),1,0))</f>
        <v/>
      </c>
    </row>
    <row r="223" ht="24" customHeight="1">
      <c r="A223" s="19" t="n"/>
      <c r="B223" s="20" t="n"/>
      <c r="C223" s="21">
        <f>IFERROR(AVERAGE(P223:T223),"")</f>
        <v/>
      </c>
      <c r="D223" s="29" t="n"/>
      <c r="E223" s="29" t="n"/>
      <c r="F223" s="30">
        <f>IF(AND(ISNUMBER($D223),ISNUMBER($E223),$E223&gt;0,$D223&lt;=$E223),$D223/$E223,"")</f>
        <v/>
      </c>
      <c r="H223" s="19">
        <f>IFERROR(INDEX($A$14:$A$1213,MATCH(210,$AI$14:$AI$1213,0)),"")</f>
        <v/>
      </c>
      <c r="I223" s="24">
        <f>IF($H223="","",IF(COUNTIFS($A$14:$A$1213,$H223,$C$14:$C$1213,"&gt;=0")=0,"—",IFERROR(INDEX($B$14:$B$1213,MATCH($H223&amp;"|1",$Z$14:$Z$1213,0)),"(tied)")))</f>
        <v/>
      </c>
      <c r="J223" s="25">
        <f>IF($H223="","",IF(OR(COUNTIFS($A$14:$A$1213,$H223,$C$14:$C$1213,"&gt;=0")=0,COUNTIFS($A$14:$A$1213,$H223,$F$14:$F$1213,"&gt;=0")=0),"—",IF(OR(ISERROR(MATCH($H223&amp;"|1",$Z$14:$Z$1213,0)),ISERROR(MATCH($H223&amp;"|1",$AA$14:$AA$1213,0))),"Tie",IF(MATCH($H223&amp;"|1",$Z$14:$Z$1213,0)=MATCH($H223&amp;"|1",$AA$14:$AA$1213,0),"Hit","Miss"))))</f>
        <v/>
      </c>
      <c r="K223" s="24">
        <f>IF($H223="","",IF(COUNTIFS($A$14:$A$1213,$H223,$F$14:$F$1213,"&gt;=0")=0,"—",IFERROR(INDEX($B$14:$B$1213,MATCH($H223&amp;"|1",$AA$14:$AA$1213,0)),"(tied)")))</f>
        <v/>
      </c>
      <c r="L223" s="25">
        <f>IF($H223="","",IF((--(COUNTIFS($A$14:$A$1213,$H223,$P$14:$P$1213,"&gt;=0")&gt;0)+--(COUNTIFS($A$14:$A$1213,$H223,$Q$14:$Q$1213,"&gt;=0")&gt;0)+--(COUNTIFS($A$14:$A$1213,$H223,$R$14:$R$1213,"&gt;=0")&gt;0)+--(COUNTIFS($A$14:$A$1213,$H223,$S$14:$S$1213,"&gt;=0")&gt;0)+--(COUNTIFS($A$14:$A$1213,$H223,$T$14:$T$1213,"&gt;=0")&gt;0))&lt;2,"—",IF(SUMIFS($AH$14:$AH$1213,$A$14:$A$1213,$H223)=0,"Yes","No")))</f>
        <v/>
      </c>
      <c r="M223" s="25">
        <f>IF($H223="","",IF(COUNTIFS($A$14:$A$1213,$H223,$F$14:$F$1213,"&gt;=0")&lt;2,"—",IF(COUNTIFS($A$14:$A$1213,$H223,$F$14:$F$1213,_xlfn.MAXIFS($F$14:$F$1213,$A$14:$A$1213,$H223))&gt;1,"No",IF(NOT(ISNUMBER($AN223)),"—",IF((2*(1-NORMSDIST(ABS($AN223))))&lt;0.05,"Yes","No")))))</f>
        <v/>
      </c>
      <c r="N223" s="21">
        <f>IF($H223="","",IF(NOT(ISNUMBER($AN223)),"—",IF((2*(1-NORMSDIST(ABS($AN223))))&lt;0.001,"&lt;0.001",TEXT((2*(1-NORMSDIST(ABS($AN223)))),"0.000"))))</f>
        <v/>
      </c>
      <c r="P223" s="26" t="n"/>
      <c r="Q223" s="26" t="n"/>
      <c r="R223" s="26" t="n"/>
      <c r="S223" s="26" t="n"/>
      <c r="T223" s="26" t="n"/>
      <c r="V223" s="27">
        <f>IF(ISNUMBER($C223),COUNTIFS($A$14:$A$1213,$A223,$C$14:$C$1213,"&gt;"&amp;$C223)+(COUNTIFS($A$14:$A$1213,$A223,$C$14:$C$1213,"="&amp;$C223)+1)/2,"")</f>
        <v/>
      </c>
      <c r="W223" s="27">
        <f>IF(ISNUMBER($F223),COUNTIFS($A$14:$A$1213,$A223,$F$14:$F$1213,"&gt;"&amp;$F223)+(COUNTIFS($A$14:$A$1213,$A223,$F$14:$F$1213,"="&amp;$F223)+1)/2,"")</f>
        <v/>
      </c>
      <c r="X223" s="27">
        <f>IF(OR(NOT(ISNUMBER($V223)),$AO223=1),"",$V223-(COUNTIFS($A$14:$A$1213,$A223,$C$14:$C$1213,"&gt;=0")+1)/2)</f>
        <v/>
      </c>
      <c r="Y223" s="27">
        <f>IF(OR(NOT(ISNUMBER($W223)),$AO223=1),"",$W223-(COUNTIFS($A$14:$A$1213,$A223,$F$14:$F$1213,"&gt;=0")+1)/2)</f>
        <v/>
      </c>
      <c r="Z223" s="27">
        <f>IF(ISNUMBER($V223),$A223&amp;"|"&amp;$V223,"")</f>
        <v/>
      </c>
      <c r="AA223" s="27">
        <f>IF(ISNUMBER($W223),$A223&amp;"|"&amp;$W223,"")</f>
        <v/>
      </c>
      <c r="AB223" s="27">
        <f>IF(ISNUMBER($F223),$A223&amp;"|"&amp;$F223,"")</f>
        <v/>
      </c>
      <c r="AC223" s="27">
        <f>IF(ISNUMBER($P223),COUNTIFS($A$14:$A$1213,$A223,$P$14:$P$1213,"&gt;"&amp;$P223)+(COUNTIFS($A$14:$A$1213,$A223,$P$14:$P$1213,"="&amp;$P223)+1)/2,"")</f>
        <v/>
      </c>
      <c r="AD223" s="27">
        <f>IF(ISNUMBER($Q223),COUNTIFS($A$14:$A$1213,$A223,$Q$14:$Q$1213,"&gt;"&amp;$Q223)+(COUNTIFS($A$14:$A$1213,$A223,$Q$14:$Q$1213,"="&amp;$Q223)+1)/2,"")</f>
        <v/>
      </c>
      <c r="AE223" s="27">
        <f>IF(ISNUMBER($R223),COUNTIFS($A$14:$A$1213,$A223,$R$14:$R$1213,"&gt;"&amp;$R223)+(COUNTIFS($A$14:$A$1213,$A223,$R$14:$R$1213,"="&amp;$R223)+1)/2,"")</f>
        <v/>
      </c>
      <c r="AF223" s="27">
        <f>IF(ISNUMBER($S223),COUNTIFS($A$14:$A$1213,$A223,$S$14:$S$1213,"&gt;"&amp;$S223)+(COUNTIFS($A$14:$A$1213,$A223,$S$14:$S$1213,"="&amp;$S223)+1)/2,"")</f>
        <v/>
      </c>
      <c r="AG223" s="27">
        <f>IF(ISNUMBER($T223),COUNTIFS($A$14:$A$1213,$A223,$T$14:$T$1213,"&gt;"&amp;$T223)+(COUNTIFS($A$14:$A$1213,$A223,$T$14:$T$1213,"="&amp;$T223)+1)/2,"")</f>
        <v/>
      </c>
      <c r="AH223" s="27">
        <f>IF(COUNT($AC223:$AG223)&lt;2,"",IF(MAX($AC223:$AG223)=MIN($AC223:$AG223),0,1))</f>
        <v/>
      </c>
      <c r="AI223" s="27">
        <f>IF($A223="","",IF(COUNTIF($A$14:$A223,$A223)=1,COUNTIF($AI$13:AI222,"&gt;0")+1,""))</f>
        <v/>
      </c>
      <c r="AJ223" s="27">
        <f>IF(OR($H223="",COUNTIFS($A$14:$A$1213,$H223,$F$14:$F$1213,"&gt;=0")&lt;2,COUNTIFS($A$14:$A$1213,$H223,$F$14:$F$1213,_xlfn.MAXIFS($F$14:$F$1213,$A$14:$A$1213,$H223))&gt;1),"",IFERROR(INDEX($D$14:$D$1213,MATCH($H223&amp;"|"&amp;_xlfn.MAXIFS($F$14:$F$1213,$A$14:$A$1213,$H223),$AB$14:$AB$1213,0)),""))</f>
        <v/>
      </c>
      <c r="AK223" s="27">
        <f>IF(OR($H223="",COUNTIFS($A$14:$A$1213,$H223,$F$14:$F$1213,"&gt;=0")&lt;2,COUNTIFS($A$14:$A$1213,$H223,$F$14:$F$1213,_xlfn.MAXIFS($F$14:$F$1213,$A$14:$A$1213,$H223))&gt;1),"",IFERROR(INDEX($E$14:$E$1213,MATCH($H223&amp;"|"&amp;_xlfn.MAXIFS($F$14:$F$1213,$A$14:$A$1213,$H223),$AB$14:$AB$1213,0)),""))</f>
        <v/>
      </c>
      <c r="AL223" s="27">
        <f>IF(OR($H223="",COUNTIFS($A$14:$A$1213,$H223,$F$14:$F$1213,"&gt;=0")&lt;2,COUNTIFS($A$14:$A$1213,$H223,$F$14:$F$1213,_xlfn.MAXIFS($F$14:$F$1213,$A$14:$A$1213,$H223))&gt;1),"",IFERROR(INDEX($D$14:$D$1213,MATCH($H223&amp;"|"&amp;_xlfn.MAXIFS($F$14:$F$1213,$A$14:$A$1213,$H223,$F$14:$F$1213,"&lt;"&amp;_xlfn.MAXIFS($F$14:$F$1213,$A$14:$A$1213,$H223)),$AB$14:$AB$1213,0)),""))</f>
        <v/>
      </c>
      <c r="AM223" s="27">
        <f>IF(OR($H223="",COUNTIFS($A$14:$A$1213,$H223,$F$14:$F$1213,"&gt;=0")&lt;2,COUNTIFS($A$14:$A$1213,$H223,$F$14:$F$1213,_xlfn.MAXIFS($F$14:$F$1213,$A$14:$A$1213,$H223))&gt;1),"",IFERROR(INDEX($E$14:$E$1213,MATCH($H223&amp;"|"&amp;_xlfn.MAXIFS($F$14:$F$1213,$A$14:$A$1213,$H223,$F$14:$F$1213,"&lt;"&amp;_xlfn.MAXIFS($F$14:$F$1213,$A$14:$A$1213,$H223)),$AB$14:$AB$1213,0)),""))</f>
        <v/>
      </c>
      <c r="AN223" s="27">
        <f>IF(OR(NOT(ISNUMBER($AJ223)),NOT(ISNUMBER($AL223)),$AK223=0,$AM223=0),"",IF(OR((($AJ223+$AL223)/($AK223+$AM223))&lt;=0,(($AJ223+$AL223)/($AK223+$AM223))&gt;=1),"",($AJ223/$AK223-$AL223/$AM223)/SQRT((($AJ223+$AL223)/($AK223+$AM223))*(1-(($AJ223+$AL223)/($AK223+$AM223)))*(1/$AK223+1/$AM223))))</f>
        <v/>
      </c>
      <c r="AO223" s="27">
        <f>IF($A223="","",IF(AND(COUNTIFS($A$14:$A$1213,$A223,$F$14:$F$1213,"&gt;=0")=2,IFERROR(INDEX($M$14:$M$313,MATCH($A223,$H$14:$H$313,0)),"Yes")&lt;&gt;"Yes"),1,0))</f>
        <v/>
      </c>
    </row>
    <row r="224" ht="24" customHeight="1">
      <c r="A224" s="19" t="n"/>
      <c r="B224" s="20" t="n"/>
      <c r="C224" s="21">
        <f>IFERROR(AVERAGE(P224:T224),"")</f>
        <v/>
      </c>
      <c r="D224" s="29" t="n"/>
      <c r="E224" s="29" t="n"/>
      <c r="F224" s="30">
        <f>IF(AND(ISNUMBER($D224),ISNUMBER($E224),$E224&gt;0,$D224&lt;=$E224),$D224/$E224,"")</f>
        <v/>
      </c>
      <c r="H224" s="19">
        <f>IFERROR(INDEX($A$14:$A$1213,MATCH(211,$AI$14:$AI$1213,0)),"")</f>
        <v/>
      </c>
      <c r="I224" s="24">
        <f>IF($H224="","",IF(COUNTIFS($A$14:$A$1213,$H224,$C$14:$C$1213,"&gt;=0")=0,"—",IFERROR(INDEX($B$14:$B$1213,MATCH($H224&amp;"|1",$Z$14:$Z$1213,0)),"(tied)")))</f>
        <v/>
      </c>
      <c r="J224" s="25">
        <f>IF($H224="","",IF(OR(COUNTIFS($A$14:$A$1213,$H224,$C$14:$C$1213,"&gt;=0")=0,COUNTIFS($A$14:$A$1213,$H224,$F$14:$F$1213,"&gt;=0")=0),"—",IF(OR(ISERROR(MATCH($H224&amp;"|1",$Z$14:$Z$1213,0)),ISERROR(MATCH($H224&amp;"|1",$AA$14:$AA$1213,0))),"Tie",IF(MATCH($H224&amp;"|1",$Z$14:$Z$1213,0)=MATCH($H224&amp;"|1",$AA$14:$AA$1213,0),"Hit","Miss"))))</f>
        <v/>
      </c>
      <c r="K224" s="24">
        <f>IF($H224="","",IF(COUNTIFS($A$14:$A$1213,$H224,$F$14:$F$1213,"&gt;=0")=0,"—",IFERROR(INDEX($B$14:$B$1213,MATCH($H224&amp;"|1",$AA$14:$AA$1213,0)),"(tied)")))</f>
        <v/>
      </c>
      <c r="L224" s="25">
        <f>IF($H224="","",IF((--(COUNTIFS($A$14:$A$1213,$H224,$P$14:$P$1213,"&gt;=0")&gt;0)+--(COUNTIFS($A$14:$A$1213,$H224,$Q$14:$Q$1213,"&gt;=0")&gt;0)+--(COUNTIFS($A$14:$A$1213,$H224,$R$14:$R$1213,"&gt;=0")&gt;0)+--(COUNTIFS($A$14:$A$1213,$H224,$S$14:$S$1213,"&gt;=0")&gt;0)+--(COUNTIFS($A$14:$A$1213,$H224,$T$14:$T$1213,"&gt;=0")&gt;0))&lt;2,"—",IF(SUMIFS($AH$14:$AH$1213,$A$14:$A$1213,$H224)=0,"Yes","No")))</f>
        <v/>
      </c>
      <c r="M224" s="25">
        <f>IF($H224="","",IF(COUNTIFS($A$14:$A$1213,$H224,$F$14:$F$1213,"&gt;=0")&lt;2,"—",IF(COUNTIFS($A$14:$A$1213,$H224,$F$14:$F$1213,_xlfn.MAXIFS($F$14:$F$1213,$A$14:$A$1213,$H224))&gt;1,"No",IF(NOT(ISNUMBER($AN224)),"—",IF((2*(1-NORMSDIST(ABS($AN224))))&lt;0.05,"Yes","No")))))</f>
        <v/>
      </c>
      <c r="N224" s="21">
        <f>IF($H224="","",IF(NOT(ISNUMBER($AN224)),"—",IF((2*(1-NORMSDIST(ABS($AN224))))&lt;0.001,"&lt;0.001",TEXT((2*(1-NORMSDIST(ABS($AN224)))),"0.000"))))</f>
        <v/>
      </c>
      <c r="P224" s="26" t="n"/>
      <c r="Q224" s="26" t="n"/>
      <c r="R224" s="26" t="n"/>
      <c r="S224" s="26" t="n"/>
      <c r="T224" s="26" t="n"/>
      <c r="V224" s="27">
        <f>IF(ISNUMBER($C224),COUNTIFS($A$14:$A$1213,$A224,$C$14:$C$1213,"&gt;"&amp;$C224)+(COUNTIFS($A$14:$A$1213,$A224,$C$14:$C$1213,"="&amp;$C224)+1)/2,"")</f>
        <v/>
      </c>
      <c r="W224" s="27">
        <f>IF(ISNUMBER($F224),COUNTIFS($A$14:$A$1213,$A224,$F$14:$F$1213,"&gt;"&amp;$F224)+(COUNTIFS($A$14:$A$1213,$A224,$F$14:$F$1213,"="&amp;$F224)+1)/2,"")</f>
        <v/>
      </c>
      <c r="X224" s="27">
        <f>IF(OR(NOT(ISNUMBER($V224)),$AO224=1),"",$V224-(COUNTIFS($A$14:$A$1213,$A224,$C$14:$C$1213,"&gt;=0")+1)/2)</f>
        <v/>
      </c>
      <c r="Y224" s="27">
        <f>IF(OR(NOT(ISNUMBER($W224)),$AO224=1),"",$W224-(COUNTIFS($A$14:$A$1213,$A224,$F$14:$F$1213,"&gt;=0")+1)/2)</f>
        <v/>
      </c>
      <c r="Z224" s="27">
        <f>IF(ISNUMBER($V224),$A224&amp;"|"&amp;$V224,"")</f>
        <v/>
      </c>
      <c r="AA224" s="27">
        <f>IF(ISNUMBER($W224),$A224&amp;"|"&amp;$W224,"")</f>
        <v/>
      </c>
      <c r="AB224" s="27">
        <f>IF(ISNUMBER($F224),$A224&amp;"|"&amp;$F224,"")</f>
        <v/>
      </c>
      <c r="AC224" s="27">
        <f>IF(ISNUMBER($P224),COUNTIFS($A$14:$A$1213,$A224,$P$14:$P$1213,"&gt;"&amp;$P224)+(COUNTIFS($A$14:$A$1213,$A224,$P$14:$P$1213,"="&amp;$P224)+1)/2,"")</f>
        <v/>
      </c>
      <c r="AD224" s="27">
        <f>IF(ISNUMBER($Q224),COUNTIFS($A$14:$A$1213,$A224,$Q$14:$Q$1213,"&gt;"&amp;$Q224)+(COUNTIFS($A$14:$A$1213,$A224,$Q$14:$Q$1213,"="&amp;$Q224)+1)/2,"")</f>
        <v/>
      </c>
      <c r="AE224" s="27">
        <f>IF(ISNUMBER($R224),COUNTIFS($A$14:$A$1213,$A224,$R$14:$R$1213,"&gt;"&amp;$R224)+(COUNTIFS($A$14:$A$1213,$A224,$R$14:$R$1213,"="&amp;$R224)+1)/2,"")</f>
        <v/>
      </c>
      <c r="AF224" s="27">
        <f>IF(ISNUMBER($S224),COUNTIFS($A$14:$A$1213,$A224,$S$14:$S$1213,"&gt;"&amp;$S224)+(COUNTIFS($A$14:$A$1213,$A224,$S$14:$S$1213,"="&amp;$S224)+1)/2,"")</f>
        <v/>
      </c>
      <c r="AG224" s="27">
        <f>IF(ISNUMBER($T224),COUNTIFS($A$14:$A$1213,$A224,$T$14:$T$1213,"&gt;"&amp;$T224)+(COUNTIFS($A$14:$A$1213,$A224,$T$14:$T$1213,"="&amp;$T224)+1)/2,"")</f>
        <v/>
      </c>
      <c r="AH224" s="27">
        <f>IF(COUNT($AC224:$AG224)&lt;2,"",IF(MAX($AC224:$AG224)=MIN($AC224:$AG224),0,1))</f>
        <v/>
      </c>
      <c r="AI224" s="27">
        <f>IF($A224="","",IF(COUNTIF($A$14:$A224,$A224)=1,COUNTIF($AI$13:AI223,"&gt;0")+1,""))</f>
        <v/>
      </c>
      <c r="AJ224" s="27">
        <f>IF(OR($H224="",COUNTIFS($A$14:$A$1213,$H224,$F$14:$F$1213,"&gt;=0")&lt;2,COUNTIFS($A$14:$A$1213,$H224,$F$14:$F$1213,_xlfn.MAXIFS($F$14:$F$1213,$A$14:$A$1213,$H224))&gt;1),"",IFERROR(INDEX($D$14:$D$1213,MATCH($H224&amp;"|"&amp;_xlfn.MAXIFS($F$14:$F$1213,$A$14:$A$1213,$H224),$AB$14:$AB$1213,0)),""))</f>
        <v/>
      </c>
      <c r="AK224" s="27">
        <f>IF(OR($H224="",COUNTIFS($A$14:$A$1213,$H224,$F$14:$F$1213,"&gt;=0")&lt;2,COUNTIFS($A$14:$A$1213,$H224,$F$14:$F$1213,_xlfn.MAXIFS($F$14:$F$1213,$A$14:$A$1213,$H224))&gt;1),"",IFERROR(INDEX($E$14:$E$1213,MATCH($H224&amp;"|"&amp;_xlfn.MAXIFS($F$14:$F$1213,$A$14:$A$1213,$H224),$AB$14:$AB$1213,0)),""))</f>
        <v/>
      </c>
      <c r="AL224" s="27">
        <f>IF(OR($H224="",COUNTIFS($A$14:$A$1213,$H224,$F$14:$F$1213,"&gt;=0")&lt;2,COUNTIFS($A$14:$A$1213,$H224,$F$14:$F$1213,_xlfn.MAXIFS($F$14:$F$1213,$A$14:$A$1213,$H224))&gt;1),"",IFERROR(INDEX($D$14:$D$1213,MATCH($H224&amp;"|"&amp;_xlfn.MAXIFS($F$14:$F$1213,$A$14:$A$1213,$H224,$F$14:$F$1213,"&lt;"&amp;_xlfn.MAXIFS($F$14:$F$1213,$A$14:$A$1213,$H224)),$AB$14:$AB$1213,0)),""))</f>
        <v/>
      </c>
      <c r="AM224" s="27">
        <f>IF(OR($H224="",COUNTIFS($A$14:$A$1213,$H224,$F$14:$F$1213,"&gt;=0")&lt;2,COUNTIFS($A$14:$A$1213,$H224,$F$14:$F$1213,_xlfn.MAXIFS($F$14:$F$1213,$A$14:$A$1213,$H224))&gt;1),"",IFERROR(INDEX($E$14:$E$1213,MATCH($H224&amp;"|"&amp;_xlfn.MAXIFS($F$14:$F$1213,$A$14:$A$1213,$H224,$F$14:$F$1213,"&lt;"&amp;_xlfn.MAXIFS($F$14:$F$1213,$A$14:$A$1213,$H224)),$AB$14:$AB$1213,0)),""))</f>
        <v/>
      </c>
      <c r="AN224" s="27">
        <f>IF(OR(NOT(ISNUMBER($AJ224)),NOT(ISNUMBER($AL224)),$AK224=0,$AM224=0),"",IF(OR((($AJ224+$AL224)/($AK224+$AM224))&lt;=0,(($AJ224+$AL224)/($AK224+$AM224))&gt;=1),"",($AJ224/$AK224-$AL224/$AM224)/SQRT((($AJ224+$AL224)/($AK224+$AM224))*(1-(($AJ224+$AL224)/($AK224+$AM224)))*(1/$AK224+1/$AM224))))</f>
        <v/>
      </c>
      <c r="AO224" s="27">
        <f>IF($A224="","",IF(AND(COUNTIFS($A$14:$A$1213,$A224,$F$14:$F$1213,"&gt;=0")=2,IFERROR(INDEX($M$14:$M$313,MATCH($A224,$H$14:$H$313,0)),"Yes")&lt;&gt;"Yes"),1,0))</f>
        <v/>
      </c>
    </row>
    <row r="225" ht="24" customHeight="1">
      <c r="A225" s="19" t="n"/>
      <c r="B225" s="20" t="n"/>
      <c r="C225" s="21">
        <f>IFERROR(AVERAGE(P225:T225),"")</f>
        <v/>
      </c>
      <c r="D225" s="29" t="n"/>
      <c r="E225" s="29" t="n"/>
      <c r="F225" s="30">
        <f>IF(AND(ISNUMBER($D225),ISNUMBER($E225),$E225&gt;0,$D225&lt;=$E225),$D225/$E225,"")</f>
        <v/>
      </c>
      <c r="H225" s="19">
        <f>IFERROR(INDEX($A$14:$A$1213,MATCH(212,$AI$14:$AI$1213,0)),"")</f>
        <v/>
      </c>
      <c r="I225" s="24">
        <f>IF($H225="","",IF(COUNTIFS($A$14:$A$1213,$H225,$C$14:$C$1213,"&gt;=0")=0,"—",IFERROR(INDEX($B$14:$B$1213,MATCH($H225&amp;"|1",$Z$14:$Z$1213,0)),"(tied)")))</f>
        <v/>
      </c>
      <c r="J225" s="25">
        <f>IF($H225="","",IF(OR(COUNTIFS($A$14:$A$1213,$H225,$C$14:$C$1213,"&gt;=0")=0,COUNTIFS($A$14:$A$1213,$H225,$F$14:$F$1213,"&gt;=0")=0),"—",IF(OR(ISERROR(MATCH($H225&amp;"|1",$Z$14:$Z$1213,0)),ISERROR(MATCH($H225&amp;"|1",$AA$14:$AA$1213,0))),"Tie",IF(MATCH($H225&amp;"|1",$Z$14:$Z$1213,0)=MATCH($H225&amp;"|1",$AA$14:$AA$1213,0),"Hit","Miss"))))</f>
        <v/>
      </c>
      <c r="K225" s="24">
        <f>IF($H225="","",IF(COUNTIFS($A$14:$A$1213,$H225,$F$14:$F$1213,"&gt;=0")=0,"—",IFERROR(INDEX($B$14:$B$1213,MATCH($H225&amp;"|1",$AA$14:$AA$1213,0)),"(tied)")))</f>
        <v/>
      </c>
      <c r="L225" s="25">
        <f>IF($H225="","",IF((--(COUNTIFS($A$14:$A$1213,$H225,$P$14:$P$1213,"&gt;=0")&gt;0)+--(COUNTIFS($A$14:$A$1213,$H225,$Q$14:$Q$1213,"&gt;=0")&gt;0)+--(COUNTIFS($A$14:$A$1213,$H225,$R$14:$R$1213,"&gt;=0")&gt;0)+--(COUNTIFS($A$14:$A$1213,$H225,$S$14:$S$1213,"&gt;=0")&gt;0)+--(COUNTIFS($A$14:$A$1213,$H225,$T$14:$T$1213,"&gt;=0")&gt;0))&lt;2,"—",IF(SUMIFS($AH$14:$AH$1213,$A$14:$A$1213,$H225)=0,"Yes","No")))</f>
        <v/>
      </c>
      <c r="M225" s="25">
        <f>IF($H225="","",IF(COUNTIFS($A$14:$A$1213,$H225,$F$14:$F$1213,"&gt;=0")&lt;2,"—",IF(COUNTIFS($A$14:$A$1213,$H225,$F$14:$F$1213,_xlfn.MAXIFS($F$14:$F$1213,$A$14:$A$1213,$H225))&gt;1,"No",IF(NOT(ISNUMBER($AN225)),"—",IF((2*(1-NORMSDIST(ABS($AN225))))&lt;0.05,"Yes","No")))))</f>
        <v/>
      </c>
      <c r="N225" s="21">
        <f>IF($H225="","",IF(NOT(ISNUMBER($AN225)),"—",IF((2*(1-NORMSDIST(ABS($AN225))))&lt;0.001,"&lt;0.001",TEXT((2*(1-NORMSDIST(ABS($AN225)))),"0.000"))))</f>
        <v/>
      </c>
      <c r="P225" s="26" t="n"/>
      <c r="Q225" s="26" t="n"/>
      <c r="R225" s="26" t="n"/>
      <c r="S225" s="26" t="n"/>
      <c r="T225" s="26" t="n"/>
      <c r="V225" s="27">
        <f>IF(ISNUMBER($C225),COUNTIFS($A$14:$A$1213,$A225,$C$14:$C$1213,"&gt;"&amp;$C225)+(COUNTIFS($A$14:$A$1213,$A225,$C$14:$C$1213,"="&amp;$C225)+1)/2,"")</f>
        <v/>
      </c>
      <c r="W225" s="27">
        <f>IF(ISNUMBER($F225),COUNTIFS($A$14:$A$1213,$A225,$F$14:$F$1213,"&gt;"&amp;$F225)+(COUNTIFS($A$14:$A$1213,$A225,$F$14:$F$1213,"="&amp;$F225)+1)/2,"")</f>
        <v/>
      </c>
      <c r="X225" s="27">
        <f>IF(OR(NOT(ISNUMBER($V225)),$AO225=1),"",$V225-(COUNTIFS($A$14:$A$1213,$A225,$C$14:$C$1213,"&gt;=0")+1)/2)</f>
        <v/>
      </c>
      <c r="Y225" s="27">
        <f>IF(OR(NOT(ISNUMBER($W225)),$AO225=1),"",$W225-(COUNTIFS($A$14:$A$1213,$A225,$F$14:$F$1213,"&gt;=0")+1)/2)</f>
        <v/>
      </c>
      <c r="Z225" s="27">
        <f>IF(ISNUMBER($V225),$A225&amp;"|"&amp;$V225,"")</f>
        <v/>
      </c>
      <c r="AA225" s="27">
        <f>IF(ISNUMBER($W225),$A225&amp;"|"&amp;$W225,"")</f>
        <v/>
      </c>
      <c r="AB225" s="27">
        <f>IF(ISNUMBER($F225),$A225&amp;"|"&amp;$F225,"")</f>
        <v/>
      </c>
      <c r="AC225" s="27">
        <f>IF(ISNUMBER($P225),COUNTIFS($A$14:$A$1213,$A225,$P$14:$P$1213,"&gt;"&amp;$P225)+(COUNTIFS($A$14:$A$1213,$A225,$P$14:$P$1213,"="&amp;$P225)+1)/2,"")</f>
        <v/>
      </c>
      <c r="AD225" s="27">
        <f>IF(ISNUMBER($Q225),COUNTIFS($A$14:$A$1213,$A225,$Q$14:$Q$1213,"&gt;"&amp;$Q225)+(COUNTIFS($A$14:$A$1213,$A225,$Q$14:$Q$1213,"="&amp;$Q225)+1)/2,"")</f>
        <v/>
      </c>
      <c r="AE225" s="27">
        <f>IF(ISNUMBER($R225),COUNTIFS($A$14:$A$1213,$A225,$R$14:$R$1213,"&gt;"&amp;$R225)+(COUNTIFS($A$14:$A$1213,$A225,$R$14:$R$1213,"="&amp;$R225)+1)/2,"")</f>
        <v/>
      </c>
      <c r="AF225" s="27">
        <f>IF(ISNUMBER($S225),COUNTIFS($A$14:$A$1213,$A225,$S$14:$S$1213,"&gt;"&amp;$S225)+(COUNTIFS($A$14:$A$1213,$A225,$S$14:$S$1213,"="&amp;$S225)+1)/2,"")</f>
        <v/>
      </c>
      <c r="AG225" s="27">
        <f>IF(ISNUMBER($T225),COUNTIFS($A$14:$A$1213,$A225,$T$14:$T$1213,"&gt;"&amp;$T225)+(COUNTIFS($A$14:$A$1213,$A225,$T$14:$T$1213,"="&amp;$T225)+1)/2,"")</f>
        <v/>
      </c>
      <c r="AH225" s="27">
        <f>IF(COUNT($AC225:$AG225)&lt;2,"",IF(MAX($AC225:$AG225)=MIN($AC225:$AG225),0,1))</f>
        <v/>
      </c>
      <c r="AI225" s="27">
        <f>IF($A225="","",IF(COUNTIF($A$14:$A225,$A225)=1,COUNTIF($AI$13:AI224,"&gt;0")+1,""))</f>
        <v/>
      </c>
      <c r="AJ225" s="27">
        <f>IF(OR($H225="",COUNTIFS($A$14:$A$1213,$H225,$F$14:$F$1213,"&gt;=0")&lt;2,COUNTIFS($A$14:$A$1213,$H225,$F$14:$F$1213,_xlfn.MAXIFS($F$14:$F$1213,$A$14:$A$1213,$H225))&gt;1),"",IFERROR(INDEX($D$14:$D$1213,MATCH($H225&amp;"|"&amp;_xlfn.MAXIFS($F$14:$F$1213,$A$14:$A$1213,$H225),$AB$14:$AB$1213,0)),""))</f>
        <v/>
      </c>
      <c r="AK225" s="27">
        <f>IF(OR($H225="",COUNTIFS($A$14:$A$1213,$H225,$F$14:$F$1213,"&gt;=0")&lt;2,COUNTIFS($A$14:$A$1213,$H225,$F$14:$F$1213,_xlfn.MAXIFS($F$14:$F$1213,$A$14:$A$1213,$H225))&gt;1),"",IFERROR(INDEX($E$14:$E$1213,MATCH($H225&amp;"|"&amp;_xlfn.MAXIFS($F$14:$F$1213,$A$14:$A$1213,$H225),$AB$14:$AB$1213,0)),""))</f>
        <v/>
      </c>
      <c r="AL225" s="27">
        <f>IF(OR($H225="",COUNTIFS($A$14:$A$1213,$H225,$F$14:$F$1213,"&gt;=0")&lt;2,COUNTIFS($A$14:$A$1213,$H225,$F$14:$F$1213,_xlfn.MAXIFS($F$14:$F$1213,$A$14:$A$1213,$H225))&gt;1),"",IFERROR(INDEX($D$14:$D$1213,MATCH($H225&amp;"|"&amp;_xlfn.MAXIFS($F$14:$F$1213,$A$14:$A$1213,$H225,$F$14:$F$1213,"&lt;"&amp;_xlfn.MAXIFS($F$14:$F$1213,$A$14:$A$1213,$H225)),$AB$14:$AB$1213,0)),""))</f>
        <v/>
      </c>
      <c r="AM225" s="27">
        <f>IF(OR($H225="",COUNTIFS($A$14:$A$1213,$H225,$F$14:$F$1213,"&gt;=0")&lt;2,COUNTIFS($A$14:$A$1213,$H225,$F$14:$F$1213,_xlfn.MAXIFS($F$14:$F$1213,$A$14:$A$1213,$H225))&gt;1),"",IFERROR(INDEX($E$14:$E$1213,MATCH($H225&amp;"|"&amp;_xlfn.MAXIFS($F$14:$F$1213,$A$14:$A$1213,$H225,$F$14:$F$1213,"&lt;"&amp;_xlfn.MAXIFS($F$14:$F$1213,$A$14:$A$1213,$H225)),$AB$14:$AB$1213,0)),""))</f>
        <v/>
      </c>
      <c r="AN225" s="27">
        <f>IF(OR(NOT(ISNUMBER($AJ225)),NOT(ISNUMBER($AL225)),$AK225=0,$AM225=0),"",IF(OR((($AJ225+$AL225)/($AK225+$AM225))&lt;=0,(($AJ225+$AL225)/($AK225+$AM225))&gt;=1),"",($AJ225/$AK225-$AL225/$AM225)/SQRT((($AJ225+$AL225)/($AK225+$AM225))*(1-(($AJ225+$AL225)/($AK225+$AM225)))*(1/$AK225+1/$AM225))))</f>
        <v/>
      </c>
      <c r="AO225" s="27">
        <f>IF($A225="","",IF(AND(COUNTIFS($A$14:$A$1213,$A225,$F$14:$F$1213,"&gt;=0")=2,IFERROR(INDEX($M$14:$M$313,MATCH($A225,$H$14:$H$313,0)),"Yes")&lt;&gt;"Yes"),1,0))</f>
        <v/>
      </c>
    </row>
    <row r="226" ht="24" customHeight="1">
      <c r="A226" s="19" t="n"/>
      <c r="B226" s="20" t="n"/>
      <c r="C226" s="21">
        <f>IFERROR(AVERAGE(P226:T226),"")</f>
        <v/>
      </c>
      <c r="D226" s="29" t="n"/>
      <c r="E226" s="29" t="n"/>
      <c r="F226" s="30">
        <f>IF(AND(ISNUMBER($D226),ISNUMBER($E226),$E226&gt;0,$D226&lt;=$E226),$D226/$E226,"")</f>
        <v/>
      </c>
      <c r="H226" s="19">
        <f>IFERROR(INDEX($A$14:$A$1213,MATCH(213,$AI$14:$AI$1213,0)),"")</f>
        <v/>
      </c>
      <c r="I226" s="24">
        <f>IF($H226="","",IF(COUNTIFS($A$14:$A$1213,$H226,$C$14:$C$1213,"&gt;=0")=0,"—",IFERROR(INDEX($B$14:$B$1213,MATCH($H226&amp;"|1",$Z$14:$Z$1213,0)),"(tied)")))</f>
        <v/>
      </c>
      <c r="J226" s="25">
        <f>IF($H226="","",IF(OR(COUNTIFS($A$14:$A$1213,$H226,$C$14:$C$1213,"&gt;=0")=0,COUNTIFS($A$14:$A$1213,$H226,$F$14:$F$1213,"&gt;=0")=0),"—",IF(OR(ISERROR(MATCH($H226&amp;"|1",$Z$14:$Z$1213,0)),ISERROR(MATCH($H226&amp;"|1",$AA$14:$AA$1213,0))),"Tie",IF(MATCH($H226&amp;"|1",$Z$14:$Z$1213,0)=MATCH($H226&amp;"|1",$AA$14:$AA$1213,0),"Hit","Miss"))))</f>
        <v/>
      </c>
      <c r="K226" s="24">
        <f>IF($H226="","",IF(COUNTIFS($A$14:$A$1213,$H226,$F$14:$F$1213,"&gt;=0")=0,"—",IFERROR(INDEX($B$14:$B$1213,MATCH($H226&amp;"|1",$AA$14:$AA$1213,0)),"(tied)")))</f>
        <v/>
      </c>
      <c r="L226" s="25">
        <f>IF($H226="","",IF((--(COUNTIFS($A$14:$A$1213,$H226,$P$14:$P$1213,"&gt;=0")&gt;0)+--(COUNTIFS($A$14:$A$1213,$H226,$Q$14:$Q$1213,"&gt;=0")&gt;0)+--(COUNTIFS($A$14:$A$1213,$H226,$R$14:$R$1213,"&gt;=0")&gt;0)+--(COUNTIFS($A$14:$A$1213,$H226,$S$14:$S$1213,"&gt;=0")&gt;0)+--(COUNTIFS($A$14:$A$1213,$H226,$T$14:$T$1213,"&gt;=0")&gt;0))&lt;2,"—",IF(SUMIFS($AH$14:$AH$1213,$A$14:$A$1213,$H226)=0,"Yes","No")))</f>
        <v/>
      </c>
      <c r="M226" s="25">
        <f>IF($H226="","",IF(COUNTIFS($A$14:$A$1213,$H226,$F$14:$F$1213,"&gt;=0")&lt;2,"—",IF(COUNTIFS($A$14:$A$1213,$H226,$F$14:$F$1213,_xlfn.MAXIFS($F$14:$F$1213,$A$14:$A$1213,$H226))&gt;1,"No",IF(NOT(ISNUMBER($AN226)),"—",IF((2*(1-NORMSDIST(ABS($AN226))))&lt;0.05,"Yes","No")))))</f>
        <v/>
      </c>
      <c r="N226" s="21">
        <f>IF($H226="","",IF(NOT(ISNUMBER($AN226)),"—",IF((2*(1-NORMSDIST(ABS($AN226))))&lt;0.001,"&lt;0.001",TEXT((2*(1-NORMSDIST(ABS($AN226)))),"0.000"))))</f>
        <v/>
      </c>
      <c r="P226" s="26" t="n"/>
      <c r="Q226" s="26" t="n"/>
      <c r="R226" s="26" t="n"/>
      <c r="S226" s="26" t="n"/>
      <c r="T226" s="26" t="n"/>
      <c r="V226" s="27">
        <f>IF(ISNUMBER($C226),COUNTIFS($A$14:$A$1213,$A226,$C$14:$C$1213,"&gt;"&amp;$C226)+(COUNTIFS($A$14:$A$1213,$A226,$C$14:$C$1213,"="&amp;$C226)+1)/2,"")</f>
        <v/>
      </c>
      <c r="W226" s="27">
        <f>IF(ISNUMBER($F226),COUNTIFS($A$14:$A$1213,$A226,$F$14:$F$1213,"&gt;"&amp;$F226)+(COUNTIFS($A$14:$A$1213,$A226,$F$14:$F$1213,"="&amp;$F226)+1)/2,"")</f>
        <v/>
      </c>
      <c r="X226" s="27">
        <f>IF(OR(NOT(ISNUMBER($V226)),$AO226=1),"",$V226-(COUNTIFS($A$14:$A$1213,$A226,$C$14:$C$1213,"&gt;=0")+1)/2)</f>
        <v/>
      </c>
      <c r="Y226" s="27">
        <f>IF(OR(NOT(ISNUMBER($W226)),$AO226=1),"",$W226-(COUNTIFS($A$14:$A$1213,$A226,$F$14:$F$1213,"&gt;=0")+1)/2)</f>
        <v/>
      </c>
      <c r="Z226" s="27">
        <f>IF(ISNUMBER($V226),$A226&amp;"|"&amp;$V226,"")</f>
        <v/>
      </c>
      <c r="AA226" s="27">
        <f>IF(ISNUMBER($W226),$A226&amp;"|"&amp;$W226,"")</f>
        <v/>
      </c>
      <c r="AB226" s="27">
        <f>IF(ISNUMBER($F226),$A226&amp;"|"&amp;$F226,"")</f>
        <v/>
      </c>
      <c r="AC226" s="27">
        <f>IF(ISNUMBER($P226),COUNTIFS($A$14:$A$1213,$A226,$P$14:$P$1213,"&gt;"&amp;$P226)+(COUNTIFS($A$14:$A$1213,$A226,$P$14:$P$1213,"="&amp;$P226)+1)/2,"")</f>
        <v/>
      </c>
      <c r="AD226" s="27">
        <f>IF(ISNUMBER($Q226),COUNTIFS($A$14:$A$1213,$A226,$Q$14:$Q$1213,"&gt;"&amp;$Q226)+(COUNTIFS($A$14:$A$1213,$A226,$Q$14:$Q$1213,"="&amp;$Q226)+1)/2,"")</f>
        <v/>
      </c>
      <c r="AE226" s="27">
        <f>IF(ISNUMBER($R226),COUNTIFS($A$14:$A$1213,$A226,$R$14:$R$1213,"&gt;"&amp;$R226)+(COUNTIFS($A$14:$A$1213,$A226,$R$14:$R$1213,"="&amp;$R226)+1)/2,"")</f>
        <v/>
      </c>
      <c r="AF226" s="27">
        <f>IF(ISNUMBER($S226),COUNTIFS($A$14:$A$1213,$A226,$S$14:$S$1213,"&gt;"&amp;$S226)+(COUNTIFS($A$14:$A$1213,$A226,$S$14:$S$1213,"="&amp;$S226)+1)/2,"")</f>
        <v/>
      </c>
      <c r="AG226" s="27">
        <f>IF(ISNUMBER($T226),COUNTIFS($A$14:$A$1213,$A226,$T$14:$T$1213,"&gt;"&amp;$T226)+(COUNTIFS($A$14:$A$1213,$A226,$T$14:$T$1213,"="&amp;$T226)+1)/2,"")</f>
        <v/>
      </c>
      <c r="AH226" s="27">
        <f>IF(COUNT($AC226:$AG226)&lt;2,"",IF(MAX($AC226:$AG226)=MIN($AC226:$AG226),0,1))</f>
        <v/>
      </c>
      <c r="AI226" s="27">
        <f>IF($A226="","",IF(COUNTIF($A$14:$A226,$A226)=1,COUNTIF($AI$13:AI225,"&gt;0")+1,""))</f>
        <v/>
      </c>
      <c r="AJ226" s="27">
        <f>IF(OR($H226="",COUNTIFS($A$14:$A$1213,$H226,$F$14:$F$1213,"&gt;=0")&lt;2,COUNTIFS($A$14:$A$1213,$H226,$F$14:$F$1213,_xlfn.MAXIFS($F$14:$F$1213,$A$14:$A$1213,$H226))&gt;1),"",IFERROR(INDEX($D$14:$D$1213,MATCH($H226&amp;"|"&amp;_xlfn.MAXIFS($F$14:$F$1213,$A$14:$A$1213,$H226),$AB$14:$AB$1213,0)),""))</f>
        <v/>
      </c>
      <c r="AK226" s="27">
        <f>IF(OR($H226="",COUNTIFS($A$14:$A$1213,$H226,$F$14:$F$1213,"&gt;=0")&lt;2,COUNTIFS($A$14:$A$1213,$H226,$F$14:$F$1213,_xlfn.MAXIFS($F$14:$F$1213,$A$14:$A$1213,$H226))&gt;1),"",IFERROR(INDEX($E$14:$E$1213,MATCH($H226&amp;"|"&amp;_xlfn.MAXIFS($F$14:$F$1213,$A$14:$A$1213,$H226),$AB$14:$AB$1213,0)),""))</f>
        <v/>
      </c>
      <c r="AL226" s="27">
        <f>IF(OR($H226="",COUNTIFS($A$14:$A$1213,$H226,$F$14:$F$1213,"&gt;=0")&lt;2,COUNTIFS($A$14:$A$1213,$H226,$F$14:$F$1213,_xlfn.MAXIFS($F$14:$F$1213,$A$14:$A$1213,$H226))&gt;1),"",IFERROR(INDEX($D$14:$D$1213,MATCH($H226&amp;"|"&amp;_xlfn.MAXIFS($F$14:$F$1213,$A$14:$A$1213,$H226,$F$14:$F$1213,"&lt;"&amp;_xlfn.MAXIFS($F$14:$F$1213,$A$14:$A$1213,$H226)),$AB$14:$AB$1213,0)),""))</f>
        <v/>
      </c>
      <c r="AM226" s="27">
        <f>IF(OR($H226="",COUNTIFS($A$14:$A$1213,$H226,$F$14:$F$1213,"&gt;=0")&lt;2,COUNTIFS($A$14:$A$1213,$H226,$F$14:$F$1213,_xlfn.MAXIFS($F$14:$F$1213,$A$14:$A$1213,$H226))&gt;1),"",IFERROR(INDEX($E$14:$E$1213,MATCH($H226&amp;"|"&amp;_xlfn.MAXIFS($F$14:$F$1213,$A$14:$A$1213,$H226,$F$14:$F$1213,"&lt;"&amp;_xlfn.MAXIFS($F$14:$F$1213,$A$14:$A$1213,$H226)),$AB$14:$AB$1213,0)),""))</f>
        <v/>
      </c>
      <c r="AN226" s="27">
        <f>IF(OR(NOT(ISNUMBER($AJ226)),NOT(ISNUMBER($AL226)),$AK226=0,$AM226=0),"",IF(OR((($AJ226+$AL226)/($AK226+$AM226))&lt;=0,(($AJ226+$AL226)/($AK226+$AM226))&gt;=1),"",($AJ226/$AK226-$AL226/$AM226)/SQRT((($AJ226+$AL226)/($AK226+$AM226))*(1-(($AJ226+$AL226)/($AK226+$AM226)))*(1/$AK226+1/$AM226))))</f>
        <v/>
      </c>
      <c r="AO226" s="27">
        <f>IF($A226="","",IF(AND(COUNTIFS($A$14:$A$1213,$A226,$F$14:$F$1213,"&gt;=0")=2,IFERROR(INDEX($M$14:$M$313,MATCH($A226,$H$14:$H$313,0)),"Yes")&lt;&gt;"Yes"),1,0))</f>
        <v/>
      </c>
    </row>
    <row r="227" ht="24" customHeight="1">
      <c r="A227" s="19" t="n"/>
      <c r="B227" s="20" t="n"/>
      <c r="C227" s="21">
        <f>IFERROR(AVERAGE(P227:T227),"")</f>
        <v/>
      </c>
      <c r="D227" s="29" t="n"/>
      <c r="E227" s="29" t="n"/>
      <c r="F227" s="30">
        <f>IF(AND(ISNUMBER($D227),ISNUMBER($E227),$E227&gt;0,$D227&lt;=$E227),$D227/$E227,"")</f>
        <v/>
      </c>
      <c r="H227" s="19">
        <f>IFERROR(INDEX($A$14:$A$1213,MATCH(214,$AI$14:$AI$1213,0)),"")</f>
        <v/>
      </c>
      <c r="I227" s="24">
        <f>IF($H227="","",IF(COUNTIFS($A$14:$A$1213,$H227,$C$14:$C$1213,"&gt;=0")=0,"—",IFERROR(INDEX($B$14:$B$1213,MATCH($H227&amp;"|1",$Z$14:$Z$1213,0)),"(tied)")))</f>
        <v/>
      </c>
      <c r="J227" s="25">
        <f>IF($H227="","",IF(OR(COUNTIFS($A$14:$A$1213,$H227,$C$14:$C$1213,"&gt;=0")=0,COUNTIFS($A$14:$A$1213,$H227,$F$14:$F$1213,"&gt;=0")=0),"—",IF(OR(ISERROR(MATCH($H227&amp;"|1",$Z$14:$Z$1213,0)),ISERROR(MATCH($H227&amp;"|1",$AA$14:$AA$1213,0))),"Tie",IF(MATCH($H227&amp;"|1",$Z$14:$Z$1213,0)=MATCH($H227&amp;"|1",$AA$14:$AA$1213,0),"Hit","Miss"))))</f>
        <v/>
      </c>
      <c r="K227" s="24">
        <f>IF($H227="","",IF(COUNTIFS($A$14:$A$1213,$H227,$F$14:$F$1213,"&gt;=0")=0,"—",IFERROR(INDEX($B$14:$B$1213,MATCH($H227&amp;"|1",$AA$14:$AA$1213,0)),"(tied)")))</f>
        <v/>
      </c>
      <c r="L227" s="25">
        <f>IF($H227="","",IF((--(COUNTIFS($A$14:$A$1213,$H227,$P$14:$P$1213,"&gt;=0")&gt;0)+--(COUNTIFS($A$14:$A$1213,$H227,$Q$14:$Q$1213,"&gt;=0")&gt;0)+--(COUNTIFS($A$14:$A$1213,$H227,$R$14:$R$1213,"&gt;=0")&gt;0)+--(COUNTIFS($A$14:$A$1213,$H227,$S$14:$S$1213,"&gt;=0")&gt;0)+--(COUNTIFS($A$14:$A$1213,$H227,$T$14:$T$1213,"&gt;=0")&gt;0))&lt;2,"—",IF(SUMIFS($AH$14:$AH$1213,$A$14:$A$1213,$H227)=0,"Yes","No")))</f>
        <v/>
      </c>
      <c r="M227" s="25">
        <f>IF($H227="","",IF(COUNTIFS($A$14:$A$1213,$H227,$F$14:$F$1213,"&gt;=0")&lt;2,"—",IF(COUNTIFS($A$14:$A$1213,$H227,$F$14:$F$1213,_xlfn.MAXIFS($F$14:$F$1213,$A$14:$A$1213,$H227))&gt;1,"No",IF(NOT(ISNUMBER($AN227)),"—",IF((2*(1-NORMSDIST(ABS($AN227))))&lt;0.05,"Yes","No")))))</f>
        <v/>
      </c>
      <c r="N227" s="21">
        <f>IF($H227="","",IF(NOT(ISNUMBER($AN227)),"—",IF((2*(1-NORMSDIST(ABS($AN227))))&lt;0.001,"&lt;0.001",TEXT((2*(1-NORMSDIST(ABS($AN227)))),"0.000"))))</f>
        <v/>
      </c>
      <c r="P227" s="26" t="n"/>
      <c r="Q227" s="26" t="n"/>
      <c r="R227" s="26" t="n"/>
      <c r="S227" s="26" t="n"/>
      <c r="T227" s="26" t="n"/>
      <c r="V227" s="27">
        <f>IF(ISNUMBER($C227),COUNTIFS($A$14:$A$1213,$A227,$C$14:$C$1213,"&gt;"&amp;$C227)+(COUNTIFS($A$14:$A$1213,$A227,$C$14:$C$1213,"="&amp;$C227)+1)/2,"")</f>
        <v/>
      </c>
      <c r="W227" s="27">
        <f>IF(ISNUMBER($F227),COUNTIFS($A$14:$A$1213,$A227,$F$14:$F$1213,"&gt;"&amp;$F227)+(COUNTIFS($A$14:$A$1213,$A227,$F$14:$F$1213,"="&amp;$F227)+1)/2,"")</f>
        <v/>
      </c>
      <c r="X227" s="27">
        <f>IF(OR(NOT(ISNUMBER($V227)),$AO227=1),"",$V227-(COUNTIFS($A$14:$A$1213,$A227,$C$14:$C$1213,"&gt;=0")+1)/2)</f>
        <v/>
      </c>
      <c r="Y227" s="27">
        <f>IF(OR(NOT(ISNUMBER($W227)),$AO227=1),"",$W227-(COUNTIFS($A$14:$A$1213,$A227,$F$14:$F$1213,"&gt;=0")+1)/2)</f>
        <v/>
      </c>
      <c r="Z227" s="27">
        <f>IF(ISNUMBER($V227),$A227&amp;"|"&amp;$V227,"")</f>
        <v/>
      </c>
      <c r="AA227" s="27">
        <f>IF(ISNUMBER($W227),$A227&amp;"|"&amp;$W227,"")</f>
        <v/>
      </c>
      <c r="AB227" s="27">
        <f>IF(ISNUMBER($F227),$A227&amp;"|"&amp;$F227,"")</f>
        <v/>
      </c>
      <c r="AC227" s="27">
        <f>IF(ISNUMBER($P227),COUNTIFS($A$14:$A$1213,$A227,$P$14:$P$1213,"&gt;"&amp;$P227)+(COUNTIFS($A$14:$A$1213,$A227,$P$14:$P$1213,"="&amp;$P227)+1)/2,"")</f>
        <v/>
      </c>
      <c r="AD227" s="27">
        <f>IF(ISNUMBER($Q227),COUNTIFS($A$14:$A$1213,$A227,$Q$14:$Q$1213,"&gt;"&amp;$Q227)+(COUNTIFS($A$14:$A$1213,$A227,$Q$14:$Q$1213,"="&amp;$Q227)+1)/2,"")</f>
        <v/>
      </c>
      <c r="AE227" s="27">
        <f>IF(ISNUMBER($R227),COUNTIFS($A$14:$A$1213,$A227,$R$14:$R$1213,"&gt;"&amp;$R227)+(COUNTIFS($A$14:$A$1213,$A227,$R$14:$R$1213,"="&amp;$R227)+1)/2,"")</f>
        <v/>
      </c>
      <c r="AF227" s="27">
        <f>IF(ISNUMBER($S227),COUNTIFS($A$14:$A$1213,$A227,$S$14:$S$1213,"&gt;"&amp;$S227)+(COUNTIFS($A$14:$A$1213,$A227,$S$14:$S$1213,"="&amp;$S227)+1)/2,"")</f>
        <v/>
      </c>
      <c r="AG227" s="27">
        <f>IF(ISNUMBER($T227),COUNTIFS($A$14:$A$1213,$A227,$T$14:$T$1213,"&gt;"&amp;$T227)+(COUNTIFS($A$14:$A$1213,$A227,$T$14:$T$1213,"="&amp;$T227)+1)/2,"")</f>
        <v/>
      </c>
      <c r="AH227" s="27">
        <f>IF(COUNT($AC227:$AG227)&lt;2,"",IF(MAX($AC227:$AG227)=MIN($AC227:$AG227),0,1))</f>
        <v/>
      </c>
      <c r="AI227" s="27">
        <f>IF($A227="","",IF(COUNTIF($A$14:$A227,$A227)=1,COUNTIF($AI$13:AI226,"&gt;0")+1,""))</f>
        <v/>
      </c>
      <c r="AJ227" s="27">
        <f>IF(OR($H227="",COUNTIFS($A$14:$A$1213,$H227,$F$14:$F$1213,"&gt;=0")&lt;2,COUNTIFS($A$14:$A$1213,$H227,$F$14:$F$1213,_xlfn.MAXIFS($F$14:$F$1213,$A$14:$A$1213,$H227))&gt;1),"",IFERROR(INDEX($D$14:$D$1213,MATCH($H227&amp;"|"&amp;_xlfn.MAXIFS($F$14:$F$1213,$A$14:$A$1213,$H227),$AB$14:$AB$1213,0)),""))</f>
        <v/>
      </c>
      <c r="AK227" s="27">
        <f>IF(OR($H227="",COUNTIFS($A$14:$A$1213,$H227,$F$14:$F$1213,"&gt;=0")&lt;2,COUNTIFS($A$14:$A$1213,$H227,$F$14:$F$1213,_xlfn.MAXIFS($F$14:$F$1213,$A$14:$A$1213,$H227))&gt;1),"",IFERROR(INDEX($E$14:$E$1213,MATCH($H227&amp;"|"&amp;_xlfn.MAXIFS($F$14:$F$1213,$A$14:$A$1213,$H227),$AB$14:$AB$1213,0)),""))</f>
        <v/>
      </c>
      <c r="AL227" s="27">
        <f>IF(OR($H227="",COUNTIFS($A$14:$A$1213,$H227,$F$14:$F$1213,"&gt;=0")&lt;2,COUNTIFS($A$14:$A$1213,$H227,$F$14:$F$1213,_xlfn.MAXIFS($F$14:$F$1213,$A$14:$A$1213,$H227))&gt;1),"",IFERROR(INDEX($D$14:$D$1213,MATCH($H227&amp;"|"&amp;_xlfn.MAXIFS($F$14:$F$1213,$A$14:$A$1213,$H227,$F$14:$F$1213,"&lt;"&amp;_xlfn.MAXIFS($F$14:$F$1213,$A$14:$A$1213,$H227)),$AB$14:$AB$1213,0)),""))</f>
        <v/>
      </c>
      <c r="AM227" s="27">
        <f>IF(OR($H227="",COUNTIFS($A$14:$A$1213,$H227,$F$14:$F$1213,"&gt;=0")&lt;2,COUNTIFS($A$14:$A$1213,$H227,$F$14:$F$1213,_xlfn.MAXIFS($F$14:$F$1213,$A$14:$A$1213,$H227))&gt;1),"",IFERROR(INDEX($E$14:$E$1213,MATCH($H227&amp;"|"&amp;_xlfn.MAXIFS($F$14:$F$1213,$A$14:$A$1213,$H227,$F$14:$F$1213,"&lt;"&amp;_xlfn.MAXIFS($F$14:$F$1213,$A$14:$A$1213,$H227)),$AB$14:$AB$1213,0)),""))</f>
        <v/>
      </c>
      <c r="AN227" s="27">
        <f>IF(OR(NOT(ISNUMBER($AJ227)),NOT(ISNUMBER($AL227)),$AK227=0,$AM227=0),"",IF(OR((($AJ227+$AL227)/($AK227+$AM227))&lt;=0,(($AJ227+$AL227)/($AK227+$AM227))&gt;=1),"",($AJ227/$AK227-$AL227/$AM227)/SQRT((($AJ227+$AL227)/($AK227+$AM227))*(1-(($AJ227+$AL227)/($AK227+$AM227)))*(1/$AK227+1/$AM227))))</f>
        <v/>
      </c>
      <c r="AO227" s="27">
        <f>IF($A227="","",IF(AND(COUNTIFS($A$14:$A$1213,$A227,$F$14:$F$1213,"&gt;=0")=2,IFERROR(INDEX($M$14:$M$313,MATCH($A227,$H$14:$H$313,0)),"Yes")&lt;&gt;"Yes"),1,0))</f>
        <v/>
      </c>
    </row>
    <row r="228" ht="24" customHeight="1">
      <c r="A228" s="19" t="n"/>
      <c r="B228" s="20" t="n"/>
      <c r="C228" s="21">
        <f>IFERROR(AVERAGE(P228:T228),"")</f>
        <v/>
      </c>
      <c r="D228" s="29" t="n"/>
      <c r="E228" s="29" t="n"/>
      <c r="F228" s="30">
        <f>IF(AND(ISNUMBER($D228),ISNUMBER($E228),$E228&gt;0,$D228&lt;=$E228),$D228/$E228,"")</f>
        <v/>
      </c>
      <c r="H228" s="19">
        <f>IFERROR(INDEX($A$14:$A$1213,MATCH(215,$AI$14:$AI$1213,0)),"")</f>
        <v/>
      </c>
      <c r="I228" s="24">
        <f>IF($H228="","",IF(COUNTIFS($A$14:$A$1213,$H228,$C$14:$C$1213,"&gt;=0")=0,"—",IFERROR(INDEX($B$14:$B$1213,MATCH($H228&amp;"|1",$Z$14:$Z$1213,0)),"(tied)")))</f>
        <v/>
      </c>
      <c r="J228" s="25">
        <f>IF($H228="","",IF(OR(COUNTIFS($A$14:$A$1213,$H228,$C$14:$C$1213,"&gt;=0")=0,COUNTIFS($A$14:$A$1213,$H228,$F$14:$F$1213,"&gt;=0")=0),"—",IF(OR(ISERROR(MATCH($H228&amp;"|1",$Z$14:$Z$1213,0)),ISERROR(MATCH($H228&amp;"|1",$AA$14:$AA$1213,0))),"Tie",IF(MATCH($H228&amp;"|1",$Z$14:$Z$1213,0)=MATCH($H228&amp;"|1",$AA$14:$AA$1213,0),"Hit","Miss"))))</f>
        <v/>
      </c>
      <c r="K228" s="24">
        <f>IF($H228="","",IF(COUNTIFS($A$14:$A$1213,$H228,$F$14:$F$1213,"&gt;=0")=0,"—",IFERROR(INDEX($B$14:$B$1213,MATCH($H228&amp;"|1",$AA$14:$AA$1213,0)),"(tied)")))</f>
        <v/>
      </c>
      <c r="L228" s="25">
        <f>IF($H228="","",IF((--(COUNTIFS($A$14:$A$1213,$H228,$P$14:$P$1213,"&gt;=0")&gt;0)+--(COUNTIFS($A$14:$A$1213,$H228,$Q$14:$Q$1213,"&gt;=0")&gt;0)+--(COUNTIFS($A$14:$A$1213,$H228,$R$14:$R$1213,"&gt;=0")&gt;0)+--(COUNTIFS($A$14:$A$1213,$H228,$S$14:$S$1213,"&gt;=0")&gt;0)+--(COUNTIFS($A$14:$A$1213,$H228,$T$14:$T$1213,"&gt;=0")&gt;0))&lt;2,"—",IF(SUMIFS($AH$14:$AH$1213,$A$14:$A$1213,$H228)=0,"Yes","No")))</f>
        <v/>
      </c>
      <c r="M228" s="25">
        <f>IF($H228="","",IF(COUNTIFS($A$14:$A$1213,$H228,$F$14:$F$1213,"&gt;=0")&lt;2,"—",IF(COUNTIFS($A$14:$A$1213,$H228,$F$14:$F$1213,_xlfn.MAXIFS($F$14:$F$1213,$A$14:$A$1213,$H228))&gt;1,"No",IF(NOT(ISNUMBER($AN228)),"—",IF((2*(1-NORMSDIST(ABS($AN228))))&lt;0.05,"Yes","No")))))</f>
        <v/>
      </c>
      <c r="N228" s="21">
        <f>IF($H228="","",IF(NOT(ISNUMBER($AN228)),"—",IF((2*(1-NORMSDIST(ABS($AN228))))&lt;0.001,"&lt;0.001",TEXT((2*(1-NORMSDIST(ABS($AN228)))),"0.000"))))</f>
        <v/>
      </c>
      <c r="P228" s="26" t="n"/>
      <c r="Q228" s="26" t="n"/>
      <c r="R228" s="26" t="n"/>
      <c r="S228" s="26" t="n"/>
      <c r="T228" s="26" t="n"/>
      <c r="V228" s="27">
        <f>IF(ISNUMBER($C228),COUNTIFS($A$14:$A$1213,$A228,$C$14:$C$1213,"&gt;"&amp;$C228)+(COUNTIFS($A$14:$A$1213,$A228,$C$14:$C$1213,"="&amp;$C228)+1)/2,"")</f>
        <v/>
      </c>
      <c r="W228" s="27">
        <f>IF(ISNUMBER($F228),COUNTIFS($A$14:$A$1213,$A228,$F$14:$F$1213,"&gt;"&amp;$F228)+(COUNTIFS($A$14:$A$1213,$A228,$F$14:$F$1213,"="&amp;$F228)+1)/2,"")</f>
        <v/>
      </c>
      <c r="X228" s="27">
        <f>IF(OR(NOT(ISNUMBER($V228)),$AO228=1),"",$V228-(COUNTIFS($A$14:$A$1213,$A228,$C$14:$C$1213,"&gt;=0")+1)/2)</f>
        <v/>
      </c>
      <c r="Y228" s="27">
        <f>IF(OR(NOT(ISNUMBER($W228)),$AO228=1),"",$W228-(COUNTIFS($A$14:$A$1213,$A228,$F$14:$F$1213,"&gt;=0")+1)/2)</f>
        <v/>
      </c>
      <c r="Z228" s="27">
        <f>IF(ISNUMBER($V228),$A228&amp;"|"&amp;$V228,"")</f>
        <v/>
      </c>
      <c r="AA228" s="27">
        <f>IF(ISNUMBER($W228),$A228&amp;"|"&amp;$W228,"")</f>
        <v/>
      </c>
      <c r="AB228" s="27">
        <f>IF(ISNUMBER($F228),$A228&amp;"|"&amp;$F228,"")</f>
        <v/>
      </c>
      <c r="AC228" s="27">
        <f>IF(ISNUMBER($P228),COUNTIFS($A$14:$A$1213,$A228,$P$14:$P$1213,"&gt;"&amp;$P228)+(COUNTIFS($A$14:$A$1213,$A228,$P$14:$P$1213,"="&amp;$P228)+1)/2,"")</f>
        <v/>
      </c>
      <c r="AD228" s="27">
        <f>IF(ISNUMBER($Q228),COUNTIFS($A$14:$A$1213,$A228,$Q$14:$Q$1213,"&gt;"&amp;$Q228)+(COUNTIFS($A$14:$A$1213,$A228,$Q$14:$Q$1213,"="&amp;$Q228)+1)/2,"")</f>
        <v/>
      </c>
      <c r="AE228" s="27">
        <f>IF(ISNUMBER($R228),COUNTIFS($A$14:$A$1213,$A228,$R$14:$R$1213,"&gt;"&amp;$R228)+(COUNTIFS($A$14:$A$1213,$A228,$R$14:$R$1213,"="&amp;$R228)+1)/2,"")</f>
        <v/>
      </c>
      <c r="AF228" s="27">
        <f>IF(ISNUMBER($S228),COUNTIFS($A$14:$A$1213,$A228,$S$14:$S$1213,"&gt;"&amp;$S228)+(COUNTIFS($A$14:$A$1213,$A228,$S$14:$S$1213,"="&amp;$S228)+1)/2,"")</f>
        <v/>
      </c>
      <c r="AG228" s="27">
        <f>IF(ISNUMBER($T228),COUNTIFS($A$14:$A$1213,$A228,$T$14:$T$1213,"&gt;"&amp;$T228)+(COUNTIFS($A$14:$A$1213,$A228,$T$14:$T$1213,"="&amp;$T228)+1)/2,"")</f>
        <v/>
      </c>
      <c r="AH228" s="27">
        <f>IF(COUNT($AC228:$AG228)&lt;2,"",IF(MAX($AC228:$AG228)=MIN($AC228:$AG228),0,1))</f>
        <v/>
      </c>
      <c r="AI228" s="27">
        <f>IF($A228="","",IF(COUNTIF($A$14:$A228,$A228)=1,COUNTIF($AI$13:AI227,"&gt;0")+1,""))</f>
        <v/>
      </c>
      <c r="AJ228" s="27">
        <f>IF(OR($H228="",COUNTIFS($A$14:$A$1213,$H228,$F$14:$F$1213,"&gt;=0")&lt;2,COUNTIFS($A$14:$A$1213,$H228,$F$14:$F$1213,_xlfn.MAXIFS($F$14:$F$1213,$A$14:$A$1213,$H228))&gt;1),"",IFERROR(INDEX($D$14:$D$1213,MATCH($H228&amp;"|"&amp;_xlfn.MAXIFS($F$14:$F$1213,$A$14:$A$1213,$H228),$AB$14:$AB$1213,0)),""))</f>
        <v/>
      </c>
      <c r="AK228" s="27">
        <f>IF(OR($H228="",COUNTIFS($A$14:$A$1213,$H228,$F$14:$F$1213,"&gt;=0")&lt;2,COUNTIFS($A$14:$A$1213,$H228,$F$14:$F$1213,_xlfn.MAXIFS($F$14:$F$1213,$A$14:$A$1213,$H228))&gt;1),"",IFERROR(INDEX($E$14:$E$1213,MATCH($H228&amp;"|"&amp;_xlfn.MAXIFS($F$14:$F$1213,$A$14:$A$1213,$H228),$AB$14:$AB$1213,0)),""))</f>
        <v/>
      </c>
      <c r="AL228" s="27">
        <f>IF(OR($H228="",COUNTIFS($A$14:$A$1213,$H228,$F$14:$F$1213,"&gt;=0")&lt;2,COUNTIFS($A$14:$A$1213,$H228,$F$14:$F$1213,_xlfn.MAXIFS($F$14:$F$1213,$A$14:$A$1213,$H228))&gt;1),"",IFERROR(INDEX($D$14:$D$1213,MATCH($H228&amp;"|"&amp;_xlfn.MAXIFS($F$14:$F$1213,$A$14:$A$1213,$H228,$F$14:$F$1213,"&lt;"&amp;_xlfn.MAXIFS($F$14:$F$1213,$A$14:$A$1213,$H228)),$AB$14:$AB$1213,0)),""))</f>
        <v/>
      </c>
      <c r="AM228" s="27">
        <f>IF(OR($H228="",COUNTIFS($A$14:$A$1213,$H228,$F$14:$F$1213,"&gt;=0")&lt;2,COUNTIFS($A$14:$A$1213,$H228,$F$14:$F$1213,_xlfn.MAXIFS($F$14:$F$1213,$A$14:$A$1213,$H228))&gt;1),"",IFERROR(INDEX($E$14:$E$1213,MATCH($H228&amp;"|"&amp;_xlfn.MAXIFS($F$14:$F$1213,$A$14:$A$1213,$H228,$F$14:$F$1213,"&lt;"&amp;_xlfn.MAXIFS($F$14:$F$1213,$A$14:$A$1213,$H228)),$AB$14:$AB$1213,0)),""))</f>
        <v/>
      </c>
      <c r="AN228" s="27">
        <f>IF(OR(NOT(ISNUMBER($AJ228)),NOT(ISNUMBER($AL228)),$AK228=0,$AM228=0),"",IF(OR((($AJ228+$AL228)/($AK228+$AM228))&lt;=0,(($AJ228+$AL228)/($AK228+$AM228))&gt;=1),"",($AJ228/$AK228-$AL228/$AM228)/SQRT((($AJ228+$AL228)/($AK228+$AM228))*(1-(($AJ228+$AL228)/($AK228+$AM228)))*(1/$AK228+1/$AM228))))</f>
        <v/>
      </c>
      <c r="AO228" s="27">
        <f>IF($A228="","",IF(AND(COUNTIFS($A$14:$A$1213,$A228,$F$14:$F$1213,"&gt;=0")=2,IFERROR(INDEX($M$14:$M$313,MATCH($A228,$H$14:$H$313,0)),"Yes")&lt;&gt;"Yes"),1,0))</f>
        <v/>
      </c>
    </row>
    <row r="229" ht="24" customHeight="1">
      <c r="A229" s="19" t="n"/>
      <c r="B229" s="20" t="n"/>
      <c r="C229" s="21">
        <f>IFERROR(AVERAGE(P229:T229),"")</f>
        <v/>
      </c>
      <c r="D229" s="29" t="n"/>
      <c r="E229" s="29" t="n"/>
      <c r="F229" s="30">
        <f>IF(AND(ISNUMBER($D229),ISNUMBER($E229),$E229&gt;0,$D229&lt;=$E229),$D229/$E229,"")</f>
        <v/>
      </c>
      <c r="H229" s="19">
        <f>IFERROR(INDEX($A$14:$A$1213,MATCH(216,$AI$14:$AI$1213,0)),"")</f>
        <v/>
      </c>
      <c r="I229" s="24">
        <f>IF($H229="","",IF(COUNTIFS($A$14:$A$1213,$H229,$C$14:$C$1213,"&gt;=0")=0,"—",IFERROR(INDEX($B$14:$B$1213,MATCH($H229&amp;"|1",$Z$14:$Z$1213,0)),"(tied)")))</f>
        <v/>
      </c>
      <c r="J229" s="25">
        <f>IF($H229="","",IF(OR(COUNTIFS($A$14:$A$1213,$H229,$C$14:$C$1213,"&gt;=0")=0,COUNTIFS($A$14:$A$1213,$H229,$F$14:$F$1213,"&gt;=0")=0),"—",IF(OR(ISERROR(MATCH($H229&amp;"|1",$Z$14:$Z$1213,0)),ISERROR(MATCH($H229&amp;"|1",$AA$14:$AA$1213,0))),"Tie",IF(MATCH($H229&amp;"|1",$Z$14:$Z$1213,0)=MATCH($H229&amp;"|1",$AA$14:$AA$1213,0),"Hit","Miss"))))</f>
        <v/>
      </c>
      <c r="K229" s="24">
        <f>IF($H229="","",IF(COUNTIFS($A$14:$A$1213,$H229,$F$14:$F$1213,"&gt;=0")=0,"—",IFERROR(INDEX($B$14:$B$1213,MATCH($H229&amp;"|1",$AA$14:$AA$1213,0)),"(tied)")))</f>
        <v/>
      </c>
      <c r="L229" s="25">
        <f>IF($H229="","",IF((--(COUNTIFS($A$14:$A$1213,$H229,$P$14:$P$1213,"&gt;=0")&gt;0)+--(COUNTIFS($A$14:$A$1213,$H229,$Q$14:$Q$1213,"&gt;=0")&gt;0)+--(COUNTIFS($A$14:$A$1213,$H229,$R$14:$R$1213,"&gt;=0")&gt;0)+--(COUNTIFS($A$14:$A$1213,$H229,$S$14:$S$1213,"&gt;=0")&gt;0)+--(COUNTIFS($A$14:$A$1213,$H229,$T$14:$T$1213,"&gt;=0")&gt;0))&lt;2,"—",IF(SUMIFS($AH$14:$AH$1213,$A$14:$A$1213,$H229)=0,"Yes","No")))</f>
        <v/>
      </c>
      <c r="M229" s="25">
        <f>IF($H229="","",IF(COUNTIFS($A$14:$A$1213,$H229,$F$14:$F$1213,"&gt;=0")&lt;2,"—",IF(COUNTIFS($A$14:$A$1213,$H229,$F$14:$F$1213,_xlfn.MAXIFS($F$14:$F$1213,$A$14:$A$1213,$H229))&gt;1,"No",IF(NOT(ISNUMBER($AN229)),"—",IF((2*(1-NORMSDIST(ABS($AN229))))&lt;0.05,"Yes","No")))))</f>
        <v/>
      </c>
      <c r="N229" s="21">
        <f>IF($H229="","",IF(NOT(ISNUMBER($AN229)),"—",IF((2*(1-NORMSDIST(ABS($AN229))))&lt;0.001,"&lt;0.001",TEXT((2*(1-NORMSDIST(ABS($AN229)))),"0.000"))))</f>
        <v/>
      </c>
      <c r="P229" s="26" t="n"/>
      <c r="Q229" s="26" t="n"/>
      <c r="R229" s="26" t="n"/>
      <c r="S229" s="26" t="n"/>
      <c r="T229" s="26" t="n"/>
      <c r="V229" s="27">
        <f>IF(ISNUMBER($C229),COUNTIFS($A$14:$A$1213,$A229,$C$14:$C$1213,"&gt;"&amp;$C229)+(COUNTIFS($A$14:$A$1213,$A229,$C$14:$C$1213,"="&amp;$C229)+1)/2,"")</f>
        <v/>
      </c>
      <c r="W229" s="27">
        <f>IF(ISNUMBER($F229),COUNTIFS($A$14:$A$1213,$A229,$F$14:$F$1213,"&gt;"&amp;$F229)+(COUNTIFS($A$14:$A$1213,$A229,$F$14:$F$1213,"="&amp;$F229)+1)/2,"")</f>
        <v/>
      </c>
      <c r="X229" s="27">
        <f>IF(OR(NOT(ISNUMBER($V229)),$AO229=1),"",$V229-(COUNTIFS($A$14:$A$1213,$A229,$C$14:$C$1213,"&gt;=0")+1)/2)</f>
        <v/>
      </c>
      <c r="Y229" s="27">
        <f>IF(OR(NOT(ISNUMBER($W229)),$AO229=1),"",$W229-(COUNTIFS($A$14:$A$1213,$A229,$F$14:$F$1213,"&gt;=0")+1)/2)</f>
        <v/>
      </c>
      <c r="Z229" s="27">
        <f>IF(ISNUMBER($V229),$A229&amp;"|"&amp;$V229,"")</f>
        <v/>
      </c>
      <c r="AA229" s="27">
        <f>IF(ISNUMBER($W229),$A229&amp;"|"&amp;$W229,"")</f>
        <v/>
      </c>
      <c r="AB229" s="27">
        <f>IF(ISNUMBER($F229),$A229&amp;"|"&amp;$F229,"")</f>
        <v/>
      </c>
      <c r="AC229" s="27">
        <f>IF(ISNUMBER($P229),COUNTIFS($A$14:$A$1213,$A229,$P$14:$P$1213,"&gt;"&amp;$P229)+(COUNTIFS($A$14:$A$1213,$A229,$P$14:$P$1213,"="&amp;$P229)+1)/2,"")</f>
        <v/>
      </c>
      <c r="AD229" s="27">
        <f>IF(ISNUMBER($Q229),COUNTIFS($A$14:$A$1213,$A229,$Q$14:$Q$1213,"&gt;"&amp;$Q229)+(COUNTIFS($A$14:$A$1213,$A229,$Q$14:$Q$1213,"="&amp;$Q229)+1)/2,"")</f>
        <v/>
      </c>
      <c r="AE229" s="27">
        <f>IF(ISNUMBER($R229),COUNTIFS($A$14:$A$1213,$A229,$R$14:$R$1213,"&gt;"&amp;$R229)+(COUNTIFS($A$14:$A$1213,$A229,$R$14:$R$1213,"="&amp;$R229)+1)/2,"")</f>
        <v/>
      </c>
      <c r="AF229" s="27">
        <f>IF(ISNUMBER($S229),COUNTIFS($A$14:$A$1213,$A229,$S$14:$S$1213,"&gt;"&amp;$S229)+(COUNTIFS($A$14:$A$1213,$A229,$S$14:$S$1213,"="&amp;$S229)+1)/2,"")</f>
        <v/>
      </c>
      <c r="AG229" s="27">
        <f>IF(ISNUMBER($T229),COUNTIFS($A$14:$A$1213,$A229,$T$14:$T$1213,"&gt;"&amp;$T229)+(COUNTIFS($A$14:$A$1213,$A229,$T$14:$T$1213,"="&amp;$T229)+1)/2,"")</f>
        <v/>
      </c>
      <c r="AH229" s="27">
        <f>IF(COUNT($AC229:$AG229)&lt;2,"",IF(MAX($AC229:$AG229)=MIN($AC229:$AG229),0,1))</f>
        <v/>
      </c>
      <c r="AI229" s="27">
        <f>IF($A229="","",IF(COUNTIF($A$14:$A229,$A229)=1,COUNTIF($AI$13:AI228,"&gt;0")+1,""))</f>
        <v/>
      </c>
      <c r="AJ229" s="27">
        <f>IF(OR($H229="",COUNTIFS($A$14:$A$1213,$H229,$F$14:$F$1213,"&gt;=0")&lt;2,COUNTIFS($A$14:$A$1213,$H229,$F$14:$F$1213,_xlfn.MAXIFS($F$14:$F$1213,$A$14:$A$1213,$H229))&gt;1),"",IFERROR(INDEX($D$14:$D$1213,MATCH($H229&amp;"|"&amp;_xlfn.MAXIFS($F$14:$F$1213,$A$14:$A$1213,$H229),$AB$14:$AB$1213,0)),""))</f>
        <v/>
      </c>
      <c r="AK229" s="27">
        <f>IF(OR($H229="",COUNTIFS($A$14:$A$1213,$H229,$F$14:$F$1213,"&gt;=0")&lt;2,COUNTIFS($A$14:$A$1213,$H229,$F$14:$F$1213,_xlfn.MAXIFS($F$14:$F$1213,$A$14:$A$1213,$H229))&gt;1),"",IFERROR(INDEX($E$14:$E$1213,MATCH($H229&amp;"|"&amp;_xlfn.MAXIFS($F$14:$F$1213,$A$14:$A$1213,$H229),$AB$14:$AB$1213,0)),""))</f>
        <v/>
      </c>
      <c r="AL229" s="27">
        <f>IF(OR($H229="",COUNTIFS($A$14:$A$1213,$H229,$F$14:$F$1213,"&gt;=0")&lt;2,COUNTIFS($A$14:$A$1213,$H229,$F$14:$F$1213,_xlfn.MAXIFS($F$14:$F$1213,$A$14:$A$1213,$H229))&gt;1),"",IFERROR(INDEX($D$14:$D$1213,MATCH($H229&amp;"|"&amp;_xlfn.MAXIFS($F$14:$F$1213,$A$14:$A$1213,$H229,$F$14:$F$1213,"&lt;"&amp;_xlfn.MAXIFS($F$14:$F$1213,$A$14:$A$1213,$H229)),$AB$14:$AB$1213,0)),""))</f>
        <v/>
      </c>
      <c r="AM229" s="27">
        <f>IF(OR($H229="",COUNTIFS($A$14:$A$1213,$H229,$F$14:$F$1213,"&gt;=0")&lt;2,COUNTIFS($A$14:$A$1213,$H229,$F$14:$F$1213,_xlfn.MAXIFS($F$14:$F$1213,$A$14:$A$1213,$H229))&gt;1),"",IFERROR(INDEX($E$14:$E$1213,MATCH($H229&amp;"|"&amp;_xlfn.MAXIFS($F$14:$F$1213,$A$14:$A$1213,$H229,$F$14:$F$1213,"&lt;"&amp;_xlfn.MAXIFS($F$14:$F$1213,$A$14:$A$1213,$H229)),$AB$14:$AB$1213,0)),""))</f>
        <v/>
      </c>
      <c r="AN229" s="27">
        <f>IF(OR(NOT(ISNUMBER($AJ229)),NOT(ISNUMBER($AL229)),$AK229=0,$AM229=0),"",IF(OR((($AJ229+$AL229)/($AK229+$AM229))&lt;=0,(($AJ229+$AL229)/($AK229+$AM229))&gt;=1),"",($AJ229/$AK229-$AL229/$AM229)/SQRT((($AJ229+$AL229)/($AK229+$AM229))*(1-(($AJ229+$AL229)/($AK229+$AM229)))*(1/$AK229+1/$AM229))))</f>
        <v/>
      </c>
      <c r="AO229" s="27">
        <f>IF($A229="","",IF(AND(COUNTIFS($A$14:$A$1213,$A229,$F$14:$F$1213,"&gt;=0")=2,IFERROR(INDEX($M$14:$M$313,MATCH($A229,$H$14:$H$313,0)),"Yes")&lt;&gt;"Yes"),1,0))</f>
        <v/>
      </c>
    </row>
    <row r="230" ht="24" customHeight="1">
      <c r="A230" s="19" t="n"/>
      <c r="B230" s="20" t="n"/>
      <c r="C230" s="21">
        <f>IFERROR(AVERAGE(P230:T230),"")</f>
        <v/>
      </c>
      <c r="D230" s="29" t="n"/>
      <c r="E230" s="29" t="n"/>
      <c r="F230" s="30">
        <f>IF(AND(ISNUMBER($D230),ISNUMBER($E230),$E230&gt;0,$D230&lt;=$E230),$D230/$E230,"")</f>
        <v/>
      </c>
      <c r="H230" s="19">
        <f>IFERROR(INDEX($A$14:$A$1213,MATCH(217,$AI$14:$AI$1213,0)),"")</f>
        <v/>
      </c>
      <c r="I230" s="24">
        <f>IF($H230="","",IF(COUNTIFS($A$14:$A$1213,$H230,$C$14:$C$1213,"&gt;=0")=0,"—",IFERROR(INDEX($B$14:$B$1213,MATCH($H230&amp;"|1",$Z$14:$Z$1213,0)),"(tied)")))</f>
        <v/>
      </c>
      <c r="J230" s="25">
        <f>IF($H230="","",IF(OR(COUNTIFS($A$14:$A$1213,$H230,$C$14:$C$1213,"&gt;=0")=0,COUNTIFS($A$14:$A$1213,$H230,$F$14:$F$1213,"&gt;=0")=0),"—",IF(OR(ISERROR(MATCH($H230&amp;"|1",$Z$14:$Z$1213,0)),ISERROR(MATCH($H230&amp;"|1",$AA$14:$AA$1213,0))),"Tie",IF(MATCH($H230&amp;"|1",$Z$14:$Z$1213,0)=MATCH($H230&amp;"|1",$AA$14:$AA$1213,0),"Hit","Miss"))))</f>
        <v/>
      </c>
      <c r="K230" s="24">
        <f>IF($H230="","",IF(COUNTIFS($A$14:$A$1213,$H230,$F$14:$F$1213,"&gt;=0")=0,"—",IFERROR(INDEX($B$14:$B$1213,MATCH($H230&amp;"|1",$AA$14:$AA$1213,0)),"(tied)")))</f>
        <v/>
      </c>
      <c r="L230" s="25">
        <f>IF($H230="","",IF((--(COUNTIFS($A$14:$A$1213,$H230,$P$14:$P$1213,"&gt;=0")&gt;0)+--(COUNTIFS($A$14:$A$1213,$H230,$Q$14:$Q$1213,"&gt;=0")&gt;0)+--(COUNTIFS($A$14:$A$1213,$H230,$R$14:$R$1213,"&gt;=0")&gt;0)+--(COUNTIFS($A$14:$A$1213,$H230,$S$14:$S$1213,"&gt;=0")&gt;0)+--(COUNTIFS($A$14:$A$1213,$H230,$T$14:$T$1213,"&gt;=0")&gt;0))&lt;2,"—",IF(SUMIFS($AH$14:$AH$1213,$A$14:$A$1213,$H230)=0,"Yes","No")))</f>
        <v/>
      </c>
      <c r="M230" s="25">
        <f>IF($H230="","",IF(COUNTIFS($A$14:$A$1213,$H230,$F$14:$F$1213,"&gt;=0")&lt;2,"—",IF(COUNTIFS($A$14:$A$1213,$H230,$F$14:$F$1213,_xlfn.MAXIFS($F$14:$F$1213,$A$14:$A$1213,$H230))&gt;1,"No",IF(NOT(ISNUMBER($AN230)),"—",IF((2*(1-NORMSDIST(ABS($AN230))))&lt;0.05,"Yes","No")))))</f>
        <v/>
      </c>
      <c r="N230" s="21">
        <f>IF($H230="","",IF(NOT(ISNUMBER($AN230)),"—",IF((2*(1-NORMSDIST(ABS($AN230))))&lt;0.001,"&lt;0.001",TEXT((2*(1-NORMSDIST(ABS($AN230)))),"0.000"))))</f>
        <v/>
      </c>
      <c r="P230" s="26" t="n"/>
      <c r="Q230" s="26" t="n"/>
      <c r="R230" s="26" t="n"/>
      <c r="S230" s="26" t="n"/>
      <c r="T230" s="26" t="n"/>
      <c r="V230" s="27">
        <f>IF(ISNUMBER($C230),COUNTIFS($A$14:$A$1213,$A230,$C$14:$C$1213,"&gt;"&amp;$C230)+(COUNTIFS($A$14:$A$1213,$A230,$C$14:$C$1213,"="&amp;$C230)+1)/2,"")</f>
        <v/>
      </c>
      <c r="W230" s="27">
        <f>IF(ISNUMBER($F230),COUNTIFS($A$14:$A$1213,$A230,$F$14:$F$1213,"&gt;"&amp;$F230)+(COUNTIFS($A$14:$A$1213,$A230,$F$14:$F$1213,"="&amp;$F230)+1)/2,"")</f>
        <v/>
      </c>
      <c r="X230" s="27">
        <f>IF(OR(NOT(ISNUMBER($V230)),$AO230=1),"",$V230-(COUNTIFS($A$14:$A$1213,$A230,$C$14:$C$1213,"&gt;=0")+1)/2)</f>
        <v/>
      </c>
      <c r="Y230" s="27">
        <f>IF(OR(NOT(ISNUMBER($W230)),$AO230=1),"",$W230-(COUNTIFS($A$14:$A$1213,$A230,$F$14:$F$1213,"&gt;=0")+1)/2)</f>
        <v/>
      </c>
      <c r="Z230" s="27">
        <f>IF(ISNUMBER($V230),$A230&amp;"|"&amp;$V230,"")</f>
        <v/>
      </c>
      <c r="AA230" s="27">
        <f>IF(ISNUMBER($W230),$A230&amp;"|"&amp;$W230,"")</f>
        <v/>
      </c>
      <c r="AB230" s="27">
        <f>IF(ISNUMBER($F230),$A230&amp;"|"&amp;$F230,"")</f>
        <v/>
      </c>
      <c r="AC230" s="27">
        <f>IF(ISNUMBER($P230),COUNTIFS($A$14:$A$1213,$A230,$P$14:$P$1213,"&gt;"&amp;$P230)+(COUNTIFS($A$14:$A$1213,$A230,$P$14:$P$1213,"="&amp;$P230)+1)/2,"")</f>
        <v/>
      </c>
      <c r="AD230" s="27">
        <f>IF(ISNUMBER($Q230),COUNTIFS($A$14:$A$1213,$A230,$Q$14:$Q$1213,"&gt;"&amp;$Q230)+(COUNTIFS($A$14:$A$1213,$A230,$Q$14:$Q$1213,"="&amp;$Q230)+1)/2,"")</f>
        <v/>
      </c>
      <c r="AE230" s="27">
        <f>IF(ISNUMBER($R230),COUNTIFS($A$14:$A$1213,$A230,$R$14:$R$1213,"&gt;"&amp;$R230)+(COUNTIFS($A$14:$A$1213,$A230,$R$14:$R$1213,"="&amp;$R230)+1)/2,"")</f>
        <v/>
      </c>
      <c r="AF230" s="27">
        <f>IF(ISNUMBER($S230),COUNTIFS($A$14:$A$1213,$A230,$S$14:$S$1213,"&gt;"&amp;$S230)+(COUNTIFS($A$14:$A$1213,$A230,$S$14:$S$1213,"="&amp;$S230)+1)/2,"")</f>
        <v/>
      </c>
      <c r="AG230" s="27">
        <f>IF(ISNUMBER($T230),COUNTIFS($A$14:$A$1213,$A230,$T$14:$T$1213,"&gt;"&amp;$T230)+(COUNTIFS($A$14:$A$1213,$A230,$T$14:$T$1213,"="&amp;$T230)+1)/2,"")</f>
        <v/>
      </c>
      <c r="AH230" s="27">
        <f>IF(COUNT($AC230:$AG230)&lt;2,"",IF(MAX($AC230:$AG230)=MIN($AC230:$AG230),0,1))</f>
        <v/>
      </c>
      <c r="AI230" s="27">
        <f>IF($A230="","",IF(COUNTIF($A$14:$A230,$A230)=1,COUNTIF($AI$13:AI229,"&gt;0")+1,""))</f>
        <v/>
      </c>
      <c r="AJ230" s="27">
        <f>IF(OR($H230="",COUNTIFS($A$14:$A$1213,$H230,$F$14:$F$1213,"&gt;=0")&lt;2,COUNTIFS($A$14:$A$1213,$H230,$F$14:$F$1213,_xlfn.MAXIFS($F$14:$F$1213,$A$14:$A$1213,$H230))&gt;1),"",IFERROR(INDEX($D$14:$D$1213,MATCH($H230&amp;"|"&amp;_xlfn.MAXIFS($F$14:$F$1213,$A$14:$A$1213,$H230),$AB$14:$AB$1213,0)),""))</f>
        <v/>
      </c>
      <c r="AK230" s="27">
        <f>IF(OR($H230="",COUNTIFS($A$14:$A$1213,$H230,$F$14:$F$1213,"&gt;=0")&lt;2,COUNTIFS($A$14:$A$1213,$H230,$F$14:$F$1213,_xlfn.MAXIFS($F$14:$F$1213,$A$14:$A$1213,$H230))&gt;1),"",IFERROR(INDEX($E$14:$E$1213,MATCH($H230&amp;"|"&amp;_xlfn.MAXIFS($F$14:$F$1213,$A$14:$A$1213,$H230),$AB$14:$AB$1213,0)),""))</f>
        <v/>
      </c>
      <c r="AL230" s="27">
        <f>IF(OR($H230="",COUNTIFS($A$14:$A$1213,$H230,$F$14:$F$1213,"&gt;=0")&lt;2,COUNTIFS($A$14:$A$1213,$H230,$F$14:$F$1213,_xlfn.MAXIFS($F$14:$F$1213,$A$14:$A$1213,$H230))&gt;1),"",IFERROR(INDEX($D$14:$D$1213,MATCH($H230&amp;"|"&amp;_xlfn.MAXIFS($F$14:$F$1213,$A$14:$A$1213,$H230,$F$14:$F$1213,"&lt;"&amp;_xlfn.MAXIFS($F$14:$F$1213,$A$14:$A$1213,$H230)),$AB$14:$AB$1213,0)),""))</f>
        <v/>
      </c>
      <c r="AM230" s="27">
        <f>IF(OR($H230="",COUNTIFS($A$14:$A$1213,$H230,$F$14:$F$1213,"&gt;=0")&lt;2,COUNTIFS($A$14:$A$1213,$H230,$F$14:$F$1213,_xlfn.MAXIFS($F$14:$F$1213,$A$14:$A$1213,$H230))&gt;1),"",IFERROR(INDEX($E$14:$E$1213,MATCH($H230&amp;"|"&amp;_xlfn.MAXIFS($F$14:$F$1213,$A$14:$A$1213,$H230,$F$14:$F$1213,"&lt;"&amp;_xlfn.MAXIFS($F$14:$F$1213,$A$14:$A$1213,$H230)),$AB$14:$AB$1213,0)),""))</f>
        <v/>
      </c>
      <c r="AN230" s="27">
        <f>IF(OR(NOT(ISNUMBER($AJ230)),NOT(ISNUMBER($AL230)),$AK230=0,$AM230=0),"",IF(OR((($AJ230+$AL230)/($AK230+$AM230))&lt;=0,(($AJ230+$AL230)/($AK230+$AM230))&gt;=1),"",($AJ230/$AK230-$AL230/$AM230)/SQRT((($AJ230+$AL230)/($AK230+$AM230))*(1-(($AJ230+$AL230)/($AK230+$AM230)))*(1/$AK230+1/$AM230))))</f>
        <v/>
      </c>
      <c r="AO230" s="27">
        <f>IF($A230="","",IF(AND(COUNTIFS($A$14:$A$1213,$A230,$F$14:$F$1213,"&gt;=0")=2,IFERROR(INDEX($M$14:$M$313,MATCH($A230,$H$14:$H$313,0)),"Yes")&lt;&gt;"Yes"),1,0))</f>
        <v/>
      </c>
    </row>
    <row r="231" ht="24" customHeight="1">
      <c r="A231" s="19" t="n"/>
      <c r="B231" s="20" t="n"/>
      <c r="C231" s="21">
        <f>IFERROR(AVERAGE(P231:T231),"")</f>
        <v/>
      </c>
      <c r="D231" s="29" t="n"/>
      <c r="E231" s="29" t="n"/>
      <c r="F231" s="30">
        <f>IF(AND(ISNUMBER($D231),ISNUMBER($E231),$E231&gt;0,$D231&lt;=$E231),$D231/$E231,"")</f>
        <v/>
      </c>
      <c r="H231" s="19">
        <f>IFERROR(INDEX($A$14:$A$1213,MATCH(218,$AI$14:$AI$1213,0)),"")</f>
        <v/>
      </c>
      <c r="I231" s="24">
        <f>IF($H231="","",IF(COUNTIFS($A$14:$A$1213,$H231,$C$14:$C$1213,"&gt;=0")=0,"—",IFERROR(INDEX($B$14:$B$1213,MATCH($H231&amp;"|1",$Z$14:$Z$1213,0)),"(tied)")))</f>
        <v/>
      </c>
      <c r="J231" s="25">
        <f>IF($H231="","",IF(OR(COUNTIFS($A$14:$A$1213,$H231,$C$14:$C$1213,"&gt;=0")=0,COUNTIFS($A$14:$A$1213,$H231,$F$14:$F$1213,"&gt;=0")=0),"—",IF(OR(ISERROR(MATCH($H231&amp;"|1",$Z$14:$Z$1213,0)),ISERROR(MATCH($H231&amp;"|1",$AA$14:$AA$1213,0))),"Tie",IF(MATCH($H231&amp;"|1",$Z$14:$Z$1213,0)=MATCH($H231&amp;"|1",$AA$14:$AA$1213,0),"Hit","Miss"))))</f>
        <v/>
      </c>
      <c r="K231" s="24">
        <f>IF($H231="","",IF(COUNTIFS($A$14:$A$1213,$H231,$F$14:$F$1213,"&gt;=0")=0,"—",IFERROR(INDEX($B$14:$B$1213,MATCH($H231&amp;"|1",$AA$14:$AA$1213,0)),"(tied)")))</f>
        <v/>
      </c>
      <c r="L231" s="25">
        <f>IF($H231="","",IF((--(COUNTIFS($A$14:$A$1213,$H231,$P$14:$P$1213,"&gt;=0")&gt;0)+--(COUNTIFS($A$14:$A$1213,$H231,$Q$14:$Q$1213,"&gt;=0")&gt;0)+--(COUNTIFS($A$14:$A$1213,$H231,$R$14:$R$1213,"&gt;=0")&gt;0)+--(COUNTIFS($A$14:$A$1213,$H231,$S$14:$S$1213,"&gt;=0")&gt;0)+--(COUNTIFS($A$14:$A$1213,$H231,$T$14:$T$1213,"&gt;=0")&gt;0))&lt;2,"—",IF(SUMIFS($AH$14:$AH$1213,$A$14:$A$1213,$H231)=0,"Yes","No")))</f>
        <v/>
      </c>
      <c r="M231" s="25">
        <f>IF($H231="","",IF(COUNTIFS($A$14:$A$1213,$H231,$F$14:$F$1213,"&gt;=0")&lt;2,"—",IF(COUNTIFS($A$14:$A$1213,$H231,$F$14:$F$1213,_xlfn.MAXIFS($F$14:$F$1213,$A$14:$A$1213,$H231))&gt;1,"No",IF(NOT(ISNUMBER($AN231)),"—",IF((2*(1-NORMSDIST(ABS($AN231))))&lt;0.05,"Yes","No")))))</f>
        <v/>
      </c>
      <c r="N231" s="21">
        <f>IF($H231="","",IF(NOT(ISNUMBER($AN231)),"—",IF((2*(1-NORMSDIST(ABS($AN231))))&lt;0.001,"&lt;0.001",TEXT((2*(1-NORMSDIST(ABS($AN231)))),"0.000"))))</f>
        <v/>
      </c>
      <c r="P231" s="26" t="n"/>
      <c r="Q231" s="26" t="n"/>
      <c r="R231" s="26" t="n"/>
      <c r="S231" s="26" t="n"/>
      <c r="T231" s="26" t="n"/>
      <c r="V231" s="27">
        <f>IF(ISNUMBER($C231),COUNTIFS($A$14:$A$1213,$A231,$C$14:$C$1213,"&gt;"&amp;$C231)+(COUNTIFS($A$14:$A$1213,$A231,$C$14:$C$1213,"="&amp;$C231)+1)/2,"")</f>
        <v/>
      </c>
      <c r="W231" s="27">
        <f>IF(ISNUMBER($F231),COUNTIFS($A$14:$A$1213,$A231,$F$14:$F$1213,"&gt;"&amp;$F231)+(COUNTIFS($A$14:$A$1213,$A231,$F$14:$F$1213,"="&amp;$F231)+1)/2,"")</f>
        <v/>
      </c>
      <c r="X231" s="27">
        <f>IF(OR(NOT(ISNUMBER($V231)),$AO231=1),"",$V231-(COUNTIFS($A$14:$A$1213,$A231,$C$14:$C$1213,"&gt;=0")+1)/2)</f>
        <v/>
      </c>
      <c r="Y231" s="27">
        <f>IF(OR(NOT(ISNUMBER($W231)),$AO231=1),"",$W231-(COUNTIFS($A$14:$A$1213,$A231,$F$14:$F$1213,"&gt;=0")+1)/2)</f>
        <v/>
      </c>
      <c r="Z231" s="27">
        <f>IF(ISNUMBER($V231),$A231&amp;"|"&amp;$V231,"")</f>
        <v/>
      </c>
      <c r="AA231" s="27">
        <f>IF(ISNUMBER($W231),$A231&amp;"|"&amp;$W231,"")</f>
        <v/>
      </c>
      <c r="AB231" s="27">
        <f>IF(ISNUMBER($F231),$A231&amp;"|"&amp;$F231,"")</f>
        <v/>
      </c>
      <c r="AC231" s="27">
        <f>IF(ISNUMBER($P231),COUNTIFS($A$14:$A$1213,$A231,$P$14:$P$1213,"&gt;"&amp;$P231)+(COUNTIFS($A$14:$A$1213,$A231,$P$14:$P$1213,"="&amp;$P231)+1)/2,"")</f>
        <v/>
      </c>
      <c r="AD231" s="27">
        <f>IF(ISNUMBER($Q231),COUNTIFS($A$14:$A$1213,$A231,$Q$14:$Q$1213,"&gt;"&amp;$Q231)+(COUNTIFS($A$14:$A$1213,$A231,$Q$14:$Q$1213,"="&amp;$Q231)+1)/2,"")</f>
        <v/>
      </c>
      <c r="AE231" s="27">
        <f>IF(ISNUMBER($R231),COUNTIFS($A$14:$A$1213,$A231,$R$14:$R$1213,"&gt;"&amp;$R231)+(COUNTIFS($A$14:$A$1213,$A231,$R$14:$R$1213,"="&amp;$R231)+1)/2,"")</f>
        <v/>
      </c>
      <c r="AF231" s="27">
        <f>IF(ISNUMBER($S231),COUNTIFS($A$14:$A$1213,$A231,$S$14:$S$1213,"&gt;"&amp;$S231)+(COUNTIFS($A$14:$A$1213,$A231,$S$14:$S$1213,"="&amp;$S231)+1)/2,"")</f>
        <v/>
      </c>
      <c r="AG231" s="27">
        <f>IF(ISNUMBER($T231),COUNTIFS($A$14:$A$1213,$A231,$T$14:$T$1213,"&gt;"&amp;$T231)+(COUNTIFS($A$14:$A$1213,$A231,$T$14:$T$1213,"="&amp;$T231)+1)/2,"")</f>
        <v/>
      </c>
      <c r="AH231" s="27">
        <f>IF(COUNT($AC231:$AG231)&lt;2,"",IF(MAX($AC231:$AG231)=MIN($AC231:$AG231),0,1))</f>
        <v/>
      </c>
      <c r="AI231" s="27">
        <f>IF($A231="","",IF(COUNTIF($A$14:$A231,$A231)=1,COUNTIF($AI$13:AI230,"&gt;0")+1,""))</f>
        <v/>
      </c>
      <c r="AJ231" s="27">
        <f>IF(OR($H231="",COUNTIFS($A$14:$A$1213,$H231,$F$14:$F$1213,"&gt;=0")&lt;2,COUNTIFS($A$14:$A$1213,$H231,$F$14:$F$1213,_xlfn.MAXIFS($F$14:$F$1213,$A$14:$A$1213,$H231))&gt;1),"",IFERROR(INDEX($D$14:$D$1213,MATCH($H231&amp;"|"&amp;_xlfn.MAXIFS($F$14:$F$1213,$A$14:$A$1213,$H231),$AB$14:$AB$1213,0)),""))</f>
        <v/>
      </c>
      <c r="AK231" s="27">
        <f>IF(OR($H231="",COUNTIFS($A$14:$A$1213,$H231,$F$14:$F$1213,"&gt;=0")&lt;2,COUNTIFS($A$14:$A$1213,$H231,$F$14:$F$1213,_xlfn.MAXIFS($F$14:$F$1213,$A$14:$A$1213,$H231))&gt;1),"",IFERROR(INDEX($E$14:$E$1213,MATCH($H231&amp;"|"&amp;_xlfn.MAXIFS($F$14:$F$1213,$A$14:$A$1213,$H231),$AB$14:$AB$1213,0)),""))</f>
        <v/>
      </c>
      <c r="AL231" s="27">
        <f>IF(OR($H231="",COUNTIFS($A$14:$A$1213,$H231,$F$14:$F$1213,"&gt;=0")&lt;2,COUNTIFS($A$14:$A$1213,$H231,$F$14:$F$1213,_xlfn.MAXIFS($F$14:$F$1213,$A$14:$A$1213,$H231))&gt;1),"",IFERROR(INDEX($D$14:$D$1213,MATCH($H231&amp;"|"&amp;_xlfn.MAXIFS($F$14:$F$1213,$A$14:$A$1213,$H231,$F$14:$F$1213,"&lt;"&amp;_xlfn.MAXIFS($F$14:$F$1213,$A$14:$A$1213,$H231)),$AB$14:$AB$1213,0)),""))</f>
        <v/>
      </c>
      <c r="AM231" s="27">
        <f>IF(OR($H231="",COUNTIFS($A$14:$A$1213,$H231,$F$14:$F$1213,"&gt;=0")&lt;2,COUNTIFS($A$14:$A$1213,$H231,$F$14:$F$1213,_xlfn.MAXIFS($F$14:$F$1213,$A$14:$A$1213,$H231))&gt;1),"",IFERROR(INDEX($E$14:$E$1213,MATCH($H231&amp;"|"&amp;_xlfn.MAXIFS($F$14:$F$1213,$A$14:$A$1213,$H231,$F$14:$F$1213,"&lt;"&amp;_xlfn.MAXIFS($F$14:$F$1213,$A$14:$A$1213,$H231)),$AB$14:$AB$1213,0)),""))</f>
        <v/>
      </c>
      <c r="AN231" s="27">
        <f>IF(OR(NOT(ISNUMBER($AJ231)),NOT(ISNUMBER($AL231)),$AK231=0,$AM231=0),"",IF(OR((($AJ231+$AL231)/($AK231+$AM231))&lt;=0,(($AJ231+$AL231)/($AK231+$AM231))&gt;=1),"",($AJ231/$AK231-$AL231/$AM231)/SQRT((($AJ231+$AL231)/($AK231+$AM231))*(1-(($AJ231+$AL231)/($AK231+$AM231)))*(1/$AK231+1/$AM231))))</f>
        <v/>
      </c>
      <c r="AO231" s="27">
        <f>IF($A231="","",IF(AND(COUNTIFS($A$14:$A$1213,$A231,$F$14:$F$1213,"&gt;=0")=2,IFERROR(INDEX($M$14:$M$313,MATCH($A231,$H$14:$H$313,0)),"Yes")&lt;&gt;"Yes"),1,0))</f>
        <v/>
      </c>
    </row>
    <row r="232" ht="24" customHeight="1">
      <c r="A232" s="19" t="n"/>
      <c r="B232" s="20" t="n"/>
      <c r="C232" s="21">
        <f>IFERROR(AVERAGE(P232:T232),"")</f>
        <v/>
      </c>
      <c r="D232" s="29" t="n"/>
      <c r="E232" s="29" t="n"/>
      <c r="F232" s="30">
        <f>IF(AND(ISNUMBER($D232),ISNUMBER($E232),$E232&gt;0,$D232&lt;=$E232),$D232/$E232,"")</f>
        <v/>
      </c>
      <c r="H232" s="19">
        <f>IFERROR(INDEX($A$14:$A$1213,MATCH(219,$AI$14:$AI$1213,0)),"")</f>
        <v/>
      </c>
      <c r="I232" s="24">
        <f>IF($H232="","",IF(COUNTIFS($A$14:$A$1213,$H232,$C$14:$C$1213,"&gt;=0")=0,"—",IFERROR(INDEX($B$14:$B$1213,MATCH($H232&amp;"|1",$Z$14:$Z$1213,0)),"(tied)")))</f>
        <v/>
      </c>
      <c r="J232" s="25">
        <f>IF($H232="","",IF(OR(COUNTIFS($A$14:$A$1213,$H232,$C$14:$C$1213,"&gt;=0")=0,COUNTIFS($A$14:$A$1213,$H232,$F$14:$F$1213,"&gt;=0")=0),"—",IF(OR(ISERROR(MATCH($H232&amp;"|1",$Z$14:$Z$1213,0)),ISERROR(MATCH($H232&amp;"|1",$AA$14:$AA$1213,0))),"Tie",IF(MATCH($H232&amp;"|1",$Z$14:$Z$1213,0)=MATCH($H232&amp;"|1",$AA$14:$AA$1213,0),"Hit","Miss"))))</f>
        <v/>
      </c>
      <c r="K232" s="24">
        <f>IF($H232="","",IF(COUNTIFS($A$14:$A$1213,$H232,$F$14:$F$1213,"&gt;=0")=0,"—",IFERROR(INDEX($B$14:$B$1213,MATCH($H232&amp;"|1",$AA$14:$AA$1213,0)),"(tied)")))</f>
        <v/>
      </c>
      <c r="L232" s="25">
        <f>IF($H232="","",IF((--(COUNTIFS($A$14:$A$1213,$H232,$P$14:$P$1213,"&gt;=0")&gt;0)+--(COUNTIFS($A$14:$A$1213,$H232,$Q$14:$Q$1213,"&gt;=0")&gt;0)+--(COUNTIFS($A$14:$A$1213,$H232,$R$14:$R$1213,"&gt;=0")&gt;0)+--(COUNTIFS($A$14:$A$1213,$H232,$S$14:$S$1213,"&gt;=0")&gt;0)+--(COUNTIFS($A$14:$A$1213,$H232,$T$14:$T$1213,"&gt;=0")&gt;0))&lt;2,"—",IF(SUMIFS($AH$14:$AH$1213,$A$14:$A$1213,$H232)=0,"Yes","No")))</f>
        <v/>
      </c>
      <c r="M232" s="25">
        <f>IF($H232="","",IF(COUNTIFS($A$14:$A$1213,$H232,$F$14:$F$1213,"&gt;=0")&lt;2,"—",IF(COUNTIFS($A$14:$A$1213,$H232,$F$14:$F$1213,_xlfn.MAXIFS($F$14:$F$1213,$A$14:$A$1213,$H232))&gt;1,"No",IF(NOT(ISNUMBER($AN232)),"—",IF((2*(1-NORMSDIST(ABS($AN232))))&lt;0.05,"Yes","No")))))</f>
        <v/>
      </c>
      <c r="N232" s="21">
        <f>IF($H232="","",IF(NOT(ISNUMBER($AN232)),"—",IF((2*(1-NORMSDIST(ABS($AN232))))&lt;0.001,"&lt;0.001",TEXT((2*(1-NORMSDIST(ABS($AN232)))),"0.000"))))</f>
        <v/>
      </c>
      <c r="P232" s="26" t="n"/>
      <c r="Q232" s="26" t="n"/>
      <c r="R232" s="26" t="n"/>
      <c r="S232" s="26" t="n"/>
      <c r="T232" s="26" t="n"/>
      <c r="V232" s="27">
        <f>IF(ISNUMBER($C232),COUNTIFS($A$14:$A$1213,$A232,$C$14:$C$1213,"&gt;"&amp;$C232)+(COUNTIFS($A$14:$A$1213,$A232,$C$14:$C$1213,"="&amp;$C232)+1)/2,"")</f>
        <v/>
      </c>
      <c r="W232" s="27">
        <f>IF(ISNUMBER($F232),COUNTIFS($A$14:$A$1213,$A232,$F$14:$F$1213,"&gt;"&amp;$F232)+(COUNTIFS($A$14:$A$1213,$A232,$F$14:$F$1213,"="&amp;$F232)+1)/2,"")</f>
        <v/>
      </c>
      <c r="X232" s="27">
        <f>IF(OR(NOT(ISNUMBER($V232)),$AO232=1),"",$V232-(COUNTIFS($A$14:$A$1213,$A232,$C$14:$C$1213,"&gt;=0")+1)/2)</f>
        <v/>
      </c>
      <c r="Y232" s="27">
        <f>IF(OR(NOT(ISNUMBER($W232)),$AO232=1),"",$W232-(COUNTIFS($A$14:$A$1213,$A232,$F$14:$F$1213,"&gt;=0")+1)/2)</f>
        <v/>
      </c>
      <c r="Z232" s="27">
        <f>IF(ISNUMBER($V232),$A232&amp;"|"&amp;$V232,"")</f>
        <v/>
      </c>
      <c r="AA232" s="27">
        <f>IF(ISNUMBER($W232),$A232&amp;"|"&amp;$W232,"")</f>
        <v/>
      </c>
      <c r="AB232" s="27">
        <f>IF(ISNUMBER($F232),$A232&amp;"|"&amp;$F232,"")</f>
        <v/>
      </c>
      <c r="AC232" s="27">
        <f>IF(ISNUMBER($P232),COUNTIFS($A$14:$A$1213,$A232,$P$14:$P$1213,"&gt;"&amp;$P232)+(COUNTIFS($A$14:$A$1213,$A232,$P$14:$P$1213,"="&amp;$P232)+1)/2,"")</f>
        <v/>
      </c>
      <c r="AD232" s="27">
        <f>IF(ISNUMBER($Q232),COUNTIFS($A$14:$A$1213,$A232,$Q$14:$Q$1213,"&gt;"&amp;$Q232)+(COUNTIFS($A$14:$A$1213,$A232,$Q$14:$Q$1213,"="&amp;$Q232)+1)/2,"")</f>
        <v/>
      </c>
      <c r="AE232" s="27">
        <f>IF(ISNUMBER($R232),COUNTIFS($A$14:$A$1213,$A232,$R$14:$R$1213,"&gt;"&amp;$R232)+(COUNTIFS($A$14:$A$1213,$A232,$R$14:$R$1213,"="&amp;$R232)+1)/2,"")</f>
        <v/>
      </c>
      <c r="AF232" s="27">
        <f>IF(ISNUMBER($S232),COUNTIFS($A$14:$A$1213,$A232,$S$14:$S$1213,"&gt;"&amp;$S232)+(COUNTIFS($A$14:$A$1213,$A232,$S$14:$S$1213,"="&amp;$S232)+1)/2,"")</f>
        <v/>
      </c>
      <c r="AG232" s="27">
        <f>IF(ISNUMBER($T232),COUNTIFS($A$14:$A$1213,$A232,$T$14:$T$1213,"&gt;"&amp;$T232)+(COUNTIFS($A$14:$A$1213,$A232,$T$14:$T$1213,"="&amp;$T232)+1)/2,"")</f>
        <v/>
      </c>
      <c r="AH232" s="27">
        <f>IF(COUNT($AC232:$AG232)&lt;2,"",IF(MAX($AC232:$AG232)=MIN($AC232:$AG232),0,1))</f>
        <v/>
      </c>
      <c r="AI232" s="27">
        <f>IF($A232="","",IF(COUNTIF($A$14:$A232,$A232)=1,COUNTIF($AI$13:AI231,"&gt;0")+1,""))</f>
        <v/>
      </c>
      <c r="AJ232" s="27">
        <f>IF(OR($H232="",COUNTIFS($A$14:$A$1213,$H232,$F$14:$F$1213,"&gt;=0")&lt;2,COUNTIFS($A$14:$A$1213,$H232,$F$14:$F$1213,_xlfn.MAXIFS($F$14:$F$1213,$A$14:$A$1213,$H232))&gt;1),"",IFERROR(INDEX($D$14:$D$1213,MATCH($H232&amp;"|"&amp;_xlfn.MAXIFS($F$14:$F$1213,$A$14:$A$1213,$H232),$AB$14:$AB$1213,0)),""))</f>
        <v/>
      </c>
      <c r="AK232" s="27">
        <f>IF(OR($H232="",COUNTIFS($A$14:$A$1213,$H232,$F$14:$F$1213,"&gt;=0")&lt;2,COUNTIFS($A$14:$A$1213,$H232,$F$14:$F$1213,_xlfn.MAXIFS($F$14:$F$1213,$A$14:$A$1213,$H232))&gt;1),"",IFERROR(INDEX($E$14:$E$1213,MATCH($H232&amp;"|"&amp;_xlfn.MAXIFS($F$14:$F$1213,$A$14:$A$1213,$H232),$AB$14:$AB$1213,0)),""))</f>
        <v/>
      </c>
      <c r="AL232" s="27">
        <f>IF(OR($H232="",COUNTIFS($A$14:$A$1213,$H232,$F$14:$F$1213,"&gt;=0")&lt;2,COUNTIFS($A$14:$A$1213,$H232,$F$14:$F$1213,_xlfn.MAXIFS($F$14:$F$1213,$A$14:$A$1213,$H232))&gt;1),"",IFERROR(INDEX($D$14:$D$1213,MATCH($H232&amp;"|"&amp;_xlfn.MAXIFS($F$14:$F$1213,$A$14:$A$1213,$H232,$F$14:$F$1213,"&lt;"&amp;_xlfn.MAXIFS($F$14:$F$1213,$A$14:$A$1213,$H232)),$AB$14:$AB$1213,0)),""))</f>
        <v/>
      </c>
      <c r="AM232" s="27">
        <f>IF(OR($H232="",COUNTIFS($A$14:$A$1213,$H232,$F$14:$F$1213,"&gt;=0")&lt;2,COUNTIFS($A$14:$A$1213,$H232,$F$14:$F$1213,_xlfn.MAXIFS($F$14:$F$1213,$A$14:$A$1213,$H232))&gt;1),"",IFERROR(INDEX($E$14:$E$1213,MATCH($H232&amp;"|"&amp;_xlfn.MAXIFS($F$14:$F$1213,$A$14:$A$1213,$H232,$F$14:$F$1213,"&lt;"&amp;_xlfn.MAXIFS($F$14:$F$1213,$A$14:$A$1213,$H232)),$AB$14:$AB$1213,0)),""))</f>
        <v/>
      </c>
      <c r="AN232" s="27">
        <f>IF(OR(NOT(ISNUMBER($AJ232)),NOT(ISNUMBER($AL232)),$AK232=0,$AM232=0),"",IF(OR((($AJ232+$AL232)/($AK232+$AM232))&lt;=0,(($AJ232+$AL232)/($AK232+$AM232))&gt;=1),"",($AJ232/$AK232-$AL232/$AM232)/SQRT((($AJ232+$AL232)/($AK232+$AM232))*(1-(($AJ232+$AL232)/($AK232+$AM232)))*(1/$AK232+1/$AM232))))</f>
        <v/>
      </c>
      <c r="AO232" s="27">
        <f>IF($A232="","",IF(AND(COUNTIFS($A$14:$A$1213,$A232,$F$14:$F$1213,"&gt;=0")=2,IFERROR(INDEX($M$14:$M$313,MATCH($A232,$H$14:$H$313,0)),"Yes")&lt;&gt;"Yes"),1,0))</f>
        <v/>
      </c>
    </row>
    <row r="233" ht="24" customHeight="1">
      <c r="A233" s="19" t="n"/>
      <c r="B233" s="20" t="n"/>
      <c r="C233" s="21">
        <f>IFERROR(AVERAGE(P233:T233),"")</f>
        <v/>
      </c>
      <c r="D233" s="29" t="n"/>
      <c r="E233" s="29" t="n"/>
      <c r="F233" s="30">
        <f>IF(AND(ISNUMBER($D233),ISNUMBER($E233),$E233&gt;0,$D233&lt;=$E233),$D233/$E233,"")</f>
        <v/>
      </c>
      <c r="H233" s="19">
        <f>IFERROR(INDEX($A$14:$A$1213,MATCH(220,$AI$14:$AI$1213,0)),"")</f>
        <v/>
      </c>
      <c r="I233" s="24">
        <f>IF($H233="","",IF(COUNTIFS($A$14:$A$1213,$H233,$C$14:$C$1213,"&gt;=0")=0,"—",IFERROR(INDEX($B$14:$B$1213,MATCH($H233&amp;"|1",$Z$14:$Z$1213,0)),"(tied)")))</f>
        <v/>
      </c>
      <c r="J233" s="25">
        <f>IF($H233="","",IF(OR(COUNTIFS($A$14:$A$1213,$H233,$C$14:$C$1213,"&gt;=0")=0,COUNTIFS($A$14:$A$1213,$H233,$F$14:$F$1213,"&gt;=0")=0),"—",IF(OR(ISERROR(MATCH($H233&amp;"|1",$Z$14:$Z$1213,0)),ISERROR(MATCH($H233&amp;"|1",$AA$14:$AA$1213,0))),"Tie",IF(MATCH($H233&amp;"|1",$Z$14:$Z$1213,0)=MATCH($H233&amp;"|1",$AA$14:$AA$1213,0),"Hit","Miss"))))</f>
        <v/>
      </c>
      <c r="K233" s="24">
        <f>IF($H233="","",IF(COUNTIFS($A$14:$A$1213,$H233,$F$14:$F$1213,"&gt;=0")=0,"—",IFERROR(INDEX($B$14:$B$1213,MATCH($H233&amp;"|1",$AA$14:$AA$1213,0)),"(tied)")))</f>
        <v/>
      </c>
      <c r="L233" s="25">
        <f>IF($H233="","",IF((--(COUNTIFS($A$14:$A$1213,$H233,$P$14:$P$1213,"&gt;=0")&gt;0)+--(COUNTIFS($A$14:$A$1213,$H233,$Q$14:$Q$1213,"&gt;=0")&gt;0)+--(COUNTIFS($A$14:$A$1213,$H233,$R$14:$R$1213,"&gt;=0")&gt;0)+--(COUNTIFS($A$14:$A$1213,$H233,$S$14:$S$1213,"&gt;=0")&gt;0)+--(COUNTIFS($A$14:$A$1213,$H233,$T$14:$T$1213,"&gt;=0")&gt;0))&lt;2,"—",IF(SUMIFS($AH$14:$AH$1213,$A$14:$A$1213,$H233)=0,"Yes","No")))</f>
        <v/>
      </c>
      <c r="M233" s="25">
        <f>IF($H233="","",IF(COUNTIFS($A$14:$A$1213,$H233,$F$14:$F$1213,"&gt;=0")&lt;2,"—",IF(COUNTIFS($A$14:$A$1213,$H233,$F$14:$F$1213,_xlfn.MAXIFS($F$14:$F$1213,$A$14:$A$1213,$H233))&gt;1,"No",IF(NOT(ISNUMBER($AN233)),"—",IF((2*(1-NORMSDIST(ABS($AN233))))&lt;0.05,"Yes","No")))))</f>
        <v/>
      </c>
      <c r="N233" s="21">
        <f>IF($H233="","",IF(NOT(ISNUMBER($AN233)),"—",IF((2*(1-NORMSDIST(ABS($AN233))))&lt;0.001,"&lt;0.001",TEXT((2*(1-NORMSDIST(ABS($AN233)))),"0.000"))))</f>
        <v/>
      </c>
      <c r="P233" s="26" t="n"/>
      <c r="Q233" s="26" t="n"/>
      <c r="R233" s="26" t="n"/>
      <c r="S233" s="26" t="n"/>
      <c r="T233" s="26" t="n"/>
      <c r="V233" s="27">
        <f>IF(ISNUMBER($C233),COUNTIFS($A$14:$A$1213,$A233,$C$14:$C$1213,"&gt;"&amp;$C233)+(COUNTIFS($A$14:$A$1213,$A233,$C$14:$C$1213,"="&amp;$C233)+1)/2,"")</f>
        <v/>
      </c>
      <c r="W233" s="27">
        <f>IF(ISNUMBER($F233),COUNTIFS($A$14:$A$1213,$A233,$F$14:$F$1213,"&gt;"&amp;$F233)+(COUNTIFS($A$14:$A$1213,$A233,$F$14:$F$1213,"="&amp;$F233)+1)/2,"")</f>
        <v/>
      </c>
      <c r="X233" s="27">
        <f>IF(OR(NOT(ISNUMBER($V233)),$AO233=1),"",$V233-(COUNTIFS($A$14:$A$1213,$A233,$C$14:$C$1213,"&gt;=0")+1)/2)</f>
        <v/>
      </c>
      <c r="Y233" s="27">
        <f>IF(OR(NOT(ISNUMBER($W233)),$AO233=1),"",$W233-(COUNTIFS($A$14:$A$1213,$A233,$F$14:$F$1213,"&gt;=0")+1)/2)</f>
        <v/>
      </c>
      <c r="Z233" s="27">
        <f>IF(ISNUMBER($V233),$A233&amp;"|"&amp;$V233,"")</f>
        <v/>
      </c>
      <c r="AA233" s="27">
        <f>IF(ISNUMBER($W233),$A233&amp;"|"&amp;$W233,"")</f>
        <v/>
      </c>
      <c r="AB233" s="27">
        <f>IF(ISNUMBER($F233),$A233&amp;"|"&amp;$F233,"")</f>
        <v/>
      </c>
      <c r="AC233" s="27">
        <f>IF(ISNUMBER($P233),COUNTIFS($A$14:$A$1213,$A233,$P$14:$P$1213,"&gt;"&amp;$P233)+(COUNTIFS($A$14:$A$1213,$A233,$P$14:$P$1213,"="&amp;$P233)+1)/2,"")</f>
        <v/>
      </c>
      <c r="AD233" s="27">
        <f>IF(ISNUMBER($Q233),COUNTIFS($A$14:$A$1213,$A233,$Q$14:$Q$1213,"&gt;"&amp;$Q233)+(COUNTIFS($A$14:$A$1213,$A233,$Q$14:$Q$1213,"="&amp;$Q233)+1)/2,"")</f>
        <v/>
      </c>
      <c r="AE233" s="27">
        <f>IF(ISNUMBER($R233),COUNTIFS($A$14:$A$1213,$A233,$R$14:$R$1213,"&gt;"&amp;$R233)+(COUNTIFS($A$14:$A$1213,$A233,$R$14:$R$1213,"="&amp;$R233)+1)/2,"")</f>
        <v/>
      </c>
      <c r="AF233" s="27">
        <f>IF(ISNUMBER($S233),COUNTIFS($A$14:$A$1213,$A233,$S$14:$S$1213,"&gt;"&amp;$S233)+(COUNTIFS($A$14:$A$1213,$A233,$S$14:$S$1213,"="&amp;$S233)+1)/2,"")</f>
        <v/>
      </c>
      <c r="AG233" s="27">
        <f>IF(ISNUMBER($T233),COUNTIFS($A$14:$A$1213,$A233,$T$14:$T$1213,"&gt;"&amp;$T233)+(COUNTIFS($A$14:$A$1213,$A233,$T$14:$T$1213,"="&amp;$T233)+1)/2,"")</f>
        <v/>
      </c>
      <c r="AH233" s="27">
        <f>IF(COUNT($AC233:$AG233)&lt;2,"",IF(MAX($AC233:$AG233)=MIN($AC233:$AG233),0,1))</f>
        <v/>
      </c>
      <c r="AI233" s="27">
        <f>IF($A233="","",IF(COUNTIF($A$14:$A233,$A233)=1,COUNTIF($AI$13:AI232,"&gt;0")+1,""))</f>
        <v/>
      </c>
      <c r="AJ233" s="27">
        <f>IF(OR($H233="",COUNTIFS($A$14:$A$1213,$H233,$F$14:$F$1213,"&gt;=0")&lt;2,COUNTIFS($A$14:$A$1213,$H233,$F$14:$F$1213,_xlfn.MAXIFS($F$14:$F$1213,$A$14:$A$1213,$H233))&gt;1),"",IFERROR(INDEX($D$14:$D$1213,MATCH($H233&amp;"|"&amp;_xlfn.MAXIFS($F$14:$F$1213,$A$14:$A$1213,$H233),$AB$14:$AB$1213,0)),""))</f>
        <v/>
      </c>
      <c r="AK233" s="27">
        <f>IF(OR($H233="",COUNTIFS($A$14:$A$1213,$H233,$F$14:$F$1213,"&gt;=0")&lt;2,COUNTIFS($A$14:$A$1213,$H233,$F$14:$F$1213,_xlfn.MAXIFS($F$14:$F$1213,$A$14:$A$1213,$H233))&gt;1),"",IFERROR(INDEX($E$14:$E$1213,MATCH($H233&amp;"|"&amp;_xlfn.MAXIFS($F$14:$F$1213,$A$14:$A$1213,$H233),$AB$14:$AB$1213,0)),""))</f>
        <v/>
      </c>
      <c r="AL233" s="27">
        <f>IF(OR($H233="",COUNTIFS($A$14:$A$1213,$H233,$F$14:$F$1213,"&gt;=0")&lt;2,COUNTIFS($A$14:$A$1213,$H233,$F$14:$F$1213,_xlfn.MAXIFS($F$14:$F$1213,$A$14:$A$1213,$H233))&gt;1),"",IFERROR(INDEX($D$14:$D$1213,MATCH($H233&amp;"|"&amp;_xlfn.MAXIFS($F$14:$F$1213,$A$14:$A$1213,$H233,$F$14:$F$1213,"&lt;"&amp;_xlfn.MAXIFS($F$14:$F$1213,$A$14:$A$1213,$H233)),$AB$14:$AB$1213,0)),""))</f>
        <v/>
      </c>
      <c r="AM233" s="27">
        <f>IF(OR($H233="",COUNTIFS($A$14:$A$1213,$H233,$F$14:$F$1213,"&gt;=0")&lt;2,COUNTIFS($A$14:$A$1213,$H233,$F$14:$F$1213,_xlfn.MAXIFS($F$14:$F$1213,$A$14:$A$1213,$H233))&gt;1),"",IFERROR(INDEX($E$14:$E$1213,MATCH($H233&amp;"|"&amp;_xlfn.MAXIFS($F$14:$F$1213,$A$14:$A$1213,$H233,$F$14:$F$1213,"&lt;"&amp;_xlfn.MAXIFS($F$14:$F$1213,$A$14:$A$1213,$H233)),$AB$14:$AB$1213,0)),""))</f>
        <v/>
      </c>
      <c r="AN233" s="27">
        <f>IF(OR(NOT(ISNUMBER($AJ233)),NOT(ISNUMBER($AL233)),$AK233=0,$AM233=0),"",IF(OR((($AJ233+$AL233)/($AK233+$AM233))&lt;=0,(($AJ233+$AL233)/($AK233+$AM233))&gt;=1),"",($AJ233/$AK233-$AL233/$AM233)/SQRT((($AJ233+$AL233)/($AK233+$AM233))*(1-(($AJ233+$AL233)/($AK233+$AM233)))*(1/$AK233+1/$AM233))))</f>
        <v/>
      </c>
      <c r="AO233" s="27">
        <f>IF($A233="","",IF(AND(COUNTIFS($A$14:$A$1213,$A233,$F$14:$F$1213,"&gt;=0")=2,IFERROR(INDEX($M$14:$M$313,MATCH($A233,$H$14:$H$313,0)),"Yes")&lt;&gt;"Yes"),1,0))</f>
        <v/>
      </c>
    </row>
    <row r="234" ht="24" customHeight="1">
      <c r="A234" s="19" t="n"/>
      <c r="B234" s="20" t="n"/>
      <c r="C234" s="21">
        <f>IFERROR(AVERAGE(P234:T234),"")</f>
        <v/>
      </c>
      <c r="D234" s="29" t="n"/>
      <c r="E234" s="29" t="n"/>
      <c r="F234" s="30">
        <f>IF(AND(ISNUMBER($D234),ISNUMBER($E234),$E234&gt;0,$D234&lt;=$E234),$D234/$E234,"")</f>
        <v/>
      </c>
      <c r="H234" s="19">
        <f>IFERROR(INDEX($A$14:$A$1213,MATCH(221,$AI$14:$AI$1213,0)),"")</f>
        <v/>
      </c>
      <c r="I234" s="24">
        <f>IF($H234="","",IF(COUNTIFS($A$14:$A$1213,$H234,$C$14:$C$1213,"&gt;=0")=0,"—",IFERROR(INDEX($B$14:$B$1213,MATCH($H234&amp;"|1",$Z$14:$Z$1213,0)),"(tied)")))</f>
        <v/>
      </c>
      <c r="J234" s="25">
        <f>IF($H234="","",IF(OR(COUNTIFS($A$14:$A$1213,$H234,$C$14:$C$1213,"&gt;=0")=0,COUNTIFS($A$14:$A$1213,$H234,$F$14:$F$1213,"&gt;=0")=0),"—",IF(OR(ISERROR(MATCH($H234&amp;"|1",$Z$14:$Z$1213,0)),ISERROR(MATCH($H234&amp;"|1",$AA$14:$AA$1213,0))),"Tie",IF(MATCH($H234&amp;"|1",$Z$14:$Z$1213,0)=MATCH($H234&amp;"|1",$AA$14:$AA$1213,0),"Hit","Miss"))))</f>
        <v/>
      </c>
      <c r="K234" s="24">
        <f>IF($H234="","",IF(COUNTIFS($A$14:$A$1213,$H234,$F$14:$F$1213,"&gt;=0")=0,"—",IFERROR(INDEX($B$14:$B$1213,MATCH($H234&amp;"|1",$AA$14:$AA$1213,0)),"(tied)")))</f>
        <v/>
      </c>
      <c r="L234" s="25">
        <f>IF($H234="","",IF((--(COUNTIFS($A$14:$A$1213,$H234,$P$14:$P$1213,"&gt;=0")&gt;0)+--(COUNTIFS($A$14:$A$1213,$H234,$Q$14:$Q$1213,"&gt;=0")&gt;0)+--(COUNTIFS($A$14:$A$1213,$H234,$R$14:$R$1213,"&gt;=0")&gt;0)+--(COUNTIFS($A$14:$A$1213,$H234,$S$14:$S$1213,"&gt;=0")&gt;0)+--(COUNTIFS($A$14:$A$1213,$H234,$T$14:$T$1213,"&gt;=0")&gt;0))&lt;2,"—",IF(SUMIFS($AH$14:$AH$1213,$A$14:$A$1213,$H234)=0,"Yes","No")))</f>
        <v/>
      </c>
      <c r="M234" s="25">
        <f>IF($H234="","",IF(COUNTIFS($A$14:$A$1213,$H234,$F$14:$F$1213,"&gt;=0")&lt;2,"—",IF(COUNTIFS($A$14:$A$1213,$H234,$F$14:$F$1213,_xlfn.MAXIFS($F$14:$F$1213,$A$14:$A$1213,$H234))&gt;1,"No",IF(NOT(ISNUMBER($AN234)),"—",IF((2*(1-NORMSDIST(ABS($AN234))))&lt;0.05,"Yes","No")))))</f>
        <v/>
      </c>
      <c r="N234" s="21">
        <f>IF($H234="","",IF(NOT(ISNUMBER($AN234)),"—",IF((2*(1-NORMSDIST(ABS($AN234))))&lt;0.001,"&lt;0.001",TEXT((2*(1-NORMSDIST(ABS($AN234)))),"0.000"))))</f>
        <v/>
      </c>
      <c r="P234" s="26" t="n"/>
      <c r="Q234" s="26" t="n"/>
      <c r="R234" s="26" t="n"/>
      <c r="S234" s="26" t="n"/>
      <c r="T234" s="26" t="n"/>
      <c r="V234" s="27">
        <f>IF(ISNUMBER($C234),COUNTIFS($A$14:$A$1213,$A234,$C$14:$C$1213,"&gt;"&amp;$C234)+(COUNTIFS($A$14:$A$1213,$A234,$C$14:$C$1213,"="&amp;$C234)+1)/2,"")</f>
        <v/>
      </c>
      <c r="W234" s="27">
        <f>IF(ISNUMBER($F234),COUNTIFS($A$14:$A$1213,$A234,$F$14:$F$1213,"&gt;"&amp;$F234)+(COUNTIFS($A$14:$A$1213,$A234,$F$14:$F$1213,"="&amp;$F234)+1)/2,"")</f>
        <v/>
      </c>
      <c r="X234" s="27">
        <f>IF(OR(NOT(ISNUMBER($V234)),$AO234=1),"",$V234-(COUNTIFS($A$14:$A$1213,$A234,$C$14:$C$1213,"&gt;=0")+1)/2)</f>
        <v/>
      </c>
      <c r="Y234" s="27">
        <f>IF(OR(NOT(ISNUMBER($W234)),$AO234=1),"",$W234-(COUNTIFS($A$14:$A$1213,$A234,$F$14:$F$1213,"&gt;=0")+1)/2)</f>
        <v/>
      </c>
      <c r="Z234" s="27">
        <f>IF(ISNUMBER($V234),$A234&amp;"|"&amp;$V234,"")</f>
        <v/>
      </c>
      <c r="AA234" s="27">
        <f>IF(ISNUMBER($W234),$A234&amp;"|"&amp;$W234,"")</f>
        <v/>
      </c>
      <c r="AB234" s="27">
        <f>IF(ISNUMBER($F234),$A234&amp;"|"&amp;$F234,"")</f>
        <v/>
      </c>
      <c r="AC234" s="27">
        <f>IF(ISNUMBER($P234),COUNTIFS($A$14:$A$1213,$A234,$P$14:$P$1213,"&gt;"&amp;$P234)+(COUNTIFS($A$14:$A$1213,$A234,$P$14:$P$1213,"="&amp;$P234)+1)/2,"")</f>
        <v/>
      </c>
      <c r="AD234" s="27">
        <f>IF(ISNUMBER($Q234),COUNTIFS($A$14:$A$1213,$A234,$Q$14:$Q$1213,"&gt;"&amp;$Q234)+(COUNTIFS($A$14:$A$1213,$A234,$Q$14:$Q$1213,"="&amp;$Q234)+1)/2,"")</f>
        <v/>
      </c>
      <c r="AE234" s="27">
        <f>IF(ISNUMBER($R234),COUNTIFS($A$14:$A$1213,$A234,$R$14:$R$1213,"&gt;"&amp;$R234)+(COUNTIFS($A$14:$A$1213,$A234,$R$14:$R$1213,"="&amp;$R234)+1)/2,"")</f>
        <v/>
      </c>
      <c r="AF234" s="27">
        <f>IF(ISNUMBER($S234),COUNTIFS($A$14:$A$1213,$A234,$S$14:$S$1213,"&gt;"&amp;$S234)+(COUNTIFS($A$14:$A$1213,$A234,$S$14:$S$1213,"="&amp;$S234)+1)/2,"")</f>
        <v/>
      </c>
      <c r="AG234" s="27">
        <f>IF(ISNUMBER($T234),COUNTIFS($A$14:$A$1213,$A234,$T$14:$T$1213,"&gt;"&amp;$T234)+(COUNTIFS($A$14:$A$1213,$A234,$T$14:$T$1213,"="&amp;$T234)+1)/2,"")</f>
        <v/>
      </c>
      <c r="AH234" s="27">
        <f>IF(COUNT($AC234:$AG234)&lt;2,"",IF(MAX($AC234:$AG234)=MIN($AC234:$AG234),0,1))</f>
        <v/>
      </c>
      <c r="AI234" s="27">
        <f>IF($A234="","",IF(COUNTIF($A$14:$A234,$A234)=1,COUNTIF($AI$13:AI233,"&gt;0")+1,""))</f>
        <v/>
      </c>
      <c r="AJ234" s="27">
        <f>IF(OR($H234="",COUNTIFS($A$14:$A$1213,$H234,$F$14:$F$1213,"&gt;=0")&lt;2,COUNTIFS($A$14:$A$1213,$H234,$F$14:$F$1213,_xlfn.MAXIFS($F$14:$F$1213,$A$14:$A$1213,$H234))&gt;1),"",IFERROR(INDEX($D$14:$D$1213,MATCH($H234&amp;"|"&amp;_xlfn.MAXIFS($F$14:$F$1213,$A$14:$A$1213,$H234),$AB$14:$AB$1213,0)),""))</f>
        <v/>
      </c>
      <c r="AK234" s="27">
        <f>IF(OR($H234="",COUNTIFS($A$14:$A$1213,$H234,$F$14:$F$1213,"&gt;=0")&lt;2,COUNTIFS($A$14:$A$1213,$H234,$F$14:$F$1213,_xlfn.MAXIFS($F$14:$F$1213,$A$14:$A$1213,$H234))&gt;1),"",IFERROR(INDEX($E$14:$E$1213,MATCH($H234&amp;"|"&amp;_xlfn.MAXIFS($F$14:$F$1213,$A$14:$A$1213,$H234),$AB$14:$AB$1213,0)),""))</f>
        <v/>
      </c>
      <c r="AL234" s="27">
        <f>IF(OR($H234="",COUNTIFS($A$14:$A$1213,$H234,$F$14:$F$1213,"&gt;=0")&lt;2,COUNTIFS($A$14:$A$1213,$H234,$F$14:$F$1213,_xlfn.MAXIFS($F$14:$F$1213,$A$14:$A$1213,$H234))&gt;1),"",IFERROR(INDEX($D$14:$D$1213,MATCH($H234&amp;"|"&amp;_xlfn.MAXIFS($F$14:$F$1213,$A$14:$A$1213,$H234,$F$14:$F$1213,"&lt;"&amp;_xlfn.MAXIFS($F$14:$F$1213,$A$14:$A$1213,$H234)),$AB$14:$AB$1213,0)),""))</f>
        <v/>
      </c>
      <c r="AM234" s="27">
        <f>IF(OR($H234="",COUNTIFS($A$14:$A$1213,$H234,$F$14:$F$1213,"&gt;=0")&lt;2,COUNTIFS($A$14:$A$1213,$H234,$F$14:$F$1213,_xlfn.MAXIFS($F$14:$F$1213,$A$14:$A$1213,$H234))&gt;1),"",IFERROR(INDEX($E$14:$E$1213,MATCH($H234&amp;"|"&amp;_xlfn.MAXIFS($F$14:$F$1213,$A$14:$A$1213,$H234,$F$14:$F$1213,"&lt;"&amp;_xlfn.MAXIFS($F$14:$F$1213,$A$14:$A$1213,$H234)),$AB$14:$AB$1213,0)),""))</f>
        <v/>
      </c>
      <c r="AN234" s="27">
        <f>IF(OR(NOT(ISNUMBER($AJ234)),NOT(ISNUMBER($AL234)),$AK234=0,$AM234=0),"",IF(OR((($AJ234+$AL234)/($AK234+$AM234))&lt;=0,(($AJ234+$AL234)/($AK234+$AM234))&gt;=1),"",($AJ234/$AK234-$AL234/$AM234)/SQRT((($AJ234+$AL234)/($AK234+$AM234))*(1-(($AJ234+$AL234)/($AK234+$AM234)))*(1/$AK234+1/$AM234))))</f>
        <v/>
      </c>
      <c r="AO234" s="27">
        <f>IF($A234="","",IF(AND(COUNTIFS($A$14:$A$1213,$A234,$F$14:$F$1213,"&gt;=0")=2,IFERROR(INDEX($M$14:$M$313,MATCH($A234,$H$14:$H$313,0)),"Yes")&lt;&gt;"Yes"),1,0))</f>
        <v/>
      </c>
    </row>
    <row r="235" ht="24" customHeight="1">
      <c r="A235" s="19" t="n"/>
      <c r="B235" s="20" t="n"/>
      <c r="C235" s="21">
        <f>IFERROR(AVERAGE(P235:T235),"")</f>
        <v/>
      </c>
      <c r="D235" s="29" t="n"/>
      <c r="E235" s="29" t="n"/>
      <c r="F235" s="30">
        <f>IF(AND(ISNUMBER($D235),ISNUMBER($E235),$E235&gt;0,$D235&lt;=$E235),$D235/$E235,"")</f>
        <v/>
      </c>
      <c r="H235" s="19">
        <f>IFERROR(INDEX($A$14:$A$1213,MATCH(222,$AI$14:$AI$1213,0)),"")</f>
        <v/>
      </c>
      <c r="I235" s="24">
        <f>IF($H235="","",IF(COUNTIFS($A$14:$A$1213,$H235,$C$14:$C$1213,"&gt;=0")=0,"—",IFERROR(INDEX($B$14:$B$1213,MATCH($H235&amp;"|1",$Z$14:$Z$1213,0)),"(tied)")))</f>
        <v/>
      </c>
      <c r="J235" s="25">
        <f>IF($H235="","",IF(OR(COUNTIFS($A$14:$A$1213,$H235,$C$14:$C$1213,"&gt;=0")=0,COUNTIFS($A$14:$A$1213,$H235,$F$14:$F$1213,"&gt;=0")=0),"—",IF(OR(ISERROR(MATCH($H235&amp;"|1",$Z$14:$Z$1213,0)),ISERROR(MATCH($H235&amp;"|1",$AA$14:$AA$1213,0))),"Tie",IF(MATCH($H235&amp;"|1",$Z$14:$Z$1213,0)=MATCH($H235&amp;"|1",$AA$14:$AA$1213,0),"Hit","Miss"))))</f>
        <v/>
      </c>
      <c r="K235" s="24">
        <f>IF($H235="","",IF(COUNTIFS($A$14:$A$1213,$H235,$F$14:$F$1213,"&gt;=0")=0,"—",IFERROR(INDEX($B$14:$B$1213,MATCH($H235&amp;"|1",$AA$14:$AA$1213,0)),"(tied)")))</f>
        <v/>
      </c>
      <c r="L235" s="25">
        <f>IF($H235="","",IF((--(COUNTIFS($A$14:$A$1213,$H235,$P$14:$P$1213,"&gt;=0")&gt;0)+--(COUNTIFS($A$14:$A$1213,$H235,$Q$14:$Q$1213,"&gt;=0")&gt;0)+--(COUNTIFS($A$14:$A$1213,$H235,$R$14:$R$1213,"&gt;=0")&gt;0)+--(COUNTIFS($A$14:$A$1213,$H235,$S$14:$S$1213,"&gt;=0")&gt;0)+--(COUNTIFS($A$14:$A$1213,$H235,$T$14:$T$1213,"&gt;=0")&gt;0))&lt;2,"—",IF(SUMIFS($AH$14:$AH$1213,$A$14:$A$1213,$H235)=0,"Yes","No")))</f>
        <v/>
      </c>
      <c r="M235" s="25">
        <f>IF($H235="","",IF(COUNTIFS($A$14:$A$1213,$H235,$F$14:$F$1213,"&gt;=0")&lt;2,"—",IF(COUNTIFS($A$14:$A$1213,$H235,$F$14:$F$1213,_xlfn.MAXIFS($F$14:$F$1213,$A$14:$A$1213,$H235))&gt;1,"No",IF(NOT(ISNUMBER($AN235)),"—",IF((2*(1-NORMSDIST(ABS($AN235))))&lt;0.05,"Yes","No")))))</f>
        <v/>
      </c>
      <c r="N235" s="21">
        <f>IF($H235="","",IF(NOT(ISNUMBER($AN235)),"—",IF((2*(1-NORMSDIST(ABS($AN235))))&lt;0.001,"&lt;0.001",TEXT((2*(1-NORMSDIST(ABS($AN235)))),"0.000"))))</f>
        <v/>
      </c>
      <c r="P235" s="26" t="n"/>
      <c r="Q235" s="26" t="n"/>
      <c r="R235" s="26" t="n"/>
      <c r="S235" s="26" t="n"/>
      <c r="T235" s="26" t="n"/>
      <c r="V235" s="27">
        <f>IF(ISNUMBER($C235),COUNTIFS($A$14:$A$1213,$A235,$C$14:$C$1213,"&gt;"&amp;$C235)+(COUNTIFS($A$14:$A$1213,$A235,$C$14:$C$1213,"="&amp;$C235)+1)/2,"")</f>
        <v/>
      </c>
      <c r="W235" s="27">
        <f>IF(ISNUMBER($F235),COUNTIFS($A$14:$A$1213,$A235,$F$14:$F$1213,"&gt;"&amp;$F235)+(COUNTIFS($A$14:$A$1213,$A235,$F$14:$F$1213,"="&amp;$F235)+1)/2,"")</f>
        <v/>
      </c>
      <c r="X235" s="27">
        <f>IF(OR(NOT(ISNUMBER($V235)),$AO235=1),"",$V235-(COUNTIFS($A$14:$A$1213,$A235,$C$14:$C$1213,"&gt;=0")+1)/2)</f>
        <v/>
      </c>
      <c r="Y235" s="27">
        <f>IF(OR(NOT(ISNUMBER($W235)),$AO235=1),"",$W235-(COUNTIFS($A$14:$A$1213,$A235,$F$14:$F$1213,"&gt;=0")+1)/2)</f>
        <v/>
      </c>
      <c r="Z235" s="27">
        <f>IF(ISNUMBER($V235),$A235&amp;"|"&amp;$V235,"")</f>
        <v/>
      </c>
      <c r="AA235" s="27">
        <f>IF(ISNUMBER($W235),$A235&amp;"|"&amp;$W235,"")</f>
        <v/>
      </c>
      <c r="AB235" s="27">
        <f>IF(ISNUMBER($F235),$A235&amp;"|"&amp;$F235,"")</f>
        <v/>
      </c>
      <c r="AC235" s="27">
        <f>IF(ISNUMBER($P235),COUNTIFS($A$14:$A$1213,$A235,$P$14:$P$1213,"&gt;"&amp;$P235)+(COUNTIFS($A$14:$A$1213,$A235,$P$14:$P$1213,"="&amp;$P235)+1)/2,"")</f>
        <v/>
      </c>
      <c r="AD235" s="27">
        <f>IF(ISNUMBER($Q235),COUNTIFS($A$14:$A$1213,$A235,$Q$14:$Q$1213,"&gt;"&amp;$Q235)+(COUNTIFS($A$14:$A$1213,$A235,$Q$14:$Q$1213,"="&amp;$Q235)+1)/2,"")</f>
        <v/>
      </c>
      <c r="AE235" s="27">
        <f>IF(ISNUMBER($R235),COUNTIFS($A$14:$A$1213,$A235,$R$14:$R$1213,"&gt;"&amp;$R235)+(COUNTIFS($A$14:$A$1213,$A235,$R$14:$R$1213,"="&amp;$R235)+1)/2,"")</f>
        <v/>
      </c>
      <c r="AF235" s="27">
        <f>IF(ISNUMBER($S235),COUNTIFS($A$14:$A$1213,$A235,$S$14:$S$1213,"&gt;"&amp;$S235)+(COUNTIFS($A$14:$A$1213,$A235,$S$14:$S$1213,"="&amp;$S235)+1)/2,"")</f>
        <v/>
      </c>
      <c r="AG235" s="27">
        <f>IF(ISNUMBER($T235),COUNTIFS($A$14:$A$1213,$A235,$T$14:$T$1213,"&gt;"&amp;$T235)+(COUNTIFS($A$14:$A$1213,$A235,$T$14:$T$1213,"="&amp;$T235)+1)/2,"")</f>
        <v/>
      </c>
      <c r="AH235" s="27">
        <f>IF(COUNT($AC235:$AG235)&lt;2,"",IF(MAX($AC235:$AG235)=MIN($AC235:$AG235),0,1))</f>
        <v/>
      </c>
      <c r="AI235" s="27">
        <f>IF($A235="","",IF(COUNTIF($A$14:$A235,$A235)=1,COUNTIF($AI$13:AI234,"&gt;0")+1,""))</f>
        <v/>
      </c>
      <c r="AJ235" s="27">
        <f>IF(OR($H235="",COUNTIFS($A$14:$A$1213,$H235,$F$14:$F$1213,"&gt;=0")&lt;2,COUNTIFS($A$14:$A$1213,$H235,$F$14:$F$1213,_xlfn.MAXIFS($F$14:$F$1213,$A$14:$A$1213,$H235))&gt;1),"",IFERROR(INDEX($D$14:$D$1213,MATCH($H235&amp;"|"&amp;_xlfn.MAXIFS($F$14:$F$1213,$A$14:$A$1213,$H235),$AB$14:$AB$1213,0)),""))</f>
        <v/>
      </c>
      <c r="AK235" s="27">
        <f>IF(OR($H235="",COUNTIFS($A$14:$A$1213,$H235,$F$14:$F$1213,"&gt;=0")&lt;2,COUNTIFS($A$14:$A$1213,$H235,$F$14:$F$1213,_xlfn.MAXIFS($F$14:$F$1213,$A$14:$A$1213,$H235))&gt;1),"",IFERROR(INDEX($E$14:$E$1213,MATCH($H235&amp;"|"&amp;_xlfn.MAXIFS($F$14:$F$1213,$A$14:$A$1213,$H235),$AB$14:$AB$1213,0)),""))</f>
        <v/>
      </c>
      <c r="AL235" s="27">
        <f>IF(OR($H235="",COUNTIFS($A$14:$A$1213,$H235,$F$14:$F$1213,"&gt;=0")&lt;2,COUNTIFS($A$14:$A$1213,$H235,$F$14:$F$1213,_xlfn.MAXIFS($F$14:$F$1213,$A$14:$A$1213,$H235))&gt;1),"",IFERROR(INDEX($D$14:$D$1213,MATCH($H235&amp;"|"&amp;_xlfn.MAXIFS($F$14:$F$1213,$A$14:$A$1213,$H235,$F$14:$F$1213,"&lt;"&amp;_xlfn.MAXIFS($F$14:$F$1213,$A$14:$A$1213,$H235)),$AB$14:$AB$1213,0)),""))</f>
        <v/>
      </c>
      <c r="AM235" s="27">
        <f>IF(OR($H235="",COUNTIFS($A$14:$A$1213,$H235,$F$14:$F$1213,"&gt;=0")&lt;2,COUNTIFS($A$14:$A$1213,$H235,$F$14:$F$1213,_xlfn.MAXIFS($F$14:$F$1213,$A$14:$A$1213,$H235))&gt;1),"",IFERROR(INDEX($E$14:$E$1213,MATCH($H235&amp;"|"&amp;_xlfn.MAXIFS($F$14:$F$1213,$A$14:$A$1213,$H235,$F$14:$F$1213,"&lt;"&amp;_xlfn.MAXIFS($F$14:$F$1213,$A$14:$A$1213,$H235)),$AB$14:$AB$1213,0)),""))</f>
        <v/>
      </c>
      <c r="AN235" s="27">
        <f>IF(OR(NOT(ISNUMBER($AJ235)),NOT(ISNUMBER($AL235)),$AK235=0,$AM235=0),"",IF(OR((($AJ235+$AL235)/($AK235+$AM235))&lt;=0,(($AJ235+$AL235)/($AK235+$AM235))&gt;=1),"",($AJ235/$AK235-$AL235/$AM235)/SQRT((($AJ235+$AL235)/($AK235+$AM235))*(1-(($AJ235+$AL235)/($AK235+$AM235)))*(1/$AK235+1/$AM235))))</f>
        <v/>
      </c>
      <c r="AO235" s="27">
        <f>IF($A235="","",IF(AND(COUNTIFS($A$14:$A$1213,$A235,$F$14:$F$1213,"&gt;=0")=2,IFERROR(INDEX($M$14:$M$313,MATCH($A235,$H$14:$H$313,0)),"Yes")&lt;&gt;"Yes"),1,0))</f>
        <v/>
      </c>
    </row>
    <row r="236" ht="24" customHeight="1">
      <c r="A236" s="19" t="n"/>
      <c r="B236" s="20" t="n"/>
      <c r="C236" s="21">
        <f>IFERROR(AVERAGE(P236:T236),"")</f>
        <v/>
      </c>
      <c r="D236" s="29" t="n"/>
      <c r="E236" s="29" t="n"/>
      <c r="F236" s="30">
        <f>IF(AND(ISNUMBER($D236),ISNUMBER($E236),$E236&gt;0,$D236&lt;=$E236),$D236/$E236,"")</f>
        <v/>
      </c>
      <c r="H236" s="19">
        <f>IFERROR(INDEX($A$14:$A$1213,MATCH(223,$AI$14:$AI$1213,0)),"")</f>
        <v/>
      </c>
      <c r="I236" s="24">
        <f>IF($H236="","",IF(COUNTIFS($A$14:$A$1213,$H236,$C$14:$C$1213,"&gt;=0")=0,"—",IFERROR(INDEX($B$14:$B$1213,MATCH($H236&amp;"|1",$Z$14:$Z$1213,0)),"(tied)")))</f>
        <v/>
      </c>
      <c r="J236" s="25">
        <f>IF($H236="","",IF(OR(COUNTIFS($A$14:$A$1213,$H236,$C$14:$C$1213,"&gt;=0")=0,COUNTIFS($A$14:$A$1213,$H236,$F$14:$F$1213,"&gt;=0")=0),"—",IF(OR(ISERROR(MATCH($H236&amp;"|1",$Z$14:$Z$1213,0)),ISERROR(MATCH($H236&amp;"|1",$AA$14:$AA$1213,0))),"Tie",IF(MATCH($H236&amp;"|1",$Z$14:$Z$1213,0)=MATCH($H236&amp;"|1",$AA$14:$AA$1213,0),"Hit","Miss"))))</f>
        <v/>
      </c>
      <c r="K236" s="24">
        <f>IF($H236="","",IF(COUNTIFS($A$14:$A$1213,$H236,$F$14:$F$1213,"&gt;=0")=0,"—",IFERROR(INDEX($B$14:$B$1213,MATCH($H236&amp;"|1",$AA$14:$AA$1213,0)),"(tied)")))</f>
        <v/>
      </c>
      <c r="L236" s="25">
        <f>IF($H236="","",IF((--(COUNTIFS($A$14:$A$1213,$H236,$P$14:$P$1213,"&gt;=0")&gt;0)+--(COUNTIFS($A$14:$A$1213,$H236,$Q$14:$Q$1213,"&gt;=0")&gt;0)+--(COUNTIFS($A$14:$A$1213,$H236,$R$14:$R$1213,"&gt;=0")&gt;0)+--(COUNTIFS($A$14:$A$1213,$H236,$S$14:$S$1213,"&gt;=0")&gt;0)+--(COUNTIFS($A$14:$A$1213,$H236,$T$14:$T$1213,"&gt;=0")&gt;0))&lt;2,"—",IF(SUMIFS($AH$14:$AH$1213,$A$14:$A$1213,$H236)=0,"Yes","No")))</f>
        <v/>
      </c>
      <c r="M236" s="25">
        <f>IF($H236="","",IF(COUNTIFS($A$14:$A$1213,$H236,$F$14:$F$1213,"&gt;=0")&lt;2,"—",IF(COUNTIFS($A$14:$A$1213,$H236,$F$14:$F$1213,_xlfn.MAXIFS($F$14:$F$1213,$A$14:$A$1213,$H236))&gt;1,"No",IF(NOT(ISNUMBER($AN236)),"—",IF((2*(1-NORMSDIST(ABS($AN236))))&lt;0.05,"Yes","No")))))</f>
        <v/>
      </c>
      <c r="N236" s="21">
        <f>IF($H236="","",IF(NOT(ISNUMBER($AN236)),"—",IF((2*(1-NORMSDIST(ABS($AN236))))&lt;0.001,"&lt;0.001",TEXT((2*(1-NORMSDIST(ABS($AN236)))),"0.000"))))</f>
        <v/>
      </c>
      <c r="P236" s="26" t="n"/>
      <c r="Q236" s="26" t="n"/>
      <c r="R236" s="26" t="n"/>
      <c r="S236" s="26" t="n"/>
      <c r="T236" s="26" t="n"/>
      <c r="V236" s="27">
        <f>IF(ISNUMBER($C236),COUNTIFS($A$14:$A$1213,$A236,$C$14:$C$1213,"&gt;"&amp;$C236)+(COUNTIFS($A$14:$A$1213,$A236,$C$14:$C$1213,"="&amp;$C236)+1)/2,"")</f>
        <v/>
      </c>
      <c r="W236" s="27">
        <f>IF(ISNUMBER($F236),COUNTIFS($A$14:$A$1213,$A236,$F$14:$F$1213,"&gt;"&amp;$F236)+(COUNTIFS($A$14:$A$1213,$A236,$F$14:$F$1213,"="&amp;$F236)+1)/2,"")</f>
        <v/>
      </c>
      <c r="X236" s="27">
        <f>IF(OR(NOT(ISNUMBER($V236)),$AO236=1),"",$V236-(COUNTIFS($A$14:$A$1213,$A236,$C$14:$C$1213,"&gt;=0")+1)/2)</f>
        <v/>
      </c>
      <c r="Y236" s="27">
        <f>IF(OR(NOT(ISNUMBER($W236)),$AO236=1),"",$W236-(COUNTIFS($A$14:$A$1213,$A236,$F$14:$F$1213,"&gt;=0")+1)/2)</f>
        <v/>
      </c>
      <c r="Z236" s="27">
        <f>IF(ISNUMBER($V236),$A236&amp;"|"&amp;$V236,"")</f>
        <v/>
      </c>
      <c r="AA236" s="27">
        <f>IF(ISNUMBER($W236),$A236&amp;"|"&amp;$W236,"")</f>
        <v/>
      </c>
      <c r="AB236" s="27">
        <f>IF(ISNUMBER($F236),$A236&amp;"|"&amp;$F236,"")</f>
        <v/>
      </c>
      <c r="AC236" s="27">
        <f>IF(ISNUMBER($P236),COUNTIFS($A$14:$A$1213,$A236,$P$14:$P$1213,"&gt;"&amp;$P236)+(COUNTIFS($A$14:$A$1213,$A236,$P$14:$P$1213,"="&amp;$P236)+1)/2,"")</f>
        <v/>
      </c>
      <c r="AD236" s="27">
        <f>IF(ISNUMBER($Q236),COUNTIFS($A$14:$A$1213,$A236,$Q$14:$Q$1213,"&gt;"&amp;$Q236)+(COUNTIFS($A$14:$A$1213,$A236,$Q$14:$Q$1213,"="&amp;$Q236)+1)/2,"")</f>
        <v/>
      </c>
      <c r="AE236" s="27">
        <f>IF(ISNUMBER($R236),COUNTIFS($A$14:$A$1213,$A236,$R$14:$R$1213,"&gt;"&amp;$R236)+(COUNTIFS($A$14:$A$1213,$A236,$R$14:$R$1213,"="&amp;$R236)+1)/2,"")</f>
        <v/>
      </c>
      <c r="AF236" s="27">
        <f>IF(ISNUMBER($S236),COUNTIFS($A$14:$A$1213,$A236,$S$14:$S$1213,"&gt;"&amp;$S236)+(COUNTIFS($A$14:$A$1213,$A236,$S$14:$S$1213,"="&amp;$S236)+1)/2,"")</f>
        <v/>
      </c>
      <c r="AG236" s="27">
        <f>IF(ISNUMBER($T236),COUNTIFS($A$14:$A$1213,$A236,$T$14:$T$1213,"&gt;"&amp;$T236)+(COUNTIFS($A$14:$A$1213,$A236,$T$14:$T$1213,"="&amp;$T236)+1)/2,"")</f>
        <v/>
      </c>
      <c r="AH236" s="27">
        <f>IF(COUNT($AC236:$AG236)&lt;2,"",IF(MAX($AC236:$AG236)=MIN($AC236:$AG236),0,1))</f>
        <v/>
      </c>
      <c r="AI236" s="27">
        <f>IF($A236="","",IF(COUNTIF($A$14:$A236,$A236)=1,COUNTIF($AI$13:AI235,"&gt;0")+1,""))</f>
        <v/>
      </c>
      <c r="AJ236" s="27">
        <f>IF(OR($H236="",COUNTIFS($A$14:$A$1213,$H236,$F$14:$F$1213,"&gt;=0")&lt;2,COUNTIFS($A$14:$A$1213,$H236,$F$14:$F$1213,_xlfn.MAXIFS($F$14:$F$1213,$A$14:$A$1213,$H236))&gt;1),"",IFERROR(INDEX($D$14:$D$1213,MATCH($H236&amp;"|"&amp;_xlfn.MAXIFS($F$14:$F$1213,$A$14:$A$1213,$H236),$AB$14:$AB$1213,0)),""))</f>
        <v/>
      </c>
      <c r="AK236" s="27">
        <f>IF(OR($H236="",COUNTIFS($A$14:$A$1213,$H236,$F$14:$F$1213,"&gt;=0")&lt;2,COUNTIFS($A$14:$A$1213,$H236,$F$14:$F$1213,_xlfn.MAXIFS($F$14:$F$1213,$A$14:$A$1213,$H236))&gt;1),"",IFERROR(INDEX($E$14:$E$1213,MATCH($H236&amp;"|"&amp;_xlfn.MAXIFS($F$14:$F$1213,$A$14:$A$1213,$H236),$AB$14:$AB$1213,0)),""))</f>
        <v/>
      </c>
      <c r="AL236" s="27">
        <f>IF(OR($H236="",COUNTIFS($A$14:$A$1213,$H236,$F$14:$F$1213,"&gt;=0")&lt;2,COUNTIFS($A$14:$A$1213,$H236,$F$14:$F$1213,_xlfn.MAXIFS($F$14:$F$1213,$A$14:$A$1213,$H236))&gt;1),"",IFERROR(INDEX($D$14:$D$1213,MATCH($H236&amp;"|"&amp;_xlfn.MAXIFS($F$14:$F$1213,$A$14:$A$1213,$H236,$F$14:$F$1213,"&lt;"&amp;_xlfn.MAXIFS($F$14:$F$1213,$A$14:$A$1213,$H236)),$AB$14:$AB$1213,0)),""))</f>
        <v/>
      </c>
      <c r="AM236" s="27">
        <f>IF(OR($H236="",COUNTIFS($A$14:$A$1213,$H236,$F$14:$F$1213,"&gt;=0")&lt;2,COUNTIFS($A$14:$A$1213,$H236,$F$14:$F$1213,_xlfn.MAXIFS($F$14:$F$1213,$A$14:$A$1213,$H236))&gt;1),"",IFERROR(INDEX($E$14:$E$1213,MATCH($H236&amp;"|"&amp;_xlfn.MAXIFS($F$14:$F$1213,$A$14:$A$1213,$H236,$F$14:$F$1213,"&lt;"&amp;_xlfn.MAXIFS($F$14:$F$1213,$A$14:$A$1213,$H236)),$AB$14:$AB$1213,0)),""))</f>
        <v/>
      </c>
      <c r="AN236" s="27">
        <f>IF(OR(NOT(ISNUMBER($AJ236)),NOT(ISNUMBER($AL236)),$AK236=0,$AM236=0),"",IF(OR((($AJ236+$AL236)/($AK236+$AM236))&lt;=0,(($AJ236+$AL236)/($AK236+$AM236))&gt;=1),"",($AJ236/$AK236-$AL236/$AM236)/SQRT((($AJ236+$AL236)/($AK236+$AM236))*(1-(($AJ236+$AL236)/($AK236+$AM236)))*(1/$AK236+1/$AM236))))</f>
        <v/>
      </c>
      <c r="AO236" s="27">
        <f>IF($A236="","",IF(AND(COUNTIFS($A$14:$A$1213,$A236,$F$14:$F$1213,"&gt;=0")=2,IFERROR(INDEX($M$14:$M$313,MATCH($A236,$H$14:$H$313,0)),"Yes")&lt;&gt;"Yes"),1,0))</f>
        <v/>
      </c>
    </row>
    <row r="237" ht="24" customHeight="1">
      <c r="A237" s="19" t="n"/>
      <c r="B237" s="20" t="n"/>
      <c r="C237" s="21">
        <f>IFERROR(AVERAGE(P237:T237),"")</f>
        <v/>
      </c>
      <c r="D237" s="29" t="n"/>
      <c r="E237" s="29" t="n"/>
      <c r="F237" s="30">
        <f>IF(AND(ISNUMBER($D237),ISNUMBER($E237),$E237&gt;0,$D237&lt;=$E237),$D237/$E237,"")</f>
        <v/>
      </c>
      <c r="H237" s="19">
        <f>IFERROR(INDEX($A$14:$A$1213,MATCH(224,$AI$14:$AI$1213,0)),"")</f>
        <v/>
      </c>
      <c r="I237" s="24">
        <f>IF($H237="","",IF(COUNTIFS($A$14:$A$1213,$H237,$C$14:$C$1213,"&gt;=0")=0,"—",IFERROR(INDEX($B$14:$B$1213,MATCH($H237&amp;"|1",$Z$14:$Z$1213,0)),"(tied)")))</f>
        <v/>
      </c>
      <c r="J237" s="25">
        <f>IF($H237="","",IF(OR(COUNTIFS($A$14:$A$1213,$H237,$C$14:$C$1213,"&gt;=0")=0,COUNTIFS($A$14:$A$1213,$H237,$F$14:$F$1213,"&gt;=0")=0),"—",IF(OR(ISERROR(MATCH($H237&amp;"|1",$Z$14:$Z$1213,0)),ISERROR(MATCH($H237&amp;"|1",$AA$14:$AA$1213,0))),"Tie",IF(MATCH($H237&amp;"|1",$Z$14:$Z$1213,0)=MATCH($H237&amp;"|1",$AA$14:$AA$1213,0),"Hit","Miss"))))</f>
        <v/>
      </c>
      <c r="K237" s="24">
        <f>IF($H237="","",IF(COUNTIFS($A$14:$A$1213,$H237,$F$14:$F$1213,"&gt;=0")=0,"—",IFERROR(INDEX($B$14:$B$1213,MATCH($H237&amp;"|1",$AA$14:$AA$1213,0)),"(tied)")))</f>
        <v/>
      </c>
      <c r="L237" s="25">
        <f>IF($H237="","",IF((--(COUNTIFS($A$14:$A$1213,$H237,$P$14:$P$1213,"&gt;=0")&gt;0)+--(COUNTIFS($A$14:$A$1213,$H237,$Q$14:$Q$1213,"&gt;=0")&gt;0)+--(COUNTIFS($A$14:$A$1213,$H237,$R$14:$R$1213,"&gt;=0")&gt;0)+--(COUNTIFS($A$14:$A$1213,$H237,$S$14:$S$1213,"&gt;=0")&gt;0)+--(COUNTIFS($A$14:$A$1213,$H237,$T$14:$T$1213,"&gt;=0")&gt;0))&lt;2,"—",IF(SUMIFS($AH$14:$AH$1213,$A$14:$A$1213,$H237)=0,"Yes","No")))</f>
        <v/>
      </c>
      <c r="M237" s="25">
        <f>IF($H237="","",IF(COUNTIFS($A$14:$A$1213,$H237,$F$14:$F$1213,"&gt;=0")&lt;2,"—",IF(COUNTIFS($A$14:$A$1213,$H237,$F$14:$F$1213,_xlfn.MAXIFS($F$14:$F$1213,$A$14:$A$1213,$H237))&gt;1,"No",IF(NOT(ISNUMBER($AN237)),"—",IF((2*(1-NORMSDIST(ABS($AN237))))&lt;0.05,"Yes","No")))))</f>
        <v/>
      </c>
      <c r="N237" s="21">
        <f>IF($H237="","",IF(NOT(ISNUMBER($AN237)),"—",IF((2*(1-NORMSDIST(ABS($AN237))))&lt;0.001,"&lt;0.001",TEXT((2*(1-NORMSDIST(ABS($AN237)))),"0.000"))))</f>
        <v/>
      </c>
      <c r="P237" s="26" t="n"/>
      <c r="Q237" s="26" t="n"/>
      <c r="R237" s="26" t="n"/>
      <c r="S237" s="26" t="n"/>
      <c r="T237" s="26" t="n"/>
      <c r="V237" s="27">
        <f>IF(ISNUMBER($C237),COUNTIFS($A$14:$A$1213,$A237,$C$14:$C$1213,"&gt;"&amp;$C237)+(COUNTIFS($A$14:$A$1213,$A237,$C$14:$C$1213,"="&amp;$C237)+1)/2,"")</f>
        <v/>
      </c>
      <c r="W237" s="27">
        <f>IF(ISNUMBER($F237),COUNTIFS($A$14:$A$1213,$A237,$F$14:$F$1213,"&gt;"&amp;$F237)+(COUNTIFS($A$14:$A$1213,$A237,$F$14:$F$1213,"="&amp;$F237)+1)/2,"")</f>
        <v/>
      </c>
      <c r="X237" s="27">
        <f>IF(OR(NOT(ISNUMBER($V237)),$AO237=1),"",$V237-(COUNTIFS($A$14:$A$1213,$A237,$C$14:$C$1213,"&gt;=0")+1)/2)</f>
        <v/>
      </c>
      <c r="Y237" s="27">
        <f>IF(OR(NOT(ISNUMBER($W237)),$AO237=1),"",$W237-(COUNTIFS($A$14:$A$1213,$A237,$F$14:$F$1213,"&gt;=0")+1)/2)</f>
        <v/>
      </c>
      <c r="Z237" s="27">
        <f>IF(ISNUMBER($V237),$A237&amp;"|"&amp;$V237,"")</f>
        <v/>
      </c>
      <c r="AA237" s="27">
        <f>IF(ISNUMBER($W237),$A237&amp;"|"&amp;$W237,"")</f>
        <v/>
      </c>
      <c r="AB237" s="27">
        <f>IF(ISNUMBER($F237),$A237&amp;"|"&amp;$F237,"")</f>
        <v/>
      </c>
      <c r="AC237" s="27">
        <f>IF(ISNUMBER($P237),COUNTIFS($A$14:$A$1213,$A237,$P$14:$P$1213,"&gt;"&amp;$P237)+(COUNTIFS($A$14:$A$1213,$A237,$P$14:$P$1213,"="&amp;$P237)+1)/2,"")</f>
        <v/>
      </c>
      <c r="AD237" s="27">
        <f>IF(ISNUMBER($Q237),COUNTIFS($A$14:$A$1213,$A237,$Q$14:$Q$1213,"&gt;"&amp;$Q237)+(COUNTIFS($A$14:$A$1213,$A237,$Q$14:$Q$1213,"="&amp;$Q237)+1)/2,"")</f>
        <v/>
      </c>
      <c r="AE237" s="27">
        <f>IF(ISNUMBER($R237),COUNTIFS($A$14:$A$1213,$A237,$R$14:$R$1213,"&gt;"&amp;$R237)+(COUNTIFS($A$14:$A$1213,$A237,$R$14:$R$1213,"="&amp;$R237)+1)/2,"")</f>
        <v/>
      </c>
      <c r="AF237" s="27">
        <f>IF(ISNUMBER($S237),COUNTIFS($A$14:$A$1213,$A237,$S$14:$S$1213,"&gt;"&amp;$S237)+(COUNTIFS($A$14:$A$1213,$A237,$S$14:$S$1213,"="&amp;$S237)+1)/2,"")</f>
        <v/>
      </c>
      <c r="AG237" s="27">
        <f>IF(ISNUMBER($T237),COUNTIFS($A$14:$A$1213,$A237,$T$14:$T$1213,"&gt;"&amp;$T237)+(COUNTIFS($A$14:$A$1213,$A237,$T$14:$T$1213,"="&amp;$T237)+1)/2,"")</f>
        <v/>
      </c>
      <c r="AH237" s="27">
        <f>IF(COUNT($AC237:$AG237)&lt;2,"",IF(MAX($AC237:$AG237)=MIN($AC237:$AG237),0,1))</f>
        <v/>
      </c>
      <c r="AI237" s="27">
        <f>IF($A237="","",IF(COUNTIF($A$14:$A237,$A237)=1,COUNTIF($AI$13:AI236,"&gt;0")+1,""))</f>
        <v/>
      </c>
      <c r="AJ237" s="27">
        <f>IF(OR($H237="",COUNTIFS($A$14:$A$1213,$H237,$F$14:$F$1213,"&gt;=0")&lt;2,COUNTIFS($A$14:$A$1213,$H237,$F$14:$F$1213,_xlfn.MAXIFS($F$14:$F$1213,$A$14:$A$1213,$H237))&gt;1),"",IFERROR(INDEX($D$14:$D$1213,MATCH($H237&amp;"|"&amp;_xlfn.MAXIFS($F$14:$F$1213,$A$14:$A$1213,$H237),$AB$14:$AB$1213,0)),""))</f>
        <v/>
      </c>
      <c r="AK237" s="27">
        <f>IF(OR($H237="",COUNTIFS($A$14:$A$1213,$H237,$F$14:$F$1213,"&gt;=0")&lt;2,COUNTIFS($A$14:$A$1213,$H237,$F$14:$F$1213,_xlfn.MAXIFS($F$14:$F$1213,$A$14:$A$1213,$H237))&gt;1),"",IFERROR(INDEX($E$14:$E$1213,MATCH($H237&amp;"|"&amp;_xlfn.MAXIFS($F$14:$F$1213,$A$14:$A$1213,$H237),$AB$14:$AB$1213,0)),""))</f>
        <v/>
      </c>
      <c r="AL237" s="27">
        <f>IF(OR($H237="",COUNTIFS($A$14:$A$1213,$H237,$F$14:$F$1213,"&gt;=0")&lt;2,COUNTIFS($A$14:$A$1213,$H237,$F$14:$F$1213,_xlfn.MAXIFS($F$14:$F$1213,$A$14:$A$1213,$H237))&gt;1),"",IFERROR(INDEX($D$14:$D$1213,MATCH($H237&amp;"|"&amp;_xlfn.MAXIFS($F$14:$F$1213,$A$14:$A$1213,$H237,$F$14:$F$1213,"&lt;"&amp;_xlfn.MAXIFS($F$14:$F$1213,$A$14:$A$1213,$H237)),$AB$14:$AB$1213,0)),""))</f>
        <v/>
      </c>
      <c r="AM237" s="27">
        <f>IF(OR($H237="",COUNTIFS($A$14:$A$1213,$H237,$F$14:$F$1213,"&gt;=0")&lt;2,COUNTIFS($A$14:$A$1213,$H237,$F$14:$F$1213,_xlfn.MAXIFS($F$14:$F$1213,$A$14:$A$1213,$H237))&gt;1),"",IFERROR(INDEX($E$14:$E$1213,MATCH($H237&amp;"|"&amp;_xlfn.MAXIFS($F$14:$F$1213,$A$14:$A$1213,$H237,$F$14:$F$1213,"&lt;"&amp;_xlfn.MAXIFS($F$14:$F$1213,$A$14:$A$1213,$H237)),$AB$14:$AB$1213,0)),""))</f>
        <v/>
      </c>
      <c r="AN237" s="27">
        <f>IF(OR(NOT(ISNUMBER($AJ237)),NOT(ISNUMBER($AL237)),$AK237=0,$AM237=0),"",IF(OR((($AJ237+$AL237)/($AK237+$AM237))&lt;=0,(($AJ237+$AL237)/($AK237+$AM237))&gt;=1),"",($AJ237/$AK237-$AL237/$AM237)/SQRT((($AJ237+$AL237)/($AK237+$AM237))*(1-(($AJ237+$AL237)/($AK237+$AM237)))*(1/$AK237+1/$AM237))))</f>
        <v/>
      </c>
      <c r="AO237" s="27">
        <f>IF($A237="","",IF(AND(COUNTIFS($A$14:$A$1213,$A237,$F$14:$F$1213,"&gt;=0")=2,IFERROR(INDEX($M$14:$M$313,MATCH($A237,$H$14:$H$313,0)),"Yes")&lt;&gt;"Yes"),1,0))</f>
        <v/>
      </c>
    </row>
    <row r="238" ht="24" customHeight="1">
      <c r="A238" s="19" t="n"/>
      <c r="B238" s="20" t="n"/>
      <c r="C238" s="21">
        <f>IFERROR(AVERAGE(P238:T238),"")</f>
        <v/>
      </c>
      <c r="D238" s="29" t="n"/>
      <c r="E238" s="29" t="n"/>
      <c r="F238" s="30">
        <f>IF(AND(ISNUMBER($D238),ISNUMBER($E238),$E238&gt;0,$D238&lt;=$E238),$D238/$E238,"")</f>
        <v/>
      </c>
      <c r="H238" s="19">
        <f>IFERROR(INDEX($A$14:$A$1213,MATCH(225,$AI$14:$AI$1213,0)),"")</f>
        <v/>
      </c>
      <c r="I238" s="24">
        <f>IF($H238="","",IF(COUNTIFS($A$14:$A$1213,$H238,$C$14:$C$1213,"&gt;=0")=0,"—",IFERROR(INDEX($B$14:$B$1213,MATCH($H238&amp;"|1",$Z$14:$Z$1213,0)),"(tied)")))</f>
        <v/>
      </c>
      <c r="J238" s="25">
        <f>IF($H238="","",IF(OR(COUNTIFS($A$14:$A$1213,$H238,$C$14:$C$1213,"&gt;=0")=0,COUNTIFS($A$14:$A$1213,$H238,$F$14:$F$1213,"&gt;=0")=0),"—",IF(OR(ISERROR(MATCH($H238&amp;"|1",$Z$14:$Z$1213,0)),ISERROR(MATCH($H238&amp;"|1",$AA$14:$AA$1213,0))),"Tie",IF(MATCH($H238&amp;"|1",$Z$14:$Z$1213,0)=MATCH($H238&amp;"|1",$AA$14:$AA$1213,0),"Hit","Miss"))))</f>
        <v/>
      </c>
      <c r="K238" s="24">
        <f>IF($H238="","",IF(COUNTIFS($A$14:$A$1213,$H238,$F$14:$F$1213,"&gt;=0")=0,"—",IFERROR(INDEX($B$14:$B$1213,MATCH($H238&amp;"|1",$AA$14:$AA$1213,0)),"(tied)")))</f>
        <v/>
      </c>
      <c r="L238" s="25">
        <f>IF($H238="","",IF((--(COUNTIFS($A$14:$A$1213,$H238,$P$14:$P$1213,"&gt;=0")&gt;0)+--(COUNTIFS($A$14:$A$1213,$H238,$Q$14:$Q$1213,"&gt;=0")&gt;0)+--(COUNTIFS($A$14:$A$1213,$H238,$R$14:$R$1213,"&gt;=0")&gt;0)+--(COUNTIFS($A$14:$A$1213,$H238,$S$14:$S$1213,"&gt;=0")&gt;0)+--(COUNTIFS($A$14:$A$1213,$H238,$T$14:$T$1213,"&gt;=0")&gt;0))&lt;2,"—",IF(SUMIFS($AH$14:$AH$1213,$A$14:$A$1213,$H238)=0,"Yes","No")))</f>
        <v/>
      </c>
      <c r="M238" s="25">
        <f>IF($H238="","",IF(COUNTIFS($A$14:$A$1213,$H238,$F$14:$F$1213,"&gt;=0")&lt;2,"—",IF(COUNTIFS($A$14:$A$1213,$H238,$F$14:$F$1213,_xlfn.MAXIFS($F$14:$F$1213,$A$14:$A$1213,$H238))&gt;1,"No",IF(NOT(ISNUMBER($AN238)),"—",IF((2*(1-NORMSDIST(ABS($AN238))))&lt;0.05,"Yes","No")))))</f>
        <v/>
      </c>
      <c r="N238" s="21">
        <f>IF($H238="","",IF(NOT(ISNUMBER($AN238)),"—",IF((2*(1-NORMSDIST(ABS($AN238))))&lt;0.001,"&lt;0.001",TEXT((2*(1-NORMSDIST(ABS($AN238)))),"0.000"))))</f>
        <v/>
      </c>
      <c r="P238" s="26" t="n"/>
      <c r="Q238" s="26" t="n"/>
      <c r="R238" s="26" t="n"/>
      <c r="S238" s="26" t="n"/>
      <c r="T238" s="26" t="n"/>
      <c r="V238" s="27">
        <f>IF(ISNUMBER($C238),COUNTIFS($A$14:$A$1213,$A238,$C$14:$C$1213,"&gt;"&amp;$C238)+(COUNTIFS($A$14:$A$1213,$A238,$C$14:$C$1213,"="&amp;$C238)+1)/2,"")</f>
        <v/>
      </c>
      <c r="W238" s="27">
        <f>IF(ISNUMBER($F238),COUNTIFS($A$14:$A$1213,$A238,$F$14:$F$1213,"&gt;"&amp;$F238)+(COUNTIFS($A$14:$A$1213,$A238,$F$14:$F$1213,"="&amp;$F238)+1)/2,"")</f>
        <v/>
      </c>
      <c r="X238" s="27">
        <f>IF(OR(NOT(ISNUMBER($V238)),$AO238=1),"",$V238-(COUNTIFS($A$14:$A$1213,$A238,$C$14:$C$1213,"&gt;=0")+1)/2)</f>
        <v/>
      </c>
      <c r="Y238" s="27">
        <f>IF(OR(NOT(ISNUMBER($W238)),$AO238=1),"",$W238-(COUNTIFS($A$14:$A$1213,$A238,$F$14:$F$1213,"&gt;=0")+1)/2)</f>
        <v/>
      </c>
      <c r="Z238" s="27">
        <f>IF(ISNUMBER($V238),$A238&amp;"|"&amp;$V238,"")</f>
        <v/>
      </c>
      <c r="AA238" s="27">
        <f>IF(ISNUMBER($W238),$A238&amp;"|"&amp;$W238,"")</f>
        <v/>
      </c>
      <c r="AB238" s="27">
        <f>IF(ISNUMBER($F238),$A238&amp;"|"&amp;$F238,"")</f>
        <v/>
      </c>
      <c r="AC238" s="27">
        <f>IF(ISNUMBER($P238),COUNTIFS($A$14:$A$1213,$A238,$P$14:$P$1213,"&gt;"&amp;$P238)+(COUNTIFS($A$14:$A$1213,$A238,$P$14:$P$1213,"="&amp;$P238)+1)/2,"")</f>
        <v/>
      </c>
      <c r="AD238" s="27">
        <f>IF(ISNUMBER($Q238),COUNTIFS($A$14:$A$1213,$A238,$Q$14:$Q$1213,"&gt;"&amp;$Q238)+(COUNTIFS($A$14:$A$1213,$A238,$Q$14:$Q$1213,"="&amp;$Q238)+1)/2,"")</f>
        <v/>
      </c>
      <c r="AE238" s="27">
        <f>IF(ISNUMBER($R238),COUNTIFS($A$14:$A$1213,$A238,$R$14:$R$1213,"&gt;"&amp;$R238)+(COUNTIFS($A$14:$A$1213,$A238,$R$14:$R$1213,"="&amp;$R238)+1)/2,"")</f>
        <v/>
      </c>
      <c r="AF238" s="27">
        <f>IF(ISNUMBER($S238),COUNTIFS($A$14:$A$1213,$A238,$S$14:$S$1213,"&gt;"&amp;$S238)+(COUNTIFS($A$14:$A$1213,$A238,$S$14:$S$1213,"="&amp;$S238)+1)/2,"")</f>
        <v/>
      </c>
      <c r="AG238" s="27">
        <f>IF(ISNUMBER($T238),COUNTIFS($A$14:$A$1213,$A238,$T$14:$T$1213,"&gt;"&amp;$T238)+(COUNTIFS($A$14:$A$1213,$A238,$T$14:$T$1213,"="&amp;$T238)+1)/2,"")</f>
        <v/>
      </c>
      <c r="AH238" s="27">
        <f>IF(COUNT($AC238:$AG238)&lt;2,"",IF(MAX($AC238:$AG238)=MIN($AC238:$AG238),0,1))</f>
        <v/>
      </c>
      <c r="AI238" s="27">
        <f>IF($A238="","",IF(COUNTIF($A$14:$A238,$A238)=1,COUNTIF($AI$13:AI237,"&gt;0")+1,""))</f>
        <v/>
      </c>
      <c r="AJ238" s="27">
        <f>IF(OR($H238="",COUNTIFS($A$14:$A$1213,$H238,$F$14:$F$1213,"&gt;=0")&lt;2,COUNTIFS($A$14:$A$1213,$H238,$F$14:$F$1213,_xlfn.MAXIFS($F$14:$F$1213,$A$14:$A$1213,$H238))&gt;1),"",IFERROR(INDEX($D$14:$D$1213,MATCH($H238&amp;"|"&amp;_xlfn.MAXIFS($F$14:$F$1213,$A$14:$A$1213,$H238),$AB$14:$AB$1213,0)),""))</f>
        <v/>
      </c>
      <c r="AK238" s="27">
        <f>IF(OR($H238="",COUNTIFS($A$14:$A$1213,$H238,$F$14:$F$1213,"&gt;=0")&lt;2,COUNTIFS($A$14:$A$1213,$H238,$F$14:$F$1213,_xlfn.MAXIFS($F$14:$F$1213,$A$14:$A$1213,$H238))&gt;1),"",IFERROR(INDEX($E$14:$E$1213,MATCH($H238&amp;"|"&amp;_xlfn.MAXIFS($F$14:$F$1213,$A$14:$A$1213,$H238),$AB$14:$AB$1213,0)),""))</f>
        <v/>
      </c>
      <c r="AL238" s="27">
        <f>IF(OR($H238="",COUNTIFS($A$14:$A$1213,$H238,$F$14:$F$1213,"&gt;=0")&lt;2,COUNTIFS($A$14:$A$1213,$H238,$F$14:$F$1213,_xlfn.MAXIFS($F$14:$F$1213,$A$14:$A$1213,$H238))&gt;1),"",IFERROR(INDEX($D$14:$D$1213,MATCH($H238&amp;"|"&amp;_xlfn.MAXIFS($F$14:$F$1213,$A$14:$A$1213,$H238,$F$14:$F$1213,"&lt;"&amp;_xlfn.MAXIFS($F$14:$F$1213,$A$14:$A$1213,$H238)),$AB$14:$AB$1213,0)),""))</f>
        <v/>
      </c>
      <c r="AM238" s="27">
        <f>IF(OR($H238="",COUNTIFS($A$14:$A$1213,$H238,$F$14:$F$1213,"&gt;=0")&lt;2,COUNTIFS($A$14:$A$1213,$H238,$F$14:$F$1213,_xlfn.MAXIFS($F$14:$F$1213,$A$14:$A$1213,$H238))&gt;1),"",IFERROR(INDEX($E$14:$E$1213,MATCH($H238&amp;"|"&amp;_xlfn.MAXIFS($F$14:$F$1213,$A$14:$A$1213,$H238,$F$14:$F$1213,"&lt;"&amp;_xlfn.MAXIFS($F$14:$F$1213,$A$14:$A$1213,$H238)),$AB$14:$AB$1213,0)),""))</f>
        <v/>
      </c>
      <c r="AN238" s="27">
        <f>IF(OR(NOT(ISNUMBER($AJ238)),NOT(ISNUMBER($AL238)),$AK238=0,$AM238=0),"",IF(OR((($AJ238+$AL238)/($AK238+$AM238))&lt;=0,(($AJ238+$AL238)/($AK238+$AM238))&gt;=1),"",($AJ238/$AK238-$AL238/$AM238)/SQRT((($AJ238+$AL238)/($AK238+$AM238))*(1-(($AJ238+$AL238)/($AK238+$AM238)))*(1/$AK238+1/$AM238))))</f>
        <v/>
      </c>
      <c r="AO238" s="27">
        <f>IF($A238="","",IF(AND(COUNTIFS($A$14:$A$1213,$A238,$F$14:$F$1213,"&gt;=0")=2,IFERROR(INDEX($M$14:$M$313,MATCH($A238,$H$14:$H$313,0)),"Yes")&lt;&gt;"Yes"),1,0))</f>
        <v/>
      </c>
    </row>
    <row r="239" ht="24" customHeight="1">
      <c r="A239" s="19" t="n"/>
      <c r="B239" s="20" t="n"/>
      <c r="C239" s="21">
        <f>IFERROR(AVERAGE(P239:T239),"")</f>
        <v/>
      </c>
      <c r="D239" s="29" t="n"/>
      <c r="E239" s="29" t="n"/>
      <c r="F239" s="30">
        <f>IF(AND(ISNUMBER($D239),ISNUMBER($E239),$E239&gt;0,$D239&lt;=$E239),$D239/$E239,"")</f>
        <v/>
      </c>
      <c r="H239" s="19">
        <f>IFERROR(INDEX($A$14:$A$1213,MATCH(226,$AI$14:$AI$1213,0)),"")</f>
        <v/>
      </c>
      <c r="I239" s="24">
        <f>IF($H239="","",IF(COUNTIFS($A$14:$A$1213,$H239,$C$14:$C$1213,"&gt;=0")=0,"—",IFERROR(INDEX($B$14:$B$1213,MATCH($H239&amp;"|1",$Z$14:$Z$1213,0)),"(tied)")))</f>
        <v/>
      </c>
      <c r="J239" s="25">
        <f>IF($H239="","",IF(OR(COUNTIFS($A$14:$A$1213,$H239,$C$14:$C$1213,"&gt;=0")=0,COUNTIFS($A$14:$A$1213,$H239,$F$14:$F$1213,"&gt;=0")=0),"—",IF(OR(ISERROR(MATCH($H239&amp;"|1",$Z$14:$Z$1213,0)),ISERROR(MATCH($H239&amp;"|1",$AA$14:$AA$1213,0))),"Tie",IF(MATCH($H239&amp;"|1",$Z$14:$Z$1213,0)=MATCH($H239&amp;"|1",$AA$14:$AA$1213,0),"Hit","Miss"))))</f>
        <v/>
      </c>
      <c r="K239" s="24">
        <f>IF($H239="","",IF(COUNTIFS($A$14:$A$1213,$H239,$F$14:$F$1213,"&gt;=0")=0,"—",IFERROR(INDEX($B$14:$B$1213,MATCH($H239&amp;"|1",$AA$14:$AA$1213,0)),"(tied)")))</f>
        <v/>
      </c>
      <c r="L239" s="25">
        <f>IF($H239="","",IF((--(COUNTIFS($A$14:$A$1213,$H239,$P$14:$P$1213,"&gt;=0")&gt;0)+--(COUNTIFS($A$14:$A$1213,$H239,$Q$14:$Q$1213,"&gt;=0")&gt;0)+--(COUNTIFS($A$14:$A$1213,$H239,$R$14:$R$1213,"&gt;=0")&gt;0)+--(COUNTIFS($A$14:$A$1213,$H239,$S$14:$S$1213,"&gt;=0")&gt;0)+--(COUNTIFS($A$14:$A$1213,$H239,$T$14:$T$1213,"&gt;=0")&gt;0))&lt;2,"—",IF(SUMIFS($AH$14:$AH$1213,$A$14:$A$1213,$H239)=0,"Yes","No")))</f>
        <v/>
      </c>
      <c r="M239" s="25">
        <f>IF($H239="","",IF(COUNTIFS($A$14:$A$1213,$H239,$F$14:$F$1213,"&gt;=0")&lt;2,"—",IF(COUNTIFS($A$14:$A$1213,$H239,$F$14:$F$1213,_xlfn.MAXIFS($F$14:$F$1213,$A$14:$A$1213,$H239))&gt;1,"No",IF(NOT(ISNUMBER($AN239)),"—",IF((2*(1-NORMSDIST(ABS($AN239))))&lt;0.05,"Yes","No")))))</f>
        <v/>
      </c>
      <c r="N239" s="21">
        <f>IF($H239="","",IF(NOT(ISNUMBER($AN239)),"—",IF((2*(1-NORMSDIST(ABS($AN239))))&lt;0.001,"&lt;0.001",TEXT((2*(1-NORMSDIST(ABS($AN239)))),"0.000"))))</f>
        <v/>
      </c>
      <c r="P239" s="26" t="n"/>
      <c r="Q239" s="26" t="n"/>
      <c r="R239" s="26" t="n"/>
      <c r="S239" s="26" t="n"/>
      <c r="T239" s="26" t="n"/>
      <c r="V239" s="27">
        <f>IF(ISNUMBER($C239),COUNTIFS($A$14:$A$1213,$A239,$C$14:$C$1213,"&gt;"&amp;$C239)+(COUNTIFS($A$14:$A$1213,$A239,$C$14:$C$1213,"="&amp;$C239)+1)/2,"")</f>
        <v/>
      </c>
      <c r="W239" s="27">
        <f>IF(ISNUMBER($F239),COUNTIFS($A$14:$A$1213,$A239,$F$14:$F$1213,"&gt;"&amp;$F239)+(COUNTIFS($A$14:$A$1213,$A239,$F$14:$F$1213,"="&amp;$F239)+1)/2,"")</f>
        <v/>
      </c>
      <c r="X239" s="27">
        <f>IF(OR(NOT(ISNUMBER($V239)),$AO239=1),"",$V239-(COUNTIFS($A$14:$A$1213,$A239,$C$14:$C$1213,"&gt;=0")+1)/2)</f>
        <v/>
      </c>
      <c r="Y239" s="27">
        <f>IF(OR(NOT(ISNUMBER($W239)),$AO239=1),"",$W239-(COUNTIFS($A$14:$A$1213,$A239,$F$14:$F$1213,"&gt;=0")+1)/2)</f>
        <v/>
      </c>
      <c r="Z239" s="27">
        <f>IF(ISNUMBER($V239),$A239&amp;"|"&amp;$V239,"")</f>
        <v/>
      </c>
      <c r="AA239" s="27">
        <f>IF(ISNUMBER($W239),$A239&amp;"|"&amp;$W239,"")</f>
        <v/>
      </c>
      <c r="AB239" s="27">
        <f>IF(ISNUMBER($F239),$A239&amp;"|"&amp;$F239,"")</f>
        <v/>
      </c>
      <c r="AC239" s="27">
        <f>IF(ISNUMBER($P239),COUNTIFS($A$14:$A$1213,$A239,$P$14:$P$1213,"&gt;"&amp;$P239)+(COUNTIFS($A$14:$A$1213,$A239,$P$14:$P$1213,"="&amp;$P239)+1)/2,"")</f>
        <v/>
      </c>
      <c r="AD239" s="27">
        <f>IF(ISNUMBER($Q239),COUNTIFS($A$14:$A$1213,$A239,$Q$14:$Q$1213,"&gt;"&amp;$Q239)+(COUNTIFS($A$14:$A$1213,$A239,$Q$14:$Q$1213,"="&amp;$Q239)+1)/2,"")</f>
        <v/>
      </c>
      <c r="AE239" s="27">
        <f>IF(ISNUMBER($R239),COUNTIFS($A$14:$A$1213,$A239,$R$14:$R$1213,"&gt;"&amp;$R239)+(COUNTIFS($A$14:$A$1213,$A239,$R$14:$R$1213,"="&amp;$R239)+1)/2,"")</f>
        <v/>
      </c>
      <c r="AF239" s="27">
        <f>IF(ISNUMBER($S239),COUNTIFS($A$14:$A$1213,$A239,$S$14:$S$1213,"&gt;"&amp;$S239)+(COUNTIFS($A$14:$A$1213,$A239,$S$14:$S$1213,"="&amp;$S239)+1)/2,"")</f>
        <v/>
      </c>
      <c r="AG239" s="27">
        <f>IF(ISNUMBER($T239),COUNTIFS($A$14:$A$1213,$A239,$T$14:$T$1213,"&gt;"&amp;$T239)+(COUNTIFS($A$14:$A$1213,$A239,$T$14:$T$1213,"="&amp;$T239)+1)/2,"")</f>
        <v/>
      </c>
      <c r="AH239" s="27">
        <f>IF(COUNT($AC239:$AG239)&lt;2,"",IF(MAX($AC239:$AG239)=MIN($AC239:$AG239),0,1))</f>
        <v/>
      </c>
      <c r="AI239" s="27">
        <f>IF($A239="","",IF(COUNTIF($A$14:$A239,$A239)=1,COUNTIF($AI$13:AI238,"&gt;0")+1,""))</f>
        <v/>
      </c>
      <c r="AJ239" s="27">
        <f>IF(OR($H239="",COUNTIFS($A$14:$A$1213,$H239,$F$14:$F$1213,"&gt;=0")&lt;2,COUNTIFS($A$14:$A$1213,$H239,$F$14:$F$1213,_xlfn.MAXIFS($F$14:$F$1213,$A$14:$A$1213,$H239))&gt;1),"",IFERROR(INDEX($D$14:$D$1213,MATCH($H239&amp;"|"&amp;_xlfn.MAXIFS($F$14:$F$1213,$A$14:$A$1213,$H239),$AB$14:$AB$1213,0)),""))</f>
        <v/>
      </c>
      <c r="AK239" s="27">
        <f>IF(OR($H239="",COUNTIFS($A$14:$A$1213,$H239,$F$14:$F$1213,"&gt;=0")&lt;2,COUNTIFS($A$14:$A$1213,$H239,$F$14:$F$1213,_xlfn.MAXIFS($F$14:$F$1213,$A$14:$A$1213,$H239))&gt;1),"",IFERROR(INDEX($E$14:$E$1213,MATCH($H239&amp;"|"&amp;_xlfn.MAXIFS($F$14:$F$1213,$A$14:$A$1213,$H239),$AB$14:$AB$1213,0)),""))</f>
        <v/>
      </c>
      <c r="AL239" s="27">
        <f>IF(OR($H239="",COUNTIFS($A$14:$A$1213,$H239,$F$14:$F$1213,"&gt;=0")&lt;2,COUNTIFS($A$14:$A$1213,$H239,$F$14:$F$1213,_xlfn.MAXIFS($F$14:$F$1213,$A$14:$A$1213,$H239))&gt;1),"",IFERROR(INDEX($D$14:$D$1213,MATCH($H239&amp;"|"&amp;_xlfn.MAXIFS($F$14:$F$1213,$A$14:$A$1213,$H239,$F$14:$F$1213,"&lt;"&amp;_xlfn.MAXIFS($F$14:$F$1213,$A$14:$A$1213,$H239)),$AB$14:$AB$1213,0)),""))</f>
        <v/>
      </c>
      <c r="AM239" s="27">
        <f>IF(OR($H239="",COUNTIFS($A$14:$A$1213,$H239,$F$14:$F$1213,"&gt;=0")&lt;2,COUNTIFS($A$14:$A$1213,$H239,$F$14:$F$1213,_xlfn.MAXIFS($F$14:$F$1213,$A$14:$A$1213,$H239))&gt;1),"",IFERROR(INDEX($E$14:$E$1213,MATCH($H239&amp;"|"&amp;_xlfn.MAXIFS($F$14:$F$1213,$A$14:$A$1213,$H239,$F$14:$F$1213,"&lt;"&amp;_xlfn.MAXIFS($F$14:$F$1213,$A$14:$A$1213,$H239)),$AB$14:$AB$1213,0)),""))</f>
        <v/>
      </c>
      <c r="AN239" s="27">
        <f>IF(OR(NOT(ISNUMBER($AJ239)),NOT(ISNUMBER($AL239)),$AK239=0,$AM239=0),"",IF(OR((($AJ239+$AL239)/($AK239+$AM239))&lt;=0,(($AJ239+$AL239)/($AK239+$AM239))&gt;=1),"",($AJ239/$AK239-$AL239/$AM239)/SQRT((($AJ239+$AL239)/($AK239+$AM239))*(1-(($AJ239+$AL239)/($AK239+$AM239)))*(1/$AK239+1/$AM239))))</f>
        <v/>
      </c>
      <c r="AO239" s="27">
        <f>IF($A239="","",IF(AND(COUNTIFS($A$14:$A$1213,$A239,$F$14:$F$1213,"&gt;=0")=2,IFERROR(INDEX($M$14:$M$313,MATCH($A239,$H$14:$H$313,0)),"Yes")&lt;&gt;"Yes"),1,0))</f>
        <v/>
      </c>
    </row>
    <row r="240" ht="24" customHeight="1">
      <c r="A240" s="19" t="n"/>
      <c r="B240" s="20" t="n"/>
      <c r="C240" s="21">
        <f>IFERROR(AVERAGE(P240:T240),"")</f>
        <v/>
      </c>
      <c r="D240" s="29" t="n"/>
      <c r="E240" s="29" t="n"/>
      <c r="F240" s="30">
        <f>IF(AND(ISNUMBER($D240),ISNUMBER($E240),$E240&gt;0,$D240&lt;=$E240),$D240/$E240,"")</f>
        <v/>
      </c>
      <c r="H240" s="19">
        <f>IFERROR(INDEX($A$14:$A$1213,MATCH(227,$AI$14:$AI$1213,0)),"")</f>
        <v/>
      </c>
      <c r="I240" s="24">
        <f>IF($H240="","",IF(COUNTIFS($A$14:$A$1213,$H240,$C$14:$C$1213,"&gt;=0")=0,"—",IFERROR(INDEX($B$14:$B$1213,MATCH($H240&amp;"|1",$Z$14:$Z$1213,0)),"(tied)")))</f>
        <v/>
      </c>
      <c r="J240" s="25">
        <f>IF($H240="","",IF(OR(COUNTIFS($A$14:$A$1213,$H240,$C$14:$C$1213,"&gt;=0")=0,COUNTIFS($A$14:$A$1213,$H240,$F$14:$F$1213,"&gt;=0")=0),"—",IF(OR(ISERROR(MATCH($H240&amp;"|1",$Z$14:$Z$1213,0)),ISERROR(MATCH($H240&amp;"|1",$AA$14:$AA$1213,0))),"Tie",IF(MATCH($H240&amp;"|1",$Z$14:$Z$1213,0)=MATCH($H240&amp;"|1",$AA$14:$AA$1213,0),"Hit","Miss"))))</f>
        <v/>
      </c>
      <c r="K240" s="24">
        <f>IF($H240="","",IF(COUNTIFS($A$14:$A$1213,$H240,$F$14:$F$1213,"&gt;=0")=0,"—",IFERROR(INDEX($B$14:$B$1213,MATCH($H240&amp;"|1",$AA$14:$AA$1213,0)),"(tied)")))</f>
        <v/>
      </c>
      <c r="L240" s="25">
        <f>IF($H240="","",IF((--(COUNTIFS($A$14:$A$1213,$H240,$P$14:$P$1213,"&gt;=0")&gt;0)+--(COUNTIFS($A$14:$A$1213,$H240,$Q$14:$Q$1213,"&gt;=0")&gt;0)+--(COUNTIFS($A$14:$A$1213,$H240,$R$14:$R$1213,"&gt;=0")&gt;0)+--(COUNTIFS($A$14:$A$1213,$H240,$S$14:$S$1213,"&gt;=0")&gt;0)+--(COUNTIFS($A$14:$A$1213,$H240,$T$14:$T$1213,"&gt;=0")&gt;0))&lt;2,"—",IF(SUMIFS($AH$14:$AH$1213,$A$14:$A$1213,$H240)=0,"Yes","No")))</f>
        <v/>
      </c>
      <c r="M240" s="25">
        <f>IF($H240="","",IF(COUNTIFS($A$14:$A$1213,$H240,$F$14:$F$1213,"&gt;=0")&lt;2,"—",IF(COUNTIFS($A$14:$A$1213,$H240,$F$14:$F$1213,_xlfn.MAXIFS($F$14:$F$1213,$A$14:$A$1213,$H240))&gt;1,"No",IF(NOT(ISNUMBER($AN240)),"—",IF((2*(1-NORMSDIST(ABS($AN240))))&lt;0.05,"Yes","No")))))</f>
        <v/>
      </c>
      <c r="N240" s="21">
        <f>IF($H240="","",IF(NOT(ISNUMBER($AN240)),"—",IF((2*(1-NORMSDIST(ABS($AN240))))&lt;0.001,"&lt;0.001",TEXT((2*(1-NORMSDIST(ABS($AN240)))),"0.000"))))</f>
        <v/>
      </c>
      <c r="P240" s="26" t="n"/>
      <c r="Q240" s="26" t="n"/>
      <c r="R240" s="26" t="n"/>
      <c r="S240" s="26" t="n"/>
      <c r="T240" s="26" t="n"/>
      <c r="V240" s="27">
        <f>IF(ISNUMBER($C240),COUNTIFS($A$14:$A$1213,$A240,$C$14:$C$1213,"&gt;"&amp;$C240)+(COUNTIFS($A$14:$A$1213,$A240,$C$14:$C$1213,"="&amp;$C240)+1)/2,"")</f>
        <v/>
      </c>
      <c r="W240" s="27">
        <f>IF(ISNUMBER($F240),COUNTIFS($A$14:$A$1213,$A240,$F$14:$F$1213,"&gt;"&amp;$F240)+(COUNTIFS($A$14:$A$1213,$A240,$F$14:$F$1213,"="&amp;$F240)+1)/2,"")</f>
        <v/>
      </c>
      <c r="X240" s="27">
        <f>IF(OR(NOT(ISNUMBER($V240)),$AO240=1),"",$V240-(COUNTIFS($A$14:$A$1213,$A240,$C$14:$C$1213,"&gt;=0")+1)/2)</f>
        <v/>
      </c>
      <c r="Y240" s="27">
        <f>IF(OR(NOT(ISNUMBER($W240)),$AO240=1),"",$W240-(COUNTIFS($A$14:$A$1213,$A240,$F$14:$F$1213,"&gt;=0")+1)/2)</f>
        <v/>
      </c>
      <c r="Z240" s="27">
        <f>IF(ISNUMBER($V240),$A240&amp;"|"&amp;$V240,"")</f>
        <v/>
      </c>
      <c r="AA240" s="27">
        <f>IF(ISNUMBER($W240),$A240&amp;"|"&amp;$W240,"")</f>
        <v/>
      </c>
      <c r="AB240" s="27">
        <f>IF(ISNUMBER($F240),$A240&amp;"|"&amp;$F240,"")</f>
        <v/>
      </c>
      <c r="AC240" s="27">
        <f>IF(ISNUMBER($P240),COUNTIFS($A$14:$A$1213,$A240,$P$14:$P$1213,"&gt;"&amp;$P240)+(COUNTIFS($A$14:$A$1213,$A240,$P$14:$P$1213,"="&amp;$P240)+1)/2,"")</f>
        <v/>
      </c>
      <c r="AD240" s="27">
        <f>IF(ISNUMBER($Q240),COUNTIFS($A$14:$A$1213,$A240,$Q$14:$Q$1213,"&gt;"&amp;$Q240)+(COUNTIFS($A$14:$A$1213,$A240,$Q$14:$Q$1213,"="&amp;$Q240)+1)/2,"")</f>
        <v/>
      </c>
      <c r="AE240" s="27">
        <f>IF(ISNUMBER($R240),COUNTIFS($A$14:$A$1213,$A240,$R$14:$R$1213,"&gt;"&amp;$R240)+(COUNTIFS($A$14:$A$1213,$A240,$R$14:$R$1213,"="&amp;$R240)+1)/2,"")</f>
        <v/>
      </c>
      <c r="AF240" s="27">
        <f>IF(ISNUMBER($S240),COUNTIFS($A$14:$A$1213,$A240,$S$14:$S$1213,"&gt;"&amp;$S240)+(COUNTIFS($A$14:$A$1213,$A240,$S$14:$S$1213,"="&amp;$S240)+1)/2,"")</f>
        <v/>
      </c>
      <c r="AG240" s="27">
        <f>IF(ISNUMBER($T240),COUNTIFS($A$14:$A$1213,$A240,$T$14:$T$1213,"&gt;"&amp;$T240)+(COUNTIFS($A$14:$A$1213,$A240,$T$14:$T$1213,"="&amp;$T240)+1)/2,"")</f>
        <v/>
      </c>
      <c r="AH240" s="27">
        <f>IF(COUNT($AC240:$AG240)&lt;2,"",IF(MAX($AC240:$AG240)=MIN($AC240:$AG240),0,1))</f>
        <v/>
      </c>
      <c r="AI240" s="27">
        <f>IF($A240="","",IF(COUNTIF($A$14:$A240,$A240)=1,COUNTIF($AI$13:AI239,"&gt;0")+1,""))</f>
        <v/>
      </c>
      <c r="AJ240" s="27">
        <f>IF(OR($H240="",COUNTIFS($A$14:$A$1213,$H240,$F$14:$F$1213,"&gt;=0")&lt;2,COUNTIFS($A$14:$A$1213,$H240,$F$14:$F$1213,_xlfn.MAXIFS($F$14:$F$1213,$A$14:$A$1213,$H240))&gt;1),"",IFERROR(INDEX($D$14:$D$1213,MATCH($H240&amp;"|"&amp;_xlfn.MAXIFS($F$14:$F$1213,$A$14:$A$1213,$H240),$AB$14:$AB$1213,0)),""))</f>
        <v/>
      </c>
      <c r="AK240" s="27">
        <f>IF(OR($H240="",COUNTIFS($A$14:$A$1213,$H240,$F$14:$F$1213,"&gt;=0")&lt;2,COUNTIFS($A$14:$A$1213,$H240,$F$14:$F$1213,_xlfn.MAXIFS($F$14:$F$1213,$A$14:$A$1213,$H240))&gt;1),"",IFERROR(INDEX($E$14:$E$1213,MATCH($H240&amp;"|"&amp;_xlfn.MAXIFS($F$14:$F$1213,$A$14:$A$1213,$H240),$AB$14:$AB$1213,0)),""))</f>
        <v/>
      </c>
      <c r="AL240" s="27">
        <f>IF(OR($H240="",COUNTIFS($A$14:$A$1213,$H240,$F$14:$F$1213,"&gt;=0")&lt;2,COUNTIFS($A$14:$A$1213,$H240,$F$14:$F$1213,_xlfn.MAXIFS($F$14:$F$1213,$A$14:$A$1213,$H240))&gt;1),"",IFERROR(INDEX($D$14:$D$1213,MATCH($H240&amp;"|"&amp;_xlfn.MAXIFS($F$14:$F$1213,$A$14:$A$1213,$H240,$F$14:$F$1213,"&lt;"&amp;_xlfn.MAXIFS($F$14:$F$1213,$A$14:$A$1213,$H240)),$AB$14:$AB$1213,0)),""))</f>
        <v/>
      </c>
      <c r="AM240" s="27">
        <f>IF(OR($H240="",COUNTIFS($A$14:$A$1213,$H240,$F$14:$F$1213,"&gt;=0")&lt;2,COUNTIFS($A$14:$A$1213,$H240,$F$14:$F$1213,_xlfn.MAXIFS($F$14:$F$1213,$A$14:$A$1213,$H240))&gt;1),"",IFERROR(INDEX($E$14:$E$1213,MATCH($H240&amp;"|"&amp;_xlfn.MAXIFS($F$14:$F$1213,$A$14:$A$1213,$H240,$F$14:$F$1213,"&lt;"&amp;_xlfn.MAXIFS($F$14:$F$1213,$A$14:$A$1213,$H240)),$AB$14:$AB$1213,0)),""))</f>
        <v/>
      </c>
      <c r="AN240" s="27">
        <f>IF(OR(NOT(ISNUMBER($AJ240)),NOT(ISNUMBER($AL240)),$AK240=0,$AM240=0),"",IF(OR((($AJ240+$AL240)/($AK240+$AM240))&lt;=0,(($AJ240+$AL240)/($AK240+$AM240))&gt;=1),"",($AJ240/$AK240-$AL240/$AM240)/SQRT((($AJ240+$AL240)/($AK240+$AM240))*(1-(($AJ240+$AL240)/($AK240+$AM240)))*(1/$AK240+1/$AM240))))</f>
        <v/>
      </c>
      <c r="AO240" s="27">
        <f>IF($A240="","",IF(AND(COUNTIFS($A$14:$A$1213,$A240,$F$14:$F$1213,"&gt;=0")=2,IFERROR(INDEX($M$14:$M$313,MATCH($A240,$H$14:$H$313,0)),"Yes")&lt;&gt;"Yes"),1,0))</f>
        <v/>
      </c>
    </row>
    <row r="241" ht="24" customHeight="1">
      <c r="A241" s="19" t="n"/>
      <c r="B241" s="20" t="n"/>
      <c r="C241" s="21">
        <f>IFERROR(AVERAGE(P241:T241),"")</f>
        <v/>
      </c>
      <c r="D241" s="29" t="n"/>
      <c r="E241" s="29" t="n"/>
      <c r="F241" s="30">
        <f>IF(AND(ISNUMBER($D241),ISNUMBER($E241),$E241&gt;0,$D241&lt;=$E241),$D241/$E241,"")</f>
        <v/>
      </c>
      <c r="H241" s="19">
        <f>IFERROR(INDEX($A$14:$A$1213,MATCH(228,$AI$14:$AI$1213,0)),"")</f>
        <v/>
      </c>
      <c r="I241" s="24">
        <f>IF($H241="","",IF(COUNTIFS($A$14:$A$1213,$H241,$C$14:$C$1213,"&gt;=0")=0,"—",IFERROR(INDEX($B$14:$B$1213,MATCH($H241&amp;"|1",$Z$14:$Z$1213,0)),"(tied)")))</f>
        <v/>
      </c>
      <c r="J241" s="25">
        <f>IF($H241="","",IF(OR(COUNTIFS($A$14:$A$1213,$H241,$C$14:$C$1213,"&gt;=0")=0,COUNTIFS($A$14:$A$1213,$H241,$F$14:$F$1213,"&gt;=0")=0),"—",IF(OR(ISERROR(MATCH($H241&amp;"|1",$Z$14:$Z$1213,0)),ISERROR(MATCH($H241&amp;"|1",$AA$14:$AA$1213,0))),"Tie",IF(MATCH($H241&amp;"|1",$Z$14:$Z$1213,0)=MATCH($H241&amp;"|1",$AA$14:$AA$1213,0),"Hit","Miss"))))</f>
        <v/>
      </c>
      <c r="K241" s="24">
        <f>IF($H241="","",IF(COUNTIFS($A$14:$A$1213,$H241,$F$14:$F$1213,"&gt;=0")=0,"—",IFERROR(INDEX($B$14:$B$1213,MATCH($H241&amp;"|1",$AA$14:$AA$1213,0)),"(tied)")))</f>
        <v/>
      </c>
      <c r="L241" s="25">
        <f>IF($H241="","",IF((--(COUNTIFS($A$14:$A$1213,$H241,$P$14:$P$1213,"&gt;=0")&gt;0)+--(COUNTIFS($A$14:$A$1213,$H241,$Q$14:$Q$1213,"&gt;=0")&gt;0)+--(COUNTIFS($A$14:$A$1213,$H241,$R$14:$R$1213,"&gt;=0")&gt;0)+--(COUNTIFS($A$14:$A$1213,$H241,$S$14:$S$1213,"&gt;=0")&gt;0)+--(COUNTIFS($A$14:$A$1213,$H241,$T$14:$T$1213,"&gt;=0")&gt;0))&lt;2,"—",IF(SUMIFS($AH$14:$AH$1213,$A$14:$A$1213,$H241)=0,"Yes","No")))</f>
        <v/>
      </c>
      <c r="M241" s="25">
        <f>IF($H241="","",IF(COUNTIFS($A$14:$A$1213,$H241,$F$14:$F$1213,"&gt;=0")&lt;2,"—",IF(COUNTIFS($A$14:$A$1213,$H241,$F$14:$F$1213,_xlfn.MAXIFS($F$14:$F$1213,$A$14:$A$1213,$H241))&gt;1,"No",IF(NOT(ISNUMBER($AN241)),"—",IF((2*(1-NORMSDIST(ABS($AN241))))&lt;0.05,"Yes","No")))))</f>
        <v/>
      </c>
      <c r="N241" s="21">
        <f>IF($H241="","",IF(NOT(ISNUMBER($AN241)),"—",IF((2*(1-NORMSDIST(ABS($AN241))))&lt;0.001,"&lt;0.001",TEXT((2*(1-NORMSDIST(ABS($AN241)))),"0.000"))))</f>
        <v/>
      </c>
      <c r="P241" s="26" t="n"/>
      <c r="Q241" s="26" t="n"/>
      <c r="R241" s="26" t="n"/>
      <c r="S241" s="26" t="n"/>
      <c r="T241" s="26" t="n"/>
      <c r="V241" s="27">
        <f>IF(ISNUMBER($C241),COUNTIFS($A$14:$A$1213,$A241,$C$14:$C$1213,"&gt;"&amp;$C241)+(COUNTIFS($A$14:$A$1213,$A241,$C$14:$C$1213,"="&amp;$C241)+1)/2,"")</f>
        <v/>
      </c>
      <c r="W241" s="27">
        <f>IF(ISNUMBER($F241),COUNTIFS($A$14:$A$1213,$A241,$F$14:$F$1213,"&gt;"&amp;$F241)+(COUNTIFS($A$14:$A$1213,$A241,$F$14:$F$1213,"="&amp;$F241)+1)/2,"")</f>
        <v/>
      </c>
      <c r="X241" s="27">
        <f>IF(OR(NOT(ISNUMBER($V241)),$AO241=1),"",$V241-(COUNTIFS($A$14:$A$1213,$A241,$C$14:$C$1213,"&gt;=0")+1)/2)</f>
        <v/>
      </c>
      <c r="Y241" s="27">
        <f>IF(OR(NOT(ISNUMBER($W241)),$AO241=1),"",$W241-(COUNTIFS($A$14:$A$1213,$A241,$F$14:$F$1213,"&gt;=0")+1)/2)</f>
        <v/>
      </c>
      <c r="Z241" s="27">
        <f>IF(ISNUMBER($V241),$A241&amp;"|"&amp;$V241,"")</f>
        <v/>
      </c>
      <c r="AA241" s="27">
        <f>IF(ISNUMBER($W241),$A241&amp;"|"&amp;$W241,"")</f>
        <v/>
      </c>
      <c r="AB241" s="27">
        <f>IF(ISNUMBER($F241),$A241&amp;"|"&amp;$F241,"")</f>
        <v/>
      </c>
      <c r="AC241" s="27">
        <f>IF(ISNUMBER($P241),COUNTIFS($A$14:$A$1213,$A241,$P$14:$P$1213,"&gt;"&amp;$P241)+(COUNTIFS($A$14:$A$1213,$A241,$P$14:$P$1213,"="&amp;$P241)+1)/2,"")</f>
        <v/>
      </c>
      <c r="AD241" s="27">
        <f>IF(ISNUMBER($Q241),COUNTIFS($A$14:$A$1213,$A241,$Q$14:$Q$1213,"&gt;"&amp;$Q241)+(COUNTIFS($A$14:$A$1213,$A241,$Q$14:$Q$1213,"="&amp;$Q241)+1)/2,"")</f>
        <v/>
      </c>
      <c r="AE241" s="27">
        <f>IF(ISNUMBER($R241),COUNTIFS($A$14:$A$1213,$A241,$R$14:$R$1213,"&gt;"&amp;$R241)+(COUNTIFS($A$14:$A$1213,$A241,$R$14:$R$1213,"="&amp;$R241)+1)/2,"")</f>
        <v/>
      </c>
      <c r="AF241" s="27">
        <f>IF(ISNUMBER($S241),COUNTIFS($A$14:$A$1213,$A241,$S$14:$S$1213,"&gt;"&amp;$S241)+(COUNTIFS($A$14:$A$1213,$A241,$S$14:$S$1213,"="&amp;$S241)+1)/2,"")</f>
        <v/>
      </c>
      <c r="AG241" s="27">
        <f>IF(ISNUMBER($T241),COUNTIFS($A$14:$A$1213,$A241,$T$14:$T$1213,"&gt;"&amp;$T241)+(COUNTIFS($A$14:$A$1213,$A241,$T$14:$T$1213,"="&amp;$T241)+1)/2,"")</f>
        <v/>
      </c>
      <c r="AH241" s="27">
        <f>IF(COUNT($AC241:$AG241)&lt;2,"",IF(MAX($AC241:$AG241)=MIN($AC241:$AG241),0,1))</f>
        <v/>
      </c>
      <c r="AI241" s="27">
        <f>IF($A241="","",IF(COUNTIF($A$14:$A241,$A241)=1,COUNTIF($AI$13:AI240,"&gt;0")+1,""))</f>
        <v/>
      </c>
      <c r="AJ241" s="27">
        <f>IF(OR($H241="",COUNTIFS($A$14:$A$1213,$H241,$F$14:$F$1213,"&gt;=0")&lt;2,COUNTIFS($A$14:$A$1213,$H241,$F$14:$F$1213,_xlfn.MAXIFS($F$14:$F$1213,$A$14:$A$1213,$H241))&gt;1),"",IFERROR(INDEX($D$14:$D$1213,MATCH($H241&amp;"|"&amp;_xlfn.MAXIFS($F$14:$F$1213,$A$14:$A$1213,$H241),$AB$14:$AB$1213,0)),""))</f>
        <v/>
      </c>
      <c r="AK241" s="27">
        <f>IF(OR($H241="",COUNTIFS($A$14:$A$1213,$H241,$F$14:$F$1213,"&gt;=0")&lt;2,COUNTIFS($A$14:$A$1213,$H241,$F$14:$F$1213,_xlfn.MAXIFS($F$14:$F$1213,$A$14:$A$1213,$H241))&gt;1),"",IFERROR(INDEX($E$14:$E$1213,MATCH($H241&amp;"|"&amp;_xlfn.MAXIFS($F$14:$F$1213,$A$14:$A$1213,$H241),$AB$14:$AB$1213,0)),""))</f>
        <v/>
      </c>
      <c r="AL241" s="27">
        <f>IF(OR($H241="",COUNTIFS($A$14:$A$1213,$H241,$F$14:$F$1213,"&gt;=0")&lt;2,COUNTIFS($A$14:$A$1213,$H241,$F$14:$F$1213,_xlfn.MAXIFS($F$14:$F$1213,$A$14:$A$1213,$H241))&gt;1),"",IFERROR(INDEX($D$14:$D$1213,MATCH($H241&amp;"|"&amp;_xlfn.MAXIFS($F$14:$F$1213,$A$14:$A$1213,$H241,$F$14:$F$1213,"&lt;"&amp;_xlfn.MAXIFS($F$14:$F$1213,$A$14:$A$1213,$H241)),$AB$14:$AB$1213,0)),""))</f>
        <v/>
      </c>
      <c r="AM241" s="27">
        <f>IF(OR($H241="",COUNTIFS($A$14:$A$1213,$H241,$F$14:$F$1213,"&gt;=0")&lt;2,COUNTIFS($A$14:$A$1213,$H241,$F$14:$F$1213,_xlfn.MAXIFS($F$14:$F$1213,$A$14:$A$1213,$H241))&gt;1),"",IFERROR(INDEX($E$14:$E$1213,MATCH($H241&amp;"|"&amp;_xlfn.MAXIFS($F$14:$F$1213,$A$14:$A$1213,$H241,$F$14:$F$1213,"&lt;"&amp;_xlfn.MAXIFS($F$14:$F$1213,$A$14:$A$1213,$H241)),$AB$14:$AB$1213,0)),""))</f>
        <v/>
      </c>
      <c r="AN241" s="27">
        <f>IF(OR(NOT(ISNUMBER($AJ241)),NOT(ISNUMBER($AL241)),$AK241=0,$AM241=0),"",IF(OR((($AJ241+$AL241)/($AK241+$AM241))&lt;=0,(($AJ241+$AL241)/($AK241+$AM241))&gt;=1),"",($AJ241/$AK241-$AL241/$AM241)/SQRT((($AJ241+$AL241)/($AK241+$AM241))*(1-(($AJ241+$AL241)/($AK241+$AM241)))*(1/$AK241+1/$AM241))))</f>
        <v/>
      </c>
      <c r="AO241" s="27">
        <f>IF($A241="","",IF(AND(COUNTIFS($A$14:$A$1213,$A241,$F$14:$F$1213,"&gt;=0")=2,IFERROR(INDEX($M$14:$M$313,MATCH($A241,$H$14:$H$313,0)),"Yes")&lt;&gt;"Yes"),1,0))</f>
        <v/>
      </c>
    </row>
    <row r="242" ht="24" customHeight="1">
      <c r="A242" s="19" t="n"/>
      <c r="B242" s="20" t="n"/>
      <c r="C242" s="21">
        <f>IFERROR(AVERAGE(P242:T242),"")</f>
        <v/>
      </c>
      <c r="D242" s="29" t="n"/>
      <c r="E242" s="29" t="n"/>
      <c r="F242" s="30">
        <f>IF(AND(ISNUMBER($D242),ISNUMBER($E242),$E242&gt;0,$D242&lt;=$E242),$D242/$E242,"")</f>
        <v/>
      </c>
      <c r="H242" s="19">
        <f>IFERROR(INDEX($A$14:$A$1213,MATCH(229,$AI$14:$AI$1213,0)),"")</f>
        <v/>
      </c>
      <c r="I242" s="24">
        <f>IF($H242="","",IF(COUNTIFS($A$14:$A$1213,$H242,$C$14:$C$1213,"&gt;=0")=0,"—",IFERROR(INDEX($B$14:$B$1213,MATCH($H242&amp;"|1",$Z$14:$Z$1213,0)),"(tied)")))</f>
        <v/>
      </c>
      <c r="J242" s="25">
        <f>IF($H242="","",IF(OR(COUNTIFS($A$14:$A$1213,$H242,$C$14:$C$1213,"&gt;=0")=0,COUNTIFS($A$14:$A$1213,$H242,$F$14:$F$1213,"&gt;=0")=0),"—",IF(OR(ISERROR(MATCH($H242&amp;"|1",$Z$14:$Z$1213,0)),ISERROR(MATCH($H242&amp;"|1",$AA$14:$AA$1213,0))),"Tie",IF(MATCH($H242&amp;"|1",$Z$14:$Z$1213,0)=MATCH($H242&amp;"|1",$AA$14:$AA$1213,0),"Hit","Miss"))))</f>
        <v/>
      </c>
      <c r="K242" s="24">
        <f>IF($H242="","",IF(COUNTIFS($A$14:$A$1213,$H242,$F$14:$F$1213,"&gt;=0")=0,"—",IFERROR(INDEX($B$14:$B$1213,MATCH($H242&amp;"|1",$AA$14:$AA$1213,0)),"(tied)")))</f>
        <v/>
      </c>
      <c r="L242" s="25">
        <f>IF($H242="","",IF((--(COUNTIFS($A$14:$A$1213,$H242,$P$14:$P$1213,"&gt;=0")&gt;0)+--(COUNTIFS($A$14:$A$1213,$H242,$Q$14:$Q$1213,"&gt;=0")&gt;0)+--(COUNTIFS($A$14:$A$1213,$H242,$R$14:$R$1213,"&gt;=0")&gt;0)+--(COUNTIFS($A$14:$A$1213,$H242,$S$14:$S$1213,"&gt;=0")&gt;0)+--(COUNTIFS($A$14:$A$1213,$H242,$T$14:$T$1213,"&gt;=0")&gt;0))&lt;2,"—",IF(SUMIFS($AH$14:$AH$1213,$A$14:$A$1213,$H242)=0,"Yes","No")))</f>
        <v/>
      </c>
      <c r="M242" s="25">
        <f>IF($H242="","",IF(COUNTIFS($A$14:$A$1213,$H242,$F$14:$F$1213,"&gt;=0")&lt;2,"—",IF(COUNTIFS($A$14:$A$1213,$H242,$F$14:$F$1213,_xlfn.MAXIFS($F$14:$F$1213,$A$14:$A$1213,$H242))&gt;1,"No",IF(NOT(ISNUMBER($AN242)),"—",IF((2*(1-NORMSDIST(ABS($AN242))))&lt;0.05,"Yes","No")))))</f>
        <v/>
      </c>
      <c r="N242" s="21">
        <f>IF($H242="","",IF(NOT(ISNUMBER($AN242)),"—",IF((2*(1-NORMSDIST(ABS($AN242))))&lt;0.001,"&lt;0.001",TEXT((2*(1-NORMSDIST(ABS($AN242)))),"0.000"))))</f>
        <v/>
      </c>
      <c r="P242" s="26" t="n"/>
      <c r="Q242" s="26" t="n"/>
      <c r="R242" s="26" t="n"/>
      <c r="S242" s="26" t="n"/>
      <c r="T242" s="26" t="n"/>
      <c r="V242" s="27">
        <f>IF(ISNUMBER($C242),COUNTIFS($A$14:$A$1213,$A242,$C$14:$C$1213,"&gt;"&amp;$C242)+(COUNTIFS($A$14:$A$1213,$A242,$C$14:$C$1213,"="&amp;$C242)+1)/2,"")</f>
        <v/>
      </c>
      <c r="W242" s="27">
        <f>IF(ISNUMBER($F242),COUNTIFS($A$14:$A$1213,$A242,$F$14:$F$1213,"&gt;"&amp;$F242)+(COUNTIFS($A$14:$A$1213,$A242,$F$14:$F$1213,"="&amp;$F242)+1)/2,"")</f>
        <v/>
      </c>
      <c r="X242" s="27">
        <f>IF(OR(NOT(ISNUMBER($V242)),$AO242=1),"",$V242-(COUNTIFS($A$14:$A$1213,$A242,$C$14:$C$1213,"&gt;=0")+1)/2)</f>
        <v/>
      </c>
      <c r="Y242" s="27">
        <f>IF(OR(NOT(ISNUMBER($W242)),$AO242=1),"",$W242-(COUNTIFS($A$14:$A$1213,$A242,$F$14:$F$1213,"&gt;=0")+1)/2)</f>
        <v/>
      </c>
      <c r="Z242" s="27">
        <f>IF(ISNUMBER($V242),$A242&amp;"|"&amp;$V242,"")</f>
        <v/>
      </c>
      <c r="AA242" s="27">
        <f>IF(ISNUMBER($W242),$A242&amp;"|"&amp;$W242,"")</f>
        <v/>
      </c>
      <c r="AB242" s="27">
        <f>IF(ISNUMBER($F242),$A242&amp;"|"&amp;$F242,"")</f>
        <v/>
      </c>
      <c r="AC242" s="27">
        <f>IF(ISNUMBER($P242),COUNTIFS($A$14:$A$1213,$A242,$P$14:$P$1213,"&gt;"&amp;$P242)+(COUNTIFS($A$14:$A$1213,$A242,$P$14:$P$1213,"="&amp;$P242)+1)/2,"")</f>
        <v/>
      </c>
      <c r="AD242" s="27">
        <f>IF(ISNUMBER($Q242),COUNTIFS($A$14:$A$1213,$A242,$Q$14:$Q$1213,"&gt;"&amp;$Q242)+(COUNTIFS($A$14:$A$1213,$A242,$Q$14:$Q$1213,"="&amp;$Q242)+1)/2,"")</f>
        <v/>
      </c>
      <c r="AE242" s="27">
        <f>IF(ISNUMBER($R242),COUNTIFS($A$14:$A$1213,$A242,$R$14:$R$1213,"&gt;"&amp;$R242)+(COUNTIFS($A$14:$A$1213,$A242,$R$14:$R$1213,"="&amp;$R242)+1)/2,"")</f>
        <v/>
      </c>
      <c r="AF242" s="27">
        <f>IF(ISNUMBER($S242),COUNTIFS($A$14:$A$1213,$A242,$S$14:$S$1213,"&gt;"&amp;$S242)+(COUNTIFS($A$14:$A$1213,$A242,$S$14:$S$1213,"="&amp;$S242)+1)/2,"")</f>
        <v/>
      </c>
      <c r="AG242" s="27">
        <f>IF(ISNUMBER($T242),COUNTIFS($A$14:$A$1213,$A242,$T$14:$T$1213,"&gt;"&amp;$T242)+(COUNTIFS($A$14:$A$1213,$A242,$T$14:$T$1213,"="&amp;$T242)+1)/2,"")</f>
        <v/>
      </c>
      <c r="AH242" s="27">
        <f>IF(COUNT($AC242:$AG242)&lt;2,"",IF(MAX($AC242:$AG242)=MIN($AC242:$AG242),0,1))</f>
        <v/>
      </c>
      <c r="AI242" s="27">
        <f>IF($A242="","",IF(COUNTIF($A$14:$A242,$A242)=1,COUNTIF($AI$13:AI241,"&gt;0")+1,""))</f>
        <v/>
      </c>
      <c r="AJ242" s="27">
        <f>IF(OR($H242="",COUNTIFS($A$14:$A$1213,$H242,$F$14:$F$1213,"&gt;=0")&lt;2,COUNTIFS($A$14:$A$1213,$H242,$F$14:$F$1213,_xlfn.MAXIFS($F$14:$F$1213,$A$14:$A$1213,$H242))&gt;1),"",IFERROR(INDEX($D$14:$D$1213,MATCH($H242&amp;"|"&amp;_xlfn.MAXIFS($F$14:$F$1213,$A$14:$A$1213,$H242),$AB$14:$AB$1213,0)),""))</f>
        <v/>
      </c>
      <c r="AK242" s="27">
        <f>IF(OR($H242="",COUNTIFS($A$14:$A$1213,$H242,$F$14:$F$1213,"&gt;=0")&lt;2,COUNTIFS($A$14:$A$1213,$H242,$F$14:$F$1213,_xlfn.MAXIFS($F$14:$F$1213,$A$14:$A$1213,$H242))&gt;1),"",IFERROR(INDEX($E$14:$E$1213,MATCH($H242&amp;"|"&amp;_xlfn.MAXIFS($F$14:$F$1213,$A$14:$A$1213,$H242),$AB$14:$AB$1213,0)),""))</f>
        <v/>
      </c>
      <c r="AL242" s="27">
        <f>IF(OR($H242="",COUNTIFS($A$14:$A$1213,$H242,$F$14:$F$1213,"&gt;=0")&lt;2,COUNTIFS($A$14:$A$1213,$H242,$F$14:$F$1213,_xlfn.MAXIFS($F$14:$F$1213,$A$14:$A$1213,$H242))&gt;1),"",IFERROR(INDEX($D$14:$D$1213,MATCH($H242&amp;"|"&amp;_xlfn.MAXIFS($F$14:$F$1213,$A$14:$A$1213,$H242,$F$14:$F$1213,"&lt;"&amp;_xlfn.MAXIFS($F$14:$F$1213,$A$14:$A$1213,$H242)),$AB$14:$AB$1213,0)),""))</f>
        <v/>
      </c>
      <c r="AM242" s="27">
        <f>IF(OR($H242="",COUNTIFS($A$14:$A$1213,$H242,$F$14:$F$1213,"&gt;=0")&lt;2,COUNTIFS($A$14:$A$1213,$H242,$F$14:$F$1213,_xlfn.MAXIFS($F$14:$F$1213,$A$14:$A$1213,$H242))&gt;1),"",IFERROR(INDEX($E$14:$E$1213,MATCH($H242&amp;"|"&amp;_xlfn.MAXIFS($F$14:$F$1213,$A$14:$A$1213,$H242,$F$14:$F$1213,"&lt;"&amp;_xlfn.MAXIFS($F$14:$F$1213,$A$14:$A$1213,$H242)),$AB$14:$AB$1213,0)),""))</f>
        <v/>
      </c>
      <c r="AN242" s="27">
        <f>IF(OR(NOT(ISNUMBER($AJ242)),NOT(ISNUMBER($AL242)),$AK242=0,$AM242=0),"",IF(OR((($AJ242+$AL242)/($AK242+$AM242))&lt;=0,(($AJ242+$AL242)/($AK242+$AM242))&gt;=1),"",($AJ242/$AK242-$AL242/$AM242)/SQRT((($AJ242+$AL242)/($AK242+$AM242))*(1-(($AJ242+$AL242)/($AK242+$AM242)))*(1/$AK242+1/$AM242))))</f>
        <v/>
      </c>
      <c r="AO242" s="27">
        <f>IF($A242="","",IF(AND(COUNTIFS($A$14:$A$1213,$A242,$F$14:$F$1213,"&gt;=0")=2,IFERROR(INDEX($M$14:$M$313,MATCH($A242,$H$14:$H$313,0)),"Yes")&lt;&gt;"Yes"),1,0))</f>
        <v/>
      </c>
    </row>
    <row r="243" ht="24" customHeight="1">
      <c r="A243" s="19" t="n"/>
      <c r="B243" s="20" t="n"/>
      <c r="C243" s="21">
        <f>IFERROR(AVERAGE(P243:T243),"")</f>
        <v/>
      </c>
      <c r="D243" s="29" t="n"/>
      <c r="E243" s="29" t="n"/>
      <c r="F243" s="30">
        <f>IF(AND(ISNUMBER($D243),ISNUMBER($E243),$E243&gt;0,$D243&lt;=$E243),$D243/$E243,"")</f>
        <v/>
      </c>
      <c r="H243" s="19">
        <f>IFERROR(INDEX($A$14:$A$1213,MATCH(230,$AI$14:$AI$1213,0)),"")</f>
        <v/>
      </c>
      <c r="I243" s="24">
        <f>IF($H243="","",IF(COUNTIFS($A$14:$A$1213,$H243,$C$14:$C$1213,"&gt;=0")=0,"—",IFERROR(INDEX($B$14:$B$1213,MATCH($H243&amp;"|1",$Z$14:$Z$1213,0)),"(tied)")))</f>
        <v/>
      </c>
      <c r="J243" s="25">
        <f>IF($H243="","",IF(OR(COUNTIFS($A$14:$A$1213,$H243,$C$14:$C$1213,"&gt;=0")=0,COUNTIFS($A$14:$A$1213,$H243,$F$14:$F$1213,"&gt;=0")=0),"—",IF(OR(ISERROR(MATCH($H243&amp;"|1",$Z$14:$Z$1213,0)),ISERROR(MATCH($H243&amp;"|1",$AA$14:$AA$1213,0))),"Tie",IF(MATCH($H243&amp;"|1",$Z$14:$Z$1213,0)=MATCH($H243&amp;"|1",$AA$14:$AA$1213,0),"Hit","Miss"))))</f>
        <v/>
      </c>
      <c r="K243" s="24">
        <f>IF($H243="","",IF(COUNTIFS($A$14:$A$1213,$H243,$F$14:$F$1213,"&gt;=0")=0,"—",IFERROR(INDEX($B$14:$B$1213,MATCH($H243&amp;"|1",$AA$14:$AA$1213,0)),"(tied)")))</f>
        <v/>
      </c>
      <c r="L243" s="25">
        <f>IF($H243="","",IF((--(COUNTIFS($A$14:$A$1213,$H243,$P$14:$P$1213,"&gt;=0")&gt;0)+--(COUNTIFS($A$14:$A$1213,$H243,$Q$14:$Q$1213,"&gt;=0")&gt;0)+--(COUNTIFS($A$14:$A$1213,$H243,$R$14:$R$1213,"&gt;=0")&gt;0)+--(COUNTIFS($A$14:$A$1213,$H243,$S$14:$S$1213,"&gt;=0")&gt;0)+--(COUNTIFS($A$14:$A$1213,$H243,$T$14:$T$1213,"&gt;=0")&gt;0))&lt;2,"—",IF(SUMIFS($AH$14:$AH$1213,$A$14:$A$1213,$H243)=0,"Yes","No")))</f>
        <v/>
      </c>
      <c r="M243" s="25">
        <f>IF($H243="","",IF(COUNTIFS($A$14:$A$1213,$H243,$F$14:$F$1213,"&gt;=0")&lt;2,"—",IF(COUNTIFS($A$14:$A$1213,$H243,$F$14:$F$1213,_xlfn.MAXIFS($F$14:$F$1213,$A$14:$A$1213,$H243))&gt;1,"No",IF(NOT(ISNUMBER($AN243)),"—",IF((2*(1-NORMSDIST(ABS($AN243))))&lt;0.05,"Yes","No")))))</f>
        <v/>
      </c>
      <c r="N243" s="21">
        <f>IF($H243="","",IF(NOT(ISNUMBER($AN243)),"—",IF((2*(1-NORMSDIST(ABS($AN243))))&lt;0.001,"&lt;0.001",TEXT((2*(1-NORMSDIST(ABS($AN243)))),"0.000"))))</f>
        <v/>
      </c>
      <c r="P243" s="26" t="n"/>
      <c r="Q243" s="26" t="n"/>
      <c r="R243" s="26" t="n"/>
      <c r="S243" s="26" t="n"/>
      <c r="T243" s="26" t="n"/>
      <c r="V243" s="27">
        <f>IF(ISNUMBER($C243),COUNTIFS($A$14:$A$1213,$A243,$C$14:$C$1213,"&gt;"&amp;$C243)+(COUNTIFS($A$14:$A$1213,$A243,$C$14:$C$1213,"="&amp;$C243)+1)/2,"")</f>
        <v/>
      </c>
      <c r="W243" s="27">
        <f>IF(ISNUMBER($F243),COUNTIFS($A$14:$A$1213,$A243,$F$14:$F$1213,"&gt;"&amp;$F243)+(COUNTIFS($A$14:$A$1213,$A243,$F$14:$F$1213,"="&amp;$F243)+1)/2,"")</f>
        <v/>
      </c>
      <c r="X243" s="27">
        <f>IF(OR(NOT(ISNUMBER($V243)),$AO243=1),"",$V243-(COUNTIFS($A$14:$A$1213,$A243,$C$14:$C$1213,"&gt;=0")+1)/2)</f>
        <v/>
      </c>
      <c r="Y243" s="27">
        <f>IF(OR(NOT(ISNUMBER($W243)),$AO243=1),"",$W243-(COUNTIFS($A$14:$A$1213,$A243,$F$14:$F$1213,"&gt;=0")+1)/2)</f>
        <v/>
      </c>
      <c r="Z243" s="27">
        <f>IF(ISNUMBER($V243),$A243&amp;"|"&amp;$V243,"")</f>
        <v/>
      </c>
      <c r="AA243" s="27">
        <f>IF(ISNUMBER($W243),$A243&amp;"|"&amp;$W243,"")</f>
        <v/>
      </c>
      <c r="AB243" s="27">
        <f>IF(ISNUMBER($F243),$A243&amp;"|"&amp;$F243,"")</f>
        <v/>
      </c>
      <c r="AC243" s="27">
        <f>IF(ISNUMBER($P243),COUNTIFS($A$14:$A$1213,$A243,$P$14:$P$1213,"&gt;"&amp;$P243)+(COUNTIFS($A$14:$A$1213,$A243,$P$14:$P$1213,"="&amp;$P243)+1)/2,"")</f>
        <v/>
      </c>
      <c r="AD243" s="27">
        <f>IF(ISNUMBER($Q243),COUNTIFS($A$14:$A$1213,$A243,$Q$14:$Q$1213,"&gt;"&amp;$Q243)+(COUNTIFS($A$14:$A$1213,$A243,$Q$14:$Q$1213,"="&amp;$Q243)+1)/2,"")</f>
        <v/>
      </c>
      <c r="AE243" s="27">
        <f>IF(ISNUMBER($R243),COUNTIFS($A$14:$A$1213,$A243,$R$14:$R$1213,"&gt;"&amp;$R243)+(COUNTIFS($A$14:$A$1213,$A243,$R$14:$R$1213,"="&amp;$R243)+1)/2,"")</f>
        <v/>
      </c>
      <c r="AF243" s="27">
        <f>IF(ISNUMBER($S243),COUNTIFS($A$14:$A$1213,$A243,$S$14:$S$1213,"&gt;"&amp;$S243)+(COUNTIFS($A$14:$A$1213,$A243,$S$14:$S$1213,"="&amp;$S243)+1)/2,"")</f>
        <v/>
      </c>
      <c r="AG243" s="27">
        <f>IF(ISNUMBER($T243),COUNTIFS($A$14:$A$1213,$A243,$T$14:$T$1213,"&gt;"&amp;$T243)+(COUNTIFS($A$14:$A$1213,$A243,$T$14:$T$1213,"="&amp;$T243)+1)/2,"")</f>
        <v/>
      </c>
      <c r="AH243" s="27">
        <f>IF(COUNT($AC243:$AG243)&lt;2,"",IF(MAX($AC243:$AG243)=MIN($AC243:$AG243),0,1))</f>
        <v/>
      </c>
      <c r="AI243" s="27">
        <f>IF($A243="","",IF(COUNTIF($A$14:$A243,$A243)=1,COUNTIF($AI$13:AI242,"&gt;0")+1,""))</f>
        <v/>
      </c>
      <c r="AJ243" s="27">
        <f>IF(OR($H243="",COUNTIFS($A$14:$A$1213,$H243,$F$14:$F$1213,"&gt;=0")&lt;2,COUNTIFS($A$14:$A$1213,$H243,$F$14:$F$1213,_xlfn.MAXIFS($F$14:$F$1213,$A$14:$A$1213,$H243))&gt;1),"",IFERROR(INDEX($D$14:$D$1213,MATCH($H243&amp;"|"&amp;_xlfn.MAXIFS($F$14:$F$1213,$A$14:$A$1213,$H243),$AB$14:$AB$1213,0)),""))</f>
        <v/>
      </c>
      <c r="AK243" s="27">
        <f>IF(OR($H243="",COUNTIFS($A$14:$A$1213,$H243,$F$14:$F$1213,"&gt;=0")&lt;2,COUNTIFS($A$14:$A$1213,$H243,$F$14:$F$1213,_xlfn.MAXIFS($F$14:$F$1213,$A$14:$A$1213,$H243))&gt;1),"",IFERROR(INDEX($E$14:$E$1213,MATCH($H243&amp;"|"&amp;_xlfn.MAXIFS($F$14:$F$1213,$A$14:$A$1213,$H243),$AB$14:$AB$1213,0)),""))</f>
        <v/>
      </c>
      <c r="AL243" s="27">
        <f>IF(OR($H243="",COUNTIFS($A$14:$A$1213,$H243,$F$14:$F$1213,"&gt;=0")&lt;2,COUNTIFS($A$14:$A$1213,$H243,$F$14:$F$1213,_xlfn.MAXIFS($F$14:$F$1213,$A$14:$A$1213,$H243))&gt;1),"",IFERROR(INDEX($D$14:$D$1213,MATCH($H243&amp;"|"&amp;_xlfn.MAXIFS($F$14:$F$1213,$A$14:$A$1213,$H243,$F$14:$F$1213,"&lt;"&amp;_xlfn.MAXIFS($F$14:$F$1213,$A$14:$A$1213,$H243)),$AB$14:$AB$1213,0)),""))</f>
        <v/>
      </c>
      <c r="AM243" s="27">
        <f>IF(OR($H243="",COUNTIFS($A$14:$A$1213,$H243,$F$14:$F$1213,"&gt;=0")&lt;2,COUNTIFS($A$14:$A$1213,$H243,$F$14:$F$1213,_xlfn.MAXIFS($F$14:$F$1213,$A$14:$A$1213,$H243))&gt;1),"",IFERROR(INDEX($E$14:$E$1213,MATCH($H243&amp;"|"&amp;_xlfn.MAXIFS($F$14:$F$1213,$A$14:$A$1213,$H243,$F$14:$F$1213,"&lt;"&amp;_xlfn.MAXIFS($F$14:$F$1213,$A$14:$A$1213,$H243)),$AB$14:$AB$1213,0)),""))</f>
        <v/>
      </c>
      <c r="AN243" s="27">
        <f>IF(OR(NOT(ISNUMBER($AJ243)),NOT(ISNUMBER($AL243)),$AK243=0,$AM243=0),"",IF(OR((($AJ243+$AL243)/($AK243+$AM243))&lt;=0,(($AJ243+$AL243)/($AK243+$AM243))&gt;=1),"",($AJ243/$AK243-$AL243/$AM243)/SQRT((($AJ243+$AL243)/($AK243+$AM243))*(1-(($AJ243+$AL243)/($AK243+$AM243)))*(1/$AK243+1/$AM243))))</f>
        <v/>
      </c>
      <c r="AO243" s="27">
        <f>IF($A243="","",IF(AND(COUNTIFS($A$14:$A$1213,$A243,$F$14:$F$1213,"&gt;=0")=2,IFERROR(INDEX($M$14:$M$313,MATCH($A243,$H$14:$H$313,0)),"Yes")&lt;&gt;"Yes"),1,0))</f>
        <v/>
      </c>
    </row>
    <row r="244" ht="24" customHeight="1">
      <c r="A244" s="19" t="n"/>
      <c r="B244" s="20" t="n"/>
      <c r="C244" s="21">
        <f>IFERROR(AVERAGE(P244:T244),"")</f>
        <v/>
      </c>
      <c r="D244" s="29" t="n"/>
      <c r="E244" s="29" t="n"/>
      <c r="F244" s="30">
        <f>IF(AND(ISNUMBER($D244),ISNUMBER($E244),$E244&gt;0,$D244&lt;=$E244),$D244/$E244,"")</f>
        <v/>
      </c>
      <c r="H244" s="19">
        <f>IFERROR(INDEX($A$14:$A$1213,MATCH(231,$AI$14:$AI$1213,0)),"")</f>
        <v/>
      </c>
      <c r="I244" s="24">
        <f>IF($H244="","",IF(COUNTIFS($A$14:$A$1213,$H244,$C$14:$C$1213,"&gt;=0")=0,"—",IFERROR(INDEX($B$14:$B$1213,MATCH($H244&amp;"|1",$Z$14:$Z$1213,0)),"(tied)")))</f>
        <v/>
      </c>
      <c r="J244" s="25">
        <f>IF($H244="","",IF(OR(COUNTIFS($A$14:$A$1213,$H244,$C$14:$C$1213,"&gt;=0")=0,COUNTIFS($A$14:$A$1213,$H244,$F$14:$F$1213,"&gt;=0")=0),"—",IF(OR(ISERROR(MATCH($H244&amp;"|1",$Z$14:$Z$1213,0)),ISERROR(MATCH($H244&amp;"|1",$AA$14:$AA$1213,0))),"Tie",IF(MATCH($H244&amp;"|1",$Z$14:$Z$1213,0)=MATCH($H244&amp;"|1",$AA$14:$AA$1213,0),"Hit","Miss"))))</f>
        <v/>
      </c>
      <c r="K244" s="24">
        <f>IF($H244="","",IF(COUNTIFS($A$14:$A$1213,$H244,$F$14:$F$1213,"&gt;=0")=0,"—",IFERROR(INDEX($B$14:$B$1213,MATCH($H244&amp;"|1",$AA$14:$AA$1213,0)),"(tied)")))</f>
        <v/>
      </c>
      <c r="L244" s="25">
        <f>IF($H244="","",IF((--(COUNTIFS($A$14:$A$1213,$H244,$P$14:$P$1213,"&gt;=0")&gt;0)+--(COUNTIFS($A$14:$A$1213,$H244,$Q$14:$Q$1213,"&gt;=0")&gt;0)+--(COUNTIFS($A$14:$A$1213,$H244,$R$14:$R$1213,"&gt;=0")&gt;0)+--(COUNTIFS($A$14:$A$1213,$H244,$S$14:$S$1213,"&gt;=0")&gt;0)+--(COUNTIFS($A$14:$A$1213,$H244,$T$14:$T$1213,"&gt;=0")&gt;0))&lt;2,"—",IF(SUMIFS($AH$14:$AH$1213,$A$14:$A$1213,$H244)=0,"Yes","No")))</f>
        <v/>
      </c>
      <c r="M244" s="25">
        <f>IF($H244="","",IF(COUNTIFS($A$14:$A$1213,$H244,$F$14:$F$1213,"&gt;=0")&lt;2,"—",IF(COUNTIFS($A$14:$A$1213,$H244,$F$14:$F$1213,_xlfn.MAXIFS($F$14:$F$1213,$A$14:$A$1213,$H244))&gt;1,"No",IF(NOT(ISNUMBER($AN244)),"—",IF((2*(1-NORMSDIST(ABS($AN244))))&lt;0.05,"Yes","No")))))</f>
        <v/>
      </c>
      <c r="N244" s="21">
        <f>IF($H244="","",IF(NOT(ISNUMBER($AN244)),"—",IF((2*(1-NORMSDIST(ABS($AN244))))&lt;0.001,"&lt;0.001",TEXT((2*(1-NORMSDIST(ABS($AN244)))),"0.000"))))</f>
        <v/>
      </c>
      <c r="P244" s="26" t="n"/>
      <c r="Q244" s="26" t="n"/>
      <c r="R244" s="26" t="n"/>
      <c r="S244" s="26" t="n"/>
      <c r="T244" s="26" t="n"/>
      <c r="V244" s="27">
        <f>IF(ISNUMBER($C244),COUNTIFS($A$14:$A$1213,$A244,$C$14:$C$1213,"&gt;"&amp;$C244)+(COUNTIFS($A$14:$A$1213,$A244,$C$14:$C$1213,"="&amp;$C244)+1)/2,"")</f>
        <v/>
      </c>
      <c r="W244" s="27">
        <f>IF(ISNUMBER($F244),COUNTIFS($A$14:$A$1213,$A244,$F$14:$F$1213,"&gt;"&amp;$F244)+(COUNTIFS($A$14:$A$1213,$A244,$F$14:$F$1213,"="&amp;$F244)+1)/2,"")</f>
        <v/>
      </c>
      <c r="X244" s="27">
        <f>IF(OR(NOT(ISNUMBER($V244)),$AO244=1),"",$V244-(COUNTIFS($A$14:$A$1213,$A244,$C$14:$C$1213,"&gt;=0")+1)/2)</f>
        <v/>
      </c>
      <c r="Y244" s="27">
        <f>IF(OR(NOT(ISNUMBER($W244)),$AO244=1),"",$W244-(COUNTIFS($A$14:$A$1213,$A244,$F$14:$F$1213,"&gt;=0")+1)/2)</f>
        <v/>
      </c>
      <c r="Z244" s="27">
        <f>IF(ISNUMBER($V244),$A244&amp;"|"&amp;$V244,"")</f>
        <v/>
      </c>
      <c r="AA244" s="27">
        <f>IF(ISNUMBER($W244),$A244&amp;"|"&amp;$W244,"")</f>
        <v/>
      </c>
      <c r="AB244" s="27">
        <f>IF(ISNUMBER($F244),$A244&amp;"|"&amp;$F244,"")</f>
        <v/>
      </c>
      <c r="AC244" s="27">
        <f>IF(ISNUMBER($P244),COUNTIFS($A$14:$A$1213,$A244,$P$14:$P$1213,"&gt;"&amp;$P244)+(COUNTIFS($A$14:$A$1213,$A244,$P$14:$P$1213,"="&amp;$P244)+1)/2,"")</f>
        <v/>
      </c>
      <c r="AD244" s="27">
        <f>IF(ISNUMBER($Q244),COUNTIFS($A$14:$A$1213,$A244,$Q$14:$Q$1213,"&gt;"&amp;$Q244)+(COUNTIFS($A$14:$A$1213,$A244,$Q$14:$Q$1213,"="&amp;$Q244)+1)/2,"")</f>
        <v/>
      </c>
      <c r="AE244" s="27">
        <f>IF(ISNUMBER($R244),COUNTIFS($A$14:$A$1213,$A244,$R$14:$R$1213,"&gt;"&amp;$R244)+(COUNTIFS($A$14:$A$1213,$A244,$R$14:$R$1213,"="&amp;$R244)+1)/2,"")</f>
        <v/>
      </c>
      <c r="AF244" s="27">
        <f>IF(ISNUMBER($S244),COUNTIFS($A$14:$A$1213,$A244,$S$14:$S$1213,"&gt;"&amp;$S244)+(COUNTIFS($A$14:$A$1213,$A244,$S$14:$S$1213,"="&amp;$S244)+1)/2,"")</f>
        <v/>
      </c>
      <c r="AG244" s="27">
        <f>IF(ISNUMBER($T244),COUNTIFS($A$14:$A$1213,$A244,$T$14:$T$1213,"&gt;"&amp;$T244)+(COUNTIFS($A$14:$A$1213,$A244,$T$14:$T$1213,"="&amp;$T244)+1)/2,"")</f>
        <v/>
      </c>
      <c r="AH244" s="27">
        <f>IF(COUNT($AC244:$AG244)&lt;2,"",IF(MAX($AC244:$AG244)=MIN($AC244:$AG244),0,1))</f>
        <v/>
      </c>
      <c r="AI244" s="27">
        <f>IF($A244="","",IF(COUNTIF($A$14:$A244,$A244)=1,COUNTIF($AI$13:AI243,"&gt;0")+1,""))</f>
        <v/>
      </c>
      <c r="AJ244" s="27">
        <f>IF(OR($H244="",COUNTIFS($A$14:$A$1213,$H244,$F$14:$F$1213,"&gt;=0")&lt;2,COUNTIFS($A$14:$A$1213,$H244,$F$14:$F$1213,_xlfn.MAXIFS($F$14:$F$1213,$A$14:$A$1213,$H244))&gt;1),"",IFERROR(INDEX($D$14:$D$1213,MATCH($H244&amp;"|"&amp;_xlfn.MAXIFS($F$14:$F$1213,$A$14:$A$1213,$H244),$AB$14:$AB$1213,0)),""))</f>
        <v/>
      </c>
      <c r="AK244" s="27">
        <f>IF(OR($H244="",COUNTIFS($A$14:$A$1213,$H244,$F$14:$F$1213,"&gt;=0")&lt;2,COUNTIFS($A$14:$A$1213,$H244,$F$14:$F$1213,_xlfn.MAXIFS($F$14:$F$1213,$A$14:$A$1213,$H244))&gt;1),"",IFERROR(INDEX($E$14:$E$1213,MATCH($H244&amp;"|"&amp;_xlfn.MAXIFS($F$14:$F$1213,$A$14:$A$1213,$H244),$AB$14:$AB$1213,0)),""))</f>
        <v/>
      </c>
      <c r="AL244" s="27">
        <f>IF(OR($H244="",COUNTIFS($A$14:$A$1213,$H244,$F$14:$F$1213,"&gt;=0")&lt;2,COUNTIFS($A$14:$A$1213,$H244,$F$14:$F$1213,_xlfn.MAXIFS($F$14:$F$1213,$A$14:$A$1213,$H244))&gt;1),"",IFERROR(INDEX($D$14:$D$1213,MATCH($H244&amp;"|"&amp;_xlfn.MAXIFS($F$14:$F$1213,$A$14:$A$1213,$H244,$F$14:$F$1213,"&lt;"&amp;_xlfn.MAXIFS($F$14:$F$1213,$A$14:$A$1213,$H244)),$AB$14:$AB$1213,0)),""))</f>
        <v/>
      </c>
      <c r="AM244" s="27">
        <f>IF(OR($H244="",COUNTIFS($A$14:$A$1213,$H244,$F$14:$F$1213,"&gt;=0")&lt;2,COUNTIFS($A$14:$A$1213,$H244,$F$14:$F$1213,_xlfn.MAXIFS($F$14:$F$1213,$A$14:$A$1213,$H244))&gt;1),"",IFERROR(INDEX($E$14:$E$1213,MATCH($H244&amp;"|"&amp;_xlfn.MAXIFS($F$14:$F$1213,$A$14:$A$1213,$H244,$F$14:$F$1213,"&lt;"&amp;_xlfn.MAXIFS($F$14:$F$1213,$A$14:$A$1213,$H244)),$AB$14:$AB$1213,0)),""))</f>
        <v/>
      </c>
      <c r="AN244" s="27">
        <f>IF(OR(NOT(ISNUMBER($AJ244)),NOT(ISNUMBER($AL244)),$AK244=0,$AM244=0),"",IF(OR((($AJ244+$AL244)/($AK244+$AM244))&lt;=0,(($AJ244+$AL244)/($AK244+$AM244))&gt;=1),"",($AJ244/$AK244-$AL244/$AM244)/SQRT((($AJ244+$AL244)/($AK244+$AM244))*(1-(($AJ244+$AL244)/($AK244+$AM244)))*(1/$AK244+1/$AM244))))</f>
        <v/>
      </c>
      <c r="AO244" s="27">
        <f>IF($A244="","",IF(AND(COUNTIFS($A$14:$A$1213,$A244,$F$14:$F$1213,"&gt;=0")=2,IFERROR(INDEX($M$14:$M$313,MATCH($A244,$H$14:$H$313,0)),"Yes")&lt;&gt;"Yes"),1,0))</f>
        <v/>
      </c>
    </row>
    <row r="245" ht="24" customHeight="1">
      <c r="A245" s="19" t="n"/>
      <c r="B245" s="20" t="n"/>
      <c r="C245" s="21">
        <f>IFERROR(AVERAGE(P245:T245),"")</f>
        <v/>
      </c>
      <c r="D245" s="29" t="n"/>
      <c r="E245" s="29" t="n"/>
      <c r="F245" s="30">
        <f>IF(AND(ISNUMBER($D245),ISNUMBER($E245),$E245&gt;0,$D245&lt;=$E245),$D245/$E245,"")</f>
        <v/>
      </c>
      <c r="H245" s="19">
        <f>IFERROR(INDEX($A$14:$A$1213,MATCH(232,$AI$14:$AI$1213,0)),"")</f>
        <v/>
      </c>
      <c r="I245" s="24">
        <f>IF($H245="","",IF(COUNTIFS($A$14:$A$1213,$H245,$C$14:$C$1213,"&gt;=0")=0,"—",IFERROR(INDEX($B$14:$B$1213,MATCH($H245&amp;"|1",$Z$14:$Z$1213,0)),"(tied)")))</f>
        <v/>
      </c>
      <c r="J245" s="25">
        <f>IF($H245="","",IF(OR(COUNTIFS($A$14:$A$1213,$H245,$C$14:$C$1213,"&gt;=0")=0,COUNTIFS($A$14:$A$1213,$H245,$F$14:$F$1213,"&gt;=0")=0),"—",IF(OR(ISERROR(MATCH($H245&amp;"|1",$Z$14:$Z$1213,0)),ISERROR(MATCH($H245&amp;"|1",$AA$14:$AA$1213,0))),"Tie",IF(MATCH($H245&amp;"|1",$Z$14:$Z$1213,0)=MATCH($H245&amp;"|1",$AA$14:$AA$1213,0),"Hit","Miss"))))</f>
        <v/>
      </c>
      <c r="K245" s="24">
        <f>IF($H245="","",IF(COUNTIFS($A$14:$A$1213,$H245,$F$14:$F$1213,"&gt;=0")=0,"—",IFERROR(INDEX($B$14:$B$1213,MATCH($H245&amp;"|1",$AA$14:$AA$1213,0)),"(tied)")))</f>
        <v/>
      </c>
      <c r="L245" s="25">
        <f>IF($H245="","",IF((--(COUNTIFS($A$14:$A$1213,$H245,$P$14:$P$1213,"&gt;=0")&gt;0)+--(COUNTIFS($A$14:$A$1213,$H245,$Q$14:$Q$1213,"&gt;=0")&gt;0)+--(COUNTIFS($A$14:$A$1213,$H245,$R$14:$R$1213,"&gt;=0")&gt;0)+--(COUNTIFS($A$14:$A$1213,$H245,$S$14:$S$1213,"&gt;=0")&gt;0)+--(COUNTIFS($A$14:$A$1213,$H245,$T$14:$T$1213,"&gt;=0")&gt;0))&lt;2,"—",IF(SUMIFS($AH$14:$AH$1213,$A$14:$A$1213,$H245)=0,"Yes","No")))</f>
        <v/>
      </c>
      <c r="M245" s="25">
        <f>IF($H245="","",IF(COUNTIFS($A$14:$A$1213,$H245,$F$14:$F$1213,"&gt;=0")&lt;2,"—",IF(COUNTIFS($A$14:$A$1213,$H245,$F$14:$F$1213,_xlfn.MAXIFS($F$14:$F$1213,$A$14:$A$1213,$H245))&gt;1,"No",IF(NOT(ISNUMBER($AN245)),"—",IF((2*(1-NORMSDIST(ABS($AN245))))&lt;0.05,"Yes","No")))))</f>
        <v/>
      </c>
      <c r="N245" s="21">
        <f>IF($H245="","",IF(NOT(ISNUMBER($AN245)),"—",IF((2*(1-NORMSDIST(ABS($AN245))))&lt;0.001,"&lt;0.001",TEXT((2*(1-NORMSDIST(ABS($AN245)))),"0.000"))))</f>
        <v/>
      </c>
      <c r="P245" s="26" t="n"/>
      <c r="Q245" s="26" t="n"/>
      <c r="R245" s="26" t="n"/>
      <c r="S245" s="26" t="n"/>
      <c r="T245" s="26" t="n"/>
      <c r="V245" s="27">
        <f>IF(ISNUMBER($C245),COUNTIFS($A$14:$A$1213,$A245,$C$14:$C$1213,"&gt;"&amp;$C245)+(COUNTIFS($A$14:$A$1213,$A245,$C$14:$C$1213,"="&amp;$C245)+1)/2,"")</f>
        <v/>
      </c>
      <c r="W245" s="27">
        <f>IF(ISNUMBER($F245),COUNTIFS($A$14:$A$1213,$A245,$F$14:$F$1213,"&gt;"&amp;$F245)+(COUNTIFS($A$14:$A$1213,$A245,$F$14:$F$1213,"="&amp;$F245)+1)/2,"")</f>
        <v/>
      </c>
      <c r="X245" s="27">
        <f>IF(OR(NOT(ISNUMBER($V245)),$AO245=1),"",$V245-(COUNTIFS($A$14:$A$1213,$A245,$C$14:$C$1213,"&gt;=0")+1)/2)</f>
        <v/>
      </c>
      <c r="Y245" s="27">
        <f>IF(OR(NOT(ISNUMBER($W245)),$AO245=1),"",$W245-(COUNTIFS($A$14:$A$1213,$A245,$F$14:$F$1213,"&gt;=0")+1)/2)</f>
        <v/>
      </c>
      <c r="Z245" s="27">
        <f>IF(ISNUMBER($V245),$A245&amp;"|"&amp;$V245,"")</f>
        <v/>
      </c>
      <c r="AA245" s="27">
        <f>IF(ISNUMBER($W245),$A245&amp;"|"&amp;$W245,"")</f>
        <v/>
      </c>
      <c r="AB245" s="27">
        <f>IF(ISNUMBER($F245),$A245&amp;"|"&amp;$F245,"")</f>
        <v/>
      </c>
      <c r="AC245" s="27">
        <f>IF(ISNUMBER($P245),COUNTIFS($A$14:$A$1213,$A245,$P$14:$P$1213,"&gt;"&amp;$P245)+(COUNTIFS($A$14:$A$1213,$A245,$P$14:$P$1213,"="&amp;$P245)+1)/2,"")</f>
        <v/>
      </c>
      <c r="AD245" s="27">
        <f>IF(ISNUMBER($Q245),COUNTIFS($A$14:$A$1213,$A245,$Q$14:$Q$1213,"&gt;"&amp;$Q245)+(COUNTIFS($A$14:$A$1213,$A245,$Q$14:$Q$1213,"="&amp;$Q245)+1)/2,"")</f>
        <v/>
      </c>
      <c r="AE245" s="27">
        <f>IF(ISNUMBER($R245),COUNTIFS($A$14:$A$1213,$A245,$R$14:$R$1213,"&gt;"&amp;$R245)+(COUNTIFS($A$14:$A$1213,$A245,$R$14:$R$1213,"="&amp;$R245)+1)/2,"")</f>
        <v/>
      </c>
      <c r="AF245" s="27">
        <f>IF(ISNUMBER($S245),COUNTIFS($A$14:$A$1213,$A245,$S$14:$S$1213,"&gt;"&amp;$S245)+(COUNTIFS($A$14:$A$1213,$A245,$S$14:$S$1213,"="&amp;$S245)+1)/2,"")</f>
        <v/>
      </c>
      <c r="AG245" s="27">
        <f>IF(ISNUMBER($T245),COUNTIFS($A$14:$A$1213,$A245,$T$14:$T$1213,"&gt;"&amp;$T245)+(COUNTIFS($A$14:$A$1213,$A245,$T$14:$T$1213,"="&amp;$T245)+1)/2,"")</f>
        <v/>
      </c>
      <c r="AH245" s="27">
        <f>IF(COUNT($AC245:$AG245)&lt;2,"",IF(MAX($AC245:$AG245)=MIN($AC245:$AG245),0,1))</f>
        <v/>
      </c>
      <c r="AI245" s="27">
        <f>IF($A245="","",IF(COUNTIF($A$14:$A245,$A245)=1,COUNTIF($AI$13:AI244,"&gt;0")+1,""))</f>
        <v/>
      </c>
      <c r="AJ245" s="27">
        <f>IF(OR($H245="",COUNTIFS($A$14:$A$1213,$H245,$F$14:$F$1213,"&gt;=0")&lt;2,COUNTIFS($A$14:$A$1213,$H245,$F$14:$F$1213,_xlfn.MAXIFS($F$14:$F$1213,$A$14:$A$1213,$H245))&gt;1),"",IFERROR(INDEX($D$14:$D$1213,MATCH($H245&amp;"|"&amp;_xlfn.MAXIFS($F$14:$F$1213,$A$14:$A$1213,$H245),$AB$14:$AB$1213,0)),""))</f>
        <v/>
      </c>
      <c r="AK245" s="27">
        <f>IF(OR($H245="",COUNTIFS($A$14:$A$1213,$H245,$F$14:$F$1213,"&gt;=0")&lt;2,COUNTIFS($A$14:$A$1213,$H245,$F$14:$F$1213,_xlfn.MAXIFS($F$14:$F$1213,$A$14:$A$1213,$H245))&gt;1),"",IFERROR(INDEX($E$14:$E$1213,MATCH($H245&amp;"|"&amp;_xlfn.MAXIFS($F$14:$F$1213,$A$14:$A$1213,$H245),$AB$14:$AB$1213,0)),""))</f>
        <v/>
      </c>
      <c r="AL245" s="27">
        <f>IF(OR($H245="",COUNTIFS($A$14:$A$1213,$H245,$F$14:$F$1213,"&gt;=0")&lt;2,COUNTIFS($A$14:$A$1213,$H245,$F$14:$F$1213,_xlfn.MAXIFS($F$14:$F$1213,$A$14:$A$1213,$H245))&gt;1),"",IFERROR(INDEX($D$14:$D$1213,MATCH($H245&amp;"|"&amp;_xlfn.MAXIFS($F$14:$F$1213,$A$14:$A$1213,$H245,$F$14:$F$1213,"&lt;"&amp;_xlfn.MAXIFS($F$14:$F$1213,$A$14:$A$1213,$H245)),$AB$14:$AB$1213,0)),""))</f>
        <v/>
      </c>
      <c r="AM245" s="27">
        <f>IF(OR($H245="",COUNTIFS($A$14:$A$1213,$H245,$F$14:$F$1213,"&gt;=0")&lt;2,COUNTIFS($A$14:$A$1213,$H245,$F$14:$F$1213,_xlfn.MAXIFS($F$14:$F$1213,$A$14:$A$1213,$H245))&gt;1),"",IFERROR(INDEX($E$14:$E$1213,MATCH($H245&amp;"|"&amp;_xlfn.MAXIFS($F$14:$F$1213,$A$14:$A$1213,$H245,$F$14:$F$1213,"&lt;"&amp;_xlfn.MAXIFS($F$14:$F$1213,$A$14:$A$1213,$H245)),$AB$14:$AB$1213,0)),""))</f>
        <v/>
      </c>
      <c r="AN245" s="27">
        <f>IF(OR(NOT(ISNUMBER($AJ245)),NOT(ISNUMBER($AL245)),$AK245=0,$AM245=0),"",IF(OR((($AJ245+$AL245)/($AK245+$AM245))&lt;=0,(($AJ245+$AL245)/($AK245+$AM245))&gt;=1),"",($AJ245/$AK245-$AL245/$AM245)/SQRT((($AJ245+$AL245)/($AK245+$AM245))*(1-(($AJ245+$AL245)/($AK245+$AM245)))*(1/$AK245+1/$AM245))))</f>
        <v/>
      </c>
      <c r="AO245" s="27">
        <f>IF($A245="","",IF(AND(COUNTIFS($A$14:$A$1213,$A245,$F$14:$F$1213,"&gt;=0")=2,IFERROR(INDEX($M$14:$M$313,MATCH($A245,$H$14:$H$313,0)),"Yes")&lt;&gt;"Yes"),1,0))</f>
        <v/>
      </c>
    </row>
    <row r="246" ht="24" customHeight="1">
      <c r="A246" s="19" t="n"/>
      <c r="B246" s="20" t="n"/>
      <c r="C246" s="21">
        <f>IFERROR(AVERAGE(P246:T246),"")</f>
        <v/>
      </c>
      <c r="D246" s="29" t="n"/>
      <c r="E246" s="29" t="n"/>
      <c r="F246" s="30">
        <f>IF(AND(ISNUMBER($D246),ISNUMBER($E246),$E246&gt;0,$D246&lt;=$E246),$D246/$E246,"")</f>
        <v/>
      </c>
      <c r="H246" s="19">
        <f>IFERROR(INDEX($A$14:$A$1213,MATCH(233,$AI$14:$AI$1213,0)),"")</f>
        <v/>
      </c>
      <c r="I246" s="24">
        <f>IF($H246="","",IF(COUNTIFS($A$14:$A$1213,$H246,$C$14:$C$1213,"&gt;=0")=0,"—",IFERROR(INDEX($B$14:$B$1213,MATCH($H246&amp;"|1",$Z$14:$Z$1213,0)),"(tied)")))</f>
        <v/>
      </c>
      <c r="J246" s="25">
        <f>IF($H246="","",IF(OR(COUNTIFS($A$14:$A$1213,$H246,$C$14:$C$1213,"&gt;=0")=0,COUNTIFS($A$14:$A$1213,$H246,$F$14:$F$1213,"&gt;=0")=0),"—",IF(OR(ISERROR(MATCH($H246&amp;"|1",$Z$14:$Z$1213,0)),ISERROR(MATCH($H246&amp;"|1",$AA$14:$AA$1213,0))),"Tie",IF(MATCH($H246&amp;"|1",$Z$14:$Z$1213,0)=MATCH($H246&amp;"|1",$AA$14:$AA$1213,0),"Hit","Miss"))))</f>
        <v/>
      </c>
      <c r="K246" s="24">
        <f>IF($H246="","",IF(COUNTIFS($A$14:$A$1213,$H246,$F$14:$F$1213,"&gt;=0")=0,"—",IFERROR(INDEX($B$14:$B$1213,MATCH($H246&amp;"|1",$AA$14:$AA$1213,0)),"(tied)")))</f>
        <v/>
      </c>
      <c r="L246" s="25">
        <f>IF($H246="","",IF((--(COUNTIFS($A$14:$A$1213,$H246,$P$14:$P$1213,"&gt;=0")&gt;0)+--(COUNTIFS($A$14:$A$1213,$H246,$Q$14:$Q$1213,"&gt;=0")&gt;0)+--(COUNTIFS($A$14:$A$1213,$H246,$R$14:$R$1213,"&gt;=0")&gt;0)+--(COUNTIFS($A$14:$A$1213,$H246,$S$14:$S$1213,"&gt;=0")&gt;0)+--(COUNTIFS($A$14:$A$1213,$H246,$T$14:$T$1213,"&gt;=0")&gt;0))&lt;2,"—",IF(SUMIFS($AH$14:$AH$1213,$A$14:$A$1213,$H246)=0,"Yes","No")))</f>
        <v/>
      </c>
      <c r="M246" s="25">
        <f>IF($H246="","",IF(COUNTIFS($A$14:$A$1213,$H246,$F$14:$F$1213,"&gt;=0")&lt;2,"—",IF(COUNTIFS($A$14:$A$1213,$H246,$F$14:$F$1213,_xlfn.MAXIFS($F$14:$F$1213,$A$14:$A$1213,$H246))&gt;1,"No",IF(NOT(ISNUMBER($AN246)),"—",IF((2*(1-NORMSDIST(ABS($AN246))))&lt;0.05,"Yes","No")))))</f>
        <v/>
      </c>
      <c r="N246" s="21">
        <f>IF($H246="","",IF(NOT(ISNUMBER($AN246)),"—",IF((2*(1-NORMSDIST(ABS($AN246))))&lt;0.001,"&lt;0.001",TEXT((2*(1-NORMSDIST(ABS($AN246)))),"0.000"))))</f>
        <v/>
      </c>
      <c r="P246" s="26" t="n"/>
      <c r="Q246" s="26" t="n"/>
      <c r="R246" s="26" t="n"/>
      <c r="S246" s="26" t="n"/>
      <c r="T246" s="26" t="n"/>
      <c r="V246" s="27">
        <f>IF(ISNUMBER($C246),COUNTIFS($A$14:$A$1213,$A246,$C$14:$C$1213,"&gt;"&amp;$C246)+(COUNTIFS($A$14:$A$1213,$A246,$C$14:$C$1213,"="&amp;$C246)+1)/2,"")</f>
        <v/>
      </c>
      <c r="W246" s="27">
        <f>IF(ISNUMBER($F246),COUNTIFS($A$14:$A$1213,$A246,$F$14:$F$1213,"&gt;"&amp;$F246)+(COUNTIFS($A$14:$A$1213,$A246,$F$14:$F$1213,"="&amp;$F246)+1)/2,"")</f>
        <v/>
      </c>
      <c r="X246" s="27">
        <f>IF(OR(NOT(ISNUMBER($V246)),$AO246=1),"",$V246-(COUNTIFS($A$14:$A$1213,$A246,$C$14:$C$1213,"&gt;=0")+1)/2)</f>
        <v/>
      </c>
      <c r="Y246" s="27">
        <f>IF(OR(NOT(ISNUMBER($W246)),$AO246=1),"",$W246-(COUNTIFS($A$14:$A$1213,$A246,$F$14:$F$1213,"&gt;=0")+1)/2)</f>
        <v/>
      </c>
      <c r="Z246" s="27">
        <f>IF(ISNUMBER($V246),$A246&amp;"|"&amp;$V246,"")</f>
        <v/>
      </c>
      <c r="AA246" s="27">
        <f>IF(ISNUMBER($W246),$A246&amp;"|"&amp;$W246,"")</f>
        <v/>
      </c>
      <c r="AB246" s="27">
        <f>IF(ISNUMBER($F246),$A246&amp;"|"&amp;$F246,"")</f>
        <v/>
      </c>
      <c r="AC246" s="27">
        <f>IF(ISNUMBER($P246),COUNTIFS($A$14:$A$1213,$A246,$P$14:$P$1213,"&gt;"&amp;$P246)+(COUNTIFS($A$14:$A$1213,$A246,$P$14:$P$1213,"="&amp;$P246)+1)/2,"")</f>
        <v/>
      </c>
      <c r="AD246" s="27">
        <f>IF(ISNUMBER($Q246),COUNTIFS($A$14:$A$1213,$A246,$Q$14:$Q$1213,"&gt;"&amp;$Q246)+(COUNTIFS($A$14:$A$1213,$A246,$Q$14:$Q$1213,"="&amp;$Q246)+1)/2,"")</f>
        <v/>
      </c>
      <c r="AE246" s="27">
        <f>IF(ISNUMBER($R246),COUNTIFS($A$14:$A$1213,$A246,$R$14:$R$1213,"&gt;"&amp;$R246)+(COUNTIFS($A$14:$A$1213,$A246,$R$14:$R$1213,"="&amp;$R246)+1)/2,"")</f>
        <v/>
      </c>
      <c r="AF246" s="27">
        <f>IF(ISNUMBER($S246),COUNTIFS($A$14:$A$1213,$A246,$S$14:$S$1213,"&gt;"&amp;$S246)+(COUNTIFS($A$14:$A$1213,$A246,$S$14:$S$1213,"="&amp;$S246)+1)/2,"")</f>
        <v/>
      </c>
      <c r="AG246" s="27">
        <f>IF(ISNUMBER($T246),COUNTIFS($A$14:$A$1213,$A246,$T$14:$T$1213,"&gt;"&amp;$T246)+(COUNTIFS($A$14:$A$1213,$A246,$T$14:$T$1213,"="&amp;$T246)+1)/2,"")</f>
        <v/>
      </c>
      <c r="AH246" s="27">
        <f>IF(COUNT($AC246:$AG246)&lt;2,"",IF(MAX($AC246:$AG246)=MIN($AC246:$AG246),0,1))</f>
        <v/>
      </c>
      <c r="AI246" s="27">
        <f>IF($A246="","",IF(COUNTIF($A$14:$A246,$A246)=1,COUNTIF($AI$13:AI245,"&gt;0")+1,""))</f>
        <v/>
      </c>
      <c r="AJ246" s="27">
        <f>IF(OR($H246="",COUNTIFS($A$14:$A$1213,$H246,$F$14:$F$1213,"&gt;=0")&lt;2,COUNTIFS($A$14:$A$1213,$H246,$F$14:$F$1213,_xlfn.MAXIFS($F$14:$F$1213,$A$14:$A$1213,$H246))&gt;1),"",IFERROR(INDEX($D$14:$D$1213,MATCH($H246&amp;"|"&amp;_xlfn.MAXIFS($F$14:$F$1213,$A$14:$A$1213,$H246),$AB$14:$AB$1213,0)),""))</f>
        <v/>
      </c>
      <c r="AK246" s="27">
        <f>IF(OR($H246="",COUNTIFS($A$14:$A$1213,$H246,$F$14:$F$1213,"&gt;=0")&lt;2,COUNTIFS($A$14:$A$1213,$H246,$F$14:$F$1213,_xlfn.MAXIFS($F$14:$F$1213,$A$14:$A$1213,$H246))&gt;1),"",IFERROR(INDEX($E$14:$E$1213,MATCH($H246&amp;"|"&amp;_xlfn.MAXIFS($F$14:$F$1213,$A$14:$A$1213,$H246),$AB$14:$AB$1213,0)),""))</f>
        <v/>
      </c>
      <c r="AL246" s="27">
        <f>IF(OR($H246="",COUNTIFS($A$14:$A$1213,$H246,$F$14:$F$1213,"&gt;=0")&lt;2,COUNTIFS($A$14:$A$1213,$H246,$F$14:$F$1213,_xlfn.MAXIFS($F$14:$F$1213,$A$14:$A$1213,$H246))&gt;1),"",IFERROR(INDEX($D$14:$D$1213,MATCH($H246&amp;"|"&amp;_xlfn.MAXIFS($F$14:$F$1213,$A$14:$A$1213,$H246,$F$14:$F$1213,"&lt;"&amp;_xlfn.MAXIFS($F$14:$F$1213,$A$14:$A$1213,$H246)),$AB$14:$AB$1213,0)),""))</f>
        <v/>
      </c>
      <c r="AM246" s="27">
        <f>IF(OR($H246="",COUNTIFS($A$14:$A$1213,$H246,$F$14:$F$1213,"&gt;=0")&lt;2,COUNTIFS($A$14:$A$1213,$H246,$F$14:$F$1213,_xlfn.MAXIFS($F$14:$F$1213,$A$14:$A$1213,$H246))&gt;1),"",IFERROR(INDEX($E$14:$E$1213,MATCH($H246&amp;"|"&amp;_xlfn.MAXIFS($F$14:$F$1213,$A$14:$A$1213,$H246,$F$14:$F$1213,"&lt;"&amp;_xlfn.MAXIFS($F$14:$F$1213,$A$14:$A$1213,$H246)),$AB$14:$AB$1213,0)),""))</f>
        <v/>
      </c>
      <c r="AN246" s="27">
        <f>IF(OR(NOT(ISNUMBER($AJ246)),NOT(ISNUMBER($AL246)),$AK246=0,$AM246=0),"",IF(OR((($AJ246+$AL246)/($AK246+$AM246))&lt;=0,(($AJ246+$AL246)/($AK246+$AM246))&gt;=1),"",($AJ246/$AK246-$AL246/$AM246)/SQRT((($AJ246+$AL246)/($AK246+$AM246))*(1-(($AJ246+$AL246)/($AK246+$AM246)))*(1/$AK246+1/$AM246))))</f>
        <v/>
      </c>
      <c r="AO246" s="27">
        <f>IF($A246="","",IF(AND(COUNTIFS($A$14:$A$1213,$A246,$F$14:$F$1213,"&gt;=0")=2,IFERROR(INDEX($M$14:$M$313,MATCH($A246,$H$14:$H$313,0)),"Yes")&lt;&gt;"Yes"),1,0))</f>
        <v/>
      </c>
    </row>
    <row r="247" ht="24" customHeight="1">
      <c r="A247" s="19" t="n"/>
      <c r="B247" s="20" t="n"/>
      <c r="C247" s="21">
        <f>IFERROR(AVERAGE(P247:T247),"")</f>
        <v/>
      </c>
      <c r="D247" s="29" t="n"/>
      <c r="E247" s="29" t="n"/>
      <c r="F247" s="30">
        <f>IF(AND(ISNUMBER($D247),ISNUMBER($E247),$E247&gt;0,$D247&lt;=$E247),$D247/$E247,"")</f>
        <v/>
      </c>
      <c r="H247" s="19">
        <f>IFERROR(INDEX($A$14:$A$1213,MATCH(234,$AI$14:$AI$1213,0)),"")</f>
        <v/>
      </c>
      <c r="I247" s="24">
        <f>IF($H247="","",IF(COUNTIFS($A$14:$A$1213,$H247,$C$14:$C$1213,"&gt;=0")=0,"—",IFERROR(INDEX($B$14:$B$1213,MATCH($H247&amp;"|1",$Z$14:$Z$1213,0)),"(tied)")))</f>
        <v/>
      </c>
      <c r="J247" s="25">
        <f>IF($H247="","",IF(OR(COUNTIFS($A$14:$A$1213,$H247,$C$14:$C$1213,"&gt;=0")=0,COUNTIFS($A$14:$A$1213,$H247,$F$14:$F$1213,"&gt;=0")=0),"—",IF(OR(ISERROR(MATCH($H247&amp;"|1",$Z$14:$Z$1213,0)),ISERROR(MATCH($H247&amp;"|1",$AA$14:$AA$1213,0))),"Tie",IF(MATCH($H247&amp;"|1",$Z$14:$Z$1213,0)=MATCH($H247&amp;"|1",$AA$14:$AA$1213,0),"Hit","Miss"))))</f>
        <v/>
      </c>
      <c r="K247" s="24">
        <f>IF($H247="","",IF(COUNTIFS($A$14:$A$1213,$H247,$F$14:$F$1213,"&gt;=0")=0,"—",IFERROR(INDEX($B$14:$B$1213,MATCH($H247&amp;"|1",$AA$14:$AA$1213,0)),"(tied)")))</f>
        <v/>
      </c>
      <c r="L247" s="25">
        <f>IF($H247="","",IF((--(COUNTIFS($A$14:$A$1213,$H247,$P$14:$P$1213,"&gt;=0")&gt;0)+--(COUNTIFS($A$14:$A$1213,$H247,$Q$14:$Q$1213,"&gt;=0")&gt;0)+--(COUNTIFS($A$14:$A$1213,$H247,$R$14:$R$1213,"&gt;=0")&gt;0)+--(COUNTIFS($A$14:$A$1213,$H247,$S$14:$S$1213,"&gt;=0")&gt;0)+--(COUNTIFS($A$14:$A$1213,$H247,$T$14:$T$1213,"&gt;=0")&gt;0))&lt;2,"—",IF(SUMIFS($AH$14:$AH$1213,$A$14:$A$1213,$H247)=0,"Yes","No")))</f>
        <v/>
      </c>
      <c r="M247" s="25">
        <f>IF($H247="","",IF(COUNTIFS($A$14:$A$1213,$H247,$F$14:$F$1213,"&gt;=0")&lt;2,"—",IF(COUNTIFS($A$14:$A$1213,$H247,$F$14:$F$1213,_xlfn.MAXIFS($F$14:$F$1213,$A$14:$A$1213,$H247))&gt;1,"No",IF(NOT(ISNUMBER($AN247)),"—",IF((2*(1-NORMSDIST(ABS($AN247))))&lt;0.05,"Yes","No")))))</f>
        <v/>
      </c>
      <c r="N247" s="21">
        <f>IF($H247="","",IF(NOT(ISNUMBER($AN247)),"—",IF((2*(1-NORMSDIST(ABS($AN247))))&lt;0.001,"&lt;0.001",TEXT((2*(1-NORMSDIST(ABS($AN247)))),"0.000"))))</f>
        <v/>
      </c>
      <c r="P247" s="26" t="n"/>
      <c r="Q247" s="26" t="n"/>
      <c r="R247" s="26" t="n"/>
      <c r="S247" s="26" t="n"/>
      <c r="T247" s="26" t="n"/>
      <c r="V247" s="27">
        <f>IF(ISNUMBER($C247),COUNTIFS($A$14:$A$1213,$A247,$C$14:$C$1213,"&gt;"&amp;$C247)+(COUNTIFS($A$14:$A$1213,$A247,$C$14:$C$1213,"="&amp;$C247)+1)/2,"")</f>
        <v/>
      </c>
      <c r="W247" s="27">
        <f>IF(ISNUMBER($F247),COUNTIFS($A$14:$A$1213,$A247,$F$14:$F$1213,"&gt;"&amp;$F247)+(COUNTIFS($A$14:$A$1213,$A247,$F$14:$F$1213,"="&amp;$F247)+1)/2,"")</f>
        <v/>
      </c>
      <c r="X247" s="27">
        <f>IF(OR(NOT(ISNUMBER($V247)),$AO247=1),"",$V247-(COUNTIFS($A$14:$A$1213,$A247,$C$14:$C$1213,"&gt;=0")+1)/2)</f>
        <v/>
      </c>
      <c r="Y247" s="27">
        <f>IF(OR(NOT(ISNUMBER($W247)),$AO247=1),"",$W247-(COUNTIFS($A$14:$A$1213,$A247,$F$14:$F$1213,"&gt;=0")+1)/2)</f>
        <v/>
      </c>
      <c r="Z247" s="27">
        <f>IF(ISNUMBER($V247),$A247&amp;"|"&amp;$V247,"")</f>
        <v/>
      </c>
      <c r="AA247" s="27">
        <f>IF(ISNUMBER($W247),$A247&amp;"|"&amp;$W247,"")</f>
        <v/>
      </c>
      <c r="AB247" s="27">
        <f>IF(ISNUMBER($F247),$A247&amp;"|"&amp;$F247,"")</f>
        <v/>
      </c>
      <c r="AC247" s="27">
        <f>IF(ISNUMBER($P247),COUNTIFS($A$14:$A$1213,$A247,$P$14:$P$1213,"&gt;"&amp;$P247)+(COUNTIFS($A$14:$A$1213,$A247,$P$14:$P$1213,"="&amp;$P247)+1)/2,"")</f>
        <v/>
      </c>
      <c r="AD247" s="27">
        <f>IF(ISNUMBER($Q247),COUNTIFS($A$14:$A$1213,$A247,$Q$14:$Q$1213,"&gt;"&amp;$Q247)+(COUNTIFS($A$14:$A$1213,$A247,$Q$14:$Q$1213,"="&amp;$Q247)+1)/2,"")</f>
        <v/>
      </c>
      <c r="AE247" s="27">
        <f>IF(ISNUMBER($R247),COUNTIFS($A$14:$A$1213,$A247,$R$14:$R$1213,"&gt;"&amp;$R247)+(COUNTIFS($A$14:$A$1213,$A247,$R$14:$R$1213,"="&amp;$R247)+1)/2,"")</f>
        <v/>
      </c>
      <c r="AF247" s="27">
        <f>IF(ISNUMBER($S247),COUNTIFS($A$14:$A$1213,$A247,$S$14:$S$1213,"&gt;"&amp;$S247)+(COUNTIFS($A$14:$A$1213,$A247,$S$14:$S$1213,"="&amp;$S247)+1)/2,"")</f>
        <v/>
      </c>
      <c r="AG247" s="27">
        <f>IF(ISNUMBER($T247),COUNTIFS($A$14:$A$1213,$A247,$T$14:$T$1213,"&gt;"&amp;$T247)+(COUNTIFS($A$14:$A$1213,$A247,$T$14:$T$1213,"="&amp;$T247)+1)/2,"")</f>
        <v/>
      </c>
      <c r="AH247" s="27">
        <f>IF(COUNT($AC247:$AG247)&lt;2,"",IF(MAX($AC247:$AG247)=MIN($AC247:$AG247),0,1))</f>
        <v/>
      </c>
      <c r="AI247" s="27">
        <f>IF($A247="","",IF(COUNTIF($A$14:$A247,$A247)=1,COUNTIF($AI$13:AI246,"&gt;0")+1,""))</f>
        <v/>
      </c>
      <c r="AJ247" s="27">
        <f>IF(OR($H247="",COUNTIFS($A$14:$A$1213,$H247,$F$14:$F$1213,"&gt;=0")&lt;2,COUNTIFS($A$14:$A$1213,$H247,$F$14:$F$1213,_xlfn.MAXIFS($F$14:$F$1213,$A$14:$A$1213,$H247))&gt;1),"",IFERROR(INDEX($D$14:$D$1213,MATCH($H247&amp;"|"&amp;_xlfn.MAXIFS($F$14:$F$1213,$A$14:$A$1213,$H247),$AB$14:$AB$1213,0)),""))</f>
        <v/>
      </c>
      <c r="AK247" s="27">
        <f>IF(OR($H247="",COUNTIFS($A$14:$A$1213,$H247,$F$14:$F$1213,"&gt;=0")&lt;2,COUNTIFS($A$14:$A$1213,$H247,$F$14:$F$1213,_xlfn.MAXIFS($F$14:$F$1213,$A$14:$A$1213,$H247))&gt;1),"",IFERROR(INDEX($E$14:$E$1213,MATCH($H247&amp;"|"&amp;_xlfn.MAXIFS($F$14:$F$1213,$A$14:$A$1213,$H247),$AB$14:$AB$1213,0)),""))</f>
        <v/>
      </c>
      <c r="AL247" s="27">
        <f>IF(OR($H247="",COUNTIFS($A$14:$A$1213,$H247,$F$14:$F$1213,"&gt;=0")&lt;2,COUNTIFS($A$14:$A$1213,$H247,$F$14:$F$1213,_xlfn.MAXIFS($F$14:$F$1213,$A$14:$A$1213,$H247))&gt;1),"",IFERROR(INDEX($D$14:$D$1213,MATCH($H247&amp;"|"&amp;_xlfn.MAXIFS($F$14:$F$1213,$A$14:$A$1213,$H247,$F$14:$F$1213,"&lt;"&amp;_xlfn.MAXIFS($F$14:$F$1213,$A$14:$A$1213,$H247)),$AB$14:$AB$1213,0)),""))</f>
        <v/>
      </c>
      <c r="AM247" s="27">
        <f>IF(OR($H247="",COUNTIFS($A$14:$A$1213,$H247,$F$14:$F$1213,"&gt;=0")&lt;2,COUNTIFS($A$14:$A$1213,$H247,$F$14:$F$1213,_xlfn.MAXIFS($F$14:$F$1213,$A$14:$A$1213,$H247))&gt;1),"",IFERROR(INDEX($E$14:$E$1213,MATCH($H247&amp;"|"&amp;_xlfn.MAXIFS($F$14:$F$1213,$A$14:$A$1213,$H247,$F$14:$F$1213,"&lt;"&amp;_xlfn.MAXIFS($F$14:$F$1213,$A$14:$A$1213,$H247)),$AB$14:$AB$1213,0)),""))</f>
        <v/>
      </c>
      <c r="AN247" s="27">
        <f>IF(OR(NOT(ISNUMBER($AJ247)),NOT(ISNUMBER($AL247)),$AK247=0,$AM247=0),"",IF(OR((($AJ247+$AL247)/($AK247+$AM247))&lt;=0,(($AJ247+$AL247)/($AK247+$AM247))&gt;=1),"",($AJ247/$AK247-$AL247/$AM247)/SQRT((($AJ247+$AL247)/($AK247+$AM247))*(1-(($AJ247+$AL247)/($AK247+$AM247)))*(1/$AK247+1/$AM247))))</f>
        <v/>
      </c>
      <c r="AO247" s="27">
        <f>IF($A247="","",IF(AND(COUNTIFS($A$14:$A$1213,$A247,$F$14:$F$1213,"&gt;=0")=2,IFERROR(INDEX($M$14:$M$313,MATCH($A247,$H$14:$H$313,0)),"Yes")&lt;&gt;"Yes"),1,0))</f>
        <v/>
      </c>
    </row>
    <row r="248" ht="24" customHeight="1">
      <c r="A248" s="19" t="n"/>
      <c r="B248" s="20" t="n"/>
      <c r="C248" s="21">
        <f>IFERROR(AVERAGE(P248:T248),"")</f>
        <v/>
      </c>
      <c r="D248" s="29" t="n"/>
      <c r="E248" s="29" t="n"/>
      <c r="F248" s="30">
        <f>IF(AND(ISNUMBER($D248),ISNUMBER($E248),$E248&gt;0,$D248&lt;=$E248),$D248/$E248,"")</f>
        <v/>
      </c>
      <c r="H248" s="19">
        <f>IFERROR(INDEX($A$14:$A$1213,MATCH(235,$AI$14:$AI$1213,0)),"")</f>
        <v/>
      </c>
      <c r="I248" s="24">
        <f>IF($H248="","",IF(COUNTIFS($A$14:$A$1213,$H248,$C$14:$C$1213,"&gt;=0")=0,"—",IFERROR(INDEX($B$14:$B$1213,MATCH($H248&amp;"|1",$Z$14:$Z$1213,0)),"(tied)")))</f>
        <v/>
      </c>
      <c r="J248" s="25">
        <f>IF($H248="","",IF(OR(COUNTIFS($A$14:$A$1213,$H248,$C$14:$C$1213,"&gt;=0")=0,COUNTIFS($A$14:$A$1213,$H248,$F$14:$F$1213,"&gt;=0")=0),"—",IF(OR(ISERROR(MATCH($H248&amp;"|1",$Z$14:$Z$1213,0)),ISERROR(MATCH($H248&amp;"|1",$AA$14:$AA$1213,0))),"Tie",IF(MATCH($H248&amp;"|1",$Z$14:$Z$1213,0)=MATCH($H248&amp;"|1",$AA$14:$AA$1213,0),"Hit","Miss"))))</f>
        <v/>
      </c>
      <c r="K248" s="24">
        <f>IF($H248="","",IF(COUNTIFS($A$14:$A$1213,$H248,$F$14:$F$1213,"&gt;=0")=0,"—",IFERROR(INDEX($B$14:$B$1213,MATCH($H248&amp;"|1",$AA$14:$AA$1213,0)),"(tied)")))</f>
        <v/>
      </c>
      <c r="L248" s="25">
        <f>IF($H248="","",IF((--(COUNTIFS($A$14:$A$1213,$H248,$P$14:$P$1213,"&gt;=0")&gt;0)+--(COUNTIFS($A$14:$A$1213,$H248,$Q$14:$Q$1213,"&gt;=0")&gt;0)+--(COUNTIFS($A$14:$A$1213,$H248,$R$14:$R$1213,"&gt;=0")&gt;0)+--(COUNTIFS($A$14:$A$1213,$H248,$S$14:$S$1213,"&gt;=0")&gt;0)+--(COUNTIFS($A$14:$A$1213,$H248,$T$14:$T$1213,"&gt;=0")&gt;0))&lt;2,"—",IF(SUMIFS($AH$14:$AH$1213,$A$14:$A$1213,$H248)=0,"Yes","No")))</f>
        <v/>
      </c>
      <c r="M248" s="25">
        <f>IF($H248="","",IF(COUNTIFS($A$14:$A$1213,$H248,$F$14:$F$1213,"&gt;=0")&lt;2,"—",IF(COUNTIFS($A$14:$A$1213,$H248,$F$14:$F$1213,_xlfn.MAXIFS($F$14:$F$1213,$A$14:$A$1213,$H248))&gt;1,"No",IF(NOT(ISNUMBER($AN248)),"—",IF((2*(1-NORMSDIST(ABS($AN248))))&lt;0.05,"Yes","No")))))</f>
        <v/>
      </c>
      <c r="N248" s="21">
        <f>IF($H248="","",IF(NOT(ISNUMBER($AN248)),"—",IF((2*(1-NORMSDIST(ABS($AN248))))&lt;0.001,"&lt;0.001",TEXT((2*(1-NORMSDIST(ABS($AN248)))),"0.000"))))</f>
        <v/>
      </c>
      <c r="P248" s="26" t="n"/>
      <c r="Q248" s="26" t="n"/>
      <c r="R248" s="26" t="n"/>
      <c r="S248" s="26" t="n"/>
      <c r="T248" s="26" t="n"/>
      <c r="V248" s="27">
        <f>IF(ISNUMBER($C248),COUNTIFS($A$14:$A$1213,$A248,$C$14:$C$1213,"&gt;"&amp;$C248)+(COUNTIFS($A$14:$A$1213,$A248,$C$14:$C$1213,"="&amp;$C248)+1)/2,"")</f>
        <v/>
      </c>
      <c r="W248" s="27">
        <f>IF(ISNUMBER($F248),COUNTIFS($A$14:$A$1213,$A248,$F$14:$F$1213,"&gt;"&amp;$F248)+(COUNTIFS($A$14:$A$1213,$A248,$F$14:$F$1213,"="&amp;$F248)+1)/2,"")</f>
        <v/>
      </c>
      <c r="X248" s="27">
        <f>IF(OR(NOT(ISNUMBER($V248)),$AO248=1),"",$V248-(COUNTIFS($A$14:$A$1213,$A248,$C$14:$C$1213,"&gt;=0")+1)/2)</f>
        <v/>
      </c>
      <c r="Y248" s="27">
        <f>IF(OR(NOT(ISNUMBER($W248)),$AO248=1),"",$W248-(COUNTIFS($A$14:$A$1213,$A248,$F$14:$F$1213,"&gt;=0")+1)/2)</f>
        <v/>
      </c>
      <c r="Z248" s="27">
        <f>IF(ISNUMBER($V248),$A248&amp;"|"&amp;$V248,"")</f>
        <v/>
      </c>
      <c r="AA248" s="27">
        <f>IF(ISNUMBER($W248),$A248&amp;"|"&amp;$W248,"")</f>
        <v/>
      </c>
      <c r="AB248" s="27">
        <f>IF(ISNUMBER($F248),$A248&amp;"|"&amp;$F248,"")</f>
        <v/>
      </c>
      <c r="AC248" s="27">
        <f>IF(ISNUMBER($P248),COUNTIFS($A$14:$A$1213,$A248,$P$14:$P$1213,"&gt;"&amp;$P248)+(COUNTIFS($A$14:$A$1213,$A248,$P$14:$P$1213,"="&amp;$P248)+1)/2,"")</f>
        <v/>
      </c>
      <c r="AD248" s="27">
        <f>IF(ISNUMBER($Q248),COUNTIFS($A$14:$A$1213,$A248,$Q$14:$Q$1213,"&gt;"&amp;$Q248)+(COUNTIFS($A$14:$A$1213,$A248,$Q$14:$Q$1213,"="&amp;$Q248)+1)/2,"")</f>
        <v/>
      </c>
      <c r="AE248" s="27">
        <f>IF(ISNUMBER($R248),COUNTIFS($A$14:$A$1213,$A248,$R$14:$R$1213,"&gt;"&amp;$R248)+(COUNTIFS($A$14:$A$1213,$A248,$R$14:$R$1213,"="&amp;$R248)+1)/2,"")</f>
        <v/>
      </c>
      <c r="AF248" s="27">
        <f>IF(ISNUMBER($S248),COUNTIFS($A$14:$A$1213,$A248,$S$14:$S$1213,"&gt;"&amp;$S248)+(COUNTIFS($A$14:$A$1213,$A248,$S$14:$S$1213,"="&amp;$S248)+1)/2,"")</f>
        <v/>
      </c>
      <c r="AG248" s="27">
        <f>IF(ISNUMBER($T248),COUNTIFS($A$14:$A$1213,$A248,$T$14:$T$1213,"&gt;"&amp;$T248)+(COUNTIFS($A$14:$A$1213,$A248,$T$14:$T$1213,"="&amp;$T248)+1)/2,"")</f>
        <v/>
      </c>
      <c r="AH248" s="27">
        <f>IF(COUNT($AC248:$AG248)&lt;2,"",IF(MAX($AC248:$AG248)=MIN($AC248:$AG248),0,1))</f>
        <v/>
      </c>
      <c r="AI248" s="27">
        <f>IF($A248="","",IF(COUNTIF($A$14:$A248,$A248)=1,COUNTIF($AI$13:AI247,"&gt;0")+1,""))</f>
        <v/>
      </c>
      <c r="AJ248" s="27">
        <f>IF(OR($H248="",COUNTIFS($A$14:$A$1213,$H248,$F$14:$F$1213,"&gt;=0")&lt;2,COUNTIFS($A$14:$A$1213,$H248,$F$14:$F$1213,_xlfn.MAXIFS($F$14:$F$1213,$A$14:$A$1213,$H248))&gt;1),"",IFERROR(INDEX($D$14:$D$1213,MATCH($H248&amp;"|"&amp;_xlfn.MAXIFS($F$14:$F$1213,$A$14:$A$1213,$H248),$AB$14:$AB$1213,0)),""))</f>
        <v/>
      </c>
      <c r="AK248" s="27">
        <f>IF(OR($H248="",COUNTIFS($A$14:$A$1213,$H248,$F$14:$F$1213,"&gt;=0")&lt;2,COUNTIFS($A$14:$A$1213,$H248,$F$14:$F$1213,_xlfn.MAXIFS($F$14:$F$1213,$A$14:$A$1213,$H248))&gt;1),"",IFERROR(INDEX($E$14:$E$1213,MATCH($H248&amp;"|"&amp;_xlfn.MAXIFS($F$14:$F$1213,$A$14:$A$1213,$H248),$AB$14:$AB$1213,0)),""))</f>
        <v/>
      </c>
      <c r="AL248" s="27">
        <f>IF(OR($H248="",COUNTIFS($A$14:$A$1213,$H248,$F$14:$F$1213,"&gt;=0")&lt;2,COUNTIFS($A$14:$A$1213,$H248,$F$14:$F$1213,_xlfn.MAXIFS($F$14:$F$1213,$A$14:$A$1213,$H248))&gt;1),"",IFERROR(INDEX($D$14:$D$1213,MATCH($H248&amp;"|"&amp;_xlfn.MAXIFS($F$14:$F$1213,$A$14:$A$1213,$H248,$F$14:$F$1213,"&lt;"&amp;_xlfn.MAXIFS($F$14:$F$1213,$A$14:$A$1213,$H248)),$AB$14:$AB$1213,0)),""))</f>
        <v/>
      </c>
      <c r="AM248" s="27">
        <f>IF(OR($H248="",COUNTIFS($A$14:$A$1213,$H248,$F$14:$F$1213,"&gt;=0")&lt;2,COUNTIFS($A$14:$A$1213,$H248,$F$14:$F$1213,_xlfn.MAXIFS($F$14:$F$1213,$A$14:$A$1213,$H248))&gt;1),"",IFERROR(INDEX($E$14:$E$1213,MATCH($H248&amp;"|"&amp;_xlfn.MAXIFS($F$14:$F$1213,$A$14:$A$1213,$H248,$F$14:$F$1213,"&lt;"&amp;_xlfn.MAXIFS($F$14:$F$1213,$A$14:$A$1213,$H248)),$AB$14:$AB$1213,0)),""))</f>
        <v/>
      </c>
      <c r="AN248" s="27">
        <f>IF(OR(NOT(ISNUMBER($AJ248)),NOT(ISNUMBER($AL248)),$AK248=0,$AM248=0),"",IF(OR((($AJ248+$AL248)/($AK248+$AM248))&lt;=0,(($AJ248+$AL248)/($AK248+$AM248))&gt;=1),"",($AJ248/$AK248-$AL248/$AM248)/SQRT((($AJ248+$AL248)/($AK248+$AM248))*(1-(($AJ248+$AL248)/($AK248+$AM248)))*(1/$AK248+1/$AM248))))</f>
        <v/>
      </c>
      <c r="AO248" s="27">
        <f>IF($A248="","",IF(AND(COUNTIFS($A$14:$A$1213,$A248,$F$14:$F$1213,"&gt;=0")=2,IFERROR(INDEX($M$14:$M$313,MATCH($A248,$H$14:$H$313,0)),"Yes")&lt;&gt;"Yes"),1,0))</f>
        <v/>
      </c>
    </row>
    <row r="249" ht="24" customHeight="1">
      <c r="A249" s="19" t="n"/>
      <c r="B249" s="20" t="n"/>
      <c r="C249" s="21">
        <f>IFERROR(AVERAGE(P249:T249),"")</f>
        <v/>
      </c>
      <c r="D249" s="29" t="n"/>
      <c r="E249" s="29" t="n"/>
      <c r="F249" s="30">
        <f>IF(AND(ISNUMBER($D249),ISNUMBER($E249),$E249&gt;0,$D249&lt;=$E249),$D249/$E249,"")</f>
        <v/>
      </c>
      <c r="H249" s="19">
        <f>IFERROR(INDEX($A$14:$A$1213,MATCH(236,$AI$14:$AI$1213,0)),"")</f>
        <v/>
      </c>
      <c r="I249" s="24">
        <f>IF($H249="","",IF(COUNTIFS($A$14:$A$1213,$H249,$C$14:$C$1213,"&gt;=0")=0,"—",IFERROR(INDEX($B$14:$B$1213,MATCH($H249&amp;"|1",$Z$14:$Z$1213,0)),"(tied)")))</f>
        <v/>
      </c>
      <c r="J249" s="25">
        <f>IF($H249="","",IF(OR(COUNTIFS($A$14:$A$1213,$H249,$C$14:$C$1213,"&gt;=0")=0,COUNTIFS($A$14:$A$1213,$H249,$F$14:$F$1213,"&gt;=0")=0),"—",IF(OR(ISERROR(MATCH($H249&amp;"|1",$Z$14:$Z$1213,0)),ISERROR(MATCH($H249&amp;"|1",$AA$14:$AA$1213,0))),"Tie",IF(MATCH($H249&amp;"|1",$Z$14:$Z$1213,0)=MATCH($H249&amp;"|1",$AA$14:$AA$1213,0),"Hit","Miss"))))</f>
        <v/>
      </c>
      <c r="K249" s="24">
        <f>IF($H249="","",IF(COUNTIFS($A$14:$A$1213,$H249,$F$14:$F$1213,"&gt;=0")=0,"—",IFERROR(INDEX($B$14:$B$1213,MATCH($H249&amp;"|1",$AA$14:$AA$1213,0)),"(tied)")))</f>
        <v/>
      </c>
      <c r="L249" s="25">
        <f>IF($H249="","",IF((--(COUNTIFS($A$14:$A$1213,$H249,$P$14:$P$1213,"&gt;=0")&gt;0)+--(COUNTIFS($A$14:$A$1213,$H249,$Q$14:$Q$1213,"&gt;=0")&gt;0)+--(COUNTIFS($A$14:$A$1213,$H249,$R$14:$R$1213,"&gt;=0")&gt;0)+--(COUNTIFS($A$14:$A$1213,$H249,$S$14:$S$1213,"&gt;=0")&gt;0)+--(COUNTIFS($A$14:$A$1213,$H249,$T$14:$T$1213,"&gt;=0")&gt;0))&lt;2,"—",IF(SUMIFS($AH$14:$AH$1213,$A$14:$A$1213,$H249)=0,"Yes","No")))</f>
        <v/>
      </c>
      <c r="M249" s="25">
        <f>IF($H249="","",IF(COUNTIFS($A$14:$A$1213,$H249,$F$14:$F$1213,"&gt;=0")&lt;2,"—",IF(COUNTIFS($A$14:$A$1213,$H249,$F$14:$F$1213,_xlfn.MAXIFS($F$14:$F$1213,$A$14:$A$1213,$H249))&gt;1,"No",IF(NOT(ISNUMBER($AN249)),"—",IF((2*(1-NORMSDIST(ABS($AN249))))&lt;0.05,"Yes","No")))))</f>
        <v/>
      </c>
      <c r="N249" s="21">
        <f>IF($H249="","",IF(NOT(ISNUMBER($AN249)),"—",IF((2*(1-NORMSDIST(ABS($AN249))))&lt;0.001,"&lt;0.001",TEXT((2*(1-NORMSDIST(ABS($AN249)))),"0.000"))))</f>
        <v/>
      </c>
      <c r="P249" s="26" t="n"/>
      <c r="Q249" s="26" t="n"/>
      <c r="R249" s="26" t="n"/>
      <c r="S249" s="26" t="n"/>
      <c r="T249" s="26" t="n"/>
      <c r="V249" s="27">
        <f>IF(ISNUMBER($C249),COUNTIFS($A$14:$A$1213,$A249,$C$14:$C$1213,"&gt;"&amp;$C249)+(COUNTIFS($A$14:$A$1213,$A249,$C$14:$C$1213,"="&amp;$C249)+1)/2,"")</f>
        <v/>
      </c>
      <c r="W249" s="27">
        <f>IF(ISNUMBER($F249),COUNTIFS($A$14:$A$1213,$A249,$F$14:$F$1213,"&gt;"&amp;$F249)+(COUNTIFS($A$14:$A$1213,$A249,$F$14:$F$1213,"="&amp;$F249)+1)/2,"")</f>
        <v/>
      </c>
      <c r="X249" s="27">
        <f>IF(OR(NOT(ISNUMBER($V249)),$AO249=1),"",$V249-(COUNTIFS($A$14:$A$1213,$A249,$C$14:$C$1213,"&gt;=0")+1)/2)</f>
        <v/>
      </c>
      <c r="Y249" s="27">
        <f>IF(OR(NOT(ISNUMBER($W249)),$AO249=1),"",$W249-(COUNTIFS($A$14:$A$1213,$A249,$F$14:$F$1213,"&gt;=0")+1)/2)</f>
        <v/>
      </c>
      <c r="Z249" s="27">
        <f>IF(ISNUMBER($V249),$A249&amp;"|"&amp;$V249,"")</f>
        <v/>
      </c>
      <c r="AA249" s="27">
        <f>IF(ISNUMBER($W249),$A249&amp;"|"&amp;$W249,"")</f>
        <v/>
      </c>
      <c r="AB249" s="27">
        <f>IF(ISNUMBER($F249),$A249&amp;"|"&amp;$F249,"")</f>
        <v/>
      </c>
      <c r="AC249" s="27">
        <f>IF(ISNUMBER($P249),COUNTIFS($A$14:$A$1213,$A249,$P$14:$P$1213,"&gt;"&amp;$P249)+(COUNTIFS($A$14:$A$1213,$A249,$P$14:$P$1213,"="&amp;$P249)+1)/2,"")</f>
        <v/>
      </c>
      <c r="AD249" s="27">
        <f>IF(ISNUMBER($Q249),COUNTIFS($A$14:$A$1213,$A249,$Q$14:$Q$1213,"&gt;"&amp;$Q249)+(COUNTIFS($A$14:$A$1213,$A249,$Q$14:$Q$1213,"="&amp;$Q249)+1)/2,"")</f>
        <v/>
      </c>
      <c r="AE249" s="27">
        <f>IF(ISNUMBER($R249),COUNTIFS($A$14:$A$1213,$A249,$R$14:$R$1213,"&gt;"&amp;$R249)+(COUNTIFS($A$14:$A$1213,$A249,$R$14:$R$1213,"="&amp;$R249)+1)/2,"")</f>
        <v/>
      </c>
      <c r="AF249" s="27">
        <f>IF(ISNUMBER($S249),COUNTIFS($A$14:$A$1213,$A249,$S$14:$S$1213,"&gt;"&amp;$S249)+(COUNTIFS($A$14:$A$1213,$A249,$S$14:$S$1213,"="&amp;$S249)+1)/2,"")</f>
        <v/>
      </c>
      <c r="AG249" s="27">
        <f>IF(ISNUMBER($T249),COUNTIFS($A$14:$A$1213,$A249,$T$14:$T$1213,"&gt;"&amp;$T249)+(COUNTIFS($A$14:$A$1213,$A249,$T$14:$T$1213,"="&amp;$T249)+1)/2,"")</f>
        <v/>
      </c>
      <c r="AH249" s="27">
        <f>IF(COUNT($AC249:$AG249)&lt;2,"",IF(MAX($AC249:$AG249)=MIN($AC249:$AG249),0,1))</f>
        <v/>
      </c>
      <c r="AI249" s="27">
        <f>IF($A249="","",IF(COUNTIF($A$14:$A249,$A249)=1,COUNTIF($AI$13:AI248,"&gt;0")+1,""))</f>
        <v/>
      </c>
      <c r="AJ249" s="27">
        <f>IF(OR($H249="",COUNTIFS($A$14:$A$1213,$H249,$F$14:$F$1213,"&gt;=0")&lt;2,COUNTIFS($A$14:$A$1213,$H249,$F$14:$F$1213,_xlfn.MAXIFS($F$14:$F$1213,$A$14:$A$1213,$H249))&gt;1),"",IFERROR(INDEX($D$14:$D$1213,MATCH($H249&amp;"|"&amp;_xlfn.MAXIFS($F$14:$F$1213,$A$14:$A$1213,$H249),$AB$14:$AB$1213,0)),""))</f>
        <v/>
      </c>
      <c r="AK249" s="27">
        <f>IF(OR($H249="",COUNTIFS($A$14:$A$1213,$H249,$F$14:$F$1213,"&gt;=0")&lt;2,COUNTIFS($A$14:$A$1213,$H249,$F$14:$F$1213,_xlfn.MAXIFS($F$14:$F$1213,$A$14:$A$1213,$H249))&gt;1),"",IFERROR(INDEX($E$14:$E$1213,MATCH($H249&amp;"|"&amp;_xlfn.MAXIFS($F$14:$F$1213,$A$14:$A$1213,$H249),$AB$14:$AB$1213,0)),""))</f>
        <v/>
      </c>
      <c r="AL249" s="27">
        <f>IF(OR($H249="",COUNTIFS($A$14:$A$1213,$H249,$F$14:$F$1213,"&gt;=0")&lt;2,COUNTIFS($A$14:$A$1213,$H249,$F$14:$F$1213,_xlfn.MAXIFS($F$14:$F$1213,$A$14:$A$1213,$H249))&gt;1),"",IFERROR(INDEX($D$14:$D$1213,MATCH($H249&amp;"|"&amp;_xlfn.MAXIFS($F$14:$F$1213,$A$14:$A$1213,$H249,$F$14:$F$1213,"&lt;"&amp;_xlfn.MAXIFS($F$14:$F$1213,$A$14:$A$1213,$H249)),$AB$14:$AB$1213,0)),""))</f>
        <v/>
      </c>
      <c r="AM249" s="27">
        <f>IF(OR($H249="",COUNTIFS($A$14:$A$1213,$H249,$F$14:$F$1213,"&gt;=0")&lt;2,COUNTIFS($A$14:$A$1213,$H249,$F$14:$F$1213,_xlfn.MAXIFS($F$14:$F$1213,$A$14:$A$1213,$H249))&gt;1),"",IFERROR(INDEX($E$14:$E$1213,MATCH($H249&amp;"|"&amp;_xlfn.MAXIFS($F$14:$F$1213,$A$14:$A$1213,$H249,$F$14:$F$1213,"&lt;"&amp;_xlfn.MAXIFS($F$14:$F$1213,$A$14:$A$1213,$H249)),$AB$14:$AB$1213,0)),""))</f>
        <v/>
      </c>
      <c r="AN249" s="27">
        <f>IF(OR(NOT(ISNUMBER($AJ249)),NOT(ISNUMBER($AL249)),$AK249=0,$AM249=0),"",IF(OR((($AJ249+$AL249)/($AK249+$AM249))&lt;=0,(($AJ249+$AL249)/($AK249+$AM249))&gt;=1),"",($AJ249/$AK249-$AL249/$AM249)/SQRT((($AJ249+$AL249)/($AK249+$AM249))*(1-(($AJ249+$AL249)/($AK249+$AM249)))*(1/$AK249+1/$AM249))))</f>
        <v/>
      </c>
      <c r="AO249" s="27">
        <f>IF($A249="","",IF(AND(COUNTIFS($A$14:$A$1213,$A249,$F$14:$F$1213,"&gt;=0")=2,IFERROR(INDEX($M$14:$M$313,MATCH($A249,$H$14:$H$313,0)),"Yes")&lt;&gt;"Yes"),1,0))</f>
        <v/>
      </c>
    </row>
    <row r="250" ht="24" customHeight="1">
      <c r="A250" s="19" t="n"/>
      <c r="B250" s="20" t="n"/>
      <c r="C250" s="21">
        <f>IFERROR(AVERAGE(P250:T250),"")</f>
        <v/>
      </c>
      <c r="D250" s="29" t="n"/>
      <c r="E250" s="29" t="n"/>
      <c r="F250" s="30">
        <f>IF(AND(ISNUMBER($D250),ISNUMBER($E250),$E250&gt;0,$D250&lt;=$E250),$D250/$E250,"")</f>
        <v/>
      </c>
      <c r="H250" s="19">
        <f>IFERROR(INDEX($A$14:$A$1213,MATCH(237,$AI$14:$AI$1213,0)),"")</f>
        <v/>
      </c>
      <c r="I250" s="24">
        <f>IF($H250="","",IF(COUNTIFS($A$14:$A$1213,$H250,$C$14:$C$1213,"&gt;=0")=0,"—",IFERROR(INDEX($B$14:$B$1213,MATCH($H250&amp;"|1",$Z$14:$Z$1213,0)),"(tied)")))</f>
        <v/>
      </c>
      <c r="J250" s="25">
        <f>IF($H250="","",IF(OR(COUNTIFS($A$14:$A$1213,$H250,$C$14:$C$1213,"&gt;=0")=0,COUNTIFS($A$14:$A$1213,$H250,$F$14:$F$1213,"&gt;=0")=0),"—",IF(OR(ISERROR(MATCH($H250&amp;"|1",$Z$14:$Z$1213,0)),ISERROR(MATCH($H250&amp;"|1",$AA$14:$AA$1213,0))),"Tie",IF(MATCH($H250&amp;"|1",$Z$14:$Z$1213,0)=MATCH($H250&amp;"|1",$AA$14:$AA$1213,0),"Hit","Miss"))))</f>
        <v/>
      </c>
      <c r="K250" s="24">
        <f>IF($H250="","",IF(COUNTIFS($A$14:$A$1213,$H250,$F$14:$F$1213,"&gt;=0")=0,"—",IFERROR(INDEX($B$14:$B$1213,MATCH($H250&amp;"|1",$AA$14:$AA$1213,0)),"(tied)")))</f>
        <v/>
      </c>
      <c r="L250" s="25">
        <f>IF($H250="","",IF((--(COUNTIFS($A$14:$A$1213,$H250,$P$14:$P$1213,"&gt;=0")&gt;0)+--(COUNTIFS($A$14:$A$1213,$H250,$Q$14:$Q$1213,"&gt;=0")&gt;0)+--(COUNTIFS($A$14:$A$1213,$H250,$R$14:$R$1213,"&gt;=0")&gt;0)+--(COUNTIFS($A$14:$A$1213,$H250,$S$14:$S$1213,"&gt;=0")&gt;0)+--(COUNTIFS($A$14:$A$1213,$H250,$T$14:$T$1213,"&gt;=0")&gt;0))&lt;2,"—",IF(SUMIFS($AH$14:$AH$1213,$A$14:$A$1213,$H250)=0,"Yes","No")))</f>
        <v/>
      </c>
      <c r="M250" s="25">
        <f>IF($H250="","",IF(COUNTIFS($A$14:$A$1213,$H250,$F$14:$F$1213,"&gt;=0")&lt;2,"—",IF(COUNTIFS($A$14:$A$1213,$H250,$F$14:$F$1213,_xlfn.MAXIFS($F$14:$F$1213,$A$14:$A$1213,$H250))&gt;1,"No",IF(NOT(ISNUMBER($AN250)),"—",IF((2*(1-NORMSDIST(ABS($AN250))))&lt;0.05,"Yes","No")))))</f>
        <v/>
      </c>
      <c r="N250" s="21">
        <f>IF($H250="","",IF(NOT(ISNUMBER($AN250)),"—",IF((2*(1-NORMSDIST(ABS($AN250))))&lt;0.001,"&lt;0.001",TEXT((2*(1-NORMSDIST(ABS($AN250)))),"0.000"))))</f>
        <v/>
      </c>
      <c r="P250" s="26" t="n"/>
      <c r="Q250" s="26" t="n"/>
      <c r="R250" s="26" t="n"/>
      <c r="S250" s="26" t="n"/>
      <c r="T250" s="26" t="n"/>
      <c r="V250" s="27">
        <f>IF(ISNUMBER($C250),COUNTIFS($A$14:$A$1213,$A250,$C$14:$C$1213,"&gt;"&amp;$C250)+(COUNTIFS($A$14:$A$1213,$A250,$C$14:$C$1213,"="&amp;$C250)+1)/2,"")</f>
        <v/>
      </c>
      <c r="W250" s="27">
        <f>IF(ISNUMBER($F250),COUNTIFS($A$14:$A$1213,$A250,$F$14:$F$1213,"&gt;"&amp;$F250)+(COUNTIFS($A$14:$A$1213,$A250,$F$14:$F$1213,"="&amp;$F250)+1)/2,"")</f>
        <v/>
      </c>
      <c r="X250" s="27">
        <f>IF(OR(NOT(ISNUMBER($V250)),$AO250=1),"",$V250-(COUNTIFS($A$14:$A$1213,$A250,$C$14:$C$1213,"&gt;=0")+1)/2)</f>
        <v/>
      </c>
      <c r="Y250" s="27">
        <f>IF(OR(NOT(ISNUMBER($W250)),$AO250=1),"",$W250-(COUNTIFS($A$14:$A$1213,$A250,$F$14:$F$1213,"&gt;=0")+1)/2)</f>
        <v/>
      </c>
      <c r="Z250" s="27">
        <f>IF(ISNUMBER($V250),$A250&amp;"|"&amp;$V250,"")</f>
        <v/>
      </c>
      <c r="AA250" s="27">
        <f>IF(ISNUMBER($W250),$A250&amp;"|"&amp;$W250,"")</f>
        <v/>
      </c>
      <c r="AB250" s="27">
        <f>IF(ISNUMBER($F250),$A250&amp;"|"&amp;$F250,"")</f>
        <v/>
      </c>
      <c r="AC250" s="27">
        <f>IF(ISNUMBER($P250),COUNTIFS($A$14:$A$1213,$A250,$P$14:$P$1213,"&gt;"&amp;$P250)+(COUNTIFS($A$14:$A$1213,$A250,$P$14:$P$1213,"="&amp;$P250)+1)/2,"")</f>
        <v/>
      </c>
      <c r="AD250" s="27">
        <f>IF(ISNUMBER($Q250),COUNTIFS($A$14:$A$1213,$A250,$Q$14:$Q$1213,"&gt;"&amp;$Q250)+(COUNTIFS($A$14:$A$1213,$A250,$Q$14:$Q$1213,"="&amp;$Q250)+1)/2,"")</f>
        <v/>
      </c>
      <c r="AE250" s="27">
        <f>IF(ISNUMBER($R250),COUNTIFS($A$14:$A$1213,$A250,$R$14:$R$1213,"&gt;"&amp;$R250)+(COUNTIFS($A$14:$A$1213,$A250,$R$14:$R$1213,"="&amp;$R250)+1)/2,"")</f>
        <v/>
      </c>
      <c r="AF250" s="27">
        <f>IF(ISNUMBER($S250),COUNTIFS($A$14:$A$1213,$A250,$S$14:$S$1213,"&gt;"&amp;$S250)+(COUNTIFS($A$14:$A$1213,$A250,$S$14:$S$1213,"="&amp;$S250)+1)/2,"")</f>
        <v/>
      </c>
      <c r="AG250" s="27">
        <f>IF(ISNUMBER($T250),COUNTIFS($A$14:$A$1213,$A250,$T$14:$T$1213,"&gt;"&amp;$T250)+(COUNTIFS($A$14:$A$1213,$A250,$T$14:$T$1213,"="&amp;$T250)+1)/2,"")</f>
        <v/>
      </c>
      <c r="AH250" s="27">
        <f>IF(COUNT($AC250:$AG250)&lt;2,"",IF(MAX($AC250:$AG250)=MIN($AC250:$AG250),0,1))</f>
        <v/>
      </c>
      <c r="AI250" s="27">
        <f>IF($A250="","",IF(COUNTIF($A$14:$A250,$A250)=1,COUNTIF($AI$13:AI249,"&gt;0")+1,""))</f>
        <v/>
      </c>
      <c r="AJ250" s="27">
        <f>IF(OR($H250="",COUNTIFS($A$14:$A$1213,$H250,$F$14:$F$1213,"&gt;=0")&lt;2,COUNTIFS($A$14:$A$1213,$H250,$F$14:$F$1213,_xlfn.MAXIFS($F$14:$F$1213,$A$14:$A$1213,$H250))&gt;1),"",IFERROR(INDEX($D$14:$D$1213,MATCH($H250&amp;"|"&amp;_xlfn.MAXIFS($F$14:$F$1213,$A$14:$A$1213,$H250),$AB$14:$AB$1213,0)),""))</f>
        <v/>
      </c>
      <c r="AK250" s="27">
        <f>IF(OR($H250="",COUNTIFS($A$14:$A$1213,$H250,$F$14:$F$1213,"&gt;=0")&lt;2,COUNTIFS($A$14:$A$1213,$H250,$F$14:$F$1213,_xlfn.MAXIFS($F$14:$F$1213,$A$14:$A$1213,$H250))&gt;1),"",IFERROR(INDEX($E$14:$E$1213,MATCH($H250&amp;"|"&amp;_xlfn.MAXIFS($F$14:$F$1213,$A$14:$A$1213,$H250),$AB$14:$AB$1213,0)),""))</f>
        <v/>
      </c>
      <c r="AL250" s="27">
        <f>IF(OR($H250="",COUNTIFS($A$14:$A$1213,$H250,$F$14:$F$1213,"&gt;=0")&lt;2,COUNTIFS($A$14:$A$1213,$H250,$F$14:$F$1213,_xlfn.MAXIFS($F$14:$F$1213,$A$14:$A$1213,$H250))&gt;1),"",IFERROR(INDEX($D$14:$D$1213,MATCH($H250&amp;"|"&amp;_xlfn.MAXIFS($F$14:$F$1213,$A$14:$A$1213,$H250,$F$14:$F$1213,"&lt;"&amp;_xlfn.MAXIFS($F$14:$F$1213,$A$14:$A$1213,$H250)),$AB$14:$AB$1213,0)),""))</f>
        <v/>
      </c>
      <c r="AM250" s="27">
        <f>IF(OR($H250="",COUNTIFS($A$14:$A$1213,$H250,$F$14:$F$1213,"&gt;=0")&lt;2,COUNTIFS($A$14:$A$1213,$H250,$F$14:$F$1213,_xlfn.MAXIFS($F$14:$F$1213,$A$14:$A$1213,$H250))&gt;1),"",IFERROR(INDEX($E$14:$E$1213,MATCH($H250&amp;"|"&amp;_xlfn.MAXIFS($F$14:$F$1213,$A$14:$A$1213,$H250,$F$14:$F$1213,"&lt;"&amp;_xlfn.MAXIFS($F$14:$F$1213,$A$14:$A$1213,$H250)),$AB$14:$AB$1213,0)),""))</f>
        <v/>
      </c>
      <c r="AN250" s="27">
        <f>IF(OR(NOT(ISNUMBER($AJ250)),NOT(ISNUMBER($AL250)),$AK250=0,$AM250=0),"",IF(OR((($AJ250+$AL250)/($AK250+$AM250))&lt;=0,(($AJ250+$AL250)/($AK250+$AM250))&gt;=1),"",($AJ250/$AK250-$AL250/$AM250)/SQRT((($AJ250+$AL250)/($AK250+$AM250))*(1-(($AJ250+$AL250)/($AK250+$AM250)))*(1/$AK250+1/$AM250))))</f>
        <v/>
      </c>
      <c r="AO250" s="27">
        <f>IF($A250="","",IF(AND(COUNTIFS($A$14:$A$1213,$A250,$F$14:$F$1213,"&gt;=0")=2,IFERROR(INDEX($M$14:$M$313,MATCH($A250,$H$14:$H$313,0)),"Yes")&lt;&gt;"Yes"),1,0))</f>
        <v/>
      </c>
    </row>
    <row r="251" ht="24" customHeight="1">
      <c r="A251" s="19" t="n"/>
      <c r="B251" s="20" t="n"/>
      <c r="C251" s="21">
        <f>IFERROR(AVERAGE(P251:T251),"")</f>
        <v/>
      </c>
      <c r="D251" s="29" t="n"/>
      <c r="E251" s="29" t="n"/>
      <c r="F251" s="30">
        <f>IF(AND(ISNUMBER($D251),ISNUMBER($E251),$E251&gt;0,$D251&lt;=$E251),$D251/$E251,"")</f>
        <v/>
      </c>
      <c r="H251" s="19">
        <f>IFERROR(INDEX($A$14:$A$1213,MATCH(238,$AI$14:$AI$1213,0)),"")</f>
        <v/>
      </c>
      <c r="I251" s="24">
        <f>IF($H251="","",IF(COUNTIFS($A$14:$A$1213,$H251,$C$14:$C$1213,"&gt;=0")=0,"—",IFERROR(INDEX($B$14:$B$1213,MATCH($H251&amp;"|1",$Z$14:$Z$1213,0)),"(tied)")))</f>
        <v/>
      </c>
      <c r="J251" s="25">
        <f>IF($H251="","",IF(OR(COUNTIFS($A$14:$A$1213,$H251,$C$14:$C$1213,"&gt;=0")=0,COUNTIFS($A$14:$A$1213,$H251,$F$14:$F$1213,"&gt;=0")=0),"—",IF(OR(ISERROR(MATCH($H251&amp;"|1",$Z$14:$Z$1213,0)),ISERROR(MATCH($H251&amp;"|1",$AA$14:$AA$1213,0))),"Tie",IF(MATCH($H251&amp;"|1",$Z$14:$Z$1213,0)=MATCH($H251&amp;"|1",$AA$14:$AA$1213,0),"Hit","Miss"))))</f>
        <v/>
      </c>
      <c r="K251" s="24">
        <f>IF($H251="","",IF(COUNTIFS($A$14:$A$1213,$H251,$F$14:$F$1213,"&gt;=0")=0,"—",IFERROR(INDEX($B$14:$B$1213,MATCH($H251&amp;"|1",$AA$14:$AA$1213,0)),"(tied)")))</f>
        <v/>
      </c>
      <c r="L251" s="25">
        <f>IF($H251="","",IF((--(COUNTIFS($A$14:$A$1213,$H251,$P$14:$P$1213,"&gt;=0")&gt;0)+--(COUNTIFS($A$14:$A$1213,$H251,$Q$14:$Q$1213,"&gt;=0")&gt;0)+--(COUNTIFS($A$14:$A$1213,$H251,$R$14:$R$1213,"&gt;=0")&gt;0)+--(COUNTIFS($A$14:$A$1213,$H251,$S$14:$S$1213,"&gt;=0")&gt;0)+--(COUNTIFS($A$14:$A$1213,$H251,$T$14:$T$1213,"&gt;=0")&gt;0))&lt;2,"—",IF(SUMIFS($AH$14:$AH$1213,$A$14:$A$1213,$H251)=0,"Yes","No")))</f>
        <v/>
      </c>
      <c r="M251" s="25">
        <f>IF($H251="","",IF(COUNTIFS($A$14:$A$1213,$H251,$F$14:$F$1213,"&gt;=0")&lt;2,"—",IF(COUNTIFS($A$14:$A$1213,$H251,$F$14:$F$1213,_xlfn.MAXIFS($F$14:$F$1213,$A$14:$A$1213,$H251))&gt;1,"No",IF(NOT(ISNUMBER($AN251)),"—",IF((2*(1-NORMSDIST(ABS($AN251))))&lt;0.05,"Yes","No")))))</f>
        <v/>
      </c>
      <c r="N251" s="21">
        <f>IF($H251="","",IF(NOT(ISNUMBER($AN251)),"—",IF((2*(1-NORMSDIST(ABS($AN251))))&lt;0.001,"&lt;0.001",TEXT((2*(1-NORMSDIST(ABS($AN251)))),"0.000"))))</f>
        <v/>
      </c>
      <c r="P251" s="26" t="n"/>
      <c r="Q251" s="26" t="n"/>
      <c r="R251" s="26" t="n"/>
      <c r="S251" s="26" t="n"/>
      <c r="T251" s="26" t="n"/>
      <c r="V251" s="27">
        <f>IF(ISNUMBER($C251),COUNTIFS($A$14:$A$1213,$A251,$C$14:$C$1213,"&gt;"&amp;$C251)+(COUNTIFS($A$14:$A$1213,$A251,$C$14:$C$1213,"="&amp;$C251)+1)/2,"")</f>
        <v/>
      </c>
      <c r="W251" s="27">
        <f>IF(ISNUMBER($F251),COUNTIFS($A$14:$A$1213,$A251,$F$14:$F$1213,"&gt;"&amp;$F251)+(COUNTIFS($A$14:$A$1213,$A251,$F$14:$F$1213,"="&amp;$F251)+1)/2,"")</f>
        <v/>
      </c>
      <c r="X251" s="27">
        <f>IF(OR(NOT(ISNUMBER($V251)),$AO251=1),"",$V251-(COUNTIFS($A$14:$A$1213,$A251,$C$14:$C$1213,"&gt;=0")+1)/2)</f>
        <v/>
      </c>
      <c r="Y251" s="27">
        <f>IF(OR(NOT(ISNUMBER($W251)),$AO251=1),"",$W251-(COUNTIFS($A$14:$A$1213,$A251,$F$14:$F$1213,"&gt;=0")+1)/2)</f>
        <v/>
      </c>
      <c r="Z251" s="27">
        <f>IF(ISNUMBER($V251),$A251&amp;"|"&amp;$V251,"")</f>
        <v/>
      </c>
      <c r="AA251" s="27">
        <f>IF(ISNUMBER($W251),$A251&amp;"|"&amp;$W251,"")</f>
        <v/>
      </c>
      <c r="AB251" s="27">
        <f>IF(ISNUMBER($F251),$A251&amp;"|"&amp;$F251,"")</f>
        <v/>
      </c>
      <c r="AC251" s="27">
        <f>IF(ISNUMBER($P251),COUNTIFS($A$14:$A$1213,$A251,$P$14:$P$1213,"&gt;"&amp;$P251)+(COUNTIFS($A$14:$A$1213,$A251,$P$14:$P$1213,"="&amp;$P251)+1)/2,"")</f>
        <v/>
      </c>
      <c r="AD251" s="27">
        <f>IF(ISNUMBER($Q251),COUNTIFS($A$14:$A$1213,$A251,$Q$14:$Q$1213,"&gt;"&amp;$Q251)+(COUNTIFS($A$14:$A$1213,$A251,$Q$14:$Q$1213,"="&amp;$Q251)+1)/2,"")</f>
        <v/>
      </c>
      <c r="AE251" s="27">
        <f>IF(ISNUMBER($R251),COUNTIFS($A$14:$A$1213,$A251,$R$14:$R$1213,"&gt;"&amp;$R251)+(COUNTIFS($A$14:$A$1213,$A251,$R$14:$R$1213,"="&amp;$R251)+1)/2,"")</f>
        <v/>
      </c>
      <c r="AF251" s="27">
        <f>IF(ISNUMBER($S251),COUNTIFS($A$14:$A$1213,$A251,$S$14:$S$1213,"&gt;"&amp;$S251)+(COUNTIFS($A$14:$A$1213,$A251,$S$14:$S$1213,"="&amp;$S251)+1)/2,"")</f>
        <v/>
      </c>
      <c r="AG251" s="27">
        <f>IF(ISNUMBER($T251),COUNTIFS($A$14:$A$1213,$A251,$T$14:$T$1213,"&gt;"&amp;$T251)+(COUNTIFS($A$14:$A$1213,$A251,$T$14:$T$1213,"="&amp;$T251)+1)/2,"")</f>
        <v/>
      </c>
      <c r="AH251" s="27">
        <f>IF(COUNT($AC251:$AG251)&lt;2,"",IF(MAX($AC251:$AG251)=MIN($AC251:$AG251),0,1))</f>
        <v/>
      </c>
      <c r="AI251" s="27">
        <f>IF($A251="","",IF(COUNTIF($A$14:$A251,$A251)=1,COUNTIF($AI$13:AI250,"&gt;0")+1,""))</f>
        <v/>
      </c>
      <c r="AJ251" s="27">
        <f>IF(OR($H251="",COUNTIFS($A$14:$A$1213,$H251,$F$14:$F$1213,"&gt;=0")&lt;2,COUNTIFS($A$14:$A$1213,$H251,$F$14:$F$1213,_xlfn.MAXIFS($F$14:$F$1213,$A$14:$A$1213,$H251))&gt;1),"",IFERROR(INDEX($D$14:$D$1213,MATCH($H251&amp;"|"&amp;_xlfn.MAXIFS($F$14:$F$1213,$A$14:$A$1213,$H251),$AB$14:$AB$1213,0)),""))</f>
        <v/>
      </c>
      <c r="AK251" s="27">
        <f>IF(OR($H251="",COUNTIFS($A$14:$A$1213,$H251,$F$14:$F$1213,"&gt;=0")&lt;2,COUNTIFS($A$14:$A$1213,$H251,$F$14:$F$1213,_xlfn.MAXIFS($F$14:$F$1213,$A$14:$A$1213,$H251))&gt;1),"",IFERROR(INDEX($E$14:$E$1213,MATCH($H251&amp;"|"&amp;_xlfn.MAXIFS($F$14:$F$1213,$A$14:$A$1213,$H251),$AB$14:$AB$1213,0)),""))</f>
        <v/>
      </c>
      <c r="AL251" s="27">
        <f>IF(OR($H251="",COUNTIFS($A$14:$A$1213,$H251,$F$14:$F$1213,"&gt;=0")&lt;2,COUNTIFS($A$14:$A$1213,$H251,$F$14:$F$1213,_xlfn.MAXIFS($F$14:$F$1213,$A$14:$A$1213,$H251))&gt;1),"",IFERROR(INDEX($D$14:$D$1213,MATCH($H251&amp;"|"&amp;_xlfn.MAXIFS($F$14:$F$1213,$A$14:$A$1213,$H251,$F$14:$F$1213,"&lt;"&amp;_xlfn.MAXIFS($F$14:$F$1213,$A$14:$A$1213,$H251)),$AB$14:$AB$1213,0)),""))</f>
        <v/>
      </c>
      <c r="AM251" s="27">
        <f>IF(OR($H251="",COUNTIFS($A$14:$A$1213,$H251,$F$14:$F$1213,"&gt;=0")&lt;2,COUNTIFS($A$14:$A$1213,$H251,$F$14:$F$1213,_xlfn.MAXIFS($F$14:$F$1213,$A$14:$A$1213,$H251))&gt;1),"",IFERROR(INDEX($E$14:$E$1213,MATCH($H251&amp;"|"&amp;_xlfn.MAXIFS($F$14:$F$1213,$A$14:$A$1213,$H251,$F$14:$F$1213,"&lt;"&amp;_xlfn.MAXIFS($F$14:$F$1213,$A$14:$A$1213,$H251)),$AB$14:$AB$1213,0)),""))</f>
        <v/>
      </c>
      <c r="AN251" s="27">
        <f>IF(OR(NOT(ISNUMBER($AJ251)),NOT(ISNUMBER($AL251)),$AK251=0,$AM251=0),"",IF(OR((($AJ251+$AL251)/($AK251+$AM251))&lt;=0,(($AJ251+$AL251)/($AK251+$AM251))&gt;=1),"",($AJ251/$AK251-$AL251/$AM251)/SQRT((($AJ251+$AL251)/($AK251+$AM251))*(1-(($AJ251+$AL251)/($AK251+$AM251)))*(1/$AK251+1/$AM251))))</f>
        <v/>
      </c>
      <c r="AO251" s="27">
        <f>IF($A251="","",IF(AND(COUNTIFS($A$14:$A$1213,$A251,$F$14:$F$1213,"&gt;=0")=2,IFERROR(INDEX($M$14:$M$313,MATCH($A251,$H$14:$H$313,0)),"Yes")&lt;&gt;"Yes"),1,0))</f>
        <v/>
      </c>
    </row>
    <row r="252" ht="24" customHeight="1">
      <c r="A252" s="19" t="n"/>
      <c r="B252" s="20" t="n"/>
      <c r="C252" s="21">
        <f>IFERROR(AVERAGE(P252:T252),"")</f>
        <v/>
      </c>
      <c r="D252" s="29" t="n"/>
      <c r="E252" s="29" t="n"/>
      <c r="F252" s="30">
        <f>IF(AND(ISNUMBER($D252),ISNUMBER($E252),$E252&gt;0,$D252&lt;=$E252),$D252/$E252,"")</f>
        <v/>
      </c>
      <c r="H252" s="19">
        <f>IFERROR(INDEX($A$14:$A$1213,MATCH(239,$AI$14:$AI$1213,0)),"")</f>
        <v/>
      </c>
      <c r="I252" s="24">
        <f>IF($H252="","",IF(COUNTIFS($A$14:$A$1213,$H252,$C$14:$C$1213,"&gt;=0")=0,"—",IFERROR(INDEX($B$14:$B$1213,MATCH($H252&amp;"|1",$Z$14:$Z$1213,0)),"(tied)")))</f>
        <v/>
      </c>
      <c r="J252" s="25">
        <f>IF($H252="","",IF(OR(COUNTIFS($A$14:$A$1213,$H252,$C$14:$C$1213,"&gt;=0")=0,COUNTIFS($A$14:$A$1213,$H252,$F$14:$F$1213,"&gt;=0")=0),"—",IF(OR(ISERROR(MATCH($H252&amp;"|1",$Z$14:$Z$1213,0)),ISERROR(MATCH($H252&amp;"|1",$AA$14:$AA$1213,0))),"Tie",IF(MATCH($H252&amp;"|1",$Z$14:$Z$1213,0)=MATCH($H252&amp;"|1",$AA$14:$AA$1213,0),"Hit","Miss"))))</f>
        <v/>
      </c>
      <c r="K252" s="24">
        <f>IF($H252="","",IF(COUNTIFS($A$14:$A$1213,$H252,$F$14:$F$1213,"&gt;=0")=0,"—",IFERROR(INDEX($B$14:$B$1213,MATCH($H252&amp;"|1",$AA$14:$AA$1213,0)),"(tied)")))</f>
        <v/>
      </c>
      <c r="L252" s="25">
        <f>IF($H252="","",IF((--(COUNTIFS($A$14:$A$1213,$H252,$P$14:$P$1213,"&gt;=0")&gt;0)+--(COUNTIFS($A$14:$A$1213,$H252,$Q$14:$Q$1213,"&gt;=0")&gt;0)+--(COUNTIFS($A$14:$A$1213,$H252,$R$14:$R$1213,"&gt;=0")&gt;0)+--(COUNTIFS($A$14:$A$1213,$H252,$S$14:$S$1213,"&gt;=0")&gt;0)+--(COUNTIFS($A$14:$A$1213,$H252,$T$14:$T$1213,"&gt;=0")&gt;0))&lt;2,"—",IF(SUMIFS($AH$14:$AH$1213,$A$14:$A$1213,$H252)=0,"Yes","No")))</f>
        <v/>
      </c>
      <c r="M252" s="25">
        <f>IF($H252="","",IF(COUNTIFS($A$14:$A$1213,$H252,$F$14:$F$1213,"&gt;=0")&lt;2,"—",IF(COUNTIFS($A$14:$A$1213,$H252,$F$14:$F$1213,_xlfn.MAXIFS($F$14:$F$1213,$A$14:$A$1213,$H252))&gt;1,"No",IF(NOT(ISNUMBER($AN252)),"—",IF((2*(1-NORMSDIST(ABS($AN252))))&lt;0.05,"Yes","No")))))</f>
        <v/>
      </c>
      <c r="N252" s="21">
        <f>IF($H252="","",IF(NOT(ISNUMBER($AN252)),"—",IF((2*(1-NORMSDIST(ABS($AN252))))&lt;0.001,"&lt;0.001",TEXT((2*(1-NORMSDIST(ABS($AN252)))),"0.000"))))</f>
        <v/>
      </c>
      <c r="P252" s="26" t="n"/>
      <c r="Q252" s="26" t="n"/>
      <c r="R252" s="26" t="n"/>
      <c r="S252" s="26" t="n"/>
      <c r="T252" s="26" t="n"/>
      <c r="V252" s="27">
        <f>IF(ISNUMBER($C252),COUNTIFS($A$14:$A$1213,$A252,$C$14:$C$1213,"&gt;"&amp;$C252)+(COUNTIFS($A$14:$A$1213,$A252,$C$14:$C$1213,"="&amp;$C252)+1)/2,"")</f>
        <v/>
      </c>
      <c r="W252" s="27">
        <f>IF(ISNUMBER($F252),COUNTIFS($A$14:$A$1213,$A252,$F$14:$F$1213,"&gt;"&amp;$F252)+(COUNTIFS($A$14:$A$1213,$A252,$F$14:$F$1213,"="&amp;$F252)+1)/2,"")</f>
        <v/>
      </c>
      <c r="X252" s="27">
        <f>IF(OR(NOT(ISNUMBER($V252)),$AO252=1),"",$V252-(COUNTIFS($A$14:$A$1213,$A252,$C$14:$C$1213,"&gt;=0")+1)/2)</f>
        <v/>
      </c>
      <c r="Y252" s="27">
        <f>IF(OR(NOT(ISNUMBER($W252)),$AO252=1),"",$W252-(COUNTIFS($A$14:$A$1213,$A252,$F$14:$F$1213,"&gt;=0")+1)/2)</f>
        <v/>
      </c>
      <c r="Z252" s="27">
        <f>IF(ISNUMBER($V252),$A252&amp;"|"&amp;$V252,"")</f>
        <v/>
      </c>
      <c r="AA252" s="27">
        <f>IF(ISNUMBER($W252),$A252&amp;"|"&amp;$W252,"")</f>
        <v/>
      </c>
      <c r="AB252" s="27">
        <f>IF(ISNUMBER($F252),$A252&amp;"|"&amp;$F252,"")</f>
        <v/>
      </c>
      <c r="AC252" s="27">
        <f>IF(ISNUMBER($P252),COUNTIFS($A$14:$A$1213,$A252,$P$14:$P$1213,"&gt;"&amp;$P252)+(COUNTIFS($A$14:$A$1213,$A252,$P$14:$P$1213,"="&amp;$P252)+1)/2,"")</f>
        <v/>
      </c>
      <c r="AD252" s="27">
        <f>IF(ISNUMBER($Q252),COUNTIFS($A$14:$A$1213,$A252,$Q$14:$Q$1213,"&gt;"&amp;$Q252)+(COUNTIFS($A$14:$A$1213,$A252,$Q$14:$Q$1213,"="&amp;$Q252)+1)/2,"")</f>
        <v/>
      </c>
      <c r="AE252" s="27">
        <f>IF(ISNUMBER($R252),COUNTIFS($A$14:$A$1213,$A252,$R$14:$R$1213,"&gt;"&amp;$R252)+(COUNTIFS($A$14:$A$1213,$A252,$R$14:$R$1213,"="&amp;$R252)+1)/2,"")</f>
        <v/>
      </c>
      <c r="AF252" s="27">
        <f>IF(ISNUMBER($S252),COUNTIFS($A$14:$A$1213,$A252,$S$14:$S$1213,"&gt;"&amp;$S252)+(COUNTIFS($A$14:$A$1213,$A252,$S$14:$S$1213,"="&amp;$S252)+1)/2,"")</f>
        <v/>
      </c>
      <c r="AG252" s="27">
        <f>IF(ISNUMBER($T252),COUNTIFS($A$14:$A$1213,$A252,$T$14:$T$1213,"&gt;"&amp;$T252)+(COUNTIFS($A$14:$A$1213,$A252,$T$14:$T$1213,"="&amp;$T252)+1)/2,"")</f>
        <v/>
      </c>
      <c r="AH252" s="27">
        <f>IF(COUNT($AC252:$AG252)&lt;2,"",IF(MAX($AC252:$AG252)=MIN($AC252:$AG252),0,1))</f>
        <v/>
      </c>
      <c r="AI252" s="27">
        <f>IF($A252="","",IF(COUNTIF($A$14:$A252,$A252)=1,COUNTIF($AI$13:AI251,"&gt;0")+1,""))</f>
        <v/>
      </c>
      <c r="AJ252" s="27">
        <f>IF(OR($H252="",COUNTIFS($A$14:$A$1213,$H252,$F$14:$F$1213,"&gt;=0")&lt;2,COUNTIFS($A$14:$A$1213,$H252,$F$14:$F$1213,_xlfn.MAXIFS($F$14:$F$1213,$A$14:$A$1213,$H252))&gt;1),"",IFERROR(INDEX($D$14:$D$1213,MATCH($H252&amp;"|"&amp;_xlfn.MAXIFS($F$14:$F$1213,$A$14:$A$1213,$H252),$AB$14:$AB$1213,0)),""))</f>
        <v/>
      </c>
      <c r="AK252" s="27">
        <f>IF(OR($H252="",COUNTIFS($A$14:$A$1213,$H252,$F$14:$F$1213,"&gt;=0")&lt;2,COUNTIFS($A$14:$A$1213,$H252,$F$14:$F$1213,_xlfn.MAXIFS($F$14:$F$1213,$A$14:$A$1213,$H252))&gt;1),"",IFERROR(INDEX($E$14:$E$1213,MATCH($H252&amp;"|"&amp;_xlfn.MAXIFS($F$14:$F$1213,$A$14:$A$1213,$H252),$AB$14:$AB$1213,0)),""))</f>
        <v/>
      </c>
      <c r="AL252" s="27">
        <f>IF(OR($H252="",COUNTIFS($A$14:$A$1213,$H252,$F$14:$F$1213,"&gt;=0")&lt;2,COUNTIFS($A$14:$A$1213,$H252,$F$14:$F$1213,_xlfn.MAXIFS($F$14:$F$1213,$A$14:$A$1213,$H252))&gt;1),"",IFERROR(INDEX($D$14:$D$1213,MATCH($H252&amp;"|"&amp;_xlfn.MAXIFS($F$14:$F$1213,$A$14:$A$1213,$H252,$F$14:$F$1213,"&lt;"&amp;_xlfn.MAXIFS($F$14:$F$1213,$A$14:$A$1213,$H252)),$AB$14:$AB$1213,0)),""))</f>
        <v/>
      </c>
      <c r="AM252" s="27">
        <f>IF(OR($H252="",COUNTIFS($A$14:$A$1213,$H252,$F$14:$F$1213,"&gt;=0")&lt;2,COUNTIFS($A$14:$A$1213,$H252,$F$14:$F$1213,_xlfn.MAXIFS($F$14:$F$1213,$A$14:$A$1213,$H252))&gt;1),"",IFERROR(INDEX($E$14:$E$1213,MATCH($H252&amp;"|"&amp;_xlfn.MAXIFS($F$14:$F$1213,$A$14:$A$1213,$H252,$F$14:$F$1213,"&lt;"&amp;_xlfn.MAXIFS($F$14:$F$1213,$A$14:$A$1213,$H252)),$AB$14:$AB$1213,0)),""))</f>
        <v/>
      </c>
      <c r="AN252" s="27">
        <f>IF(OR(NOT(ISNUMBER($AJ252)),NOT(ISNUMBER($AL252)),$AK252=0,$AM252=0),"",IF(OR((($AJ252+$AL252)/($AK252+$AM252))&lt;=0,(($AJ252+$AL252)/($AK252+$AM252))&gt;=1),"",($AJ252/$AK252-$AL252/$AM252)/SQRT((($AJ252+$AL252)/($AK252+$AM252))*(1-(($AJ252+$AL252)/($AK252+$AM252)))*(1/$AK252+1/$AM252))))</f>
        <v/>
      </c>
      <c r="AO252" s="27">
        <f>IF($A252="","",IF(AND(COUNTIFS($A$14:$A$1213,$A252,$F$14:$F$1213,"&gt;=0")=2,IFERROR(INDEX($M$14:$M$313,MATCH($A252,$H$14:$H$313,0)),"Yes")&lt;&gt;"Yes"),1,0))</f>
        <v/>
      </c>
    </row>
    <row r="253" ht="24" customHeight="1">
      <c r="A253" s="19" t="n"/>
      <c r="B253" s="20" t="n"/>
      <c r="C253" s="21">
        <f>IFERROR(AVERAGE(P253:T253),"")</f>
        <v/>
      </c>
      <c r="D253" s="29" t="n"/>
      <c r="E253" s="29" t="n"/>
      <c r="F253" s="30">
        <f>IF(AND(ISNUMBER($D253),ISNUMBER($E253),$E253&gt;0,$D253&lt;=$E253),$D253/$E253,"")</f>
        <v/>
      </c>
      <c r="H253" s="19">
        <f>IFERROR(INDEX($A$14:$A$1213,MATCH(240,$AI$14:$AI$1213,0)),"")</f>
        <v/>
      </c>
      <c r="I253" s="24">
        <f>IF($H253="","",IF(COUNTIFS($A$14:$A$1213,$H253,$C$14:$C$1213,"&gt;=0")=0,"—",IFERROR(INDEX($B$14:$B$1213,MATCH($H253&amp;"|1",$Z$14:$Z$1213,0)),"(tied)")))</f>
        <v/>
      </c>
      <c r="J253" s="25">
        <f>IF($H253="","",IF(OR(COUNTIFS($A$14:$A$1213,$H253,$C$14:$C$1213,"&gt;=0")=0,COUNTIFS($A$14:$A$1213,$H253,$F$14:$F$1213,"&gt;=0")=0),"—",IF(OR(ISERROR(MATCH($H253&amp;"|1",$Z$14:$Z$1213,0)),ISERROR(MATCH($H253&amp;"|1",$AA$14:$AA$1213,0))),"Tie",IF(MATCH($H253&amp;"|1",$Z$14:$Z$1213,0)=MATCH($H253&amp;"|1",$AA$14:$AA$1213,0),"Hit","Miss"))))</f>
        <v/>
      </c>
      <c r="K253" s="24">
        <f>IF($H253="","",IF(COUNTIFS($A$14:$A$1213,$H253,$F$14:$F$1213,"&gt;=0")=0,"—",IFERROR(INDEX($B$14:$B$1213,MATCH($H253&amp;"|1",$AA$14:$AA$1213,0)),"(tied)")))</f>
        <v/>
      </c>
      <c r="L253" s="25">
        <f>IF($H253="","",IF((--(COUNTIFS($A$14:$A$1213,$H253,$P$14:$P$1213,"&gt;=0")&gt;0)+--(COUNTIFS($A$14:$A$1213,$H253,$Q$14:$Q$1213,"&gt;=0")&gt;0)+--(COUNTIFS($A$14:$A$1213,$H253,$R$14:$R$1213,"&gt;=0")&gt;0)+--(COUNTIFS($A$14:$A$1213,$H253,$S$14:$S$1213,"&gt;=0")&gt;0)+--(COUNTIFS($A$14:$A$1213,$H253,$T$14:$T$1213,"&gt;=0")&gt;0))&lt;2,"—",IF(SUMIFS($AH$14:$AH$1213,$A$14:$A$1213,$H253)=0,"Yes","No")))</f>
        <v/>
      </c>
      <c r="M253" s="25">
        <f>IF($H253="","",IF(COUNTIFS($A$14:$A$1213,$H253,$F$14:$F$1213,"&gt;=0")&lt;2,"—",IF(COUNTIFS($A$14:$A$1213,$H253,$F$14:$F$1213,_xlfn.MAXIFS($F$14:$F$1213,$A$14:$A$1213,$H253))&gt;1,"No",IF(NOT(ISNUMBER($AN253)),"—",IF((2*(1-NORMSDIST(ABS($AN253))))&lt;0.05,"Yes","No")))))</f>
        <v/>
      </c>
      <c r="N253" s="21">
        <f>IF($H253="","",IF(NOT(ISNUMBER($AN253)),"—",IF((2*(1-NORMSDIST(ABS($AN253))))&lt;0.001,"&lt;0.001",TEXT((2*(1-NORMSDIST(ABS($AN253)))),"0.000"))))</f>
        <v/>
      </c>
      <c r="P253" s="26" t="n"/>
      <c r="Q253" s="26" t="n"/>
      <c r="R253" s="26" t="n"/>
      <c r="S253" s="26" t="n"/>
      <c r="T253" s="26" t="n"/>
      <c r="V253" s="27">
        <f>IF(ISNUMBER($C253),COUNTIFS($A$14:$A$1213,$A253,$C$14:$C$1213,"&gt;"&amp;$C253)+(COUNTIFS($A$14:$A$1213,$A253,$C$14:$C$1213,"="&amp;$C253)+1)/2,"")</f>
        <v/>
      </c>
      <c r="W253" s="27">
        <f>IF(ISNUMBER($F253),COUNTIFS($A$14:$A$1213,$A253,$F$14:$F$1213,"&gt;"&amp;$F253)+(COUNTIFS($A$14:$A$1213,$A253,$F$14:$F$1213,"="&amp;$F253)+1)/2,"")</f>
        <v/>
      </c>
      <c r="X253" s="27">
        <f>IF(OR(NOT(ISNUMBER($V253)),$AO253=1),"",$V253-(COUNTIFS($A$14:$A$1213,$A253,$C$14:$C$1213,"&gt;=0")+1)/2)</f>
        <v/>
      </c>
      <c r="Y253" s="27">
        <f>IF(OR(NOT(ISNUMBER($W253)),$AO253=1),"",$W253-(COUNTIFS($A$14:$A$1213,$A253,$F$14:$F$1213,"&gt;=0")+1)/2)</f>
        <v/>
      </c>
      <c r="Z253" s="27">
        <f>IF(ISNUMBER($V253),$A253&amp;"|"&amp;$V253,"")</f>
        <v/>
      </c>
      <c r="AA253" s="27">
        <f>IF(ISNUMBER($W253),$A253&amp;"|"&amp;$W253,"")</f>
        <v/>
      </c>
      <c r="AB253" s="27">
        <f>IF(ISNUMBER($F253),$A253&amp;"|"&amp;$F253,"")</f>
        <v/>
      </c>
      <c r="AC253" s="27">
        <f>IF(ISNUMBER($P253),COUNTIFS($A$14:$A$1213,$A253,$P$14:$P$1213,"&gt;"&amp;$P253)+(COUNTIFS($A$14:$A$1213,$A253,$P$14:$P$1213,"="&amp;$P253)+1)/2,"")</f>
        <v/>
      </c>
      <c r="AD253" s="27">
        <f>IF(ISNUMBER($Q253),COUNTIFS($A$14:$A$1213,$A253,$Q$14:$Q$1213,"&gt;"&amp;$Q253)+(COUNTIFS($A$14:$A$1213,$A253,$Q$14:$Q$1213,"="&amp;$Q253)+1)/2,"")</f>
        <v/>
      </c>
      <c r="AE253" s="27">
        <f>IF(ISNUMBER($R253),COUNTIFS($A$14:$A$1213,$A253,$R$14:$R$1213,"&gt;"&amp;$R253)+(COUNTIFS($A$14:$A$1213,$A253,$R$14:$R$1213,"="&amp;$R253)+1)/2,"")</f>
        <v/>
      </c>
      <c r="AF253" s="27">
        <f>IF(ISNUMBER($S253),COUNTIFS($A$14:$A$1213,$A253,$S$14:$S$1213,"&gt;"&amp;$S253)+(COUNTIFS($A$14:$A$1213,$A253,$S$14:$S$1213,"="&amp;$S253)+1)/2,"")</f>
        <v/>
      </c>
      <c r="AG253" s="27">
        <f>IF(ISNUMBER($T253),COUNTIFS($A$14:$A$1213,$A253,$T$14:$T$1213,"&gt;"&amp;$T253)+(COUNTIFS($A$14:$A$1213,$A253,$T$14:$T$1213,"="&amp;$T253)+1)/2,"")</f>
        <v/>
      </c>
      <c r="AH253" s="27">
        <f>IF(COUNT($AC253:$AG253)&lt;2,"",IF(MAX($AC253:$AG253)=MIN($AC253:$AG253),0,1))</f>
        <v/>
      </c>
      <c r="AI253" s="27">
        <f>IF($A253="","",IF(COUNTIF($A$14:$A253,$A253)=1,COUNTIF($AI$13:AI252,"&gt;0")+1,""))</f>
        <v/>
      </c>
      <c r="AJ253" s="27">
        <f>IF(OR($H253="",COUNTIFS($A$14:$A$1213,$H253,$F$14:$F$1213,"&gt;=0")&lt;2,COUNTIFS($A$14:$A$1213,$H253,$F$14:$F$1213,_xlfn.MAXIFS($F$14:$F$1213,$A$14:$A$1213,$H253))&gt;1),"",IFERROR(INDEX($D$14:$D$1213,MATCH($H253&amp;"|"&amp;_xlfn.MAXIFS($F$14:$F$1213,$A$14:$A$1213,$H253),$AB$14:$AB$1213,0)),""))</f>
        <v/>
      </c>
      <c r="AK253" s="27">
        <f>IF(OR($H253="",COUNTIFS($A$14:$A$1213,$H253,$F$14:$F$1213,"&gt;=0")&lt;2,COUNTIFS($A$14:$A$1213,$H253,$F$14:$F$1213,_xlfn.MAXIFS($F$14:$F$1213,$A$14:$A$1213,$H253))&gt;1),"",IFERROR(INDEX($E$14:$E$1213,MATCH($H253&amp;"|"&amp;_xlfn.MAXIFS($F$14:$F$1213,$A$14:$A$1213,$H253),$AB$14:$AB$1213,0)),""))</f>
        <v/>
      </c>
      <c r="AL253" s="27">
        <f>IF(OR($H253="",COUNTIFS($A$14:$A$1213,$H253,$F$14:$F$1213,"&gt;=0")&lt;2,COUNTIFS($A$14:$A$1213,$H253,$F$14:$F$1213,_xlfn.MAXIFS($F$14:$F$1213,$A$14:$A$1213,$H253))&gt;1),"",IFERROR(INDEX($D$14:$D$1213,MATCH($H253&amp;"|"&amp;_xlfn.MAXIFS($F$14:$F$1213,$A$14:$A$1213,$H253,$F$14:$F$1213,"&lt;"&amp;_xlfn.MAXIFS($F$14:$F$1213,$A$14:$A$1213,$H253)),$AB$14:$AB$1213,0)),""))</f>
        <v/>
      </c>
      <c r="AM253" s="27">
        <f>IF(OR($H253="",COUNTIFS($A$14:$A$1213,$H253,$F$14:$F$1213,"&gt;=0")&lt;2,COUNTIFS($A$14:$A$1213,$H253,$F$14:$F$1213,_xlfn.MAXIFS($F$14:$F$1213,$A$14:$A$1213,$H253))&gt;1),"",IFERROR(INDEX($E$14:$E$1213,MATCH($H253&amp;"|"&amp;_xlfn.MAXIFS($F$14:$F$1213,$A$14:$A$1213,$H253,$F$14:$F$1213,"&lt;"&amp;_xlfn.MAXIFS($F$14:$F$1213,$A$14:$A$1213,$H253)),$AB$14:$AB$1213,0)),""))</f>
        <v/>
      </c>
      <c r="AN253" s="27">
        <f>IF(OR(NOT(ISNUMBER($AJ253)),NOT(ISNUMBER($AL253)),$AK253=0,$AM253=0),"",IF(OR((($AJ253+$AL253)/($AK253+$AM253))&lt;=0,(($AJ253+$AL253)/($AK253+$AM253))&gt;=1),"",($AJ253/$AK253-$AL253/$AM253)/SQRT((($AJ253+$AL253)/($AK253+$AM253))*(1-(($AJ253+$AL253)/($AK253+$AM253)))*(1/$AK253+1/$AM253))))</f>
        <v/>
      </c>
      <c r="AO253" s="27">
        <f>IF($A253="","",IF(AND(COUNTIFS($A$14:$A$1213,$A253,$F$14:$F$1213,"&gt;=0")=2,IFERROR(INDEX($M$14:$M$313,MATCH($A253,$H$14:$H$313,0)),"Yes")&lt;&gt;"Yes"),1,0))</f>
        <v/>
      </c>
    </row>
    <row r="254" ht="24" customHeight="1">
      <c r="A254" s="19" t="n"/>
      <c r="B254" s="20" t="n"/>
      <c r="C254" s="21">
        <f>IFERROR(AVERAGE(P254:T254),"")</f>
        <v/>
      </c>
      <c r="D254" s="29" t="n"/>
      <c r="E254" s="29" t="n"/>
      <c r="F254" s="30">
        <f>IF(AND(ISNUMBER($D254),ISNUMBER($E254),$E254&gt;0,$D254&lt;=$E254),$D254/$E254,"")</f>
        <v/>
      </c>
      <c r="H254" s="19">
        <f>IFERROR(INDEX($A$14:$A$1213,MATCH(241,$AI$14:$AI$1213,0)),"")</f>
        <v/>
      </c>
      <c r="I254" s="24">
        <f>IF($H254="","",IF(COUNTIFS($A$14:$A$1213,$H254,$C$14:$C$1213,"&gt;=0")=0,"—",IFERROR(INDEX($B$14:$B$1213,MATCH($H254&amp;"|1",$Z$14:$Z$1213,0)),"(tied)")))</f>
        <v/>
      </c>
      <c r="J254" s="25">
        <f>IF($H254="","",IF(OR(COUNTIFS($A$14:$A$1213,$H254,$C$14:$C$1213,"&gt;=0")=0,COUNTIFS($A$14:$A$1213,$H254,$F$14:$F$1213,"&gt;=0")=0),"—",IF(OR(ISERROR(MATCH($H254&amp;"|1",$Z$14:$Z$1213,0)),ISERROR(MATCH($H254&amp;"|1",$AA$14:$AA$1213,0))),"Tie",IF(MATCH($H254&amp;"|1",$Z$14:$Z$1213,0)=MATCH($H254&amp;"|1",$AA$14:$AA$1213,0),"Hit","Miss"))))</f>
        <v/>
      </c>
      <c r="K254" s="24">
        <f>IF($H254="","",IF(COUNTIFS($A$14:$A$1213,$H254,$F$14:$F$1213,"&gt;=0")=0,"—",IFERROR(INDEX($B$14:$B$1213,MATCH($H254&amp;"|1",$AA$14:$AA$1213,0)),"(tied)")))</f>
        <v/>
      </c>
      <c r="L254" s="25">
        <f>IF($H254="","",IF((--(COUNTIFS($A$14:$A$1213,$H254,$P$14:$P$1213,"&gt;=0")&gt;0)+--(COUNTIFS($A$14:$A$1213,$H254,$Q$14:$Q$1213,"&gt;=0")&gt;0)+--(COUNTIFS($A$14:$A$1213,$H254,$R$14:$R$1213,"&gt;=0")&gt;0)+--(COUNTIFS($A$14:$A$1213,$H254,$S$14:$S$1213,"&gt;=0")&gt;0)+--(COUNTIFS($A$14:$A$1213,$H254,$T$14:$T$1213,"&gt;=0")&gt;0))&lt;2,"—",IF(SUMIFS($AH$14:$AH$1213,$A$14:$A$1213,$H254)=0,"Yes","No")))</f>
        <v/>
      </c>
      <c r="M254" s="25">
        <f>IF($H254="","",IF(COUNTIFS($A$14:$A$1213,$H254,$F$14:$F$1213,"&gt;=0")&lt;2,"—",IF(COUNTIFS($A$14:$A$1213,$H254,$F$14:$F$1213,_xlfn.MAXIFS($F$14:$F$1213,$A$14:$A$1213,$H254))&gt;1,"No",IF(NOT(ISNUMBER($AN254)),"—",IF((2*(1-NORMSDIST(ABS($AN254))))&lt;0.05,"Yes","No")))))</f>
        <v/>
      </c>
      <c r="N254" s="21">
        <f>IF($H254="","",IF(NOT(ISNUMBER($AN254)),"—",IF((2*(1-NORMSDIST(ABS($AN254))))&lt;0.001,"&lt;0.001",TEXT((2*(1-NORMSDIST(ABS($AN254)))),"0.000"))))</f>
        <v/>
      </c>
      <c r="P254" s="26" t="n"/>
      <c r="Q254" s="26" t="n"/>
      <c r="R254" s="26" t="n"/>
      <c r="S254" s="26" t="n"/>
      <c r="T254" s="26" t="n"/>
      <c r="V254" s="27">
        <f>IF(ISNUMBER($C254),COUNTIFS($A$14:$A$1213,$A254,$C$14:$C$1213,"&gt;"&amp;$C254)+(COUNTIFS($A$14:$A$1213,$A254,$C$14:$C$1213,"="&amp;$C254)+1)/2,"")</f>
        <v/>
      </c>
      <c r="W254" s="27">
        <f>IF(ISNUMBER($F254),COUNTIFS($A$14:$A$1213,$A254,$F$14:$F$1213,"&gt;"&amp;$F254)+(COUNTIFS($A$14:$A$1213,$A254,$F$14:$F$1213,"="&amp;$F254)+1)/2,"")</f>
        <v/>
      </c>
      <c r="X254" s="27">
        <f>IF(OR(NOT(ISNUMBER($V254)),$AO254=1),"",$V254-(COUNTIFS($A$14:$A$1213,$A254,$C$14:$C$1213,"&gt;=0")+1)/2)</f>
        <v/>
      </c>
      <c r="Y254" s="27">
        <f>IF(OR(NOT(ISNUMBER($W254)),$AO254=1),"",$W254-(COUNTIFS($A$14:$A$1213,$A254,$F$14:$F$1213,"&gt;=0")+1)/2)</f>
        <v/>
      </c>
      <c r="Z254" s="27">
        <f>IF(ISNUMBER($V254),$A254&amp;"|"&amp;$V254,"")</f>
        <v/>
      </c>
      <c r="AA254" s="27">
        <f>IF(ISNUMBER($W254),$A254&amp;"|"&amp;$W254,"")</f>
        <v/>
      </c>
      <c r="AB254" s="27">
        <f>IF(ISNUMBER($F254),$A254&amp;"|"&amp;$F254,"")</f>
        <v/>
      </c>
      <c r="AC254" s="27">
        <f>IF(ISNUMBER($P254),COUNTIFS($A$14:$A$1213,$A254,$P$14:$P$1213,"&gt;"&amp;$P254)+(COUNTIFS($A$14:$A$1213,$A254,$P$14:$P$1213,"="&amp;$P254)+1)/2,"")</f>
        <v/>
      </c>
      <c r="AD254" s="27">
        <f>IF(ISNUMBER($Q254),COUNTIFS($A$14:$A$1213,$A254,$Q$14:$Q$1213,"&gt;"&amp;$Q254)+(COUNTIFS($A$14:$A$1213,$A254,$Q$14:$Q$1213,"="&amp;$Q254)+1)/2,"")</f>
        <v/>
      </c>
      <c r="AE254" s="27">
        <f>IF(ISNUMBER($R254),COUNTIFS($A$14:$A$1213,$A254,$R$14:$R$1213,"&gt;"&amp;$R254)+(COUNTIFS($A$14:$A$1213,$A254,$R$14:$R$1213,"="&amp;$R254)+1)/2,"")</f>
        <v/>
      </c>
      <c r="AF254" s="27">
        <f>IF(ISNUMBER($S254),COUNTIFS($A$14:$A$1213,$A254,$S$14:$S$1213,"&gt;"&amp;$S254)+(COUNTIFS($A$14:$A$1213,$A254,$S$14:$S$1213,"="&amp;$S254)+1)/2,"")</f>
        <v/>
      </c>
      <c r="AG254" s="27">
        <f>IF(ISNUMBER($T254),COUNTIFS($A$14:$A$1213,$A254,$T$14:$T$1213,"&gt;"&amp;$T254)+(COUNTIFS($A$14:$A$1213,$A254,$T$14:$T$1213,"="&amp;$T254)+1)/2,"")</f>
        <v/>
      </c>
      <c r="AH254" s="27">
        <f>IF(COUNT($AC254:$AG254)&lt;2,"",IF(MAX($AC254:$AG254)=MIN($AC254:$AG254),0,1))</f>
        <v/>
      </c>
      <c r="AI254" s="27">
        <f>IF($A254="","",IF(COUNTIF($A$14:$A254,$A254)=1,COUNTIF($AI$13:AI253,"&gt;0")+1,""))</f>
        <v/>
      </c>
      <c r="AJ254" s="27">
        <f>IF(OR($H254="",COUNTIFS($A$14:$A$1213,$H254,$F$14:$F$1213,"&gt;=0")&lt;2,COUNTIFS($A$14:$A$1213,$H254,$F$14:$F$1213,_xlfn.MAXIFS($F$14:$F$1213,$A$14:$A$1213,$H254))&gt;1),"",IFERROR(INDEX($D$14:$D$1213,MATCH($H254&amp;"|"&amp;_xlfn.MAXIFS($F$14:$F$1213,$A$14:$A$1213,$H254),$AB$14:$AB$1213,0)),""))</f>
        <v/>
      </c>
      <c r="AK254" s="27">
        <f>IF(OR($H254="",COUNTIFS($A$14:$A$1213,$H254,$F$14:$F$1213,"&gt;=0")&lt;2,COUNTIFS($A$14:$A$1213,$H254,$F$14:$F$1213,_xlfn.MAXIFS($F$14:$F$1213,$A$14:$A$1213,$H254))&gt;1),"",IFERROR(INDEX($E$14:$E$1213,MATCH($H254&amp;"|"&amp;_xlfn.MAXIFS($F$14:$F$1213,$A$14:$A$1213,$H254),$AB$14:$AB$1213,0)),""))</f>
        <v/>
      </c>
      <c r="AL254" s="27">
        <f>IF(OR($H254="",COUNTIFS($A$14:$A$1213,$H254,$F$14:$F$1213,"&gt;=0")&lt;2,COUNTIFS($A$14:$A$1213,$H254,$F$14:$F$1213,_xlfn.MAXIFS($F$14:$F$1213,$A$14:$A$1213,$H254))&gt;1),"",IFERROR(INDEX($D$14:$D$1213,MATCH($H254&amp;"|"&amp;_xlfn.MAXIFS($F$14:$F$1213,$A$14:$A$1213,$H254,$F$14:$F$1213,"&lt;"&amp;_xlfn.MAXIFS($F$14:$F$1213,$A$14:$A$1213,$H254)),$AB$14:$AB$1213,0)),""))</f>
        <v/>
      </c>
      <c r="AM254" s="27">
        <f>IF(OR($H254="",COUNTIFS($A$14:$A$1213,$H254,$F$14:$F$1213,"&gt;=0")&lt;2,COUNTIFS($A$14:$A$1213,$H254,$F$14:$F$1213,_xlfn.MAXIFS($F$14:$F$1213,$A$14:$A$1213,$H254))&gt;1),"",IFERROR(INDEX($E$14:$E$1213,MATCH($H254&amp;"|"&amp;_xlfn.MAXIFS($F$14:$F$1213,$A$14:$A$1213,$H254,$F$14:$F$1213,"&lt;"&amp;_xlfn.MAXIFS($F$14:$F$1213,$A$14:$A$1213,$H254)),$AB$14:$AB$1213,0)),""))</f>
        <v/>
      </c>
      <c r="AN254" s="27">
        <f>IF(OR(NOT(ISNUMBER($AJ254)),NOT(ISNUMBER($AL254)),$AK254=0,$AM254=0),"",IF(OR((($AJ254+$AL254)/($AK254+$AM254))&lt;=0,(($AJ254+$AL254)/($AK254+$AM254))&gt;=1),"",($AJ254/$AK254-$AL254/$AM254)/SQRT((($AJ254+$AL254)/($AK254+$AM254))*(1-(($AJ254+$AL254)/($AK254+$AM254)))*(1/$AK254+1/$AM254))))</f>
        <v/>
      </c>
      <c r="AO254" s="27">
        <f>IF($A254="","",IF(AND(COUNTIFS($A$14:$A$1213,$A254,$F$14:$F$1213,"&gt;=0")=2,IFERROR(INDEX($M$14:$M$313,MATCH($A254,$H$14:$H$313,0)),"Yes")&lt;&gt;"Yes"),1,0))</f>
        <v/>
      </c>
    </row>
    <row r="255" ht="24" customHeight="1">
      <c r="A255" s="19" t="n"/>
      <c r="B255" s="20" t="n"/>
      <c r="C255" s="21">
        <f>IFERROR(AVERAGE(P255:T255),"")</f>
        <v/>
      </c>
      <c r="D255" s="29" t="n"/>
      <c r="E255" s="29" t="n"/>
      <c r="F255" s="30">
        <f>IF(AND(ISNUMBER($D255),ISNUMBER($E255),$E255&gt;0,$D255&lt;=$E255),$D255/$E255,"")</f>
        <v/>
      </c>
      <c r="H255" s="19">
        <f>IFERROR(INDEX($A$14:$A$1213,MATCH(242,$AI$14:$AI$1213,0)),"")</f>
        <v/>
      </c>
      <c r="I255" s="24">
        <f>IF($H255="","",IF(COUNTIFS($A$14:$A$1213,$H255,$C$14:$C$1213,"&gt;=0")=0,"—",IFERROR(INDEX($B$14:$B$1213,MATCH($H255&amp;"|1",$Z$14:$Z$1213,0)),"(tied)")))</f>
        <v/>
      </c>
      <c r="J255" s="25">
        <f>IF($H255="","",IF(OR(COUNTIFS($A$14:$A$1213,$H255,$C$14:$C$1213,"&gt;=0")=0,COUNTIFS($A$14:$A$1213,$H255,$F$14:$F$1213,"&gt;=0")=0),"—",IF(OR(ISERROR(MATCH($H255&amp;"|1",$Z$14:$Z$1213,0)),ISERROR(MATCH($H255&amp;"|1",$AA$14:$AA$1213,0))),"Tie",IF(MATCH($H255&amp;"|1",$Z$14:$Z$1213,0)=MATCH($H255&amp;"|1",$AA$14:$AA$1213,0),"Hit","Miss"))))</f>
        <v/>
      </c>
      <c r="K255" s="24">
        <f>IF($H255="","",IF(COUNTIFS($A$14:$A$1213,$H255,$F$14:$F$1213,"&gt;=0")=0,"—",IFERROR(INDEX($B$14:$B$1213,MATCH($H255&amp;"|1",$AA$14:$AA$1213,0)),"(tied)")))</f>
        <v/>
      </c>
      <c r="L255" s="25">
        <f>IF($H255="","",IF((--(COUNTIFS($A$14:$A$1213,$H255,$P$14:$P$1213,"&gt;=0")&gt;0)+--(COUNTIFS($A$14:$A$1213,$H255,$Q$14:$Q$1213,"&gt;=0")&gt;0)+--(COUNTIFS($A$14:$A$1213,$H255,$R$14:$R$1213,"&gt;=0")&gt;0)+--(COUNTIFS($A$14:$A$1213,$H255,$S$14:$S$1213,"&gt;=0")&gt;0)+--(COUNTIFS($A$14:$A$1213,$H255,$T$14:$T$1213,"&gt;=0")&gt;0))&lt;2,"—",IF(SUMIFS($AH$14:$AH$1213,$A$14:$A$1213,$H255)=0,"Yes","No")))</f>
        <v/>
      </c>
      <c r="M255" s="25">
        <f>IF($H255="","",IF(COUNTIFS($A$14:$A$1213,$H255,$F$14:$F$1213,"&gt;=0")&lt;2,"—",IF(COUNTIFS($A$14:$A$1213,$H255,$F$14:$F$1213,_xlfn.MAXIFS($F$14:$F$1213,$A$14:$A$1213,$H255))&gt;1,"No",IF(NOT(ISNUMBER($AN255)),"—",IF((2*(1-NORMSDIST(ABS($AN255))))&lt;0.05,"Yes","No")))))</f>
        <v/>
      </c>
      <c r="N255" s="21">
        <f>IF($H255="","",IF(NOT(ISNUMBER($AN255)),"—",IF((2*(1-NORMSDIST(ABS($AN255))))&lt;0.001,"&lt;0.001",TEXT((2*(1-NORMSDIST(ABS($AN255)))),"0.000"))))</f>
        <v/>
      </c>
      <c r="P255" s="26" t="n"/>
      <c r="Q255" s="26" t="n"/>
      <c r="R255" s="26" t="n"/>
      <c r="S255" s="26" t="n"/>
      <c r="T255" s="26" t="n"/>
      <c r="V255" s="27">
        <f>IF(ISNUMBER($C255),COUNTIFS($A$14:$A$1213,$A255,$C$14:$C$1213,"&gt;"&amp;$C255)+(COUNTIFS($A$14:$A$1213,$A255,$C$14:$C$1213,"="&amp;$C255)+1)/2,"")</f>
        <v/>
      </c>
      <c r="W255" s="27">
        <f>IF(ISNUMBER($F255),COUNTIFS($A$14:$A$1213,$A255,$F$14:$F$1213,"&gt;"&amp;$F255)+(COUNTIFS($A$14:$A$1213,$A255,$F$14:$F$1213,"="&amp;$F255)+1)/2,"")</f>
        <v/>
      </c>
      <c r="X255" s="27">
        <f>IF(OR(NOT(ISNUMBER($V255)),$AO255=1),"",$V255-(COUNTIFS($A$14:$A$1213,$A255,$C$14:$C$1213,"&gt;=0")+1)/2)</f>
        <v/>
      </c>
      <c r="Y255" s="27">
        <f>IF(OR(NOT(ISNUMBER($W255)),$AO255=1),"",$W255-(COUNTIFS($A$14:$A$1213,$A255,$F$14:$F$1213,"&gt;=0")+1)/2)</f>
        <v/>
      </c>
      <c r="Z255" s="27">
        <f>IF(ISNUMBER($V255),$A255&amp;"|"&amp;$V255,"")</f>
        <v/>
      </c>
      <c r="AA255" s="27">
        <f>IF(ISNUMBER($W255),$A255&amp;"|"&amp;$W255,"")</f>
        <v/>
      </c>
      <c r="AB255" s="27">
        <f>IF(ISNUMBER($F255),$A255&amp;"|"&amp;$F255,"")</f>
        <v/>
      </c>
      <c r="AC255" s="27">
        <f>IF(ISNUMBER($P255),COUNTIFS($A$14:$A$1213,$A255,$P$14:$P$1213,"&gt;"&amp;$P255)+(COUNTIFS($A$14:$A$1213,$A255,$P$14:$P$1213,"="&amp;$P255)+1)/2,"")</f>
        <v/>
      </c>
      <c r="AD255" s="27">
        <f>IF(ISNUMBER($Q255),COUNTIFS($A$14:$A$1213,$A255,$Q$14:$Q$1213,"&gt;"&amp;$Q255)+(COUNTIFS($A$14:$A$1213,$A255,$Q$14:$Q$1213,"="&amp;$Q255)+1)/2,"")</f>
        <v/>
      </c>
      <c r="AE255" s="27">
        <f>IF(ISNUMBER($R255),COUNTIFS($A$14:$A$1213,$A255,$R$14:$R$1213,"&gt;"&amp;$R255)+(COUNTIFS($A$14:$A$1213,$A255,$R$14:$R$1213,"="&amp;$R255)+1)/2,"")</f>
        <v/>
      </c>
      <c r="AF255" s="27">
        <f>IF(ISNUMBER($S255),COUNTIFS($A$14:$A$1213,$A255,$S$14:$S$1213,"&gt;"&amp;$S255)+(COUNTIFS($A$14:$A$1213,$A255,$S$14:$S$1213,"="&amp;$S255)+1)/2,"")</f>
        <v/>
      </c>
      <c r="AG255" s="27">
        <f>IF(ISNUMBER($T255),COUNTIFS($A$14:$A$1213,$A255,$T$14:$T$1213,"&gt;"&amp;$T255)+(COUNTIFS($A$14:$A$1213,$A255,$T$14:$T$1213,"="&amp;$T255)+1)/2,"")</f>
        <v/>
      </c>
      <c r="AH255" s="27">
        <f>IF(COUNT($AC255:$AG255)&lt;2,"",IF(MAX($AC255:$AG255)=MIN($AC255:$AG255),0,1))</f>
        <v/>
      </c>
      <c r="AI255" s="27">
        <f>IF($A255="","",IF(COUNTIF($A$14:$A255,$A255)=1,COUNTIF($AI$13:AI254,"&gt;0")+1,""))</f>
        <v/>
      </c>
      <c r="AJ255" s="27">
        <f>IF(OR($H255="",COUNTIFS($A$14:$A$1213,$H255,$F$14:$F$1213,"&gt;=0")&lt;2,COUNTIFS($A$14:$A$1213,$H255,$F$14:$F$1213,_xlfn.MAXIFS($F$14:$F$1213,$A$14:$A$1213,$H255))&gt;1),"",IFERROR(INDEX($D$14:$D$1213,MATCH($H255&amp;"|"&amp;_xlfn.MAXIFS($F$14:$F$1213,$A$14:$A$1213,$H255),$AB$14:$AB$1213,0)),""))</f>
        <v/>
      </c>
      <c r="AK255" s="27">
        <f>IF(OR($H255="",COUNTIFS($A$14:$A$1213,$H255,$F$14:$F$1213,"&gt;=0")&lt;2,COUNTIFS($A$14:$A$1213,$H255,$F$14:$F$1213,_xlfn.MAXIFS($F$14:$F$1213,$A$14:$A$1213,$H255))&gt;1),"",IFERROR(INDEX($E$14:$E$1213,MATCH($H255&amp;"|"&amp;_xlfn.MAXIFS($F$14:$F$1213,$A$14:$A$1213,$H255),$AB$14:$AB$1213,0)),""))</f>
        <v/>
      </c>
      <c r="AL255" s="27">
        <f>IF(OR($H255="",COUNTIFS($A$14:$A$1213,$H255,$F$14:$F$1213,"&gt;=0")&lt;2,COUNTIFS($A$14:$A$1213,$H255,$F$14:$F$1213,_xlfn.MAXIFS($F$14:$F$1213,$A$14:$A$1213,$H255))&gt;1),"",IFERROR(INDEX($D$14:$D$1213,MATCH($H255&amp;"|"&amp;_xlfn.MAXIFS($F$14:$F$1213,$A$14:$A$1213,$H255,$F$14:$F$1213,"&lt;"&amp;_xlfn.MAXIFS($F$14:$F$1213,$A$14:$A$1213,$H255)),$AB$14:$AB$1213,0)),""))</f>
        <v/>
      </c>
      <c r="AM255" s="27">
        <f>IF(OR($H255="",COUNTIFS($A$14:$A$1213,$H255,$F$14:$F$1213,"&gt;=0")&lt;2,COUNTIFS($A$14:$A$1213,$H255,$F$14:$F$1213,_xlfn.MAXIFS($F$14:$F$1213,$A$14:$A$1213,$H255))&gt;1),"",IFERROR(INDEX($E$14:$E$1213,MATCH($H255&amp;"|"&amp;_xlfn.MAXIFS($F$14:$F$1213,$A$14:$A$1213,$H255,$F$14:$F$1213,"&lt;"&amp;_xlfn.MAXIFS($F$14:$F$1213,$A$14:$A$1213,$H255)),$AB$14:$AB$1213,0)),""))</f>
        <v/>
      </c>
      <c r="AN255" s="27">
        <f>IF(OR(NOT(ISNUMBER($AJ255)),NOT(ISNUMBER($AL255)),$AK255=0,$AM255=0),"",IF(OR((($AJ255+$AL255)/($AK255+$AM255))&lt;=0,(($AJ255+$AL255)/($AK255+$AM255))&gt;=1),"",($AJ255/$AK255-$AL255/$AM255)/SQRT((($AJ255+$AL255)/($AK255+$AM255))*(1-(($AJ255+$AL255)/($AK255+$AM255)))*(1/$AK255+1/$AM255))))</f>
        <v/>
      </c>
      <c r="AO255" s="27">
        <f>IF($A255="","",IF(AND(COUNTIFS($A$14:$A$1213,$A255,$F$14:$F$1213,"&gt;=0")=2,IFERROR(INDEX($M$14:$M$313,MATCH($A255,$H$14:$H$313,0)),"Yes")&lt;&gt;"Yes"),1,0))</f>
        <v/>
      </c>
    </row>
    <row r="256" ht="24" customHeight="1">
      <c r="A256" s="19" t="n"/>
      <c r="B256" s="20" t="n"/>
      <c r="C256" s="21">
        <f>IFERROR(AVERAGE(P256:T256),"")</f>
        <v/>
      </c>
      <c r="D256" s="29" t="n"/>
      <c r="E256" s="29" t="n"/>
      <c r="F256" s="30">
        <f>IF(AND(ISNUMBER($D256),ISNUMBER($E256),$E256&gt;0,$D256&lt;=$E256),$D256/$E256,"")</f>
        <v/>
      </c>
      <c r="H256" s="19">
        <f>IFERROR(INDEX($A$14:$A$1213,MATCH(243,$AI$14:$AI$1213,0)),"")</f>
        <v/>
      </c>
      <c r="I256" s="24">
        <f>IF($H256="","",IF(COUNTIFS($A$14:$A$1213,$H256,$C$14:$C$1213,"&gt;=0")=0,"—",IFERROR(INDEX($B$14:$B$1213,MATCH($H256&amp;"|1",$Z$14:$Z$1213,0)),"(tied)")))</f>
        <v/>
      </c>
      <c r="J256" s="25">
        <f>IF($H256="","",IF(OR(COUNTIFS($A$14:$A$1213,$H256,$C$14:$C$1213,"&gt;=0")=0,COUNTIFS($A$14:$A$1213,$H256,$F$14:$F$1213,"&gt;=0")=0),"—",IF(OR(ISERROR(MATCH($H256&amp;"|1",$Z$14:$Z$1213,0)),ISERROR(MATCH($H256&amp;"|1",$AA$14:$AA$1213,0))),"Tie",IF(MATCH($H256&amp;"|1",$Z$14:$Z$1213,0)=MATCH($H256&amp;"|1",$AA$14:$AA$1213,0),"Hit","Miss"))))</f>
        <v/>
      </c>
      <c r="K256" s="24">
        <f>IF($H256="","",IF(COUNTIFS($A$14:$A$1213,$H256,$F$14:$F$1213,"&gt;=0")=0,"—",IFERROR(INDEX($B$14:$B$1213,MATCH($H256&amp;"|1",$AA$14:$AA$1213,0)),"(tied)")))</f>
        <v/>
      </c>
      <c r="L256" s="25">
        <f>IF($H256="","",IF((--(COUNTIFS($A$14:$A$1213,$H256,$P$14:$P$1213,"&gt;=0")&gt;0)+--(COUNTIFS($A$14:$A$1213,$H256,$Q$14:$Q$1213,"&gt;=0")&gt;0)+--(COUNTIFS($A$14:$A$1213,$H256,$R$14:$R$1213,"&gt;=0")&gt;0)+--(COUNTIFS($A$14:$A$1213,$H256,$S$14:$S$1213,"&gt;=0")&gt;0)+--(COUNTIFS($A$14:$A$1213,$H256,$T$14:$T$1213,"&gt;=0")&gt;0))&lt;2,"—",IF(SUMIFS($AH$14:$AH$1213,$A$14:$A$1213,$H256)=0,"Yes","No")))</f>
        <v/>
      </c>
      <c r="M256" s="25">
        <f>IF($H256="","",IF(COUNTIFS($A$14:$A$1213,$H256,$F$14:$F$1213,"&gt;=0")&lt;2,"—",IF(COUNTIFS($A$14:$A$1213,$H256,$F$14:$F$1213,_xlfn.MAXIFS($F$14:$F$1213,$A$14:$A$1213,$H256))&gt;1,"No",IF(NOT(ISNUMBER($AN256)),"—",IF((2*(1-NORMSDIST(ABS($AN256))))&lt;0.05,"Yes","No")))))</f>
        <v/>
      </c>
      <c r="N256" s="21">
        <f>IF($H256="","",IF(NOT(ISNUMBER($AN256)),"—",IF((2*(1-NORMSDIST(ABS($AN256))))&lt;0.001,"&lt;0.001",TEXT((2*(1-NORMSDIST(ABS($AN256)))),"0.000"))))</f>
        <v/>
      </c>
      <c r="P256" s="26" t="n"/>
      <c r="Q256" s="26" t="n"/>
      <c r="R256" s="26" t="n"/>
      <c r="S256" s="26" t="n"/>
      <c r="T256" s="26" t="n"/>
      <c r="V256" s="27">
        <f>IF(ISNUMBER($C256),COUNTIFS($A$14:$A$1213,$A256,$C$14:$C$1213,"&gt;"&amp;$C256)+(COUNTIFS($A$14:$A$1213,$A256,$C$14:$C$1213,"="&amp;$C256)+1)/2,"")</f>
        <v/>
      </c>
      <c r="W256" s="27">
        <f>IF(ISNUMBER($F256),COUNTIFS($A$14:$A$1213,$A256,$F$14:$F$1213,"&gt;"&amp;$F256)+(COUNTIFS($A$14:$A$1213,$A256,$F$14:$F$1213,"="&amp;$F256)+1)/2,"")</f>
        <v/>
      </c>
      <c r="X256" s="27">
        <f>IF(OR(NOT(ISNUMBER($V256)),$AO256=1),"",$V256-(COUNTIFS($A$14:$A$1213,$A256,$C$14:$C$1213,"&gt;=0")+1)/2)</f>
        <v/>
      </c>
      <c r="Y256" s="27">
        <f>IF(OR(NOT(ISNUMBER($W256)),$AO256=1),"",$W256-(COUNTIFS($A$14:$A$1213,$A256,$F$14:$F$1213,"&gt;=0")+1)/2)</f>
        <v/>
      </c>
      <c r="Z256" s="27">
        <f>IF(ISNUMBER($V256),$A256&amp;"|"&amp;$V256,"")</f>
        <v/>
      </c>
      <c r="AA256" s="27">
        <f>IF(ISNUMBER($W256),$A256&amp;"|"&amp;$W256,"")</f>
        <v/>
      </c>
      <c r="AB256" s="27">
        <f>IF(ISNUMBER($F256),$A256&amp;"|"&amp;$F256,"")</f>
        <v/>
      </c>
      <c r="AC256" s="27">
        <f>IF(ISNUMBER($P256),COUNTIFS($A$14:$A$1213,$A256,$P$14:$P$1213,"&gt;"&amp;$P256)+(COUNTIFS($A$14:$A$1213,$A256,$P$14:$P$1213,"="&amp;$P256)+1)/2,"")</f>
        <v/>
      </c>
      <c r="AD256" s="27">
        <f>IF(ISNUMBER($Q256),COUNTIFS($A$14:$A$1213,$A256,$Q$14:$Q$1213,"&gt;"&amp;$Q256)+(COUNTIFS($A$14:$A$1213,$A256,$Q$14:$Q$1213,"="&amp;$Q256)+1)/2,"")</f>
        <v/>
      </c>
      <c r="AE256" s="27">
        <f>IF(ISNUMBER($R256),COUNTIFS($A$14:$A$1213,$A256,$R$14:$R$1213,"&gt;"&amp;$R256)+(COUNTIFS($A$14:$A$1213,$A256,$R$14:$R$1213,"="&amp;$R256)+1)/2,"")</f>
        <v/>
      </c>
      <c r="AF256" s="27">
        <f>IF(ISNUMBER($S256),COUNTIFS($A$14:$A$1213,$A256,$S$14:$S$1213,"&gt;"&amp;$S256)+(COUNTIFS($A$14:$A$1213,$A256,$S$14:$S$1213,"="&amp;$S256)+1)/2,"")</f>
        <v/>
      </c>
      <c r="AG256" s="27">
        <f>IF(ISNUMBER($T256),COUNTIFS($A$14:$A$1213,$A256,$T$14:$T$1213,"&gt;"&amp;$T256)+(COUNTIFS($A$14:$A$1213,$A256,$T$14:$T$1213,"="&amp;$T256)+1)/2,"")</f>
        <v/>
      </c>
      <c r="AH256" s="27">
        <f>IF(COUNT($AC256:$AG256)&lt;2,"",IF(MAX($AC256:$AG256)=MIN($AC256:$AG256),0,1))</f>
        <v/>
      </c>
      <c r="AI256" s="27">
        <f>IF($A256="","",IF(COUNTIF($A$14:$A256,$A256)=1,COUNTIF($AI$13:AI255,"&gt;0")+1,""))</f>
        <v/>
      </c>
      <c r="AJ256" s="27">
        <f>IF(OR($H256="",COUNTIFS($A$14:$A$1213,$H256,$F$14:$F$1213,"&gt;=0")&lt;2,COUNTIFS($A$14:$A$1213,$H256,$F$14:$F$1213,_xlfn.MAXIFS($F$14:$F$1213,$A$14:$A$1213,$H256))&gt;1),"",IFERROR(INDEX($D$14:$D$1213,MATCH($H256&amp;"|"&amp;_xlfn.MAXIFS($F$14:$F$1213,$A$14:$A$1213,$H256),$AB$14:$AB$1213,0)),""))</f>
        <v/>
      </c>
      <c r="AK256" s="27">
        <f>IF(OR($H256="",COUNTIFS($A$14:$A$1213,$H256,$F$14:$F$1213,"&gt;=0")&lt;2,COUNTIFS($A$14:$A$1213,$H256,$F$14:$F$1213,_xlfn.MAXIFS($F$14:$F$1213,$A$14:$A$1213,$H256))&gt;1),"",IFERROR(INDEX($E$14:$E$1213,MATCH($H256&amp;"|"&amp;_xlfn.MAXIFS($F$14:$F$1213,$A$14:$A$1213,$H256),$AB$14:$AB$1213,0)),""))</f>
        <v/>
      </c>
      <c r="AL256" s="27">
        <f>IF(OR($H256="",COUNTIFS($A$14:$A$1213,$H256,$F$14:$F$1213,"&gt;=0")&lt;2,COUNTIFS($A$14:$A$1213,$H256,$F$14:$F$1213,_xlfn.MAXIFS($F$14:$F$1213,$A$14:$A$1213,$H256))&gt;1),"",IFERROR(INDEX($D$14:$D$1213,MATCH($H256&amp;"|"&amp;_xlfn.MAXIFS($F$14:$F$1213,$A$14:$A$1213,$H256,$F$14:$F$1213,"&lt;"&amp;_xlfn.MAXIFS($F$14:$F$1213,$A$14:$A$1213,$H256)),$AB$14:$AB$1213,0)),""))</f>
        <v/>
      </c>
      <c r="AM256" s="27">
        <f>IF(OR($H256="",COUNTIFS($A$14:$A$1213,$H256,$F$14:$F$1213,"&gt;=0")&lt;2,COUNTIFS($A$14:$A$1213,$H256,$F$14:$F$1213,_xlfn.MAXIFS($F$14:$F$1213,$A$14:$A$1213,$H256))&gt;1),"",IFERROR(INDEX($E$14:$E$1213,MATCH($H256&amp;"|"&amp;_xlfn.MAXIFS($F$14:$F$1213,$A$14:$A$1213,$H256,$F$14:$F$1213,"&lt;"&amp;_xlfn.MAXIFS($F$14:$F$1213,$A$14:$A$1213,$H256)),$AB$14:$AB$1213,0)),""))</f>
        <v/>
      </c>
      <c r="AN256" s="27">
        <f>IF(OR(NOT(ISNUMBER($AJ256)),NOT(ISNUMBER($AL256)),$AK256=0,$AM256=0),"",IF(OR((($AJ256+$AL256)/($AK256+$AM256))&lt;=0,(($AJ256+$AL256)/($AK256+$AM256))&gt;=1),"",($AJ256/$AK256-$AL256/$AM256)/SQRT((($AJ256+$AL256)/($AK256+$AM256))*(1-(($AJ256+$AL256)/($AK256+$AM256)))*(1/$AK256+1/$AM256))))</f>
        <v/>
      </c>
      <c r="AO256" s="27">
        <f>IF($A256="","",IF(AND(COUNTIFS($A$14:$A$1213,$A256,$F$14:$F$1213,"&gt;=0")=2,IFERROR(INDEX($M$14:$M$313,MATCH($A256,$H$14:$H$313,0)),"Yes")&lt;&gt;"Yes"),1,0))</f>
        <v/>
      </c>
    </row>
    <row r="257" ht="24" customHeight="1">
      <c r="A257" s="19" t="n"/>
      <c r="B257" s="20" t="n"/>
      <c r="C257" s="21">
        <f>IFERROR(AVERAGE(P257:T257),"")</f>
        <v/>
      </c>
      <c r="D257" s="29" t="n"/>
      <c r="E257" s="29" t="n"/>
      <c r="F257" s="30">
        <f>IF(AND(ISNUMBER($D257),ISNUMBER($E257),$E257&gt;0,$D257&lt;=$E257),$D257/$E257,"")</f>
        <v/>
      </c>
      <c r="H257" s="19">
        <f>IFERROR(INDEX($A$14:$A$1213,MATCH(244,$AI$14:$AI$1213,0)),"")</f>
        <v/>
      </c>
      <c r="I257" s="24">
        <f>IF($H257="","",IF(COUNTIFS($A$14:$A$1213,$H257,$C$14:$C$1213,"&gt;=0")=0,"—",IFERROR(INDEX($B$14:$B$1213,MATCH($H257&amp;"|1",$Z$14:$Z$1213,0)),"(tied)")))</f>
        <v/>
      </c>
      <c r="J257" s="25">
        <f>IF($H257="","",IF(OR(COUNTIFS($A$14:$A$1213,$H257,$C$14:$C$1213,"&gt;=0")=0,COUNTIFS($A$14:$A$1213,$H257,$F$14:$F$1213,"&gt;=0")=0),"—",IF(OR(ISERROR(MATCH($H257&amp;"|1",$Z$14:$Z$1213,0)),ISERROR(MATCH($H257&amp;"|1",$AA$14:$AA$1213,0))),"Tie",IF(MATCH($H257&amp;"|1",$Z$14:$Z$1213,0)=MATCH($H257&amp;"|1",$AA$14:$AA$1213,0),"Hit","Miss"))))</f>
        <v/>
      </c>
      <c r="K257" s="24">
        <f>IF($H257="","",IF(COUNTIFS($A$14:$A$1213,$H257,$F$14:$F$1213,"&gt;=0")=0,"—",IFERROR(INDEX($B$14:$B$1213,MATCH($H257&amp;"|1",$AA$14:$AA$1213,0)),"(tied)")))</f>
        <v/>
      </c>
      <c r="L257" s="25">
        <f>IF($H257="","",IF((--(COUNTIFS($A$14:$A$1213,$H257,$P$14:$P$1213,"&gt;=0")&gt;0)+--(COUNTIFS($A$14:$A$1213,$H257,$Q$14:$Q$1213,"&gt;=0")&gt;0)+--(COUNTIFS($A$14:$A$1213,$H257,$R$14:$R$1213,"&gt;=0")&gt;0)+--(COUNTIFS($A$14:$A$1213,$H257,$S$14:$S$1213,"&gt;=0")&gt;0)+--(COUNTIFS($A$14:$A$1213,$H257,$T$14:$T$1213,"&gt;=0")&gt;0))&lt;2,"—",IF(SUMIFS($AH$14:$AH$1213,$A$14:$A$1213,$H257)=0,"Yes","No")))</f>
        <v/>
      </c>
      <c r="M257" s="25">
        <f>IF($H257="","",IF(COUNTIFS($A$14:$A$1213,$H257,$F$14:$F$1213,"&gt;=0")&lt;2,"—",IF(COUNTIFS($A$14:$A$1213,$H257,$F$14:$F$1213,_xlfn.MAXIFS($F$14:$F$1213,$A$14:$A$1213,$H257))&gt;1,"No",IF(NOT(ISNUMBER($AN257)),"—",IF((2*(1-NORMSDIST(ABS($AN257))))&lt;0.05,"Yes","No")))))</f>
        <v/>
      </c>
      <c r="N257" s="21">
        <f>IF($H257="","",IF(NOT(ISNUMBER($AN257)),"—",IF((2*(1-NORMSDIST(ABS($AN257))))&lt;0.001,"&lt;0.001",TEXT((2*(1-NORMSDIST(ABS($AN257)))),"0.000"))))</f>
        <v/>
      </c>
      <c r="P257" s="26" t="n"/>
      <c r="Q257" s="26" t="n"/>
      <c r="R257" s="26" t="n"/>
      <c r="S257" s="26" t="n"/>
      <c r="T257" s="26" t="n"/>
      <c r="V257" s="27">
        <f>IF(ISNUMBER($C257),COUNTIFS($A$14:$A$1213,$A257,$C$14:$C$1213,"&gt;"&amp;$C257)+(COUNTIFS($A$14:$A$1213,$A257,$C$14:$C$1213,"="&amp;$C257)+1)/2,"")</f>
        <v/>
      </c>
      <c r="W257" s="27">
        <f>IF(ISNUMBER($F257),COUNTIFS($A$14:$A$1213,$A257,$F$14:$F$1213,"&gt;"&amp;$F257)+(COUNTIFS($A$14:$A$1213,$A257,$F$14:$F$1213,"="&amp;$F257)+1)/2,"")</f>
        <v/>
      </c>
      <c r="X257" s="27">
        <f>IF(OR(NOT(ISNUMBER($V257)),$AO257=1),"",$V257-(COUNTIFS($A$14:$A$1213,$A257,$C$14:$C$1213,"&gt;=0")+1)/2)</f>
        <v/>
      </c>
      <c r="Y257" s="27">
        <f>IF(OR(NOT(ISNUMBER($W257)),$AO257=1),"",$W257-(COUNTIFS($A$14:$A$1213,$A257,$F$14:$F$1213,"&gt;=0")+1)/2)</f>
        <v/>
      </c>
      <c r="Z257" s="27">
        <f>IF(ISNUMBER($V257),$A257&amp;"|"&amp;$V257,"")</f>
        <v/>
      </c>
      <c r="AA257" s="27">
        <f>IF(ISNUMBER($W257),$A257&amp;"|"&amp;$W257,"")</f>
        <v/>
      </c>
      <c r="AB257" s="27">
        <f>IF(ISNUMBER($F257),$A257&amp;"|"&amp;$F257,"")</f>
        <v/>
      </c>
      <c r="AC257" s="27">
        <f>IF(ISNUMBER($P257),COUNTIFS($A$14:$A$1213,$A257,$P$14:$P$1213,"&gt;"&amp;$P257)+(COUNTIFS($A$14:$A$1213,$A257,$P$14:$P$1213,"="&amp;$P257)+1)/2,"")</f>
        <v/>
      </c>
      <c r="AD257" s="27">
        <f>IF(ISNUMBER($Q257),COUNTIFS($A$14:$A$1213,$A257,$Q$14:$Q$1213,"&gt;"&amp;$Q257)+(COUNTIFS($A$14:$A$1213,$A257,$Q$14:$Q$1213,"="&amp;$Q257)+1)/2,"")</f>
        <v/>
      </c>
      <c r="AE257" s="27">
        <f>IF(ISNUMBER($R257),COUNTIFS($A$14:$A$1213,$A257,$R$14:$R$1213,"&gt;"&amp;$R257)+(COUNTIFS($A$14:$A$1213,$A257,$R$14:$R$1213,"="&amp;$R257)+1)/2,"")</f>
        <v/>
      </c>
      <c r="AF257" s="27">
        <f>IF(ISNUMBER($S257),COUNTIFS($A$14:$A$1213,$A257,$S$14:$S$1213,"&gt;"&amp;$S257)+(COUNTIFS($A$14:$A$1213,$A257,$S$14:$S$1213,"="&amp;$S257)+1)/2,"")</f>
        <v/>
      </c>
      <c r="AG257" s="27">
        <f>IF(ISNUMBER($T257),COUNTIFS($A$14:$A$1213,$A257,$T$14:$T$1213,"&gt;"&amp;$T257)+(COUNTIFS($A$14:$A$1213,$A257,$T$14:$T$1213,"="&amp;$T257)+1)/2,"")</f>
        <v/>
      </c>
      <c r="AH257" s="27">
        <f>IF(COUNT($AC257:$AG257)&lt;2,"",IF(MAX($AC257:$AG257)=MIN($AC257:$AG257),0,1))</f>
        <v/>
      </c>
      <c r="AI257" s="27">
        <f>IF($A257="","",IF(COUNTIF($A$14:$A257,$A257)=1,COUNTIF($AI$13:AI256,"&gt;0")+1,""))</f>
        <v/>
      </c>
      <c r="AJ257" s="27">
        <f>IF(OR($H257="",COUNTIFS($A$14:$A$1213,$H257,$F$14:$F$1213,"&gt;=0")&lt;2,COUNTIFS($A$14:$A$1213,$H257,$F$14:$F$1213,_xlfn.MAXIFS($F$14:$F$1213,$A$14:$A$1213,$H257))&gt;1),"",IFERROR(INDEX($D$14:$D$1213,MATCH($H257&amp;"|"&amp;_xlfn.MAXIFS($F$14:$F$1213,$A$14:$A$1213,$H257),$AB$14:$AB$1213,0)),""))</f>
        <v/>
      </c>
      <c r="AK257" s="27">
        <f>IF(OR($H257="",COUNTIFS($A$14:$A$1213,$H257,$F$14:$F$1213,"&gt;=0")&lt;2,COUNTIFS($A$14:$A$1213,$H257,$F$14:$F$1213,_xlfn.MAXIFS($F$14:$F$1213,$A$14:$A$1213,$H257))&gt;1),"",IFERROR(INDEX($E$14:$E$1213,MATCH($H257&amp;"|"&amp;_xlfn.MAXIFS($F$14:$F$1213,$A$14:$A$1213,$H257),$AB$14:$AB$1213,0)),""))</f>
        <v/>
      </c>
      <c r="AL257" s="27">
        <f>IF(OR($H257="",COUNTIFS($A$14:$A$1213,$H257,$F$14:$F$1213,"&gt;=0")&lt;2,COUNTIFS($A$14:$A$1213,$H257,$F$14:$F$1213,_xlfn.MAXIFS($F$14:$F$1213,$A$14:$A$1213,$H257))&gt;1),"",IFERROR(INDEX($D$14:$D$1213,MATCH($H257&amp;"|"&amp;_xlfn.MAXIFS($F$14:$F$1213,$A$14:$A$1213,$H257,$F$14:$F$1213,"&lt;"&amp;_xlfn.MAXIFS($F$14:$F$1213,$A$14:$A$1213,$H257)),$AB$14:$AB$1213,0)),""))</f>
        <v/>
      </c>
      <c r="AM257" s="27">
        <f>IF(OR($H257="",COUNTIFS($A$14:$A$1213,$H257,$F$14:$F$1213,"&gt;=0")&lt;2,COUNTIFS($A$14:$A$1213,$H257,$F$14:$F$1213,_xlfn.MAXIFS($F$14:$F$1213,$A$14:$A$1213,$H257))&gt;1),"",IFERROR(INDEX($E$14:$E$1213,MATCH($H257&amp;"|"&amp;_xlfn.MAXIFS($F$14:$F$1213,$A$14:$A$1213,$H257,$F$14:$F$1213,"&lt;"&amp;_xlfn.MAXIFS($F$14:$F$1213,$A$14:$A$1213,$H257)),$AB$14:$AB$1213,0)),""))</f>
        <v/>
      </c>
      <c r="AN257" s="27">
        <f>IF(OR(NOT(ISNUMBER($AJ257)),NOT(ISNUMBER($AL257)),$AK257=0,$AM257=0),"",IF(OR((($AJ257+$AL257)/($AK257+$AM257))&lt;=0,(($AJ257+$AL257)/($AK257+$AM257))&gt;=1),"",($AJ257/$AK257-$AL257/$AM257)/SQRT((($AJ257+$AL257)/($AK257+$AM257))*(1-(($AJ257+$AL257)/($AK257+$AM257)))*(1/$AK257+1/$AM257))))</f>
        <v/>
      </c>
      <c r="AO257" s="27">
        <f>IF($A257="","",IF(AND(COUNTIFS($A$14:$A$1213,$A257,$F$14:$F$1213,"&gt;=0")=2,IFERROR(INDEX($M$14:$M$313,MATCH($A257,$H$14:$H$313,0)),"Yes")&lt;&gt;"Yes"),1,0))</f>
        <v/>
      </c>
    </row>
    <row r="258" ht="24" customHeight="1">
      <c r="A258" s="19" t="n"/>
      <c r="B258" s="20" t="n"/>
      <c r="C258" s="21">
        <f>IFERROR(AVERAGE(P258:T258),"")</f>
        <v/>
      </c>
      <c r="D258" s="29" t="n"/>
      <c r="E258" s="29" t="n"/>
      <c r="F258" s="30">
        <f>IF(AND(ISNUMBER($D258),ISNUMBER($E258),$E258&gt;0,$D258&lt;=$E258),$D258/$E258,"")</f>
        <v/>
      </c>
      <c r="H258" s="19">
        <f>IFERROR(INDEX($A$14:$A$1213,MATCH(245,$AI$14:$AI$1213,0)),"")</f>
        <v/>
      </c>
      <c r="I258" s="24">
        <f>IF($H258="","",IF(COUNTIFS($A$14:$A$1213,$H258,$C$14:$C$1213,"&gt;=0")=0,"—",IFERROR(INDEX($B$14:$B$1213,MATCH($H258&amp;"|1",$Z$14:$Z$1213,0)),"(tied)")))</f>
        <v/>
      </c>
      <c r="J258" s="25">
        <f>IF($H258="","",IF(OR(COUNTIFS($A$14:$A$1213,$H258,$C$14:$C$1213,"&gt;=0")=0,COUNTIFS($A$14:$A$1213,$H258,$F$14:$F$1213,"&gt;=0")=0),"—",IF(OR(ISERROR(MATCH($H258&amp;"|1",$Z$14:$Z$1213,0)),ISERROR(MATCH($H258&amp;"|1",$AA$14:$AA$1213,0))),"Tie",IF(MATCH($H258&amp;"|1",$Z$14:$Z$1213,0)=MATCH($H258&amp;"|1",$AA$14:$AA$1213,0),"Hit","Miss"))))</f>
        <v/>
      </c>
      <c r="K258" s="24">
        <f>IF($H258="","",IF(COUNTIFS($A$14:$A$1213,$H258,$F$14:$F$1213,"&gt;=0")=0,"—",IFERROR(INDEX($B$14:$B$1213,MATCH($H258&amp;"|1",$AA$14:$AA$1213,0)),"(tied)")))</f>
        <v/>
      </c>
      <c r="L258" s="25">
        <f>IF($H258="","",IF((--(COUNTIFS($A$14:$A$1213,$H258,$P$14:$P$1213,"&gt;=0")&gt;0)+--(COUNTIFS($A$14:$A$1213,$H258,$Q$14:$Q$1213,"&gt;=0")&gt;0)+--(COUNTIFS($A$14:$A$1213,$H258,$R$14:$R$1213,"&gt;=0")&gt;0)+--(COUNTIFS($A$14:$A$1213,$H258,$S$14:$S$1213,"&gt;=0")&gt;0)+--(COUNTIFS($A$14:$A$1213,$H258,$T$14:$T$1213,"&gt;=0")&gt;0))&lt;2,"—",IF(SUMIFS($AH$14:$AH$1213,$A$14:$A$1213,$H258)=0,"Yes","No")))</f>
        <v/>
      </c>
      <c r="M258" s="25">
        <f>IF($H258="","",IF(COUNTIFS($A$14:$A$1213,$H258,$F$14:$F$1213,"&gt;=0")&lt;2,"—",IF(COUNTIFS($A$14:$A$1213,$H258,$F$14:$F$1213,_xlfn.MAXIFS($F$14:$F$1213,$A$14:$A$1213,$H258))&gt;1,"No",IF(NOT(ISNUMBER($AN258)),"—",IF((2*(1-NORMSDIST(ABS($AN258))))&lt;0.05,"Yes","No")))))</f>
        <v/>
      </c>
      <c r="N258" s="21">
        <f>IF($H258="","",IF(NOT(ISNUMBER($AN258)),"—",IF((2*(1-NORMSDIST(ABS($AN258))))&lt;0.001,"&lt;0.001",TEXT((2*(1-NORMSDIST(ABS($AN258)))),"0.000"))))</f>
        <v/>
      </c>
      <c r="P258" s="26" t="n"/>
      <c r="Q258" s="26" t="n"/>
      <c r="R258" s="26" t="n"/>
      <c r="S258" s="26" t="n"/>
      <c r="T258" s="26" t="n"/>
      <c r="V258" s="27">
        <f>IF(ISNUMBER($C258),COUNTIFS($A$14:$A$1213,$A258,$C$14:$C$1213,"&gt;"&amp;$C258)+(COUNTIFS($A$14:$A$1213,$A258,$C$14:$C$1213,"="&amp;$C258)+1)/2,"")</f>
        <v/>
      </c>
      <c r="W258" s="27">
        <f>IF(ISNUMBER($F258),COUNTIFS($A$14:$A$1213,$A258,$F$14:$F$1213,"&gt;"&amp;$F258)+(COUNTIFS($A$14:$A$1213,$A258,$F$14:$F$1213,"="&amp;$F258)+1)/2,"")</f>
        <v/>
      </c>
      <c r="X258" s="27">
        <f>IF(OR(NOT(ISNUMBER($V258)),$AO258=1),"",$V258-(COUNTIFS($A$14:$A$1213,$A258,$C$14:$C$1213,"&gt;=0")+1)/2)</f>
        <v/>
      </c>
      <c r="Y258" s="27">
        <f>IF(OR(NOT(ISNUMBER($W258)),$AO258=1),"",$W258-(COUNTIFS($A$14:$A$1213,$A258,$F$14:$F$1213,"&gt;=0")+1)/2)</f>
        <v/>
      </c>
      <c r="Z258" s="27">
        <f>IF(ISNUMBER($V258),$A258&amp;"|"&amp;$V258,"")</f>
        <v/>
      </c>
      <c r="AA258" s="27">
        <f>IF(ISNUMBER($W258),$A258&amp;"|"&amp;$W258,"")</f>
        <v/>
      </c>
      <c r="AB258" s="27">
        <f>IF(ISNUMBER($F258),$A258&amp;"|"&amp;$F258,"")</f>
        <v/>
      </c>
      <c r="AC258" s="27">
        <f>IF(ISNUMBER($P258),COUNTIFS($A$14:$A$1213,$A258,$P$14:$P$1213,"&gt;"&amp;$P258)+(COUNTIFS($A$14:$A$1213,$A258,$P$14:$P$1213,"="&amp;$P258)+1)/2,"")</f>
        <v/>
      </c>
      <c r="AD258" s="27">
        <f>IF(ISNUMBER($Q258),COUNTIFS($A$14:$A$1213,$A258,$Q$14:$Q$1213,"&gt;"&amp;$Q258)+(COUNTIFS($A$14:$A$1213,$A258,$Q$14:$Q$1213,"="&amp;$Q258)+1)/2,"")</f>
        <v/>
      </c>
      <c r="AE258" s="27">
        <f>IF(ISNUMBER($R258),COUNTIFS($A$14:$A$1213,$A258,$R$14:$R$1213,"&gt;"&amp;$R258)+(COUNTIFS($A$14:$A$1213,$A258,$R$14:$R$1213,"="&amp;$R258)+1)/2,"")</f>
        <v/>
      </c>
      <c r="AF258" s="27">
        <f>IF(ISNUMBER($S258),COUNTIFS($A$14:$A$1213,$A258,$S$14:$S$1213,"&gt;"&amp;$S258)+(COUNTIFS($A$14:$A$1213,$A258,$S$14:$S$1213,"="&amp;$S258)+1)/2,"")</f>
        <v/>
      </c>
      <c r="AG258" s="27">
        <f>IF(ISNUMBER($T258),COUNTIFS($A$14:$A$1213,$A258,$T$14:$T$1213,"&gt;"&amp;$T258)+(COUNTIFS($A$14:$A$1213,$A258,$T$14:$T$1213,"="&amp;$T258)+1)/2,"")</f>
        <v/>
      </c>
      <c r="AH258" s="27">
        <f>IF(COUNT($AC258:$AG258)&lt;2,"",IF(MAX($AC258:$AG258)=MIN($AC258:$AG258),0,1))</f>
        <v/>
      </c>
      <c r="AI258" s="27">
        <f>IF($A258="","",IF(COUNTIF($A$14:$A258,$A258)=1,COUNTIF($AI$13:AI257,"&gt;0")+1,""))</f>
        <v/>
      </c>
      <c r="AJ258" s="27">
        <f>IF(OR($H258="",COUNTIFS($A$14:$A$1213,$H258,$F$14:$F$1213,"&gt;=0")&lt;2,COUNTIFS($A$14:$A$1213,$H258,$F$14:$F$1213,_xlfn.MAXIFS($F$14:$F$1213,$A$14:$A$1213,$H258))&gt;1),"",IFERROR(INDEX($D$14:$D$1213,MATCH($H258&amp;"|"&amp;_xlfn.MAXIFS($F$14:$F$1213,$A$14:$A$1213,$H258),$AB$14:$AB$1213,0)),""))</f>
        <v/>
      </c>
      <c r="AK258" s="27">
        <f>IF(OR($H258="",COUNTIFS($A$14:$A$1213,$H258,$F$14:$F$1213,"&gt;=0")&lt;2,COUNTIFS($A$14:$A$1213,$H258,$F$14:$F$1213,_xlfn.MAXIFS($F$14:$F$1213,$A$14:$A$1213,$H258))&gt;1),"",IFERROR(INDEX($E$14:$E$1213,MATCH($H258&amp;"|"&amp;_xlfn.MAXIFS($F$14:$F$1213,$A$14:$A$1213,$H258),$AB$14:$AB$1213,0)),""))</f>
        <v/>
      </c>
      <c r="AL258" s="27">
        <f>IF(OR($H258="",COUNTIFS($A$14:$A$1213,$H258,$F$14:$F$1213,"&gt;=0")&lt;2,COUNTIFS($A$14:$A$1213,$H258,$F$14:$F$1213,_xlfn.MAXIFS($F$14:$F$1213,$A$14:$A$1213,$H258))&gt;1),"",IFERROR(INDEX($D$14:$D$1213,MATCH($H258&amp;"|"&amp;_xlfn.MAXIFS($F$14:$F$1213,$A$14:$A$1213,$H258,$F$14:$F$1213,"&lt;"&amp;_xlfn.MAXIFS($F$14:$F$1213,$A$14:$A$1213,$H258)),$AB$14:$AB$1213,0)),""))</f>
        <v/>
      </c>
      <c r="AM258" s="27">
        <f>IF(OR($H258="",COUNTIFS($A$14:$A$1213,$H258,$F$14:$F$1213,"&gt;=0")&lt;2,COUNTIFS($A$14:$A$1213,$H258,$F$14:$F$1213,_xlfn.MAXIFS($F$14:$F$1213,$A$14:$A$1213,$H258))&gt;1),"",IFERROR(INDEX($E$14:$E$1213,MATCH($H258&amp;"|"&amp;_xlfn.MAXIFS($F$14:$F$1213,$A$14:$A$1213,$H258,$F$14:$F$1213,"&lt;"&amp;_xlfn.MAXIFS($F$14:$F$1213,$A$14:$A$1213,$H258)),$AB$14:$AB$1213,0)),""))</f>
        <v/>
      </c>
      <c r="AN258" s="27">
        <f>IF(OR(NOT(ISNUMBER($AJ258)),NOT(ISNUMBER($AL258)),$AK258=0,$AM258=0),"",IF(OR((($AJ258+$AL258)/($AK258+$AM258))&lt;=0,(($AJ258+$AL258)/($AK258+$AM258))&gt;=1),"",($AJ258/$AK258-$AL258/$AM258)/SQRT((($AJ258+$AL258)/($AK258+$AM258))*(1-(($AJ258+$AL258)/($AK258+$AM258)))*(1/$AK258+1/$AM258))))</f>
        <v/>
      </c>
      <c r="AO258" s="27">
        <f>IF($A258="","",IF(AND(COUNTIFS($A$14:$A$1213,$A258,$F$14:$F$1213,"&gt;=0")=2,IFERROR(INDEX($M$14:$M$313,MATCH($A258,$H$14:$H$313,0)),"Yes")&lt;&gt;"Yes"),1,0))</f>
        <v/>
      </c>
    </row>
    <row r="259" ht="24" customHeight="1">
      <c r="A259" s="19" t="n"/>
      <c r="B259" s="20" t="n"/>
      <c r="C259" s="21">
        <f>IFERROR(AVERAGE(P259:T259),"")</f>
        <v/>
      </c>
      <c r="D259" s="29" t="n"/>
      <c r="E259" s="29" t="n"/>
      <c r="F259" s="30">
        <f>IF(AND(ISNUMBER($D259),ISNUMBER($E259),$E259&gt;0,$D259&lt;=$E259),$D259/$E259,"")</f>
        <v/>
      </c>
      <c r="H259" s="19">
        <f>IFERROR(INDEX($A$14:$A$1213,MATCH(246,$AI$14:$AI$1213,0)),"")</f>
        <v/>
      </c>
      <c r="I259" s="24">
        <f>IF($H259="","",IF(COUNTIFS($A$14:$A$1213,$H259,$C$14:$C$1213,"&gt;=0")=0,"—",IFERROR(INDEX($B$14:$B$1213,MATCH($H259&amp;"|1",$Z$14:$Z$1213,0)),"(tied)")))</f>
        <v/>
      </c>
      <c r="J259" s="25">
        <f>IF($H259="","",IF(OR(COUNTIFS($A$14:$A$1213,$H259,$C$14:$C$1213,"&gt;=0")=0,COUNTIFS($A$14:$A$1213,$H259,$F$14:$F$1213,"&gt;=0")=0),"—",IF(OR(ISERROR(MATCH($H259&amp;"|1",$Z$14:$Z$1213,0)),ISERROR(MATCH($H259&amp;"|1",$AA$14:$AA$1213,0))),"Tie",IF(MATCH($H259&amp;"|1",$Z$14:$Z$1213,0)=MATCH($H259&amp;"|1",$AA$14:$AA$1213,0),"Hit","Miss"))))</f>
        <v/>
      </c>
      <c r="K259" s="24">
        <f>IF($H259="","",IF(COUNTIFS($A$14:$A$1213,$H259,$F$14:$F$1213,"&gt;=0")=0,"—",IFERROR(INDEX($B$14:$B$1213,MATCH($H259&amp;"|1",$AA$14:$AA$1213,0)),"(tied)")))</f>
        <v/>
      </c>
      <c r="L259" s="25">
        <f>IF($H259="","",IF((--(COUNTIFS($A$14:$A$1213,$H259,$P$14:$P$1213,"&gt;=0")&gt;0)+--(COUNTIFS($A$14:$A$1213,$H259,$Q$14:$Q$1213,"&gt;=0")&gt;0)+--(COUNTIFS($A$14:$A$1213,$H259,$R$14:$R$1213,"&gt;=0")&gt;0)+--(COUNTIFS($A$14:$A$1213,$H259,$S$14:$S$1213,"&gt;=0")&gt;0)+--(COUNTIFS($A$14:$A$1213,$H259,$T$14:$T$1213,"&gt;=0")&gt;0))&lt;2,"—",IF(SUMIFS($AH$14:$AH$1213,$A$14:$A$1213,$H259)=0,"Yes","No")))</f>
        <v/>
      </c>
      <c r="M259" s="25">
        <f>IF($H259="","",IF(COUNTIFS($A$14:$A$1213,$H259,$F$14:$F$1213,"&gt;=0")&lt;2,"—",IF(COUNTIFS($A$14:$A$1213,$H259,$F$14:$F$1213,_xlfn.MAXIFS($F$14:$F$1213,$A$14:$A$1213,$H259))&gt;1,"No",IF(NOT(ISNUMBER($AN259)),"—",IF((2*(1-NORMSDIST(ABS($AN259))))&lt;0.05,"Yes","No")))))</f>
        <v/>
      </c>
      <c r="N259" s="21">
        <f>IF($H259="","",IF(NOT(ISNUMBER($AN259)),"—",IF((2*(1-NORMSDIST(ABS($AN259))))&lt;0.001,"&lt;0.001",TEXT((2*(1-NORMSDIST(ABS($AN259)))),"0.000"))))</f>
        <v/>
      </c>
      <c r="P259" s="26" t="n"/>
      <c r="Q259" s="26" t="n"/>
      <c r="R259" s="26" t="n"/>
      <c r="S259" s="26" t="n"/>
      <c r="T259" s="26" t="n"/>
      <c r="V259" s="27">
        <f>IF(ISNUMBER($C259),COUNTIFS($A$14:$A$1213,$A259,$C$14:$C$1213,"&gt;"&amp;$C259)+(COUNTIFS($A$14:$A$1213,$A259,$C$14:$C$1213,"="&amp;$C259)+1)/2,"")</f>
        <v/>
      </c>
      <c r="W259" s="27">
        <f>IF(ISNUMBER($F259),COUNTIFS($A$14:$A$1213,$A259,$F$14:$F$1213,"&gt;"&amp;$F259)+(COUNTIFS($A$14:$A$1213,$A259,$F$14:$F$1213,"="&amp;$F259)+1)/2,"")</f>
        <v/>
      </c>
      <c r="X259" s="27">
        <f>IF(OR(NOT(ISNUMBER($V259)),$AO259=1),"",$V259-(COUNTIFS($A$14:$A$1213,$A259,$C$14:$C$1213,"&gt;=0")+1)/2)</f>
        <v/>
      </c>
      <c r="Y259" s="27">
        <f>IF(OR(NOT(ISNUMBER($W259)),$AO259=1),"",$W259-(COUNTIFS($A$14:$A$1213,$A259,$F$14:$F$1213,"&gt;=0")+1)/2)</f>
        <v/>
      </c>
      <c r="Z259" s="27">
        <f>IF(ISNUMBER($V259),$A259&amp;"|"&amp;$V259,"")</f>
        <v/>
      </c>
      <c r="AA259" s="27">
        <f>IF(ISNUMBER($W259),$A259&amp;"|"&amp;$W259,"")</f>
        <v/>
      </c>
      <c r="AB259" s="27">
        <f>IF(ISNUMBER($F259),$A259&amp;"|"&amp;$F259,"")</f>
        <v/>
      </c>
      <c r="AC259" s="27">
        <f>IF(ISNUMBER($P259),COUNTIFS($A$14:$A$1213,$A259,$P$14:$P$1213,"&gt;"&amp;$P259)+(COUNTIFS($A$14:$A$1213,$A259,$P$14:$P$1213,"="&amp;$P259)+1)/2,"")</f>
        <v/>
      </c>
      <c r="AD259" s="27">
        <f>IF(ISNUMBER($Q259),COUNTIFS($A$14:$A$1213,$A259,$Q$14:$Q$1213,"&gt;"&amp;$Q259)+(COUNTIFS($A$14:$A$1213,$A259,$Q$14:$Q$1213,"="&amp;$Q259)+1)/2,"")</f>
        <v/>
      </c>
      <c r="AE259" s="27">
        <f>IF(ISNUMBER($R259),COUNTIFS($A$14:$A$1213,$A259,$R$14:$R$1213,"&gt;"&amp;$R259)+(COUNTIFS($A$14:$A$1213,$A259,$R$14:$R$1213,"="&amp;$R259)+1)/2,"")</f>
        <v/>
      </c>
      <c r="AF259" s="27">
        <f>IF(ISNUMBER($S259),COUNTIFS($A$14:$A$1213,$A259,$S$14:$S$1213,"&gt;"&amp;$S259)+(COUNTIFS($A$14:$A$1213,$A259,$S$14:$S$1213,"="&amp;$S259)+1)/2,"")</f>
        <v/>
      </c>
      <c r="AG259" s="27">
        <f>IF(ISNUMBER($T259),COUNTIFS($A$14:$A$1213,$A259,$T$14:$T$1213,"&gt;"&amp;$T259)+(COUNTIFS($A$14:$A$1213,$A259,$T$14:$T$1213,"="&amp;$T259)+1)/2,"")</f>
        <v/>
      </c>
      <c r="AH259" s="27">
        <f>IF(COUNT($AC259:$AG259)&lt;2,"",IF(MAX($AC259:$AG259)=MIN($AC259:$AG259),0,1))</f>
        <v/>
      </c>
      <c r="AI259" s="27">
        <f>IF($A259="","",IF(COUNTIF($A$14:$A259,$A259)=1,COUNTIF($AI$13:AI258,"&gt;0")+1,""))</f>
        <v/>
      </c>
      <c r="AJ259" s="27">
        <f>IF(OR($H259="",COUNTIFS($A$14:$A$1213,$H259,$F$14:$F$1213,"&gt;=0")&lt;2,COUNTIFS($A$14:$A$1213,$H259,$F$14:$F$1213,_xlfn.MAXIFS($F$14:$F$1213,$A$14:$A$1213,$H259))&gt;1),"",IFERROR(INDEX($D$14:$D$1213,MATCH($H259&amp;"|"&amp;_xlfn.MAXIFS($F$14:$F$1213,$A$14:$A$1213,$H259),$AB$14:$AB$1213,0)),""))</f>
        <v/>
      </c>
      <c r="AK259" s="27">
        <f>IF(OR($H259="",COUNTIFS($A$14:$A$1213,$H259,$F$14:$F$1213,"&gt;=0")&lt;2,COUNTIFS($A$14:$A$1213,$H259,$F$14:$F$1213,_xlfn.MAXIFS($F$14:$F$1213,$A$14:$A$1213,$H259))&gt;1),"",IFERROR(INDEX($E$14:$E$1213,MATCH($H259&amp;"|"&amp;_xlfn.MAXIFS($F$14:$F$1213,$A$14:$A$1213,$H259),$AB$14:$AB$1213,0)),""))</f>
        <v/>
      </c>
      <c r="AL259" s="27">
        <f>IF(OR($H259="",COUNTIFS($A$14:$A$1213,$H259,$F$14:$F$1213,"&gt;=0")&lt;2,COUNTIFS($A$14:$A$1213,$H259,$F$14:$F$1213,_xlfn.MAXIFS($F$14:$F$1213,$A$14:$A$1213,$H259))&gt;1),"",IFERROR(INDEX($D$14:$D$1213,MATCH($H259&amp;"|"&amp;_xlfn.MAXIFS($F$14:$F$1213,$A$14:$A$1213,$H259,$F$14:$F$1213,"&lt;"&amp;_xlfn.MAXIFS($F$14:$F$1213,$A$14:$A$1213,$H259)),$AB$14:$AB$1213,0)),""))</f>
        <v/>
      </c>
      <c r="AM259" s="27">
        <f>IF(OR($H259="",COUNTIFS($A$14:$A$1213,$H259,$F$14:$F$1213,"&gt;=0")&lt;2,COUNTIFS($A$14:$A$1213,$H259,$F$14:$F$1213,_xlfn.MAXIFS($F$14:$F$1213,$A$14:$A$1213,$H259))&gt;1),"",IFERROR(INDEX($E$14:$E$1213,MATCH($H259&amp;"|"&amp;_xlfn.MAXIFS($F$14:$F$1213,$A$14:$A$1213,$H259,$F$14:$F$1213,"&lt;"&amp;_xlfn.MAXIFS($F$14:$F$1213,$A$14:$A$1213,$H259)),$AB$14:$AB$1213,0)),""))</f>
        <v/>
      </c>
      <c r="AN259" s="27">
        <f>IF(OR(NOT(ISNUMBER($AJ259)),NOT(ISNUMBER($AL259)),$AK259=0,$AM259=0),"",IF(OR((($AJ259+$AL259)/($AK259+$AM259))&lt;=0,(($AJ259+$AL259)/($AK259+$AM259))&gt;=1),"",($AJ259/$AK259-$AL259/$AM259)/SQRT((($AJ259+$AL259)/($AK259+$AM259))*(1-(($AJ259+$AL259)/($AK259+$AM259)))*(1/$AK259+1/$AM259))))</f>
        <v/>
      </c>
      <c r="AO259" s="27">
        <f>IF($A259="","",IF(AND(COUNTIFS($A$14:$A$1213,$A259,$F$14:$F$1213,"&gt;=0")=2,IFERROR(INDEX($M$14:$M$313,MATCH($A259,$H$14:$H$313,0)),"Yes")&lt;&gt;"Yes"),1,0))</f>
        <v/>
      </c>
    </row>
    <row r="260" ht="24" customHeight="1">
      <c r="A260" s="19" t="n"/>
      <c r="B260" s="20" t="n"/>
      <c r="C260" s="21">
        <f>IFERROR(AVERAGE(P260:T260),"")</f>
        <v/>
      </c>
      <c r="D260" s="29" t="n"/>
      <c r="E260" s="29" t="n"/>
      <c r="F260" s="30">
        <f>IF(AND(ISNUMBER($D260),ISNUMBER($E260),$E260&gt;0,$D260&lt;=$E260),$D260/$E260,"")</f>
        <v/>
      </c>
      <c r="H260" s="19">
        <f>IFERROR(INDEX($A$14:$A$1213,MATCH(247,$AI$14:$AI$1213,0)),"")</f>
        <v/>
      </c>
      <c r="I260" s="24">
        <f>IF($H260="","",IF(COUNTIFS($A$14:$A$1213,$H260,$C$14:$C$1213,"&gt;=0")=0,"—",IFERROR(INDEX($B$14:$B$1213,MATCH($H260&amp;"|1",$Z$14:$Z$1213,0)),"(tied)")))</f>
        <v/>
      </c>
      <c r="J260" s="25">
        <f>IF($H260="","",IF(OR(COUNTIFS($A$14:$A$1213,$H260,$C$14:$C$1213,"&gt;=0")=0,COUNTIFS($A$14:$A$1213,$H260,$F$14:$F$1213,"&gt;=0")=0),"—",IF(OR(ISERROR(MATCH($H260&amp;"|1",$Z$14:$Z$1213,0)),ISERROR(MATCH($H260&amp;"|1",$AA$14:$AA$1213,0))),"Tie",IF(MATCH($H260&amp;"|1",$Z$14:$Z$1213,0)=MATCH($H260&amp;"|1",$AA$14:$AA$1213,0),"Hit","Miss"))))</f>
        <v/>
      </c>
      <c r="K260" s="24">
        <f>IF($H260="","",IF(COUNTIFS($A$14:$A$1213,$H260,$F$14:$F$1213,"&gt;=0")=0,"—",IFERROR(INDEX($B$14:$B$1213,MATCH($H260&amp;"|1",$AA$14:$AA$1213,0)),"(tied)")))</f>
        <v/>
      </c>
      <c r="L260" s="25">
        <f>IF($H260="","",IF((--(COUNTIFS($A$14:$A$1213,$H260,$P$14:$P$1213,"&gt;=0")&gt;0)+--(COUNTIFS($A$14:$A$1213,$H260,$Q$14:$Q$1213,"&gt;=0")&gt;0)+--(COUNTIFS($A$14:$A$1213,$H260,$R$14:$R$1213,"&gt;=0")&gt;0)+--(COUNTIFS($A$14:$A$1213,$H260,$S$14:$S$1213,"&gt;=0")&gt;0)+--(COUNTIFS($A$14:$A$1213,$H260,$T$14:$T$1213,"&gt;=0")&gt;0))&lt;2,"—",IF(SUMIFS($AH$14:$AH$1213,$A$14:$A$1213,$H260)=0,"Yes","No")))</f>
        <v/>
      </c>
      <c r="M260" s="25">
        <f>IF($H260="","",IF(COUNTIFS($A$14:$A$1213,$H260,$F$14:$F$1213,"&gt;=0")&lt;2,"—",IF(COUNTIFS($A$14:$A$1213,$H260,$F$14:$F$1213,_xlfn.MAXIFS($F$14:$F$1213,$A$14:$A$1213,$H260))&gt;1,"No",IF(NOT(ISNUMBER($AN260)),"—",IF((2*(1-NORMSDIST(ABS($AN260))))&lt;0.05,"Yes","No")))))</f>
        <v/>
      </c>
      <c r="N260" s="21">
        <f>IF($H260="","",IF(NOT(ISNUMBER($AN260)),"—",IF((2*(1-NORMSDIST(ABS($AN260))))&lt;0.001,"&lt;0.001",TEXT((2*(1-NORMSDIST(ABS($AN260)))),"0.000"))))</f>
        <v/>
      </c>
      <c r="P260" s="26" t="n"/>
      <c r="Q260" s="26" t="n"/>
      <c r="R260" s="26" t="n"/>
      <c r="S260" s="26" t="n"/>
      <c r="T260" s="26" t="n"/>
      <c r="V260" s="27">
        <f>IF(ISNUMBER($C260),COUNTIFS($A$14:$A$1213,$A260,$C$14:$C$1213,"&gt;"&amp;$C260)+(COUNTIFS($A$14:$A$1213,$A260,$C$14:$C$1213,"="&amp;$C260)+1)/2,"")</f>
        <v/>
      </c>
      <c r="W260" s="27">
        <f>IF(ISNUMBER($F260),COUNTIFS($A$14:$A$1213,$A260,$F$14:$F$1213,"&gt;"&amp;$F260)+(COUNTIFS($A$14:$A$1213,$A260,$F$14:$F$1213,"="&amp;$F260)+1)/2,"")</f>
        <v/>
      </c>
      <c r="X260" s="27">
        <f>IF(OR(NOT(ISNUMBER($V260)),$AO260=1),"",$V260-(COUNTIFS($A$14:$A$1213,$A260,$C$14:$C$1213,"&gt;=0")+1)/2)</f>
        <v/>
      </c>
      <c r="Y260" s="27">
        <f>IF(OR(NOT(ISNUMBER($W260)),$AO260=1),"",$W260-(COUNTIFS($A$14:$A$1213,$A260,$F$14:$F$1213,"&gt;=0")+1)/2)</f>
        <v/>
      </c>
      <c r="Z260" s="27">
        <f>IF(ISNUMBER($V260),$A260&amp;"|"&amp;$V260,"")</f>
        <v/>
      </c>
      <c r="AA260" s="27">
        <f>IF(ISNUMBER($W260),$A260&amp;"|"&amp;$W260,"")</f>
        <v/>
      </c>
      <c r="AB260" s="27">
        <f>IF(ISNUMBER($F260),$A260&amp;"|"&amp;$F260,"")</f>
        <v/>
      </c>
      <c r="AC260" s="27">
        <f>IF(ISNUMBER($P260),COUNTIFS($A$14:$A$1213,$A260,$P$14:$P$1213,"&gt;"&amp;$P260)+(COUNTIFS($A$14:$A$1213,$A260,$P$14:$P$1213,"="&amp;$P260)+1)/2,"")</f>
        <v/>
      </c>
      <c r="AD260" s="27">
        <f>IF(ISNUMBER($Q260),COUNTIFS($A$14:$A$1213,$A260,$Q$14:$Q$1213,"&gt;"&amp;$Q260)+(COUNTIFS($A$14:$A$1213,$A260,$Q$14:$Q$1213,"="&amp;$Q260)+1)/2,"")</f>
        <v/>
      </c>
      <c r="AE260" s="27">
        <f>IF(ISNUMBER($R260),COUNTIFS($A$14:$A$1213,$A260,$R$14:$R$1213,"&gt;"&amp;$R260)+(COUNTIFS($A$14:$A$1213,$A260,$R$14:$R$1213,"="&amp;$R260)+1)/2,"")</f>
        <v/>
      </c>
      <c r="AF260" s="27">
        <f>IF(ISNUMBER($S260),COUNTIFS($A$14:$A$1213,$A260,$S$14:$S$1213,"&gt;"&amp;$S260)+(COUNTIFS($A$14:$A$1213,$A260,$S$14:$S$1213,"="&amp;$S260)+1)/2,"")</f>
        <v/>
      </c>
      <c r="AG260" s="27">
        <f>IF(ISNUMBER($T260),COUNTIFS($A$14:$A$1213,$A260,$T$14:$T$1213,"&gt;"&amp;$T260)+(COUNTIFS($A$14:$A$1213,$A260,$T$14:$T$1213,"="&amp;$T260)+1)/2,"")</f>
        <v/>
      </c>
      <c r="AH260" s="27">
        <f>IF(COUNT($AC260:$AG260)&lt;2,"",IF(MAX($AC260:$AG260)=MIN($AC260:$AG260),0,1))</f>
        <v/>
      </c>
      <c r="AI260" s="27">
        <f>IF($A260="","",IF(COUNTIF($A$14:$A260,$A260)=1,COUNTIF($AI$13:AI259,"&gt;0")+1,""))</f>
        <v/>
      </c>
      <c r="AJ260" s="27">
        <f>IF(OR($H260="",COUNTIFS($A$14:$A$1213,$H260,$F$14:$F$1213,"&gt;=0")&lt;2,COUNTIFS($A$14:$A$1213,$H260,$F$14:$F$1213,_xlfn.MAXIFS($F$14:$F$1213,$A$14:$A$1213,$H260))&gt;1),"",IFERROR(INDEX($D$14:$D$1213,MATCH($H260&amp;"|"&amp;_xlfn.MAXIFS($F$14:$F$1213,$A$14:$A$1213,$H260),$AB$14:$AB$1213,0)),""))</f>
        <v/>
      </c>
      <c r="AK260" s="27">
        <f>IF(OR($H260="",COUNTIFS($A$14:$A$1213,$H260,$F$14:$F$1213,"&gt;=0")&lt;2,COUNTIFS($A$14:$A$1213,$H260,$F$14:$F$1213,_xlfn.MAXIFS($F$14:$F$1213,$A$14:$A$1213,$H260))&gt;1),"",IFERROR(INDEX($E$14:$E$1213,MATCH($H260&amp;"|"&amp;_xlfn.MAXIFS($F$14:$F$1213,$A$14:$A$1213,$H260),$AB$14:$AB$1213,0)),""))</f>
        <v/>
      </c>
      <c r="AL260" s="27">
        <f>IF(OR($H260="",COUNTIFS($A$14:$A$1213,$H260,$F$14:$F$1213,"&gt;=0")&lt;2,COUNTIFS($A$14:$A$1213,$H260,$F$14:$F$1213,_xlfn.MAXIFS($F$14:$F$1213,$A$14:$A$1213,$H260))&gt;1),"",IFERROR(INDEX($D$14:$D$1213,MATCH($H260&amp;"|"&amp;_xlfn.MAXIFS($F$14:$F$1213,$A$14:$A$1213,$H260,$F$14:$F$1213,"&lt;"&amp;_xlfn.MAXIFS($F$14:$F$1213,$A$14:$A$1213,$H260)),$AB$14:$AB$1213,0)),""))</f>
        <v/>
      </c>
      <c r="AM260" s="27">
        <f>IF(OR($H260="",COUNTIFS($A$14:$A$1213,$H260,$F$14:$F$1213,"&gt;=0")&lt;2,COUNTIFS($A$14:$A$1213,$H260,$F$14:$F$1213,_xlfn.MAXIFS($F$14:$F$1213,$A$14:$A$1213,$H260))&gt;1),"",IFERROR(INDEX($E$14:$E$1213,MATCH($H260&amp;"|"&amp;_xlfn.MAXIFS($F$14:$F$1213,$A$14:$A$1213,$H260,$F$14:$F$1213,"&lt;"&amp;_xlfn.MAXIFS($F$14:$F$1213,$A$14:$A$1213,$H260)),$AB$14:$AB$1213,0)),""))</f>
        <v/>
      </c>
      <c r="AN260" s="27">
        <f>IF(OR(NOT(ISNUMBER($AJ260)),NOT(ISNUMBER($AL260)),$AK260=0,$AM260=0),"",IF(OR((($AJ260+$AL260)/($AK260+$AM260))&lt;=0,(($AJ260+$AL260)/($AK260+$AM260))&gt;=1),"",($AJ260/$AK260-$AL260/$AM260)/SQRT((($AJ260+$AL260)/($AK260+$AM260))*(1-(($AJ260+$AL260)/($AK260+$AM260)))*(1/$AK260+1/$AM260))))</f>
        <v/>
      </c>
      <c r="AO260" s="27">
        <f>IF($A260="","",IF(AND(COUNTIFS($A$14:$A$1213,$A260,$F$14:$F$1213,"&gt;=0")=2,IFERROR(INDEX($M$14:$M$313,MATCH($A260,$H$14:$H$313,0)),"Yes")&lt;&gt;"Yes"),1,0))</f>
        <v/>
      </c>
    </row>
    <row r="261" ht="24" customHeight="1">
      <c r="A261" s="19" t="n"/>
      <c r="B261" s="20" t="n"/>
      <c r="C261" s="21">
        <f>IFERROR(AVERAGE(P261:T261),"")</f>
        <v/>
      </c>
      <c r="D261" s="29" t="n"/>
      <c r="E261" s="29" t="n"/>
      <c r="F261" s="30">
        <f>IF(AND(ISNUMBER($D261),ISNUMBER($E261),$E261&gt;0,$D261&lt;=$E261),$D261/$E261,"")</f>
        <v/>
      </c>
      <c r="H261" s="19">
        <f>IFERROR(INDEX($A$14:$A$1213,MATCH(248,$AI$14:$AI$1213,0)),"")</f>
        <v/>
      </c>
      <c r="I261" s="24">
        <f>IF($H261="","",IF(COUNTIFS($A$14:$A$1213,$H261,$C$14:$C$1213,"&gt;=0")=0,"—",IFERROR(INDEX($B$14:$B$1213,MATCH($H261&amp;"|1",$Z$14:$Z$1213,0)),"(tied)")))</f>
        <v/>
      </c>
      <c r="J261" s="25">
        <f>IF($H261="","",IF(OR(COUNTIFS($A$14:$A$1213,$H261,$C$14:$C$1213,"&gt;=0")=0,COUNTIFS($A$14:$A$1213,$H261,$F$14:$F$1213,"&gt;=0")=0),"—",IF(OR(ISERROR(MATCH($H261&amp;"|1",$Z$14:$Z$1213,0)),ISERROR(MATCH($H261&amp;"|1",$AA$14:$AA$1213,0))),"Tie",IF(MATCH($H261&amp;"|1",$Z$14:$Z$1213,0)=MATCH($H261&amp;"|1",$AA$14:$AA$1213,0),"Hit","Miss"))))</f>
        <v/>
      </c>
      <c r="K261" s="24">
        <f>IF($H261="","",IF(COUNTIFS($A$14:$A$1213,$H261,$F$14:$F$1213,"&gt;=0")=0,"—",IFERROR(INDEX($B$14:$B$1213,MATCH($H261&amp;"|1",$AA$14:$AA$1213,0)),"(tied)")))</f>
        <v/>
      </c>
      <c r="L261" s="25">
        <f>IF($H261="","",IF((--(COUNTIFS($A$14:$A$1213,$H261,$P$14:$P$1213,"&gt;=0")&gt;0)+--(COUNTIFS($A$14:$A$1213,$H261,$Q$14:$Q$1213,"&gt;=0")&gt;0)+--(COUNTIFS($A$14:$A$1213,$H261,$R$14:$R$1213,"&gt;=0")&gt;0)+--(COUNTIFS($A$14:$A$1213,$H261,$S$14:$S$1213,"&gt;=0")&gt;0)+--(COUNTIFS($A$14:$A$1213,$H261,$T$14:$T$1213,"&gt;=0")&gt;0))&lt;2,"—",IF(SUMIFS($AH$14:$AH$1213,$A$14:$A$1213,$H261)=0,"Yes","No")))</f>
        <v/>
      </c>
      <c r="M261" s="25">
        <f>IF($H261="","",IF(COUNTIFS($A$14:$A$1213,$H261,$F$14:$F$1213,"&gt;=0")&lt;2,"—",IF(COUNTIFS($A$14:$A$1213,$H261,$F$14:$F$1213,_xlfn.MAXIFS($F$14:$F$1213,$A$14:$A$1213,$H261))&gt;1,"No",IF(NOT(ISNUMBER($AN261)),"—",IF((2*(1-NORMSDIST(ABS($AN261))))&lt;0.05,"Yes","No")))))</f>
        <v/>
      </c>
      <c r="N261" s="21">
        <f>IF($H261="","",IF(NOT(ISNUMBER($AN261)),"—",IF((2*(1-NORMSDIST(ABS($AN261))))&lt;0.001,"&lt;0.001",TEXT((2*(1-NORMSDIST(ABS($AN261)))),"0.000"))))</f>
        <v/>
      </c>
      <c r="P261" s="26" t="n"/>
      <c r="Q261" s="26" t="n"/>
      <c r="R261" s="26" t="n"/>
      <c r="S261" s="26" t="n"/>
      <c r="T261" s="26" t="n"/>
      <c r="V261" s="27">
        <f>IF(ISNUMBER($C261),COUNTIFS($A$14:$A$1213,$A261,$C$14:$C$1213,"&gt;"&amp;$C261)+(COUNTIFS($A$14:$A$1213,$A261,$C$14:$C$1213,"="&amp;$C261)+1)/2,"")</f>
        <v/>
      </c>
      <c r="W261" s="27">
        <f>IF(ISNUMBER($F261),COUNTIFS($A$14:$A$1213,$A261,$F$14:$F$1213,"&gt;"&amp;$F261)+(COUNTIFS($A$14:$A$1213,$A261,$F$14:$F$1213,"="&amp;$F261)+1)/2,"")</f>
        <v/>
      </c>
      <c r="X261" s="27">
        <f>IF(OR(NOT(ISNUMBER($V261)),$AO261=1),"",$V261-(COUNTIFS($A$14:$A$1213,$A261,$C$14:$C$1213,"&gt;=0")+1)/2)</f>
        <v/>
      </c>
      <c r="Y261" s="27">
        <f>IF(OR(NOT(ISNUMBER($W261)),$AO261=1),"",$W261-(COUNTIFS($A$14:$A$1213,$A261,$F$14:$F$1213,"&gt;=0")+1)/2)</f>
        <v/>
      </c>
      <c r="Z261" s="27">
        <f>IF(ISNUMBER($V261),$A261&amp;"|"&amp;$V261,"")</f>
        <v/>
      </c>
      <c r="AA261" s="27">
        <f>IF(ISNUMBER($W261),$A261&amp;"|"&amp;$W261,"")</f>
        <v/>
      </c>
      <c r="AB261" s="27">
        <f>IF(ISNUMBER($F261),$A261&amp;"|"&amp;$F261,"")</f>
        <v/>
      </c>
      <c r="AC261" s="27">
        <f>IF(ISNUMBER($P261),COUNTIFS($A$14:$A$1213,$A261,$P$14:$P$1213,"&gt;"&amp;$P261)+(COUNTIFS($A$14:$A$1213,$A261,$P$14:$P$1213,"="&amp;$P261)+1)/2,"")</f>
        <v/>
      </c>
      <c r="AD261" s="27">
        <f>IF(ISNUMBER($Q261),COUNTIFS($A$14:$A$1213,$A261,$Q$14:$Q$1213,"&gt;"&amp;$Q261)+(COUNTIFS($A$14:$A$1213,$A261,$Q$14:$Q$1213,"="&amp;$Q261)+1)/2,"")</f>
        <v/>
      </c>
      <c r="AE261" s="27">
        <f>IF(ISNUMBER($R261),COUNTIFS($A$14:$A$1213,$A261,$R$14:$R$1213,"&gt;"&amp;$R261)+(COUNTIFS($A$14:$A$1213,$A261,$R$14:$R$1213,"="&amp;$R261)+1)/2,"")</f>
        <v/>
      </c>
      <c r="AF261" s="27">
        <f>IF(ISNUMBER($S261),COUNTIFS($A$14:$A$1213,$A261,$S$14:$S$1213,"&gt;"&amp;$S261)+(COUNTIFS($A$14:$A$1213,$A261,$S$14:$S$1213,"="&amp;$S261)+1)/2,"")</f>
        <v/>
      </c>
      <c r="AG261" s="27">
        <f>IF(ISNUMBER($T261),COUNTIFS($A$14:$A$1213,$A261,$T$14:$T$1213,"&gt;"&amp;$T261)+(COUNTIFS($A$14:$A$1213,$A261,$T$14:$T$1213,"="&amp;$T261)+1)/2,"")</f>
        <v/>
      </c>
      <c r="AH261" s="27">
        <f>IF(COUNT($AC261:$AG261)&lt;2,"",IF(MAX($AC261:$AG261)=MIN($AC261:$AG261),0,1))</f>
        <v/>
      </c>
      <c r="AI261" s="27">
        <f>IF($A261="","",IF(COUNTIF($A$14:$A261,$A261)=1,COUNTIF($AI$13:AI260,"&gt;0")+1,""))</f>
        <v/>
      </c>
      <c r="AJ261" s="27">
        <f>IF(OR($H261="",COUNTIFS($A$14:$A$1213,$H261,$F$14:$F$1213,"&gt;=0")&lt;2,COUNTIFS($A$14:$A$1213,$H261,$F$14:$F$1213,_xlfn.MAXIFS($F$14:$F$1213,$A$14:$A$1213,$H261))&gt;1),"",IFERROR(INDEX($D$14:$D$1213,MATCH($H261&amp;"|"&amp;_xlfn.MAXIFS($F$14:$F$1213,$A$14:$A$1213,$H261),$AB$14:$AB$1213,0)),""))</f>
        <v/>
      </c>
      <c r="AK261" s="27">
        <f>IF(OR($H261="",COUNTIFS($A$14:$A$1213,$H261,$F$14:$F$1213,"&gt;=0")&lt;2,COUNTIFS($A$14:$A$1213,$H261,$F$14:$F$1213,_xlfn.MAXIFS($F$14:$F$1213,$A$14:$A$1213,$H261))&gt;1),"",IFERROR(INDEX($E$14:$E$1213,MATCH($H261&amp;"|"&amp;_xlfn.MAXIFS($F$14:$F$1213,$A$14:$A$1213,$H261),$AB$14:$AB$1213,0)),""))</f>
        <v/>
      </c>
      <c r="AL261" s="27">
        <f>IF(OR($H261="",COUNTIFS($A$14:$A$1213,$H261,$F$14:$F$1213,"&gt;=0")&lt;2,COUNTIFS($A$14:$A$1213,$H261,$F$14:$F$1213,_xlfn.MAXIFS($F$14:$F$1213,$A$14:$A$1213,$H261))&gt;1),"",IFERROR(INDEX($D$14:$D$1213,MATCH($H261&amp;"|"&amp;_xlfn.MAXIFS($F$14:$F$1213,$A$14:$A$1213,$H261,$F$14:$F$1213,"&lt;"&amp;_xlfn.MAXIFS($F$14:$F$1213,$A$14:$A$1213,$H261)),$AB$14:$AB$1213,0)),""))</f>
        <v/>
      </c>
      <c r="AM261" s="27">
        <f>IF(OR($H261="",COUNTIFS($A$14:$A$1213,$H261,$F$14:$F$1213,"&gt;=0")&lt;2,COUNTIFS($A$14:$A$1213,$H261,$F$14:$F$1213,_xlfn.MAXIFS($F$14:$F$1213,$A$14:$A$1213,$H261))&gt;1),"",IFERROR(INDEX($E$14:$E$1213,MATCH($H261&amp;"|"&amp;_xlfn.MAXIFS($F$14:$F$1213,$A$14:$A$1213,$H261,$F$14:$F$1213,"&lt;"&amp;_xlfn.MAXIFS($F$14:$F$1213,$A$14:$A$1213,$H261)),$AB$14:$AB$1213,0)),""))</f>
        <v/>
      </c>
      <c r="AN261" s="27">
        <f>IF(OR(NOT(ISNUMBER($AJ261)),NOT(ISNUMBER($AL261)),$AK261=0,$AM261=0),"",IF(OR((($AJ261+$AL261)/($AK261+$AM261))&lt;=0,(($AJ261+$AL261)/($AK261+$AM261))&gt;=1),"",($AJ261/$AK261-$AL261/$AM261)/SQRT((($AJ261+$AL261)/($AK261+$AM261))*(1-(($AJ261+$AL261)/($AK261+$AM261)))*(1/$AK261+1/$AM261))))</f>
        <v/>
      </c>
      <c r="AO261" s="27">
        <f>IF($A261="","",IF(AND(COUNTIFS($A$14:$A$1213,$A261,$F$14:$F$1213,"&gt;=0")=2,IFERROR(INDEX($M$14:$M$313,MATCH($A261,$H$14:$H$313,0)),"Yes")&lt;&gt;"Yes"),1,0))</f>
        <v/>
      </c>
    </row>
    <row r="262" ht="24" customHeight="1">
      <c r="A262" s="19" t="n"/>
      <c r="B262" s="20" t="n"/>
      <c r="C262" s="21">
        <f>IFERROR(AVERAGE(P262:T262),"")</f>
        <v/>
      </c>
      <c r="D262" s="29" t="n"/>
      <c r="E262" s="29" t="n"/>
      <c r="F262" s="30">
        <f>IF(AND(ISNUMBER($D262),ISNUMBER($E262),$E262&gt;0,$D262&lt;=$E262),$D262/$E262,"")</f>
        <v/>
      </c>
      <c r="H262" s="19">
        <f>IFERROR(INDEX($A$14:$A$1213,MATCH(249,$AI$14:$AI$1213,0)),"")</f>
        <v/>
      </c>
      <c r="I262" s="24">
        <f>IF($H262="","",IF(COUNTIFS($A$14:$A$1213,$H262,$C$14:$C$1213,"&gt;=0")=0,"—",IFERROR(INDEX($B$14:$B$1213,MATCH($H262&amp;"|1",$Z$14:$Z$1213,0)),"(tied)")))</f>
        <v/>
      </c>
      <c r="J262" s="25">
        <f>IF($H262="","",IF(OR(COUNTIFS($A$14:$A$1213,$H262,$C$14:$C$1213,"&gt;=0")=0,COUNTIFS($A$14:$A$1213,$H262,$F$14:$F$1213,"&gt;=0")=0),"—",IF(OR(ISERROR(MATCH($H262&amp;"|1",$Z$14:$Z$1213,0)),ISERROR(MATCH($H262&amp;"|1",$AA$14:$AA$1213,0))),"Tie",IF(MATCH($H262&amp;"|1",$Z$14:$Z$1213,0)=MATCH($H262&amp;"|1",$AA$14:$AA$1213,0),"Hit","Miss"))))</f>
        <v/>
      </c>
      <c r="K262" s="24">
        <f>IF($H262="","",IF(COUNTIFS($A$14:$A$1213,$H262,$F$14:$F$1213,"&gt;=0")=0,"—",IFERROR(INDEX($B$14:$B$1213,MATCH($H262&amp;"|1",$AA$14:$AA$1213,0)),"(tied)")))</f>
        <v/>
      </c>
      <c r="L262" s="25">
        <f>IF($H262="","",IF((--(COUNTIFS($A$14:$A$1213,$H262,$P$14:$P$1213,"&gt;=0")&gt;0)+--(COUNTIFS($A$14:$A$1213,$H262,$Q$14:$Q$1213,"&gt;=0")&gt;0)+--(COUNTIFS($A$14:$A$1213,$H262,$R$14:$R$1213,"&gt;=0")&gt;0)+--(COUNTIFS($A$14:$A$1213,$H262,$S$14:$S$1213,"&gt;=0")&gt;0)+--(COUNTIFS($A$14:$A$1213,$H262,$T$14:$T$1213,"&gt;=0")&gt;0))&lt;2,"—",IF(SUMIFS($AH$14:$AH$1213,$A$14:$A$1213,$H262)=0,"Yes","No")))</f>
        <v/>
      </c>
      <c r="M262" s="25">
        <f>IF($H262="","",IF(COUNTIFS($A$14:$A$1213,$H262,$F$14:$F$1213,"&gt;=0")&lt;2,"—",IF(COUNTIFS($A$14:$A$1213,$H262,$F$14:$F$1213,_xlfn.MAXIFS($F$14:$F$1213,$A$14:$A$1213,$H262))&gt;1,"No",IF(NOT(ISNUMBER($AN262)),"—",IF((2*(1-NORMSDIST(ABS($AN262))))&lt;0.05,"Yes","No")))))</f>
        <v/>
      </c>
      <c r="N262" s="21">
        <f>IF($H262="","",IF(NOT(ISNUMBER($AN262)),"—",IF((2*(1-NORMSDIST(ABS($AN262))))&lt;0.001,"&lt;0.001",TEXT((2*(1-NORMSDIST(ABS($AN262)))),"0.000"))))</f>
        <v/>
      </c>
      <c r="P262" s="26" t="n"/>
      <c r="Q262" s="26" t="n"/>
      <c r="R262" s="26" t="n"/>
      <c r="S262" s="26" t="n"/>
      <c r="T262" s="26" t="n"/>
      <c r="V262" s="27">
        <f>IF(ISNUMBER($C262),COUNTIFS($A$14:$A$1213,$A262,$C$14:$C$1213,"&gt;"&amp;$C262)+(COUNTIFS($A$14:$A$1213,$A262,$C$14:$C$1213,"="&amp;$C262)+1)/2,"")</f>
        <v/>
      </c>
      <c r="W262" s="27">
        <f>IF(ISNUMBER($F262),COUNTIFS($A$14:$A$1213,$A262,$F$14:$F$1213,"&gt;"&amp;$F262)+(COUNTIFS($A$14:$A$1213,$A262,$F$14:$F$1213,"="&amp;$F262)+1)/2,"")</f>
        <v/>
      </c>
      <c r="X262" s="27">
        <f>IF(OR(NOT(ISNUMBER($V262)),$AO262=1),"",$V262-(COUNTIFS($A$14:$A$1213,$A262,$C$14:$C$1213,"&gt;=0")+1)/2)</f>
        <v/>
      </c>
      <c r="Y262" s="27">
        <f>IF(OR(NOT(ISNUMBER($W262)),$AO262=1),"",$W262-(COUNTIFS($A$14:$A$1213,$A262,$F$14:$F$1213,"&gt;=0")+1)/2)</f>
        <v/>
      </c>
      <c r="Z262" s="27">
        <f>IF(ISNUMBER($V262),$A262&amp;"|"&amp;$V262,"")</f>
        <v/>
      </c>
      <c r="AA262" s="27">
        <f>IF(ISNUMBER($W262),$A262&amp;"|"&amp;$W262,"")</f>
        <v/>
      </c>
      <c r="AB262" s="27">
        <f>IF(ISNUMBER($F262),$A262&amp;"|"&amp;$F262,"")</f>
        <v/>
      </c>
      <c r="AC262" s="27">
        <f>IF(ISNUMBER($P262),COUNTIFS($A$14:$A$1213,$A262,$P$14:$P$1213,"&gt;"&amp;$P262)+(COUNTIFS($A$14:$A$1213,$A262,$P$14:$P$1213,"="&amp;$P262)+1)/2,"")</f>
        <v/>
      </c>
      <c r="AD262" s="27">
        <f>IF(ISNUMBER($Q262),COUNTIFS($A$14:$A$1213,$A262,$Q$14:$Q$1213,"&gt;"&amp;$Q262)+(COUNTIFS($A$14:$A$1213,$A262,$Q$14:$Q$1213,"="&amp;$Q262)+1)/2,"")</f>
        <v/>
      </c>
      <c r="AE262" s="27">
        <f>IF(ISNUMBER($R262),COUNTIFS($A$14:$A$1213,$A262,$R$14:$R$1213,"&gt;"&amp;$R262)+(COUNTIFS($A$14:$A$1213,$A262,$R$14:$R$1213,"="&amp;$R262)+1)/2,"")</f>
        <v/>
      </c>
      <c r="AF262" s="27">
        <f>IF(ISNUMBER($S262),COUNTIFS($A$14:$A$1213,$A262,$S$14:$S$1213,"&gt;"&amp;$S262)+(COUNTIFS($A$14:$A$1213,$A262,$S$14:$S$1213,"="&amp;$S262)+1)/2,"")</f>
        <v/>
      </c>
      <c r="AG262" s="27">
        <f>IF(ISNUMBER($T262),COUNTIFS($A$14:$A$1213,$A262,$T$14:$T$1213,"&gt;"&amp;$T262)+(COUNTIFS($A$14:$A$1213,$A262,$T$14:$T$1213,"="&amp;$T262)+1)/2,"")</f>
        <v/>
      </c>
      <c r="AH262" s="27">
        <f>IF(COUNT($AC262:$AG262)&lt;2,"",IF(MAX($AC262:$AG262)=MIN($AC262:$AG262),0,1))</f>
        <v/>
      </c>
      <c r="AI262" s="27">
        <f>IF($A262="","",IF(COUNTIF($A$14:$A262,$A262)=1,COUNTIF($AI$13:AI261,"&gt;0")+1,""))</f>
        <v/>
      </c>
      <c r="AJ262" s="27">
        <f>IF(OR($H262="",COUNTIFS($A$14:$A$1213,$H262,$F$14:$F$1213,"&gt;=0")&lt;2,COUNTIFS($A$14:$A$1213,$H262,$F$14:$F$1213,_xlfn.MAXIFS($F$14:$F$1213,$A$14:$A$1213,$H262))&gt;1),"",IFERROR(INDEX($D$14:$D$1213,MATCH($H262&amp;"|"&amp;_xlfn.MAXIFS($F$14:$F$1213,$A$14:$A$1213,$H262),$AB$14:$AB$1213,0)),""))</f>
        <v/>
      </c>
      <c r="AK262" s="27">
        <f>IF(OR($H262="",COUNTIFS($A$14:$A$1213,$H262,$F$14:$F$1213,"&gt;=0")&lt;2,COUNTIFS($A$14:$A$1213,$H262,$F$14:$F$1213,_xlfn.MAXIFS($F$14:$F$1213,$A$14:$A$1213,$H262))&gt;1),"",IFERROR(INDEX($E$14:$E$1213,MATCH($H262&amp;"|"&amp;_xlfn.MAXIFS($F$14:$F$1213,$A$14:$A$1213,$H262),$AB$14:$AB$1213,0)),""))</f>
        <v/>
      </c>
      <c r="AL262" s="27">
        <f>IF(OR($H262="",COUNTIFS($A$14:$A$1213,$H262,$F$14:$F$1213,"&gt;=0")&lt;2,COUNTIFS($A$14:$A$1213,$H262,$F$14:$F$1213,_xlfn.MAXIFS($F$14:$F$1213,$A$14:$A$1213,$H262))&gt;1),"",IFERROR(INDEX($D$14:$D$1213,MATCH($H262&amp;"|"&amp;_xlfn.MAXIFS($F$14:$F$1213,$A$14:$A$1213,$H262,$F$14:$F$1213,"&lt;"&amp;_xlfn.MAXIFS($F$14:$F$1213,$A$14:$A$1213,$H262)),$AB$14:$AB$1213,0)),""))</f>
        <v/>
      </c>
      <c r="AM262" s="27">
        <f>IF(OR($H262="",COUNTIFS($A$14:$A$1213,$H262,$F$14:$F$1213,"&gt;=0")&lt;2,COUNTIFS($A$14:$A$1213,$H262,$F$14:$F$1213,_xlfn.MAXIFS($F$14:$F$1213,$A$14:$A$1213,$H262))&gt;1),"",IFERROR(INDEX($E$14:$E$1213,MATCH($H262&amp;"|"&amp;_xlfn.MAXIFS($F$14:$F$1213,$A$14:$A$1213,$H262,$F$14:$F$1213,"&lt;"&amp;_xlfn.MAXIFS($F$14:$F$1213,$A$14:$A$1213,$H262)),$AB$14:$AB$1213,0)),""))</f>
        <v/>
      </c>
      <c r="AN262" s="27">
        <f>IF(OR(NOT(ISNUMBER($AJ262)),NOT(ISNUMBER($AL262)),$AK262=0,$AM262=0),"",IF(OR((($AJ262+$AL262)/($AK262+$AM262))&lt;=0,(($AJ262+$AL262)/($AK262+$AM262))&gt;=1),"",($AJ262/$AK262-$AL262/$AM262)/SQRT((($AJ262+$AL262)/($AK262+$AM262))*(1-(($AJ262+$AL262)/($AK262+$AM262)))*(1/$AK262+1/$AM262))))</f>
        <v/>
      </c>
      <c r="AO262" s="27">
        <f>IF($A262="","",IF(AND(COUNTIFS($A$14:$A$1213,$A262,$F$14:$F$1213,"&gt;=0")=2,IFERROR(INDEX($M$14:$M$313,MATCH($A262,$H$14:$H$313,0)),"Yes")&lt;&gt;"Yes"),1,0))</f>
        <v/>
      </c>
    </row>
    <row r="263" ht="24" customHeight="1">
      <c r="A263" s="19" t="n"/>
      <c r="B263" s="20" t="n"/>
      <c r="C263" s="21">
        <f>IFERROR(AVERAGE(P263:T263),"")</f>
        <v/>
      </c>
      <c r="D263" s="29" t="n"/>
      <c r="E263" s="29" t="n"/>
      <c r="F263" s="30">
        <f>IF(AND(ISNUMBER($D263),ISNUMBER($E263),$E263&gt;0,$D263&lt;=$E263),$D263/$E263,"")</f>
        <v/>
      </c>
      <c r="H263" s="19">
        <f>IFERROR(INDEX($A$14:$A$1213,MATCH(250,$AI$14:$AI$1213,0)),"")</f>
        <v/>
      </c>
      <c r="I263" s="24">
        <f>IF($H263="","",IF(COUNTIFS($A$14:$A$1213,$H263,$C$14:$C$1213,"&gt;=0")=0,"—",IFERROR(INDEX($B$14:$B$1213,MATCH($H263&amp;"|1",$Z$14:$Z$1213,0)),"(tied)")))</f>
        <v/>
      </c>
      <c r="J263" s="25">
        <f>IF($H263="","",IF(OR(COUNTIFS($A$14:$A$1213,$H263,$C$14:$C$1213,"&gt;=0")=0,COUNTIFS($A$14:$A$1213,$H263,$F$14:$F$1213,"&gt;=0")=0),"—",IF(OR(ISERROR(MATCH($H263&amp;"|1",$Z$14:$Z$1213,0)),ISERROR(MATCH($H263&amp;"|1",$AA$14:$AA$1213,0))),"Tie",IF(MATCH($H263&amp;"|1",$Z$14:$Z$1213,0)=MATCH($H263&amp;"|1",$AA$14:$AA$1213,0),"Hit","Miss"))))</f>
        <v/>
      </c>
      <c r="K263" s="24">
        <f>IF($H263="","",IF(COUNTIFS($A$14:$A$1213,$H263,$F$14:$F$1213,"&gt;=0")=0,"—",IFERROR(INDEX($B$14:$B$1213,MATCH($H263&amp;"|1",$AA$14:$AA$1213,0)),"(tied)")))</f>
        <v/>
      </c>
      <c r="L263" s="25">
        <f>IF($H263="","",IF((--(COUNTIFS($A$14:$A$1213,$H263,$P$14:$P$1213,"&gt;=0")&gt;0)+--(COUNTIFS($A$14:$A$1213,$H263,$Q$14:$Q$1213,"&gt;=0")&gt;0)+--(COUNTIFS($A$14:$A$1213,$H263,$R$14:$R$1213,"&gt;=0")&gt;0)+--(COUNTIFS($A$14:$A$1213,$H263,$S$14:$S$1213,"&gt;=0")&gt;0)+--(COUNTIFS($A$14:$A$1213,$H263,$T$14:$T$1213,"&gt;=0")&gt;0))&lt;2,"—",IF(SUMIFS($AH$14:$AH$1213,$A$14:$A$1213,$H263)=0,"Yes","No")))</f>
        <v/>
      </c>
      <c r="M263" s="25">
        <f>IF($H263="","",IF(COUNTIFS($A$14:$A$1213,$H263,$F$14:$F$1213,"&gt;=0")&lt;2,"—",IF(COUNTIFS($A$14:$A$1213,$H263,$F$14:$F$1213,_xlfn.MAXIFS($F$14:$F$1213,$A$14:$A$1213,$H263))&gt;1,"No",IF(NOT(ISNUMBER($AN263)),"—",IF((2*(1-NORMSDIST(ABS($AN263))))&lt;0.05,"Yes","No")))))</f>
        <v/>
      </c>
      <c r="N263" s="21">
        <f>IF($H263="","",IF(NOT(ISNUMBER($AN263)),"—",IF((2*(1-NORMSDIST(ABS($AN263))))&lt;0.001,"&lt;0.001",TEXT((2*(1-NORMSDIST(ABS($AN263)))),"0.000"))))</f>
        <v/>
      </c>
      <c r="P263" s="26" t="n"/>
      <c r="Q263" s="26" t="n"/>
      <c r="R263" s="26" t="n"/>
      <c r="S263" s="26" t="n"/>
      <c r="T263" s="26" t="n"/>
      <c r="V263" s="27">
        <f>IF(ISNUMBER($C263),COUNTIFS($A$14:$A$1213,$A263,$C$14:$C$1213,"&gt;"&amp;$C263)+(COUNTIFS($A$14:$A$1213,$A263,$C$14:$C$1213,"="&amp;$C263)+1)/2,"")</f>
        <v/>
      </c>
      <c r="W263" s="27">
        <f>IF(ISNUMBER($F263),COUNTIFS($A$14:$A$1213,$A263,$F$14:$F$1213,"&gt;"&amp;$F263)+(COUNTIFS($A$14:$A$1213,$A263,$F$14:$F$1213,"="&amp;$F263)+1)/2,"")</f>
        <v/>
      </c>
      <c r="X263" s="27">
        <f>IF(OR(NOT(ISNUMBER($V263)),$AO263=1),"",$V263-(COUNTIFS($A$14:$A$1213,$A263,$C$14:$C$1213,"&gt;=0")+1)/2)</f>
        <v/>
      </c>
      <c r="Y263" s="27">
        <f>IF(OR(NOT(ISNUMBER($W263)),$AO263=1),"",$W263-(COUNTIFS($A$14:$A$1213,$A263,$F$14:$F$1213,"&gt;=0")+1)/2)</f>
        <v/>
      </c>
      <c r="Z263" s="27">
        <f>IF(ISNUMBER($V263),$A263&amp;"|"&amp;$V263,"")</f>
        <v/>
      </c>
      <c r="AA263" s="27">
        <f>IF(ISNUMBER($W263),$A263&amp;"|"&amp;$W263,"")</f>
        <v/>
      </c>
      <c r="AB263" s="27">
        <f>IF(ISNUMBER($F263),$A263&amp;"|"&amp;$F263,"")</f>
        <v/>
      </c>
      <c r="AC263" s="27">
        <f>IF(ISNUMBER($P263),COUNTIFS($A$14:$A$1213,$A263,$P$14:$P$1213,"&gt;"&amp;$P263)+(COUNTIFS($A$14:$A$1213,$A263,$P$14:$P$1213,"="&amp;$P263)+1)/2,"")</f>
        <v/>
      </c>
      <c r="AD263" s="27">
        <f>IF(ISNUMBER($Q263),COUNTIFS($A$14:$A$1213,$A263,$Q$14:$Q$1213,"&gt;"&amp;$Q263)+(COUNTIFS($A$14:$A$1213,$A263,$Q$14:$Q$1213,"="&amp;$Q263)+1)/2,"")</f>
        <v/>
      </c>
      <c r="AE263" s="27">
        <f>IF(ISNUMBER($R263),COUNTIFS($A$14:$A$1213,$A263,$R$14:$R$1213,"&gt;"&amp;$R263)+(COUNTIFS($A$14:$A$1213,$A263,$R$14:$R$1213,"="&amp;$R263)+1)/2,"")</f>
        <v/>
      </c>
      <c r="AF263" s="27">
        <f>IF(ISNUMBER($S263),COUNTIFS($A$14:$A$1213,$A263,$S$14:$S$1213,"&gt;"&amp;$S263)+(COUNTIFS($A$14:$A$1213,$A263,$S$14:$S$1213,"="&amp;$S263)+1)/2,"")</f>
        <v/>
      </c>
      <c r="AG263" s="27">
        <f>IF(ISNUMBER($T263),COUNTIFS($A$14:$A$1213,$A263,$T$14:$T$1213,"&gt;"&amp;$T263)+(COUNTIFS($A$14:$A$1213,$A263,$T$14:$T$1213,"="&amp;$T263)+1)/2,"")</f>
        <v/>
      </c>
      <c r="AH263" s="27">
        <f>IF(COUNT($AC263:$AG263)&lt;2,"",IF(MAX($AC263:$AG263)=MIN($AC263:$AG263),0,1))</f>
        <v/>
      </c>
      <c r="AI263" s="27">
        <f>IF($A263="","",IF(COUNTIF($A$14:$A263,$A263)=1,COUNTIF($AI$13:AI262,"&gt;0")+1,""))</f>
        <v/>
      </c>
      <c r="AJ263" s="27">
        <f>IF(OR($H263="",COUNTIFS($A$14:$A$1213,$H263,$F$14:$F$1213,"&gt;=0")&lt;2,COUNTIFS($A$14:$A$1213,$H263,$F$14:$F$1213,_xlfn.MAXIFS($F$14:$F$1213,$A$14:$A$1213,$H263))&gt;1),"",IFERROR(INDEX($D$14:$D$1213,MATCH($H263&amp;"|"&amp;_xlfn.MAXIFS($F$14:$F$1213,$A$14:$A$1213,$H263),$AB$14:$AB$1213,0)),""))</f>
        <v/>
      </c>
      <c r="AK263" s="27">
        <f>IF(OR($H263="",COUNTIFS($A$14:$A$1213,$H263,$F$14:$F$1213,"&gt;=0")&lt;2,COUNTIFS($A$14:$A$1213,$H263,$F$14:$F$1213,_xlfn.MAXIFS($F$14:$F$1213,$A$14:$A$1213,$H263))&gt;1),"",IFERROR(INDEX($E$14:$E$1213,MATCH($H263&amp;"|"&amp;_xlfn.MAXIFS($F$14:$F$1213,$A$14:$A$1213,$H263),$AB$14:$AB$1213,0)),""))</f>
        <v/>
      </c>
      <c r="AL263" s="27">
        <f>IF(OR($H263="",COUNTIFS($A$14:$A$1213,$H263,$F$14:$F$1213,"&gt;=0")&lt;2,COUNTIFS($A$14:$A$1213,$H263,$F$14:$F$1213,_xlfn.MAXIFS($F$14:$F$1213,$A$14:$A$1213,$H263))&gt;1),"",IFERROR(INDEX($D$14:$D$1213,MATCH($H263&amp;"|"&amp;_xlfn.MAXIFS($F$14:$F$1213,$A$14:$A$1213,$H263,$F$14:$F$1213,"&lt;"&amp;_xlfn.MAXIFS($F$14:$F$1213,$A$14:$A$1213,$H263)),$AB$14:$AB$1213,0)),""))</f>
        <v/>
      </c>
      <c r="AM263" s="27">
        <f>IF(OR($H263="",COUNTIFS($A$14:$A$1213,$H263,$F$14:$F$1213,"&gt;=0")&lt;2,COUNTIFS($A$14:$A$1213,$H263,$F$14:$F$1213,_xlfn.MAXIFS($F$14:$F$1213,$A$14:$A$1213,$H263))&gt;1),"",IFERROR(INDEX($E$14:$E$1213,MATCH($H263&amp;"|"&amp;_xlfn.MAXIFS($F$14:$F$1213,$A$14:$A$1213,$H263,$F$14:$F$1213,"&lt;"&amp;_xlfn.MAXIFS($F$14:$F$1213,$A$14:$A$1213,$H263)),$AB$14:$AB$1213,0)),""))</f>
        <v/>
      </c>
      <c r="AN263" s="27">
        <f>IF(OR(NOT(ISNUMBER($AJ263)),NOT(ISNUMBER($AL263)),$AK263=0,$AM263=0),"",IF(OR((($AJ263+$AL263)/($AK263+$AM263))&lt;=0,(($AJ263+$AL263)/($AK263+$AM263))&gt;=1),"",($AJ263/$AK263-$AL263/$AM263)/SQRT((($AJ263+$AL263)/($AK263+$AM263))*(1-(($AJ263+$AL263)/($AK263+$AM263)))*(1/$AK263+1/$AM263))))</f>
        <v/>
      </c>
      <c r="AO263" s="27">
        <f>IF($A263="","",IF(AND(COUNTIFS($A$14:$A$1213,$A263,$F$14:$F$1213,"&gt;=0")=2,IFERROR(INDEX($M$14:$M$313,MATCH($A263,$H$14:$H$313,0)),"Yes")&lt;&gt;"Yes"),1,0))</f>
        <v/>
      </c>
    </row>
    <row r="264" ht="24" customHeight="1">
      <c r="A264" s="19" t="n"/>
      <c r="B264" s="20" t="n"/>
      <c r="C264" s="21">
        <f>IFERROR(AVERAGE(P264:T264),"")</f>
        <v/>
      </c>
      <c r="D264" s="29" t="n"/>
      <c r="E264" s="29" t="n"/>
      <c r="F264" s="30">
        <f>IF(AND(ISNUMBER($D264),ISNUMBER($E264),$E264&gt;0,$D264&lt;=$E264),$D264/$E264,"")</f>
        <v/>
      </c>
      <c r="H264" s="19">
        <f>IFERROR(INDEX($A$14:$A$1213,MATCH(251,$AI$14:$AI$1213,0)),"")</f>
        <v/>
      </c>
      <c r="I264" s="24">
        <f>IF($H264="","",IF(COUNTIFS($A$14:$A$1213,$H264,$C$14:$C$1213,"&gt;=0")=0,"—",IFERROR(INDEX($B$14:$B$1213,MATCH($H264&amp;"|1",$Z$14:$Z$1213,0)),"(tied)")))</f>
        <v/>
      </c>
      <c r="J264" s="25">
        <f>IF($H264="","",IF(OR(COUNTIFS($A$14:$A$1213,$H264,$C$14:$C$1213,"&gt;=0")=0,COUNTIFS($A$14:$A$1213,$H264,$F$14:$F$1213,"&gt;=0")=0),"—",IF(OR(ISERROR(MATCH($H264&amp;"|1",$Z$14:$Z$1213,0)),ISERROR(MATCH($H264&amp;"|1",$AA$14:$AA$1213,0))),"Tie",IF(MATCH($H264&amp;"|1",$Z$14:$Z$1213,0)=MATCH($H264&amp;"|1",$AA$14:$AA$1213,0),"Hit","Miss"))))</f>
        <v/>
      </c>
      <c r="K264" s="24">
        <f>IF($H264="","",IF(COUNTIFS($A$14:$A$1213,$H264,$F$14:$F$1213,"&gt;=0")=0,"—",IFERROR(INDEX($B$14:$B$1213,MATCH($H264&amp;"|1",$AA$14:$AA$1213,0)),"(tied)")))</f>
        <v/>
      </c>
      <c r="L264" s="25">
        <f>IF($H264="","",IF((--(COUNTIFS($A$14:$A$1213,$H264,$P$14:$P$1213,"&gt;=0")&gt;0)+--(COUNTIFS($A$14:$A$1213,$H264,$Q$14:$Q$1213,"&gt;=0")&gt;0)+--(COUNTIFS($A$14:$A$1213,$H264,$R$14:$R$1213,"&gt;=0")&gt;0)+--(COUNTIFS($A$14:$A$1213,$H264,$S$14:$S$1213,"&gt;=0")&gt;0)+--(COUNTIFS($A$14:$A$1213,$H264,$T$14:$T$1213,"&gt;=0")&gt;0))&lt;2,"—",IF(SUMIFS($AH$14:$AH$1213,$A$14:$A$1213,$H264)=0,"Yes","No")))</f>
        <v/>
      </c>
      <c r="M264" s="25">
        <f>IF($H264="","",IF(COUNTIFS($A$14:$A$1213,$H264,$F$14:$F$1213,"&gt;=0")&lt;2,"—",IF(COUNTIFS($A$14:$A$1213,$H264,$F$14:$F$1213,_xlfn.MAXIFS($F$14:$F$1213,$A$14:$A$1213,$H264))&gt;1,"No",IF(NOT(ISNUMBER($AN264)),"—",IF((2*(1-NORMSDIST(ABS($AN264))))&lt;0.05,"Yes","No")))))</f>
        <v/>
      </c>
      <c r="N264" s="21">
        <f>IF($H264="","",IF(NOT(ISNUMBER($AN264)),"—",IF((2*(1-NORMSDIST(ABS($AN264))))&lt;0.001,"&lt;0.001",TEXT((2*(1-NORMSDIST(ABS($AN264)))),"0.000"))))</f>
        <v/>
      </c>
      <c r="P264" s="26" t="n"/>
      <c r="Q264" s="26" t="n"/>
      <c r="R264" s="26" t="n"/>
      <c r="S264" s="26" t="n"/>
      <c r="T264" s="26" t="n"/>
      <c r="V264" s="27">
        <f>IF(ISNUMBER($C264),COUNTIFS($A$14:$A$1213,$A264,$C$14:$C$1213,"&gt;"&amp;$C264)+(COUNTIFS($A$14:$A$1213,$A264,$C$14:$C$1213,"="&amp;$C264)+1)/2,"")</f>
        <v/>
      </c>
      <c r="W264" s="27">
        <f>IF(ISNUMBER($F264),COUNTIFS($A$14:$A$1213,$A264,$F$14:$F$1213,"&gt;"&amp;$F264)+(COUNTIFS($A$14:$A$1213,$A264,$F$14:$F$1213,"="&amp;$F264)+1)/2,"")</f>
        <v/>
      </c>
      <c r="X264" s="27">
        <f>IF(OR(NOT(ISNUMBER($V264)),$AO264=1),"",$V264-(COUNTIFS($A$14:$A$1213,$A264,$C$14:$C$1213,"&gt;=0")+1)/2)</f>
        <v/>
      </c>
      <c r="Y264" s="27">
        <f>IF(OR(NOT(ISNUMBER($W264)),$AO264=1),"",$W264-(COUNTIFS($A$14:$A$1213,$A264,$F$14:$F$1213,"&gt;=0")+1)/2)</f>
        <v/>
      </c>
      <c r="Z264" s="27">
        <f>IF(ISNUMBER($V264),$A264&amp;"|"&amp;$V264,"")</f>
        <v/>
      </c>
      <c r="AA264" s="27">
        <f>IF(ISNUMBER($W264),$A264&amp;"|"&amp;$W264,"")</f>
        <v/>
      </c>
      <c r="AB264" s="27">
        <f>IF(ISNUMBER($F264),$A264&amp;"|"&amp;$F264,"")</f>
        <v/>
      </c>
      <c r="AC264" s="27">
        <f>IF(ISNUMBER($P264),COUNTIFS($A$14:$A$1213,$A264,$P$14:$P$1213,"&gt;"&amp;$P264)+(COUNTIFS($A$14:$A$1213,$A264,$P$14:$P$1213,"="&amp;$P264)+1)/2,"")</f>
        <v/>
      </c>
      <c r="AD264" s="27">
        <f>IF(ISNUMBER($Q264),COUNTIFS($A$14:$A$1213,$A264,$Q$14:$Q$1213,"&gt;"&amp;$Q264)+(COUNTIFS($A$14:$A$1213,$A264,$Q$14:$Q$1213,"="&amp;$Q264)+1)/2,"")</f>
        <v/>
      </c>
      <c r="AE264" s="27">
        <f>IF(ISNUMBER($R264),COUNTIFS($A$14:$A$1213,$A264,$R$14:$R$1213,"&gt;"&amp;$R264)+(COUNTIFS($A$14:$A$1213,$A264,$R$14:$R$1213,"="&amp;$R264)+1)/2,"")</f>
        <v/>
      </c>
      <c r="AF264" s="27">
        <f>IF(ISNUMBER($S264),COUNTIFS($A$14:$A$1213,$A264,$S$14:$S$1213,"&gt;"&amp;$S264)+(COUNTIFS($A$14:$A$1213,$A264,$S$14:$S$1213,"="&amp;$S264)+1)/2,"")</f>
        <v/>
      </c>
      <c r="AG264" s="27">
        <f>IF(ISNUMBER($T264),COUNTIFS($A$14:$A$1213,$A264,$T$14:$T$1213,"&gt;"&amp;$T264)+(COUNTIFS($A$14:$A$1213,$A264,$T$14:$T$1213,"="&amp;$T264)+1)/2,"")</f>
        <v/>
      </c>
      <c r="AH264" s="27">
        <f>IF(COUNT($AC264:$AG264)&lt;2,"",IF(MAX($AC264:$AG264)=MIN($AC264:$AG264),0,1))</f>
        <v/>
      </c>
      <c r="AI264" s="27">
        <f>IF($A264="","",IF(COUNTIF($A$14:$A264,$A264)=1,COUNTIF($AI$13:AI263,"&gt;0")+1,""))</f>
        <v/>
      </c>
      <c r="AJ264" s="27">
        <f>IF(OR($H264="",COUNTIFS($A$14:$A$1213,$H264,$F$14:$F$1213,"&gt;=0")&lt;2,COUNTIFS($A$14:$A$1213,$H264,$F$14:$F$1213,_xlfn.MAXIFS($F$14:$F$1213,$A$14:$A$1213,$H264))&gt;1),"",IFERROR(INDEX($D$14:$D$1213,MATCH($H264&amp;"|"&amp;_xlfn.MAXIFS($F$14:$F$1213,$A$14:$A$1213,$H264),$AB$14:$AB$1213,0)),""))</f>
        <v/>
      </c>
      <c r="AK264" s="27">
        <f>IF(OR($H264="",COUNTIFS($A$14:$A$1213,$H264,$F$14:$F$1213,"&gt;=0")&lt;2,COUNTIFS($A$14:$A$1213,$H264,$F$14:$F$1213,_xlfn.MAXIFS($F$14:$F$1213,$A$14:$A$1213,$H264))&gt;1),"",IFERROR(INDEX($E$14:$E$1213,MATCH($H264&amp;"|"&amp;_xlfn.MAXIFS($F$14:$F$1213,$A$14:$A$1213,$H264),$AB$14:$AB$1213,0)),""))</f>
        <v/>
      </c>
      <c r="AL264" s="27">
        <f>IF(OR($H264="",COUNTIFS($A$14:$A$1213,$H264,$F$14:$F$1213,"&gt;=0")&lt;2,COUNTIFS($A$14:$A$1213,$H264,$F$14:$F$1213,_xlfn.MAXIFS($F$14:$F$1213,$A$14:$A$1213,$H264))&gt;1),"",IFERROR(INDEX($D$14:$D$1213,MATCH($H264&amp;"|"&amp;_xlfn.MAXIFS($F$14:$F$1213,$A$14:$A$1213,$H264,$F$14:$F$1213,"&lt;"&amp;_xlfn.MAXIFS($F$14:$F$1213,$A$14:$A$1213,$H264)),$AB$14:$AB$1213,0)),""))</f>
        <v/>
      </c>
      <c r="AM264" s="27">
        <f>IF(OR($H264="",COUNTIFS($A$14:$A$1213,$H264,$F$14:$F$1213,"&gt;=0")&lt;2,COUNTIFS($A$14:$A$1213,$H264,$F$14:$F$1213,_xlfn.MAXIFS($F$14:$F$1213,$A$14:$A$1213,$H264))&gt;1),"",IFERROR(INDEX($E$14:$E$1213,MATCH($H264&amp;"|"&amp;_xlfn.MAXIFS($F$14:$F$1213,$A$14:$A$1213,$H264,$F$14:$F$1213,"&lt;"&amp;_xlfn.MAXIFS($F$14:$F$1213,$A$14:$A$1213,$H264)),$AB$14:$AB$1213,0)),""))</f>
        <v/>
      </c>
      <c r="AN264" s="27">
        <f>IF(OR(NOT(ISNUMBER($AJ264)),NOT(ISNUMBER($AL264)),$AK264=0,$AM264=0),"",IF(OR((($AJ264+$AL264)/($AK264+$AM264))&lt;=0,(($AJ264+$AL264)/($AK264+$AM264))&gt;=1),"",($AJ264/$AK264-$AL264/$AM264)/SQRT((($AJ264+$AL264)/($AK264+$AM264))*(1-(($AJ264+$AL264)/($AK264+$AM264)))*(1/$AK264+1/$AM264))))</f>
        <v/>
      </c>
      <c r="AO264" s="27">
        <f>IF($A264="","",IF(AND(COUNTIFS($A$14:$A$1213,$A264,$F$14:$F$1213,"&gt;=0")=2,IFERROR(INDEX($M$14:$M$313,MATCH($A264,$H$14:$H$313,0)),"Yes")&lt;&gt;"Yes"),1,0))</f>
        <v/>
      </c>
    </row>
    <row r="265" ht="24" customHeight="1">
      <c r="A265" s="19" t="n"/>
      <c r="B265" s="20" t="n"/>
      <c r="C265" s="21">
        <f>IFERROR(AVERAGE(P265:T265),"")</f>
        <v/>
      </c>
      <c r="D265" s="29" t="n"/>
      <c r="E265" s="29" t="n"/>
      <c r="F265" s="30">
        <f>IF(AND(ISNUMBER($D265),ISNUMBER($E265),$E265&gt;0,$D265&lt;=$E265),$D265/$E265,"")</f>
        <v/>
      </c>
      <c r="H265" s="19">
        <f>IFERROR(INDEX($A$14:$A$1213,MATCH(252,$AI$14:$AI$1213,0)),"")</f>
        <v/>
      </c>
      <c r="I265" s="24">
        <f>IF($H265="","",IF(COUNTIFS($A$14:$A$1213,$H265,$C$14:$C$1213,"&gt;=0")=0,"—",IFERROR(INDEX($B$14:$B$1213,MATCH($H265&amp;"|1",$Z$14:$Z$1213,0)),"(tied)")))</f>
        <v/>
      </c>
      <c r="J265" s="25">
        <f>IF($H265="","",IF(OR(COUNTIFS($A$14:$A$1213,$H265,$C$14:$C$1213,"&gt;=0")=0,COUNTIFS($A$14:$A$1213,$H265,$F$14:$F$1213,"&gt;=0")=0),"—",IF(OR(ISERROR(MATCH($H265&amp;"|1",$Z$14:$Z$1213,0)),ISERROR(MATCH($H265&amp;"|1",$AA$14:$AA$1213,0))),"Tie",IF(MATCH($H265&amp;"|1",$Z$14:$Z$1213,0)=MATCH($H265&amp;"|1",$AA$14:$AA$1213,0),"Hit","Miss"))))</f>
        <v/>
      </c>
      <c r="K265" s="24">
        <f>IF($H265="","",IF(COUNTIFS($A$14:$A$1213,$H265,$F$14:$F$1213,"&gt;=0")=0,"—",IFERROR(INDEX($B$14:$B$1213,MATCH($H265&amp;"|1",$AA$14:$AA$1213,0)),"(tied)")))</f>
        <v/>
      </c>
      <c r="L265" s="25">
        <f>IF($H265="","",IF((--(COUNTIFS($A$14:$A$1213,$H265,$P$14:$P$1213,"&gt;=0")&gt;0)+--(COUNTIFS($A$14:$A$1213,$H265,$Q$14:$Q$1213,"&gt;=0")&gt;0)+--(COUNTIFS($A$14:$A$1213,$H265,$R$14:$R$1213,"&gt;=0")&gt;0)+--(COUNTIFS($A$14:$A$1213,$H265,$S$14:$S$1213,"&gt;=0")&gt;0)+--(COUNTIFS($A$14:$A$1213,$H265,$T$14:$T$1213,"&gt;=0")&gt;0))&lt;2,"—",IF(SUMIFS($AH$14:$AH$1213,$A$14:$A$1213,$H265)=0,"Yes","No")))</f>
        <v/>
      </c>
      <c r="M265" s="25">
        <f>IF($H265="","",IF(COUNTIFS($A$14:$A$1213,$H265,$F$14:$F$1213,"&gt;=0")&lt;2,"—",IF(COUNTIFS($A$14:$A$1213,$H265,$F$14:$F$1213,_xlfn.MAXIFS($F$14:$F$1213,$A$14:$A$1213,$H265))&gt;1,"No",IF(NOT(ISNUMBER($AN265)),"—",IF((2*(1-NORMSDIST(ABS($AN265))))&lt;0.05,"Yes","No")))))</f>
        <v/>
      </c>
      <c r="N265" s="21">
        <f>IF($H265="","",IF(NOT(ISNUMBER($AN265)),"—",IF((2*(1-NORMSDIST(ABS($AN265))))&lt;0.001,"&lt;0.001",TEXT((2*(1-NORMSDIST(ABS($AN265)))),"0.000"))))</f>
        <v/>
      </c>
      <c r="P265" s="26" t="n"/>
      <c r="Q265" s="26" t="n"/>
      <c r="R265" s="26" t="n"/>
      <c r="S265" s="26" t="n"/>
      <c r="T265" s="26" t="n"/>
      <c r="V265" s="27">
        <f>IF(ISNUMBER($C265),COUNTIFS($A$14:$A$1213,$A265,$C$14:$C$1213,"&gt;"&amp;$C265)+(COUNTIFS($A$14:$A$1213,$A265,$C$14:$C$1213,"="&amp;$C265)+1)/2,"")</f>
        <v/>
      </c>
      <c r="W265" s="27">
        <f>IF(ISNUMBER($F265),COUNTIFS($A$14:$A$1213,$A265,$F$14:$F$1213,"&gt;"&amp;$F265)+(COUNTIFS($A$14:$A$1213,$A265,$F$14:$F$1213,"="&amp;$F265)+1)/2,"")</f>
        <v/>
      </c>
      <c r="X265" s="27">
        <f>IF(OR(NOT(ISNUMBER($V265)),$AO265=1),"",$V265-(COUNTIFS($A$14:$A$1213,$A265,$C$14:$C$1213,"&gt;=0")+1)/2)</f>
        <v/>
      </c>
      <c r="Y265" s="27">
        <f>IF(OR(NOT(ISNUMBER($W265)),$AO265=1),"",$W265-(COUNTIFS($A$14:$A$1213,$A265,$F$14:$F$1213,"&gt;=0")+1)/2)</f>
        <v/>
      </c>
      <c r="Z265" s="27">
        <f>IF(ISNUMBER($V265),$A265&amp;"|"&amp;$V265,"")</f>
        <v/>
      </c>
      <c r="AA265" s="27">
        <f>IF(ISNUMBER($W265),$A265&amp;"|"&amp;$W265,"")</f>
        <v/>
      </c>
      <c r="AB265" s="27">
        <f>IF(ISNUMBER($F265),$A265&amp;"|"&amp;$F265,"")</f>
        <v/>
      </c>
      <c r="AC265" s="27">
        <f>IF(ISNUMBER($P265),COUNTIFS($A$14:$A$1213,$A265,$P$14:$P$1213,"&gt;"&amp;$P265)+(COUNTIFS($A$14:$A$1213,$A265,$P$14:$P$1213,"="&amp;$P265)+1)/2,"")</f>
        <v/>
      </c>
      <c r="AD265" s="27">
        <f>IF(ISNUMBER($Q265),COUNTIFS($A$14:$A$1213,$A265,$Q$14:$Q$1213,"&gt;"&amp;$Q265)+(COUNTIFS($A$14:$A$1213,$A265,$Q$14:$Q$1213,"="&amp;$Q265)+1)/2,"")</f>
        <v/>
      </c>
      <c r="AE265" s="27">
        <f>IF(ISNUMBER($R265),COUNTIFS($A$14:$A$1213,$A265,$R$14:$R$1213,"&gt;"&amp;$R265)+(COUNTIFS($A$14:$A$1213,$A265,$R$14:$R$1213,"="&amp;$R265)+1)/2,"")</f>
        <v/>
      </c>
      <c r="AF265" s="27">
        <f>IF(ISNUMBER($S265),COUNTIFS($A$14:$A$1213,$A265,$S$14:$S$1213,"&gt;"&amp;$S265)+(COUNTIFS($A$14:$A$1213,$A265,$S$14:$S$1213,"="&amp;$S265)+1)/2,"")</f>
        <v/>
      </c>
      <c r="AG265" s="27">
        <f>IF(ISNUMBER($T265),COUNTIFS($A$14:$A$1213,$A265,$T$14:$T$1213,"&gt;"&amp;$T265)+(COUNTIFS($A$14:$A$1213,$A265,$T$14:$T$1213,"="&amp;$T265)+1)/2,"")</f>
        <v/>
      </c>
      <c r="AH265" s="27">
        <f>IF(COUNT($AC265:$AG265)&lt;2,"",IF(MAX($AC265:$AG265)=MIN($AC265:$AG265),0,1))</f>
        <v/>
      </c>
      <c r="AI265" s="27">
        <f>IF($A265="","",IF(COUNTIF($A$14:$A265,$A265)=1,COUNTIF($AI$13:AI264,"&gt;0")+1,""))</f>
        <v/>
      </c>
      <c r="AJ265" s="27">
        <f>IF(OR($H265="",COUNTIFS($A$14:$A$1213,$H265,$F$14:$F$1213,"&gt;=0")&lt;2,COUNTIFS($A$14:$A$1213,$H265,$F$14:$F$1213,_xlfn.MAXIFS($F$14:$F$1213,$A$14:$A$1213,$H265))&gt;1),"",IFERROR(INDEX($D$14:$D$1213,MATCH($H265&amp;"|"&amp;_xlfn.MAXIFS($F$14:$F$1213,$A$14:$A$1213,$H265),$AB$14:$AB$1213,0)),""))</f>
        <v/>
      </c>
      <c r="AK265" s="27">
        <f>IF(OR($H265="",COUNTIFS($A$14:$A$1213,$H265,$F$14:$F$1213,"&gt;=0")&lt;2,COUNTIFS($A$14:$A$1213,$H265,$F$14:$F$1213,_xlfn.MAXIFS($F$14:$F$1213,$A$14:$A$1213,$H265))&gt;1),"",IFERROR(INDEX($E$14:$E$1213,MATCH($H265&amp;"|"&amp;_xlfn.MAXIFS($F$14:$F$1213,$A$14:$A$1213,$H265),$AB$14:$AB$1213,0)),""))</f>
        <v/>
      </c>
      <c r="AL265" s="27">
        <f>IF(OR($H265="",COUNTIFS($A$14:$A$1213,$H265,$F$14:$F$1213,"&gt;=0")&lt;2,COUNTIFS($A$14:$A$1213,$H265,$F$14:$F$1213,_xlfn.MAXIFS($F$14:$F$1213,$A$14:$A$1213,$H265))&gt;1),"",IFERROR(INDEX($D$14:$D$1213,MATCH($H265&amp;"|"&amp;_xlfn.MAXIFS($F$14:$F$1213,$A$14:$A$1213,$H265,$F$14:$F$1213,"&lt;"&amp;_xlfn.MAXIFS($F$14:$F$1213,$A$14:$A$1213,$H265)),$AB$14:$AB$1213,0)),""))</f>
        <v/>
      </c>
      <c r="AM265" s="27">
        <f>IF(OR($H265="",COUNTIFS($A$14:$A$1213,$H265,$F$14:$F$1213,"&gt;=0")&lt;2,COUNTIFS($A$14:$A$1213,$H265,$F$14:$F$1213,_xlfn.MAXIFS($F$14:$F$1213,$A$14:$A$1213,$H265))&gt;1),"",IFERROR(INDEX($E$14:$E$1213,MATCH($H265&amp;"|"&amp;_xlfn.MAXIFS($F$14:$F$1213,$A$14:$A$1213,$H265,$F$14:$F$1213,"&lt;"&amp;_xlfn.MAXIFS($F$14:$F$1213,$A$14:$A$1213,$H265)),$AB$14:$AB$1213,0)),""))</f>
        <v/>
      </c>
      <c r="AN265" s="27">
        <f>IF(OR(NOT(ISNUMBER($AJ265)),NOT(ISNUMBER($AL265)),$AK265=0,$AM265=0),"",IF(OR((($AJ265+$AL265)/($AK265+$AM265))&lt;=0,(($AJ265+$AL265)/($AK265+$AM265))&gt;=1),"",($AJ265/$AK265-$AL265/$AM265)/SQRT((($AJ265+$AL265)/($AK265+$AM265))*(1-(($AJ265+$AL265)/($AK265+$AM265)))*(1/$AK265+1/$AM265))))</f>
        <v/>
      </c>
      <c r="AO265" s="27">
        <f>IF($A265="","",IF(AND(COUNTIFS($A$14:$A$1213,$A265,$F$14:$F$1213,"&gt;=0")=2,IFERROR(INDEX($M$14:$M$313,MATCH($A265,$H$14:$H$313,0)),"Yes")&lt;&gt;"Yes"),1,0))</f>
        <v/>
      </c>
    </row>
    <row r="266" ht="24" customHeight="1">
      <c r="A266" s="19" t="n"/>
      <c r="B266" s="20" t="n"/>
      <c r="C266" s="21">
        <f>IFERROR(AVERAGE(P266:T266),"")</f>
        <v/>
      </c>
      <c r="D266" s="29" t="n"/>
      <c r="E266" s="29" t="n"/>
      <c r="F266" s="30">
        <f>IF(AND(ISNUMBER($D266),ISNUMBER($E266),$E266&gt;0,$D266&lt;=$E266),$D266/$E266,"")</f>
        <v/>
      </c>
      <c r="H266" s="19">
        <f>IFERROR(INDEX($A$14:$A$1213,MATCH(253,$AI$14:$AI$1213,0)),"")</f>
        <v/>
      </c>
      <c r="I266" s="24">
        <f>IF($H266="","",IF(COUNTIFS($A$14:$A$1213,$H266,$C$14:$C$1213,"&gt;=0")=0,"—",IFERROR(INDEX($B$14:$B$1213,MATCH($H266&amp;"|1",$Z$14:$Z$1213,0)),"(tied)")))</f>
        <v/>
      </c>
      <c r="J266" s="25">
        <f>IF($H266="","",IF(OR(COUNTIFS($A$14:$A$1213,$H266,$C$14:$C$1213,"&gt;=0")=0,COUNTIFS($A$14:$A$1213,$H266,$F$14:$F$1213,"&gt;=0")=0),"—",IF(OR(ISERROR(MATCH($H266&amp;"|1",$Z$14:$Z$1213,0)),ISERROR(MATCH($H266&amp;"|1",$AA$14:$AA$1213,0))),"Tie",IF(MATCH($H266&amp;"|1",$Z$14:$Z$1213,0)=MATCH($H266&amp;"|1",$AA$14:$AA$1213,0),"Hit","Miss"))))</f>
        <v/>
      </c>
      <c r="K266" s="24">
        <f>IF($H266="","",IF(COUNTIFS($A$14:$A$1213,$H266,$F$14:$F$1213,"&gt;=0")=0,"—",IFERROR(INDEX($B$14:$B$1213,MATCH($H266&amp;"|1",$AA$14:$AA$1213,0)),"(tied)")))</f>
        <v/>
      </c>
      <c r="L266" s="25">
        <f>IF($H266="","",IF((--(COUNTIFS($A$14:$A$1213,$H266,$P$14:$P$1213,"&gt;=0")&gt;0)+--(COUNTIFS($A$14:$A$1213,$H266,$Q$14:$Q$1213,"&gt;=0")&gt;0)+--(COUNTIFS($A$14:$A$1213,$H266,$R$14:$R$1213,"&gt;=0")&gt;0)+--(COUNTIFS($A$14:$A$1213,$H266,$S$14:$S$1213,"&gt;=0")&gt;0)+--(COUNTIFS($A$14:$A$1213,$H266,$T$14:$T$1213,"&gt;=0")&gt;0))&lt;2,"—",IF(SUMIFS($AH$14:$AH$1213,$A$14:$A$1213,$H266)=0,"Yes","No")))</f>
        <v/>
      </c>
      <c r="M266" s="25">
        <f>IF($H266="","",IF(COUNTIFS($A$14:$A$1213,$H266,$F$14:$F$1213,"&gt;=0")&lt;2,"—",IF(COUNTIFS($A$14:$A$1213,$H266,$F$14:$F$1213,_xlfn.MAXIFS($F$14:$F$1213,$A$14:$A$1213,$H266))&gt;1,"No",IF(NOT(ISNUMBER($AN266)),"—",IF((2*(1-NORMSDIST(ABS($AN266))))&lt;0.05,"Yes","No")))))</f>
        <v/>
      </c>
      <c r="N266" s="21">
        <f>IF($H266="","",IF(NOT(ISNUMBER($AN266)),"—",IF((2*(1-NORMSDIST(ABS($AN266))))&lt;0.001,"&lt;0.001",TEXT((2*(1-NORMSDIST(ABS($AN266)))),"0.000"))))</f>
        <v/>
      </c>
      <c r="P266" s="26" t="n"/>
      <c r="Q266" s="26" t="n"/>
      <c r="R266" s="26" t="n"/>
      <c r="S266" s="26" t="n"/>
      <c r="T266" s="26" t="n"/>
      <c r="V266" s="27">
        <f>IF(ISNUMBER($C266),COUNTIFS($A$14:$A$1213,$A266,$C$14:$C$1213,"&gt;"&amp;$C266)+(COUNTIFS($A$14:$A$1213,$A266,$C$14:$C$1213,"="&amp;$C266)+1)/2,"")</f>
        <v/>
      </c>
      <c r="W266" s="27">
        <f>IF(ISNUMBER($F266),COUNTIFS($A$14:$A$1213,$A266,$F$14:$F$1213,"&gt;"&amp;$F266)+(COUNTIFS($A$14:$A$1213,$A266,$F$14:$F$1213,"="&amp;$F266)+1)/2,"")</f>
        <v/>
      </c>
      <c r="X266" s="27">
        <f>IF(OR(NOT(ISNUMBER($V266)),$AO266=1),"",$V266-(COUNTIFS($A$14:$A$1213,$A266,$C$14:$C$1213,"&gt;=0")+1)/2)</f>
        <v/>
      </c>
      <c r="Y266" s="27">
        <f>IF(OR(NOT(ISNUMBER($W266)),$AO266=1),"",$W266-(COUNTIFS($A$14:$A$1213,$A266,$F$14:$F$1213,"&gt;=0")+1)/2)</f>
        <v/>
      </c>
      <c r="Z266" s="27">
        <f>IF(ISNUMBER($V266),$A266&amp;"|"&amp;$V266,"")</f>
        <v/>
      </c>
      <c r="AA266" s="27">
        <f>IF(ISNUMBER($W266),$A266&amp;"|"&amp;$W266,"")</f>
        <v/>
      </c>
      <c r="AB266" s="27">
        <f>IF(ISNUMBER($F266),$A266&amp;"|"&amp;$F266,"")</f>
        <v/>
      </c>
      <c r="AC266" s="27">
        <f>IF(ISNUMBER($P266),COUNTIFS($A$14:$A$1213,$A266,$P$14:$P$1213,"&gt;"&amp;$P266)+(COUNTIFS($A$14:$A$1213,$A266,$P$14:$P$1213,"="&amp;$P266)+1)/2,"")</f>
        <v/>
      </c>
      <c r="AD266" s="27">
        <f>IF(ISNUMBER($Q266),COUNTIFS($A$14:$A$1213,$A266,$Q$14:$Q$1213,"&gt;"&amp;$Q266)+(COUNTIFS($A$14:$A$1213,$A266,$Q$14:$Q$1213,"="&amp;$Q266)+1)/2,"")</f>
        <v/>
      </c>
      <c r="AE266" s="27">
        <f>IF(ISNUMBER($R266),COUNTIFS($A$14:$A$1213,$A266,$R$14:$R$1213,"&gt;"&amp;$R266)+(COUNTIFS($A$14:$A$1213,$A266,$R$14:$R$1213,"="&amp;$R266)+1)/2,"")</f>
        <v/>
      </c>
      <c r="AF266" s="27">
        <f>IF(ISNUMBER($S266),COUNTIFS($A$14:$A$1213,$A266,$S$14:$S$1213,"&gt;"&amp;$S266)+(COUNTIFS($A$14:$A$1213,$A266,$S$14:$S$1213,"="&amp;$S266)+1)/2,"")</f>
        <v/>
      </c>
      <c r="AG266" s="27">
        <f>IF(ISNUMBER($T266),COUNTIFS($A$14:$A$1213,$A266,$T$14:$T$1213,"&gt;"&amp;$T266)+(COUNTIFS($A$14:$A$1213,$A266,$T$14:$T$1213,"="&amp;$T266)+1)/2,"")</f>
        <v/>
      </c>
      <c r="AH266" s="27">
        <f>IF(COUNT($AC266:$AG266)&lt;2,"",IF(MAX($AC266:$AG266)=MIN($AC266:$AG266),0,1))</f>
        <v/>
      </c>
      <c r="AI266" s="27">
        <f>IF($A266="","",IF(COUNTIF($A$14:$A266,$A266)=1,COUNTIF($AI$13:AI265,"&gt;0")+1,""))</f>
        <v/>
      </c>
      <c r="AJ266" s="27">
        <f>IF(OR($H266="",COUNTIFS($A$14:$A$1213,$H266,$F$14:$F$1213,"&gt;=0")&lt;2,COUNTIFS($A$14:$A$1213,$H266,$F$14:$F$1213,_xlfn.MAXIFS($F$14:$F$1213,$A$14:$A$1213,$H266))&gt;1),"",IFERROR(INDEX($D$14:$D$1213,MATCH($H266&amp;"|"&amp;_xlfn.MAXIFS($F$14:$F$1213,$A$14:$A$1213,$H266),$AB$14:$AB$1213,0)),""))</f>
        <v/>
      </c>
      <c r="AK266" s="27">
        <f>IF(OR($H266="",COUNTIFS($A$14:$A$1213,$H266,$F$14:$F$1213,"&gt;=0")&lt;2,COUNTIFS($A$14:$A$1213,$H266,$F$14:$F$1213,_xlfn.MAXIFS($F$14:$F$1213,$A$14:$A$1213,$H266))&gt;1),"",IFERROR(INDEX($E$14:$E$1213,MATCH($H266&amp;"|"&amp;_xlfn.MAXIFS($F$14:$F$1213,$A$14:$A$1213,$H266),$AB$14:$AB$1213,0)),""))</f>
        <v/>
      </c>
      <c r="AL266" s="27">
        <f>IF(OR($H266="",COUNTIFS($A$14:$A$1213,$H266,$F$14:$F$1213,"&gt;=0")&lt;2,COUNTIFS($A$14:$A$1213,$H266,$F$14:$F$1213,_xlfn.MAXIFS($F$14:$F$1213,$A$14:$A$1213,$H266))&gt;1),"",IFERROR(INDEX($D$14:$D$1213,MATCH($H266&amp;"|"&amp;_xlfn.MAXIFS($F$14:$F$1213,$A$14:$A$1213,$H266,$F$14:$F$1213,"&lt;"&amp;_xlfn.MAXIFS($F$14:$F$1213,$A$14:$A$1213,$H266)),$AB$14:$AB$1213,0)),""))</f>
        <v/>
      </c>
      <c r="AM266" s="27">
        <f>IF(OR($H266="",COUNTIFS($A$14:$A$1213,$H266,$F$14:$F$1213,"&gt;=0")&lt;2,COUNTIFS($A$14:$A$1213,$H266,$F$14:$F$1213,_xlfn.MAXIFS($F$14:$F$1213,$A$14:$A$1213,$H266))&gt;1),"",IFERROR(INDEX($E$14:$E$1213,MATCH($H266&amp;"|"&amp;_xlfn.MAXIFS($F$14:$F$1213,$A$14:$A$1213,$H266,$F$14:$F$1213,"&lt;"&amp;_xlfn.MAXIFS($F$14:$F$1213,$A$14:$A$1213,$H266)),$AB$14:$AB$1213,0)),""))</f>
        <v/>
      </c>
      <c r="AN266" s="27">
        <f>IF(OR(NOT(ISNUMBER($AJ266)),NOT(ISNUMBER($AL266)),$AK266=0,$AM266=0),"",IF(OR((($AJ266+$AL266)/($AK266+$AM266))&lt;=0,(($AJ266+$AL266)/($AK266+$AM266))&gt;=1),"",($AJ266/$AK266-$AL266/$AM266)/SQRT((($AJ266+$AL266)/($AK266+$AM266))*(1-(($AJ266+$AL266)/($AK266+$AM266)))*(1/$AK266+1/$AM266))))</f>
        <v/>
      </c>
      <c r="AO266" s="27">
        <f>IF($A266="","",IF(AND(COUNTIFS($A$14:$A$1213,$A266,$F$14:$F$1213,"&gt;=0")=2,IFERROR(INDEX($M$14:$M$313,MATCH($A266,$H$14:$H$313,0)),"Yes")&lt;&gt;"Yes"),1,0))</f>
        <v/>
      </c>
    </row>
    <row r="267" ht="24" customHeight="1">
      <c r="A267" s="19" t="n"/>
      <c r="B267" s="20" t="n"/>
      <c r="C267" s="21">
        <f>IFERROR(AVERAGE(P267:T267),"")</f>
        <v/>
      </c>
      <c r="D267" s="29" t="n"/>
      <c r="E267" s="29" t="n"/>
      <c r="F267" s="30">
        <f>IF(AND(ISNUMBER($D267),ISNUMBER($E267),$E267&gt;0,$D267&lt;=$E267),$D267/$E267,"")</f>
        <v/>
      </c>
      <c r="H267" s="19">
        <f>IFERROR(INDEX($A$14:$A$1213,MATCH(254,$AI$14:$AI$1213,0)),"")</f>
        <v/>
      </c>
      <c r="I267" s="24">
        <f>IF($H267="","",IF(COUNTIFS($A$14:$A$1213,$H267,$C$14:$C$1213,"&gt;=0")=0,"—",IFERROR(INDEX($B$14:$B$1213,MATCH($H267&amp;"|1",$Z$14:$Z$1213,0)),"(tied)")))</f>
        <v/>
      </c>
      <c r="J267" s="25">
        <f>IF($H267="","",IF(OR(COUNTIFS($A$14:$A$1213,$H267,$C$14:$C$1213,"&gt;=0")=0,COUNTIFS($A$14:$A$1213,$H267,$F$14:$F$1213,"&gt;=0")=0),"—",IF(OR(ISERROR(MATCH($H267&amp;"|1",$Z$14:$Z$1213,0)),ISERROR(MATCH($H267&amp;"|1",$AA$14:$AA$1213,0))),"Tie",IF(MATCH($H267&amp;"|1",$Z$14:$Z$1213,0)=MATCH($H267&amp;"|1",$AA$14:$AA$1213,0),"Hit","Miss"))))</f>
        <v/>
      </c>
      <c r="K267" s="24">
        <f>IF($H267="","",IF(COUNTIFS($A$14:$A$1213,$H267,$F$14:$F$1213,"&gt;=0")=0,"—",IFERROR(INDEX($B$14:$B$1213,MATCH($H267&amp;"|1",$AA$14:$AA$1213,0)),"(tied)")))</f>
        <v/>
      </c>
      <c r="L267" s="25">
        <f>IF($H267="","",IF((--(COUNTIFS($A$14:$A$1213,$H267,$P$14:$P$1213,"&gt;=0")&gt;0)+--(COUNTIFS($A$14:$A$1213,$H267,$Q$14:$Q$1213,"&gt;=0")&gt;0)+--(COUNTIFS($A$14:$A$1213,$H267,$R$14:$R$1213,"&gt;=0")&gt;0)+--(COUNTIFS($A$14:$A$1213,$H267,$S$14:$S$1213,"&gt;=0")&gt;0)+--(COUNTIFS($A$14:$A$1213,$H267,$T$14:$T$1213,"&gt;=0")&gt;0))&lt;2,"—",IF(SUMIFS($AH$14:$AH$1213,$A$14:$A$1213,$H267)=0,"Yes","No")))</f>
        <v/>
      </c>
      <c r="M267" s="25">
        <f>IF($H267="","",IF(COUNTIFS($A$14:$A$1213,$H267,$F$14:$F$1213,"&gt;=0")&lt;2,"—",IF(COUNTIFS($A$14:$A$1213,$H267,$F$14:$F$1213,_xlfn.MAXIFS($F$14:$F$1213,$A$14:$A$1213,$H267))&gt;1,"No",IF(NOT(ISNUMBER($AN267)),"—",IF((2*(1-NORMSDIST(ABS($AN267))))&lt;0.05,"Yes","No")))))</f>
        <v/>
      </c>
      <c r="N267" s="21">
        <f>IF($H267="","",IF(NOT(ISNUMBER($AN267)),"—",IF((2*(1-NORMSDIST(ABS($AN267))))&lt;0.001,"&lt;0.001",TEXT((2*(1-NORMSDIST(ABS($AN267)))),"0.000"))))</f>
        <v/>
      </c>
      <c r="P267" s="26" t="n"/>
      <c r="Q267" s="26" t="n"/>
      <c r="R267" s="26" t="n"/>
      <c r="S267" s="26" t="n"/>
      <c r="T267" s="26" t="n"/>
      <c r="V267" s="27">
        <f>IF(ISNUMBER($C267),COUNTIFS($A$14:$A$1213,$A267,$C$14:$C$1213,"&gt;"&amp;$C267)+(COUNTIFS($A$14:$A$1213,$A267,$C$14:$C$1213,"="&amp;$C267)+1)/2,"")</f>
        <v/>
      </c>
      <c r="W267" s="27">
        <f>IF(ISNUMBER($F267),COUNTIFS($A$14:$A$1213,$A267,$F$14:$F$1213,"&gt;"&amp;$F267)+(COUNTIFS($A$14:$A$1213,$A267,$F$14:$F$1213,"="&amp;$F267)+1)/2,"")</f>
        <v/>
      </c>
      <c r="X267" s="27">
        <f>IF(OR(NOT(ISNUMBER($V267)),$AO267=1),"",$V267-(COUNTIFS($A$14:$A$1213,$A267,$C$14:$C$1213,"&gt;=0")+1)/2)</f>
        <v/>
      </c>
      <c r="Y267" s="27">
        <f>IF(OR(NOT(ISNUMBER($W267)),$AO267=1),"",$W267-(COUNTIFS($A$14:$A$1213,$A267,$F$14:$F$1213,"&gt;=0")+1)/2)</f>
        <v/>
      </c>
      <c r="Z267" s="27">
        <f>IF(ISNUMBER($V267),$A267&amp;"|"&amp;$V267,"")</f>
        <v/>
      </c>
      <c r="AA267" s="27">
        <f>IF(ISNUMBER($W267),$A267&amp;"|"&amp;$W267,"")</f>
        <v/>
      </c>
      <c r="AB267" s="27">
        <f>IF(ISNUMBER($F267),$A267&amp;"|"&amp;$F267,"")</f>
        <v/>
      </c>
      <c r="AC267" s="27">
        <f>IF(ISNUMBER($P267),COUNTIFS($A$14:$A$1213,$A267,$P$14:$P$1213,"&gt;"&amp;$P267)+(COUNTIFS($A$14:$A$1213,$A267,$P$14:$P$1213,"="&amp;$P267)+1)/2,"")</f>
        <v/>
      </c>
      <c r="AD267" s="27">
        <f>IF(ISNUMBER($Q267),COUNTIFS($A$14:$A$1213,$A267,$Q$14:$Q$1213,"&gt;"&amp;$Q267)+(COUNTIFS($A$14:$A$1213,$A267,$Q$14:$Q$1213,"="&amp;$Q267)+1)/2,"")</f>
        <v/>
      </c>
      <c r="AE267" s="27">
        <f>IF(ISNUMBER($R267),COUNTIFS($A$14:$A$1213,$A267,$R$14:$R$1213,"&gt;"&amp;$R267)+(COUNTIFS($A$14:$A$1213,$A267,$R$14:$R$1213,"="&amp;$R267)+1)/2,"")</f>
        <v/>
      </c>
      <c r="AF267" s="27">
        <f>IF(ISNUMBER($S267),COUNTIFS($A$14:$A$1213,$A267,$S$14:$S$1213,"&gt;"&amp;$S267)+(COUNTIFS($A$14:$A$1213,$A267,$S$14:$S$1213,"="&amp;$S267)+1)/2,"")</f>
        <v/>
      </c>
      <c r="AG267" s="27">
        <f>IF(ISNUMBER($T267),COUNTIFS($A$14:$A$1213,$A267,$T$14:$T$1213,"&gt;"&amp;$T267)+(COUNTIFS($A$14:$A$1213,$A267,$T$14:$T$1213,"="&amp;$T267)+1)/2,"")</f>
        <v/>
      </c>
      <c r="AH267" s="27">
        <f>IF(COUNT($AC267:$AG267)&lt;2,"",IF(MAX($AC267:$AG267)=MIN($AC267:$AG267),0,1))</f>
        <v/>
      </c>
      <c r="AI267" s="27">
        <f>IF($A267="","",IF(COUNTIF($A$14:$A267,$A267)=1,COUNTIF($AI$13:AI266,"&gt;0")+1,""))</f>
        <v/>
      </c>
      <c r="AJ267" s="27">
        <f>IF(OR($H267="",COUNTIFS($A$14:$A$1213,$H267,$F$14:$F$1213,"&gt;=0")&lt;2,COUNTIFS($A$14:$A$1213,$H267,$F$14:$F$1213,_xlfn.MAXIFS($F$14:$F$1213,$A$14:$A$1213,$H267))&gt;1),"",IFERROR(INDEX($D$14:$D$1213,MATCH($H267&amp;"|"&amp;_xlfn.MAXIFS($F$14:$F$1213,$A$14:$A$1213,$H267),$AB$14:$AB$1213,0)),""))</f>
        <v/>
      </c>
      <c r="AK267" s="27">
        <f>IF(OR($H267="",COUNTIFS($A$14:$A$1213,$H267,$F$14:$F$1213,"&gt;=0")&lt;2,COUNTIFS($A$14:$A$1213,$H267,$F$14:$F$1213,_xlfn.MAXIFS($F$14:$F$1213,$A$14:$A$1213,$H267))&gt;1),"",IFERROR(INDEX($E$14:$E$1213,MATCH($H267&amp;"|"&amp;_xlfn.MAXIFS($F$14:$F$1213,$A$14:$A$1213,$H267),$AB$14:$AB$1213,0)),""))</f>
        <v/>
      </c>
      <c r="AL267" s="27">
        <f>IF(OR($H267="",COUNTIFS($A$14:$A$1213,$H267,$F$14:$F$1213,"&gt;=0")&lt;2,COUNTIFS($A$14:$A$1213,$H267,$F$14:$F$1213,_xlfn.MAXIFS($F$14:$F$1213,$A$14:$A$1213,$H267))&gt;1),"",IFERROR(INDEX($D$14:$D$1213,MATCH($H267&amp;"|"&amp;_xlfn.MAXIFS($F$14:$F$1213,$A$14:$A$1213,$H267,$F$14:$F$1213,"&lt;"&amp;_xlfn.MAXIFS($F$14:$F$1213,$A$14:$A$1213,$H267)),$AB$14:$AB$1213,0)),""))</f>
        <v/>
      </c>
      <c r="AM267" s="27">
        <f>IF(OR($H267="",COUNTIFS($A$14:$A$1213,$H267,$F$14:$F$1213,"&gt;=0")&lt;2,COUNTIFS($A$14:$A$1213,$H267,$F$14:$F$1213,_xlfn.MAXIFS($F$14:$F$1213,$A$14:$A$1213,$H267))&gt;1),"",IFERROR(INDEX($E$14:$E$1213,MATCH($H267&amp;"|"&amp;_xlfn.MAXIFS($F$14:$F$1213,$A$14:$A$1213,$H267,$F$14:$F$1213,"&lt;"&amp;_xlfn.MAXIFS($F$14:$F$1213,$A$14:$A$1213,$H267)),$AB$14:$AB$1213,0)),""))</f>
        <v/>
      </c>
      <c r="AN267" s="27">
        <f>IF(OR(NOT(ISNUMBER($AJ267)),NOT(ISNUMBER($AL267)),$AK267=0,$AM267=0),"",IF(OR((($AJ267+$AL267)/($AK267+$AM267))&lt;=0,(($AJ267+$AL267)/($AK267+$AM267))&gt;=1),"",($AJ267/$AK267-$AL267/$AM267)/SQRT((($AJ267+$AL267)/($AK267+$AM267))*(1-(($AJ267+$AL267)/($AK267+$AM267)))*(1/$AK267+1/$AM267))))</f>
        <v/>
      </c>
      <c r="AO267" s="27">
        <f>IF($A267="","",IF(AND(COUNTIFS($A$14:$A$1213,$A267,$F$14:$F$1213,"&gt;=0")=2,IFERROR(INDEX($M$14:$M$313,MATCH($A267,$H$14:$H$313,0)),"Yes")&lt;&gt;"Yes"),1,0))</f>
        <v/>
      </c>
    </row>
    <row r="268" ht="24" customHeight="1">
      <c r="A268" s="19" t="n"/>
      <c r="B268" s="20" t="n"/>
      <c r="C268" s="21">
        <f>IFERROR(AVERAGE(P268:T268),"")</f>
        <v/>
      </c>
      <c r="D268" s="29" t="n"/>
      <c r="E268" s="29" t="n"/>
      <c r="F268" s="30">
        <f>IF(AND(ISNUMBER($D268),ISNUMBER($E268),$E268&gt;0,$D268&lt;=$E268),$D268/$E268,"")</f>
        <v/>
      </c>
      <c r="H268" s="19">
        <f>IFERROR(INDEX($A$14:$A$1213,MATCH(255,$AI$14:$AI$1213,0)),"")</f>
        <v/>
      </c>
      <c r="I268" s="24">
        <f>IF($H268="","",IF(COUNTIFS($A$14:$A$1213,$H268,$C$14:$C$1213,"&gt;=0")=0,"—",IFERROR(INDEX($B$14:$B$1213,MATCH($H268&amp;"|1",$Z$14:$Z$1213,0)),"(tied)")))</f>
        <v/>
      </c>
      <c r="J268" s="25">
        <f>IF($H268="","",IF(OR(COUNTIFS($A$14:$A$1213,$H268,$C$14:$C$1213,"&gt;=0")=0,COUNTIFS($A$14:$A$1213,$H268,$F$14:$F$1213,"&gt;=0")=0),"—",IF(OR(ISERROR(MATCH($H268&amp;"|1",$Z$14:$Z$1213,0)),ISERROR(MATCH($H268&amp;"|1",$AA$14:$AA$1213,0))),"Tie",IF(MATCH($H268&amp;"|1",$Z$14:$Z$1213,0)=MATCH($H268&amp;"|1",$AA$14:$AA$1213,0),"Hit","Miss"))))</f>
        <v/>
      </c>
      <c r="K268" s="24">
        <f>IF($H268="","",IF(COUNTIFS($A$14:$A$1213,$H268,$F$14:$F$1213,"&gt;=0")=0,"—",IFERROR(INDEX($B$14:$B$1213,MATCH($H268&amp;"|1",$AA$14:$AA$1213,0)),"(tied)")))</f>
        <v/>
      </c>
      <c r="L268" s="25">
        <f>IF($H268="","",IF((--(COUNTIFS($A$14:$A$1213,$H268,$P$14:$P$1213,"&gt;=0")&gt;0)+--(COUNTIFS($A$14:$A$1213,$H268,$Q$14:$Q$1213,"&gt;=0")&gt;0)+--(COUNTIFS($A$14:$A$1213,$H268,$R$14:$R$1213,"&gt;=0")&gt;0)+--(COUNTIFS($A$14:$A$1213,$H268,$S$14:$S$1213,"&gt;=0")&gt;0)+--(COUNTIFS($A$14:$A$1213,$H268,$T$14:$T$1213,"&gt;=0")&gt;0))&lt;2,"—",IF(SUMIFS($AH$14:$AH$1213,$A$14:$A$1213,$H268)=0,"Yes","No")))</f>
        <v/>
      </c>
      <c r="M268" s="25">
        <f>IF($H268="","",IF(COUNTIFS($A$14:$A$1213,$H268,$F$14:$F$1213,"&gt;=0")&lt;2,"—",IF(COUNTIFS($A$14:$A$1213,$H268,$F$14:$F$1213,_xlfn.MAXIFS($F$14:$F$1213,$A$14:$A$1213,$H268))&gt;1,"No",IF(NOT(ISNUMBER($AN268)),"—",IF((2*(1-NORMSDIST(ABS($AN268))))&lt;0.05,"Yes","No")))))</f>
        <v/>
      </c>
      <c r="N268" s="21">
        <f>IF($H268="","",IF(NOT(ISNUMBER($AN268)),"—",IF((2*(1-NORMSDIST(ABS($AN268))))&lt;0.001,"&lt;0.001",TEXT((2*(1-NORMSDIST(ABS($AN268)))),"0.000"))))</f>
        <v/>
      </c>
      <c r="P268" s="26" t="n"/>
      <c r="Q268" s="26" t="n"/>
      <c r="R268" s="26" t="n"/>
      <c r="S268" s="26" t="n"/>
      <c r="T268" s="26" t="n"/>
      <c r="V268" s="27">
        <f>IF(ISNUMBER($C268),COUNTIFS($A$14:$A$1213,$A268,$C$14:$C$1213,"&gt;"&amp;$C268)+(COUNTIFS($A$14:$A$1213,$A268,$C$14:$C$1213,"="&amp;$C268)+1)/2,"")</f>
        <v/>
      </c>
      <c r="W268" s="27">
        <f>IF(ISNUMBER($F268),COUNTIFS($A$14:$A$1213,$A268,$F$14:$F$1213,"&gt;"&amp;$F268)+(COUNTIFS($A$14:$A$1213,$A268,$F$14:$F$1213,"="&amp;$F268)+1)/2,"")</f>
        <v/>
      </c>
      <c r="X268" s="27">
        <f>IF(OR(NOT(ISNUMBER($V268)),$AO268=1),"",$V268-(COUNTIFS($A$14:$A$1213,$A268,$C$14:$C$1213,"&gt;=0")+1)/2)</f>
        <v/>
      </c>
      <c r="Y268" s="27">
        <f>IF(OR(NOT(ISNUMBER($W268)),$AO268=1),"",$W268-(COUNTIFS($A$14:$A$1213,$A268,$F$14:$F$1213,"&gt;=0")+1)/2)</f>
        <v/>
      </c>
      <c r="Z268" s="27">
        <f>IF(ISNUMBER($V268),$A268&amp;"|"&amp;$V268,"")</f>
        <v/>
      </c>
      <c r="AA268" s="27">
        <f>IF(ISNUMBER($W268),$A268&amp;"|"&amp;$W268,"")</f>
        <v/>
      </c>
      <c r="AB268" s="27">
        <f>IF(ISNUMBER($F268),$A268&amp;"|"&amp;$F268,"")</f>
        <v/>
      </c>
      <c r="AC268" s="27">
        <f>IF(ISNUMBER($P268),COUNTIFS($A$14:$A$1213,$A268,$P$14:$P$1213,"&gt;"&amp;$P268)+(COUNTIFS($A$14:$A$1213,$A268,$P$14:$P$1213,"="&amp;$P268)+1)/2,"")</f>
        <v/>
      </c>
      <c r="AD268" s="27">
        <f>IF(ISNUMBER($Q268),COUNTIFS($A$14:$A$1213,$A268,$Q$14:$Q$1213,"&gt;"&amp;$Q268)+(COUNTIFS($A$14:$A$1213,$A268,$Q$14:$Q$1213,"="&amp;$Q268)+1)/2,"")</f>
        <v/>
      </c>
      <c r="AE268" s="27">
        <f>IF(ISNUMBER($R268),COUNTIFS($A$14:$A$1213,$A268,$R$14:$R$1213,"&gt;"&amp;$R268)+(COUNTIFS($A$14:$A$1213,$A268,$R$14:$R$1213,"="&amp;$R268)+1)/2,"")</f>
        <v/>
      </c>
      <c r="AF268" s="27">
        <f>IF(ISNUMBER($S268),COUNTIFS($A$14:$A$1213,$A268,$S$14:$S$1213,"&gt;"&amp;$S268)+(COUNTIFS($A$14:$A$1213,$A268,$S$14:$S$1213,"="&amp;$S268)+1)/2,"")</f>
        <v/>
      </c>
      <c r="AG268" s="27">
        <f>IF(ISNUMBER($T268),COUNTIFS($A$14:$A$1213,$A268,$T$14:$T$1213,"&gt;"&amp;$T268)+(COUNTIFS($A$14:$A$1213,$A268,$T$14:$T$1213,"="&amp;$T268)+1)/2,"")</f>
        <v/>
      </c>
      <c r="AH268" s="27">
        <f>IF(COUNT($AC268:$AG268)&lt;2,"",IF(MAX($AC268:$AG268)=MIN($AC268:$AG268),0,1))</f>
        <v/>
      </c>
      <c r="AI268" s="27">
        <f>IF($A268="","",IF(COUNTIF($A$14:$A268,$A268)=1,COUNTIF($AI$13:AI267,"&gt;0")+1,""))</f>
        <v/>
      </c>
      <c r="AJ268" s="27">
        <f>IF(OR($H268="",COUNTIFS($A$14:$A$1213,$H268,$F$14:$F$1213,"&gt;=0")&lt;2,COUNTIFS($A$14:$A$1213,$H268,$F$14:$F$1213,_xlfn.MAXIFS($F$14:$F$1213,$A$14:$A$1213,$H268))&gt;1),"",IFERROR(INDEX($D$14:$D$1213,MATCH($H268&amp;"|"&amp;_xlfn.MAXIFS($F$14:$F$1213,$A$14:$A$1213,$H268),$AB$14:$AB$1213,0)),""))</f>
        <v/>
      </c>
      <c r="AK268" s="27">
        <f>IF(OR($H268="",COUNTIFS($A$14:$A$1213,$H268,$F$14:$F$1213,"&gt;=0")&lt;2,COUNTIFS($A$14:$A$1213,$H268,$F$14:$F$1213,_xlfn.MAXIFS($F$14:$F$1213,$A$14:$A$1213,$H268))&gt;1),"",IFERROR(INDEX($E$14:$E$1213,MATCH($H268&amp;"|"&amp;_xlfn.MAXIFS($F$14:$F$1213,$A$14:$A$1213,$H268),$AB$14:$AB$1213,0)),""))</f>
        <v/>
      </c>
      <c r="AL268" s="27">
        <f>IF(OR($H268="",COUNTIFS($A$14:$A$1213,$H268,$F$14:$F$1213,"&gt;=0")&lt;2,COUNTIFS($A$14:$A$1213,$H268,$F$14:$F$1213,_xlfn.MAXIFS($F$14:$F$1213,$A$14:$A$1213,$H268))&gt;1),"",IFERROR(INDEX($D$14:$D$1213,MATCH($H268&amp;"|"&amp;_xlfn.MAXIFS($F$14:$F$1213,$A$14:$A$1213,$H268,$F$14:$F$1213,"&lt;"&amp;_xlfn.MAXIFS($F$14:$F$1213,$A$14:$A$1213,$H268)),$AB$14:$AB$1213,0)),""))</f>
        <v/>
      </c>
      <c r="AM268" s="27">
        <f>IF(OR($H268="",COUNTIFS($A$14:$A$1213,$H268,$F$14:$F$1213,"&gt;=0")&lt;2,COUNTIFS($A$14:$A$1213,$H268,$F$14:$F$1213,_xlfn.MAXIFS($F$14:$F$1213,$A$14:$A$1213,$H268))&gt;1),"",IFERROR(INDEX($E$14:$E$1213,MATCH($H268&amp;"|"&amp;_xlfn.MAXIFS($F$14:$F$1213,$A$14:$A$1213,$H268,$F$14:$F$1213,"&lt;"&amp;_xlfn.MAXIFS($F$14:$F$1213,$A$14:$A$1213,$H268)),$AB$14:$AB$1213,0)),""))</f>
        <v/>
      </c>
      <c r="AN268" s="27">
        <f>IF(OR(NOT(ISNUMBER($AJ268)),NOT(ISNUMBER($AL268)),$AK268=0,$AM268=0),"",IF(OR((($AJ268+$AL268)/($AK268+$AM268))&lt;=0,(($AJ268+$AL268)/($AK268+$AM268))&gt;=1),"",($AJ268/$AK268-$AL268/$AM268)/SQRT((($AJ268+$AL268)/($AK268+$AM268))*(1-(($AJ268+$AL268)/($AK268+$AM268)))*(1/$AK268+1/$AM268))))</f>
        <v/>
      </c>
      <c r="AO268" s="27">
        <f>IF($A268="","",IF(AND(COUNTIFS($A$14:$A$1213,$A268,$F$14:$F$1213,"&gt;=0")=2,IFERROR(INDEX($M$14:$M$313,MATCH($A268,$H$14:$H$313,0)),"Yes")&lt;&gt;"Yes"),1,0))</f>
        <v/>
      </c>
    </row>
    <row r="269" ht="24" customHeight="1">
      <c r="A269" s="19" t="n"/>
      <c r="B269" s="20" t="n"/>
      <c r="C269" s="21">
        <f>IFERROR(AVERAGE(P269:T269),"")</f>
        <v/>
      </c>
      <c r="D269" s="29" t="n"/>
      <c r="E269" s="29" t="n"/>
      <c r="F269" s="30">
        <f>IF(AND(ISNUMBER($D269),ISNUMBER($E269),$E269&gt;0,$D269&lt;=$E269),$D269/$E269,"")</f>
        <v/>
      </c>
      <c r="H269" s="19">
        <f>IFERROR(INDEX($A$14:$A$1213,MATCH(256,$AI$14:$AI$1213,0)),"")</f>
        <v/>
      </c>
      <c r="I269" s="24">
        <f>IF($H269="","",IF(COUNTIFS($A$14:$A$1213,$H269,$C$14:$C$1213,"&gt;=0")=0,"—",IFERROR(INDEX($B$14:$B$1213,MATCH($H269&amp;"|1",$Z$14:$Z$1213,0)),"(tied)")))</f>
        <v/>
      </c>
      <c r="J269" s="25">
        <f>IF($H269="","",IF(OR(COUNTIFS($A$14:$A$1213,$H269,$C$14:$C$1213,"&gt;=0")=0,COUNTIFS($A$14:$A$1213,$H269,$F$14:$F$1213,"&gt;=0")=0),"—",IF(OR(ISERROR(MATCH($H269&amp;"|1",$Z$14:$Z$1213,0)),ISERROR(MATCH($H269&amp;"|1",$AA$14:$AA$1213,0))),"Tie",IF(MATCH($H269&amp;"|1",$Z$14:$Z$1213,0)=MATCH($H269&amp;"|1",$AA$14:$AA$1213,0),"Hit","Miss"))))</f>
        <v/>
      </c>
      <c r="K269" s="24">
        <f>IF($H269="","",IF(COUNTIFS($A$14:$A$1213,$H269,$F$14:$F$1213,"&gt;=0")=0,"—",IFERROR(INDEX($B$14:$B$1213,MATCH($H269&amp;"|1",$AA$14:$AA$1213,0)),"(tied)")))</f>
        <v/>
      </c>
      <c r="L269" s="25">
        <f>IF($H269="","",IF((--(COUNTIFS($A$14:$A$1213,$H269,$P$14:$P$1213,"&gt;=0")&gt;0)+--(COUNTIFS($A$14:$A$1213,$H269,$Q$14:$Q$1213,"&gt;=0")&gt;0)+--(COUNTIFS($A$14:$A$1213,$H269,$R$14:$R$1213,"&gt;=0")&gt;0)+--(COUNTIFS($A$14:$A$1213,$H269,$S$14:$S$1213,"&gt;=0")&gt;0)+--(COUNTIFS($A$14:$A$1213,$H269,$T$14:$T$1213,"&gt;=0")&gt;0))&lt;2,"—",IF(SUMIFS($AH$14:$AH$1213,$A$14:$A$1213,$H269)=0,"Yes","No")))</f>
        <v/>
      </c>
      <c r="M269" s="25">
        <f>IF($H269="","",IF(COUNTIFS($A$14:$A$1213,$H269,$F$14:$F$1213,"&gt;=0")&lt;2,"—",IF(COUNTIFS($A$14:$A$1213,$H269,$F$14:$F$1213,_xlfn.MAXIFS($F$14:$F$1213,$A$14:$A$1213,$H269))&gt;1,"No",IF(NOT(ISNUMBER($AN269)),"—",IF((2*(1-NORMSDIST(ABS($AN269))))&lt;0.05,"Yes","No")))))</f>
        <v/>
      </c>
      <c r="N269" s="21">
        <f>IF($H269="","",IF(NOT(ISNUMBER($AN269)),"—",IF((2*(1-NORMSDIST(ABS($AN269))))&lt;0.001,"&lt;0.001",TEXT((2*(1-NORMSDIST(ABS($AN269)))),"0.000"))))</f>
        <v/>
      </c>
      <c r="P269" s="26" t="n"/>
      <c r="Q269" s="26" t="n"/>
      <c r="R269" s="26" t="n"/>
      <c r="S269" s="26" t="n"/>
      <c r="T269" s="26" t="n"/>
      <c r="V269" s="27">
        <f>IF(ISNUMBER($C269),COUNTIFS($A$14:$A$1213,$A269,$C$14:$C$1213,"&gt;"&amp;$C269)+(COUNTIFS($A$14:$A$1213,$A269,$C$14:$C$1213,"="&amp;$C269)+1)/2,"")</f>
        <v/>
      </c>
      <c r="W269" s="27">
        <f>IF(ISNUMBER($F269),COUNTIFS($A$14:$A$1213,$A269,$F$14:$F$1213,"&gt;"&amp;$F269)+(COUNTIFS($A$14:$A$1213,$A269,$F$14:$F$1213,"="&amp;$F269)+1)/2,"")</f>
        <v/>
      </c>
      <c r="X269" s="27">
        <f>IF(OR(NOT(ISNUMBER($V269)),$AO269=1),"",$V269-(COUNTIFS($A$14:$A$1213,$A269,$C$14:$C$1213,"&gt;=0")+1)/2)</f>
        <v/>
      </c>
      <c r="Y269" s="27">
        <f>IF(OR(NOT(ISNUMBER($W269)),$AO269=1),"",$W269-(COUNTIFS($A$14:$A$1213,$A269,$F$14:$F$1213,"&gt;=0")+1)/2)</f>
        <v/>
      </c>
      <c r="Z269" s="27">
        <f>IF(ISNUMBER($V269),$A269&amp;"|"&amp;$V269,"")</f>
        <v/>
      </c>
      <c r="AA269" s="27">
        <f>IF(ISNUMBER($W269),$A269&amp;"|"&amp;$W269,"")</f>
        <v/>
      </c>
      <c r="AB269" s="27">
        <f>IF(ISNUMBER($F269),$A269&amp;"|"&amp;$F269,"")</f>
        <v/>
      </c>
      <c r="AC269" s="27">
        <f>IF(ISNUMBER($P269),COUNTIFS($A$14:$A$1213,$A269,$P$14:$P$1213,"&gt;"&amp;$P269)+(COUNTIFS($A$14:$A$1213,$A269,$P$14:$P$1213,"="&amp;$P269)+1)/2,"")</f>
        <v/>
      </c>
      <c r="AD269" s="27">
        <f>IF(ISNUMBER($Q269),COUNTIFS($A$14:$A$1213,$A269,$Q$14:$Q$1213,"&gt;"&amp;$Q269)+(COUNTIFS($A$14:$A$1213,$A269,$Q$14:$Q$1213,"="&amp;$Q269)+1)/2,"")</f>
        <v/>
      </c>
      <c r="AE269" s="27">
        <f>IF(ISNUMBER($R269),COUNTIFS($A$14:$A$1213,$A269,$R$14:$R$1213,"&gt;"&amp;$R269)+(COUNTIFS($A$14:$A$1213,$A269,$R$14:$R$1213,"="&amp;$R269)+1)/2,"")</f>
        <v/>
      </c>
      <c r="AF269" s="27">
        <f>IF(ISNUMBER($S269),COUNTIFS($A$14:$A$1213,$A269,$S$14:$S$1213,"&gt;"&amp;$S269)+(COUNTIFS($A$14:$A$1213,$A269,$S$14:$S$1213,"="&amp;$S269)+1)/2,"")</f>
        <v/>
      </c>
      <c r="AG269" s="27">
        <f>IF(ISNUMBER($T269),COUNTIFS($A$14:$A$1213,$A269,$T$14:$T$1213,"&gt;"&amp;$T269)+(COUNTIFS($A$14:$A$1213,$A269,$T$14:$T$1213,"="&amp;$T269)+1)/2,"")</f>
        <v/>
      </c>
      <c r="AH269" s="27">
        <f>IF(COUNT($AC269:$AG269)&lt;2,"",IF(MAX($AC269:$AG269)=MIN($AC269:$AG269),0,1))</f>
        <v/>
      </c>
      <c r="AI269" s="27">
        <f>IF($A269="","",IF(COUNTIF($A$14:$A269,$A269)=1,COUNTIF($AI$13:AI268,"&gt;0")+1,""))</f>
        <v/>
      </c>
      <c r="AJ269" s="27">
        <f>IF(OR($H269="",COUNTIFS($A$14:$A$1213,$H269,$F$14:$F$1213,"&gt;=0")&lt;2,COUNTIFS($A$14:$A$1213,$H269,$F$14:$F$1213,_xlfn.MAXIFS($F$14:$F$1213,$A$14:$A$1213,$H269))&gt;1),"",IFERROR(INDEX($D$14:$D$1213,MATCH($H269&amp;"|"&amp;_xlfn.MAXIFS($F$14:$F$1213,$A$14:$A$1213,$H269),$AB$14:$AB$1213,0)),""))</f>
        <v/>
      </c>
      <c r="AK269" s="27">
        <f>IF(OR($H269="",COUNTIFS($A$14:$A$1213,$H269,$F$14:$F$1213,"&gt;=0")&lt;2,COUNTIFS($A$14:$A$1213,$H269,$F$14:$F$1213,_xlfn.MAXIFS($F$14:$F$1213,$A$14:$A$1213,$H269))&gt;1),"",IFERROR(INDEX($E$14:$E$1213,MATCH($H269&amp;"|"&amp;_xlfn.MAXIFS($F$14:$F$1213,$A$14:$A$1213,$H269),$AB$14:$AB$1213,0)),""))</f>
        <v/>
      </c>
      <c r="AL269" s="27">
        <f>IF(OR($H269="",COUNTIFS($A$14:$A$1213,$H269,$F$14:$F$1213,"&gt;=0")&lt;2,COUNTIFS($A$14:$A$1213,$H269,$F$14:$F$1213,_xlfn.MAXIFS($F$14:$F$1213,$A$14:$A$1213,$H269))&gt;1),"",IFERROR(INDEX($D$14:$D$1213,MATCH($H269&amp;"|"&amp;_xlfn.MAXIFS($F$14:$F$1213,$A$14:$A$1213,$H269,$F$14:$F$1213,"&lt;"&amp;_xlfn.MAXIFS($F$14:$F$1213,$A$14:$A$1213,$H269)),$AB$14:$AB$1213,0)),""))</f>
        <v/>
      </c>
      <c r="AM269" s="27">
        <f>IF(OR($H269="",COUNTIFS($A$14:$A$1213,$H269,$F$14:$F$1213,"&gt;=0")&lt;2,COUNTIFS($A$14:$A$1213,$H269,$F$14:$F$1213,_xlfn.MAXIFS($F$14:$F$1213,$A$14:$A$1213,$H269))&gt;1),"",IFERROR(INDEX($E$14:$E$1213,MATCH($H269&amp;"|"&amp;_xlfn.MAXIFS($F$14:$F$1213,$A$14:$A$1213,$H269,$F$14:$F$1213,"&lt;"&amp;_xlfn.MAXIFS($F$14:$F$1213,$A$14:$A$1213,$H269)),$AB$14:$AB$1213,0)),""))</f>
        <v/>
      </c>
      <c r="AN269" s="27">
        <f>IF(OR(NOT(ISNUMBER($AJ269)),NOT(ISNUMBER($AL269)),$AK269=0,$AM269=0),"",IF(OR((($AJ269+$AL269)/($AK269+$AM269))&lt;=0,(($AJ269+$AL269)/($AK269+$AM269))&gt;=1),"",($AJ269/$AK269-$AL269/$AM269)/SQRT((($AJ269+$AL269)/($AK269+$AM269))*(1-(($AJ269+$AL269)/($AK269+$AM269)))*(1/$AK269+1/$AM269))))</f>
        <v/>
      </c>
      <c r="AO269" s="27">
        <f>IF($A269="","",IF(AND(COUNTIFS($A$14:$A$1213,$A269,$F$14:$F$1213,"&gt;=0")=2,IFERROR(INDEX($M$14:$M$313,MATCH($A269,$H$14:$H$313,0)),"Yes")&lt;&gt;"Yes"),1,0))</f>
        <v/>
      </c>
    </row>
    <row r="270" ht="24" customHeight="1">
      <c r="A270" s="19" t="n"/>
      <c r="B270" s="20" t="n"/>
      <c r="C270" s="21">
        <f>IFERROR(AVERAGE(P270:T270),"")</f>
        <v/>
      </c>
      <c r="D270" s="29" t="n"/>
      <c r="E270" s="29" t="n"/>
      <c r="F270" s="30">
        <f>IF(AND(ISNUMBER($D270),ISNUMBER($E270),$E270&gt;0,$D270&lt;=$E270),$D270/$E270,"")</f>
        <v/>
      </c>
      <c r="H270" s="19">
        <f>IFERROR(INDEX($A$14:$A$1213,MATCH(257,$AI$14:$AI$1213,0)),"")</f>
        <v/>
      </c>
      <c r="I270" s="24">
        <f>IF($H270="","",IF(COUNTIFS($A$14:$A$1213,$H270,$C$14:$C$1213,"&gt;=0")=0,"—",IFERROR(INDEX($B$14:$B$1213,MATCH($H270&amp;"|1",$Z$14:$Z$1213,0)),"(tied)")))</f>
        <v/>
      </c>
      <c r="J270" s="25">
        <f>IF($H270="","",IF(OR(COUNTIFS($A$14:$A$1213,$H270,$C$14:$C$1213,"&gt;=0")=0,COUNTIFS($A$14:$A$1213,$H270,$F$14:$F$1213,"&gt;=0")=0),"—",IF(OR(ISERROR(MATCH($H270&amp;"|1",$Z$14:$Z$1213,0)),ISERROR(MATCH($H270&amp;"|1",$AA$14:$AA$1213,0))),"Tie",IF(MATCH($H270&amp;"|1",$Z$14:$Z$1213,0)=MATCH($H270&amp;"|1",$AA$14:$AA$1213,0),"Hit","Miss"))))</f>
        <v/>
      </c>
      <c r="K270" s="24">
        <f>IF($H270="","",IF(COUNTIFS($A$14:$A$1213,$H270,$F$14:$F$1213,"&gt;=0")=0,"—",IFERROR(INDEX($B$14:$B$1213,MATCH($H270&amp;"|1",$AA$14:$AA$1213,0)),"(tied)")))</f>
        <v/>
      </c>
      <c r="L270" s="25">
        <f>IF($H270="","",IF((--(COUNTIFS($A$14:$A$1213,$H270,$P$14:$P$1213,"&gt;=0")&gt;0)+--(COUNTIFS($A$14:$A$1213,$H270,$Q$14:$Q$1213,"&gt;=0")&gt;0)+--(COUNTIFS($A$14:$A$1213,$H270,$R$14:$R$1213,"&gt;=0")&gt;0)+--(COUNTIFS($A$14:$A$1213,$H270,$S$14:$S$1213,"&gt;=0")&gt;0)+--(COUNTIFS($A$14:$A$1213,$H270,$T$14:$T$1213,"&gt;=0")&gt;0))&lt;2,"—",IF(SUMIFS($AH$14:$AH$1213,$A$14:$A$1213,$H270)=0,"Yes","No")))</f>
        <v/>
      </c>
      <c r="M270" s="25">
        <f>IF($H270="","",IF(COUNTIFS($A$14:$A$1213,$H270,$F$14:$F$1213,"&gt;=0")&lt;2,"—",IF(COUNTIFS($A$14:$A$1213,$H270,$F$14:$F$1213,_xlfn.MAXIFS($F$14:$F$1213,$A$14:$A$1213,$H270))&gt;1,"No",IF(NOT(ISNUMBER($AN270)),"—",IF((2*(1-NORMSDIST(ABS($AN270))))&lt;0.05,"Yes","No")))))</f>
        <v/>
      </c>
      <c r="N270" s="21">
        <f>IF($H270="","",IF(NOT(ISNUMBER($AN270)),"—",IF((2*(1-NORMSDIST(ABS($AN270))))&lt;0.001,"&lt;0.001",TEXT((2*(1-NORMSDIST(ABS($AN270)))),"0.000"))))</f>
        <v/>
      </c>
      <c r="P270" s="26" t="n"/>
      <c r="Q270" s="26" t="n"/>
      <c r="R270" s="26" t="n"/>
      <c r="S270" s="26" t="n"/>
      <c r="T270" s="26" t="n"/>
      <c r="V270" s="27">
        <f>IF(ISNUMBER($C270),COUNTIFS($A$14:$A$1213,$A270,$C$14:$C$1213,"&gt;"&amp;$C270)+(COUNTIFS($A$14:$A$1213,$A270,$C$14:$C$1213,"="&amp;$C270)+1)/2,"")</f>
        <v/>
      </c>
      <c r="W270" s="27">
        <f>IF(ISNUMBER($F270),COUNTIFS($A$14:$A$1213,$A270,$F$14:$F$1213,"&gt;"&amp;$F270)+(COUNTIFS($A$14:$A$1213,$A270,$F$14:$F$1213,"="&amp;$F270)+1)/2,"")</f>
        <v/>
      </c>
      <c r="X270" s="27">
        <f>IF(OR(NOT(ISNUMBER($V270)),$AO270=1),"",$V270-(COUNTIFS($A$14:$A$1213,$A270,$C$14:$C$1213,"&gt;=0")+1)/2)</f>
        <v/>
      </c>
      <c r="Y270" s="27">
        <f>IF(OR(NOT(ISNUMBER($W270)),$AO270=1),"",$W270-(COUNTIFS($A$14:$A$1213,$A270,$F$14:$F$1213,"&gt;=0")+1)/2)</f>
        <v/>
      </c>
      <c r="Z270" s="27">
        <f>IF(ISNUMBER($V270),$A270&amp;"|"&amp;$V270,"")</f>
        <v/>
      </c>
      <c r="AA270" s="27">
        <f>IF(ISNUMBER($W270),$A270&amp;"|"&amp;$W270,"")</f>
        <v/>
      </c>
      <c r="AB270" s="27">
        <f>IF(ISNUMBER($F270),$A270&amp;"|"&amp;$F270,"")</f>
        <v/>
      </c>
      <c r="AC270" s="27">
        <f>IF(ISNUMBER($P270),COUNTIFS($A$14:$A$1213,$A270,$P$14:$P$1213,"&gt;"&amp;$P270)+(COUNTIFS($A$14:$A$1213,$A270,$P$14:$P$1213,"="&amp;$P270)+1)/2,"")</f>
        <v/>
      </c>
      <c r="AD270" s="27">
        <f>IF(ISNUMBER($Q270),COUNTIFS($A$14:$A$1213,$A270,$Q$14:$Q$1213,"&gt;"&amp;$Q270)+(COUNTIFS($A$14:$A$1213,$A270,$Q$14:$Q$1213,"="&amp;$Q270)+1)/2,"")</f>
        <v/>
      </c>
      <c r="AE270" s="27">
        <f>IF(ISNUMBER($R270),COUNTIFS($A$14:$A$1213,$A270,$R$14:$R$1213,"&gt;"&amp;$R270)+(COUNTIFS($A$14:$A$1213,$A270,$R$14:$R$1213,"="&amp;$R270)+1)/2,"")</f>
        <v/>
      </c>
      <c r="AF270" s="27">
        <f>IF(ISNUMBER($S270),COUNTIFS($A$14:$A$1213,$A270,$S$14:$S$1213,"&gt;"&amp;$S270)+(COUNTIFS($A$14:$A$1213,$A270,$S$14:$S$1213,"="&amp;$S270)+1)/2,"")</f>
        <v/>
      </c>
      <c r="AG270" s="27">
        <f>IF(ISNUMBER($T270),COUNTIFS($A$14:$A$1213,$A270,$T$14:$T$1213,"&gt;"&amp;$T270)+(COUNTIFS($A$14:$A$1213,$A270,$T$14:$T$1213,"="&amp;$T270)+1)/2,"")</f>
        <v/>
      </c>
      <c r="AH270" s="27">
        <f>IF(COUNT($AC270:$AG270)&lt;2,"",IF(MAX($AC270:$AG270)=MIN($AC270:$AG270),0,1))</f>
        <v/>
      </c>
      <c r="AI270" s="27">
        <f>IF($A270="","",IF(COUNTIF($A$14:$A270,$A270)=1,COUNTIF($AI$13:AI269,"&gt;0")+1,""))</f>
        <v/>
      </c>
      <c r="AJ270" s="27">
        <f>IF(OR($H270="",COUNTIFS($A$14:$A$1213,$H270,$F$14:$F$1213,"&gt;=0")&lt;2,COUNTIFS($A$14:$A$1213,$H270,$F$14:$F$1213,_xlfn.MAXIFS($F$14:$F$1213,$A$14:$A$1213,$H270))&gt;1),"",IFERROR(INDEX($D$14:$D$1213,MATCH($H270&amp;"|"&amp;_xlfn.MAXIFS($F$14:$F$1213,$A$14:$A$1213,$H270),$AB$14:$AB$1213,0)),""))</f>
        <v/>
      </c>
      <c r="AK270" s="27">
        <f>IF(OR($H270="",COUNTIFS($A$14:$A$1213,$H270,$F$14:$F$1213,"&gt;=0")&lt;2,COUNTIFS($A$14:$A$1213,$H270,$F$14:$F$1213,_xlfn.MAXIFS($F$14:$F$1213,$A$14:$A$1213,$H270))&gt;1),"",IFERROR(INDEX($E$14:$E$1213,MATCH($H270&amp;"|"&amp;_xlfn.MAXIFS($F$14:$F$1213,$A$14:$A$1213,$H270),$AB$14:$AB$1213,0)),""))</f>
        <v/>
      </c>
      <c r="AL270" s="27">
        <f>IF(OR($H270="",COUNTIFS($A$14:$A$1213,$H270,$F$14:$F$1213,"&gt;=0")&lt;2,COUNTIFS($A$14:$A$1213,$H270,$F$14:$F$1213,_xlfn.MAXIFS($F$14:$F$1213,$A$14:$A$1213,$H270))&gt;1),"",IFERROR(INDEX($D$14:$D$1213,MATCH($H270&amp;"|"&amp;_xlfn.MAXIFS($F$14:$F$1213,$A$14:$A$1213,$H270,$F$14:$F$1213,"&lt;"&amp;_xlfn.MAXIFS($F$14:$F$1213,$A$14:$A$1213,$H270)),$AB$14:$AB$1213,0)),""))</f>
        <v/>
      </c>
      <c r="AM270" s="27">
        <f>IF(OR($H270="",COUNTIFS($A$14:$A$1213,$H270,$F$14:$F$1213,"&gt;=0")&lt;2,COUNTIFS($A$14:$A$1213,$H270,$F$14:$F$1213,_xlfn.MAXIFS($F$14:$F$1213,$A$14:$A$1213,$H270))&gt;1),"",IFERROR(INDEX($E$14:$E$1213,MATCH($H270&amp;"|"&amp;_xlfn.MAXIFS($F$14:$F$1213,$A$14:$A$1213,$H270,$F$14:$F$1213,"&lt;"&amp;_xlfn.MAXIFS($F$14:$F$1213,$A$14:$A$1213,$H270)),$AB$14:$AB$1213,0)),""))</f>
        <v/>
      </c>
      <c r="AN270" s="27">
        <f>IF(OR(NOT(ISNUMBER($AJ270)),NOT(ISNUMBER($AL270)),$AK270=0,$AM270=0),"",IF(OR((($AJ270+$AL270)/($AK270+$AM270))&lt;=0,(($AJ270+$AL270)/($AK270+$AM270))&gt;=1),"",($AJ270/$AK270-$AL270/$AM270)/SQRT((($AJ270+$AL270)/($AK270+$AM270))*(1-(($AJ270+$AL270)/($AK270+$AM270)))*(1/$AK270+1/$AM270))))</f>
        <v/>
      </c>
      <c r="AO270" s="27">
        <f>IF($A270="","",IF(AND(COUNTIFS($A$14:$A$1213,$A270,$F$14:$F$1213,"&gt;=0")=2,IFERROR(INDEX($M$14:$M$313,MATCH($A270,$H$14:$H$313,0)),"Yes")&lt;&gt;"Yes"),1,0))</f>
        <v/>
      </c>
    </row>
    <row r="271" ht="24" customHeight="1">
      <c r="A271" s="19" t="n"/>
      <c r="B271" s="20" t="n"/>
      <c r="C271" s="21">
        <f>IFERROR(AVERAGE(P271:T271),"")</f>
        <v/>
      </c>
      <c r="D271" s="29" t="n"/>
      <c r="E271" s="29" t="n"/>
      <c r="F271" s="30">
        <f>IF(AND(ISNUMBER($D271),ISNUMBER($E271),$E271&gt;0,$D271&lt;=$E271),$D271/$E271,"")</f>
        <v/>
      </c>
      <c r="H271" s="19">
        <f>IFERROR(INDEX($A$14:$A$1213,MATCH(258,$AI$14:$AI$1213,0)),"")</f>
        <v/>
      </c>
      <c r="I271" s="24">
        <f>IF($H271="","",IF(COUNTIFS($A$14:$A$1213,$H271,$C$14:$C$1213,"&gt;=0")=0,"—",IFERROR(INDEX($B$14:$B$1213,MATCH($H271&amp;"|1",$Z$14:$Z$1213,0)),"(tied)")))</f>
        <v/>
      </c>
      <c r="J271" s="25">
        <f>IF($H271="","",IF(OR(COUNTIFS($A$14:$A$1213,$H271,$C$14:$C$1213,"&gt;=0")=0,COUNTIFS($A$14:$A$1213,$H271,$F$14:$F$1213,"&gt;=0")=0),"—",IF(OR(ISERROR(MATCH($H271&amp;"|1",$Z$14:$Z$1213,0)),ISERROR(MATCH($H271&amp;"|1",$AA$14:$AA$1213,0))),"Tie",IF(MATCH($H271&amp;"|1",$Z$14:$Z$1213,0)=MATCH($H271&amp;"|1",$AA$14:$AA$1213,0),"Hit","Miss"))))</f>
        <v/>
      </c>
      <c r="K271" s="24">
        <f>IF($H271="","",IF(COUNTIFS($A$14:$A$1213,$H271,$F$14:$F$1213,"&gt;=0")=0,"—",IFERROR(INDEX($B$14:$B$1213,MATCH($H271&amp;"|1",$AA$14:$AA$1213,0)),"(tied)")))</f>
        <v/>
      </c>
      <c r="L271" s="25">
        <f>IF($H271="","",IF((--(COUNTIFS($A$14:$A$1213,$H271,$P$14:$P$1213,"&gt;=0")&gt;0)+--(COUNTIFS($A$14:$A$1213,$H271,$Q$14:$Q$1213,"&gt;=0")&gt;0)+--(COUNTIFS($A$14:$A$1213,$H271,$R$14:$R$1213,"&gt;=0")&gt;0)+--(COUNTIFS($A$14:$A$1213,$H271,$S$14:$S$1213,"&gt;=0")&gt;0)+--(COUNTIFS($A$14:$A$1213,$H271,$T$14:$T$1213,"&gt;=0")&gt;0))&lt;2,"—",IF(SUMIFS($AH$14:$AH$1213,$A$14:$A$1213,$H271)=0,"Yes","No")))</f>
        <v/>
      </c>
      <c r="M271" s="25">
        <f>IF($H271="","",IF(COUNTIFS($A$14:$A$1213,$H271,$F$14:$F$1213,"&gt;=0")&lt;2,"—",IF(COUNTIFS($A$14:$A$1213,$H271,$F$14:$F$1213,_xlfn.MAXIFS($F$14:$F$1213,$A$14:$A$1213,$H271))&gt;1,"No",IF(NOT(ISNUMBER($AN271)),"—",IF((2*(1-NORMSDIST(ABS($AN271))))&lt;0.05,"Yes","No")))))</f>
        <v/>
      </c>
      <c r="N271" s="21">
        <f>IF($H271="","",IF(NOT(ISNUMBER($AN271)),"—",IF((2*(1-NORMSDIST(ABS($AN271))))&lt;0.001,"&lt;0.001",TEXT((2*(1-NORMSDIST(ABS($AN271)))),"0.000"))))</f>
        <v/>
      </c>
      <c r="P271" s="26" t="n"/>
      <c r="Q271" s="26" t="n"/>
      <c r="R271" s="26" t="n"/>
      <c r="S271" s="26" t="n"/>
      <c r="T271" s="26" t="n"/>
      <c r="V271" s="27">
        <f>IF(ISNUMBER($C271),COUNTIFS($A$14:$A$1213,$A271,$C$14:$C$1213,"&gt;"&amp;$C271)+(COUNTIFS($A$14:$A$1213,$A271,$C$14:$C$1213,"="&amp;$C271)+1)/2,"")</f>
        <v/>
      </c>
      <c r="W271" s="27">
        <f>IF(ISNUMBER($F271),COUNTIFS($A$14:$A$1213,$A271,$F$14:$F$1213,"&gt;"&amp;$F271)+(COUNTIFS($A$14:$A$1213,$A271,$F$14:$F$1213,"="&amp;$F271)+1)/2,"")</f>
        <v/>
      </c>
      <c r="X271" s="27">
        <f>IF(OR(NOT(ISNUMBER($V271)),$AO271=1),"",$V271-(COUNTIFS($A$14:$A$1213,$A271,$C$14:$C$1213,"&gt;=0")+1)/2)</f>
        <v/>
      </c>
      <c r="Y271" s="27">
        <f>IF(OR(NOT(ISNUMBER($W271)),$AO271=1),"",$W271-(COUNTIFS($A$14:$A$1213,$A271,$F$14:$F$1213,"&gt;=0")+1)/2)</f>
        <v/>
      </c>
      <c r="Z271" s="27">
        <f>IF(ISNUMBER($V271),$A271&amp;"|"&amp;$V271,"")</f>
        <v/>
      </c>
      <c r="AA271" s="27">
        <f>IF(ISNUMBER($W271),$A271&amp;"|"&amp;$W271,"")</f>
        <v/>
      </c>
      <c r="AB271" s="27">
        <f>IF(ISNUMBER($F271),$A271&amp;"|"&amp;$F271,"")</f>
        <v/>
      </c>
      <c r="AC271" s="27">
        <f>IF(ISNUMBER($P271),COUNTIFS($A$14:$A$1213,$A271,$P$14:$P$1213,"&gt;"&amp;$P271)+(COUNTIFS($A$14:$A$1213,$A271,$P$14:$P$1213,"="&amp;$P271)+1)/2,"")</f>
        <v/>
      </c>
      <c r="AD271" s="27">
        <f>IF(ISNUMBER($Q271),COUNTIFS($A$14:$A$1213,$A271,$Q$14:$Q$1213,"&gt;"&amp;$Q271)+(COUNTIFS($A$14:$A$1213,$A271,$Q$14:$Q$1213,"="&amp;$Q271)+1)/2,"")</f>
        <v/>
      </c>
      <c r="AE271" s="27">
        <f>IF(ISNUMBER($R271),COUNTIFS($A$14:$A$1213,$A271,$R$14:$R$1213,"&gt;"&amp;$R271)+(COUNTIFS($A$14:$A$1213,$A271,$R$14:$R$1213,"="&amp;$R271)+1)/2,"")</f>
        <v/>
      </c>
      <c r="AF271" s="27">
        <f>IF(ISNUMBER($S271),COUNTIFS($A$14:$A$1213,$A271,$S$14:$S$1213,"&gt;"&amp;$S271)+(COUNTIFS($A$14:$A$1213,$A271,$S$14:$S$1213,"="&amp;$S271)+1)/2,"")</f>
        <v/>
      </c>
      <c r="AG271" s="27">
        <f>IF(ISNUMBER($T271),COUNTIFS($A$14:$A$1213,$A271,$T$14:$T$1213,"&gt;"&amp;$T271)+(COUNTIFS($A$14:$A$1213,$A271,$T$14:$T$1213,"="&amp;$T271)+1)/2,"")</f>
        <v/>
      </c>
      <c r="AH271" s="27">
        <f>IF(COUNT($AC271:$AG271)&lt;2,"",IF(MAX($AC271:$AG271)=MIN($AC271:$AG271),0,1))</f>
        <v/>
      </c>
      <c r="AI271" s="27">
        <f>IF($A271="","",IF(COUNTIF($A$14:$A271,$A271)=1,COUNTIF($AI$13:AI270,"&gt;0")+1,""))</f>
        <v/>
      </c>
      <c r="AJ271" s="27">
        <f>IF(OR($H271="",COUNTIFS($A$14:$A$1213,$H271,$F$14:$F$1213,"&gt;=0")&lt;2,COUNTIFS($A$14:$A$1213,$H271,$F$14:$F$1213,_xlfn.MAXIFS($F$14:$F$1213,$A$14:$A$1213,$H271))&gt;1),"",IFERROR(INDEX($D$14:$D$1213,MATCH($H271&amp;"|"&amp;_xlfn.MAXIFS($F$14:$F$1213,$A$14:$A$1213,$H271),$AB$14:$AB$1213,0)),""))</f>
        <v/>
      </c>
      <c r="AK271" s="27">
        <f>IF(OR($H271="",COUNTIFS($A$14:$A$1213,$H271,$F$14:$F$1213,"&gt;=0")&lt;2,COUNTIFS($A$14:$A$1213,$H271,$F$14:$F$1213,_xlfn.MAXIFS($F$14:$F$1213,$A$14:$A$1213,$H271))&gt;1),"",IFERROR(INDEX($E$14:$E$1213,MATCH($H271&amp;"|"&amp;_xlfn.MAXIFS($F$14:$F$1213,$A$14:$A$1213,$H271),$AB$14:$AB$1213,0)),""))</f>
        <v/>
      </c>
      <c r="AL271" s="27">
        <f>IF(OR($H271="",COUNTIFS($A$14:$A$1213,$H271,$F$14:$F$1213,"&gt;=0")&lt;2,COUNTIFS($A$14:$A$1213,$H271,$F$14:$F$1213,_xlfn.MAXIFS($F$14:$F$1213,$A$14:$A$1213,$H271))&gt;1),"",IFERROR(INDEX($D$14:$D$1213,MATCH($H271&amp;"|"&amp;_xlfn.MAXIFS($F$14:$F$1213,$A$14:$A$1213,$H271,$F$14:$F$1213,"&lt;"&amp;_xlfn.MAXIFS($F$14:$F$1213,$A$14:$A$1213,$H271)),$AB$14:$AB$1213,0)),""))</f>
        <v/>
      </c>
      <c r="AM271" s="27">
        <f>IF(OR($H271="",COUNTIFS($A$14:$A$1213,$H271,$F$14:$F$1213,"&gt;=0")&lt;2,COUNTIFS($A$14:$A$1213,$H271,$F$14:$F$1213,_xlfn.MAXIFS($F$14:$F$1213,$A$14:$A$1213,$H271))&gt;1),"",IFERROR(INDEX($E$14:$E$1213,MATCH($H271&amp;"|"&amp;_xlfn.MAXIFS($F$14:$F$1213,$A$14:$A$1213,$H271,$F$14:$F$1213,"&lt;"&amp;_xlfn.MAXIFS($F$14:$F$1213,$A$14:$A$1213,$H271)),$AB$14:$AB$1213,0)),""))</f>
        <v/>
      </c>
      <c r="AN271" s="27">
        <f>IF(OR(NOT(ISNUMBER($AJ271)),NOT(ISNUMBER($AL271)),$AK271=0,$AM271=0),"",IF(OR((($AJ271+$AL271)/($AK271+$AM271))&lt;=0,(($AJ271+$AL271)/($AK271+$AM271))&gt;=1),"",($AJ271/$AK271-$AL271/$AM271)/SQRT((($AJ271+$AL271)/($AK271+$AM271))*(1-(($AJ271+$AL271)/($AK271+$AM271)))*(1/$AK271+1/$AM271))))</f>
        <v/>
      </c>
      <c r="AO271" s="27">
        <f>IF($A271="","",IF(AND(COUNTIFS($A$14:$A$1213,$A271,$F$14:$F$1213,"&gt;=0")=2,IFERROR(INDEX($M$14:$M$313,MATCH($A271,$H$14:$H$313,0)),"Yes")&lt;&gt;"Yes"),1,0))</f>
        <v/>
      </c>
    </row>
    <row r="272" ht="24" customHeight="1">
      <c r="A272" s="19" t="n"/>
      <c r="B272" s="20" t="n"/>
      <c r="C272" s="21">
        <f>IFERROR(AVERAGE(P272:T272),"")</f>
        <v/>
      </c>
      <c r="D272" s="29" t="n"/>
      <c r="E272" s="29" t="n"/>
      <c r="F272" s="30">
        <f>IF(AND(ISNUMBER($D272),ISNUMBER($E272),$E272&gt;0,$D272&lt;=$E272),$D272/$E272,"")</f>
        <v/>
      </c>
      <c r="H272" s="19">
        <f>IFERROR(INDEX($A$14:$A$1213,MATCH(259,$AI$14:$AI$1213,0)),"")</f>
        <v/>
      </c>
      <c r="I272" s="24">
        <f>IF($H272="","",IF(COUNTIFS($A$14:$A$1213,$H272,$C$14:$C$1213,"&gt;=0")=0,"—",IFERROR(INDEX($B$14:$B$1213,MATCH($H272&amp;"|1",$Z$14:$Z$1213,0)),"(tied)")))</f>
        <v/>
      </c>
      <c r="J272" s="25">
        <f>IF($H272="","",IF(OR(COUNTIFS($A$14:$A$1213,$H272,$C$14:$C$1213,"&gt;=0")=0,COUNTIFS($A$14:$A$1213,$H272,$F$14:$F$1213,"&gt;=0")=0),"—",IF(OR(ISERROR(MATCH($H272&amp;"|1",$Z$14:$Z$1213,0)),ISERROR(MATCH($H272&amp;"|1",$AA$14:$AA$1213,0))),"Tie",IF(MATCH($H272&amp;"|1",$Z$14:$Z$1213,0)=MATCH($H272&amp;"|1",$AA$14:$AA$1213,0),"Hit","Miss"))))</f>
        <v/>
      </c>
      <c r="K272" s="24">
        <f>IF($H272="","",IF(COUNTIFS($A$14:$A$1213,$H272,$F$14:$F$1213,"&gt;=0")=0,"—",IFERROR(INDEX($B$14:$B$1213,MATCH($H272&amp;"|1",$AA$14:$AA$1213,0)),"(tied)")))</f>
        <v/>
      </c>
      <c r="L272" s="25">
        <f>IF($H272="","",IF((--(COUNTIFS($A$14:$A$1213,$H272,$P$14:$P$1213,"&gt;=0")&gt;0)+--(COUNTIFS($A$14:$A$1213,$H272,$Q$14:$Q$1213,"&gt;=0")&gt;0)+--(COUNTIFS($A$14:$A$1213,$H272,$R$14:$R$1213,"&gt;=0")&gt;0)+--(COUNTIFS($A$14:$A$1213,$H272,$S$14:$S$1213,"&gt;=0")&gt;0)+--(COUNTIFS($A$14:$A$1213,$H272,$T$14:$T$1213,"&gt;=0")&gt;0))&lt;2,"—",IF(SUMIFS($AH$14:$AH$1213,$A$14:$A$1213,$H272)=0,"Yes","No")))</f>
        <v/>
      </c>
      <c r="M272" s="25">
        <f>IF($H272="","",IF(COUNTIFS($A$14:$A$1213,$H272,$F$14:$F$1213,"&gt;=0")&lt;2,"—",IF(COUNTIFS($A$14:$A$1213,$H272,$F$14:$F$1213,_xlfn.MAXIFS($F$14:$F$1213,$A$14:$A$1213,$H272))&gt;1,"No",IF(NOT(ISNUMBER($AN272)),"—",IF((2*(1-NORMSDIST(ABS($AN272))))&lt;0.05,"Yes","No")))))</f>
        <v/>
      </c>
      <c r="N272" s="21">
        <f>IF($H272="","",IF(NOT(ISNUMBER($AN272)),"—",IF((2*(1-NORMSDIST(ABS($AN272))))&lt;0.001,"&lt;0.001",TEXT((2*(1-NORMSDIST(ABS($AN272)))),"0.000"))))</f>
        <v/>
      </c>
      <c r="P272" s="26" t="n"/>
      <c r="Q272" s="26" t="n"/>
      <c r="R272" s="26" t="n"/>
      <c r="S272" s="26" t="n"/>
      <c r="T272" s="26" t="n"/>
      <c r="V272" s="27">
        <f>IF(ISNUMBER($C272),COUNTIFS($A$14:$A$1213,$A272,$C$14:$C$1213,"&gt;"&amp;$C272)+(COUNTIFS($A$14:$A$1213,$A272,$C$14:$C$1213,"="&amp;$C272)+1)/2,"")</f>
        <v/>
      </c>
      <c r="W272" s="27">
        <f>IF(ISNUMBER($F272),COUNTIFS($A$14:$A$1213,$A272,$F$14:$F$1213,"&gt;"&amp;$F272)+(COUNTIFS($A$14:$A$1213,$A272,$F$14:$F$1213,"="&amp;$F272)+1)/2,"")</f>
        <v/>
      </c>
      <c r="X272" s="27">
        <f>IF(OR(NOT(ISNUMBER($V272)),$AO272=1),"",$V272-(COUNTIFS($A$14:$A$1213,$A272,$C$14:$C$1213,"&gt;=0")+1)/2)</f>
        <v/>
      </c>
      <c r="Y272" s="27">
        <f>IF(OR(NOT(ISNUMBER($W272)),$AO272=1),"",$W272-(COUNTIFS($A$14:$A$1213,$A272,$F$14:$F$1213,"&gt;=0")+1)/2)</f>
        <v/>
      </c>
      <c r="Z272" s="27">
        <f>IF(ISNUMBER($V272),$A272&amp;"|"&amp;$V272,"")</f>
        <v/>
      </c>
      <c r="AA272" s="27">
        <f>IF(ISNUMBER($W272),$A272&amp;"|"&amp;$W272,"")</f>
        <v/>
      </c>
      <c r="AB272" s="27">
        <f>IF(ISNUMBER($F272),$A272&amp;"|"&amp;$F272,"")</f>
        <v/>
      </c>
      <c r="AC272" s="27">
        <f>IF(ISNUMBER($P272),COUNTIFS($A$14:$A$1213,$A272,$P$14:$P$1213,"&gt;"&amp;$P272)+(COUNTIFS($A$14:$A$1213,$A272,$P$14:$P$1213,"="&amp;$P272)+1)/2,"")</f>
        <v/>
      </c>
      <c r="AD272" s="27">
        <f>IF(ISNUMBER($Q272),COUNTIFS($A$14:$A$1213,$A272,$Q$14:$Q$1213,"&gt;"&amp;$Q272)+(COUNTIFS($A$14:$A$1213,$A272,$Q$14:$Q$1213,"="&amp;$Q272)+1)/2,"")</f>
        <v/>
      </c>
      <c r="AE272" s="27">
        <f>IF(ISNUMBER($R272),COUNTIFS($A$14:$A$1213,$A272,$R$14:$R$1213,"&gt;"&amp;$R272)+(COUNTIFS($A$14:$A$1213,$A272,$R$14:$R$1213,"="&amp;$R272)+1)/2,"")</f>
        <v/>
      </c>
      <c r="AF272" s="27">
        <f>IF(ISNUMBER($S272),COUNTIFS($A$14:$A$1213,$A272,$S$14:$S$1213,"&gt;"&amp;$S272)+(COUNTIFS($A$14:$A$1213,$A272,$S$14:$S$1213,"="&amp;$S272)+1)/2,"")</f>
        <v/>
      </c>
      <c r="AG272" s="27">
        <f>IF(ISNUMBER($T272),COUNTIFS($A$14:$A$1213,$A272,$T$14:$T$1213,"&gt;"&amp;$T272)+(COUNTIFS($A$14:$A$1213,$A272,$T$14:$T$1213,"="&amp;$T272)+1)/2,"")</f>
        <v/>
      </c>
      <c r="AH272" s="27">
        <f>IF(COUNT($AC272:$AG272)&lt;2,"",IF(MAX($AC272:$AG272)=MIN($AC272:$AG272),0,1))</f>
        <v/>
      </c>
      <c r="AI272" s="27">
        <f>IF($A272="","",IF(COUNTIF($A$14:$A272,$A272)=1,COUNTIF($AI$13:AI271,"&gt;0")+1,""))</f>
        <v/>
      </c>
      <c r="AJ272" s="27">
        <f>IF(OR($H272="",COUNTIFS($A$14:$A$1213,$H272,$F$14:$F$1213,"&gt;=0")&lt;2,COUNTIFS($A$14:$A$1213,$H272,$F$14:$F$1213,_xlfn.MAXIFS($F$14:$F$1213,$A$14:$A$1213,$H272))&gt;1),"",IFERROR(INDEX($D$14:$D$1213,MATCH($H272&amp;"|"&amp;_xlfn.MAXIFS($F$14:$F$1213,$A$14:$A$1213,$H272),$AB$14:$AB$1213,0)),""))</f>
        <v/>
      </c>
      <c r="AK272" s="27">
        <f>IF(OR($H272="",COUNTIFS($A$14:$A$1213,$H272,$F$14:$F$1213,"&gt;=0")&lt;2,COUNTIFS($A$14:$A$1213,$H272,$F$14:$F$1213,_xlfn.MAXIFS($F$14:$F$1213,$A$14:$A$1213,$H272))&gt;1),"",IFERROR(INDEX($E$14:$E$1213,MATCH($H272&amp;"|"&amp;_xlfn.MAXIFS($F$14:$F$1213,$A$14:$A$1213,$H272),$AB$14:$AB$1213,0)),""))</f>
        <v/>
      </c>
      <c r="AL272" s="27">
        <f>IF(OR($H272="",COUNTIFS($A$14:$A$1213,$H272,$F$14:$F$1213,"&gt;=0")&lt;2,COUNTIFS($A$14:$A$1213,$H272,$F$14:$F$1213,_xlfn.MAXIFS($F$14:$F$1213,$A$14:$A$1213,$H272))&gt;1),"",IFERROR(INDEX($D$14:$D$1213,MATCH($H272&amp;"|"&amp;_xlfn.MAXIFS($F$14:$F$1213,$A$14:$A$1213,$H272,$F$14:$F$1213,"&lt;"&amp;_xlfn.MAXIFS($F$14:$F$1213,$A$14:$A$1213,$H272)),$AB$14:$AB$1213,0)),""))</f>
        <v/>
      </c>
      <c r="AM272" s="27">
        <f>IF(OR($H272="",COUNTIFS($A$14:$A$1213,$H272,$F$14:$F$1213,"&gt;=0")&lt;2,COUNTIFS($A$14:$A$1213,$H272,$F$14:$F$1213,_xlfn.MAXIFS($F$14:$F$1213,$A$14:$A$1213,$H272))&gt;1),"",IFERROR(INDEX($E$14:$E$1213,MATCH($H272&amp;"|"&amp;_xlfn.MAXIFS($F$14:$F$1213,$A$14:$A$1213,$H272,$F$14:$F$1213,"&lt;"&amp;_xlfn.MAXIFS($F$14:$F$1213,$A$14:$A$1213,$H272)),$AB$14:$AB$1213,0)),""))</f>
        <v/>
      </c>
      <c r="AN272" s="27">
        <f>IF(OR(NOT(ISNUMBER($AJ272)),NOT(ISNUMBER($AL272)),$AK272=0,$AM272=0),"",IF(OR((($AJ272+$AL272)/($AK272+$AM272))&lt;=0,(($AJ272+$AL272)/($AK272+$AM272))&gt;=1),"",($AJ272/$AK272-$AL272/$AM272)/SQRT((($AJ272+$AL272)/($AK272+$AM272))*(1-(($AJ272+$AL272)/($AK272+$AM272)))*(1/$AK272+1/$AM272))))</f>
        <v/>
      </c>
      <c r="AO272" s="27">
        <f>IF($A272="","",IF(AND(COUNTIFS($A$14:$A$1213,$A272,$F$14:$F$1213,"&gt;=0")=2,IFERROR(INDEX($M$14:$M$313,MATCH($A272,$H$14:$H$313,0)),"Yes")&lt;&gt;"Yes"),1,0))</f>
        <v/>
      </c>
    </row>
    <row r="273" ht="24" customHeight="1">
      <c r="A273" s="19" t="n"/>
      <c r="B273" s="20" t="n"/>
      <c r="C273" s="21">
        <f>IFERROR(AVERAGE(P273:T273),"")</f>
        <v/>
      </c>
      <c r="D273" s="29" t="n"/>
      <c r="E273" s="29" t="n"/>
      <c r="F273" s="30">
        <f>IF(AND(ISNUMBER($D273),ISNUMBER($E273),$E273&gt;0,$D273&lt;=$E273),$D273/$E273,"")</f>
        <v/>
      </c>
      <c r="H273" s="19">
        <f>IFERROR(INDEX($A$14:$A$1213,MATCH(260,$AI$14:$AI$1213,0)),"")</f>
        <v/>
      </c>
      <c r="I273" s="24">
        <f>IF($H273="","",IF(COUNTIFS($A$14:$A$1213,$H273,$C$14:$C$1213,"&gt;=0")=0,"—",IFERROR(INDEX($B$14:$B$1213,MATCH($H273&amp;"|1",$Z$14:$Z$1213,0)),"(tied)")))</f>
        <v/>
      </c>
      <c r="J273" s="25">
        <f>IF($H273="","",IF(OR(COUNTIFS($A$14:$A$1213,$H273,$C$14:$C$1213,"&gt;=0")=0,COUNTIFS($A$14:$A$1213,$H273,$F$14:$F$1213,"&gt;=0")=0),"—",IF(OR(ISERROR(MATCH($H273&amp;"|1",$Z$14:$Z$1213,0)),ISERROR(MATCH($H273&amp;"|1",$AA$14:$AA$1213,0))),"Tie",IF(MATCH($H273&amp;"|1",$Z$14:$Z$1213,0)=MATCH($H273&amp;"|1",$AA$14:$AA$1213,0),"Hit","Miss"))))</f>
        <v/>
      </c>
      <c r="K273" s="24">
        <f>IF($H273="","",IF(COUNTIFS($A$14:$A$1213,$H273,$F$14:$F$1213,"&gt;=0")=0,"—",IFERROR(INDEX($B$14:$B$1213,MATCH($H273&amp;"|1",$AA$14:$AA$1213,0)),"(tied)")))</f>
        <v/>
      </c>
      <c r="L273" s="25">
        <f>IF($H273="","",IF((--(COUNTIFS($A$14:$A$1213,$H273,$P$14:$P$1213,"&gt;=0")&gt;0)+--(COUNTIFS($A$14:$A$1213,$H273,$Q$14:$Q$1213,"&gt;=0")&gt;0)+--(COUNTIFS($A$14:$A$1213,$H273,$R$14:$R$1213,"&gt;=0")&gt;0)+--(COUNTIFS($A$14:$A$1213,$H273,$S$14:$S$1213,"&gt;=0")&gt;0)+--(COUNTIFS($A$14:$A$1213,$H273,$T$14:$T$1213,"&gt;=0")&gt;0))&lt;2,"—",IF(SUMIFS($AH$14:$AH$1213,$A$14:$A$1213,$H273)=0,"Yes","No")))</f>
        <v/>
      </c>
      <c r="M273" s="25">
        <f>IF($H273="","",IF(COUNTIFS($A$14:$A$1213,$H273,$F$14:$F$1213,"&gt;=0")&lt;2,"—",IF(COUNTIFS($A$14:$A$1213,$H273,$F$14:$F$1213,_xlfn.MAXIFS($F$14:$F$1213,$A$14:$A$1213,$H273))&gt;1,"No",IF(NOT(ISNUMBER($AN273)),"—",IF((2*(1-NORMSDIST(ABS($AN273))))&lt;0.05,"Yes","No")))))</f>
        <v/>
      </c>
      <c r="N273" s="21">
        <f>IF($H273="","",IF(NOT(ISNUMBER($AN273)),"—",IF((2*(1-NORMSDIST(ABS($AN273))))&lt;0.001,"&lt;0.001",TEXT((2*(1-NORMSDIST(ABS($AN273)))),"0.000"))))</f>
        <v/>
      </c>
      <c r="P273" s="26" t="n"/>
      <c r="Q273" s="26" t="n"/>
      <c r="R273" s="26" t="n"/>
      <c r="S273" s="26" t="n"/>
      <c r="T273" s="26" t="n"/>
      <c r="V273" s="27">
        <f>IF(ISNUMBER($C273),COUNTIFS($A$14:$A$1213,$A273,$C$14:$C$1213,"&gt;"&amp;$C273)+(COUNTIFS($A$14:$A$1213,$A273,$C$14:$C$1213,"="&amp;$C273)+1)/2,"")</f>
        <v/>
      </c>
      <c r="W273" s="27">
        <f>IF(ISNUMBER($F273),COUNTIFS($A$14:$A$1213,$A273,$F$14:$F$1213,"&gt;"&amp;$F273)+(COUNTIFS($A$14:$A$1213,$A273,$F$14:$F$1213,"="&amp;$F273)+1)/2,"")</f>
        <v/>
      </c>
      <c r="X273" s="27">
        <f>IF(OR(NOT(ISNUMBER($V273)),$AO273=1),"",$V273-(COUNTIFS($A$14:$A$1213,$A273,$C$14:$C$1213,"&gt;=0")+1)/2)</f>
        <v/>
      </c>
      <c r="Y273" s="27">
        <f>IF(OR(NOT(ISNUMBER($W273)),$AO273=1),"",$W273-(COUNTIFS($A$14:$A$1213,$A273,$F$14:$F$1213,"&gt;=0")+1)/2)</f>
        <v/>
      </c>
      <c r="Z273" s="27">
        <f>IF(ISNUMBER($V273),$A273&amp;"|"&amp;$V273,"")</f>
        <v/>
      </c>
      <c r="AA273" s="27">
        <f>IF(ISNUMBER($W273),$A273&amp;"|"&amp;$W273,"")</f>
        <v/>
      </c>
      <c r="AB273" s="27">
        <f>IF(ISNUMBER($F273),$A273&amp;"|"&amp;$F273,"")</f>
        <v/>
      </c>
      <c r="AC273" s="27">
        <f>IF(ISNUMBER($P273),COUNTIFS($A$14:$A$1213,$A273,$P$14:$P$1213,"&gt;"&amp;$P273)+(COUNTIFS($A$14:$A$1213,$A273,$P$14:$P$1213,"="&amp;$P273)+1)/2,"")</f>
        <v/>
      </c>
      <c r="AD273" s="27">
        <f>IF(ISNUMBER($Q273),COUNTIFS($A$14:$A$1213,$A273,$Q$14:$Q$1213,"&gt;"&amp;$Q273)+(COUNTIFS($A$14:$A$1213,$A273,$Q$14:$Q$1213,"="&amp;$Q273)+1)/2,"")</f>
        <v/>
      </c>
      <c r="AE273" s="27">
        <f>IF(ISNUMBER($R273),COUNTIFS($A$14:$A$1213,$A273,$R$14:$R$1213,"&gt;"&amp;$R273)+(COUNTIFS($A$14:$A$1213,$A273,$R$14:$R$1213,"="&amp;$R273)+1)/2,"")</f>
        <v/>
      </c>
      <c r="AF273" s="27">
        <f>IF(ISNUMBER($S273),COUNTIFS($A$14:$A$1213,$A273,$S$14:$S$1213,"&gt;"&amp;$S273)+(COUNTIFS($A$14:$A$1213,$A273,$S$14:$S$1213,"="&amp;$S273)+1)/2,"")</f>
        <v/>
      </c>
      <c r="AG273" s="27">
        <f>IF(ISNUMBER($T273),COUNTIFS($A$14:$A$1213,$A273,$T$14:$T$1213,"&gt;"&amp;$T273)+(COUNTIFS($A$14:$A$1213,$A273,$T$14:$T$1213,"="&amp;$T273)+1)/2,"")</f>
        <v/>
      </c>
      <c r="AH273" s="27">
        <f>IF(COUNT($AC273:$AG273)&lt;2,"",IF(MAX($AC273:$AG273)=MIN($AC273:$AG273),0,1))</f>
        <v/>
      </c>
      <c r="AI273" s="27">
        <f>IF($A273="","",IF(COUNTIF($A$14:$A273,$A273)=1,COUNTIF($AI$13:AI272,"&gt;0")+1,""))</f>
        <v/>
      </c>
      <c r="AJ273" s="27">
        <f>IF(OR($H273="",COUNTIFS($A$14:$A$1213,$H273,$F$14:$F$1213,"&gt;=0")&lt;2,COUNTIFS($A$14:$A$1213,$H273,$F$14:$F$1213,_xlfn.MAXIFS($F$14:$F$1213,$A$14:$A$1213,$H273))&gt;1),"",IFERROR(INDEX($D$14:$D$1213,MATCH($H273&amp;"|"&amp;_xlfn.MAXIFS($F$14:$F$1213,$A$14:$A$1213,$H273),$AB$14:$AB$1213,0)),""))</f>
        <v/>
      </c>
      <c r="AK273" s="27">
        <f>IF(OR($H273="",COUNTIFS($A$14:$A$1213,$H273,$F$14:$F$1213,"&gt;=0")&lt;2,COUNTIFS($A$14:$A$1213,$H273,$F$14:$F$1213,_xlfn.MAXIFS($F$14:$F$1213,$A$14:$A$1213,$H273))&gt;1),"",IFERROR(INDEX($E$14:$E$1213,MATCH($H273&amp;"|"&amp;_xlfn.MAXIFS($F$14:$F$1213,$A$14:$A$1213,$H273),$AB$14:$AB$1213,0)),""))</f>
        <v/>
      </c>
      <c r="AL273" s="27">
        <f>IF(OR($H273="",COUNTIFS($A$14:$A$1213,$H273,$F$14:$F$1213,"&gt;=0")&lt;2,COUNTIFS($A$14:$A$1213,$H273,$F$14:$F$1213,_xlfn.MAXIFS($F$14:$F$1213,$A$14:$A$1213,$H273))&gt;1),"",IFERROR(INDEX($D$14:$D$1213,MATCH($H273&amp;"|"&amp;_xlfn.MAXIFS($F$14:$F$1213,$A$14:$A$1213,$H273,$F$14:$F$1213,"&lt;"&amp;_xlfn.MAXIFS($F$14:$F$1213,$A$14:$A$1213,$H273)),$AB$14:$AB$1213,0)),""))</f>
        <v/>
      </c>
      <c r="AM273" s="27">
        <f>IF(OR($H273="",COUNTIFS($A$14:$A$1213,$H273,$F$14:$F$1213,"&gt;=0")&lt;2,COUNTIFS($A$14:$A$1213,$H273,$F$14:$F$1213,_xlfn.MAXIFS($F$14:$F$1213,$A$14:$A$1213,$H273))&gt;1),"",IFERROR(INDEX($E$14:$E$1213,MATCH($H273&amp;"|"&amp;_xlfn.MAXIFS($F$14:$F$1213,$A$14:$A$1213,$H273,$F$14:$F$1213,"&lt;"&amp;_xlfn.MAXIFS($F$14:$F$1213,$A$14:$A$1213,$H273)),$AB$14:$AB$1213,0)),""))</f>
        <v/>
      </c>
      <c r="AN273" s="27">
        <f>IF(OR(NOT(ISNUMBER($AJ273)),NOT(ISNUMBER($AL273)),$AK273=0,$AM273=0),"",IF(OR((($AJ273+$AL273)/($AK273+$AM273))&lt;=0,(($AJ273+$AL273)/($AK273+$AM273))&gt;=1),"",($AJ273/$AK273-$AL273/$AM273)/SQRT((($AJ273+$AL273)/($AK273+$AM273))*(1-(($AJ273+$AL273)/($AK273+$AM273)))*(1/$AK273+1/$AM273))))</f>
        <v/>
      </c>
      <c r="AO273" s="27">
        <f>IF($A273="","",IF(AND(COUNTIFS($A$14:$A$1213,$A273,$F$14:$F$1213,"&gt;=0")=2,IFERROR(INDEX($M$14:$M$313,MATCH($A273,$H$14:$H$313,0)),"Yes")&lt;&gt;"Yes"),1,0))</f>
        <v/>
      </c>
    </row>
    <row r="274" ht="24" customHeight="1">
      <c r="A274" s="19" t="n"/>
      <c r="B274" s="20" t="n"/>
      <c r="C274" s="21">
        <f>IFERROR(AVERAGE(P274:T274),"")</f>
        <v/>
      </c>
      <c r="D274" s="29" t="n"/>
      <c r="E274" s="29" t="n"/>
      <c r="F274" s="30">
        <f>IF(AND(ISNUMBER($D274),ISNUMBER($E274),$E274&gt;0,$D274&lt;=$E274),$D274/$E274,"")</f>
        <v/>
      </c>
      <c r="H274" s="19">
        <f>IFERROR(INDEX($A$14:$A$1213,MATCH(261,$AI$14:$AI$1213,0)),"")</f>
        <v/>
      </c>
      <c r="I274" s="24">
        <f>IF($H274="","",IF(COUNTIFS($A$14:$A$1213,$H274,$C$14:$C$1213,"&gt;=0")=0,"—",IFERROR(INDEX($B$14:$B$1213,MATCH($H274&amp;"|1",$Z$14:$Z$1213,0)),"(tied)")))</f>
        <v/>
      </c>
      <c r="J274" s="25">
        <f>IF($H274="","",IF(OR(COUNTIFS($A$14:$A$1213,$H274,$C$14:$C$1213,"&gt;=0")=0,COUNTIFS($A$14:$A$1213,$H274,$F$14:$F$1213,"&gt;=0")=0),"—",IF(OR(ISERROR(MATCH($H274&amp;"|1",$Z$14:$Z$1213,0)),ISERROR(MATCH($H274&amp;"|1",$AA$14:$AA$1213,0))),"Tie",IF(MATCH($H274&amp;"|1",$Z$14:$Z$1213,0)=MATCH($H274&amp;"|1",$AA$14:$AA$1213,0),"Hit","Miss"))))</f>
        <v/>
      </c>
      <c r="K274" s="24">
        <f>IF($H274="","",IF(COUNTIFS($A$14:$A$1213,$H274,$F$14:$F$1213,"&gt;=0")=0,"—",IFERROR(INDEX($B$14:$B$1213,MATCH($H274&amp;"|1",$AA$14:$AA$1213,0)),"(tied)")))</f>
        <v/>
      </c>
      <c r="L274" s="25">
        <f>IF($H274="","",IF((--(COUNTIFS($A$14:$A$1213,$H274,$P$14:$P$1213,"&gt;=0")&gt;0)+--(COUNTIFS($A$14:$A$1213,$H274,$Q$14:$Q$1213,"&gt;=0")&gt;0)+--(COUNTIFS($A$14:$A$1213,$H274,$R$14:$R$1213,"&gt;=0")&gt;0)+--(COUNTIFS($A$14:$A$1213,$H274,$S$14:$S$1213,"&gt;=0")&gt;0)+--(COUNTIFS($A$14:$A$1213,$H274,$T$14:$T$1213,"&gt;=0")&gt;0))&lt;2,"—",IF(SUMIFS($AH$14:$AH$1213,$A$14:$A$1213,$H274)=0,"Yes","No")))</f>
        <v/>
      </c>
      <c r="M274" s="25">
        <f>IF($H274="","",IF(COUNTIFS($A$14:$A$1213,$H274,$F$14:$F$1213,"&gt;=0")&lt;2,"—",IF(COUNTIFS($A$14:$A$1213,$H274,$F$14:$F$1213,_xlfn.MAXIFS($F$14:$F$1213,$A$14:$A$1213,$H274))&gt;1,"No",IF(NOT(ISNUMBER($AN274)),"—",IF((2*(1-NORMSDIST(ABS($AN274))))&lt;0.05,"Yes","No")))))</f>
        <v/>
      </c>
      <c r="N274" s="21">
        <f>IF($H274="","",IF(NOT(ISNUMBER($AN274)),"—",IF((2*(1-NORMSDIST(ABS($AN274))))&lt;0.001,"&lt;0.001",TEXT((2*(1-NORMSDIST(ABS($AN274)))),"0.000"))))</f>
        <v/>
      </c>
      <c r="P274" s="26" t="n"/>
      <c r="Q274" s="26" t="n"/>
      <c r="R274" s="26" t="n"/>
      <c r="S274" s="26" t="n"/>
      <c r="T274" s="26" t="n"/>
      <c r="V274" s="27">
        <f>IF(ISNUMBER($C274),COUNTIFS($A$14:$A$1213,$A274,$C$14:$C$1213,"&gt;"&amp;$C274)+(COUNTIFS($A$14:$A$1213,$A274,$C$14:$C$1213,"="&amp;$C274)+1)/2,"")</f>
        <v/>
      </c>
      <c r="W274" s="27">
        <f>IF(ISNUMBER($F274),COUNTIFS($A$14:$A$1213,$A274,$F$14:$F$1213,"&gt;"&amp;$F274)+(COUNTIFS($A$14:$A$1213,$A274,$F$14:$F$1213,"="&amp;$F274)+1)/2,"")</f>
        <v/>
      </c>
      <c r="X274" s="27">
        <f>IF(OR(NOT(ISNUMBER($V274)),$AO274=1),"",$V274-(COUNTIFS($A$14:$A$1213,$A274,$C$14:$C$1213,"&gt;=0")+1)/2)</f>
        <v/>
      </c>
      <c r="Y274" s="27">
        <f>IF(OR(NOT(ISNUMBER($W274)),$AO274=1),"",$W274-(COUNTIFS($A$14:$A$1213,$A274,$F$14:$F$1213,"&gt;=0")+1)/2)</f>
        <v/>
      </c>
      <c r="Z274" s="27">
        <f>IF(ISNUMBER($V274),$A274&amp;"|"&amp;$V274,"")</f>
        <v/>
      </c>
      <c r="AA274" s="27">
        <f>IF(ISNUMBER($W274),$A274&amp;"|"&amp;$W274,"")</f>
        <v/>
      </c>
      <c r="AB274" s="27">
        <f>IF(ISNUMBER($F274),$A274&amp;"|"&amp;$F274,"")</f>
        <v/>
      </c>
      <c r="AC274" s="27">
        <f>IF(ISNUMBER($P274),COUNTIFS($A$14:$A$1213,$A274,$P$14:$P$1213,"&gt;"&amp;$P274)+(COUNTIFS($A$14:$A$1213,$A274,$P$14:$P$1213,"="&amp;$P274)+1)/2,"")</f>
        <v/>
      </c>
      <c r="AD274" s="27">
        <f>IF(ISNUMBER($Q274),COUNTIFS($A$14:$A$1213,$A274,$Q$14:$Q$1213,"&gt;"&amp;$Q274)+(COUNTIFS($A$14:$A$1213,$A274,$Q$14:$Q$1213,"="&amp;$Q274)+1)/2,"")</f>
        <v/>
      </c>
      <c r="AE274" s="27">
        <f>IF(ISNUMBER($R274),COUNTIFS($A$14:$A$1213,$A274,$R$14:$R$1213,"&gt;"&amp;$R274)+(COUNTIFS($A$14:$A$1213,$A274,$R$14:$R$1213,"="&amp;$R274)+1)/2,"")</f>
        <v/>
      </c>
      <c r="AF274" s="27">
        <f>IF(ISNUMBER($S274),COUNTIFS($A$14:$A$1213,$A274,$S$14:$S$1213,"&gt;"&amp;$S274)+(COUNTIFS($A$14:$A$1213,$A274,$S$14:$S$1213,"="&amp;$S274)+1)/2,"")</f>
        <v/>
      </c>
      <c r="AG274" s="27">
        <f>IF(ISNUMBER($T274),COUNTIFS($A$14:$A$1213,$A274,$T$14:$T$1213,"&gt;"&amp;$T274)+(COUNTIFS($A$14:$A$1213,$A274,$T$14:$T$1213,"="&amp;$T274)+1)/2,"")</f>
        <v/>
      </c>
      <c r="AH274" s="27">
        <f>IF(COUNT($AC274:$AG274)&lt;2,"",IF(MAX($AC274:$AG274)=MIN($AC274:$AG274),0,1))</f>
        <v/>
      </c>
      <c r="AI274" s="27">
        <f>IF($A274="","",IF(COUNTIF($A$14:$A274,$A274)=1,COUNTIF($AI$13:AI273,"&gt;0")+1,""))</f>
        <v/>
      </c>
      <c r="AJ274" s="27">
        <f>IF(OR($H274="",COUNTIFS($A$14:$A$1213,$H274,$F$14:$F$1213,"&gt;=0")&lt;2,COUNTIFS($A$14:$A$1213,$H274,$F$14:$F$1213,_xlfn.MAXIFS($F$14:$F$1213,$A$14:$A$1213,$H274))&gt;1),"",IFERROR(INDEX($D$14:$D$1213,MATCH($H274&amp;"|"&amp;_xlfn.MAXIFS($F$14:$F$1213,$A$14:$A$1213,$H274),$AB$14:$AB$1213,0)),""))</f>
        <v/>
      </c>
      <c r="AK274" s="27">
        <f>IF(OR($H274="",COUNTIFS($A$14:$A$1213,$H274,$F$14:$F$1213,"&gt;=0")&lt;2,COUNTIFS($A$14:$A$1213,$H274,$F$14:$F$1213,_xlfn.MAXIFS($F$14:$F$1213,$A$14:$A$1213,$H274))&gt;1),"",IFERROR(INDEX($E$14:$E$1213,MATCH($H274&amp;"|"&amp;_xlfn.MAXIFS($F$14:$F$1213,$A$14:$A$1213,$H274),$AB$14:$AB$1213,0)),""))</f>
        <v/>
      </c>
      <c r="AL274" s="27">
        <f>IF(OR($H274="",COUNTIFS($A$14:$A$1213,$H274,$F$14:$F$1213,"&gt;=0")&lt;2,COUNTIFS($A$14:$A$1213,$H274,$F$14:$F$1213,_xlfn.MAXIFS($F$14:$F$1213,$A$14:$A$1213,$H274))&gt;1),"",IFERROR(INDEX($D$14:$D$1213,MATCH($H274&amp;"|"&amp;_xlfn.MAXIFS($F$14:$F$1213,$A$14:$A$1213,$H274,$F$14:$F$1213,"&lt;"&amp;_xlfn.MAXIFS($F$14:$F$1213,$A$14:$A$1213,$H274)),$AB$14:$AB$1213,0)),""))</f>
        <v/>
      </c>
      <c r="AM274" s="27">
        <f>IF(OR($H274="",COUNTIFS($A$14:$A$1213,$H274,$F$14:$F$1213,"&gt;=0")&lt;2,COUNTIFS($A$14:$A$1213,$H274,$F$14:$F$1213,_xlfn.MAXIFS($F$14:$F$1213,$A$14:$A$1213,$H274))&gt;1),"",IFERROR(INDEX($E$14:$E$1213,MATCH($H274&amp;"|"&amp;_xlfn.MAXIFS($F$14:$F$1213,$A$14:$A$1213,$H274,$F$14:$F$1213,"&lt;"&amp;_xlfn.MAXIFS($F$14:$F$1213,$A$14:$A$1213,$H274)),$AB$14:$AB$1213,0)),""))</f>
        <v/>
      </c>
      <c r="AN274" s="27">
        <f>IF(OR(NOT(ISNUMBER($AJ274)),NOT(ISNUMBER($AL274)),$AK274=0,$AM274=0),"",IF(OR((($AJ274+$AL274)/($AK274+$AM274))&lt;=0,(($AJ274+$AL274)/($AK274+$AM274))&gt;=1),"",($AJ274/$AK274-$AL274/$AM274)/SQRT((($AJ274+$AL274)/($AK274+$AM274))*(1-(($AJ274+$AL274)/($AK274+$AM274)))*(1/$AK274+1/$AM274))))</f>
        <v/>
      </c>
      <c r="AO274" s="27">
        <f>IF($A274="","",IF(AND(COUNTIFS($A$14:$A$1213,$A274,$F$14:$F$1213,"&gt;=0")=2,IFERROR(INDEX($M$14:$M$313,MATCH($A274,$H$14:$H$313,0)),"Yes")&lt;&gt;"Yes"),1,0))</f>
        <v/>
      </c>
    </row>
    <row r="275" ht="24" customHeight="1">
      <c r="A275" s="19" t="n"/>
      <c r="B275" s="20" t="n"/>
      <c r="C275" s="21">
        <f>IFERROR(AVERAGE(P275:T275),"")</f>
        <v/>
      </c>
      <c r="D275" s="29" t="n"/>
      <c r="E275" s="29" t="n"/>
      <c r="F275" s="30">
        <f>IF(AND(ISNUMBER($D275),ISNUMBER($E275),$E275&gt;0,$D275&lt;=$E275),$D275/$E275,"")</f>
        <v/>
      </c>
      <c r="H275" s="19">
        <f>IFERROR(INDEX($A$14:$A$1213,MATCH(262,$AI$14:$AI$1213,0)),"")</f>
        <v/>
      </c>
      <c r="I275" s="24">
        <f>IF($H275="","",IF(COUNTIFS($A$14:$A$1213,$H275,$C$14:$C$1213,"&gt;=0")=0,"—",IFERROR(INDEX($B$14:$B$1213,MATCH($H275&amp;"|1",$Z$14:$Z$1213,0)),"(tied)")))</f>
        <v/>
      </c>
      <c r="J275" s="25">
        <f>IF($H275="","",IF(OR(COUNTIFS($A$14:$A$1213,$H275,$C$14:$C$1213,"&gt;=0")=0,COUNTIFS($A$14:$A$1213,$H275,$F$14:$F$1213,"&gt;=0")=0),"—",IF(OR(ISERROR(MATCH($H275&amp;"|1",$Z$14:$Z$1213,0)),ISERROR(MATCH($H275&amp;"|1",$AA$14:$AA$1213,0))),"Tie",IF(MATCH($H275&amp;"|1",$Z$14:$Z$1213,0)=MATCH($H275&amp;"|1",$AA$14:$AA$1213,0),"Hit","Miss"))))</f>
        <v/>
      </c>
      <c r="K275" s="24">
        <f>IF($H275="","",IF(COUNTIFS($A$14:$A$1213,$H275,$F$14:$F$1213,"&gt;=0")=0,"—",IFERROR(INDEX($B$14:$B$1213,MATCH($H275&amp;"|1",$AA$14:$AA$1213,0)),"(tied)")))</f>
        <v/>
      </c>
      <c r="L275" s="25">
        <f>IF($H275="","",IF((--(COUNTIFS($A$14:$A$1213,$H275,$P$14:$P$1213,"&gt;=0")&gt;0)+--(COUNTIFS($A$14:$A$1213,$H275,$Q$14:$Q$1213,"&gt;=0")&gt;0)+--(COUNTIFS($A$14:$A$1213,$H275,$R$14:$R$1213,"&gt;=0")&gt;0)+--(COUNTIFS($A$14:$A$1213,$H275,$S$14:$S$1213,"&gt;=0")&gt;0)+--(COUNTIFS($A$14:$A$1213,$H275,$T$14:$T$1213,"&gt;=0")&gt;0))&lt;2,"—",IF(SUMIFS($AH$14:$AH$1213,$A$14:$A$1213,$H275)=0,"Yes","No")))</f>
        <v/>
      </c>
      <c r="M275" s="25">
        <f>IF($H275="","",IF(COUNTIFS($A$14:$A$1213,$H275,$F$14:$F$1213,"&gt;=0")&lt;2,"—",IF(COUNTIFS($A$14:$A$1213,$H275,$F$14:$F$1213,_xlfn.MAXIFS($F$14:$F$1213,$A$14:$A$1213,$H275))&gt;1,"No",IF(NOT(ISNUMBER($AN275)),"—",IF((2*(1-NORMSDIST(ABS($AN275))))&lt;0.05,"Yes","No")))))</f>
        <v/>
      </c>
      <c r="N275" s="21">
        <f>IF($H275="","",IF(NOT(ISNUMBER($AN275)),"—",IF((2*(1-NORMSDIST(ABS($AN275))))&lt;0.001,"&lt;0.001",TEXT((2*(1-NORMSDIST(ABS($AN275)))),"0.000"))))</f>
        <v/>
      </c>
      <c r="P275" s="26" t="n"/>
      <c r="Q275" s="26" t="n"/>
      <c r="R275" s="26" t="n"/>
      <c r="S275" s="26" t="n"/>
      <c r="T275" s="26" t="n"/>
      <c r="V275" s="27">
        <f>IF(ISNUMBER($C275),COUNTIFS($A$14:$A$1213,$A275,$C$14:$C$1213,"&gt;"&amp;$C275)+(COUNTIFS($A$14:$A$1213,$A275,$C$14:$C$1213,"="&amp;$C275)+1)/2,"")</f>
        <v/>
      </c>
      <c r="W275" s="27">
        <f>IF(ISNUMBER($F275),COUNTIFS($A$14:$A$1213,$A275,$F$14:$F$1213,"&gt;"&amp;$F275)+(COUNTIFS($A$14:$A$1213,$A275,$F$14:$F$1213,"="&amp;$F275)+1)/2,"")</f>
        <v/>
      </c>
      <c r="X275" s="27">
        <f>IF(OR(NOT(ISNUMBER($V275)),$AO275=1),"",$V275-(COUNTIFS($A$14:$A$1213,$A275,$C$14:$C$1213,"&gt;=0")+1)/2)</f>
        <v/>
      </c>
      <c r="Y275" s="27">
        <f>IF(OR(NOT(ISNUMBER($W275)),$AO275=1),"",$W275-(COUNTIFS($A$14:$A$1213,$A275,$F$14:$F$1213,"&gt;=0")+1)/2)</f>
        <v/>
      </c>
      <c r="Z275" s="27">
        <f>IF(ISNUMBER($V275),$A275&amp;"|"&amp;$V275,"")</f>
        <v/>
      </c>
      <c r="AA275" s="27">
        <f>IF(ISNUMBER($W275),$A275&amp;"|"&amp;$W275,"")</f>
        <v/>
      </c>
      <c r="AB275" s="27">
        <f>IF(ISNUMBER($F275),$A275&amp;"|"&amp;$F275,"")</f>
        <v/>
      </c>
      <c r="AC275" s="27">
        <f>IF(ISNUMBER($P275),COUNTIFS($A$14:$A$1213,$A275,$P$14:$P$1213,"&gt;"&amp;$P275)+(COUNTIFS($A$14:$A$1213,$A275,$P$14:$P$1213,"="&amp;$P275)+1)/2,"")</f>
        <v/>
      </c>
      <c r="AD275" s="27">
        <f>IF(ISNUMBER($Q275),COUNTIFS($A$14:$A$1213,$A275,$Q$14:$Q$1213,"&gt;"&amp;$Q275)+(COUNTIFS($A$14:$A$1213,$A275,$Q$14:$Q$1213,"="&amp;$Q275)+1)/2,"")</f>
        <v/>
      </c>
      <c r="AE275" s="27">
        <f>IF(ISNUMBER($R275),COUNTIFS($A$14:$A$1213,$A275,$R$14:$R$1213,"&gt;"&amp;$R275)+(COUNTIFS($A$14:$A$1213,$A275,$R$14:$R$1213,"="&amp;$R275)+1)/2,"")</f>
        <v/>
      </c>
      <c r="AF275" s="27">
        <f>IF(ISNUMBER($S275),COUNTIFS($A$14:$A$1213,$A275,$S$14:$S$1213,"&gt;"&amp;$S275)+(COUNTIFS($A$14:$A$1213,$A275,$S$14:$S$1213,"="&amp;$S275)+1)/2,"")</f>
        <v/>
      </c>
      <c r="AG275" s="27">
        <f>IF(ISNUMBER($T275),COUNTIFS($A$14:$A$1213,$A275,$T$14:$T$1213,"&gt;"&amp;$T275)+(COUNTIFS($A$14:$A$1213,$A275,$T$14:$T$1213,"="&amp;$T275)+1)/2,"")</f>
        <v/>
      </c>
      <c r="AH275" s="27">
        <f>IF(COUNT($AC275:$AG275)&lt;2,"",IF(MAX($AC275:$AG275)=MIN($AC275:$AG275),0,1))</f>
        <v/>
      </c>
      <c r="AI275" s="27">
        <f>IF($A275="","",IF(COUNTIF($A$14:$A275,$A275)=1,COUNTIF($AI$13:AI274,"&gt;0")+1,""))</f>
        <v/>
      </c>
      <c r="AJ275" s="27">
        <f>IF(OR($H275="",COUNTIFS($A$14:$A$1213,$H275,$F$14:$F$1213,"&gt;=0")&lt;2,COUNTIFS($A$14:$A$1213,$H275,$F$14:$F$1213,_xlfn.MAXIFS($F$14:$F$1213,$A$14:$A$1213,$H275))&gt;1),"",IFERROR(INDEX($D$14:$D$1213,MATCH($H275&amp;"|"&amp;_xlfn.MAXIFS($F$14:$F$1213,$A$14:$A$1213,$H275),$AB$14:$AB$1213,0)),""))</f>
        <v/>
      </c>
      <c r="AK275" s="27">
        <f>IF(OR($H275="",COUNTIFS($A$14:$A$1213,$H275,$F$14:$F$1213,"&gt;=0")&lt;2,COUNTIFS($A$14:$A$1213,$H275,$F$14:$F$1213,_xlfn.MAXIFS($F$14:$F$1213,$A$14:$A$1213,$H275))&gt;1),"",IFERROR(INDEX($E$14:$E$1213,MATCH($H275&amp;"|"&amp;_xlfn.MAXIFS($F$14:$F$1213,$A$14:$A$1213,$H275),$AB$14:$AB$1213,0)),""))</f>
        <v/>
      </c>
      <c r="AL275" s="27">
        <f>IF(OR($H275="",COUNTIFS($A$14:$A$1213,$H275,$F$14:$F$1213,"&gt;=0")&lt;2,COUNTIFS($A$14:$A$1213,$H275,$F$14:$F$1213,_xlfn.MAXIFS($F$14:$F$1213,$A$14:$A$1213,$H275))&gt;1),"",IFERROR(INDEX($D$14:$D$1213,MATCH($H275&amp;"|"&amp;_xlfn.MAXIFS($F$14:$F$1213,$A$14:$A$1213,$H275,$F$14:$F$1213,"&lt;"&amp;_xlfn.MAXIFS($F$14:$F$1213,$A$14:$A$1213,$H275)),$AB$14:$AB$1213,0)),""))</f>
        <v/>
      </c>
      <c r="AM275" s="27">
        <f>IF(OR($H275="",COUNTIFS($A$14:$A$1213,$H275,$F$14:$F$1213,"&gt;=0")&lt;2,COUNTIFS($A$14:$A$1213,$H275,$F$14:$F$1213,_xlfn.MAXIFS($F$14:$F$1213,$A$14:$A$1213,$H275))&gt;1),"",IFERROR(INDEX($E$14:$E$1213,MATCH($H275&amp;"|"&amp;_xlfn.MAXIFS($F$14:$F$1213,$A$14:$A$1213,$H275,$F$14:$F$1213,"&lt;"&amp;_xlfn.MAXIFS($F$14:$F$1213,$A$14:$A$1213,$H275)),$AB$14:$AB$1213,0)),""))</f>
        <v/>
      </c>
      <c r="AN275" s="27">
        <f>IF(OR(NOT(ISNUMBER($AJ275)),NOT(ISNUMBER($AL275)),$AK275=0,$AM275=0),"",IF(OR((($AJ275+$AL275)/($AK275+$AM275))&lt;=0,(($AJ275+$AL275)/($AK275+$AM275))&gt;=1),"",($AJ275/$AK275-$AL275/$AM275)/SQRT((($AJ275+$AL275)/($AK275+$AM275))*(1-(($AJ275+$AL275)/($AK275+$AM275)))*(1/$AK275+1/$AM275))))</f>
        <v/>
      </c>
      <c r="AO275" s="27">
        <f>IF($A275="","",IF(AND(COUNTIFS($A$14:$A$1213,$A275,$F$14:$F$1213,"&gt;=0")=2,IFERROR(INDEX($M$14:$M$313,MATCH($A275,$H$14:$H$313,0)),"Yes")&lt;&gt;"Yes"),1,0))</f>
        <v/>
      </c>
    </row>
    <row r="276" ht="24" customHeight="1">
      <c r="A276" s="19" t="n"/>
      <c r="B276" s="20" t="n"/>
      <c r="C276" s="21">
        <f>IFERROR(AVERAGE(P276:T276),"")</f>
        <v/>
      </c>
      <c r="D276" s="29" t="n"/>
      <c r="E276" s="29" t="n"/>
      <c r="F276" s="30">
        <f>IF(AND(ISNUMBER($D276),ISNUMBER($E276),$E276&gt;0,$D276&lt;=$E276),$D276/$E276,"")</f>
        <v/>
      </c>
      <c r="H276" s="19">
        <f>IFERROR(INDEX($A$14:$A$1213,MATCH(263,$AI$14:$AI$1213,0)),"")</f>
        <v/>
      </c>
      <c r="I276" s="24">
        <f>IF($H276="","",IF(COUNTIFS($A$14:$A$1213,$H276,$C$14:$C$1213,"&gt;=0")=0,"—",IFERROR(INDEX($B$14:$B$1213,MATCH($H276&amp;"|1",$Z$14:$Z$1213,0)),"(tied)")))</f>
        <v/>
      </c>
      <c r="J276" s="25">
        <f>IF($H276="","",IF(OR(COUNTIFS($A$14:$A$1213,$H276,$C$14:$C$1213,"&gt;=0")=0,COUNTIFS($A$14:$A$1213,$H276,$F$14:$F$1213,"&gt;=0")=0),"—",IF(OR(ISERROR(MATCH($H276&amp;"|1",$Z$14:$Z$1213,0)),ISERROR(MATCH($H276&amp;"|1",$AA$14:$AA$1213,0))),"Tie",IF(MATCH($H276&amp;"|1",$Z$14:$Z$1213,0)=MATCH($H276&amp;"|1",$AA$14:$AA$1213,0),"Hit","Miss"))))</f>
        <v/>
      </c>
      <c r="K276" s="24">
        <f>IF($H276="","",IF(COUNTIFS($A$14:$A$1213,$H276,$F$14:$F$1213,"&gt;=0")=0,"—",IFERROR(INDEX($B$14:$B$1213,MATCH($H276&amp;"|1",$AA$14:$AA$1213,0)),"(tied)")))</f>
        <v/>
      </c>
      <c r="L276" s="25">
        <f>IF($H276="","",IF((--(COUNTIFS($A$14:$A$1213,$H276,$P$14:$P$1213,"&gt;=0")&gt;0)+--(COUNTIFS($A$14:$A$1213,$H276,$Q$14:$Q$1213,"&gt;=0")&gt;0)+--(COUNTIFS($A$14:$A$1213,$H276,$R$14:$R$1213,"&gt;=0")&gt;0)+--(COUNTIFS($A$14:$A$1213,$H276,$S$14:$S$1213,"&gt;=0")&gt;0)+--(COUNTIFS($A$14:$A$1213,$H276,$T$14:$T$1213,"&gt;=0")&gt;0))&lt;2,"—",IF(SUMIFS($AH$14:$AH$1213,$A$14:$A$1213,$H276)=0,"Yes","No")))</f>
        <v/>
      </c>
      <c r="M276" s="25">
        <f>IF($H276="","",IF(COUNTIFS($A$14:$A$1213,$H276,$F$14:$F$1213,"&gt;=0")&lt;2,"—",IF(COUNTIFS($A$14:$A$1213,$H276,$F$14:$F$1213,_xlfn.MAXIFS($F$14:$F$1213,$A$14:$A$1213,$H276))&gt;1,"No",IF(NOT(ISNUMBER($AN276)),"—",IF((2*(1-NORMSDIST(ABS($AN276))))&lt;0.05,"Yes","No")))))</f>
        <v/>
      </c>
      <c r="N276" s="21">
        <f>IF($H276="","",IF(NOT(ISNUMBER($AN276)),"—",IF((2*(1-NORMSDIST(ABS($AN276))))&lt;0.001,"&lt;0.001",TEXT((2*(1-NORMSDIST(ABS($AN276)))),"0.000"))))</f>
        <v/>
      </c>
      <c r="P276" s="26" t="n"/>
      <c r="Q276" s="26" t="n"/>
      <c r="R276" s="26" t="n"/>
      <c r="S276" s="26" t="n"/>
      <c r="T276" s="26" t="n"/>
      <c r="V276" s="27">
        <f>IF(ISNUMBER($C276),COUNTIFS($A$14:$A$1213,$A276,$C$14:$C$1213,"&gt;"&amp;$C276)+(COUNTIFS($A$14:$A$1213,$A276,$C$14:$C$1213,"="&amp;$C276)+1)/2,"")</f>
        <v/>
      </c>
      <c r="W276" s="27">
        <f>IF(ISNUMBER($F276),COUNTIFS($A$14:$A$1213,$A276,$F$14:$F$1213,"&gt;"&amp;$F276)+(COUNTIFS($A$14:$A$1213,$A276,$F$14:$F$1213,"="&amp;$F276)+1)/2,"")</f>
        <v/>
      </c>
      <c r="X276" s="27">
        <f>IF(OR(NOT(ISNUMBER($V276)),$AO276=1),"",$V276-(COUNTIFS($A$14:$A$1213,$A276,$C$14:$C$1213,"&gt;=0")+1)/2)</f>
        <v/>
      </c>
      <c r="Y276" s="27">
        <f>IF(OR(NOT(ISNUMBER($W276)),$AO276=1),"",$W276-(COUNTIFS($A$14:$A$1213,$A276,$F$14:$F$1213,"&gt;=0")+1)/2)</f>
        <v/>
      </c>
      <c r="Z276" s="27">
        <f>IF(ISNUMBER($V276),$A276&amp;"|"&amp;$V276,"")</f>
        <v/>
      </c>
      <c r="AA276" s="27">
        <f>IF(ISNUMBER($W276),$A276&amp;"|"&amp;$W276,"")</f>
        <v/>
      </c>
      <c r="AB276" s="27">
        <f>IF(ISNUMBER($F276),$A276&amp;"|"&amp;$F276,"")</f>
        <v/>
      </c>
      <c r="AC276" s="27">
        <f>IF(ISNUMBER($P276),COUNTIFS($A$14:$A$1213,$A276,$P$14:$P$1213,"&gt;"&amp;$P276)+(COUNTIFS($A$14:$A$1213,$A276,$P$14:$P$1213,"="&amp;$P276)+1)/2,"")</f>
        <v/>
      </c>
      <c r="AD276" s="27">
        <f>IF(ISNUMBER($Q276),COUNTIFS($A$14:$A$1213,$A276,$Q$14:$Q$1213,"&gt;"&amp;$Q276)+(COUNTIFS($A$14:$A$1213,$A276,$Q$14:$Q$1213,"="&amp;$Q276)+1)/2,"")</f>
        <v/>
      </c>
      <c r="AE276" s="27">
        <f>IF(ISNUMBER($R276),COUNTIFS($A$14:$A$1213,$A276,$R$14:$R$1213,"&gt;"&amp;$R276)+(COUNTIFS($A$14:$A$1213,$A276,$R$14:$R$1213,"="&amp;$R276)+1)/2,"")</f>
        <v/>
      </c>
      <c r="AF276" s="27">
        <f>IF(ISNUMBER($S276),COUNTIFS($A$14:$A$1213,$A276,$S$14:$S$1213,"&gt;"&amp;$S276)+(COUNTIFS($A$14:$A$1213,$A276,$S$14:$S$1213,"="&amp;$S276)+1)/2,"")</f>
        <v/>
      </c>
      <c r="AG276" s="27">
        <f>IF(ISNUMBER($T276),COUNTIFS($A$14:$A$1213,$A276,$T$14:$T$1213,"&gt;"&amp;$T276)+(COUNTIFS($A$14:$A$1213,$A276,$T$14:$T$1213,"="&amp;$T276)+1)/2,"")</f>
        <v/>
      </c>
      <c r="AH276" s="27">
        <f>IF(COUNT($AC276:$AG276)&lt;2,"",IF(MAX($AC276:$AG276)=MIN($AC276:$AG276),0,1))</f>
        <v/>
      </c>
      <c r="AI276" s="27">
        <f>IF($A276="","",IF(COUNTIF($A$14:$A276,$A276)=1,COUNTIF($AI$13:AI275,"&gt;0")+1,""))</f>
        <v/>
      </c>
      <c r="AJ276" s="27">
        <f>IF(OR($H276="",COUNTIFS($A$14:$A$1213,$H276,$F$14:$F$1213,"&gt;=0")&lt;2,COUNTIFS($A$14:$A$1213,$H276,$F$14:$F$1213,_xlfn.MAXIFS($F$14:$F$1213,$A$14:$A$1213,$H276))&gt;1),"",IFERROR(INDEX($D$14:$D$1213,MATCH($H276&amp;"|"&amp;_xlfn.MAXIFS($F$14:$F$1213,$A$14:$A$1213,$H276),$AB$14:$AB$1213,0)),""))</f>
        <v/>
      </c>
      <c r="AK276" s="27">
        <f>IF(OR($H276="",COUNTIFS($A$14:$A$1213,$H276,$F$14:$F$1213,"&gt;=0")&lt;2,COUNTIFS($A$14:$A$1213,$H276,$F$14:$F$1213,_xlfn.MAXIFS($F$14:$F$1213,$A$14:$A$1213,$H276))&gt;1),"",IFERROR(INDEX($E$14:$E$1213,MATCH($H276&amp;"|"&amp;_xlfn.MAXIFS($F$14:$F$1213,$A$14:$A$1213,$H276),$AB$14:$AB$1213,0)),""))</f>
        <v/>
      </c>
      <c r="AL276" s="27">
        <f>IF(OR($H276="",COUNTIFS($A$14:$A$1213,$H276,$F$14:$F$1213,"&gt;=0")&lt;2,COUNTIFS($A$14:$A$1213,$H276,$F$14:$F$1213,_xlfn.MAXIFS($F$14:$F$1213,$A$14:$A$1213,$H276))&gt;1),"",IFERROR(INDEX($D$14:$D$1213,MATCH($H276&amp;"|"&amp;_xlfn.MAXIFS($F$14:$F$1213,$A$14:$A$1213,$H276,$F$14:$F$1213,"&lt;"&amp;_xlfn.MAXIFS($F$14:$F$1213,$A$14:$A$1213,$H276)),$AB$14:$AB$1213,0)),""))</f>
        <v/>
      </c>
      <c r="AM276" s="27">
        <f>IF(OR($H276="",COUNTIFS($A$14:$A$1213,$H276,$F$14:$F$1213,"&gt;=0")&lt;2,COUNTIFS($A$14:$A$1213,$H276,$F$14:$F$1213,_xlfn.MAXIFS($F$14:$F$1213,$A$14:$A$1213,$H276))&gt;1),"",IFERROR(INDEX($E$14:$E$1213,MATCH($H276&amp;"|"&amp;_xlfn.MAXIFS($F$14:$F$1213,$A$14:$A$1213,$H276,$F$14:$F$1213,"&lt;"&amp;_xlfn.MAXIFS($F$14:$F$1213,$A$14:$A$1213,$H276)),$AB$14:$AB$1213,0)),""))</f>
        <v/>
      </c>
      <c r="AN276" s="27">
        <f>IF(OR(NOT(ISNUMBER($AJ276)),NOT(ISNUMBER($AL276)),$AK276=0,$AM276=0),"",IF(OR((($AJ276+$AL276)/($AK276+$AM276))&lt;=0,(($AJ276+$AL276)/($AK276+$AM276))&gt;=1),"",($AJ276/$AK276-$AL276/$AM276)/SQRT((($AJ276+$AL276)/($AK276+$AM276))*(1-(($AJ276+$AL276)/($AK276+$AM276)))*(1/$AK276+1/$AM276))))</f>
        <v/>
      </c>
      <c r="AO276" s="27">
        <f>IF($A276="","",IF(AND(COUNTIFS($A$14:$A$1213,$A276,$F$14:$F$1213,"&gt;=0")=2,IFERROR(INDEX($M$14:$M$313,MATCH($A276,$H$14:$H$313,0)),"Yes")&lt;&gt;"Yes"),1,0))</f>
        <v/>
      </c>
    </row>
    <row r="277" ht="24" customHeight="1">
      <c r="A277" s="19" t="n"/>
      <c r="B277" s="20" t="n"/>
      <c r="C277" s="21">
        <f>IFERROR(AVERAGE(P277:T277),"")</f>
        <v/>
      </c>
      <c r="D277" s="29" t="n"/>
      <c r="E277" s="29" t="n"/>
      <c r="F277" s="30">
        <f>IF(AND(ISNUMBER($D277),ISNUMBER($E277),$E277&gt;0,$D277&lt;=$E277),$D277/$E277,"")</f>
        <v/>
      </c>
      <c r="H277" s="19">
        <f>IFERROR(INDEX($A$14:$A$1213,MATCH(264,$AI$14:$AI$1213,0)),"")</f>
        <v/>
      </c>
      <c r="I277" s="24">
        <f>IF($H277="","",IF(COUNTIFS($A$14:$A$1213,$H277,$C$14:$C$1213,"&gt;=0")=0,"—",IFERROR(INDEX($B$14:$B$1213,MATCH($H277&amp;"|1",$Z$14:$Z$1213,0)),"(tied)")))</f>
        <v/>
      </c>
      <c r="J277" s="25">
        <f>IF($H277="","",IF(OR(COUNTIFS($A$14:$A$1213,$H277,$C$14:$C$1213,"&gt;=0")=0,COUNTIFS($A$14:$A$1213,$H277,$F$14:$F$1213,"&gt;=0")=0),"—",IF(OR(ISERROR(MATCH($H277&amp;"|1",$Z$14:$Z$1213,0)),ISERROR(MATCH($H277&amp;"|1",$AA$14:$AA$1213,0))),"Tie",IF(MATCH($H277&amp;"|1",$Z$14:$Z$1213,0)=MATCH($H277&amp;"|1",$AA$14:$AA$1213,0),"Hit","Miss"))))</f>
        <v/>
      </c>
      <c r="K277" s="24">
        <f>IF($H277="","",IF(COUNTIFS($A$14:$A$1213,$H277,$F$14:$F$1213,"&gt;=0")=0,"—",IFERROR(INDEX($B$14:$B$1213,MATCH($H277&amp;"|1",$AA$14:$AA$1213,0)),"(tied)")))</f>
        <v/>
      </c>
      <c r="L277" s="25">
        <f>IF($H277="","",IF((--(COUNTIFS($A$14:$A$1213,$H277,$P$14:$P$1213,"&gt;=0")&gt;0)+--(COUNTIFS($A$14:$A$1213,$H277,$Q$14:$Q$1213,"&gt;=0")&gt;0)+--(COUNTIFS($A$14:$A$1213,$H277,$R$14:$R$1213,"&gt;=0")&gt;0)+--(COUNTIFS($A$14:$A$1213,$H277,$S$14:$S$1213,"&gt;=0")&gt;0)+--(COUNTIFS($A$14:$A$1213,$H277,$T$14:$T$1213,"&gt;=0")&gt;0))&lt;2,"—",IF(SUMIFS($AH$14:$AH$1213,$A$14:$A$1213,$H277)=0,"Yes","No")))</f>
        <v/>
      </c>
      <c r="M277" s="25">
        <f>IF($H277="","",IF(COUNTIFS($A$14:$A$1213,$H277,$F$14:$F$1213,"&gt;=0")&lt;2,"—",IF(COUNTIFS($A$14:$A$1213,$H277,$F$14:$F$1213,_xlfn.MAXIFS($F$14:$F$1213,$A$14:$A$1213,$H277))&gt;1,"No",IF(NOT(ISNUMBER($AN277)),"—",IF((2*(1-NORMSDIST(ABS($AN277))))&lt;0.05,"Yes","No")))))</f>
        <v/>
      </c>
      <c r="N277" s="21">
        <f>IF($H277="","",IF(NOT(ISNUMBER($AN277)),"—",IF((2*(1-NORMSDIST(ABS($AN277))))&lt;0.001,"&lt;0.001",TEXT((2*(1-NORMSDIST(ABS($AN277)))),"0.000"))))</f>
        <v/>
      </c>
      <c r="P277" s="26" t="n"/>
      <c r="Q277" s="26" t="n"/>
      <c r="R277" s="26" t="n"/>
      <c r="S277" s="26" t="n"/>
      <c r="T277" s="26" t="n"/>
      <c r="V277" s="27">
        <f>IF(ISNUMBER($C277),COUNTIFS($A$14:$A$1213,$A277,$C$14:$C$1213,"&gt;"&amp;$C277)+(COUNTIFS($A$14:$A$1213,$A277,$C$14:$C$1213,"="&amp;$C277)+1)/2,"")</f>
        <v/>
      </c>
      <c r="W277" s="27">
        <f>IF(ISNUMBER($F277),COUNTIFS($A$14:$A$1213,$A277,$F$14:$F$1213,"&gt;"&amp;$F277)+(COUNTIFS($A$14:$A$1213,$A277,$F$14:$F$1213,"="&amp;$F277)+1)/2,"")</f>
        <v/>
      </c>
      <c r="X277" s="27">
        <f>IF(OR(NOT(ISNUMBER($V277)),$AO277=1),"",$V277-(COUNTIFS($A$14:$A$1213,$A277,$C$14:$C$1213,"&gt;=0")+1)/2)</f>
        <v/>
      </c>
      <c r="Y277" s="27">
        <f>IF(OR(NOT(ISNUMBER($W277)),$AO277=1),"",$W277-(COUNTIFS($A$14:$A$1213,$A277,$F$14:$F$1213,"&gt;=0")+1)/2)</f>
        <v/>
      </c>
      <c r="Z277" s="27">
        <f>IF(ISNUMBER($V277),$A277&amp;"|"&amp;$V277,"")</f>
        <v/>
      </c>
      <c r="AA277" s="27">
        <f>IF(ISNUMBER($W277),$A277&amp;"|"&amp;$W277,"")</f>
        <v/>
      </c>
      <c r="AB277" s="27">
        <f>IF(ISNUMBER($F277),$A277&amp;"|"&amp;$F277,"")</f>
        <v/>
      </c>
      <c r="AC277" s="27">
        <f>IF(ISNUMBER($P277),COUNTIFS($A$14:$A$1213,$A277,$P$14:$P$1213,"&gt;"&amp;$P277)+(COUNTIFS($A$14:$A$1213,$A277,$P$14:$P$1213,"="&amp;$P277)+1)/2,"")</f>
        <v/>
      </c>
      <c r="AD277" s="27">
        <f>IF(ISNUMBER($Q277),COUNTIFS($A$14:$A$1213,$A277,$Q$14:$Q$1213,"&gt;"&amp;$Q277)+(COUNTIFS($A$14:$A$1213,$A277,$Q$14:$Q$1213,"="&amp;$Q277)+1)/2,"")</f>
        <v/>
      </c>
      <c r="AE277" s="27">
        <f>IF(ISNUMBER($R277),COUNTIFS($A$14:$A$1213,$A277,$R$14:$R$1213,"&gt;"&amp;$R277)+(COUNTIFS($A$14:$A$1213,$A277,$R$14:$R$1213,"="&amp;$R277)+1)/2,"")</f>
        <v/>
      </c>
      <c r="AF277" s="27">
        <f>IF(ISNUMBER($S277),COUNTIFS($A$14:$A$1213,$A277,$S$14:$S$1213,"&gt;"&amp;$S277)+(COUNTIFS($A$14:$A$1213,$A277,$S$14:$S$1213,"="&amp;$S277)+1)/2,"")</f>
        <v/>
      </c>
      <c r="AG277" s="27">
        <f>IF(ISNUMBER($T277),COUNTIFS($A$14:$A$1213,$A277,$T$14:$T$1213,"&gt;"&amp;$T277)+(COUNTIFS($A$14:$A$1213,$A277,$T$14:$T$1213,"="&amp;$T277)+1)/2,"")</f>
        <v/>
      </c>
      <c r="AH277" s="27">
        <f>IF(COUNT($AC277:$AG277)&lt;2,"",IF(MAX($AC277:$AG277)=MIN($AC277:$AG277),0,1))</f>
        <v/>
      </c>
      <c r="AI277" s="27">
        <f>IF($A277="","",IF(COUNTIF($A$14:$A277,$A277)=1,COUNTIF($AI$13:AI276,"&gt;0")+1,""))</f>
        <v/>
      </c>
      <c r="AJ277" s="27">
        <f>IF(OR($H277="",COUNTIFS($A$14:$A$1213,$H277,$F$14:$F$1213,"&gt;=0")&lt;2,COUNTIFS($A$14:$A$1213,$H277,$F$14:$F$1213,_xlfn.MAXIFS($F$14:$F$1213,$A$14:$A$1213,$H277))&gt;1),"",IFERROR(INDEX($D$14:$D$1213,MATCH($H277&amp;"|"&amp;_xlfn.MAXIFS($F$14:$F$1213,$A$14:$A$1213,$H277),$AB$14:$AB$1213,0)),""))</f>
        <v/>
      </c>
      <c r="AK277" s="27">
        <f>IF(OR($H277="",COUNTIFS($A$14:$A$1213,$H277,$F$14:$F$1213,"&gt;=0")&lt;2,COUNTIFS($A$14:$A$1213,$H277,$F$14:$F$1213,_xlfn.MAXIFS($F$14:$F$1213,$A$14:$A$1213,$H277))&gt;1),"",IFERROR(INDEX($E$14:$E$1213,MATCH($H277&amp;"|"&amp;_xlfn.MAXIFS($F$14:$F$1213,$A$14:$A$1213,$H277),$AB$14:$AB$1213,0)),""))</f>
        <v/>
      </c>
      <c r="AL277" s="27">
        <f>IF(OR($H277="",COUNTIFS($A$14:$A$1213,$H277,$F$14:$F$1213,"&gt;=0")&lt;2,COUNTIFS($A$14:$A$1213,$H277,$F$14:$F$1213,_xlfn.MAXIFS($F$14:$F$1213,$A$14:$A$1213,$H277))&gt;1),"",IFERROR(INDEX($D$14:$D$1213,MATCH($H277&amp;"|"&amp;_xlfn.MAXIFS($F$14:$F$1213,$A$14:$A$1213,$H277,$F$14:$F$1213,"&lt;"&amp;_xlfn.MAXIFS($F$14:$F$1213,$A$14:$A$1213,$H277)),$AB$14:$AB$1213,0)),""))</f>
        <v/>
      </c>
      <c r="AM277" s="27">
        <f>IF(OR($H277="",COUNTIFS($A$14:$A$1213,$H277,$F$14:$F$1213,"&gt;=0")&lt;2,COUNTIFS($A$14:$A$1213,$H277,$F$14:$F$1213,_xlfn.MAXIFS($F$14:$F$1213,$A$14:$A$1213,$H277))&gt;1),"",IFERROR(INDEX($E$14:$E$1213,MATCH($H277&amp;"|"&amp;_xlfn.MAXIFS($F$14:$F$1213,$A$14:$A$1213,$H277,$F$14:$F$1213,"&lt;"&amp;_xlfn.MAXIFS($F$14:$F$1213,$A$14:$A$1213,$H277)),$AB$14:$AB$1213,0)),""))</f>
        <v/>
      </c>
      <c r="AN277" s="27">
        <f>IF(OR(NOT(ISNUMBER($AJ277)),NOT(ISNUMBER($AL277)),$AK277=0,$AM277=0),"",IF(OR((($AJ277+$AL277)/($AK277+$AM277))&lt;=0,(($AJ277+$AL277)/($AK277+$AM277))&gt;=1),"",($AJ277/$AK277-$AL277/$AM277)/SQRT((($AJ277+$AL277)/($AK277+$AM277))*(1-(($AJ277+$AL277)/($AK277+$AM277)))*(1/$AK277+1/$AM277))))</f>
        <v/>
      </c>
      <c r="AO277" s="27">
        <f>IF($A277="","",IF(AND(COUNTIFS($A$14:$A$1213,$A277,$F$14:$F$1213,"&gt;=0")=2,IFERROR(INDEX($M$14:$M$313,MATCH($A277,$H$14:$H$313,0)),"Yes")&lt;&gt;"Yes"),1,0))</f>
        <v/>
      </c>
    </row>
    <row r="278" ht="24" customHeight="1">
      <c r="A278" s="19" t="n"/>
      <c r="B278" s="20" t="n"/>
      <c r="C278" s="21">
        <f>IFERROR(AVERAGE(P278:T278),"")</f>
        <v/>
      </c>
      <c r="D278" s="29" t="n"/>
      <c r="E278" s="29" t="n"/>
      <c r="F278" s="30">
        <f>IF(AND(ISNUMBER($D278),ISNUMBER($E278),$E278&gt;0,$D278&lt;=$E278),$D278/$E278,"")</f>
        <v/>
      </c>
      <c r="H278" s="19">
        <f>IFERROR(INDEX($A$14:$A$1213,MATCH(265,$AI$14:$AI$1213,0)),"")</f>
        <v/>
      </c>
      <c r="I278" s="24">
        <f>IF($H278="","",IF(COUNTIFS($A$14:$A$1213,$H278,$C$14:$C$1213,"&gt;=0")=0,"—",IFERROR(INDEX($B$14:$B$1213,MATCH($H278&amp;"|1",$Z$14:$Z$1213,0)),"(tied)")))</f>
        <v/>
      </c>
      <c r="J278" s="25">
        <f>IF($H278="","",IF(OR(COUNTIFS($A$14:$A$1213,$H278,$C$14:$C$1213,"&gt;=0")=0,COUNTIFS($A$14:$A$1213,$H278,$F$14:$F$1213,"&gt;=0")=0),"—",IF(OR(ISERROR(MATCH($H278&amp;"|1",$Z$14:$Z$1213,0)),ISERROR(MATCH($H278&amp;"|1",$AA$14:$AA$1213,0))),"Tie",IF(MATCH($H278&amp;"|1",$Z$14:$Z$1213,0)=MATCH($H278&amp;"|1",$AA$14:$AA$1213,0),"Hit","Miss"))))</f>
        <v/>
      </c>
      <c r="K278" s="24">
        <f>IF($H278="","",IF(COUNTIFS($A$14:$A$1213,$H278,$F$14:$F$1213,"&gt;=0")=0,"—",IFERROR(INDEX($B$14:$B$1213,MATCH($H278&amp;"|1",$AA$14:$AA$1213,0)),"(tied)")))</f>
        <v/>
      </c>
      <c r="L278" s="25">
        <f>IF($H278="","",IF((--(COUNTIFS($A$14:$A$1213,$H278,$P$14:$P$1213,"&gt;=0")&gt;0)+--(COUNTIFS($A$14:$A$1213,$H278,$Q$14:$Q$1213,"&gt;=0")&gt;0)+--(COUNTIFS($A$14:$A$1213,$H278,$R$14:$R$1213,"&gt;=0")&gt;0)+--(COUNTIFS($A$14:$A$1213,$H278,$S$14:$S$1213,"&gt;=0")&gt;0)+--(COUNTIFS($A$14:$A$1213,$H278,$T$14:$T$1213,"&gt;=0")&gt;0))&lt;2,"—",IF(SUMIFS($AH$14:$AH$1213,$A$14:$A$1213,$H278)=0,"Yes","No")))</f>
        <v/>
      </c>
      <c r="M278" s="25">
        <f>IF($H278="","",IF(COUNTIFS($A$14:$A$1213,$H278,$F$14:$F$1213,"&gt;=0")&lt;2,"—",IF(COUNTIFS($A$14:$A$1213,$H278,$F$14:$F$1213,_xlfn.MAXIFS($F$14:$F$1213,$A$14:$A$1213,$H278))&gt;1,"No",IF(NOT(ISNUMBER($AN278)),"—",IF((2*(1-NORMSDIST(ABS($AN278))))&lt;0.05,"Yes","No")))))</f>
        <v/>
      </c>
      <c r="N278" s="21">
        <f>IF($H278="","",IF(NOT(ISNUMBER($AN278)),"—",IF((2*(1-NORMSDIST(ABS($AN278))))&lt;0.001,"&lt;0.001",TEXT((2*(1-NORMSDIST(ABS($AN278)))),"0.000"))))</f>
        <v/>
      </c>
      <c r="P278" s="26" t="n"/>
      <c r="Q278" s="26" t="n"/>
      <c r="R278" s="26" t="n"/>
      <c r="S278" s="26" t="n"/>
      <c r="T278" s="26" t="n"/>
      <c r="V278" s="27">
        <f>IF(ISNUMBER($C278),COUNTIFS($A$14:$A$1213,$A278,$C$14:$C$1213,"&gt;"&amp;$C278)+(COUNTIFS($A$14:$A$1213,$A278,$C$14:$C$1213,"="&amp;$C278)+1)/2,"")</f>
        <v/>
      </c>
      <c r="W278" s="27">
        <f>IF(ISNUMBER($F278),COUNTIFS($A$14:$A$1213,$A278,$F$14:$F$1213,"&gt;"&amp;$F278)+(COUNTIFS($A$14:$A$1213,$A278,$F$14:$F$1213,"="&amp;$F278)+1)/2,"")</f>
        <v/>
      </c>
      <c r="X278" s="27">
        <f>IF(OR(NOT(ISNUMBER($V278)),$AO278=1),"",$V278-(COUNTIFS($A$14:$A$1213,$A278,$C$14:$C$1213,"&gt;=0")+1)/2)</f>
        <v/>
      </c>
      <c r="Y278" s="27">
        <f>IF(OR(NOT(ISNUMBER($W278)),$AO278=1),"",$W278-(COUNTIFS($A$14:$A$1213,$A278,$F$14:$F$1213,"&gt;=0")+1)/2)</f>
        <v/>
      </c>
      <c r="Z278" s="27">
        <f>IF(ISNUMBER($V278),$A278&amp;"|"&amp;$V278,"")</f>
        <v/>
      </c>
      <c r="AA278" s="27">
        <f>IF(ISNUMBER($W278),$A278&amp;"|"&amp;$W278,"")</f>
        <v/>
      </c>
      <c r="AB278" s="27">
        <f>IF(ISNUMBER($F278),$A278&amp;"|"&amp;$F278,"")</f>
        <v/>
      </c>
      <c r="AC278" s="27">
        <f>IF(ISNUMBER($P278),COUNTIFS($A$14:$A$1213,$A278,$P$14:$P$1213,"&gt;"&amp;$P278)+(COUNTIFS($A$14:$A$1213,$A278,$P$14:$P$1213,"="&amp;$P278)+1)/2,"")</f>
        <v/>
      </c>
      <c r="AD278" s="27">
        <f>IF(ISNUMBER($Q278),COUNTIFS($A$14:$A$1213,$A278,$Q$14:$Q$1213,"&gt;"&amp;$Q278)+(COUNTIFS($A$14:$A$1213,$A278,$Q$14:$Q$1213,"="&amp;$Q278)+1)/2,"")</f>
        <v/>
      </c>
      <c r="AE278" s="27">
        <f>IF(ISNUMBER($R278),COUNTIFS($A$14:$A$1213,$A278,$R$14:$R$1213,"&gt;"&amp;$R278)+(COUNTIFS($A$14:$A$1213,$A278,$R$14:$R$1213,"="&amp;$R278)+1)/2,"")</f>
        <v/>
      </c>
      <c r="AF278" s="27">
        <f>IF(ISNUMBER($S278),COUNTIFS($A$14:$A$1213,$A278,$S$14:$S$1213,"&gt;"&amp;$S278)+(COUNTIFS($A$14:$A$1213,$A278,$S$14:$S$1213,"="&amp;$S278)+1)/2,"")</f>
        <v/>
      </c>
      <c r="AG278" s="27">
        <f>IF(ISNUMBER($T278),COUNTIFS($A$14:$A$1213,$A278,$T$14:$T$1213,"&gt;"&amp;$T278)+(COUNTIFS($A$14:$A$1213,$A278,$T$14:$T$1213,"="&amp;$T278)+1)/2,"")</f>
        <v/>
      </c>
      <c r="AH278" s="27">
        <f>IF(COUNT($AC278:$AG278)&lt;2,"",IF(MAX($AC278:$AG278)=MIN($AC278:$AG278),0,1))</f>
        <v/>
      </c>
      <c r="AI278" s="27">
        <f>IF($A278="","",IF(COUNTIF($A$14:$A278,$A278)=1,COUNTIF($AI$13:AI277,"&gt;0")+1,""))</f>
        <v/>
      </c>
      <c r="AJ278" s="27">
        <f>IF(OR($H278="",COUNTIFS($A$14:$A$1213,$H278,$F$14:$F$1213,"&gt;=0")&lt;2,COUNTIFS($A$14:$A$1213,$H278,$F$14:$F$1213,_xlfn.MAXIFS($F$14:$F$1213,$A$14:$A$1213,$H278))&gt;1),"",IFERROR(INDEX($D$14:$D$1213,MATCH($H278&amp;"|"&amp;_xlfn.MAXIFS($F$14:$F$1213,$A$14:$A$1213,$H278),$AB$14:$AB$1213,0)),""))</f>
        <v/>
      </c>
      <c r="AK278" s="27">
        <f>IF(OR($H278="",COUNTIFS($A$14:$A$1213,$H278,$F$14:$F$1213,"&gt;=0")&lt;2,COUNTIFS($A$14:$A$1213,$H278,$F$14:$F$1213,_xlfn.MAXIFS($F$14:$F$1213,$A$14:$A$1213,$H278))&gt;1),"",IFERROR(INDEX($E$14:$E$1213,MATCH($H278&amp;"|"&amp;_xlfn.MAXIFS($F$14:$F$1213,$A$14:$A$1213,$H278),$AB$14:$AB$1213,0)),""))</f>
        <v/>
      </c>
      <c r="AL278" s="27">
        <f>IF(OR($H278="",COUNTIFS($A$14:$A$1213,$H278,$F$14:$F$1213,"&gt;=0")&lt;2,COUNTIFS($A$14:$A$1213,$H278,$F$14:$F$1213,_xlfn.MAXIFS($F$14:$F$1213,$A$14:$A$1213,$H278))&gt;1),"",IFERROR(INDEX($D$14:$D$1213,MATCH($H278&amp;"|"&amp;_xlfn.MAXIFS($F$14:$F$1213,$A$14:$A$1213,$H278,$F$14:$F$1213,"&lt;"&amp;_xlfn.MAXIFS($F$14:$F$1213,$A$14:$A$1213,$H278)),$AB$14:$AB$1213,0)),""))</f>
        <v/>
      </c>
      <c r="AM278" s="27">
        <f>IF(OR($H278="",COUNTIFS($A$14:$A$1213,$H278,$F$14:$F$1213,"&gt;=0")&lt;2,COUNTIFS($A$14:$A$1213,$H278,$F$14:$F$1213,_xlfn.MAXIFS($F$14:$F$1213,$A$14:$A$1213,$H278))&gt;1),"",IFERROR(INDEX($E$14:$E$1213,MATCH($H278&amp;"|"&amp;_xlfn.MAXIFS($F$14:$F$1213,$A$14:$A$1213,$H278,$F$14:$F$1213,"&lt;"&amp;_xlfn.MAXIFS($F$14:$F$1213,$A$14:$A$1213,$H278)),$AB$14:$AB$1213,0)),""))</f>
        <v/>
      </c>
      <c r="AN278" s="27">
        <f>IF(OR(NOT(ISNUMBER($AJ278)),NOT(ISNUMBER($AL278)),$AK278=0,$AM278=0),"",IF(OR((($AJ278+$AL278)/($AK278+$AM278))&lt;=0,(($AJ278+$AL278)/($AK278+$AM278))&gt;=1),"",($AJ278/$AK278-$AL278/$AM278)/SQRT((($AJ278+$AL278)/($AK278+$AM278))*(1-(($AJ278+$AL278)/($AK278+$AM278)))*(1/$AK278+1/$AM278))))</f>
        <v/>
      </c>
      <c r="AO278" s="27">
        <f>IF($A278="","",IF(AND(COUNTIFS($A$14:$A$1213,$A278,$F$14:$F$1213,"&gt;=0")=2,IFERROR(INDEX($M$14:$M$313,MATCH($A278,$H$14:$H$313,0)),"Yes")&lt;&gt;"Yes"),1,0))</f>
        <v/>
      </c>
    </row>
    <row r="279" ht="24" customHeight="1">
      <c r="A279" s="19" t="n"/>
      <c r="B279" s="20" t="n"/>
      <c r="C279" s="21">
        <f>IFERROR(AVERAGE(P279:T279),"")</f>
        <v/>
      </c>
      <c r="D279" s="29" t="n"/>
      <c r="E279" s="29" t="n"/>
      <c r="F279" s="30">
        <f>IF(AND(ISNUMBER($D279),ISNUMBER($E279),$E279&gt;0,$D279&lt;=$E279),$D279/$E279,"")</f>
        <v/>
      </c>
      <c r="H279" s="19">
        <f>IFERROR(INDEX($A$14:$A$1213,MATCH(266,$AI$14:$AI$1213,0)),"")</f>
        <v/>
      </c>
      <c r="I279" s="24">
        <f>IF($H279="","",IF(COUNTIFS($A$14:$A$1213,$H279,$C$14:$C$1213,"&gt;=0")=0,"—",IFERROR(INDEX($B$14:$B$1213,MATCH($H279&amp;"|1",$Z$14:$Z$1213,0)),"(tied)")))</f>
        <v/>
      </c>
      <c r="J279" s="25">
        <f>IF($H279="","",IF(OR(COUNTIFS($A$14:$A$1213,$H279,$C$14:$C$1213,"&gt;=0")=0,COUNTIFS($A$14:$A$1213,$H279,$F$14:$F$1213,"&gt;=0")=0),"—",IF(OR(ISERROR(MATCH($H279&amp;"|1",$Z$14:$Z$1213,0)),ISERROR(MATCH($H279&amp;"|1",$AA$14:$AA$1213,0))),"Tie",IF(MATCH($H279&amp;"|1",$Z$14:$Z$1213,0)=MATCH($H279&amp;"|1",$AA$14:$AA$1213,0),"Hit","Miss"))))</f>
        <v/>
      </c>
      <c r="K279" s="24">
        <f>IF($H279="","",IF(COUNTIFS($A$14:$A$1213,$H279,$F$14:$F$1213,"&gt;=0")=0,"—",IFERROR(INDEX($B$14:$B$1213,MATCH($H279&amp;"|1",$AA$14:$AA$1213,0)),"(tied)")))</f>
        <v/>
      </c>
      <c r="L279" s="25">
        <f>IF($H279="","",IF((--(COUNTIFS($A$14:$A$1213,$H279,$P$14:$P$1213,"&gt;=0")&gt;0)+--(COUNTIFS($A$14:$A$1213,$H279,$Q$14:$Q$1213,"&gt;=0")&gt;0)+--(COUNTIFS($A$14:$A$1213,$H279,$R$14:$R$1213,"&gt;=0")&gt;0)+--(COUNTIFS($A$14:$A$1213,$H279,$S$14:$S$1213,"&gt;=0")&gt;0)+--(COUNTIFS($A$14:$A$1213,$H279,$T$14:$T$1213,"&gt;=0")&gt;0))&lt;2,"—",IF(SUMIFS($AH$14:$AH$1213,$A$14:$A$1213,$H279)=0,"Yes","No")))</f>
        <v/>
      </c>
      <c r="M279" s="25">
        <f>IF($H279="","",IF(COUNTIFS($A$14:$A$1213,$H279,$F$14:$F$1213,"&gt;=0")&lt;2,"—",IF(COUNTIFS($A$14:$A$1213,$H279,$F$14:$F$1213,_xlfn.MAXIFS($F$14:$F$1213,$A$14:$A$1213,$H279))&gt;1,"No",IF(NOT(ISNUMBER($AN279)),"—",IF((2*(1-NORMSDIST(ABS($AN279))))&lt;0.05,"Yes","No")))))</f>
        <v/>
      </c>
      <c r="N279" s="21">
        <f>IF($H279="","",IF(NOT(ISNUMBER($AN279)),"—",IF((2*(1-NORMSDIST(ABS($AN279))))&lt;0.001,"&lt;0.001",TEXT((2*(1-NORMSDIST(ABS($AN279)))),"0.000"))))</f>
        <v/>
      </c>
      <c r="P279" s="26" t="n"/>
      <c r="Q279" s="26" t="n"/>
      <c r="R279" s="26" t="n"/>
      <c r="S279" s="26" t="n"/>
      <c r="T279" s="26" t="n"/>
      <c r="V279" s="27">
        <f>IF(ISNUMBER($C279),COUNTIFS($A$14:$A$1213,$A279,$C$14:$C$1213,"&gt;"&amp;$C279)+(COUNTIFS($A$14:$A$1213,$A279,$C$14:$C$1213,"="&amp;$C279)+1)/2,"")</f>
        <v/>
      </c>
      <c r="W279" s="27">
        <f>IF(ISNUMBER($F279),COUNTIFS($A$14:$A$1213,$A279,$F$14:$F$1213,"&gt;"&amp;$F279)+(COUNTIFS($A$14:$A$1213,$A279,$F$14:$F$1213,"="&amp;$F279)+1)/2,"")</f>
        <v/>
      </c>
      <c r="X279" s="27">
        <f>IF(OR(NOT(ISNUMBER($V279)),$AO279=1),"",$V279-(COUNTIFS($A$14:$A$1213,$A279,$C$14:$C$1213,"&gt;=0")+1)/2)</f>
        <v/>
      </c>
      <c r="Y279" s="27">
        <f>IF(OR(NOT(ISNUMBER($W279)),$AO279=1),"",$W279-(COUNTIFS($A$14:$A$1213,$A279,$F$14:$F$1213,"&gt;=0")+1)/2)</f>
        <v/>
      </c>
      <c r="Z279" s="27">
        <f>IF(ISNUMBER($V279),$A279&amp;"|"&amp;$V279,"")</f>
        <v/>
      </c>
      <c r="AA279" s="27">
        <f>IF(ISNUMBER($W279),$A279&amp;"|"&amp;$W279,"")</f>
        <v/>
      </c>
      <c r="AB279" s="27">
        <f>IF(ISNUMBER($F279),$A279&amp;"|"&amp;$F279,"")</f>
        <v/>
      </c>
      <c r="AC279" s="27">
        <f>IF(ISNUMBER($P279),COUNTIFS($A$14:$A$1213,$A279,$P$14:$P$1213,"&gt;"&amp;$P279)+(COUNTIFS($A$14:$A$1213,$A279,$P$14:$P$1213,"="&amp;$P279)+1)/2,"")</f>
        <v/>
      </c>
      <c r="AD279" s="27">
        <f>IF(ISNUMBER($Q279),COUNTIFS($A$14:$A$1213,$A279,$Q$14:$Q$1213,"&gt;"&amp;$Q279)+(COUNTIFS($A$14:$A$1213,$A279,$Q$14:$Q$1213,"="&amp;$Q279)+1)/2,"")</f>
        <v/>
      </c>
      <c r="AE279" s="27">
        <f>IF(ISNUMBER($R279),COUNTIFS($A$14:$A$1213,$A279,$R$14:$R$1213,"&gt;"&amp;$R279)+(COUNTIFS($A$14:$A$1213,$A279,$R$14:$R$1213,"="&amp;$R279)+1)/2,"")</f>
        <v/>
      </c>
      <c r="AF279" s="27">
        <f>IF(ISNUMBER($S279),COUNTIFS($A$14:$A$1213,$A279,$S$14:$S$1213,"&gt;"&amp;$S279)+(COUNTIFS($A$14:$A$1213,$A279,$S$14:$S$1213,"="&amp;$S279)+1)/2,"")</f>
        <v/>
      </c>
      <c r="AG279" s="27">
        <f>IF(ISNUMBER($T279),COUNTIFS($A$14:$A$1213,$A279,$T$14:$T$1213,"&gt;"&amp;$T279)+(COUNTIFS($A$14:$A$1213,$A279,$T$14:$T$1213,"="&amp;$T279)+1)/2,"")</f>
        <v/>
      </c>
      <c r="AH279" s="27">
        <f>IF(COUNT($AC279:$AG279)&lt;2,"",IF(MAX($AC279:$AG279)=MIN($AC279:$AG279),0,1))</f>
        <v/>
      </c>
      <c r="AI279" s="27">
        <f>IF($A279="","",IF(COUNTIF($A$14:$A279,$A279)=1,COUNTIF($AI$13:AI278,"&gt;0")+1,""))</f>
        <v/>
      </c>
      <c r="AJ279" s="27">
        <f>IF(OR($H279="",COUNTIFS($A$14:$A$1213,$H279,$F$14:$F$1213,"&gt;=0")&lt;2,COUNTIFS($A$14:$A$1213,$H279,$F$14:$F$1213,_xlfn.MAXIFS($F$14:$F$1213,$A$14:$A$1213,$H279))&gt;1),"",IFERROR(INDEX($D$14:$D$1213,MATCH($H279&amp;"|"&amp;_xlfn.MAXIFS($F$14:$F$1213,$A$14:$A$1213,$H279),$AB$14:$AB$1213,0)),""))</f>
        <v/>
      </c>
      <c r="AK279" s="27">
        <f>IF(OR($H279="",COUNTIFS($A$14:$A$1213,$H279,$F$14:$F$1213,"&gt;=0")&lt;2,COUNTIFS($A$14:$A$1213,$H279,$F$14:$F$1213,_xlfn.MAXIFS($F$14:$F$1213,$A$14:$A$1213,$H279))&gt;1),"",IFERROR(INDEX($E$14:$E$1213,MATCH($H279&amp;"|"&amp;_xlfn.MAXIFS($F$14:$F$1213,$A$14:$A$1213,$H279),$AB$14:$AB$1213,0)),""))</f>
        <v/>
      </c>
      <c r="AL279" s="27">
        <f>IF(OR($H279="",COUNTIFS($A$14:$A$1213,$H279,$F$14:$F$1213,"&gt;=0")&lt;2,COUNTIFS($A$14:$A$1213,$H279,$F$14:$F$1213,_xlfn.MAXIFS($F$14:$F$1213,$A$14:$A$1213,$H279))&gt;1),"",IFERROR(INDEX($D$14:$D$1213,MATCH($H279&amp;"|"&amp;_xlfn.MAXIFS($F$14:$F$1213,$A$14:$A$1213,$H279,$F$14:$F$1213,"&lt;"&amp;_xlfn.MAXIFS($F$14:$F$1213,$A$14:$A$1213,$H279)),$AB$14:$AB$1213,0)),""))</f>
        <v/>
      </c>
      <c r="AM279" s="27">
        <f>IF(OR($H279="",COUNTIFS($A$14:$A$1213,$H279,$F$14:$F$1213,"&gt;=0")&lt;2,COUNTIFS($A$14:$A$1213,$H279,$F$14:$F$1213,_xlfn.MAXIFS($F$14:$F$1213,$A$14:$A$1213,$H279))&gt;1),"",IFERROR(INDEX($E$14:$E$1213,MATCH($H279&amp;"|"&amp;_xlfn.MAXIFS($F$14:$F$1213,$A$14:$A$1213,$H279,$F$14:$F$1213,"&lt;"&amp;_xlfn.MAXIFS($F$14:$F$1213,$A$14:$A$1213,$H279)),$AB$14:$AB$1213,0)),""))</f>
        <v/>
      </c>
      <c r="AN279" s="27">
        <f>IF(OR(NOT(ISNUMBER($AJ279)),NOT(ISNUMBER($AL279)),$AK279=0,$AM279=0),"",IF(OR((($AJ279+$AL279)/($AK279+$AM279))&lt;=0,(($AJ279+$AL279)/($AK279+$AM279))&gt;=1),"",($AJ279/$AK279-$AL279/$AM279)/SQRT((($AJ279+$AL279)/($AK279+$AM279))*(1-(($AJ279+$AL279)/($AK279+$AM279)))*(1/$AK279+1/$AM279))))</f>
        <v/>
      </c>
      <c r="AO279" s="27">
        <f>IF($A279="","",IF(AND(COUNTIFS($A$14:$A$1213,$A279,$F$14:$F$1213,"&gt;=0")=2,IFERROR(INDEX($M$14:$M$313,MATCH($A279,$H$14:$H$313,0)),"Yes")&lt;&gt;"Yes"),1,0))</f>
        <v/>
      </c>
    </row>
    <row r="280" ht="24" customHeight="1">
      <c r="A280" s="19" t="n"/>
      <c r="B280" s="20" t="n"/>
      <c r="C280" s="21">
        <f>IFERROR(AVERAGE(P280:T280),"")</f>
        <v/>
      </c>
      <c r="D280" s="29" t="n"/>
      <c r="E280" s="29" t="n"/>
      <c r="F280" s="30">
        <f>IF(AND(ISNUMBER($D280),ISNUMBER($E280),$E280&gt;0,$D280&lt;=$E280),$D280/$E280,"")</f>
        <v/>
      </c>
      <c r="H280" s="19">
        <f>IFERROR(INDEX($A$14:$A$1213,MATCH(267,$AI$14:$AI$1213,0)),"")</f>
        <v/>
      </c>
      <c r="I280" s="24">
        <f>IF($H280="","",IF(COUNTIFS($A$14:$A$1213,$H280,$C$14:$C$1213,"&gt;=0")=0,"—",IFERROR(INDEX($B$14:$B$1213,MATCH($H280&amp;"|1",$Z$14:$Z$1213,0)),"(tied)")))</f>
        <v/>
      </c>
      <c r="J280" s="25">
        <f>IF($H280="","",IF(OR(COUNTIFS($A$14:$A$1213,$H280,$C$14:$C$1213,"&gt;=0")=0,COUNTIFS($A$14:$A$1213,$H280,$F$14:$F$1213,"&gt;=0")=0),"—",IF(OR(ISERROR(MATCH($H280&amp;"|1",$Z$14:$Z$1213,0)),ISERROR(MATCH($H280&amp;"|1",$AA$14:$AA$1213,0))),"Tie",IF(MATCH($H280&amp;"|1",$Z$14:$Z$1213,0)=MATCH($H280&amp;"|1",$AA$14:$AA$1213,0),"Hit","Miss"))))</f>
        <v/>
      </c>
      <c r="K280" s="24">
        <f>IF($H280="","",IF(COUNTIFS($A$14:$A$1213,$H280,$F$14:$F$1213,"&gt;=0")=0,"—",IFERROR(INDEX($B$14:$B$1213,MATCH($H280&amp;"|1",$AA$14:$AA$1213,0)),"(tied)")))</f>
        <v/>
      </c>
      <c r="L280" s="25">
        <f>IF($H280="","",IF((--(COUNTIFS($A$14:$A$1213,$H280,$P$14:$P$1213,"&gt;=0")&gt;0)+--(COUNTIFS($A$14:$A$1213,$H280,$Q$14:$Q$1213,"&gt;=0")&gt;0)+--(COUNTIFS($A$14:$A$1213,$H280,$R$14:$R$1213,"&gt;=0")&gt;0)+--(COUNTIFS($A$14:$A$1213,$H280,$S$14:$S$1213,"&gt;=0")&gt;0)+--(COUNTIFS($A$14:$A$1213,$H280,$T$14:$T$1213,"&gt;=0")&gt;0))&lt;2,"—",IF(SUMIFS($AH$14:$AH$1213,$A$14:$A$1213,$H280)=0,"Yes","No")))</f>
        <v/>
      </c>
      <c r="M280" s="25">
        <f>IF($H280="","",IF(COUNTIFS($A$14:$A$1213,$H280,$F$14:$F$1213,"&gt;=0")&lt;2,"—",IF(COUNTIFS($A$14:$A$1213,$H280,$F$14:$F$1213,_xlfn.MAXIFS($F$14:$F$1213,$A$14:$A$1213,$H280))&gt;1,"No",IF(NOT(ISNUMBER($AN280)),"—",IF((2*(1-NORMSDIST(ABS($AN280))))&lt;0.05,"Yes","No")))))</f>
        <v/>
      </c>
      <c r="N280" s="21">
        <f>IF($H280="","",IF(NOT(ISNUMBER($AN280)),"—",IF((2*(1-NORMSDIST(ABS($AN280))))&lt;0.001,"&lt;0.001",TEXT((2*(1-NORMSDIST(ABS($AN280)))),"0.000"))))</f>
        <v/>
      </c>
      <c r="P280" s="26" t="n"/>
      <c r="Q280" s="26" t="n"/>
      <c r="R280" s="26" t="n"/>
      <c r="S280" s="26" t="n"/>
      <c r="T280" s="26" t="n"/>
      <c r="V280" s="27">
        <f>IF(ISNUMBER($C280),COUNTIFS($A$14:$A$1213,$A280,$C$14:$C$1213,"&gt;"&amp;$C280)+(COUNTIFS($A$14:$A$1213,$A280,$C$14:$C$1213,"="&amp;$C280)+1)/2,"")</f>
        <v/>
      </c>
      <c r="W280" s="27">
        <f>IF(ISNUMBER($F280),COUNTIFS($A$14:$A$1213,$A280,$F$14:$F$1213,"&gt;"&amp;$F280)+(COUNTIFS($A$14:$A$1213,$A280,$F$14:$F$1213,"="&amp;$F280)+1)/2,"")</f>
        <v/>
      </c>
      <c r="X280" s="27">
        <f>IF(OR(NOT(ISNUMBER($V280)),$AO280=1),"",$V280-(COUNTIFS($A$14:$A$1213,$A280,$C$14:$C$1213,"&gt;=0")+1)/2)</f>
        <v/>
      </c>
      <c r="Y280" s="27">
        <f>IF(OR(NOT(ISNUMBER($W280)),$AO280=1),"",$W280-(COUNTIFS($A$14:$A$1213,$A280,$F$14:$F$1213,"&gt;=0")+1)/2)</f>
        <v/>
      </c>
      <c r="Z280" s="27">
        <f>IF(ISNUMBER($V280),$A280&amp;"|"&amp;$V280,"")</f>
        <v/>
      </c>
      <c r="AA280" s="27">
        <f>IF(ISNUMBER($W280),$A280&amp;"|"&amp;$W280,"")</f>
        <v/>
      </c>
      <c r="AB280" s="27">
        <f>IF(ISNUMBER($F280),$A280&amp;"|"&amp;$F280,"")</f>
        <v/>
      </c>
      <c r="AC280" s="27">
        <f>IF(ISNUMBER($P280),COUNTIFS($A$14:$A$1213,$A280,$P$14:$P$1213,"&gt;"&amp;$P280)+(COUNTIFS($A$14:$A$1213,$A280,$P$14:$P$1213,"="&amp;$P280)+1)/2,"")</f>
        <v/>
      </c>
      <c r="AD280" s="27">
        <f>IF(ISNUMBER($Q280),COUNTIFS($A$14:$A$1213,$A280,$Q$14:$Q$1213,"&gt;"&amp;$Q280)+(COUNTIFS($A$14:$A$1213,$A280,$Q$14:$Q$1213,"="&amp;$Q280)+1)/2,"")</f>
        <v/>
      </c>
      <c r="AE280" s="27">
        <f>IF(ISNUMBER($R280),COUNTIFS($A$14:$A$1213,$A280,$R$14:$R$1213,"&gt;"&amp;$R280)+(COUNTIFS($A$14:$A$1213,$A280,$R$14:$R$1213,"="&amp;$R280)+1)/2,"")</f>
        <v/>
      </c>
      <c r="AF280" s="27">
        <f>IF(ISNUMBER($S280),COUNTIFS($A$14:$A$1213,$A280,$S$14:$S$1213,"&gt;"&amp;$S280)+(COUNTIFS($A$14:$A$1213,$A280,$S$14:$S$1213,"="&amp;$S280)+1)/2,"")</f>
        <v/>
      </c>
      <c r="AG280" s="27">
        <f>IF(ISNUMBER($T280),COUNTIFS($A$14:$A$1213,$A280,$T$14:$T$1213,"&gt;"&amp;$T280)+(COUNTIFS($A$14:$A$1213,$A280,$T$14:$T$1213,"="&amp;$T280)+1)/2,"")</f>
        <v/>
      </c>
      <c r="AH280" s="27">
        <f>IF(COUNT($AC280:$AG280)&lt;2,"",IF(MAX($AC280:$AG280)=MIN($AC280:$AG280),0,1))</f>
        <v/>
      </c>
      <c r="AI280" s="27">
        <f>IF($A280="","",IF(COUNTIF($A$14:$A280,$A280)=1,COUNTIF($AI$13:AI279,"&gt;0")+1,""))</f>
        <v/>
      </c>
      <c r="AJ280" s="27">
        <f>IF(OR($H280="",COUNTIFS($A$14:$A$1213,$H280,$F$14:$F$1213,"&gt;=0")&lt;2,COUNTIFS($A$14:$A$1213,$H280,$F$14:$F$1213,_xlfn.MAXIFS($F$14:$F$1213,$A$14:$A$1213,$H280))&gt;1),"",IFERROR(INDEX($D$14:$D$1213,MATCH($H280&amp;"|"&amp;_xlfn.MAXIFS($F$14:$F$1213,$A$14:$A$1213,$H280),$AB$14:$AB$1213,0)),""))</f>
        <v/>
      </c>
      <c r="AK280" s="27">
        <f>IF(OR($H280="",COUNTIFS($A$14:$A$1213,$H280,$F$14:$F$1213,"&gt;=0")&lt;2,COUNTIFS($A$14:$A$1213,$H280,$F$14:$F$1213,_xlfn.MAXIFS($F$14:$F$1213,$A$14:$A$1213,$H280))&gt;1),"",IFERROR(INDEX($E$14:$E$1213,MATCH($H280&amp;"|"&amp;_xlfn.MAXIFS($F$14:$F$1213,$A$14:$A$1213,$H280),$AB$14:$AB$1213,0)),""))</f>
        <v/>
      </c>
      <c r="AL280" s="27">
        <f>IF(OR($H280="",COUNTIFS($A$14:$A$1213,$H280,$F$14:$F$1213,"&gt;=0")&lt;2,COUNTIFS($A$14:$A$1213,$H280,$F$14:$F$1213,_xlfn.MAXIFS($F$14:$F$1213,$A$14:$A$1213,$H280))&gt;1),"",IFERROR(INDEX($D$14:$D$1213,MATCH($H280&amp;"|"&amp;_xlfn.MAXIFS($F$14:$F$1213,$A$14:$A$1213,$H280,$F$14:$F$1213,"&lt;"&amp;_xlfn.MAXIFS($F$14:$F$1213,$A$14:$A$1213,$H280)),$AB$14:$AB$1213,0)),""))</f>
        <v/>
      </c>
      <c r="AM280" s="27">
        <f>IF(OR($H280="",COUNTIFS($A$14:$A$1213,$H280,$F$14:$F$1213,"&gt;=0")&lt;2,COUNTIFS($A$14:$A$1213,$H280,$F$14:$F$1213,_xlfn.MAXIFS($F$14:$F$1213,$A$14:$A$1213,$H280))&gt;1),"",IFERROR(INDEX($E$14:$E$1213,MATCH($H280&amp;"|"&amp;_xlfn.MAXIFS($F$14:$F$1213,$A$14:$A$1213,$H280,$F$14:$F$1213,"&lt;"&amp;_xlfn.MAXIFS($F$14:$F$1213,$A$14:$A$1213,$H280)),$AB$14:$AB$1213,0)),""))</f>
        <v/>
      </c>
      <c r="AN280" s="27">
        <f>IF(OR(NOT(ISNUMBER($AJ280)),NOT(ISNUMBER($AL280)),$AK280=0,$AM280=0),"",IF(OR((($AJ280+$AL280)/($AK280+$AM280))&lt;=0,(($AJ280+$AL280)/($AK280+$AM280))&gt;=1),"",($AJ280/$AK280-$AL280/$AM280)/SQRT((($AJ280+$AL280)/($AK280+$AM280))*(1-(($AJ280+$AL280)/($AK280+$AM280)))*(1/$AK280+1/$AM280))))</f>
        <v/>
      </c>
      <c r="AO280" s="27">
        <f>IF($A280="","",IF(AND(COUNTIFS($A$14:$A$1213,$A280,$F$14:$F$1213,"&gt;=0")=2,IFERROR(INDEX($M$14:$M$313,MATCH($A280,$H$14:$H$313,0)),"Yes")&lt;&gt;"Yes"),1,0))</f>
        <v/>
      </c>
    </row>
    <row r="281" ht="24" customHeight="1">
      <c r="A281" s="19" t="n"/>
      <c r="B281" s="20" t="n"/>
      <c r="C281" s="21">
        <f>IFERROR(AVERAGE(P281:T281),"")</f>
        <v/>
      </c>
      <c r="D281" s="29" t="n"/>
      <c r="E281" s="29" t="n"/>
      <c r="F281" s="30">
        <f>IF(AND(ISNUMBER($D281),ISNUMBER($E281),$E281&gt;0,$D281&lt;=$E281),$D281/$E281,"")</f>
        <v/>
      </c>
      <c r="H281" s="19">
        <f>IFERROR(INDEX($A$14:$A$1213,MATCH(268,$AI$14:$AI$1213,0)),"")</f>
        <v/>
      </c>
      <c r="I281" s="24">
        <f>IF($H281="","",IF(COUNTIFS($A$14:$A$1213,$H281,$C$14:$C$1213,"&gt;=0")=0,"—",IFERROR(INDEX($B$14:$B$1213,MATCH($H281&amp;"|1",$Z$14:$Z$1213,0)),"(tied)")))</f>
        <v/>
      </c>
      <c r="J281" s="25">
        <f>IF($H281="","",IF(OR(COUNTIFS($A$14:$A$1213,$H281,$C$14:$C$1213,"&gt;=0")=0,COUNTIFS($A$14:$A$1213,$H281,$F$14:$F$1213,"&gt;=0")=0),"—",IF(OR(ISERROR(MATCH($H281&amp;"|1",$Z$14:$Z$1213,0)),ISERROR(MATCH($H281&amp;"|1",$AA$14:$AA$1213,0))),"Tie",IF(MATCH($H281&amp;"|1",$Z$14:$Z$1213,0)=MATCH($H281&amp;"|1",$AA$14:$AA$1213,0),"Hit","Miss"))))</f>
        <v/>
      </c>
      <c r="K281" s="24">
        <f>IF($H281="","",IF(COUNTIFS($A$14:$A$1213,$H281,$F$14:$F$1213,"&gt;=0")=0,"—",IFERROR(INDEX($B$14:$B$1213,MATCH($H281&amp;"|1",$AA$14:$AA$1213,0)),"(tied)")))</f>
        <v/>
      </c>
      <c r="L281" s="25">
        <f>IF($H281="","",IF((--(COUNTIFS($A$14:$A$1213,$H281,$P$14:$P$1213,"&gt;=0")&gt;0)+--(COUNTIFS($A$14:$A$1213,$H281,$Q$14:$Q$1213,"&gt;=0")&gt;0)+--(COUNTIFS($A$14:$A$1213,$H281,$R$14:$R$1213,"&gt;=0")&gt;0)+--(COUNTIFS($A$14:$A$1213,$H281,$S$14:$S$1213,"&gt;=0")&gt;0)+--(COUNTIFS($A$14:$A$1213,$H281,$T$14:$T$1213,"&gt;=0")&gt;0))&lt;2,"—",IF(SUMIFS($AH$14:$AH$1213,$A$14:$A$1213,$H281)=0,"Yes","No")))</f>
        <v/>
      </c>
      <c r="M281" s="25">
        <f>IF($H281="","",IF(COUNTIFS($A$14:$A$1213,$H281,$F$14:$F$1213,"&gt;=0")&lt;2,"—",IF(COUNTIFS($A$14:$A$1213,$H281,$F$14:$F$1213,_xlfn.MAXIFS($F$14:$F$1213,$A$14:$A$1213,$H281))&gt;1,"No",IF(NOT(ISNUMBER($AN281)),"—",IF((2*(1-NORMSDIST(ABS($AN281))))&lt;0.05,"Yes","No")))))</f>
        <v/>
      </c>
      <c r="N281" s="21">
        <f>IF($H281="","",IF(NOT(ISNUMBER($AN281)),"—",IF((2*(1-NORMSDIST(ABS($AN281))))&lt;0.001,"&lt;0.001",TEXT((2*(1-NORMSDIST(ABS($AN281)))),"0.000"))))</f>
        <v/>
      </c>
      <c r="P281" s="26" t="n"/>
      <c r="Q281" s="26" t="n"/>
      <c r="R281" s="26" t="n"/>
      <c r="S281" s="26" t="n"/>
      <c r="T281" s="26" t="n"/>
      <c r="V281" s="27">
        <f>IF(ISNUMBER($C281),COUNTIFS($A$14:$A$1213,$A281,$C$14:$C$1213,"&gt;"&amp;$C281)+(COUNTIFS($A$14:$A$1213,$A281,$C$14:$C$1213,"="&amp;$C281)+1)/2,"")</f>
        <v/>
      </c>
      <c r="W281" s="27">
        <f>IF(ISNUMBER($F281),COUNTIFS($A$14:$A$1213,$A281,$F$14:$F$1213,"&gt;"&amp;$F281)+(COUNTIFS($A$14:$A$1213,$A281,$F$14:$F$1213,"="&amp;$F281)+1)/2,"")</f>
        <v/>
      </c>
      <c r="X281" s="27">
        <f>IF(OR(NOT(ISNUMBER($V281)),$AO281=1),"",$V281-(COUNTIFS($A$14:$A$1213,$A281,$C$14:$C$1213,"&gt;=0")+1)/2)</f>
        <v/>
      </c>
      <c r="Y281" s="27">
        <f>IF(OR(NOT(ISNUMBER($W281)),$AO281=1),"",$W281-(COUNTIFS($A$14:$A$1213,$A281,$F$14:$F$1213,"&gt;=0")+1)/2)</f>
        <v/>
      </c>
      <c r="Z281" s="27">
        <f>IF(ISNUMBER($V281),$A281&amp;"|"&amp;$V281,"")</f>
        <v/>
      </c>
      <c r="AA281" s="27">
        <f>IF(ISNUMBER($W281),$A281&amp;"|"&amp;$W281,"")</f>
        <v/>
      </c>
      <c r="AB281" s="27">
        <f>IF(ISNUMBER($F281),$A281&amp;"|"&amp;$F281,"")</f>
        <v/>
      </c>
      <c r="AC281" s="27">
        <f>IF(ISNUMBER($P281),COUNTIFS($A$14:$A$1213,$A281,$P$14:$P$1213,"&gt;"&amp;$P281)+(COUNTIFS($A$14:$A$1213,$A281,$P$14:$P$1213,"="&amp;$P281)+1)/2,"")</f>
        <v/>
      </c>
      <c r="AD281" s="27">
        <f>IF(ISNUMBER($Q281),COUNTIFS($A$14:$A$1213,$A281,$Q$14:$Q$1213,"&gt;"&amp;$Q281)+(COUNTIFS($A$14:$A$1213,$A281,$Q$14:$Q$1213,"="&amp;$Q281)+1)/2,"")</f>
        <v/>
      </c>
      <c r="AE281" s="27">
        <f>IF(ISNUMBER($R281),COUNTIFS($A$14:$A$1213,$A281,$R$14:$R$1213,"&gt;"&amp;$R281)+(COUNTIFS($A$14:$A$1213,$A281,$R$14:$R$1213,"="&amp;$R281)+1)/2,"")</f>
        <v/>
      </c>
      <c r="AF281" s="27">
        <f>IF(ISNUMBER($S281),COUNTIFS($A$14:$A$1213,$A281,$S$14:$S$1213,"&gt;"&amp;$S281)+(COUNTIFS($A$14:$A$1213,$A281,$S$14:$S$1213,"="&amp;$S281)+1)/2,"")</f>
        <v/>
      </c>
      <c r="AG281" s="27">
        <f>IF(ISNUMBER($T281),COUNTIFS($A$14:$A$1213,$A281,$T$14:$T$1213,"&gt;"&amp;$T281)+(COUNTIFS($A$14:$A$1213,$A281,$T$14:$T$1213,"="&amp;$T281)+1)/2,"")</f>
        <v/>
      </c>
      <c r="AH281" s="27">
        <f>IF(COUNT($AC281:$AG281)&lt;2,"",IF(MAX($AC281:$AG281)=MIN($AC281:$AG281),0,1))</f>
        <v/>
      </c>
      <c r="AI281" s="27">
        <f>IF($A281="","",IF(COUNTIF($A$14:$A281,$A281)=1,COUNTIF($AI$13:AI280,"&gt;0")+1,""))</f>
        <v/>
      </c>
      <c r="AJ281" s="27">
        <f>IF(OR($H281="",COUNTIFS($A$14:$A$1213,$H281,$F$14:$F$1213,"&gt;=0")&lt;2,COUNTIFS($A$14:$A$1213,$H281,$F$14:$F$1213,_xlfn.MAXIFS($F$14:$F$1213,$A$14:$A$1213,$H281))&gt;1),"",IFERROR(INDEX($D$14:$D$1213,MATCH($H281&amp;"|"&amp;_xlfn.MAXIFS($F$14:$F$1213,$A$14:$A$1213,$H281),$AB$14:$AB$1213,0)),""))</f>
        <v/>
      </c>
      <c r="AK281" s="27">
        <f>IF(OR($H281="",COUNTIFS($A$14:$A$1213,$H281,$F$14:$F$1213,"&gt;=0")&lt;2,COUNTIFS($A$14:$A$1213,$H281,$F$14:$F$1213,_xlfn.MAXIFS($F$14:$F$1213,$A$14:$A$1213,$H281))&gt;1),"",IFERROR(INDEX($E$14:$E$1213,MATCH($H281&amp;"|"&amp;_xlfn.MAXIFS($F$14:$F$1213,$A$14:$A$1213,$H281),$AB$14:$AB$1213,0)),""))</f>
        <v/>
      </c>
      <c r="AL281" s="27">
        <f>IF(OR($H281="",COUNTIFS($A$14:$A$1213,$H281,$F$14:$F$1213,"&gt;=0")&lt;2,COUNTIFS($A$14:$A$1213,$H281,$F$14:$F$1213,_xlfn.MAXIFS($F$14:$F$1213,$A$14:$A$1213,$H281))&gt;1),"",IFERROR(INDEX($D$14:$D$1213,MATCH($H281&amp;"|"&amp;_xlfn.MAXIFS($F$14:$F$1213,$A$14:$A$1213,$H281,$F$14:$F$1213,"&lt;"&amp;_xlfn.MAXIFS($F$14:$F$1213,$A$14:$A$1213,$H281)),$AB$14:$AB$1213,0)),""))</f>
        <v/>
      </c>
      <c r="AM281" s="27">
        <f>IF(OR($H281="",COUNTIFS($A$14:$A$1213,$H281,$F$14:$F$1213,"&gt;=0")&lt;2,COUNTIFS($A$14:$A$1213,$H281,$F$14:$F$1213,_xlfn.MAXIFS($F$14:$F$1213,$A$14:$A$1213,$H281))&gt;1),"",IFERROR(INDEX($E$14:$E$1213,MATCH($H281&amp;"|"&amp;_xlfn.MAXIFS($F$14:$F$1213,$A$14:$A$1213,$H281,$F$14:$F$1213,"&lt;"&amp;_xlfn.MAXIFS($F$14:$F$1213,$A$14:$A$1213,$H281)),$AB$14:$AB$1213,0)),""))</f>
        <v/>
      </c>
      <c r="AN281" s="27">
        <f>IF(OR(NOT(ISNUMBER($AJ281)),NOT(ISNUMBER($AL281)),$AK281=0,$AM281=0),"",IF(OR((($AJ281+$AL281)/($AK281+$AM281))&lt;=0,(($AJ281+$AL281)/($AK281+$AM281))&gt;=1),"",($AJ281/$AK281-$AL281/$AM281)/SQRT((($AJ281+$AL281)/($AK281+$AM281))*(1-(($AJ281+$AL281)/($AK281+$AM281)))*(1/$AK281+1/$AM281))))</f>
        <v/>
      </c>
      <c r="AO281" s="27">
        <f>IF($A281="","",IF(AND(COUNTIFS($A$14:$A$1213,$A281,$F$14:$F$1213,"&gt;=0")=2,IFERROR(INDEX($M$14:$M$313,MATCH($A281,$H$14:$H$313,0)),"Yes")&lt;&gt;"Yes"),1,0))</f>
        <v/>
      </c>
    </row>
    <row r="282" ht="24" customHeight="1">
      <c r="A282" s="19" t="n"/>
      <c r="B282" s="20" t="n"/>
      <c r="C282" s="21">
        <f>IFERROR(AVERAGE(P282:T282),"")</f>
        <v/>
      </c>
      <c r="D282" s="29" t="n"/>
      <c r="E282" s="29" t="n"/>
      <c r="F282" s="30">
        <f>IF(AND(ISNUMBER($D282),ISNUMBER($E282),$E282&gt;0,$D282&lt;=$E282),$D282/$E282,"")</f>
        <v/>
      </c>
      <c r="H282" s="19">
        <f>IFERROR(INDEX($A$14:$A$1213,MATCH(269,$AI$14:$AI$1213,0)),"")</f>
        <v/>
      </c>
      <c r="I282" s="24">
        <f>IF($H282="","",IF(COUNTIFS($A$14:$A$1213,$H282,$C$14:$C$1213,"&gt;=0")=0,"—",IFERROR(INDEX($B$14:$B$1213,MATCH($H282&amp;"|1",$Z$14:$Z$1213,0)),"(tied)")))</f>
        <v/>
      </c>
      <c r="J282" s="25">
        <f>IF($H282="","",IF(OR(COUNTIFS($A$14:$A$1213,$H282,$C$14:$C$1213,"&gt;=0")=0,COUNTIFS($A$14:$A$1213,$H282,$F$14:$F$1213,"&gt;=0")=0),"—",IF(OR(ISERROR(MATCH($H282&amp;"|1",$Z$14:$Z$1213,0)),ISERROR(MATCH($H282&amp;"|1",$AA$14:$AA$1213,0))),"Tie",IF(MATCH($H282&amp;"|1",$Z$14:$Z$1213,0)=MATCH($H282&amp;"|1",$AA$14:$AA$1213,0),"Hit","Miss"))))</f>
        <v/>
      </c>
      <c r="K282" s="24">
        <f>IF($H282="","",IF(COUNTIFS($A$14:$A$1213,$H282,$F$14:$F$1213,"&gt;=0")=0,"—",IFERROR(INDEX($B$14:$B$1213,MATCH($H282&amp;"|1",$AA$14:$AA$1213,0)),"(tied)")))</f>
        <v/>
      </c>
      <c r="L282" s="25">
        <f>IF($H282="","",IF((--(COUNTIFS($A$14:$A$1213,$H282,$P$14:$P$1213,"&gt;=0")&gt;0)+--(COUNTIFS($A$14:$A$1213,$H282,$Q$14:$Q$1213,"&gt;=0")&gt;0)+--(COUNTIFS($A$14:$A$1213,$H282,$R$14:$R$1213,"&gt;=0")&gt;0)+--(COUNTIFS($A$14:$A$1213,$H282,$S$14:$S$1213,"&gt;=0")&gt;0)+--(COUNTIFS($A$14:$A$1213,$H282,$T$14:$T$1213,"&gt;=0")&gt;0))&lt;2,"—",IF(SUMIFS($AH$14:$AH$1213,$A$14:$A$1213,$H282)=0,"Yes","No")))</f>
        <v/>
      </c>
      <c r="M282" s="25">
        <f>IF($H282="","",IF(COUNTIFS($A$14:$A$1213,$H282,$F$14:$F$1213,"&gt;=0")&lt;2,"—",IF(COUNTIFS($A$14:$A$1213,$H282,$F$14:$F$1213,_xlfn.MAXIFS($F$14:$F$1213,$A$14:$A$1213,$H282))&gt;1,"No",IF(NOT(ISNUMBER($AN282)),"—",IF((2*(1-NORMSDIST(ABS($AN282))))&lt;0.05,"Yes","No")))))</f>
        <v/>
      </c>
      <c r="N282" s="21">
        <f>IF($H282="","",IF(NOT(ISNUMBER($AN282)),"—",IF((2*(1-NORMSDIST(ABS($AN282))))&lt;0.001,"&lt;0.001",TEXT((2*(1-NORMSDIST(ABS($AN282)))),"0.000"))))</f>
        <v/>
      </c>
      <c r="P282" s="26" t="n"/>
      <c r="Q282" s="26" t="n"/>
      <c r="R282" s="26" t="n"/>
      <c r="S282" s="26" t="n"/>
      <c r="T282" s="26" t="n"/>
      <c r="V282" s="27">
        <f>IF(ISNUMBER($C282),COUNTIFS($A$14:$A$1213,$A282,$C$14:$C$1213,"&gt;"&amp;$C282)+(COUNTIFS($A$14:$A$1213,$A282,$C$14:$C$1213,"="&amp;$C282)+1)/2,"")</f>
        <v/>
      </c>
      <c r="W282" s="27">
        <f>IF(ISNUMBER($F282),COUNTIFS($A$14:$A$1213,$A282,$F$14:$F$1213,"&gt;"&amp;$F282)+(COUNTIFS($A$14:$A$1213,$A282,$F$14:$F$1213,"="&amp;$F282)+1)/2,"")</f>
        <v/>
      </c>
      <c r="X282" s="27">
        <f>IF(OR(NOT(ISNUMBER($V282)),$AO282=1),"",$V282-(COUNTIFS($A$14:$A$1213,$A282,$C$14:$C$1213,"&gt;=0")+1)/2)</f>
        <v/>
      </c>
      <c r="Y282" s="27">
        <f>IF(OR(NOT(ISNUMBER($W282)),$AO282=1),"",$W282-(COUNTIFS($A$14:$A$1213,$A282,$F$14:$F$1213,"&gt;=0")+1)/2)</f>
        <v/>
      </c>
      <c r="Z282" s="27">
        <f>IF(ISNUMBER($V282),$A282&amp;"|"&amp;$V282,"")</f>
        <v/>
      </c>
      <c r="AA282" s="27">
        <f>IF(ISNUMBER($W282),$A282&amp;"|"&amp;$W282,"")</f>
        <v/>
      </c>
      <c r="AB282" s="27">
        <f>IF(ISNUMBER($F282),$A282&amp;"|"&amp;$F282,"")</f>
        <v/>
      </c>
      <c r="AC282" s="27">
        <f>IF(ISNUMBER($P282),COUNTIFS($A$14:$A$1213,$A282,$P$14:$P$1213,"&gt;"&amp;$P282)+(COUNTIFS($A$14:$A$1213,$A282,$P$14:$P$1213,"="&amp;$P282)+1)/2,"")</f>
        <v/>
      </c>
      <c r="AD282" s="27">
        <f>IF(ISNUMBER($Q282),COUNTIFS($A$14:$A$1213,$A282,$Q$14:$Q$1213,"&gt;"&amp;$Q282)+(COUNTIFS($A$14:$A$1213,$A282,$Q$14:$Q$1213,"="&amp;$Q282)+1)/2,"")</f>
        <v/>
      </c>
      <c r="AE282" s="27">
        <f>IF(ISNUMBER($R282),COUNTIFS($A$14:$A$1213,$A282,$R$14:$R$1213,"&gt;"&amp;$R282)+(COUNTIFS($A$14:$A$1213,$A282,$R$14:$R$1213,"="&amp;$R282)+1)/2,"")</f>
        <v/>
      </c>
      <c r="AF282" s="27">
        <f>IF(ISNUMBER($S282),COUNTIFS($A$14:$A$1213,$A282,$S$14:$S$1213,"&gt;"&amp;$S282)+(COUNTIFS($A$14:$A$1213,$A282,$S$14:$S$1213,"="&amp;$S282)+1)/2,"")</f>
        <v/>
      </c>
      <c r="AG282" s="27">
        <f>IF(ISNUMBER($T282),COUNTIFS($A$14:$A$1213,$A282,$T$14:$T$1213,"&gt;"&amp;$T282)+(COUNTIFS($A$14:$A$1213,$A282,$T$14:$T$1213,"="&amp;$T282)+1)/2,"")</f>
        <v/>
      </c>
      <c r="AH282" s="27">
        <f>IF(COUNT($AC282:$AG282)&lt;2,"",IF(MAX($AC282:$AG282)=MIN($AC282:$AG282),0,1))</f>
        <v/>
      </c>
      <c r="AI282" s="27">
        <f>IF($A282="","",IF(COUNTIF($A$14:$A282,$A282)=1,COUNTIF($AI$13:AI281,"&gt;0")+1,""))</f>
        <v/>
      </c>
      <c r="AJ282" s="27">
        <f>IF(OR($H282="",COUNTIFS($A$14:$A$1213,$H282,$F$14:$F$1213,"&gt;=0")&lt;2,COUNTIFS($A$14:$A$1213,$H282,$F$14:$F$1213,_xlfn.MAXIFS($F$14:$F$1213,$A$14:$A$1213,$H282))&gt;1),"",IFERROR(INDEX($D$14:$D$1213,MATCH($H282&amp;"|"&amp;_xlfn.MAXIFS($F$14:$F$1213,$A$14:$A$1213,$H282),$AB$14:$AB$1213,0)),""))</f>
        <v/>
      </c>
      <c r="AK282" s="27">
        <f>IF(OR($H282="",COUNTIFS($A$14:$A$1213,$H282,$F$14:$F$1213,"&gt;=0")&lt;2,COUNTIFS($A$14:$A$1213,$H282,$F$14:$F$1213,_xlfn.MAXIFS($F$14:$F$1213,$A$14:$A$1213,$H282))&gt;1),"",IFERROR(INDEX($E$14:$E$1213,MATCH($H282&amp;"|"&amp;_xlfn.MAXIFS($F$14:$F$1213,$A$14:$A$1213,$H282),$AB$14:$AB$1213,0)),""))</f>
        <v/>
      </c>
      <c r="AL282" s="27">
        <f>IF(OR($H282="",COUNTIFS($A$14:$A$1213,$H282,$F$14:$F$1213,"&gt;=0")&lt;2,COUNTIFS($A$14:$A$1213,$H282,$F$14:$F$1213,_xlfn.MAXIFS($F$14:$F$1213,$A$14:$A$1213,$H282))&gt;1),"",IFERROR(INDEX($D$14:$D$1213,MATCH($H282&amp;"|"&amp;_xlfn.MAXIFS($F$14:$F$1213,$A$14:$A$1213,$H282,$F$14:$F$1213,"&lt;"&amp;_xlfn.MAXIFS($F$14:$F$1213,$A$14:$A$1213,$H282)),$AB$14:$AB$1213,0)),""))</f>
        <v/>
      </c>
      <c r="AM282" s="27">
        <f>IF(OR($H282="",COUNTIFS($A$14:$A$1213,$H282,$F$14:$F$1213,"&gt;=0")&lt;2,COUNTIFS($A$14:$A$1213,$H282,$F$14:$F$1213,_xlfn.MAXIFS($F$14:$F$1213,$A$14:$A$1213,$H282))&gt;1),"",IFERROR(INDEX($E$14:$E$1213,MATCH($H282&amp;"|"&amp;_xlfn.MAXIFS($F$14:$F$1213,$A$14:$A$1213,$H282,$F$14:$F$1213,"&lt;"&amp;_xlfn.MAXIFS($F$14:$F$1213,$A$14:$A$1213,$H282)),$AB$14:$AB$1213,0)),""))</f>
        <v/>
      </c>
      <c r="AN282" s="27">
        <f>IF(OR(NOT(ISNUMBER($AJ282)),NOT(ISNUMBER($AL282)),$AK282=0,$AM282=0),"",IF(OR((($AJ282+$AL282)/($AK282+$AM282))&lt;=0,(($AJ282+$AL282)/($AK282+$AM282))&gt;=1),"",($AJ282/$AK282-$AL282/$AM282)/SQRT((($AJ282+$AL282)/($AK282+$AM282))*(1-(($AJ282+$AL282)/($AK282+$AM282)))*(1/$AK282+1/$AM282))))</f>
        <v/>
      </c>
      <c r="AO282" s="27">
        <f>IF($A282="","",IF(AND(COUNTIFS($A$14:$A$1213,$A282,$F$14:$F$1213,"&gt;=0")=2,IFERROR(INDEX($M$14:$M$313,MATCH($A282,$H$14:$H$313,0)),"Yes")&lt;&gt;"Yes"),1,0))</f>
        <v/>
      </c>
    </row>
    <row r="283" ht="24" customHeight="1">
      <c r="A283" s="19" t="n"/>
      <c r="B283" s="20" t="n"/>
      <c r="C283" s="21">
        <f>IFERROR(AVERAGE(P283:T283),"")</f>
        <v/>
      </c>
      <c r="D283" s="29" t="n"/>
      <c r="E283" s="29" t="n"/>
      <c r="F283" s="30">
        <f>IF(AND(ISNUMBER($D283),ISNUMBER($E283),$E283&gt;0,$D283&lt;=$E283),$D283/$E283,"")</f>
        <v/>
      </c>
      <c r="H283" s="19">
        <f>IFERROR(INDEX($A$14:$A$1213,MATCH(270,$AI$14:$AI$1213,0)),"")</f>
        <v/>
      </c>
      <c r="I283" s="24">
        <f>IF($H283="","",IF(COUNTIFS($A$14:$A$1213,$H283,$C$14:$C$1213,"&gt;=0")=0,"—",IFERROR(INDEX($B$14:$B$1213,MATCH($H283&amp;"|1",$Z$14:$Z$1213,0)),"(tied)")))</f>
        <v/>
      </c>
      <c r="J283" s="25">
        <f>IF($H283="","",IF(OR(COUNTIFS($A$14:$A$1213,$H283,$C$14:$C$1213,"&gt;=0")=0,COUNTIFS($A$14:$A$1213,$H283,$F$14:$F$1213,"&gt;=0")=0),"—",IF(OR(ISERROR(MATCH($H283&amp;"|1",$Z$14:$Z$1213,0)),ISERROR(MATCH($H283&amp;"|1",$AA$14:$AA$1213,0))),"Tie",IF(MATCH($H283&amp;"|1",$Z$14:$Z$1213,0)=MATCH($H283&amp;"|1",$AA$14:$AA$1213,0),"Hit","Miss"))))</f>
        <v/>
      </c>
      <c r="K283" s="24">
        <f>IF($H283="","",IF(COUNTIFS($A$14:$A$1213,$H283,$F$14:$F$1213,"&gt;=0")=0,"—",IFERROR(INDEX($B$14:$B$1213,MATCH($H283&amp;"|1",$AA$14:$AA$1213,0)),"(tied)")))</f>
        <v/>
      </c>
      <c r="L283" s="25">
        <f>IF($H283="","",IF((--(COUNTIFS($A$14:$A$1213,$H283,$P$14:$P$1213,"&gt;=0")&gt;0)+--(COUNTIFS($A$14:$A$1213,$H283,$Q$14:$Q$1213,"&gt;=0")&gt;0)+--(COUNTIFS($A$14:$A$1213,$H283,$R$14:$R$1213,"&gt;=0")&gt;0)+--(COUNTIFS($A$14:$A$1213,$H283,$S$14:$S$1213,"&gt;=0")&gt;0)+--(COUNTIFS($A$14:$A$1213,$H283,$T$14:$T$1213,"&gt;=0")&gt;0))&lt;2,"—",IF(SUMIFS($AH$14:$AH$1213,$A$14:$A$1213,$H283)=0,"Yes","No")))</f>
        <v/>
      </c>
      <c r="M283" s="25">
        <f>IF($H283="","",IF(COUNTIFS($A$14:$A$1213,$H283,$F$14:$F$1213,"&gt;=0")&lt;2,"—",IF(COUNTIFS($A$14:$A$1213,$H283,$F$14:$F$1213,_xlfn.MAXIFS($F$14:$F$1213,$A$14:$A$1213,$H283))&gt;1,"No",IF(NOT(ISNUMBER($AN283)),"—",IF((2*(1-NORMSDIST(ABS($AN283))))&lt;0.05,"Yes","No")))))</f>
        <v/>
      </c>
      <c r="N283" s="21">
        <f>IF($H283="","",IF(NOT(ISNUMBER($AN283)),"—",IF((2*(1-NORMSDIST(ABS($AN283))))&lt;0.001,"&lt;0.001",TEXT((2*(1-NORMSDIST(ABS($AN283)))),"0.000"))))</f>
        <v/>
      </c>
      <c r="P283" s="26" t="n"/>
      <c r="Q283" s="26" t="n"/>
      <c r="R283" s="26" t="n"/>
      <c r="S283" s="26" t="n"/>
      <c r="T283" s="26" t="n"/>
      <c r="V283" s="27">
        <f>IF(ISNUMBER($C283),COUNTIFS($A$14:$A$1213,$A283,$C$14:$C$1213,"&gt;"&amp;$C283)+(COUNTIFS($A$14:$A$1213,$A283,$C$14:$C$1213,"="&amp;$C283)+1)/2,"")</f>
        <v/>
      </c>
      <c r="W283" s="27">
        <f>IF(ISNUMBER($F283),COUNTIFS($A$14:$A$1213,$A283,$F$14:$F$1213,"&gt;"&amp;$F283)+(COUNTIFS($A$14:$A$1213,$A283,$F$14:$F$1213,"="&amp;$F283)+1)/2,"")</f>
        <v/>
      </c>
      <c r="X283" s="27">
        <f>IF(OR(NOT(ISNUMBER($V283)),$AO283=1),"",$V283-(COUNTIFS($A$14:$A$1213,$A283,$C$14:$C$1213,"&gt;=0")+1)/2)</f>
        <v/>
      </c>
      <c r="Y283" s="27">
        <f>IF(OR(NOT(ISNUMBER($W283)),$AO283=1),"",$W283-(COUNTIFS($A$14:$A$1213,$A283,$F$14:$F$1213,"&gt;=0")+1)/2)</f>
        <v/>
      </c>
      <c r="Z283" s="27">
        <f>IF(ISNUMBER($V283),$A283&amp;"|"&amp;$V283,"")</f>
        <v/>
      </c>
      <c r="AA283" s="27">
        <f>IF(ISNUMBER($W283),$A283&amp;"|"&amp;$W283,"")</f>
        <v/>
      </c>
      <c r="AB283" s="27">
        <f>IF(ISNUMBER($F283),$A283&amp;"|"&amp;$F283,"")</f>
        <v/>
      </c>
      <c r="AC283" s="27">
        <f>IF(ISNUMBER($P283),COUNTIFS($A$14:$A$1213,$A283,$P$14:$P$1213,"&gt;"&amp;$P283)+(COUNTIFS($A$14:$A$1213,$A283,$P$14:$P$1213,"="&amp;$P283)+1)/2,"")</f>
        <v/>
      </c>
      <c r="AD283" s="27">
        <f>IF(ISNUMBER($Q283),COUNTIFS($A$14:$A$1213,$A283,$Q$14:$Q$1213,"&gt;"&amp;$Q283)+(COUNTIFS($A$14:$A$1213,$A283,$Q$14:$Q$1213,"="&amp;$Q283)+1)/2,"")</f>
        <v/>
      </c>
      <c r="AE283" s="27">
        <f>IF(ISNUMBER($R283),COUNTIFS($A$14:$A$1213,$A283,$R$14:$R$1213,"&gt;"&amp;$R283)+(COUNTIFS($A$14:$A$1213,$A283,$R$14:$R$1213,"="&amp;$R283)+1)/2,"")</f>
        <v/>
      </c>
      <c r="AF283" s="27">
        <f>IF(ISNUMBER($S283),COUNTIFS($A$14:$A$1213,$A283,$S$14:$S$1213,"&gt;"&amp;$S283)+(COUNTIFS($A$14:$A$1213,$A283,$S$14:$S$1213,"="&amp;$S283)+1)/2,"")</f>
        <v/>
      </c>
      <c r="AG283" s="27">
        <f>IF(ISNUMBER($T283),COUNTIFS($A$14:$A$1213,$A283,$T$14:$T$1213,"&gt;"&amp;$T283)+(COUNTIFS($A$14:$A$1213,$A283,$T$14:$T$1213,"="&amp;$T283)+1)/2,"")</f>
        <v/>
      </c>
      <c r="AH283" s="27">
        <f>IF(COUNT($AC283:$AG283)&lt;2,"",IF(MAX($AC283:$AG283)=MIN($AC283:$AG283),0,1))</f>
        <v/>
      </c>
      <c r="AI283" s="27">
        <f>IF($A283="","",IF(COUNTIF($A$14:$A283,$A283)=1,COUNTIF($AI$13:AI282,"&gt;0")+1,""))</f>
        <v/>
      </c>
      <c r="AJ283" s="27">
        <f>IF(OR($H283="",COUNTIFS($A$14:$A$1213,$H283,$F$14:$F$1213,"&gt;=0")&lt;2,COUNTIFS($A$14:$A$1213,$H283,$F$14:$F$1213,_xlfn.MAXIFS($F$14:$F$1213,$A$14:$A$1213,$H283))&gt;1),"",IFERROR(INDEX($D$14:$D$1213,MATCH($H283&amp;"|"&amp;_xlfn.MAXIFS($F$14:$F$1213,$A$14:$A$1213,$H283),$AB$14:$AB$1213,0)),""))</f>
        <v/>
      </c>
      <c r="AK283" s="27">
        <f>IF(OR($H283="",COUNTIFS($A$14:$A$1213,$H283,$F$14:$F$1213,"&gt;=0")&lt;2,COUNTIFS($A$14:$A$1213,$H283,$F$14:$F$1213,_xlfn.MAXIFS($F$14:$F$1213,$A$14:$A$1213,$H283))&gt;1),"",IFERROR(INDEX($E$14:$E$1213,MATCH($H283&amp;"|"&amp;_xlfn.MAXIFS($F$14:$F$1213,$A$14:$A$1213,$H283),$AB$14:$AB$1213,0)),""))</f>
        <v/>
      </c>
      <c r="AL283" s="27">
        <f>IF(OR($H283="",COUNTIFS($A$14:$A$1213,$H283,$F$14:$F$1213,"&gt;=0")&lt;2,COUNTIFS($A$14:$A$1213,$H283,$F$14:$F$1213,_xlfn.MAXIFS($F$14:$F$1213,$A$14:$A$1213,$H283))&gt;1),"",IFERROR(INDEX($D$14:$D$1213,MATCH($H283&amp;"|"&amp;_xlfn.MAXIFS($F$14:$F$1213,$A$14:$A$1213,$H283,$F$14:$F$1213,"&lt;"&amp;_xlfn.MAXIFS($F$14:$F$1213,$A$14:$A$1213,$H283)),$AB$14:$AB$1213,0)),""))</f>
        <v/>
      </c>
      <c r="AM283" s="27">
        <f>IF(OR($H283="",COUNTIFS($A$14:$A$1213,$H283,$F$14:$F$1213,"&gt;=0")&lt;2,COUNTIFS($A$14:$A$1213,$H283,$F$14:$F$1213,_xlfn.MAXIFS($F$14:$F$1213,$A$14:$A$1213,$H283))&gt;1),"",IFERROR(INDEX($E$14:$E$1213,MATCH($H283&amp;"|"&amp;_xlfn.MAXIFS($F$14:$F$1213,$A$14:$A$1213,$H283,$F$14:$F$1213,"&lt;"&amp;_xlfn.MAXIFS($F$14:$F$1213,$A$14:$A$1213,$H283)),$AB$14:$AB$1213,0)),""))</f>
        <v/>
      </c>
      <c r="AN283" s="27">
        <f>IF(OR(NOT(ISNUMBER($AJ283)),NOT(ISNUMBER($AL283)),$AK283=0,$AM283=0),"",IF(OR((($AJ283+$AL283)/($AK283+$AM283))&lt;=0,(($AJ283+$AL283)/($AK283+$AM283))&gt;=1),"",($AJ283/$AK283-$AL283/$AM283)/SQRT((($AJ283+$AL283)/($AK283+$AM283))*(1-(($AJ283+$AL283)/($AK283+$AM283)))*(1/$AK283+1/$AM283))))</f>
        <v/>
      </c>
      <c r="AO283" s="27">
        <f>IF($A283="","",IF(AND(COUNTIFS($A$14:$A$1213,$A283,$F$14:$F$1213,"&gt;=0")=2,IFERROR(INDEX($M$14:$M$313,MATCH($A283,$H$14:$H$313,0)),"Yes")&lt;&gt;"Yes"),1,0))</f>
        <v/>
      </c>
    </row>
    <row r="284" ht="24" customHeight="1">
      <c r="A284" s="19" t="n"/>
      <c r="B284" s="20" t="n"/>
      <c r="C284" s="21">
        <f>IFERROR(AVERAGE(P284:T284),"")</f>
        <v/>
      </c>
      <c r="D284" s="29" t="n"/>
      <c r="E284" s="29" t="n"/>
      <c r="F284" s="30">
        <f>IF(AND(ISNUMBER($D284),ISNUMBER($E284),$E284&gt;0,$D284&lt;=$E284),$D284/$E284,"")</f>
        <v/>
      </c>
      <c r="H284" s="19">
        <f>IFERROR(INDEX($A$14:$A$1213,MATCH(271,$AI$14:$AI$1213,0)),"")</f>
        <v/>
      </c>
      <c r="I284" s="24">
        <f>IF($H284="","",IF(COUNTIFS($A$14:$A$1213,$H284,$C$14:$C$1213,"&gt;=0")=0,"—",IFERROR(INDEX($B$14:$B$1213,MATCH($H284&amp;"|1",$Z$14:$Z$1213,0)),"(tied)")))</f>
        <v/>
      </c>
      <c r="J284" s="25">
        <f>IF($H284="","",IF(OR(COUNTIFS($A$14:$A$1213,$H284,$C$14:$C$1213,"&gt;=0")=0,COUNTIFS($A$14:$A$1213,$H284,$F$14:$F$1213,"&gt;=0")=0),"—",IF(OR(ISERROR(MATCH($H284&amp;"|1",$Z$14:$Z$1213,0)),ISERROR(MATCH($H284&amp;"|1",$AA$14:$AA$1213,0))),"Tie",IF(MATCH($H284&amp;"|1",$Z$14:$Z$1213,0)=MATCH($H284&amp;"|1",$AA$14:$AA$1213,0),"Hit","Miss"))))</f>
        <v/>
      </c>
      <c r="K284" s="24">
        <f>IF($H284="","",IF(COUNTIFS($A$14:$A$1213,$H284,$F$14:$F$1213,"&gt;=0")=0,"—",IFERROR(INDEX($B$14:$B$1213,MATCH($H284&amp;"|1",$AA$14:$AA$1213,0)),"(tied)")))</f>
        <v/>
      </c>
      <c r="L284" s="25">
        <f>IF($H284="","",IF((--(COUNTIFS($A$14:$A$1213,$H284,$P$14:$P$1213,"&gt;=0")&gt;0)+--(COUNTIFS($A$14:$A$1213,$H284,$Q$14:$Q$1213,"&gt;=0")&gt;0)+--(COUNTIFS($A$14:$A$1213,$H284,$R$14:$R$1213,"&gt;=0")&gt;0)+--(COUNTIFS($A$14:$A$1213,$H284,$S$14:$S$1213,"&gt;=0")&gt;0)+--(COUNTIFS($A$14:$A$1213,$H284,$T$14:$T$1213,"&gt;=0")&gt;0))&lt;2,"—",IF(SUMIFS($AH$14:$AH$1213,$A$14:$A$1213,$H284)=0,"Yes","No")))</f>
        <v/>
      </c>
      <c r="M284" s="25">
        <f>IF($H284="","",IF(COUNTIFS($A$14:$A$1213,$H284,$F$14:$F$1213,"&gt;=0")&lt;2,"—",IF(COUNTIFS($A$14:$A$1213,$H284,$F$14:$F$1213,_xlfn.MAXIFS($F$14:$F$1213,$A$14:$A$1213,$H284))&gt;1,"No",IF(NOT(ISNUMBER($AN284)),"—",IF((2*(1-NORMSDIST(ABS($AN284))))&lt;0.05,"Yes","No")))))</f>
        <v/>
      </c>
      <c r="N284" s="21">
        <f>IF($H284="","",IF(NOT(ISNUMBER($AN284)),"—",IF((2*(1-NORMSDIST(ABS($AN284))))&lt;0.001,"&lt;0.001",TEXT((2*(1-NORMSDIST(ABS($AN284)))),"0.000"))))</f>
        <v/>
      </c>
      <c r="P284" s="26" t="n"/>
      <c r="Q284" s="26" t="n"/>
      <c r="R284" s="26" t="n"/>
      <c r="S284" s="26" t="n"/>
      <c r="T284" s="26" t="n"/>
      <c r="V284" s="27">
        <f>IF(ISNUMBER($C284),COUNTIFS($A$14:$A$1213,$A284,$C$14:$C$1213,"&gt;"&amp;$C284)+(COUNTIFS($A$14:$A$1213,$A284,$C$14:$C$1213,"="&amp;$C284)+1)/2,"")</f>
        <v/>
      </c>
      <c r="W284" s="27">
        <f>IF(ISNUMBER($F284),COUNTIFS($A$14:$A$1213,$A284,$F$14:$F$1213,"&gt;"&amp;$F284)+(COUNTIFS($A$14:$A$1213,$A284,$F$14:$F$1213,"="&amp;$F284)+1)/2,"")</f>
        <v/>
      </c>
      <c r="X284" s="27">
        <f>IF(OR(NOT(ISNUMBER($V284)),$AO284=1),"",$V284-(COUNTIFS($A$14:$A$1213,$A284,$C$14:$C$1213,"&gt;=0")+1)/2)</f>
        <v/>
      </c>
      <c r="Y284" s="27">
        <f>IF(OR(NOT(ISNUMBER($W284)),$AO284=1),"",$W284-(COUNTIFS($A$14:$A$1213,$A284,$F$14:$F$1213,"&gt;=0")+1)/2)</f>
        <v/>
      </c>
      <c r="Z284" s="27">
        <f>IF(ISNUMBER($V284),$A284&amp;"|"&amp;$V284,"")</f>
        <v/>
      </c>
      <c r="AA284" s="27">
        <f>IF(ISNUMBER($W284),$A284&amp;"|"&amp;$W284,"")</f>
        <v/>
      </c>
      <c r="AB284" s="27">
        <f>IF(ISNUMBER($F284),$A284&amp;"|"&amp;$F284,"")</f>
        <v/>
      </c>
      <c r="AC284" s="27">
        <f>IF(ISNUMBER($P284),COUNTIFS($A$14:$A$1213,$A284,$P$14:$P$1213,"&gt;"&amp;$P284)+(COUNTIFS($A$14:$A$1213,$A284,$P$14:$P$1213,"="&amp;$P284)+1)/2,"")</f>
        <v/>
      </c>
      <c r="AD284" s="27">
        <f>IF(ISNUMBER($Q284),COUNTIFS($A$14:$A$1213,$A284,$Q$14:$Q$1213,"&gt;"&amp;$Q284)+(COUNTIFS($A$14:$A$1213,$A284,$Q$14:$Q$1213,"="&amp;$Q284)+1)/2,"")</f>
        <v/>
      </c>
      <c r="AE284" s="27">
        <f>IF(ISNUMBER($R284),COUNTIFS($A$14:$A$1213,$A284,$R$14:$R$1213,"&gt;"&amp;$R284)+(COUNTIFS($A$14:$A$1213,$A284,$R$14:$R$1213,"="&amp;$R284)+1)/2,"")</f>
        <v/>
      </c>
      <c r="AF284" s="27">
        <f>IF(ISNUMBER($S284),COUNTIFS($A$14:$A$1213,$A284,$S$14:$S$1213,"&gt;"&amp;$S284)+(COUNTIFS($A$14:$A$1213,$A284,$S$14:$S$1213,"="&amp;$S284)+1)/2,"")</f>
        <v/>
      </c>
      <c r="AG284" s="27">
        <f>IF(ISNUMBER($T284),COUNTIFS($A$14:$A$1213,$A284,$T$14:$T$1213,"&gt;"&amp;$T284)+(COUNTIFS($A$14:$A$1213,$A284,$T$14:$T$1213,"="&amp;$T284)+1)/2,"")</f>
        <v/>
      </c>
      <c r="AH284" s="27">
        <f>IF(COUNT($AC284:$AG284)&lt;2,"",IF(MAX($AC284:$AG284)=MIN($AC284:$AG284),0,1))</f>
        <v/>
      </c>
      <c r="AI284" s="27">
        <f>IF($A284="","",IF(COUNTIF($A$14:$A284,$A284)=1,COUNTIF($AI$13:AI283,"&gt;0")+1,""))</f>
        <v/>
      </c>
      <c r="AJ284" s="27">
        <f>IF(OR($H284="",COUNTIFS($A$14:$A$1213,$H284,$F$14:$F$1213,"&gt;=0")&lt;2,COUNTIFS($A$14:$A$1213,$H284,$F$14:$F$1213,_xlfn.MAXIFS($F$14:$F$1213,$A$14:$A$1213,$H284))&gt;1),"",IFERROR(INDEX($D$14:$D$1213,MATCH($H284&amp;"|"&amp;_xlfn.MAXIFS($F$14:$F$1213,$A$14:$A$1213,$H284),$AB$14:$AB$1213,0)),""))</f>
        <v/>
      </c>
      <c r="AK284" s="27">
        <f>IF(OR($H284="",COUNTIFS($A$14:$A$1213,$H284,$F$14:$F$1213,"&gt;=0")&lt;2,COUNTIFS($A$14:$A$1213,$H284,$F$14:$F$1213,_xlfn.MAXIFS($F$14:$F$1213,$A$14:$A$1213,$H284))&gt;1),"",IFERROR(INDEX($E$14:$E$1213,MATCH($H284&amp;"|"&amp;_xlfn.MAXIFS($F$14:$F$1213,$A$14:$A$1213,$H284),$AB$14:$AB$1213,0)),""))</f>
        <v/>
      </c>
      <c r="AL284" s="27">
        <f>IF(OR($H284="",COUNTIFS($A$14:$A$1213,$H284,$F$14:$F$1213,"&gt;=0")&lt;2,COUNTIFS($A$14:$A$1213,$H284,$F$14:$F$1213,_xlfn.MAXIFS($F$14:$F$1213,$A$14:$A$1213,$H284))&gt;1),"",IFERROR(INDEX($D$14:$D$1213,MATCH($H284&amp;"|"&amp;_xlfn.MAXIFS($F$14:$F$1213,$A$14:$A$1213,$H284,$F$14:$F$1213,"&lt;"&amp;_xlfn.MAXIFS($F$14:$F$1213,$A$14:$A$1213,$H284)),$AB$14:$AB$1213,0)),""))</f>
        <v/>
      </c>
      <c r="AM284" s="27">
        <f>IF(OR($H284="",COUNTIFS($A$14:$A$1213,$H284,$F$14:$F$1213,"&gt;=0")&lt;2,COUNTIFS($A$14:$A$1213,$H284,$F$14:$F$1213,_xlfn.MAXIFS($F$14:$F$1213,$A$14:$A$1213,$H284))&gt;1),"",IFERROR(INDEX($E$14:$E$1213,MATCH($H284&amp;"|"&amp;_xlfn.MAXIFS($F$14:$F$1213,$A$14:$A$1213,$H284,$F$14:$F$1213,"&lt;"&amp;_xlfn.MAXIFS($F$14:$F$1213,$A$14:$A$1213,$H284)),$AB$14:$AB$1213,0)),""))</f>
        <v/>
      </c>
      <c r="AN284" s="27">
        <f>IF(OR(NOT(ISNUMBER($AJ284)),NOT(ISNUMBER($AL284)),$AK284=0,$AM284=0),"",IF(OR((($AJ284+$AL284)/($AK284+$AM284))&lt;=0,(($AJ284+$AL284)/($AK284+$AM284))&gt;=1),"",($AJ284/$AK284-$AL284/$AM284)/SQRT((($AJ284+$AL284)/($AK284+$AM284))*(1-(($AJ284+$AL284)/($AK284+$AM284)))*(1/$AK284+1/$AM284))))</f>
        <v/>
      </c>
      <c r="AO284" s="27">
        <f>IF($A284="","",IF(AND(COUNTIFS($A$14:$A$1213,$A284,$F$14:$F$1213,"&gt;=0")=2,IFERROR(INDEX($M$14:$M$313,MATCH($A284,$H$14:$H$313,0)),"Yes")&lt;&gt;"Yes"),1,0))</f>
        <v/>
      </c>
    </row>
    <row r="285" ht="24" customHeight="1">
      <c r="A285" s="19" t="n"/>
      <c r="B285" s="20" t="n"/>
      <c r="C285" s="21">
        <f>IFERROR(AVERAGE(P285:T285),"")</f>
        <v/>
      </c>
      <c r="D285" s="29" t="n"/>
      <c r="E285" s="29" t="n"/>
      <c r="F285" s="30">
        <f>IF(AND(ISNUMBER($D285),ISNUMBER($E285),$E285&gt;0,$D285&lt;=$E285),$D285/$E285,"")</f>
        <v/>
      </c>
      <c r="H285" s="19">
        <f>IFERROR(INDEX($A$14:$A$1213,MATCH(272,$AI$14:$AI$1213,0)),"")</f>
        <v/>
      </c>
      <c r="I285" s="24">
        <f>IF($H285="","",IF(COUNTIFS($A$14:$A$1213,$H285,$C$14:$C$1213,"&gt;=0")=0,"—",IFERROR(INDEX($B$14:$B$1213,MATCH($H285&amp;"|1",$Z$14:$Z$1213,0)),"(tied)")))</f>
        <v/>
      </c>
      <c r="J285" s="25">
        <f>IF($H285="","",IF(OR(COUNTIFS($A$14:$A$1213,$H285,$C$14:$C$1213,"&gt;=0")=0,COUNTIFS($A$14:$A$1213,$H285,$F$14:$F$1213,"&gt;=0")=0),"—",IF(OR(ISERROR(MATCH($H285&amp;"|1",$Z$14:$Z$1213,0)),ISERROR(MATCH($H285&amp;"|1",$AA$14:$AA$1213,0))),"Tie",IF(MATCH($H285&amp;"|1",$Z$14:$Z$1213,0)=MATCH($H285&amp;"|1",$AA$14:$AA$1213,0),"Hit","Miss"))))</f>
        <v/>
      </c>
      <c r="K285" s="24">
        <f>IF($H285="","",IF(COUNTIFS($A$14:$A$1213,$H285,$F$14:$F$1213,"&gt;=0")=0,"—",IFERROR(INDEX($B$14:$B$1213,MATCH($H285&amp;"|1",$AA$14:$AA$1213,0)),"(tied)")))</f>
        <v/>
      </c>
      <c r="L285" s="25">
        <f>IF($H285="","",IF((--(COUNTIFS($A$14:$A$1213,$H285,$P$14:$P$1213,"&gt;=0")&gt;0)+--(COUNTIFS($A$14:$A$1213,$H285,$Q$14:$Q$1213,"&gt;=0")&gt;0)+--(COUNTIFS($A$14:$A$1213,$H285,$R$14:$R$1213,"&gt;=0")&gt;0)+--(COUNTIFS($A$14:$A$1213,$H285,$S$14:$S$1213,"&gt;=0")&gt;0)+--(COUNTIFS($A$14:$A$1213,$H285,$T$14:$T$1213,"&gt;=0")&gt;0))&lt;2,"—",IF(SUMIFS($AH$14:$AH$1213,$A$14:$A$1213,$H285)=0,"Yes","No")))</f>
        <v/>
      </c>
      <c r="M285" s="25">
        <f>IF($H285="","",IF(COUNTIFS($A$14:$A$1213,$H285,$F$14:$F$1213,"&gt;=0")&lt;2,"—",IF(COUNTIFS($A$14:$A$1213,$H285,$F$14:$F$1213,_xlfn.MAXIFS($F$14:$F$1213,$A$14:$A$1213,$H285))&gt;1,"No",IF(NOT(ISNUMBER($AN285)),"—",IF((2*(1-NORMSDIST(ABS($AN285))))&lt;0.05,"Yes","No")))))</f>
        <v/>
      </c>
      <c r="N285" s="21">
        <f>IF($H285="","",IF(NOT(ISNUMBER($AN285)),"—",IF((2*(1-NORMSDIST(ABS($AN285))))&lt;0.001,"&lt;0.001",TEXT((2*(1-NORMSDIST(ABS($AN285)))),"0.000"))))</f>
        <v/>
      </c>
      <c r="P285" s="26" t="n"/>
      <c r="Q285" s="26" t="n"/>
      <c r="R285" s="26" t="n"/>
      <c r="S285" s="26" t="n"/>
      <c r="T285" s="26" t="n"/>
      <c r="V285" s="27">
        <f>IF(ISNUMBER($C285),COUNTIFS($A$14:$A$1213,$A285,$C$14:$C$1213,"&gt;"&amp;$C285)+(COUNTIFS($A$14:$A$1213,$A285,$C$14:$C$1213,"="&amp;$C285)+1)/2,"")</f>
        <v/>
      </c>
      <c r="W285" s="27">
        <f>IF(ISNUMBER($F285),COUNTIFS($A$14:$A$1213,$A285,$F$14:$F$1213,"&gt;"&amp;$F285)+(COUNTIFS($A$14:$A$1213,$A285,$F$14:$F$1213,"="&amp;$F285)+1)/2,"")</f>
        <v/>
      </c>
      <c r="X285" s="27">
        <f>IF(OR(NOT(ISNUMBER($V285)),$AO285=1),"",$V285-(COUNTIFS($A$14:$A$1213,$A285,$C$14:$C$1213,"&gt;=0")+1)/2)</f>
        <v/>
      </c>
      <c r="Y285" s="27">
        <f>IF(OR(NOT(ISNUMBER($W285)),$AO285=1),"",$W285-(COUNTIFS($A$14:$A$1213,$A285,$F$14:$F$1213,"&gt;=0")+1)/2)</f>
        <v/>
      </c>
      <c r="Z285" s="27">
        <f>IF(ISNUMBER($V285),$A285&amp;"|"&amp;$V285,"")</f>
        <v/>
      </c>
      <c r="AA285" s="27">
        <f>IF(ISNUMBER($W285),$A285&amp;"|"&amp;$W285,"")</f>
        <v/>
      </c>
      <c r="AB285" s="27">
        <f>IF(ISNUMBER($F285),$A285&amp;"|"&amp;$F285,"")</f>
        <v/>
      </c>
      <c r="AC285" s="27">
        <f>IF(ISNUMBER($P285),COUNTIFS($A$14:$A$1213,$A285,$P$14:$P$1213,"&gt;"&amp;$P285)+(COUNTIFS($A$14:$A$1213,$A285,$P$14:$P$1213,"="&amp;$P285)+1)/2,"")</f>
        <v/>
      </c>
      <c r="AD285" s="27">
        <f>IF(ISNUMBER($Q285),COUNTIFS($A$14:$A$1213,$A285,$Q$14:$Q$1213,"&gt;"&amp;$Q285)+(COUNTIFS($A$14:$A$1213,$A285,$Q$14:$Q$1213,"="&amp;$Q285)+1)/2,"")</f>
        <v/>
      </c>
      <c r="AE285" s="27">
        <f>IF(ISNUMBER($R285),COUNTIFS($A$14:$A$1213,$A285,$R$14:$R$1213,"&gt;"&amp;$R285)+(COUNTIFS($A$14:$A$1213,$A285,$R$14:$R$1213,"="&amp;$R285)+1)/2,"")</f>
        <v/>
      </c>
      <c r="AF285" s="27">
        <f>IF(ISNUMBER($S285),COUNTIFS($A$14:$A$1213,$A285,$S$14:$S$1213,"&gt;"&amp;$S285)+(COUNTIFS($A$14:$A$1213,$A285,$S$14:$S$1213,"="&amp;$S285)+1)/2,"")</f>
        <v/>
      </c>
      <c r="AG285" s="27">
        <f>IF(ISNUMBER($T285),COUNTIFS($A$14:$A$1213,$A285,$T$14:$T$1213,"&gt;"&amp;$T285)+(COUNTIFS($A$14:$A$1213,$A285,$T$14:$T$1213,"="&amp;$T285)+1)/2,"")</f>
        <v/>
      </c>
      <c r="AH285" s="27">
        <f>IF(COUNT($AC285:$AG285)&lt;2,"",IF(MAX($AC285:$AG285)=MIN($AC285:$AG285),0,1))</f>
        <v/>
      </c>
      <c r="AI285" s="27">
        <f>IF($A285="","",IF(COUNTIF($A$14:$A285,$A285)=1,COUNTIF($AI$13:AI284,"&gt;0")+1,""))</f>
        <v/>
      </c>
      <c r="AJ285" s="27">
        <f>IF(OR($H285="",COUNTIFS($A$14:$A$1213,$H285,$F$14:$F$1213,"&gt;=0")&lt;2,COUNTIFS($A$14:$A$1213,$H285,$F$14:$F$1213,_xlfn.MAXIFS($F$14:$F$1213,$A$14:$A$1213,$H285))&gt;1),"",IFERROR(INDEX($D$14:$D$1213,MATCH($H285&amp;"|"&amp;_xlfn.MAXIFS($F$14:$F$1213,$A$14:$A$1213,$H285),$AB$14:$AB$1213,0)),""))</f>
        <v/>
      </c>
      <c r="AK285" s="27">
        <f>IF(OR($H285="",COUNTIFS($A$14:$A$1213,$H285,$F$14:$F$1213,"&gt;=0")&lt;2,COUNTIFS($A$14:$A$1213,$H285,$F$14:$F$1213,_xlfn.MAXIFS($F$14:$F$1213,$A$14:$A$1213,$H285))&gt;1),"",IFERROR(INDEX($E$14:$E$1213,MATCH($H285&amp;"|"&amp;_xlfn.MAXIFS($F$14:$F$1213,$A$14:$A$1213,$H285),$AB$14:$AB$1213,0)),""))</f>
        <v/>
      </c>
      <c r="AL285" s="27">
        <f>IF(OR($H285="",COUNTIFS($A$14:$A$1213,$H285,$F$14:$F$1213,"&gt;=0")&lt;2,COUNTIFS($A$14:$A$1213,$H285,$F$14:$F$1213,_xlfn.MAXIFS($F$14:$F$1213,$A$14:$A$1213,$H285))&gt;1),"",IFERROR(INDEX($D$14:$D$1213,MATCH($H285&amp;"|"&amp;_xlfn.MAXIFS($F$14:$F$1213,$A$14:$A$1213,$H285,$F$14:$F$1213,"&lt;"&amp;_xlfn.MAXIFS($F$14:$F$1213,$A$14:$A$1213,$H285)),$AB$14:$AB$1213,0)),""))</f>
        <v/>
      </c>
      <c r="AM285" s="27">
        <f>IF(OR($H285="",COUNTIFS($A$14:$A$1213,$H285,$F$14:$F$1213,"&gt;=0")&lt;2,COUNTIFS($A$14:$A$1213,$H285,$F$14:$F$1213,_xlfn.MAXIFS($F$14:$F$1213,$A$14:$A$1213,$H285))&gt;1),"",IFERROR(INDEX($E$14:$E$1213,MATCH($H285&amp;"|"&amp;_xlfn.MAXIFS($F$14:$F$1213,$A$14:$A$1213,$H285,$F$14:$F$1213,"&lt;"&amp;_xlfn.MAXIFS($F$14:$F$1213,$A$14:$A$1213,$H285)),$AB$14:$AB$1213,0)),""))</f>
        <v/>
      </c>
      <c r="AN285" s="27">
        <f>IF(OR(NOT(ISNUMBER($AJ285)),NOT(ISNUMBER($AL285)),$AK285=0,$AM285=0),"",IF(OR((($AJ285+$AL285)/($AK285+$AM285))&lt;=0,(($AJ285+$AL285)/($AK285+$AM285))&gt;=1),"",($AJ285/$AK285-$AL285/$AM285)/SQRT((($AJ285+$AL285)/($AK285+$AM285))*(1-(($AJ285+$AL285)/($AK285+$AM285)))*(1/$AK285+1/$AM285))))</f>
        <v/>
      </c>
      <c r="AO285" s="27">
        <f>IF($A285="","",IF(AND(COUNTIFS($A$14:$A$1213,$A285,$F$14:$F$1213,"&gt;=0")=2,IFERROR(INDEX($M$14:$M$313,MATCH($A285,$H$14:$H$313,0)),"Yes")&lt;&gt;"Yes"),1,0))</f>
        <v/>
      </c>
    </row>
    <row r="286" ht="24" customHeight="1">
      <c r="A286" s="19" t="n"/>
      <c r="B286" s="20" t="n"/>
      <c r="C286" s="21">
        <f>IFERROR(AVERAGE(P286:T286),"")</f>
        <v/>
      </c>
      <c r="D286" s="29" t="n"/>
      <c r="E286" s="29" t="n"/>
      <c r="F286" s="30">
        <f>IF(AND(ISNUMBER($D286),ISNUMBER($E286),$E286&gt;0,$D286&lt;=$E286),$D286/$E286,"")</f>
        <v/>
      </c>
      <c r="H286" s="19">
        <f>IFERROR(INDEX($A$14:$A$1213,MATCH(273,$AI$14:$AI$1213,0)),"")</f>
        <v/>
      </c>
      <c r="I286" s="24">
        <f>IF($H286="","",IF(COUNTIFS($A$14:$A$1213,$H286,$C$14:$C$1213,"&gt;=0")=0,"—",IFERROR(INDEX($B$14:$B$1213,MATCH($H286&amp;"|1",$Z$14:$Z$1213,0)),"(tied)")))</f>
        <v/>
      </c>
      <c r="J286" s="25">
        <f>IF($H286="","",IF(OR(COUNTIFS($A$14:$A$1213,$H286,$C$14:$C$1213,"&gt;=0")=0,COUNTIFS($A$14:$A$1213,$H286,$F$14:$F$1213,"&gt;=0")=0),"—",IF(OR(ISERROR(MATCH($H286&amp;"|1",$Z$14:$Z$1213,0)),ISERROR(MATCH($H286&amp;"|1",$AA$14:$AA$1213,0))),"Tie",IF(MATCH($H286&amp;"|1",$Z$14:$Z$1213,0)=MATCH($H286&amp;"|1",$AA$14:$AA$1213,0),"Hit","Miss"))))</f>
        <v/>
      </c>
      <c r="K286" s="24">
        <f>IF($H286="","",IF(COUNTIFS($A$14:$A$1213,$H286,$F$14:$F$1213,"&gt;=0")=0,"—",IFERROR(INDEX($B$14:$B$1213,MATCH($H286&amp;"|1",$AA$14:$AA$1213,0)),"(tied)")))</f>
        <v/>
      </c>
      <c r="L286" s="25">
        <f>IF($H286="","",IF((--(COUNTIFS($A$14:$A$1213,$H286,$P$14:$P$1213,"&gt;=0")&gt;0)+--(COUNTIFS($A$14:$A$1213,$H286,$Q$14:$Q$1213,"&gt;=0")&gt;0)+--(COUNTIFS($A$14:$A$1213,$H286,$R$14:$R$1213,"&gt;=0")&gt;0)+--(COUNTIFS($A$14:$A$1213,$H286,$S$14:$S$1213,"&gt;=0")&gt;0)+--(COUNTIFS($A$14:$A$1213,$H286,$T$14:$T$1213,"&gt;=0")&gt;0))&lt;2,"—",IF(SUMIFS($AH$14:$AH$1213,$A$14:$A$1213,$H286)=0,"Yes","No")))</f>
        <v/>
      </c>
      <c r="M286" s="25">
        <f>IF($H286="","",IF(COUNTIFS($A$14:$A$1213,$H286,$F$14:$F$1213,"&gt;=0")&lt;2,"—",IF(COUNTIFS($A$14:$A$1213,$H286,$F$14:$F$1213,_xlfn.MAXIFS($F$14:$F$1213,$A$14:$A$1213,$H286))&gt;1,"No",IF(NOT(ISNUMBER($AN286)),"—",IF((2*(1-NORMSDIST(ABS($AN286))))&lt;0.05,"Yes","No")))))</f>
        <v/>
      </c>
      <c r="N286" s="21">
        <f>IF($H286="","",IF(NOT(ISNUMBER($AN286)),"—",IF((2*(1-NORMSDIST(ABS($AN286))))&lt;0.001,"&lt;0.001",TEXT((2*(1-NORMSDIST(ABS($AN286)))),"0.000"))))</f>
        <v/>
      </c>
      <c r="P286" s="26" t="n"/>
      <c r="Q286" s="26" t="n"/>
      <c r="R286" s="26" t="n"/>
      <c r="S286" s="26" t="n"/>
      <c r="T286" s="26" t="n"/>
      <c r="V286" s="27">
        <f>IF(ISNUMBER($C286),COUNTIFS($A$14:$A$1213,$A286,$C$14:$C$1213,"&gt;"&amp;$C286)+(COUNTIFS($A$14:$A$1213,$A286,$C$14:$C$1213,"="&amp;$C286)+1)/2,"")</f>
        <v/>
      </c>
      <c r="W286" s="27">
        <f>IF(ISNUMBER($F286),COUNTIFS($A$14:$A$1213,$A286,$F$14:$F$1213,"&gt;"&amp;$F286)+(COUNTIFS($A$14:$A$1213,$A286,$F$14:$F$1213,"="&amp;$F286)+1)/2,"")</f>
        <v/>
      </c>
      <c r="X286" s="27">
        <f>IF(OR(NOT(ISNUMBER($V286)),$AO286=1),"",$V286-(COUNTIFS($A$14:$A$1213,$A286,$C$14:$C$1213,"&gt;=0")+1)/2)</f>
        <v/>
      </c>
      <c r="Y286" s="27">
        <f>IF(OR(NOT(ISNUMBER($W286)),$AO286=1),"",$W286-(COUNTIFS($A$14:$A$1213,$A286,$F$14:$F$1213,"&gt;=0")+1)/2)</f>
        <v/>
      </c>
      <c r="Z286" s="27">
        <f>IF(ISNUMBER($V286),$A286&amp;"|"&amp;$V286,"")</f>
        <v/>
      </c>
      <c r="AA286" s="27">
        <f>IF(ISNUMBER($W286),$A286&amp;"|"&amp;$W286,"")</f>
        <v/>
      </c>
      <c r="AB286" s="27">
        <f>IF(ISNUMBER($F286),$A286&amp;"|"&amp;$F286,"")</f>
        <v/>
      </c>
      <c r="AC286" s="27">
        <f>IF(ISNUMBER($P286),COUNTIFS($A$14:$A$1213,$A286,$P$14:$P$1213,"&gt;"&amp;$P286)+(COUNTIFS($A$14:$A$1213,$A286,$P$14:$P$1213,"="&amp;$P286)+1)/2,"")</f>
        <v/>
      </c>
      <c r="AD286" s="27">
        <f>IF(ISNUMBER($Q286),COUNTIFS($A$14:$A$1213,$A286,$Q$14:$Q$1213,"&gt;"&amp;$Q286)+(COUNTIFS($A$14:$A$1213,$A286,$Q$14:$Q$1213,"="&amp;$Q286)+1)/2,"")</f>
        <v/>
      </c>
      <c r="AE286" s="27">
        <f>IF(ISNUMBER($R286),COUNTIFS($A$14:$A$1213,$A286,$R$14:$R$1213,"&gt;"&amp;$R286)+(COUNTIFS($A$14:$A$1213,$A286,$R$14:$R$1213,"="&amp;$R286)+1)/2,"")</f>
        <v/>
      </c>
      <c r="AF286" s="27">
        <f>IF(ISNUMBER($S286),COUNTIFS($A$14:$A$1213,$A286,$S$14:$S$1213,"&gt;"&amp;$S286)+(COUNTIFS($A$14:$A$1213,$A286,$S$14:$S$1213,"="&amp;$S286)+1)/2,"")</f>
        <v/>
      </c>
      <c r="AG286" s="27">
        <f>IF(ISNUMBER($T286),COUNTIFS($A$14:$A$1213,$A286,$T$14:$T$1213,"&gt;"&amp;$T286)+(COUNTIFS($A$14:$A$1213,$A286,$T$14:$T$1213,"="&amp;$T286)+1)/2,"")</f>
        <v/>
      </c>
      <c r="AH286" s="27">
        <f>IF(COUNT($AC286:$AG286)&lt;2,"",IF(MAX($AC286:$AG286)=MIN($AC286:$AG286),0,1))</f>
        <v/>
      </c>
      <c r="AI286" s="27">
        <f>IF($A286="","",IF(COUNTIF($A$14:$A286,$A286)=1,COUNTIF($AI$13:AI285,"&gt;0")+1,""))</f>
        <v/>
      </c>
      <c r="AJ286" s="27">
        <f>IF(OR($H286="",COUNTIFS($A$14:$A$1213,$H286,$F$14:$F$1213,"&gt;=0")&lt;2,COUNTIFS($A$14:$A$1213,$H286,$F$14:$F$1213,_xlfn.MAXIFS($F$14:$F$1213,$A$14:$A$1213,$H286))&gt;1),"",IFERROR(INDEX($D$14:$D$1213,MATCH($H286&amp;"|"&amp;_xlfn.MAXIFS($F$14:$F$1213,$A$14:$A$1213,$H286),$AB$14:$AB$1213,0)),""))</f>
        <v/>
      </c>
      <c r="AK286" s="27">
        <f>IF(OR($H286="",COUNTIFS($A$14:$A$1213,$H286,$F$14:$F$1213,"&gt;=0")&lt;2,COUNTIFS($A$14:$A$1213,$H286,$F$14:$F$1213,_xlfn.MAXIFS($F$14:$F$1213,$A$14:$A$1213,$H286))&gt;1),"",IFERROR(INDEX($E$14:$E$1213,MATCH($H286&amp;"|"&amp;_xlfn.MAXIFS($F$14:$F$1213,$A$14:$A$1213,$H286),$AB$14:$AB$1213,0)),""))</f>
        <v/>
      </c>
      <c r="AL286" s="27">
        <f>IF(OR($H286="",COUNTIFS($A$14:$A$1213,$H286,$F$14:$F$1213,"&gt;=0")&lt;2,COUNTIFS($A$14:$A$1213,$H286,$F$14:$F$1213,_xlfn.MAXIFS($F$14:$F$1213,$A$14:$A$1213,$H286))&gt;1),"",IFERROR(INDEX($D$14:$D$1213,MATCH($H286&amp;"|"&amp;_xlfn.MAXIFS($F$14:$F$1213,$A$14:$A$1213,$H286,$F$14:$F$1213,"&lt;"&amp;_xlfn.MAXIFS($F$14:$F$1213,$A$14:$A$1213,$H286)),$AB$14:$AB$1213,0)),""))</f>
        <v/>
      </c>
      <c r="AM286" s="27">
        <f>IF(OR($H286="",COUNTIFS($A$14:$A$1213,$H286,$F$14:$F$1213,"&gt;=0")&lt;2,COUNTIFS($A$14:$A$1213,$H286,$F$14:$F$1213,_xlfn.MAXIFS($F$14:$F$1213,$A$14:$A$1213,$H286))&gt;1),"",IFERROR(INDEX($E$14:$E$1213,MATCH($H286&amp;"|"&amp;_xlfn.MAXIFS($F$14:$F$1213,$A$14:$A$1213,$H286,$F$14:$F$1213,"&lt;"&amp;_xlfn.MAXIFS($F$14:$F$1213,$A$14:$A$1213,$H286)),$AB$14:$AB$1213,0)),""))</f>
        <v/>
      </c>
      <c r="AN286" s="27">
        <f>IF(OR(NOT(ISNUMBER($AJ286)),NOT(ISNUMBER($AL286)),$AK286=0,$AM286=0),"",IF(OR((($AJ286+$AL286)/($AK286+$AM286))&lt;=0,(($AJ286+$AL286)/($AK286+$AM286))&gt;=1),"",($AJ286/$AK286-$AL286/$AM286)/SQRT((($AJ286+$AL286)/($AK286+$AM286))*(1-(($AJ286+$AL286)/($AK286+$AM286)))*(1/$AK286+1/$AM286))))</f>
        <v/>
      </c>
      <c r="AO286" s="27">
        <f>IF($A286="","",IF(AND(COUNTIFS($A$14:$A$1213,$A286,$F$14:$F$1213,"&gt;=0")=2,IFERROR(INDEX($M$14:$M$313,MATCH($A286,$H$14:$H$313,0)),"Yes")&lt;&gt;"Yes"),1,0))</f>
        <v/>
      </c>
    </row>
    <row r="287" ht="24" customHeight="1">
      <c r="A287" s="19" t="n"/>
      <c r="B287" s="20" t="n"/>
      <c r="C287" s="21">
        <f>IFERROR(AVERAGE(P287:T287),"")</f>
        <v/>
      </c>
      <c r="D287" s="29" t="n"/>
      <c r="E287" s="29" t="n"/>
      <c r="F287" s="30">
        <f>IF(AND(ISNUMBER($D287),ISNUMBER($E287),$E287&gt;0,$D287&lt;=$E287),$D287/$E287,"")</f>
        <v/>
      </c>
      <c r="H287" s="19">
        <f>IFERROR(INDEX($A$14:$A$1213,MATCH(274,$AI$14:$AI$1213,0)),"")</f>
        <v/>
      </c>
      <c r="I287" s="24">
        <f>IF($H287="","",IF(COUNTIFS($A$14:$A$1213,$H287,$C$14:$C$1213,"&gt;=0")=0,"—",IFERROR(INDEX($B$14:$B$1213,MATCH($H287&amp;"|1",$Z$14:$Z$1213,0)),"(tied)")))</f>
        <v/>
      </c>
      <c r="J287" s="25">
        <f>IF($H287="","",IF(OR(COUNTIFS($A$14:$A$1213,$H287,$C$14:$C$1213,"&gt;=0")=0,COUNTIFS($A$14:$A$1213,$H287,$F$14:$F$1213,"&gt;=0")=0),"—",IF(OR(ISERROR(MATCH($H287&amp;"|1",$Z$14:$Z$1213,0)),ISERROR(MATCH($H287&amp;"|1",$AA$14:$AA$1213,0))),"Tie",IF(MATCH($H287&amp;"|1",$Z$14:$Z$1213,0)=MATCH($H287&amp;"|1",$AA$14:$AA$1213,0),"Hit","Miss"))))</f>
        <v/>
      </c>
      <c r="K287" s="24">
        <f>IF($H287="","",IF(COUNTIFS($A$14:$A$1213,$H287,$F$14:$F$1213,"&gt;=0")=0,"—",IFERROR(INDEX($B$14:$B$1213,MATCH($H287&amp;"|1",$AA$14:$AA$1213,0)),"(tied)")))</f>
        <v/>
      </c>
      <c r="L287" s="25">
        <f>IF($H287="","",IF((--(COUNTIFS($A$14:$A$1213,$H287,$P$14:$P$1213,"&gt;=0")&gt;0)+--(COUNTIFS($A$14:$A$1213,$H287,$Q$14:$Q$1213,"&gt;=0")&gt;0)+--(COUNTIFS($A$14:$A$1213,$H287,$R$14:$R$1213,"&gt;=0")&gt;0)+--(COUNTIFS($A$14:$A$1213,$H287,$S$14:$S$1213,"&gt;=0")&gt;0)+--(COUNTIFS($A$14:$A$1213,$H287,$T$14:$T$1213,"&gt;=0")&gt;0))&lt;2,"—",IF(SUMIFS($AH$14:$AH$1213,$A$14:$A$1213,$H287)=0,"Yes","No")))</f>
        <v/>
      </c>
      <c r="M287" s="25">
        <f>IF($H287="","",IF(COUNTIFS($A$14:$A$1213,$H287,$F$14:$F$1213,"&gt;=0")&lt;2,"—",IF(COUNTIFS($A$14:$A$1213,$H287,$F$14:$F$1213,_xlfn.MAXIFS($F$14:$F$1213,$A$14:$A$1213,$H287))&gt;1,"No",IF(NOT(ISNUMBER($AN287)),"—",IF((2*(1-NORMSDIST(ABS($AN287))))&lt;0.05,"Yes","No")))))</f>
        <v/>
      </c>
      <c r="N287" s="21">
        <f>IF($H287="","",IF(NOT(ISNUMBER($AN287)),"—",IF((2*(1-NORMSDIST(ABS($AN287))))&lt;0.001,"&lt;0.001",TEXT((2*(1-NORMSDIST(ABS($AN287)))),"0.000"))))</f>
        <v/>
      </c>
      <c r="P287" s="26" t="n"/>
      <c r="Q287" s="26" t="n"/>
      <c r="R287" s="26" t="n"/>
      <c r="S287" s="26" t="n"/>
      <c r="T287" s="26" t="n"/>
      <c r="V287" s="27">
        <f>IF(ISNUMBER($C287),COUNTIFS($A$14:$A$1213,$A287,$C$14:$C$1213,"&gt;"&amp;$C287)+(COUNTIFS($A$14:$A$1213,$A287,$C$14:$C$1213,"="&amp;$C287)+1)/2,"")</f>
        <v/>
      </c>
      <c r="W287" s="27">
        <f>IF(ISNUMBER($F287),COUNTIFS($A$14:$A$1213,$A287,$F$14:$F$1213,"&gt;"&amp;$F287)+(COUNTIFS($A$14:$A$1213,$A287,$F$14:$F$1213,"="&amp;$F287)+1)/2,"")</f>
        <v/>
      </c>
      <c r="X287" s="27">
        <f>IF(OR(NOT(ISNUMBER($V287)),$AO287=1),"",$V287-(COUNTIFS($A$14:$A$1213,$A287,$C$14:$C$1213,"&gt;=0")+1)/2)</f>
        <v/>
      </c>
      <c r="Y287" s="27">
        <f>IF(OR(NOT(ISNUMBER($W287)),$AO287=1),"",$W287-(COUNTIFS($A$14:$A$1213,$A287,$F$14:$F$1213,"&gt;=0")+1)/2)</f>
        <v/>
      </c>
      <c r="Z287" s="27">
        <f>IF(ISNUMBER($V287),$A287&amp;"|"&amp;$V287,"")</f>
        <v/>
      </c>
      <c r="AA287" s="27">
        <f>IF(ISNUMBER($W287),$A287&amp;"|"&amp;$W287,"")</f>
        <v/>
      </c>
      <c r="AB287" s="27">
        <f>IF(ISNUMBER($F287),$A287&amp;"|"&amp;$F287,"")</f>
        <v/>
      </c>
      <c r="AC287" s="27">
        <f>IF(ISNUMBER($P287),COUNTIFS($A$14:$A$1213,$A287,$P$14:$P$1213,"&gt;"&amp;$P287)+(COUNTIFS($A$14:$A$1213,$A287,$P$14:$P$1213,"="&amp;$P287)+1)/2,"")</f>
        <v/>
      </c>
      <c r="AD287" s="27">
        <f>IF(ISNUMBER($Q287),COUNTIFS($A$14:$A$1213,$A287,$Q$14:$Q$1213,"&gt;"&amp;$Q287)+(COUNTIFS($A$14:$A$1213,$A287,$Q$14:$Q$1213,"="&amp;$Q287)+1)/2,"")</f>
        <v/>
      </c>
      <c r="AE287" s="27">
        <f>IF(ISNUMBER($R287),COUNTIFS($A$14:$A$1213,$A287,$R$14:$R$1213,"&gt;"&amp;$R287)+(COUNTIFS($A$14:$A$1213,$A287,$R$14:$R$1213,"="&amp;$R287)+1)/2,"")</f>
        <v/>
      </c>
      <c r="AF287" s="27">
        <f>IF(ISNUMBER($S287),COUNTIFS($A$14:$A$1213,$A287,$S$14:$S$1213,"&gt;"&amp;$S287)+(COUNTIFS($A$14:$A$1213,$A287,$S$14:$S$1213,"="&amp;$S287)+1)/2,"")</f>
        <v/>
      </c>
      <c r="AG287" s="27">
        <f>IF(ISNUMBER($T287),COUNTIFS($A$14:$A$1213,$A287,$T$14:$T$1213,"&gt;"&amp;$T287)+(COUNTIFS($A$14:$A$1213,$A287,$T$14:$T$1213,"="&amp;$T287)+1)/2,"")</f>
        <v/>
      </c>
      <c r="AH287" s="27">
        <f>IF(COUNT($AC287:$AG287)&lt;2,"",IF(MAX($AC287:$AG287)=MIN($AC287:$AG287),0,1))</f>
        <v/>
      </c>
      <c r="AI287" s="27">
        <f>IF($A287="","",IF(COUNTIF($A$14:$A287,$A287)=1,COUNTIF($AI$13:AI286,"&gt;0")+1,""))</f>
        <v/>
      </c>
      <c r="AJ287" s="27">
        <f>IF(OR($H287="",COUNTIFS($A$14:$A$1213,$H287,$F$14:$F$1213,"&gt;=0")&lt;2,COUNTIFS($A$14:$A$1213,$H287,$F$14:$F$1213,_xlfn.MAXIFS($F$14:$F$1213,$A$14:$A$1213,$H287))&gt;1),"",IFERROR(INDEX($D$14:$D$1213,MATCH($H287&amp;"|"&amp;_xlfn.MAXIFS($F$14:$F$1213,$A$14:$A$1213,$H287),$AB$14:$AB$1213,0)),""))</f>
        <v/>
      </c>
      <c r="AK287" s="27">
        <f>IF(OR($H287="",COUNTIFS($A$14:$A$1213,$H287,$F$14:$F$1213,"&gt;=0")&lt;2,COUNTIFS($A$14:$A$1213,$H287,$F$14:$F$1213,_xlfn.MAXIFS($F$14:$F$1213,$A$14:$A$1213,$H287))&gt;1),"",IFERROR(INDEX($E$14:$E$1213,MATCH($H287&amp;"|"&amp;_xlfn.MAXIFS($F$14:$F$1213,$A$14:$A$1213,$H287),$AB$14:$AB$1213,0)),""))</f>
        <v/>
      </c>
      <c r="AL287" s="27">
        <f>IF(OR($H287="",COUNTIFS($A$14:$A$1213,$H287,$F$14:$F$1213,"&gt;=0")&lt;2,COUNTIFS($A$14:$A$1213,$H287,$F$14:$F$1213,_xlfn.MAXIFS($F$14:$F$1213,$A$14:$A$1213,$H287))&gt;1),"",IFERROR(INDEX($D$14:$D$1213,MATCH($H287&amp;"|"&amp;_xlfn.MAXIFS($F$14:$F$1213,$A$14:$A$1213,$H287,$F$14:$F$1213,"&lt;"&amp;_xlfn.MAXIFS($F$14:$F$1213,$A$14:$A$1213,$H287)),$AB$14:$AB$1213,0)),""))</f>
        <v/>
      </c>
      <c r="AM287" s="27">
        <f>IF(OR($H287="",COUNTIFS($A$14:$A$1213,$H287,$F$14:$F$1213,"&gt;=0")&lt;2,COUNTIFS($A$14:$A$1213,$H287,$F$14:$F$1213,_xlfn.MAXIFS($F$14:$F$1213,$A$14:$A$1213,$H287))&gt;1),"",IFERROR(INDEX($E$14:$E$1213,MATCH($H287&amp;"|"&amp;_xlfn.MAXIFS($F$14:$F$1213,$A$14:$A$1213,$H287,$F$14:$F$1213,"&lt;"&amp;_xlfn.MAXIFS($F$14:$F$1213,$A$14:$A$1213,$H287)),$AB$14:$AB$1213,0)),""))</f>
        <v/>
      </c>
      <c r="AN287" s="27">
        <f>IF(OR(NOT(ISNUMBER($AJ287)),NOT(ISNUMBER($AL287)),$AK287=0,$AM287=0),"",IF(OR((($AJ287+$AL287)/($AK287+$AM287))&lt;=0,(($AJ287+$AL287)/($AK287+$AM287))&gt;=1),"",($AJ287/$AK287-$AL287/$AM287)/SQRT((($AJ287+$AL287)/($AK287+$AM287))*(1-(($AJ287+$AL287)/($AK287+$AM287)))*(1/$AK287+1/$AM287))))</f>
        <v/>
      </c>
      <c r="AO287" s="27">
        <f>IF($A287="","",IF(AND(COUNTIFS($A$14:$A$1213,$A287,$F$14:$F$1213,"&gt;=0")=2,IFERROR(INDEX($M$14:$M$313,MATCH($A287,$H$14:$H$313,0)),"Yes")&lt;&gt;"Yes"),1,0))</f>
        <v/>
      </c>
    </row>
    <row r="288" ht="24" customHeight="1">
      <c r="A288" s="19" t="n"/>
      <c r="B288" s="20" t="n"/>
      <c r="C288" s="21">
        <f>IFERROR(AVERAGE(P288:T288),"")</f>
        <v/>
      </c>
      <c r="D288" s="29" t="n"/>
      <c r="E288" s="29" t="n"/>
      <c r="F288" s="30">
        <f>IF(AND(ISNUMBER($D288),ISNUMBER($E288),$E288&gt;0,$D288&lt;=$E288),$D288/$E288,"")</f>
        <v/>
      </c>
      <c r="H288" s="19">
        <f>IFERROR(INDEX($A$14:$A$1213,MATCH(275,$AI$14:$AI$1213,0)),"")</f>
        <v/>
      </c>
      <c r="I288" s="24">
        <f>IF($H288="","",IF(COUNTIFS($A$14:$A$1213,$H288,$C$14:$C$1213,"&gt;=0")=0,"—",IFERROR(INDEX($B$14:$B$1213,MATCH($H288&amp;"|1",$Z$14:$Z$1213,0)),"(tied)")))</f>
        <v/>
      </c>
      <c r="J288" s="25">
        <f>IF($H288="","",IF(OR(COUNTIFS($A$14:$A$1213,$H288,$C$14:$C$1213,"&gt;=0")=0,COUNTIFS($A$14:$A$1213,$H288,$F$14:$F$1213,"&gt;=0")=0),"—",IF(OR(ISERROR(MATCH($H288&amp;"|1",$Z$14:$Z$1213,0)),ISERROR(MATCH($H288&amp;"|1",$AA$14:$AA$1213,0))),"Tie",IF(MATCH($H288&amp;"|1",$Z$14:$Z$1213,0)=MATCH($H288&amp;"|1",$AA$14:$AA$1213,0),"Hit","Miss"))))</f>
        <v/>
      </c>
      <c r="K288" s="24">
        <f>IF($H288="","",IF(COUNTIFS($A$14:$A$1213,$H288,$F$14:$F$1213,"&gt;=0")=0,"—",IFERROR(INDEX($B$14:$B$1213,MATCH($H288&amp;"|1",$AA$14:$AA$1213,0)),"(tied)")))</f>
        <v/>
      </c>
      <c r="L288" s="25">
        <f>IF($H288="","",IF((--(COUNTIFS($A$14:$A$1213,$H288,$P$14:$P$1213,"&gt;=0")&gt;0)+--(COUNTIFS($A$14:$A$1213,$H288,$Q$14:$Q$1213,"&gt;=0")&gt;0)+--(COUNTIFS($A$14:$A$1213,$H288,$R$14:$R$1213,"&gt;=0")&gt;0)+--(COUNTIFS($A$14:$A$1213,$H288,$S$14:$S$1213,"&gt;=0")&gt;0)+--(COUNTIFS($A$14:$A$1213,$H288,$T$14:$T$1213,"&gt;=0")&gt;0))&lt;2,"—",IF(SUMIFS($AH$14:$AH$1213,$A$14:$A$1213,$H288)=0,"Yes","No")))</f>
        <v/>
      </c>
      <c r="M288" s="25">
        <f>IF($H288="","",IF(COUNTIFS($A$14:$A$1213,$H288,$F$14:$F$1213,"&gt;=0")&lt;2,"—",IF(COUNTIFS($A$14:$A$1213,$H288,$F$14:$F$1213,_xlfn.MAXIFS($F$14:$F$1213,$A$14:$A$1213,$H288))&gt;1,"No",IF(NOT(ISNUMBER($AN288)),"—",IF((2*(1-NORMSDIST(ABS($AN288))))&lt;0.05,"Yes","No")))))</f>
        <v/>
      </c>
      <c r="N288" s="21">
        <f>IF($H288="","",IF(NOT(ISNUMBER($AN288)),"—",IF((2*(1-NORMSDIST(ABS($AN288))))&lt;0.001,"&lt;0.001",TEXT((2*(1-NORMSDIST(ABS($AN288)))),"0.000"))))</f>
        <v/>
      </c>
      <c r="P288" s="26" t="n"/>
      <c r="Q288" s="26" t="n"/>
      <c r="R288" s="26" t="n"/>
      <c r="S288" s="26" t="n"/>
      <c r="T288" s="26" t="n"/>
      <c r="V288" s="27">
        <f>IF(ISNUMBER($C288),COUNTIFS($A$14:$A$1213,$A288,$C$14:$C$1213,"&gt;"&amp;$C288)+(COUNTIFS($A$14:$A$1213,$A288,$C$14:$C$1213,"="&amp;$C288)+1)/2,"")</f>
        <v/>
      </c>
      <c r="W288" s="27">
        <f>IF(ISNUMBER($F288),COUNTIFS($A$14:$A$1213,$A288,$F$14:$F$1213,"&gt;"&amp;$F288)+(COUNTIFS($A$14:$A$1213,$A288,$F$14:$F$1213,"="&amp;$F288)+1)/2,"")</f>
        <v/>
      </c>
      <c r="X288" s="27">
        <f>IF(OR(NOT(ISNUMBER($V288)),$AO288=1),"",$V288-(COUNTIFS($A$14:$A$1213,$A288,$C$14:$C$1213,"&gt;=0")+1)/2)</f>
        <v/>
      </c>
      <c r="Y288" s="27">
        <f>IF(OR(NOT(ISNUMBER($W288)),$AO288=1),"",$W288-(COUNTIFS($A$14:$A$1213,$A288,$F$14:$F$1213,"&gt;=0")+1)/2)</f>
        <v/>
      </c>
      <c r="Z288" s="27">
        <f>IF(ISNUMBER($V288),$A288&amp;"|"&amp;$V288,"")</f>
        <v/>
      </c>
      <c r="AA288" s="27">
        <f>IF(ISNUMBER($W288),$A288&amp;"|"&amp;$W288,"")</f>
        <v/>
      </c>
      <c r="AB288" s="27">
        <f>IF(ISNUMBER($F288),$A288&amp;"|"&amp;$F288,"")</f>
        <v/>
      </c>
      <c r="AC288" s="27">
        <f>IF(ISNUMBER($P288),COUNTIFS($A$14:$A$1213,$A288,$P$14:$P$1213,"&gt;"&amp;$P288)+(COUNTIFS($A$14:$A$1213,$A288,$P$14:$P$1213,"="&amp;$P288)+1)/2,"")</f>
        <v/>
      </c>
      <c r="AD288" s="27">
        <f>IF(ISNUMBER($Q288),COUNTIFS($A$14:$A$1213,$A288,$Q$14:$Q$1213,"&gt;"&amp;$Q288)+(COUNTIFS($A$14:$A$1213,$A288,$Q$14:$Q$1213,"="&amp;$Q288)+1)/2,"")</f>
        <v/>
      </c>
      <c r="AE288" s="27">
        <f>IF(ISNUMBER($R288),COUNTIFS($A$14:$A$1213,$A288,$R$14:$R$1213,"&gt;"&amp;$R288)+(COUNTIFS($A$14:$A$1213,$A288,$R$14:$R$1213,"="&amp;$R288)+1)/2,"")</f>
        <v/>
      </c>
      <c r="AF288" s="27">
        <f>IF(ISNUMBER($S288),COUNTIFS($A$14:$A$1213,$A288,$S$14:$S$1213,"&gt;"&amp;$S288)+(COUNTIFS($A$14:$A$1213,$A288,$S$14:$S$1213,"="&amp;$S288)+1)/2,"")</f>
        <v/>
      </c>
      <c r="AG288" s="27">
        <f>IF(ISNUMBER($T288),COUNTIFS($A$14:$A$1213,$A288,$T$14:$T$1213,"&gt;"&amp;$T288)+(COUNTIFS($A$14:$A$1213,$A288,$T$14:$T$1213,"="&amp;$T288)+1)/2,"")</f>
        <v/>
      </c>
      <c r="AH288" s="27">
        <f>IF(COUNT($AC288:$AG288)&lt;2,"",IF(MAX($AC288:$AG288)=MIN($AC288:$AG288),0,1))</f>
        <v/>
      </c>
      <c r="AI288" s="27">
        <f>IF($A288="","",IF(COUNTIF($A$14:$A288,$A288)=1,COUNTIF($AI$13:AI287,"&gt;0")+1,""))</f>
        <v/>
      </c>
      <c r="AJ288" s="27">
        <f>IF(OR($H288="",COUNTIFS($A$14:$A$1213,$H288,$F$14:$F$1213,"&gt;=0")&lt;2,COUNTIFS($A$14:$A$1213,$H288,$F$14:$F$1213,_xlfn.MAXIFS($F$14:$F$1213,$A$14:$A$1213,$H288))&gt;1),"",IFERROR(INDEX($D$14:$D$1213,MATCH($H288&amp;"|"&amp;_xlfn.MAXIFS($F$14:$F$1213,$A$14:$A$1213,$H288),$AB$14:$AB$1213,0)),""))</f>
        <v/>
      </c>
      <c r="AK288" s="27">
        <f>IF(OR($H288="",COUNTIFS($A$14:$A$1213,$H288,$F$14:$F$1213,"&gt;=0")&lt;2,COUNTIFS($A$14:$A$1213,$H288,$F$14:$F$1213,_xlfn.MAXIFS($F$14:$F$1213,$A$14:$A$1213,$H288))&gt;1),"",IFERROR(INDEX($E$14:$E$1213,MATCH($H288&amp;"|"&amp;_xlfn.MAXIFS($F$14:$F$1213,$A$14:$A$1213,$H288),$AB$14:$AB$1213,0)),""))</f>
        <v/>
      </c>
      <c r="AL288" s="27">
        <f>IF(OR($H288="",COUNTIFS($A$14:$A$1213,$H288,$F$14:$F$1213,"&gt;=0")&lt;2,COUNTIFS($A$14:$A$1213,$H288,$F$14:$F$1213,_xlfn.MAXIFS($F$14:$F$1213,$A$14:$A$1213,$H288))&gt;1),"",IFERROR(INDEX($D$14:$D$1213,MATCH($H288&amp;"|"&amp;_xlfn.MAXIFS($F$14:$F$1213,$A$14:$A$1213,$H288,$F$14:$F$1213,"&lt;"&amp;_xlfn.MAXIFS($F$14:$F$1213,$A$14:$A$1213,$H288)),$AB$14:$AB$1213,0)),""))</f>
        <v/>
      </c>
      <c r="AM288" s="27">
        <f>IF(OR($H288="",COUNTIFS($A$14:$A$1213,$H288,$F$14:$F$1213,"&gt;=0")&lt;2,COUNTIFS($A$14:$A$1213,$H288,$F$14:$F$1213,_xlfn.MAXIFS($F$14:$F$1213,$A$14:$A$1213,$H288))&gt;1),"",IFERROR(INDEX($E$14:$E$1213,MATCH($H288&amp;"|"&amp;_xlfn.MAXIFS($F$14:$F$1213,$A$14:$A$1213,$H288,$F$14:$F$1213,"&lt;"&amp;_xlfn.MAXIFS($F$14:$F$1213,$A$14:$A$1213,$H288)),$AB$14:$AB$1213,0)),""))</f>
        <v/>
      </c>
      <c r="AN288" s="27">
        <f>IF(OR(NOT(ISNUMBER($AJ288)),NOT(ISNUMBER($AL288)),$AK288=0,$AM288=0),"",IF(OR((($AJ288+$AL288)/($AK288+$AM288))&lt;=0,(($AJ288+$AL288)/($AK288+$AM288))&gt;=1),"",($AJ288/$AK288-$AL288/$AM288)/SQRT((($AJ288+$AL288)/($AK288+$AM288))*(1-(($AJ288+$AL288)/($AK288+$AM288)))*(1/$AK288+1/$AM288))))</f>
        <v/>
      </c>
      <c r="AO288" s="27">
        <f>IF($A288="","",IF(AND(COUNTIFS($A$14:$A$1213,$A288,$F$14:$F$1213,"&gt;=0")=2,IFERROR(INDEX($M$14:$M$313,MATCH($A288,$H$14:$H$313,0)),"Yes")&lt;&gt;"Yes"),1,0))</f>
        <v/>
      </c>
    </row>
    <row r="289" ht="24" customHeight="1">
      <c r="A289" s="19" t="n"/>
      <c r="B289" s="20" t="n"/>
      <c r="C289" s="21">
        <f>IFERROR(AVERAGE(P289:T289),"")</f>
        <v/>
      </c>
      <c r="D289" s="29" t="n"/>
      <c r="E289" s="29" t="n"/>
      <c r="F289" s="30">
        <f>IF(AND(ISNUMBER($D289),ISNUMBER($E289),$E289&gt;0,$D289&lt;=$E289),$D289/$E289,"")</f>
        <v/>
      </c>
      <c r="H289" s="19">
        <f>IFERROR(INDEX($A$14:$A$1213,MATCH(276,$AI$14:$AI$1213,0)),"")</f>
        <v/>
      </c>
      <c r="I289" s="24">
        <f>IF($H289="","",IF(COUNTIFS($A$14:$A$1213,$H289,$C$14:$C$1213,"&gt;=0")=0,"—",IFERROR(INDEX($B$14:$B$1213,MATCH($H289&amp;"|1",$Z$14:$Z$1213,0)),"(tied)")))</f>
        <v/>
      </c>
      <c r="J289" s="25">
        <f>IF($H289="","",IF(OR(COUNTIFS($A$14:$A$1213,$H289,$C$14:$C$1213,"&gt;=0")=0,COUNTIFS($A$14:$A$1213,$H289,$F$14:$F$1213,"&gt;=0")=0),"—",IF(OR(ISERROR(MATCH($H289&amp;"|1",$Z$14:$Z$1213,0)),ISERROR(MATCH($H289&amp;"|1",$AA$14:$AA$1213,0))),"Tie",IF(MATCH($H289&amp;"|1",$Z$14:$Z$1213,0)=MATCH($H289&amp;"|1",$AA$14:$AA$1213,0),"Hit","Miss"))))</f>
        <v/>
      </c>
      <c r="K289" s="24">
        <f>IF($H289="","",IF(COUNTIFS($A$14:$A$1213,$H289,$F$14:$F$1213,"&gt;=0")=0,"—",IFERROR(INDEX($B$14:$B$1213,MATCH($H289&amp;"|1",$AA$14:$AA$1213,0)),"(tied)")))</f>
        <v/>
      </c>
      <c r="L289" s="25">
        <f>IF($H289="","",IF((--(COUNTIFS($A$14:$A$1213,$H289,$P$14:$P$1213,"&gt;=0")&gt;0)+--(COUNTIFS($A$14:$A$1213,$H289,$Q$14:$Q$1213,"&gt;=0")&gt;0)+--(COUNTIFS($A$14:$A$1213,$H289,$R$14:$R$1213,"&gt;=0")&gt;0)+--(COUNTIFS($A$14:$A$1213,$H289,$S$14:$S$1213,"&gt;=0")&gt;0)+--(COUNTIFS($A$14:$A$1213,$H289,$T$14:$T$1213,"&gt;=0")&gt;0))&lt;2,"—",IF(SUMIFS($AH$14:$AH$1213,$A$14:$A$1213,$H289)=0,"Yes","No")))</f>
        <v/>
      </c>
      <c r="M289" s="25">
        <f>IF($H289="","",IF(COUNTIFS($A$14:$A$1213,$H289,$F$14:$F$1213,"&gt;=0")&lt;2,"—",IF(COUNTIFS($A$14:$A$1213,$H289,$F$14:$F$1213,_xlfn.MAXIFS($F$14:$F$1213,$A$14:$A$1213,$H289))&gt;1,"No",IF(NOT(ISNUMBER($AN289)),"—",IF((2*(1-NORMSDIST(ABS($AN289))))&lt;0.05,"Yes","No")))))</f>
        <v/>
      </c>
      <c r="N289" s="21">
        <f>IF($H289="","",IF(NOT(ISNUMBER($AN289)),"—",IF((2*(1-NORMSDIST(ABS($AN289))))&lt;0.001,"&lt;0.001",TEXT((2*(1-NORMSDIST(ABS($AN289)))),"0.000"))))</f>
        <v/>
      </c>
      <c r="P289" s="26" t="n"/>
      <c r="Q289" s="26" t="n"/>
      <c r="R289" s="26" t="n"/>
      <c r="S289" s="26" t="n"/>
      <c r="T289" s="26" t="n"/>
      <c r="V289" s="27">
        <f>IF(ISNUMBER($C289),COUNTIFS($A$14:$A$1213,$A289,$C$14:$C$1213,"&gt;"&amp;$C289)+(COUNTIFS($A$14:$A$1213,$A289,$C$14:$C$1213,"="&amp;$C289)+1)/2,"")</f>
        <v/>
      </c>
      <c r="W289" s="27">
        <f>IF(ISNUMBER($F289),COUNTIFS($A$14:$A$1213,$A289,$F$14:$F$1213,"&gt;"&amp;$F289)+(COUNTIFS($A$14:$A$1213,$A289,$F$14:$F$1213,"="&amp;$F289)+1)/2,"")</f>
        <v/>
      </c>
      <c r="X289" s="27">
        <f>IF(OR(NOT(ISNUMBER($V289)),$AO289=1),"",$V289-(COUNTIFS($A$14:$A$1213,$A289,$C$14:$C$1213,"&gt;=0")+1)/2)</f>
        <v/>
      </c>
      <c r="Y289" s="27">
        <f>IF(OR(NOT(ISNUMBER($W289)),$AO289=1),"",$W289-(COUNTIFS($A$14:$A$1213,$A289,$F$14:$F$1213,"&gt;=0")+1)/2)</f>
        <v/>
      </c>
      <c r="Z289" s="27">
        <f>IF(ISNUMBER($V289),$A289&amp;"|"&amp;$V289,"")</f>
        <v/>
      </c>
      <c r="AA289" s="27">
        <f>IF(ISNUMBER($W289),$A289&amp;"|"&amp;$W289,"")</f>
        <v/>
      </c>
      <c r="AB289" s="27">
        <f>IF(ISNUMBER($F289),$A289&amp;"|"&amp;$F289,"")</f>
        <v/>
      </c>
      <c r="AC289" s="27">
        <f>IF(ISNUMBER($P289),COUNTIFS($A$14:$A$1213,$A289,$P$14:$P$1213,"&gt;"&amp;$P289)+(COUNTIFS($A$14:$A$1213,$A289,$P$14:$P$1213,"="&amp;$P289)+1)/2,"")</f>
        <v/>
      </c>
      <c r="AD289" s="27">
        <f>IF(ISNUMBER($Q289),COUNTIFS($A$14:$A$1213,$A289,$Q$14:$Q$1213,"&gt;"&amp;$Q289)+(COUNTIFS($A$14:$A$1213,$A289,$Q$14:$Q$1213,"="&amp;$Q289)+1)/2,"")</f>
        <v/>
      </c>
      <c r="AE289" s="27">
        <f>IF(ISNUMBER($R289),COUNTIFS($A$14:$A$1213,$A289,$R$14:$R$1213,"&gt;"&amp;$R289)+(COUNTIFS($A$14:$A$1213,$A289,$R$14:$R$1213,"="&amp;$R289)+1)/2,"")</f>
        <v/>
      </c>
      <c r="AF289" s="27">
        <f>IF(ISNUMBER($S289),COUNTIFS($A$14:$A$1213,$A289,$S$14:$S$1213,"&gt;"&amp;$S289)+(COUNTIFS($A$14:$A$1213,$A289,$S$14:$S$1213,"="&amp;$S289)+1)/2,"")</f>
        <v/>
      </c>
      <c r="AG289" s="27">
        <f>IF(ISNUMBER($T289),COUNTIFS($A$14:$A$1213,$A289,$T$14:$T$1213,"&gt;"&amp;$T289)+(COUNTIFS($A$14:$A$1213,$A289,$T$14:$T$1213,"="&amp;$T289)+1)/2,"")</f>
        <v/>
      </c>
      <c r="AH289" s="27">
        <f>IF(COUNT($AC289:$AG289)&lt;2,"",IF(MAX($AC289:$AG289)=MIN($AC289:$AG289),0,1))</f>
        <v/>
      </c>
      <c r="AI289" s="27">
        <f>IF($A289="","",IF(COUNTIF($A$14:$A289,$A289)=1,COUNTIF($AI$13:AI288,"&gt;0")+1,""))</f>
        <v/>
      </c>
      <c r="AJ289" s="27">
        <f>IF(OR($H289="",COUNTIFS($A$14:$A$1213,$H289,$F$14:$F$1213,"&gt;=0")&lt;2,COUNTIFS($A$14:$A$1213,$H289,$F$14:$F$1213,_xlfn.MAXIFS($F$14:$F$1213,$A$14:$A$1213,$H289))&gt;1),"",IFERROR(INDEX($D$14:$D$1213,MATCH($H289&amp;"|"&amp;_xlfn.MAXIFS($F$14:$F$1213,$A$14:$A$1213,$H289),$AB$14:$AB$1213,0)),""))</f>
        <v/>
      </c>
      <c r="AK289" s="27">
        <f>IF(OR($H289="",COUNTIFS($A$14:$A$1213,$H289,$F$14:$F$1213,"&gt;=0")&lt;2,COUNTIFS($A$14:$A$1213,$H289,$F$14:$F$1213,_xlfn.MAXIFS($F$14:$F$1213,$A$14:$A$1213,$H289))&gt;1),"",IFERROR(INDEX($E$14:$E$1213,MATCH($H289&amp;"|"&amp;_xlfn.MAXIFS($F$14:$F$1213,$A$14:$A$1213,$H289),$AB$14:$AB$1213,0)),""))</f>
        <v/>
      </c>
      <c r="AL289" s="27">
        <f>IF(OR($H289="",COUNTIFS($A$14:$A$1213,$H289,$F$14:$F$1213,"&gt;=0")&lt;2,COUNTIFS($A$14:$A$1213,$H289,$F$14:$F$1213,_xlfn.MAXIFS($F$14:$F$1213,$A$14:$A$1213,$H289))&gt;1),"",IFERROR(INDEX($D$14:$D$1213,MATCH($H289&amp;"|"&amp;_xlfn.MAXIFS($F$14:$F$1213,$A$14:$A$1213,$H289,$F$14:$F$1213,"&lt;"&amp;_xlfn.MAXIFS($F$14:$F$1213,$A$14:$A$1213,$H289)),$AB$14:$AB$1213,0)),""))</f>
        <v/>
      </c>
      <c r="AM289" s="27">
        <f>IF(OR($H289="",COUNTIFS($A$14:$A$1213,$H289,$F$14:$F$1213,"&gt;=0")&lt;2,COUNTIFS($A$14:$A$1213,$H289,$F$14:$F$1213,_xlfn.MAXIFS($F$14:$F$1213,$A$14:$A$1213,$H289))&gt;1),"",IFERROR(INDEX($E$14:$E$1213,MATCH($H289&amp;"|"&amp;_xlfn.MAXIFS($F$14:$F$1213,$A$14:$A$1213,$H289,$F$14:$F$1213,"&lt;"&amp;_xlfn.MAXIFS($F$14:$F$1213,$A$14:$A$1213,$H289)),$AB$14:$AB$1213,0)),""))</f>
        <v/>
      </c>
      <c r="AN289" s="27">
        <f>IF(OR(NOT(ISNUMBER($AJ289)),NOT(ISNUMBER($AL289)),$AK289=0,$AM289=0),"",IF(OR((($AJ289+$AL289)/($AK289+$AM289))&lt;=0,(($AJ289+$AL289)/($AK289+$AM289))&gt;=1),"",($AJ289/$AK289-$AL289/$AM289)/SQRT((($AJ289+$AL289)/($AK289+$AM289))*(1-(($AJ289+$AL289)/($AK289+$AM289)))*(1/$AK289+1/$AM289))))</f>
        <v/>
      </c>
      <c r="AO289" s="27">
        <f>IF($A289="","",IF(AND(COUNTIFS($A$14:$A$1213,$A289,$F$14:$F$1213,"&gt;=0")=2,IFERROR(INDEX($M$14:$M$313,MATCH($A289,$H$14:$H$313,0)),"Yes")&lt;&gt;"Yes"),1,0))</f>
        <v/>
      </c>
    </row>
    <row r="290" ht="24" customHeight="1">
      <c r="A290" s="19" t="n"/>
      <c r="B290" s="20" t="n"/>
      <c r="C290" s="21">
        <f>IFERROR(AVERAGE(P290:T290),"")</f>
        <v/>
      </c>
      <c r="D290" s="29" t="n"/>
      <c r="E290" s="29" t="n"/>
      <c r="F290" s="30">
        <f>IF(AND(ISNUMBER($D290),ISNUMBER($E290),$E290&gt;0,$D290&lt;=$E290),$D290/$E290,"")</f>
        <v/>
      </c>
      <c r="H290" s="19">
        <f>IFERROR(INDEX($A$14:$A$1213,MATCH(277,$AI$14:$AI$1213,0)),"")</f>
        <v/>
      </c>
      <c r="I290" s="24">
        <f>IF($H290="","",IF(COUNTIFS($A$14:$A$1213,$H290,$C$14:$C$1213,"&gt;=0")=0,"—",IFERROR(INDEX($B$14:$B$1213,MATCH($H290&amp;"|1",$Z$14:$Z$1213,0)),"(tied)")))</f>
        <v/>
      </c>
      <c r="J290" s="25">
        <f>IF($H290="","",IF(OR(COUNTIFS($A$14:$A$1213,$H290,$C$14:$C$1213,"&gt;=0")=0,COUNTIFS($A$14:$A$1213,$H290,$F$14:$F$1213,"&gt;=0")=0),"—",IF(OR(ISERROR(MATCH($H290&amp;"|1",$Z$14:$Z$1213,0)),ISERROR(MATCH($H290&amp;"|1",$AA$14:$AA$1213,0))),"Tie",IF(MATCH($H290&amp;"|1",$Z$14:$Z$1213,0)=MATCH($H290&amp;"|1",$AA$14:$AA$1213,0),"Hit","Miss"))))</f>
        <v/>
      </c>
      <c r="K290" s="24">
        <f>IF($H290="","",IF(COUNTIFS($A$14:$A$1213,$H290,$F$14:$F$1213,"&gt;=0")=0,"—",IFERROR(INDEX($B$14:$B$1213,MATCH($H290&amp;"|1",$AA$14:$AA$1213,0)),"(tied)")))</f>
        <v/>
      </c>
      <c r="L290" s="25">
        <f>IF($H290="","",IF((--(COUNTIFS($A$14:$A$1213,$H290,$P$14:$P$1213,"&gt;=0")&gt;0)+--(COUNTIFS($A$14:$A$1213,$H290,$Q$14:$Q$1213,"&gt;=0")&gt;0)+--(COUNTIFS($A$14:$A$1213,$H290,$R$14:$R$1213,"&gt;=0")&gt;0)+--(COUNTIFS($A$14:$A$1213,$H290,$S$14:$S$1213,"&gt;=0")&gt;0)+--(COUNTIFS($A$14:$A$1213,$H290,$T$14:$T$1213,"&gt;=0")&gt;0))&lt;2,"—",IF(SUMIFS($AH$14:$AH$1213,$A$14:$A$1213,$H290)=0,"Yes","No")))</f>
        <v/>
      </c>
      <c r="M290" s="25">
        <f>IF($H290="","",IF(COUNTIFS($A$14:$A$1213,$H290,$F$14:$F$1213,"&gt;=0")&lt;2,"—",IF(COUNTIFS($A$14:$A$1213,$H290,$F$14:$F$1213,_xlfn.MAXIFS($F$14:$F$1213,$A$14:$A$1213,$H290))&gt;1,"No",IF(NOT(ISNUMBER($AN290)),"—",IF((2*(1-NORMSDIST(ABS($AN290))))&lt;0.05,"Yes","No")))))</f>
        <v/>
      </c>
      <c r="N290" s="21">
        <f>IF($H290="","",IF(NOT(ISNUMBER($AN290)),"—",IF((2*(1-NORMSDIST(ABS($AN290))))&lt;0.001,"&lt;0.001",TEXT((2*(1-NORMSDIST(ABS($AN290)))),"0.000"))))</f>
        <v/>
      </c>
      <c r="P290" s="26" t="n"/>
      <c r="Q290" s="26" t="n"/>
      <c r="R290" s="26" t="n"/>
      <c r="S290" s="26" t="n"/>
      <c r="T290" s="26" t="n"/>
      <c r="V290" s="27">
        <f>IF(ISNUMBER($C290),COUNTIFS($A$14:$A$1213,$A290,$C$14:$C$1213,"&gt;"&amp;$C290)+(COUNTIFS($A$14:$A$1213,$A290,$C$14:$C$1213,"="&amp;$C290)+1)/2,"")</f>
        <v/>
      </c>
      <c r="W290" s="27">
        <f>IF(ISNUMBER($F290),COUNTIFS($A$14:$A$1213,$A290,$F$14:$F$1213,"&gt;"&amp;$F290)+(COUNTIFS($A$14:$A$1213,$A290,$F$14:$F$1213,"="&amp;$F290)+1)/2,"")</f>
        <v/>
      </c>
      <c r="X290" s="27">
        <f>IF(OR(NOT(ISNUMBER($V290)),$AO290=1),"",$V290-(COUNTIFS($A$14:$A$1213,$A290,$C$14:$C$1213,"&gt;=0")+1)/2)</f>
        <v/>
      </c>
      <c r="Y290" s="27">
        <f>IF(OR(NOT(ISNUMBER($W290)),$AO290=1),"",$W290-(COUNTIFS($A$14:$A$1213,$A290,$F$14:$F$1213,"&gt;=0")+1)/2)</f>
        <v/>
      </c>
      <c r="Z290" s="27">
        <f>IF(ISNUMBER($V290),$A290&amp;"|"&amp;$V290,"")</f>
        <v/>
      </c>
      <c r="AA290" s="27">
        <f>IF(ISNUMBER($W290),$A290&amp;"|"&amp;$W290,"")</f>
        <v/>
      </c>
      <c r="AB290" s="27">
        <f>IF(ISNUMBER($F290),$A290&amp;"|"&amp;$F290,"")</f>
        <v/>
      </c>
      <c r="AC290" s="27">
        <f>IF(ISNUMBER($P290),COUNTIFS($A$14:$A$1213,$A290,$P$14:$P$1213,"&gt;"&amp;$P290)+(COUNTIFS($A$14:$A$1213,$A290,$P$14:$P$1213,"="&amp;$P290)+1)/2,"")</f>
        <v/>
      </c>
      <c r="AD290" s="27">
        <f>IF(ISNUMBER($Q290),COUNTIFS($A$14:$A$1213,$A290,$Q$14:$Q$1213,"&gt;"&amp;$Q290)+(COUNTIFS($A$14:$A$1213,$A290,$Q$14:$Q$1213,"="&amp;$Q290)+1)/2,"")</f>
        <v/>
      </c>
      <c r="AE290" s="27">
        <f>IF(ISNUMBER($R290),COUNTIFS($A$14:$A$1213,$A290,$R$14:$R$1213,"&gt;"&amp;$R290)+(COUNTIFS($A$14:$A$1213,$A290,$R$14:$R$1213,"="&amp;$R290)+1)/2,"")</f>
        <v/>
      </c>
      <c r="AF290" s="27">
        <f>IF(ISNUMBER($S290),COUNTIFS($A$14:$A$1213,$A290,$S$14:$S$1213,"&gt;"&amp;$S290)+(COUNTIFS($A$14:$A$1213,$A290,$S$14:$S$1213,"="&amp;$S290)+1)/2,"")</f>
        <v/>
      </c>
      <c r="AG290" s="27">
        <f>IF(ISNUMBER($T290),COUNTIFS($A$14:$A$1213,$A290,$T$14:$T$1213,"&gt;"&amp;$T290)+(COUNTIFS($A$14:$A$1213,$A290,$T$14:$T$1213,"="&amp;$T290)+1)/2,"")</f>
        <v/>
      </c>
      <c r="AH290" s="27">
        <f>IF(COUNT($AC290:$AG290)&lt;2,"",IF(MAX($AC290:$AG290)=MIN($AC290:$AG290),0,1))</f>
        <v/>
      </c>
      <c r="AI290" s="27">
        <f>IF($A290="","",IF(COUNTIF($A$14:$A290,$A290)=1,COUNTIF($AI$13:AI289,"&gt;0")+1,""))</f>
        <v/>
      </c>
      <c r="AJ290" s="27">
        <f>IF(OR($H290="",COUNTIFS($A$14:$A$1213,$H290,$F$14:$F$1213,"&gt;=0")&lt;2,COUNTIFS($A$14:$A$1213,$H290,$F$14:$F$1213,_xlfn.MAXIFS($F$14:$F$1213,$A$14:$A$1213,$H290))&gt;1),"",IFERROR(INDEX($D$14:$D$1213,MATCH($H290&amp;"|"&amp;_xlfn.MAXIFS($F$14:$F$1213,$A$14:$A$1213,$H290),$AB$14:$AB$1213,0)),""))</f>
        <v/>
      </c>
      <c r="AK290" s="27">
        <f>IF(OR($H290="",COUNTIFS($A$14:$A$1213,$H290,$F$14:$F$1213,"&gt;=0")&lt;2,COUNTIFS($A$14:$A$1213,$H290,$F$14:$F$1213,_xlfn.MAXIFS($F$14:$F$1213,$A$14:$A$1213,$H290))&gt;1),"",IFERROR(INDEX($E$14:$E$1213,MATCH($H290&amp;"|"&amp;_xlfn.MAXIFS($F$14:$F$1213,$A$14:$A$1213,$H290),$AB$14:$AB$1213,0)),""))</f>
        <v/>
      </c>
      <c r="AL290" s="27">
        <f>IF(OR($H290="",COUNTIFS($A$14:$A$1213,$H290,$F$14:$F$1213,"&gt;=0")&lt;2,COUNTIFS($A$14:$A$1213,$H290,$F$14:$F$1213,_xlfn.MAXIFS($F$14:$F$1213,$A$14:$A$1213,$H290))&gt;1),"",IFERROR(INDEX($D$14:$D$1213,MATCH($H290&amp;"|"&amp;_xlfn.MAXIFS($F$14:$F$1213,$A$14:$A$1213,$H290,$F$14:$F$1213,"&lt;"&amp;_xlfn.MAXIFS($F$14:$F$1213,$A$14:$A$1213,$H290)),$AB$14:$AB$1213,0)),""))</f>
        <v/>
      </c>
      <c r="AM290" s="27">
        <f>IF(OR($H290="",COUNTIFS($A$14:$A$1213,$H290,$F$14:$F$1213,"&gt;=0")&lt;2,COUNTIFS($A$14:$A$1213,$H290,$F$14:$F$1213,_xlfn.MAXIFS($F$14:$F$1213,$A$14:$A$1213,$H290))&gt;1),"",IFERROR(INDEX($E$14:$E$1213,MATCH($H290&amp;"|"&amp;_xlfn.MAXIFS($F$14:$F$1213,$A$14:$A$1213,$H290,$F$14:$F$1213,"&lt;"&amp;_xlfn.MAXIFS($F$14:$F$1213,$A$14:$A$1213,$H290)),$AB$14:$AB$1213,0)),""))</f>
        <v/>
      </c>
      <c r="AN290" s="27">
        <f>IF(OR(NOT(ISNUMBER($AJ290)),NOT(ISNUMBER($AL290)),$AK290=0,$AM290=0),"",IF(OR((($AJ290+$AL290)/($AK290+$AM290))&lt;=0,(($AJ290+$AL290)/($AK290+$AM290))&gt;=1),"",($AJ290/$AK290-$AL290/$AM290)/SQRT((($AJ290+$AL290)/($AK290+$AM290))*(1-(($AJ290+$AL290)/($AK290+$AM290)))*(1/$AK290+1/$AM290))))</f>
        <v/>
      </c>
      <c r="AO290" s="27">
        <f>IF($A290="","",IF(AND(COUNTIFS($A$14:$A$1213,$A290,$F$14:$F$1213,"&gt;=0")=2,IFERROR(INDEX($M$14:$M$313,MATCH($A290,$H$14:$H$313,0)),"Yes")&lt;&gt;"Yes"),1,0))</f>
        <v/>
      </c>
    </row>
    <row r="291" ht="24" customHeight="1">
      <c r="A291" s="19" t="n"/>
      <c r="B291" s="20" t="n"/>
      <c r="C291" s="21">
        <f>IFERROR(AVERAGE(P291:T291),"")</f>
        <v/>
      </c>
      <c r="D291" s="29" t="n"/>
      <c r="E291" s="29" t="n"/>
      <c r="F291" s="30">
        <f>IF(AND(ISNUMBER($D291),ISNUMBER($E291),$E291&gt;0,$D291&lt;=$E291),$D291/$E291,"")</f>
        <v/>
      </c>
      <c r="H291" s="19">
        <f>IFERROR(INDEX($A$14:$A$1213,MATCH(278,$AI$14:$AI$1213,0)),"")</f>
        <v/>
      </c>
      <c r="I291" s="24">
        <f>IF($H291="","",IF(COUNTIFS($A$14:$A$1213,$H291,$C$14:$C$1213,"&gt;=0")=0,"—",IFERROR(INDEX($B$14:$B$1213,MATCH($H291&amp;"|1",$Z$14:$Z$1213,0)),"(tied)")))</f>
        <v/>
      </c>
      <c r="J291" s="25">
        <f>IF($H291="","",IF(OR(COUNTIFS($A$14:$A$1213,$H291,$C$14:$C$1213,"&gt;=0")=0,COUNTIFS($A$14:$A$1213,$H291,$F$14:$F$1213,"&gt;=0")=0),"—",IF(OR(ISERROR(MATCH($H291&amp;"|1",$Z$14:$Z$1213,0)),ISERROR(MATCH($H291&amp;"|1",$AA$14:$AA$1213,0))),"Tie",IF(MATCH($H291&amp;"|1",$Z$14:$Z$1213,0)=MATCH($H291&amp;"|1",$AA$14:$AA$1213,0),"Hit","Miss"))))</f>
        <v/>
      </c>
      <c r="K291" s="24">
        <f>IF($H291="","",IF(COUNTIFS($A$14:$A$1213,$H291,$F$14:$F$1213,"&gt;=0")=0,"—",IFERROR(INDEX($B$14:$B$1213,MATCH($H291&amp;"|1",$AA$14:$AA$1213,0)),"(tied)")))</f>
        <v/>
      </c>
      <c r="L291" s="25">
        <f>IF($H291="","",IF((--(COUNTIFS($A$14:$A$1213,$H291,$P$14:$P$1213,"&gt;=0")&gt;0)+--(COUNTIFS($A$14:$A$1213,$H291,$Q$14:$Q$1213,"&gt;=0")&gt;0)+--(COUNTIFS($A$14:$A$1213,$H291,$R$14:$R$1213,"&gt;=0")&gt;0)+--(COUNTIFS($A$14:$A$1213,$H291,$S$14:$S$1213,"&gt;=0")&gt;0)+--(COUNTIFS($A$14:$A$1213,$H291,$T$14:$T$1213,"&gt;=0")&gt;0))&lt;2,"—",IF(SUMIFS($AH$14:$AH$1213,$A$14:$A$1213,$H291)=0,"Yes","No")))</f>
        <v/>
      </c>
      <c r="M291" s="25">
        <f>IF($H291="","",IF(COUNTIFS($A$14:$A$1213,$H291,$F$14:$F$1213,"&gt;=0")&lt;2,"—",IF(COUNTIFS($A$14:$A$1213,$H291,$F$14:$F$1213,_xlfn.MAXIFS($F$14:$F$1213,$A$14:$A$1213,$H291))&gt;1,"No",IF(NOT(ISNUMBER($AN291)),"—",IF((2*(1-NORMSDIST(ABS($AN291))))&lt;0.05,"Yes","No")))))</f>
        <v/>
      </c>
      <c r="N291" s="21">
        <f>IF($H291="","",IF(NOT(ISNUMBER($AN291)),"—",IF((2*(1-NORMSDIST(ABS($AN291))))&lt;0.001,"&lt;0.001",TEXT((2*(1-NORMSDIST(ABS($AN291)))),"0.000"))))</f>
        <v/>
      </c>
      <c r="P291" s="26" t="n"/>
      <c r="Q291" s="26" t="n"/>
      <c r="R291" s="26" t="n"/>
      <c r="S291" s="26" t="n"/>
      <c r="T291" s="26" t="n"/>
      <c r="V291" s="27">
        <f>IF(ISNUMBER($C291),COUNTIFS($A$14:$A$1213,$A291,$C$14:$C$1213,"&gt;"&amp;$C291)+(COUNTIFS($A$14:$A$1213,$A291,$C$14:$C$1213,"="&amp;$C291)+1)/2,"")</f>
        <v/>
      </c>
      <c r="W291" s="27">
        <f>IF(ISNUMBER($F291),COUNTIFS($A$14:$A$1213,$A291,$F$14:$F$1213,"&gt;"&amp;$F291)+(COUNTIFS($A$14:$A$1213,$A291,$F$14:$F$1213,"="&amp;$F291)+1)/2,"")</f>
        <v/>
      </c>
      <c r="X291" s="27">
        <f>IF(OR(NOT(ISNUMBER($V291)),$AO291=1),"",$V291-(COUNTIFS($A$14:$A$1213,$A291,$C$14:$C$1213,"&gt;=0")+1)/2)</f>
        <v/>
      </c>
      <c r="Y291" s="27">
        <f>IF(OR(NOT(ISNUMBER($W291)),$AO291=1),"",$W291-(COUNTIFS($A$14:$A$1213,$A291,$F$14:$F$1213,"&gt;=0")+1)/2)</f>
        <v/>
      </c>
      <c r="Z291" s="27">
        <f>IF(ISNUMBER($V291),$A291&amp;"|"&amp;$V291,"")</f>
        <v/>
      </c>
      <c r="AA291" s="27">
        <f>IF(ISNUMBER($W291),$A291&amp;"|"&amp;$W291,"")</f>
        <v/>
      </c>
      <c r="AB291" s="27">
        <f>IF(ISNUMBER($F291),$A291&amp;"|"&amp;$F291,"")</f>
        <v/>
      </c>
      <c r="AC291" s="27">
        <f>IF(ISNUMBER($P291),COUNTIFS($A$14:$A$1213,$A291,$P$14:$P$1213,"&gt;"&amp;$P291)+(COUNTIFS($A$14:$A$1213,$A291,$P$14:$P$1213,"="&amp;$P291)+1)/2,"")</f>
        <v/>
      </c>
      <c r="AD291" s="27">
        <f>IF(ISNUMBER($Q291),COUNTIFS($A$14:$A$1213,$A291,$Q$14:$Q$1213,"&gt;"&amp;$Q291)+(COUNTIFS($A$14:$A$1213,$A291,$Q$14:$Q$1213,"="&amp;$Q291)+1)/2,"")</f>
        <v/>
      </c>
      <c r="AE291" s="27">
        <f>IF(ISNUMBER($R291),COUNTIFS($A$14:$A$1213,$A291,$R$14:$R$1213,"&gt;"&amp;$R291)+(COUNTIFS($A$14:$A$1213,$A291,$R$14:$R$1213,"="&amp;$R291)+1)/2,"")</f>
        <v/>
      </c>
      <c r="AF291" s="27">
        <f>IF(ISNUMBER($S291),COUNTIFS($A$14:$A$1213,$A291,$S$14:$S$1213,"&gt;"&amp;$S291)+(COUNTIFS($A$14:$A$1213,$A291,$S$14:$S$1213,"="&amp;$S291)+1)/2,"")</f>
        <v/>
      </c>
      <c r="AG291" s="27">
        <f>IF(ISNUMBER($T291),COUNTIFS($A$14:$A$1213,$A291,$T$14:$T$1213,"&gt;"&amp;$T291)+(COUNTIFS($A$14:$A$1213,$A291,$T$14:$T$1213,"="&amp;$T291)+1)/2,"")</f>
        <v/>
      </c>
      <c r="AH291" s="27">
        <f>IF(COUNT($AC291:$AG291)&lt;2,"",IF(MAX($AC291:$AG291)=MIN($AC291:$AG291),0,1))</f>
        <v/>
      </c>
      <c r="AI291" s="27">
        <f>IF($A291="","",IF(COUNTIF($A$14:$A291,$A291)=1,COUNTIF($AI$13:AI290,"&gt;0")+1,""))</f>
        <v/>
      </c>
      <c r="AJ291" s="27">
        <f>IF(OR($H291="",COUNTIFS($A$14:$A$1213,$H291,$F$14:$F$1213,"&gt;=0")&lt;2,COUNTIFS($A$14:$A$1213,$H291,$F$14:$F$1213,_xlfn.MAXIFS($F$14:$F$1213,$A$14:$A$1213,$H291))&gt;1),"",IFERROR(INDEX($D$14:$D$1213,MATCH($H291&amp;"|"&amp;_xlfn.MAXIFS($F$14:$F$1213,$A$14:$A$1213,$H291),$AB$14:$AB$1213,0)),""))</f>
        <v/>
      </c>
      <c r="AK291" s="27">
        <f>IF(OR($H291="",COUNTIFS($A$14:$A$1213,$H291,$F$14:$F$1213,"&gt;=0")&lt;2,COUNTIFS($A$14:$A$1213,$H291,$F$14:$F$1213,_xlfn.MAXIFS($F$14:$F$1213,$A$14:$A$1213,$H291))&gt;1),"",IFERROR(INDEX($E$14:$E$1213,MATCH($H291&amp;"|"&amp;_xlfn.MAXIFS($F$14:$F$1213,$A$14:$A$1213,$H291),$AB$14:$AB$1213,0)),""))</f>
        <v/>
      </c>
      <c r="AL291" s="27">
        <f>IF(OR($H291="",COUNTIFS($A$14:$A$1213,$H291,$F$14:$F$1213,"&gt;=0")&lt;2,COUNTIFS($A$14:$A$1213,$H291,$F$14:$F$1213,_xlfn.MAXIFS($F$14:$F$1213,$A$14:$A$1213,$H291))&gt;1),"",IFERROR(INDEX($D$14:$D$1213,MATCH($H291&amp;"|"&amp;_xlfn.MAXIFS($F$14:$F$1213,$A$14:$A$1213,$H291,$F$14:$F$1213,"&lt;"&amp;_xlfn.MAXIFS($F$14:$F$1213,$A$14:$A$1213,$H291)),$AB$14:$AB$1213,0)),""))</f>
        <v/>
      </c>
      <c r="AM291" s="27">
        <f>IF(OR($H291="",COUNTIFS($A$14:$A$1213,$H291,$F$14:$F$1213,"&gt;=0")&lt;2,COUNTIFS($A$14:$A$1213,$H291,$F$14:$F$1213,_xlfn.MAXIFS($F$14:$F$1213,$A$14:$A$1213,$H291))&gt;1),"",IFERROR(INDEX($E$14:$E$1213,MATCH($H291&amp;"|"&amp;_xlfn.MAXIFS($F$14:$F$1213,$A$14:$A$1213,$H291,$F$14:$F$1213,"&lt;"&amp;_xlfn.MAXIFS($F$14:$F$1213,$A$14:$A$1213,$H291)),$AB$14:$AB$1213,0)),""))</f>
        <v/>
      </c>
      <c r="AN291" s="27">
        <f>IF(OR(NOT(ISNUMBER($AJ291)),NOT(ISNUMBER($AL291)),$AK291=0,$AM291=0),"",IF(OR((($AJ291+$AL291)/($AK291+$AM291))&lt;=0,(($AJ291+$AL291)/($AK291+$AM291))&gt;=1),"",($AJ291/$AK291-$AL291/$AM291)/SQRT((($AJ291+$AL291)/($AK291+$AM291))*(1-(($AJ291+$AL291)/($AK291+$AM291)))*(1/$AK291+1/$AM291))))</f>
        <v/>
      </c>
      <c r="AO291" s="27">
        <f>IF($A291="","",IF(AND(COUNTIFS($A$14:$A$1213,$A291,$F$14:$F$1213,"&gt;=0")=2,IFERROR(INDEX($M$14:$M$313,MATCH($A291,$H$14:$H$313,0)),"Yes")&lt;&gt;"Yes"),1,0))</f>
        <v/>
      </c>
    </row>
    <row r="292" ht="24" customHeight="1">
      <c r="A292" s="19" t="n"/>
      <c r="B292" s="20" t="n"/>
      <c r="C292" s="21">
        <f>IFERROR(AVERAGE(P292:T292),"")</f>
        <v/>
      </c>
      <c r="D292" s="29" t="n"/>
      <c r="E292" s="29" t="n"/>
      <c r="F292" s="30">
        <f>IF(AND(ISNUMBER($D292),ISNUMBER($E292),$E292&gt;0,$D292&lt;=$E292),$D292/$E292,"")</f>
        <v/>
      </c>
      <c r="H292" s="19">
        <f>IFERROR(INDEX($A$14:$A$1213,MATCH(279,$AI$14:$AI$1213,0)),"")</f>
        <v/>
      </c>
      <c r="I292" s="24">
        <f>IF($H292="","",IF(COUNTIFS($A$14:$A$1213,$H292,$C$14:$C$1213,"&gt;=0")=0,"—",IFERROR(INDEX($B$14:$B$1213,MATCH($H292&amp;"|1",$Z$14:$Z$1213,0)),"(tied)")))</f>
        <v/>
      </c>
      <c r="J292" s="25">
        <f>IF($H292="","",IF(OR(COUNTIFS($A$14:$A$1213,$H292,$C$14:$C$1213,"&gt;=0")=0,COUNTIFS($A$14:$A$1213,$H292,$F$14:$F$1213,"&gt;=0")=0),"—",IF(OR(ISERROR(MATCH($H292&amp;"|1",$Z$14:$Z$1213,0)),ISERROR(MATCH($H292&amp;"|1",$AA$14:$AA$1213,0))),"Tie",IF(MATCH($H292&amp;"|1",$Z$14:$Z$1213,0)=MATCH($H292&amp;"|1",$AA$14:$AA$1213,0),"Hit","Miss"))))</f>
        <v/>
      </c>
      <c r="K292" s="24">
        <f>IF($H292="","",IF(COUNTIFS($A$14:$A$1213,$H292,$F$14:$F$1213,"&gt;=0")=0,"—",IFERROR(INDEX($B$14:$B$1213,MATCH($H292&amp;"|1",$AA$14:$AA$1213,0)),"(tied)")))</f>
        <v/>
      </c>
      <c r="L292" s="25">
        <f>IF($H292="","",IF((--(COUNTIFS($A$14:$A$1213,$H292,$P$14:$P$1213,"&gt;=0")&gt;0)+--(COUNTIFS($A$14:$A$1213,$H292,$Q$14:$Q$1213,"&gt;=0")&gt;0)+--(COUNTIFS($A$14:$A$1213,$H292,$R$14:$R$1213,"&gt;=0")&gt;0)+--(COUNTIFS($A$14:$A$1213,$H292,$S$14:$S$1213,"&gt;=0")&gt;0)+--(COUNTIFS($A$14:$A$1213,$H292,$T$14:$T$1213,"&gt;=0")&gt;0))&lt;2,"—",IF(SUMIFS($AH$14:$AH$1213,$A$14:$A$1213,$H292)=0,"Yes","No")))</f>
        <v/>
      </c>
      <c r="M292" s="25">
        <f>IF($H292="","",IF(COUNTIFS($A$14:$A$1213,$H292,$F$14:$F$1213,"&gt;=0")&lt;2,"—",IF(COUNTIFS($A$14:$A$1213,$H292,$F$14:$F$1213,_xlfn.MAXIFS($F$14:$F$1213,$A$14:$A$1213,$H292))&gt;1,"No",IF(NOT(ISNUMBER($AN292)),"—",IF((2*(1-NORMSDIST(ABS($AN292))))&lt;0.05,"Yes","No")))))</f>
        <v/>
      </c>
      <c r="N292" s="21">
        <f>IF($H292="","",IF(NOT(ISNUMBER($AN292)),"—",IF((2*(1-NORMSDIST(ABS($AN292))))&lt;0.001,"&lt;0.001",TEXT((2*(1-NORMSDIST(ABS($AN292)))),"0.000"))))</f>
        <v/>
      </c>
      <c r="P292" s="26" t="n"/>
      <c r="Q292" s="26" t="n"/>
      <c r="R292" s="26" t="n"/>
      <c r="S292" s="26" t="n"/>
      <c r="T292" s="26" t="n"/>
      <c r="V292" s="27">
        <f>IF(ISNUMBER($C292),COUNTIFS($A$14:$A$1213,$A292,$C$14:$C$1213,"&gt;"&amp;$C292)+(COUNTIFS($A$14:$A$1213,$A292,$C$14:$C$1213,"="&amp;$C292)+1)/2,"")</f>
        <v/>
      </c>
      <c r="W292" s="27">
        <f>IF(ISNUMBER($F292),COUNTIFS($A$14:$A$1213,$A292,$F$14:$F$1213,"&gt;"&amp;$F292)+(COUNTIFS($A$14:$A$1213,$A292,$F$14:$F$1213,"="&amp;$F292)+1)/2,"")</f>
        <v/>
      </c>
      <c r="X292" s="27">
        <f>IF(OR(NOT(ISNUMBER($V292)),$AO292=1),"",$V292-(COUNTIFS($A$14:$A$1213,$A292,$C$14:$C$1213,"&gt;=0")+1)/2)</f>
        <v/>
      </c>
      <c r="Y292" s="27">
        <f>IF(OR(NOT(ISNUMBER($W292)),$AO292=1),"",$W292-(COUNTIFS($A$14:$A$1213,$A292,$F$14:$F$1213,"&gt;=0")+1)/2)</f>
        <v/>
      </c>
      <c r="Z292" s="27">
        <f>IF(ISNUMBER($V292),$A292&amp;"|"&amp;$V292,"")</f>
        <v/>
      </c>
      <c r="AA292" s="27">
        <f>IF(ISNUMBER($W292),$A292&amp;"|"&amp;$W292,"")</f>
        <v/>
      </c>
      <c r="AB292" s="27">
        <f>IF(ISNUMBER($F292),$A292&amp;"|"&amp;$F292,"")</f>
        <v/>
      </c>
      <c r="AC292" s="27">
        <f>IF(ISNUMBER($P292),COUNTIFS($A$14:$A$1213,$A292,$P$14:$P$1213,"&gt;"&amp;$P292)+(COUNTIFS($A$14:$A$1213,$A292,$P$14:$P$1213,"="&amp;$P292)+1)/2,"")</f>
        <v/>
      </c>
      <c r="AD292" s="27">
        <f>IF(ISNUMBER($Q292),COUNTIFS($A$14:$A$1213,$A292,$Q$14:$Q$1213,"&gt;"&amp;$Q292)+(COUNTIFS($A$14:$A$1213,$A292,$Q$14:$Q$1213,"="&amp;$Q292)+1)/2,"")</f>
        <v/>
      </c>
      <c r="AE292" s="27">
        <f>IF(ISNUMBER($R292),COUNTIFS($A$14:$A$1213,$A292,$R$14:$R$1213,"&gt;"&amp;$R292)+(COUNTIFS($A$14:$A$1213,$A292,$R$14:$R$1213,"="&amp;$R292)+1)/2,"")</f>
        <v/>
      </c>
      <c r="AF292" s="27">
        <f>IF(ISNUMBER($S292),COUNTIFS($A$14:$A$1213,$A292,$S$14:$S$1213,"&gt;"&amp;$S292)+(COUNTIFS($A$14:$A$1213,$A292,$S$14:$S$1213,"="&amp;$S292)+1)/2,"")</f>
        <v/>
      </c>
      <c r="AG292" s="27">
        <f>IF(ISNUMBER($T292),COUNTIFS($A$14:$A$1213,$A292,$T$14:$T$1213,"&gt;"&amp;$T292)+(COUNTIFS($A$14:$A$1213,$A292,$T$14:$T$1213,"="&amp;$T292)+1)/2,"")</f>
        <v/>
      </c>
      <c r="AH292" s="27">
        <f>IF(COUNT($AC292:$AG292)&lt;2,"",IF(MAX($AC292:$AG292)=MIN($AC292:$AG292),0,1))</f>
        <v/>
      </c>
      <c r="AI292" s="27">
        <f>IF($A292="","",IF(COUNTIF($A$14:$A292,$A292)=1,COUNTIF($AI$13:AI291,"&gt;0")+1,""))</f>
        <v/>
      </c>
      <c r="AJ292" s="27">
        <f>IF(OR($H292="",COUNTIFS($A$14:$A$1213,$H292,$F$14:$F$1213,"&gt;=0")&lt;2,COUNTIFS($A$14:$A$1213,$H292,$F$14:$F$1213,_xlfn.MAXIFS($F$14:$F$1213,$A$14:$A$1213,$H292))&gt;1),"",IFERROR(INDEX($D$14:$D$1213,MATCH($H292&amp;"|"&amp;_xlfn.MAXIFS($F$14:$F$1213,$A$14:$A$1213,$H292),$AB$14:$AB$1213,0)),""))</f>
        <v/>
      </c>
      <c r="AK292" s="27">
        <f>IF(OR($H292="",COUNTIFS($A$14:$A$1213,$H292,$F$14:$F$1213,"&gt;=0")&lt;2,COUNTIFS($A$14:$A$1213,$H292,$F$14:$F$1213,_xlfn.MAXIFS($F$14:$F$1213,$A$14:$A$1213,$H292))&gt;1),"",IFERROR(INDEX($E$14:$E$1213,MATCH($H292&amp;"|"&amp;_xlfn.MAXIFS($F$14:$F$1213,$A$14:$A$1213,$H292),$AB$14:$AB$1213,0)),""))</f>
        <v/>
      </c>
      <c r="AL292" s="27">
        <f>IF(OR($H292="",COUNTIFS($A$14:$A$1213,$H292,$F$14:$F$1213,"&gt;=0")&lt;2,COUNTIFS($A$14:$A$1213,$H292,$F$14:$F$1213,_xlfn.MAXIFS($F$14:$F$1213,$A$14:$A$1213,$H292))&gt;1),"",IFERROR(INDEX($D$14:$D$1213,MATCH($H292&amp;"|"&amp;_xlfn.MAXIFS($F$14:$F$1213,$A$14:$A$1213,$H292,$F$14:$F$1213,"&lt;"&amp;_xlfn.MAXIFS($F$14:$F$1213,$A$14:$A$1213,$H292)),$AB$14:$AB$1213,0)),""))</f>
        <v/>
      </c>
      <c r="AM292" s="27">
        <f>IF(OR($H292="",COUNTIFS($A$14:$A$1213,$H292,$F$14:$F$1213,"&gt;=0")&lt;2,COUNTIFS($A$14:$A$1213,$H292,$F$14:$F$1213,_xlfn.MAXIFS($F$14:$F$1213,$A$14:$A$1213,$H292))&gt;1),"",IFERROR(INDEX($E$14:$E$1213,MATCH($H292&amp;"|"&amp;_xlfn.MAXIFS($F$14:$F$1213,$A$14:$A$1213,$H292,$F$14:$F$1213,"&lt;"&amp;_xlfn.MAXIFS($F$14:$F$1213,$A$14:$A$1213,$H292)),$AB$14:$AB$1213,0)),""))</f>
        <v/>
      </c>
      <c r="AN292" s="27">
        <f>IF(OR(NOT(ISNUMBER($AJ292)),NOT(ISNUMBER($AL292)),$AK292=0,$AM292=0),"",IF(OR((($AJ292+$AL292)/($AK292+$AM292))&lt;=0,(($AJ292+$AL292)/($AK292+$AM292))&gt;=1),"",($AJ292/$AK292-$AL292/$AM292)/SQRT((($AJ292+$AL292)/($AK292+$AM292))*(1-(($AJ292+$AL292)/($AK292+$AM292)))*(1/$AK292+1/$AM292))))</f>
        <v/>
      </c>
      <c r="AO292" s="27">
        <f>IF($A292="","",IF(AND(COUNTIFS($A$14:$A$1213,$A292,$F$14:$F$1213,"&gt;=0")=2,IFERROR(INDEX($M$14:$M$313,MATCH($A292,$H$14:$H$313,0)),"Yes")&lt;&gt;"Yes"),1,0))</f>
        <v/>
      </c>
    </row>
    <row r="293" ht="24" customHeight="1">
      <c r="A293" s="19" t="n"/>
      <c r="B293" s="20" t="n"/>
      <c r="C293" s="21">
        <f>IFERROR(AVERAGE(P293:T293),"")</f>
        <v/>
      </c>
      <c r="D293" s="29" t="n"/>
      <c r="E293" s="29" t="n"/>
      <c r="F293" s="30">
        <f>IF(AND(ISNUMBER($D293),ISNUMBER($E293),$E293&gt;0,$D293&lt;=$E293),$D293/$E293,"")</f>
        <v/>
      </c>
      <c r="H293" s="19">
        <f>IFERROR(INDEX($A$14:$A$1213,MATCH(280,$AI$14:$AI$1213,0)),"")</f>
        <v/>
      </c>
      <c r="I293" s="24">
        <f>IF($H293="","",IF(COUNTIFS($A$14:$A$1213,$H293,$C$14:$C$1213,"&gt;=0")=0,"—",IFERROR(INDEX($B$14:$B$1213,MATCH($H293&amp;"|1",$Z$14:$Z$1213,0)),"(tied)")))</f>
        <v/>
      </c>
      <c r="J293" s="25">
        <f>IF($H293="","",IF(OR(COUNTIFS($A$14:$A$1213,$H293,$C$14:$C$1213,"&gt;=0")=0,COUNTIFS($A$14:$A$1213,$H293,$F$14:$F$1213,"&gt;=0")=0),"—",IF(OR(ISERROR(MATCH($H293&amp;"|1",$Z$14:$Z$1213,0)),ISERROR(MATCH($H293&amp;"|1",$AA$14:$AA$1213,0))),"Tie",IF(MATCH($H293&amp;"|1",$Z$14:$Z$1213,0)=MATCH($H293&amp;"|1",$AA$14:$AA$1213,0),"Hit","Miss"))))</f>
        <v/>
      </c>
      <c r="K293" s="24">
        <f>IF($H293="","",IF(COUNTIFS($A$14:$A$1213,$H293,$F$14:$F$1213,"&gt;=0")=0,"—",IFERROR(INDEX($B$14:$B$1213,MATCH($H293&amp;"|1",$AA$14:$AA$1213,0)),"(tied)")))</f>
        <v/>
      </c>
      <c r="L293" s="25">
        <f>IF($H293="","",IF((--(COUNTIFS($A$14:$A$1213,$H293,$P$14:$P$1213,"&gt;=0")&gt;0)+--(COUNTIFS($A$14:$A$1213,$H293,$Q$14:$Q$1213,"&gt;=0")&gt;0)+--(COUNTIFS($A$14:$A$1213,$H293,$R$14:$R$1213,"&gt;=0")&gt;0)+--(COUNTIFS($A$14:$A$1213,$H293,$S$14:$S$1213,"&gt;=0")&gt;0)+--(COUNTIFS($A$14:$A$1213,$H293,$T$14:$T$1213,"&gt;=0")&gt;0))&lt;2,"—",IF(SUMIFS($AH$14:$AH$1213,$A$14:$A$1213,$H293)=0,"Yes","No")))</f>
        <v/>
      </c>
      <c r="M293" s="25">
        <f>IF($H293="","",IF(COUNTIFS($A$14:$A$1213,$H293,$F$14:$F$1213,"&gt;=0")&lt;2,"—",IF(COUNTIFS($A$14:$A$1213,$H293,$F$14:$F$1213,_xlfn.MAXIFS($F$14:$F$1213,$A$14:$A$1213,$H293))&gt;1,"No",IF(NOT(ISNUMBER($AN293)),"—",IF((2*(1-NORMSDIST(ABS($AN293))))&lt;0.05,"Yes","No")))))</f>
        <v/>
      </c>
      <c r="N293" s="21">
        <f>IF($H293="","",IF(NOT(ISNUMBER($AN293)),"—",IF((2*(1-NORMSDIST(ABS($AN293))))&lt;0.001,"&lt;0.001",TEXT((2*(1-NORMSDIST(ABS($AN293)))),"0.000"))))</f>
        <v/>
      </c>
      <c r="P293" s="26" t="n"/>
      <c r="Q293" s="26" t="n"/>
      <c r="R293" s="26" t="n"/>
      <c r="S293" s="26" t="n"/>
      <c r="T293" s="26" t="n"/>
      <c r="V293" s="27">
        <f>IF(ISNUMBER($C293),COUNTIFS($A$14:$A$1213,$A293,$C$14:$C$1213,"&gt;"&amp;$C293)+(COUNTIFS($A$14:$A$1213,$A293,$C$14:$C$1213,"="&amp;$C293)+1)/2,"")</f>
        <v/>
      </c>
      <c r="W293" s="27">
        <f>IF(ISNUMBER($F293),COUNTIFS($A$14:$A$1213,$A293,$F$14:$F$1213,"&gt;"&amp;$F293)+(COUNTIFS($A$14:$A$1213,$A293,$F$14:$F$1213,"="&amp;$F293)+1)/2,"")</f>
        <v/>
      </c>
      <c r="X293" s="27">
        <f>IF(OR(NOT(ISNUMBER($V293)),$AO293=1),"",$V293-(COUNTIFS($A$14:$A$1213,$A293,$C$14:$C$1213,"&gt;=0")+1)/2)</f>
        <v/>
      </c>
      <c r="Y293" s="27">
        <f>IF(OR(NOT(ISNUMBER($W293)),$AO293=1),"",$W293-(COUNTIFS($A$14:$A$1213,$A293,$F$14:$F$1213,"&gt;=0")+1)/2)</f>
        <v/>
      </c>
      <c r="Z293" s="27">
        <f>IF(ISNUMBER($V293),$A293&amp;"|"&amp;$V293,"")</f>
        <v/>
      </c>
      <c r="AA293" s="27">
        <f>IF(ISNUMBER($W293),$A293&amp;"|"&amp;$W293,"")</f>
        <v/>
      </c>
      <c r="AB293" s="27">
        <f>IF(ISNUMBER($F293),$A293&amp;"|"&amp;$F293,"")</f>
        <v/>
      </c>
      <c r="AC293" s="27">
        <f>IF(ISNUMBER($P293),COUNTIFS($A$14:$A$1213,$A293,$P$14:$P$1213,"&gt;"&amp;$P293)+(COUNTIFS($A$14:$A$1213,$A293,$P$14:$P$1213,"="&amp;$P293)+1)/2,"")</f>
        <v/>
      </c>
      <c r="AD293" s="27">
        <f>IF(ISNUMBER($Q293),COUNTIFS($A$14:$A$1213,$A293,$Q$14:$Q$1213,"&gt;"&amp;$Q293)+(COUNTIFS($A$14:$A$1213,$A293,$Q$14:$Q$1213,"="&amp;$Q293)+1)/2,"")</f>
        <v/>
      </c>
      <c r="AE293" s="27">
        <f>IF(ISNUMBER($R293),COUNTIFS($A$14:$A$1213,$A293,$R$14:$R$1213,"&gt;"&amp;$R293)+(COUNTIFS($A$14:$A$1213,$A293,$R$14:$R$1213,"="&amp;$R293)+1)/2,"")</f>
        <v/>
      </c>
      <c r="AF293" s="27">
        <f>IF(ISNUMBER($S293),COUNTIFS($A$14:$A$1213,$A293,$S$14:$S$1213,"&gt;"&amp;$S293)+(COUNTIFS($A$14:$A$1213,$A293,$S$14:$S$1213,"="&amp;$S293)+1)/2,"")</f>
        <v/>
      </c>
      <c r="AG293" s="27">
        <f>IF(ISNUMBER($T293),COUNTIFS($A$14:$A$1213,$A293,$T$14:$T$1213,"&gt;"&amp;$T293)+(COUNTIFS($A$14:$A$1213,$A293,$T$14:$T$1213,"="&amp;$T293)+1)/2,"")</f>
        <v/>
      </c>
      <c r="AH293" s="27">
        <f>IF(COUNT($AC293:$AG293)&lt;2,"",IF(MAX($AC293:$AG293)=MIN($AC293:$AG293),0,1))</f>
        <v/>
      </c>
      <c r="AI293" s="27">
        <f>IF($A293="","",IF(COUNTIF($A$14:$A293,$A293)=1,COUNTIF($AI$13:AI292,"&gt;0")+1,""))</f>
        <v/>
      </c>
      <c r="AJ293" s="27">
        <f>IF(OR($H293="",COUNTIFS($A$14:$A$1213,$H293,$F$14:$F$1213,"&gt;=0")&lt;2,COUNTIFS($A$14:$A$1213,$H293,$F$14:$F$1213,_xlfn.MAXIFS($F$14:$F$1213,$A$14:$A$1213,$H293))&gt;1),"",IFERROR(INDEX($D$14:$D$1213,MATCH($H293&amp;"|"&amp;_xlfn.MAXIFS($F$14:$F$1213,$A$14:$A$1213,$H293),$AB$14:$AB$1213,0)),""))</f>
        <v/>
      </c>
      <c r="AK293" s="27">
        <f>IF(OR($H293="",COUNTIFS($A$14:$A$1213,$H293,$F$14:$F$1213,"&gt;=0")&lt;2,COUNTIFS($A$14:$A$1213,$H293,$F$14:$F$1213,_xlfn.MAXIFS($F$14:$F$1213,$A$14:$A$1213,$H293))&gt;1),"",IFERROR(INDEX($E$14:$E$1213,MATCH($H293&amp;"|"&amp;_xlfn.MAXIFS($F$14:$F$1213,$A$14:$A$1213,$H293),$AB$14:$AB$1213,0)),""))</f>
        <v/>
      </c>
      <c r="AL293" s="27">
        <f>IF(OR($H293="",COUNTIFS($A$14:$A$1213,$H293,$F$14:$F$1213,"&gt;=0")&lt;2,COUNTIFS($A$14:$A$1213,$H293,$F$14:$F$1213,_xlfn.MAXIFS($F$14:$F$1213,$A$14:$A$1213,$H293))&gt;1),"",IFERROR(INDEX($D$14:$D$1213,MATCH($H293&amp;"|"&amp;_xlfn.MAXIFS($F$14:$F$1213,$A$14:$A$1213,$H293,$F$14:$F$1213,"&lt;"&amp;_xlfn.MAXIFS($F$14:$F$1213,$A$14:$A$1213,$H293)),$AB$14:$AB$1213,0)),""))</f>
        <v/>
      </c>
      <c r="AM293" s="27">
        <f>IF(OR($H293="",COUNTIFS($A$14:$A$1213,$H293,$F$14:$F$1213,"&gt;=0")&lt;2,COUNTIFS($A$14:$A$1213,$H293,$F$14:$F$1213,_xlfn.MAXIFS($F$14:$F$1213,$A$14:$A$1213,$H293))&gt;1),"",IFERROR(INDEX($E$14:$E$1213,MATCH($H293&amp;"|"&amp;_xlfn.MAXIFS($F$14:$F$1213,$A$14:$A$1213,$H293,$F$14:$F$1213,"&lt;"&amp;_xlfn.MAXIFS($F$14:$F$1213,$A$14:$A$1213,$H293)),$AB$14:$AB$1213,0)),""))</f>
        <v/>
      </c>
      <c r="AN293" s="27">
        <f>IF(OR(NOT(ISNUMBER($AJ293)),NOT(ISNUMBER($AL293)),$AK293=0,$AM293=0),"",IF(OR((($AJ293+$AL293)/($AK293+$AM293))&lt;=0,(($AJ293+$AL293)/($AK293+$AM293))&gt;=1),"",($AJ293/$AK293-$AL293/$AM293)/SQRT((($AJ293+$AL293)/($AK293+$AM293))*(1-(($AJ293+$AL293)/($AK293+$AM293)))*(1/$AK293+1/$AM293))))</f>
        <v/>
      </c>
      <c r="AO293" s="27">
        <f>IF($A293="","",IF(AND(COUNTIFS($A$14:$A$1213,$A293,$F$14:$F$1213,"&gt;=0")=2,IFERROR(INDEX($M$14:$M$313,MATCH($A293,$H$14:$H$313,0)),"Yes")&lt;&gt;"Yes"),1,0))</f>
        <v/>
      </c>
    </row>
    <row r="294" ht="24" customHeight="1">
      <c r="A294" s="19" t="n"/>
      <c r="B294" s="20" t="n"/>
      <c r="C294" s="21">
        <f>IFERROR(AVERAGE(P294:T294),"")</f>
        <v/>
      </c>
      <c r="D294" s="29" t="n"/>
      <c r="E294" s="29" t="n"/>
      <c r="F294" s="30">
        <f>IF(AND(ISNUMBER($D294),ISNUMBER($E294),$E294&gt;0,$D294&lt;=$E294),$D294/$E294,"")</f>
        <v/>
      </c>
      <c r="H294" s="19">
        <f>IFERROR(INDEX($A$14:$A$1213,MATCH(281,$AI$14:$AI$1213,0)),"")</f>
        <v/>
      </c>
      <c r="I294" s="24">
        <f>IF($H294="","",IF(COUNTIFS($A$14:$A$1213,$H294,$C$14:$C$1213,"&gt;=0")=0,"—",IFERROR(INDEX($B$14:$B$1213,MATCH($H294&amp;"|1",$Z$14:$Z$1213,0)),"(tied)")))</f>
        <v/>
      </c>
      <c r="J294" s="25">
        <f>IF($H294="","",IF(OR(COUNTIFS($A$14:$A$1213,$H294,$C$14:$C$1213,"&gt;=0")=0,COUNTIFS($A$14:$A$1213,$H294,$F$14:$F$1213,"&gt;=0")=0),"—",IF(OR(ISERROR(MATCH($H294&amp;"|1",$Z$14:$Z$1213,0)),ISERROR(MATCH($H294&amp;"|1",$AA$14:$AA$1213,0))),"Tie",IF(MATCH($H294&amp;"|1",$Z$14:$Z$1213,0)=MATCH($H294&amp;"|1",$AA$14:$AA$1213,0),"Hit","Miss"))))</f>
        <v/>
      </c>
      <c r="K294" s="24">
        <f>IF($H294="","",IF(COUNTIFS($A$14:$A$1213,$H294,$F$14:$F$1213,"&gt;=0")=0,"—",IFERROR(INDEX($B$14:$B$1213,MATCH($H294&amp;"|1",$AA$14:$AA$1213,0)),"(tied)")))</f>
        <v/>
      </c>
      <c r="L294" s="25">
        <f>IF($H294="","",IF((--(COUNTIFS($A$14:$A$1213,$H294,$P$14:$P$1213,"&gt;=0")&gt;0)+--(COUNTIFS($A$14:$A$1213,$H294,$Q$14:$Q$1213,"&gt;=0")&gt;0)+--(COUNTIFS($A$14:$A$1213,$H294,$R$14:$R$1213,"&gt;=0")&gt;0)+--(COUNTIFS($A$14:$A$1213,$H294,$S$14:$S$1213,"&gt;=0")&gt;0)+--(COUNTIFS($A$14:$A$1213,$H294,$T$14:$T$1213,"&gt;=0")&gt;0))&lt;2,"—",IF(SUMIFS($AH$14:$AH$1213,$A$14:$A$1213,$H294)=0,"Yes","No")))</f>
        <v/>
      </c>
      <c r="M294" s="25">
        <f>IF($H294="","",IF(COUNTIFS($A$14:$A$1213,$H294,$F$14:$F$1213,"&gt;=0")&lt;2,"—",IF(COUNTIFS($A$14:$A$1213,$H294,$F$14:$F$1213,_xlfn.MAXIFS($F$14:$F$1213,$A$14:$A$1213,$H294))&gt;1,"No",IF(NOT(ISNUMBER($AN294)),"—",IF((2*(1-NORMSDIST(ABS($AN294))))&lt;0.05,"Yes","No")))))</f>
        <v/>
      </c>
      <c r="N294" s="21">
        <f>IF($H294="","",IF(NOT(ISNUMBER($AN294)),"—",IF((2*(1-NORMSDIST(ABS($AN294))))&lt;0.001,"&lt;0.001",TEXT((2*(1-NORMSDIST(ABS($AN294)))),"0.000"))))</f>
        <v/>
      </c>
      <c r="P294" s="26" t="n"/>
      <c r="Q294" s="26" t="n"/>
      <c r="R294" s="26" t="n"/>
      <c r="S294" s="26" t="n"/>
      <c r="T294" s="26" t="n"/>
      <c r="V294" s="27">
        <f>IF(ISNUMBER($C294),COUNTIFS($A$14:$A$1213,$A294,$C$14:$C$1213,"&gt;"&amp;$C294)+(COUNTIFS($A$14:$A$1213,$A294,$C$14:$C$1213,"="&amp;$C294)+1)/2,"")</f>
        <v/>
      </c>
      <c r="W294" s="27">
        <f>IF(ISNUMBER($F294),COUNTIFS($A$14:$A$1213,$A294,$F$14:$F$1213,"&gt;"&amp;$F294)+(COUNTIFS($A$14:$A$1213,$A294,$F$14:$F$1213,"="&amp;$F294)+1)/2,"")</f>
        <v/>
      </c>
      <c r="X294" s="27">
        <f>IF(OR(NOT(ISNUMBER($V294)),$AO294=1),"",$V294-(COUNTIFS($A$14:$A$1213,$A294,$C$14:$C$1213,"&gt;=0")+1)/2)</f>
        <v/>
      </c>
      <c r="Y294" s="27">
        <f>IF(OR(NOT(ISNUMBER($W294)),$AO294=1),"",$W294-(COUNTIFS($A$14:$A$1213,$A294,$F$14:$F$1213,"&gt;=0")+1)/2)</f>
        <v/>
      </c>
      <c r="Z294" s="27">
        <f>IF(ISNUMBER($V294),$A294&amp;"|"&amp;$V294,"")</f>
        <v/>
      </c>
      <c r="AA294" s="27">
        <f>IF(ISNUMBER($W294),$A294&amp;"|"&amp;$W294,"")</f>
        <v/>
      </c>
      <c r="AB294" s="27">
        <f>IF(ISNUMBER($F294),$A294&amp;"|"&amp;$F294,"")</f>
        <v/>
      </c>
      <c r="AC294" s="27">
        <f>IF(ISNUMBER($P294),COUNTIFS($A$14:$A$1213,$A294,$P$14:$P$1213,"&gt;"&amp;$P294)+(COUNTIFS($A$14:$A$1213,$A294,$P$14:$P$1213,"="&amp;$P294)+1)/2,"")</f>
        <v/>
      </c>
      <c r="AD294" s="27">
        <f>IF(ISNUMBER($Q294),COUNTIFS($A$14:$A$1213,$A294,$Q$14:$Q$1213,"&gt;"&amp;$Q294)+(COUNTIFS($A$14:$A$1213,$A294,$Q$14:$Q$1213,"="&amp;$Q294)+1)/2,"")</f>
        <v/>
      </c>
      <c r="AE294" s="27">
        <f>IF(ISNUMBER($R294),COUNTIFS($A$14:$A$1213,$A294,$R$14:$R$1213,"&gt;"&amp;$R294)+(COUNTIFS($A$14:$A$1213,$A294,$R$14:$R$1213,"="&amp;$R294)+1)/2,"")</f>
        <v/>
      </c>
      <c r="AF294" s="27">
        <f>IF(ISNUMBER($S294),COUNTIFS($A$14:$A$1213,$A294,$S$14:$S$1213,"&gt;"&amp;$S294)+(COUNTIFS($A$14:$A$1213,$A294,$S$14:$S$1213,"="&amp;$S294)+1)/2,"")</f>
        <v/>
      </c>
      <c r="AG294" s="27">
        <f>IF(ISNUMBER($T294),COUNTIFS($A$14:$A$1213,$A294,$T$14:$T$1213,"&gt;"&amp;$T294)+(COUNTIFS($A$14:$A$1213,$A294,$T$14:$T$1213,"="&amp;$T294)+1)/2,"")</f>
        <v/>
      </c>
      <c r="AH294" s="27">
        <f>IF(COUNT($AC294:$AG294)&lt;2,"",IF(MAX($AC294:$AG294)=MIN($AC294:$AG294),0,1))</f>
        <v/>
      </c>
      <c r="AI294" s="27">
        <f>IF($A294="","",IF(COUNTIF($A$14:$A294,$A294)=1,COUNTIF($AI$13:AI293,"&gt;0")+1,""))</f>
        <v/>
      </c>
      <c r="AJ294" s="27">
        <f>IF(OR($H294="",COUNTIFS($A$14:$A$1213,$H294,$F$14:$F$1213,"&gt;=0")&lt;2,COUNTIFS($A$14:$A$1213,$H294,$F$14:$F$1213,_xlfn.MAXIFS($F$14:$F$1213,$A$14:$A$1213,$H294))&gt;1),"",IFERROR(INDEX($D$14:$D$1213,MATCH($H294&amp;"|"&amp;_xlfn.MAXIFS($F$14:$F$1213,$A$14:$A$1213,$H294),$AB$14:$AB$1213,0)),""))</f>
        <v/>
      </c>
      <c r="AK294" s="27">
        <f>IF(OR($H294="",COUNTIFS($A$14:$A$1213,$H294,$F$14:$F$1213,"&gt;=0")&lt;2,COUNTIFS($A$14:$A$1213,$H294,$F$14:$F$1213,_xlfn.MAXIFS($F$14:$F$1213,$A$14:$A$1213,$H294))&gt;1),"",IFERROR(INDEX($E$14:$E$1213,MATCH($H294&amp;"|"&amp;_xlfn.MAXIFS($F$14:$F$1213,$A$14:$A$1213,$H294),$AB$14:$AB$1213,0)),""))</f>
        <v/>
      </c>
      <c r="AL294" s="27">
        <f>IF(OR($H294="",COUNTIFS($A$14:$A$1213,$H294,$F$14:$F$1213,"&gt;=0")&lt;2,COUNTIFS($A$14:$A$1213,$H294,$F$14:$F$1213,_xlfn.MAXIFS($F$14:$F$1213,$A$14:$A$1213,$H294))&gt;1),"",IFERROR(INDEX($D$14:$D$1213,MATCH($H294&amp;"|"&amp;_xlfn.MAXIFS($F$14:$F$1213,$A$14:$A$1213,$H294,$F$14:$F$1213,"&lt;"&amp;_xlfn.MAXIFS($F$14:$F$1213,$A$14:$A$1213,$H294)),$AB$14:$AB$1213,0)),""))</f>
        <v/>
      </c>
      <c r="AM294" s="27">
        <f>IF(OR($H294="",COUNTIFS($A$14:$A$1213,$H294,$F$14:$F$1213,"&gt;=0")&lt;2,COUNTIFS($A$14:$A$1213,$H294,$F$14:$F$1213,_xlfn.MAXIFS($F$14:$F$1213,$A$14:$A$1213,$H294))&gt;1),"",IFERROR(INDEX($E$14:$E$1213,MATCH($H294&amp;"|"&amp;_xlfn.MAXIFS($F$14:$F$1213,$A$14:$A$1213,$H294,$F$14:$F$1213,"&lt;"&amp;_xlfn.MAXIFS($F$14:$F$1213,$A$14:$A$1213,$H294)),$AB$14:$AB$1213,0)),""))</f>
        <v/>
      </c>
      <c r="AN294" s="27">
        <f>IF(OR(NOT(ISNUMBER($AJ294)),NOT(ISNUMBER($AL294)),$AK294=0,$AM294=0),"",IF(OR((($AJ294+$AL294)/($AK294+$AM294))&lt;=0,(($AJ294+$AL294)/($AK294+$AM294))&gt;=1),"",($AJ294/$AK294-$AL294/$AM294)/SQRT((($AJ294+$AL294)/($AK294+$AM294))*(1-(($AJ294+$AL294)/($AK294+$AM294)))*(1/$AK294+1/$AM294))))</f>
        <v/>
      </c>
      <c r="AO294" s="27">
        <f>IF($A294="","",IF(AND(COUNTIFS($A$14:$A$1213,$A294,$F$14:$F$1213,"&gt;=0")=2,IFERROR(INDEX($M$14:$M$313,MATCH($A294,$H$14:$H$313,0)),"Yes")&lt;&gt;"Yes"),1,0))</f>
        <v/>
      </c>
    </row>
    <row r="295" ht="24" customHeight="1">
      <c r="A295" s="19" t="n"/>
      <c r="B295" s="20" t="n"/>
      <c r="C295" s="21">
        <f>IFERROR(AVERAGE(P295:T295),"")</f>
        <v/>
      </c>
      <c r="D295" s="29" t="n"/>
      <c r="E295" s="29" t="n"/>
      <c r="F295" s="30">
        <f>IF(AND(ISNUMBER($D295),ISNUMBER($E295),$E295&gt;0,$D295&lt;=$E295),$D295/$E295,"")</f>
        <v/>
      </c>
      <c r="H295" s="19">
        <f>IFERROR(INDEX($A$14:$A$1213,MATCH(282,$AI$14:$AI$1213,0)),"")</f>
        <v/>
      </c>
      <c r="I295" s="24">
        <f>IF($H295="","",IF(COUNTIFS($A$14:$A$1213,$H295,$C$14:$C$1213,"&gt;=0")=0,"—",IFERROR(INDEX($B$14:$B$1213,MATCH($H295&amp;"|1",$Z$14:$Z$1213,0)),"(tied)")))</f>
        <v/>
      </c>
      <c r="J295" s="25">
        <f>IF($H295="","",IF(OR(COUNTIFS($A$14:$A$1213,$H295,$C$14:$C$1213,"&gt;=0")=0,COUNTIFS($A$14:$A$1213,$H295,$F$14:$F$1213,"&gt;=0")=0),"—",IF(OR(ISERROR(MATCH($H295&amp;"|1",$Z$14:$Z$1213,0)),ISERROR(MATCH($H295&amp;"|1",$AA$14:$AA$1213,0))),"Tie",IF(MATCH($H295&amp;"|1",$Z$14:$Z$1213,0)=MATCH($H295&amp;"|1",$AA$14:$AA$1213,0),"Hit","Miss"))))</f>
        <v/>
      </c>
      <c r="K295" s="24">
        <f>IF($H295="","",IF(COUNTIFS($A$14:$A$1213,$H295,$F$14:$F$1213,"&gt;=0")=0,"—",IFERROR(INDEX($B$14:$B$1213,MATCH($H295&amp;"|1",$AA$14:$AA$1213,0)),"(tied)")))</f>
        <v/>
      </c>
      <c r="L295" s="25">
        <f>IF($H295="","",IF((--(COUNTIFS($A$14:$A$1213,$H295,$P$14:$P$1213,"&gt;=0")&gt;0)+--(COUNTIFS($A$14:$A$1213,$H295,$Q$14:$Q$1213,"&gt;=0")&gt;0)+--(COUNTIFS($A$14:$A$1213,$H295,$R$14:$R$1213,"&gt;=0")&gt;0)+--(COUNTIFS($A$14:$A$1213,$H295,$S$14:$S$1213,"&gt;=0")&gt;0)+--(COUNTIFS($A$14:$A$1213,$H295,$T$14:$T$1213,"&gt;=0")&gt;0))&lt;2,"—",IF(SUMIFS($AH$14:$AH$1213,$A$14:$A$1213,$H295)=0,"Yes","No")))</f>
        <v/>
      </c>
      <c r="M295" s="25">
        <f>IF($H295="","",IF(COUNTIFS($A$14:$A$1213,$H295,$F$14:$F$1213,"&gt;=0")&lt;2,"—",IF(COUNTIFS($A$14:$A$1213,$H295,$F$14:$F$1213,_xlfn.MAXIFS($F$14:$F$1213,$A$14:$A$1213,$H295))&gt;1,"No",IF(NOT(ISNUMBER($AN295)),"—",IF((2*(1-NORMSDIST(ABS($AN295))))&lt;0.05,"Yes","No")))))</f>
        <v/>
      </c>
      <c r="N295" s="21">
        <f>IF($H295="","",IF(NOT(ISNUMBER($AN295)),"—",IF((2*(1-NORMSDIST(ABS($AN295))))&lt;0.001,"&lt;0.001",TEXT((2*(1-NORMSDIST(ABS($AN295)))),"0.000"))))</f>
        <v/>
      </c>
      <c r="P295" s="26" t="n"/>
      <c r="Q295" s="26" t="n"/>
      <c r="R295" s="26" t="n"/>
      <c r="S295" s="26" t="n"/>
      <c r="T295" s="26" t="n"/>
      <c r="V295" s="27">
        <f>IF(ISNUMBER($C295),COUNTIFS($A$14:$A$1213,$A295,$C$14:$C$1213,"&gt;"&amp;$C295)+(COUNTIFS($A$14:$A$1213,$A295,$C$14:$C$1213,"="&amp;$C295)+1)/2,"")</f>
        <v/>
      </c>
      <c r="W295" s="27">
        <f>IF(ISNUMBER($F295),COUNTIFS($A$14:$A$1213,$A295,$F$14:$F$1213,"&gt;"&amp;$F295)+(COUNTIFS($A$14:$A$1213,$A295,$F$14:$F$1213,"="&amp;$F295)+1)/2,"")</f>
        <v/>
      </c>
      <c r="X295" s="27">
        <f>IF(OR(NOT(ISNUMBER($V295)),$AO295=1),"",$V295-(COUNTIFS($A$14:$A$1213,$A295,$C$14:$C$1213,"&gt;=0")+1)/2)</f>
        <v/>
      </c>
      <c r="Y295" s="27">
        <f>IF(OR(NOT(ISNUMBER($W295)),$AO295=1),"",$W295-(COUNTIFS($A$14:$A$1213,$A295,$F$14:$F$1213,"&gt;=0")+1)/2)</f>
        <v/>
      </c>
      <c r="Z295" s="27">
        <f>IF(ISNUMBER($V295),$A295&amp;"|"&amp;$V295,"")</f>
        <v/>
      </c>
      <c r="AA295" s="27">
        <f>IF(ISNUMBER($W295),$A295&amp;"|"&amp;$W295,"")</f>
        <v/>
      </c>
      <c r="AB295" s="27">
        <f>IF(ISNUMBER($F295),$A295&amp;"|"&amp;$F295,"")</f>
        <v/>
      </c>
      <c r="AC295" s="27">
        <f>IF(ISNUMBER($P295),COUNTIFS($A$14:$A$1213,$A295,$P$14:$P$1213,"&gt;"&amp;$P295)+(COUNTIFS($A$14:$A$1213,$A295,$P$14:$P$1213,"="&amp;$P295)+1)/2,"")</f>
        <v/>
      </c>
      <c r="AD295" s="27">
        <f>IF(ISNUMBER($Q295),COUNTIFS($A$14:$A$1213,$A295,$Q$14:$Q$1213,"&gt;"&amp;$Q295)+(COUNTIFS($A$14:$A$1213,$A295,$Q$14:$Q$1213,"="&amp;$Q295)+1)/2,"")</f>
        <v/>
      </c>
      <c r="AE295" s="27">
        <f>IF(ISNUMBER($R295),COUNTIFS($A$14:$A$1213,$A295,$R$14:$R$1213,"&gt;"&amp;$R295)+(COUNTIFS($A$14:$A$1213,$A295,$R$14:$R$1213,"="&amp;$R295)+1)/2,"")</f>
        <v/>
      </c>
      <c r="AF295" s="27">
        <f>IF(ISNUMBER($S295),COUNTIFS($A$14:$A$1213,$A295,$S$14:$S$1213,"&gt;"&amp;$S295)+(COUNTIFS($A$14:$A$1213,$A295,$S$14:$S$1213,"="&amp;$S295)+1)/2,"")</f>
        <v/>
      </c>
      <c r="AG295" s="27">
        <f>IF(ISNUMBER($T295),COUNTIFS($A$14:$A$1213,$A295,$T$14:$T$1213,"&gt;"&amp;$T295)+(COUNTIFS($A$14:$A$1213,$A295,$T$14:$T$1213,"="&amp;$T295)+1)/2,"")</f>
        <v/>
      </c>
      <c r="AH295" s="27">
        <f>IF(COUNT($AC295:$AG295)&lt;2,"",IF(MAX($AC295:$AG295)=MIN($AC295:$AG295),0,1))</f>
        <v/>
      </c>
      <c r="AI295" s="27">
        <f>IF($A295="","",IF(COUNTIF($A$14:$A295,$A295)=1,COUNTIF($AI$13:AI294,"&gt;0")+1,""))</f>
        <v/>
      </c>
      <c r="AJ295" s="27">
        <f>IF(OR($H295="",COUNTIFS($A$14:$A$1213,$H295,$F$14:$F$1213,"&gt;=0")&lt;2,COUNTIFS($A$14:$A$1213,$H295,$F$14:$F$1213,_xlfn.MAXIFS($F$14:$F$1213,$A$14:$A$1213,$H295))&gt;1),"",IFERROR(INDEX($D$14:$D$1213,MATCH($H295&amp;"|"&amp;_xlfn.MAXIFS($F$14:$F$1213,$A$14:$A$1213,$H295),$AB$14:$AB$1213,0)),""))</f>
        <v/>
      </c>
      <c r="AK295" s="27">
        <f>IF(OR($H295="",COUNTIFS($A$14:$A$1213,$H295,$F$14:$F$1213,"&gt;=0")&lt;2,COUNTIFS($A$14:$A$1213,$H295,$F$14:$F$1213,_xlfn.MAXIFS($F$14:$F$1213,$A$14:$A$1213,$H295))&gt;1),"",IFERROR(INDEX($E$14:$E$1213,MATCH($H295&amp;"|"&amp;_xlfn.MAXIFS($F$14:$F$1213,$A$14:$A$1213,$H295),$AB$14:$AB$1213,0)),""))</f>
        <v/>
      </c>
      <c r="AL295" s="27">
        <f>IF(OR($H295="",COUNTIFS($A$14:$A$1213,$H295,$F$14:$F$1213,"&gt;=0")&lt;2,COUNTIFS($A$14:$A$1213,$H295,$F$14:$F$1213,_xlfn.MAXIFS($F$14:$F$1213,$A$14:$A$1213,$H295))&gt;1),"",IFERROR(INDEX($D$14:$D$1213,MATCH($H295&amp;"|"&amp;_xlfn.MAXIFS($F$14:$F$1213,$A$14:$A$1213,$H295,$F$14:$F$1213,"&lt;"&amp;_xlfn.MAXIFS($F$14:$F$1213,$A$14:$A$1213,$H295)),$AB$14:$AB$1213,0)),""))</f>
        <v/>
      </c>
      <c r="AM295" s="27">
        <f>IF(OR($H295="",COUNTIFS($A$14:$A$1213,$H295,$F$14:$F$1213,"&gt;=0")&lt;2,COUNTIFS($A$14:$A$1213,$H295,$F$14:$F$1213,_xlfn.MAXIFS($F$14:$F$1213,$A$14:$A$1213,$H295))&gt;1),"",IFERROR(INDEX($E$14:$E$1213,MATCH($H295&amp;"|"&amp;_xlfn.MAXIFS($F$14:$F$1213,$A$14:$A$1213,$H295,$F$14:$F$1213,"&lt;"&amp;_xlfn.MAXIFS($F$14:$F$1213,$A$14:$A$1213,$H295)),$AB$14:$AB$1213,0)),""))</f>
        <v/>
      </c>
      <c r="AN295" s="27">
        <f>IF(OR(NOT(ISNUMBER($AJ295)),NOT(ISNUMBER($AL295)),$AK295=0,$AM295=0),"",IF(OR((($AJ295+$AL295)/($AK295+$AM295))&lt;=0,(($AJ295+$AL295)/($AK295+$AM295))&gt;=1),"",($AJ295/$AK295-$AL295/$AM295)/SQRT((($AJ295+$AL295)/($AK295+$AM295))*(1-(($AJ295+$AL295)/($AK295+$AM295)))*(1/$AK295+1/$AM295))))</f>
        <v/>
      </c>
      <c r="AO295" s="27">
        <f>IF($A295="","",IF(AND(COUNTIFS($A$14:$A$1213,$A295,$F$14:$F$1213,"&gt;=0")=2,IFERROR(INDEX($M$14:$M$313,MATCH($A295,$H$14:$H$313,0)),"Yes")&lt;&gt;"Yes"),1,0))</f>
        <v/>
      </c>
    </row>
    <row r="296" ht="24" customHeight="1">
      <c r="A296" s="19" t="n"/>
      <c r="B296" s="20" t="n"/>
      <c r="C296" s="21">
        <f>IFERROR(AVERAGE(P296:T296),"")</f>
        <v/>
      </c>
      <c r="D296" s="29" t="n"/>
      <c r="E296" s="29" t="n"/>
      <c r="F296" s="30">
        <f>IF(AND(ISNUMBER($D296),ISNUMBER($E296),$E296&gt;0,$D296&lt;=$E296),$D296/$E296,"")</f>
        <v/>
      </c>
      <c r="H296" s="19">
        <f>IFERROR(INDEX($A$14:$A$1213,MATCH(283,$AI$14:$AI$1213,0)),"")</f>
        <v/>
      </c>
      <c r="I296" s="24">
        <f>IF($H296="","",IF(COUNTIFS($A$14:$A$1213,$H296,$C$14:$C$1213,"&gt;=0")=0,"—",IFERROR(INDEX($B$14:$B$1213,MATCH($H296&amp;"|1",$Z$14:$Z$1213,0)),"(tied)")))</f>
        <v/>
      </c>
      <c r="J296" s="25">
        <f>IF($H296="","",IF(OR(COUNTIFS($A$14:$A$1213,$H296,$C$14:$C$1213,"&gt;=0")=0,COUNTIFS($A$14:$A$1213,$H296,$F$14:$F$1213,"&gt;=0")=0),"—",IF(OR(ISERROR(MATCH($H296&amp;"|1",$Z$14:$Z$1213,0)),ISERROR(MATCH($H296&amp;"|1",$AA$14:$AA$1213,0))),"Tie",IF(MATCH($H296&amp;"|1",$Z$14:$Z$1213,0)=MATCH($H296&amp;"|1",$AA$14:$AA$1213,0),"Hit","Miss"))))</f>
        <v/>
      </c>
      <c r="K296" s="24">
        <f>IF($H296="","",IF(COUNTIFS($A$14:$A$1213,$H296,$F$14:$F$1213,"&gt;=0")=0,"—",IFERROR(INDEX($B$14:$B$1213,MATCH($H296&amp;"|1",$AA$14:$AA$1213,0)),"(tied)")))</f>
        <v/>
      </c>
      <c r="L296" s="25">
        <f>IF($H296="","",IF((--(COUNTIFS($A$14:$A$1213,$H296,$P$14:$P$1213,"&gt;=0")&gt;0)+--(COUNTIFS($A$14:$A$1213,$H296,$Q$14:$Q$1213,"&gt;=0")&gt;0)+--(COUNTIFS($A$14:$A$1213,$H296,$R$14:$R$1213,"&gt;=0")&gt;0)+--(COUNTIFS($A$14:$A$1213,$H296,$S$14:$S$1213,"&gt;=0")&gt;0)+--(COUNTIFS($A$14:$A$1213,$H296,$T$14:$T$1213,"&gt;=0")&gt;0))&lt;2,"—",IF(SUMIFS($AH$14:$AH$1213,$A$14:$A$1213,$H296)=0,"Yes","No")))</f>
        <v/>
      </c>
      <c r="M296" s="25">
        <f>IF($H296="","",IF(COUNTIFS($A$14:$A$1213,$H296,$F$14:$F$1213,"&gt;=0")&lt;2,"—",IF(COUNTIFS($A$14:$A$1213,$H296,$F$14:$F$1213,_xlfn.MAXIFS($F$14:$F$1213,$A$14:$A$1213,$H296))&gt;1,"No",IF(NOT(ISNUMBER($AN296)),"—",IF((2*(1-NORMSDIST(ABS($AN296))))&lt;0.05,"Yes","No")))))</f>
        <v/>
      </c>
      <c r="N296" s="21">
        <f>IF($H296="","",IF(NOT(ISNUMBER($AN296)),"—",IF((2*(1-NORMSDIST(ABS($AN296))))&lt;0.001,"&lt;0.001",TEXT((2*(1-NORMSDIST(ABS($AN296)))),"0.000"))))</f>
        <v/>
      </c>
      <c r="P296" s="26" t="n"/>
      <c r="Q296" s="26" t="n"/>
      <c r="R296" s="26" t="n"/>
      <c r="S296" s="26" t="n"/>
      <c r="T296" s="26" t="n"/>
      <c r="V296" s="27">
        <f>IF(ISNUMBER($C296),COUNTIFS($A$14:$A$1213,$A296,$C$14:$C$1213,"&gt;"&amp;$C296)+(COUNTIFS($A$14:$A$1213,$A296,$C$14:$C$1213,"="&amp;$C296)+1)/2,"")</f>
        <v/>
      </c>
      <c r="W296" s="27">
        <f>IF(ISNUMBER($F296),COUNTIFS($A$14:$A$1213,$A296,$F$14:$F$1213,"&gt;"&amp;$F296)+(COUNTIFS($A$14:$A$1213,$A296,$F$14:$F$1213,"="&amp;$F296)+1)/2,"")</f>
        <v/>
      </c>
      <c r="X296" s="27">
        <f>IF(OR(NOT(ISNUMBER($V296)),$AO296=1),"",$V296-(COUNTIFS($A$14:$A$1213,$A296,$C$14:$C$1213,"&gt;=0")+1)/2)</f>
        <v/>
      </c>
      <c r="Y296" s="27">
        <f>IF(OR(NOT(ISNUMBER($W296)),$AO296=1),"",$W296-(COUNTIFS($A$14:$A$1213,$A296,$F$14:$F$1213,"&gt;=0")+1)/2)</f>
        <v/>
      </c>
      <c r="Z296" s="27">
        <f>IF(ISNUMBER($V296),$A296&amp;"|"&amp;$V296,"")</f>
        <v/>
      </c>
      <c r="AA296" s="27">
        <f>IF(ISNUMBER($W296),$A296&amp;"|"&amp;$W296,"")</f>
        <v/>
      </c>
      <c r="AB296" s="27">
        <f>IF(ISNUMBER($F296),$A296&amp;"|"&amp;$F296,"")</f>
        <v/>
      </c>
      <c r="AC296" s="27">
        <f>IF(ISNUMBER($P296),COUNTIFS($A$14:$A$1213,$A296,$P$14:$P$1213,"&gt;"&amp;$P296)+(COUNTIFS($A$14:$A$1213,$A296,$P$14:$P$1213,"="&amp;$P296)+1)/2,"")</f>
        <v/>
      </c>
      <c r="AD296" s="27">
        <f>IF(ISNUMBER($Q296),COUNTIFS($A$14:$A$1213,$A296,$Q$14:$Q$1213,"&gt;"&amp;$Q296)+(COUNTIFS($A$14:$A$1213,$A296,$Q$14:$Q$1213,"="&amp;$Q296)+1)/2,"")</f>
        <v/>
      </c>
      <c r="AE296" s="27">
        <f>IF(ISNUMBER($R296),COUNTIFS($A$14:$A$1213,$A296,$R$14:$R$1213,"&gt;"&amp;$R296)+(COUNTIFS($A$14:$A$1213,$A296,$R$14:$R$1213,"="&amp;$R296)+1)/2,"")</f>
        <v/>
      </c>
      <c r="AF296" s="27">
        <f>IF(ISNUMBER($S296),COUNTIFS($A$14:$A$1213,$A296,$S$14:$S$1213,"&gt;"&amp;$S296)+(COUNTIFS($A$14:$A$1213,$A296,$S$14:$S$1213,"="&amp;$S296)+1)/2,"")</f>
        <v/>
      </c>
      <c r="AG296" s="27">
        <f>IF(ISNUMBER($T296),COUNTIFS($A$14:$A$1213,$A296,$T$14:$T$1213,"&gt;"&amp;$T296)+(COUNTIFS($A$14:$A$1213,$A296,$T$14:$T$1213,"="&amp;$T296)+1)/2,"")</f>
        <v/>
      </c>
      <c r="AH296" s="27">
        <f>IF(COUNT($AC296:$AG296)&lt;2,"",IF(MAX($AC296:$AG296)=MIN($AC296:$AG296),0,1))</f>
        <v/>
      </c>
      <c r="AI296" s="27">
        <f>IF($A296="","",IF(COUNTIF($A$14:$A296,$A296)=1,COUNTIF($AI$13:AI295,"&gt;0")+1,""))</f>
        <v/>
      </c>
      <c r="AJ296" s="27">
        <f>IF(OR($H296="",COUNTIFS($A$14:$A$1213,$H296,$F$14:$F$1213,"&gt;=0")&lt;2,COUNTIFS($A$14:$A$1213,$H296,$F$14:$F$1213,_xlfn.MAXIFS($F$14:$F$1213,$A$14:$A$1213,$H296))&gt;1),"",IFERROR(INDEX($D$14:$D$1213,MATCH($H296&amp;"|"&amp;_xlfn.MAXIFS($F$14:$F$1213,$A$14:$A$1213,$H296),$AB$14:$AB$1213,0)),""))</f>
        <v/>
      </c>
      <c r="AK296" s="27">
        <f>IF(OR($H296="",COUNTIFS($A$14:$A$1213,$H296,$F$14:$F$1213,"&gt;=0")&lt;2,COUNTIFS($A$14:$A$1213,$H296,$F$14:$F$1213,_xlfn.MAXIFS($F$14:$F$1213,$A$14:$A$1213,$H296))&gt;1),"",IFERROR(INDEX($E$14:$E$1213,MATCH($H296&amp;"|"&amp;_xlfn.MAXIFS($F$14:$F$1213,$A$14:$A$1213,$H296),$AB$14:$AB$1213,0)),""))</f>
        <v/>
      </c>
      <c r="AL296" s="27">
        <f>IF(OR($H296="",COUNTIFS($A$14:$A$1213,$H296,$F$14:$F$1213,"&gt;=0")&lt;2,COUNTIFS($A$14:$A$1213,$H296,$F$14:$F$1213,_xlfn.MAXIFS($F$14:$F$1213,$A$14:$A$1213,$H296))&gt;1),"",IFERROR(INDEX($D$14:$D$1213,MATCH($H296&amp;"|"&amp;_xlfn.MAXIFS($F$14:$F$1213,$A$14:$A$1213,$H296,$F$14:$F$1213,"&lt;"&amp;_xlfn.MAXIFS($F$14:$F$1213,$A$14:$A$1213,$H296)),$AB$14:$AB$1213,0)),""))</f>
        <v/>
      </c>
      <c r="AM296" s="27">
        <f>IF(OR($H296="",COUNTIFS($A$14:$A$1213,$H296,$F$14:$F$1213,"&gt;=0")&lt;2,COUNTIFS($A$14:$A$1213,$H296,$F$14:$F$1213,_xlfn.MAXIFS($F$14:$F$1213,$A$14:$A$1213,$H296))&gt;1),"",IFERROR(INDEX($E$14:$E$1213,MATCH($H296&amp;"|"&amp;_xlfn.MAXIFS($F$14:$F$1213,$A$14:$A$1213,$H296,$F$14:$F$1213,"&lt;"&amp;_xlfn.MAXIFS($F$14:$F$1213,$A$14:$A$1213,$H296)),$AB$14:$AB$1213,0)),""))</f>
        <v/>
      </c>
      <c r="AN296" s="27">
        <f>IF(OR(NOT(ISNUMBER($AJ296)),NOT(ISNUMBER($AL296)),$AK296=0,$AM296=0),"",IF(OR((($AJ296+$AL296)/($AK296+$AM296))&lt;=0,(($AJ296+$AL296)/($AK296+$AM296))&gt;=1),"",($AJ296/$AK296-$AL296/$AM296)/SQRT((($AJ296+$AL296)/($AK296+$AM296))*(1-(($AJ296+$AL296)/($AK296+$AM296)))*(1/$AK296+1/$AM296))))</f>
        <v/>
      </c>
      <c r="AO296" s="27">
        <f>IF($A296="","",IF(AND(COUNTIFS($A$14:$A$1213,$A296,$F$14:$F$1213,"&gt;=0")=2,IFERROR(INDEX($M$14:$M$313,MATCH($A296,$H$14:$H$313,0)),"Yes")&lt;&gt;"Yes"),1,0))</f>
        <v/>
      </c>
    </row>
    <row r="297" ht="24" customHeight="1">
      <c r="A297" s="19" t="n"/>
      <c r="B297" s="20" t="n"/>
      <c r="C297" s="21">
        <f>IFERROR(AVERAGE(P297:T297),"")</f>
        <v/>
      </c>
      <c r="D297" s="29" t="n"/>
      <c r="E297" s="29" t="n"/>
      <c r="F297" s="30">
        <f>IF(AND(ISNUMBER($D297),ISNUMBER($E297),$E297&gt;0,$D297&lt;=$E297),$D297/$E297,"")</f>
        <v/>
      </c>
      <c r="H297" s="19">
        <f>IFERROR(INDEX($A$14:$A$1213,MATCH(284,$AI$14:$AI$1213,0)),"")</f>
        <v/>
      </c>
      <c r="I297" s="24">
        <f>IF($H297="","",IF(COUNTIFS($A$14:$A$1213,$H297,$C$14:$C$1213,"&gt;=0")=0,"—",IFERROR(INDEX($B$14:$B$1213,MATCH($H297&amp;"|1",$Z$14:$Z$1213,0)),"(tied)")))</f>
        <v/>
      </c>
      <c r="J297" s="25">
        <f>IF($H297="","",IF(OR(COUNTIFS($A$14:$A$1213,$H297,$C$14:$C$1213,"&gt;=0")=0,COUNTIFS($A$14:$A$1213,$H297,$F$14:$F$1213,"&gt;=0")=0),"—",IF(OR(ISERROR(MATCH($H297&amp;"|1",$Z$14:$Z$1213,0)),ISERROR(MATCH($H297&amp;"|1",$AA$14:$AA$1213,0))),"Tie",IF(MATCH($H297&amp;"|1",$Z$14:$Z$1213,0)=MATCH($H297&amp;"|1",$AA$14:$AA$1213,0),"Hit","Miss"))))</f>
        <v/>
      </c>
      <c r="K297" s="24">
        <f>IF($H297="","",IF(COUNTIFS($A$14:$A$1213,$H297,$F$14:$F$1213,"&gt;=0")=0,"—",IFERROR(INDEX($B$14:$B$1213,MATCH($H297&amp;"|1",$AA$14:$AA$1213,0)),"(tied)")))</f>
        <v/>
      </c>
      <c r="L297" s="25">
        <f>IF($H297="","",IF((--(COUNTIFS($A$14:$A$1213,$H297,$P$14:$P$1213,"&gt;=0")&gt;0)+--(COUNTIFS($A$14:$A$1213,$H297,$Q$14:$Q$1213,"&gt;=0")&gt;0)+--(COUNTIFS($A$14:$A$1213,$H297,$R$14:$R$1213,"&gt;=0")&gt;0)+--(COUNTIFS($A$14:$A$1213,$H297,$S$14:$S$1213,"&gt;=0")&gt;0)+--(COUNTIFS($A$14:$A$1213,$H297,$T$14:$T$1213,"&gt;=0")&gt;0))&lt;2,"—",IF(SUMIFS($AH$14:$AH$1213,$A$14:$A$1213,$H297)=0,"Yes","No")))</f>
        <v/>
      </c>
      <c r="M297" s="25">
        <f>IF($H297="","",IF(COUNTIFS($A$14:$A$1213,$H297,$F$14:$F$1213,"&gt;=0")&lt;2,"—",IF(COUNTIFS($A$14:$A$1213,$H297,$F$14:$F$1213,_xlfn.MAXIFS($F$14:$F$1213,$A$14:$A$1213,$H297))&gt;1,"No",IF(NOT(ISNUMBER($AN297)),"—",IF((2*(1-NORMSDIST(ABS($AN297))))&lt;0.05,"Yes","No")))))</f>
        <v/>
      </c>
      <c r="N297" s="21">
        <f>IF($H297="","",IF(NOT(ISNUMBER($AN297)),"—",IF((2*(1-NORMSDIST(ABS($AN297))))&lt;0.001,"&lt;0.001",TEXT((2*(1-NORMSDIST(ABS($AN297)))),"0.000"))))</f>
        <v/>
      </c>
      <c r="P297" s="26" t="n"/>
      <c r="Q297" s="26" t="n"/>
      <c r="R297" s="26" t="n"/>
      <c r="S297" s="26" t="n"/>
      <c r="T297" s="26" t="n"/>
      <c r="V297" s="27">
        <f>IF(ISNUMBER($C297),COUNTIFS($A$14:$A$1213,$A297,$C$14:$C$1213,"&gt;"&amp;$C297)+(COUNTIFS($A$14:$A$1213,$A297,$C$14:$C$1213,"="&amp;$C297)+1)/2,"")</f>
        <v/>
      </c>
      <c r="W297" s="27">
        <f>IF(ISNUMBER($F297),COUNTIFS($A$14:$A$1213,$A297,$F$14:$F$1213,"&gt;"&amp;$F297)+(COUNTIFS($A$14:$A$1213,$A297,$F$14:$F$1213,"="&amp;$F297)+1)/2,"")</f>
        <v/>
      </c>
      <c r="X297" s="27">
        <f>IF(OR(NOT(ISNUMBER($V297)),$AO297=1),"",$V297-(COUNTIFS($A$14:$A$1213,$A297,$C$14:$C$1213,"&gt;=0")+1)/2)</f>
        <v/>
      </c>
      <c r="Y297" s="27">
        <f>IF(OR(NOT(ISNUMBER($W297)),$AO297=1),"",$W297-(COUNTIFS($A$14:$A$1213,$A297,$F$14:$F$1213,"&gt;=0")+1)/2)</f>
        <v/>
      </c>
      <c r="Z297" s="27">
        <f>IF(ISNUMBER($V297),$A297&amp;"|"&amp;$V297,"")</f>
        <v/>
      </c>
      <c r="AA297" s="27">
        <f>IF(ISNUMBER($W297),$A297&amp;"|"&amp;$W297,"")</f>
        <v/>
      </c>
      <c r="AB297" s="27">
        <f>IF(ISNUMBER($F297),$A297&amp;"|"&amp;$F297,"")</f>
        <v/>
      </c>
      <c r="AC297" s="27">
        <f>IF(ISNUMBER($P297),COUNTIFS($A$14:$A$1213,$A297,$P$14:$P$1213,"&gt;"&amp;$P297)+(COUNTIFS($A$14:$A$1213,$A297,$P$14:$P$1213,"="&amp;$P297)+1)/2,"")</f>
        <v/>
      </c>
      <c r="AD297" s="27">
        <f>IF(ISNUMBER($Q297),COUNTIFS($A$14:$A$1213,$A297,$Q$14:$Q$1213,"&gt;"&amp;$Q297)+(COUNTIFS($A$14:$A$1213,$A297,$Q$14:$Q$1213,"="&amp;$Q297)+1)/2,"")</f>
        <v/>
      </c>
      <c r="AE297" s="27">
        <f>IF(ISNUMBER($R297),COUNTIFS($A$14:$A$1213,$A297,$R$14:$R$1213,"&gt;"&amp;$R297)+(COUNTIFS($A$14:$A$1213,$A297,$R$14:$R$1213,"="&amp;$R297)+1)/2,"")</f>
        <v/>
      </c>
      <c r="AF297" s="27">
        <f>IF(ISNUMBER($S297),COUNTIFS($A$14:$A$1213,$A297,$S$14:$S$1213,"&gt;"&amp;$S297)+(COUNTIFS($A$14:$A$1213,$A297,$S$14:$S$1213,"="&amp;$S297)+1)/2,"")</f>
        <v/>
      </c>
      <c r="AG297" s="27">
        <f>IF(ISNUMBER($T297),COUNTIFS($A$14:$A$1213,$A297,$T$14:$T$1213,"&gt;"&amp;$T297)+(COUNTIFS($A$14:$A$1213,$A297,$T$14:$T$1213,"="&amp;$T297)+1)/2,"")</f>
        <v/>
      </c>
      <c r="AH297" s="27">
        <f>IF(COUNT($AC297:$AG297)&lt;2,"",IF(MAX($AC297:$AG297)=MIN($AC297:$AG297),0,1))</f>
        <v/>
      </c>
      <c r="AI297" s="27">
        <f>IF($A297="","",IF(COUNTIF($A$14:$A297,$A297)=1,COUNTIF($AI$13:AI296,"&gt;0")+1,""))</f>
        <v/>
      </c>
      <c r="AJ297" s="27">
        <f>IF(OR($H297="",COUNTIFS($A$14:$A$1213,$H297,$F$14:$F$1213,"&gt;=0")&lt;2,COUNTIFS($A$14:$A$1213,$H297,$F$14:$F$1213,_xlfn.MAXIFS($F$14:$F$1213,$A$14:$A$1213,$H297))&gt;1),"",IFERROR(INDEX($D$14:$D$1213,MATCH($H297&amp;"|"&amp;_xlfn.MAXIFS($F$14:$F$1213,$A$14:$A$1213,$H297),$AB$14:$AB$1213,0)),""))</f>
        <v/>
      </c>
      <c r="AK297" s="27">
        <f>IF(OR($H297="",COUNTIFS($A$14:$A$1213,$H297,$F$14:$F$1213,"&gt;=0")&lt;2,COUNTIFS($A$14:$A$1213,$H297,$F$14:$F$1213,_xlfn.MAXIFS($F$14:$F$1213,$A$14:$A$1213,$H297))&gt;1),"",IFERROR(INDEX($E$14:$E$1213,MATCH($H297&amp;"|"&amp;_xlfn.MAXIFS($F$14:$F$1213,$A$14:$A$1213,$H297),$AB$14:$AB$1213,0)),""))</f>
        <v/>
      </c>
      <c r="AL297" s="27">
        <f>IF(OR($H297="",COUNTIFS($A$14:$A$1213,$H297,$F$14:$F$1213,"&gt;=0")&lt;2,COUNTIFS($A$14:$A$1213,$H297,$F$14:$F$1213,_xlfn.MAXIFS($F$14:$F$1213,$A$14:$A$1213,$H297))&gt;1),"",IFERROR(INDEX($D$14:$D$1213,MATCH($H297&amp;"|"&amp;_xlfn.MAXIFS($F$14:$F$1213,$A$14:$A$1213,$H297,$F$14:$F$1213,"&lt;"&amp;_xlfn.MAXIFS($F$14:$F$1213,$A$14:$A$1213,$H297)),$AB$14:$AB$1213,0)),""))</f>
        <v/>
      </c>
      <c r="AM297" s="27">
        <f>IF(OR($H297="",COUNTIFS($A$14:$A$1213,$H297,$F$14:$F$1213,"&gt;=0")&lt;2,COUNTIFS($A$14:$A$1213,$H297,$F$14:$F$1213,_xlfn.MAXIFS($F$14:$F$1213,$A$14:$A$1213,$H297))&gt;1),"",IFERROR(INDEX($E$14:$E$1213,MATCH($H297&amp;"|"&amp;_xlfn.MAXIFS($F$14:$F$1213,$A$14:$A$1213,$H297,$F$14:$F$1213,"&lt;"&amp;_xlfn.MAXIFS($F$14:$F$1213,$A$14:$A$1213,$H297)),$AB$14:$AB$1213,0)),""))</f>
        <v/>
      </c>
      <c r="AN297" s="27">
        <f>IF(OR(NOT(ISNUMBER($AJ297)),NOT(ISNUMBER($AL297)),$AK297=0,$AM297=0),"",IF(OR((($AJ297+$AL297)/($AK297+$AM297))&lt;=0,(($AJ297+$AL297)/($AK297+$AM297))&gt;=1),"",($AJ297/$AK297-$AL297/$AM297)/SQRT((($AJ297+$AL297)/($AK297+$AM297))*(1-(($AJ297+$AL297)/($AK297+$AM297)))*(1/$AK297+1/$AM297))))</f>
        <v/>
      </c>
      <c r="AO297" s="27">
        <f>IF($A297="","",IF(AND(COUNTIFS($A$14:$A$1213,$A297,$F$14:$F$1213,"&gt;=0")=2,IFERROR(INDEX($M$14:$M$313,MATCH($A297,$H$14:$H$313,0)),"Yes")&lt;&gt;"Yes"),1,0))</f>
        <v/>
      </c>
    </row>
    <row r="298" ht="24" customHeight="1">
      <c r="A298" s="19" t="n"/>
      <c r="B298" s="20" t="n"/>
      <c r="C298" s="21">
        <f>IFERROR(AVERAGE(P298:T298),"")</f>
        <v/>
      </c>
      <c r="D298" s="29" t="n"/>
      <c r="E298" s="29" t="n"/>
      <c r="F298" s="30">
        <f>IF(AND(ISNUMBER($D298),ISNUMBER($E298),$E298&gt;0,$D298&lt;=$E298),$D298/$E298,"")</f>
        <v/>
      </c>
      <c r="H298" s="19">
        <f>IFERROR(INDEX($A$14:$A$1213,MATCH(285,$AI$14:$AI$1213,0)),"")</f>
        <v/>
      </c>
      <c r="I298" s="24">
        <f>IF($H298="","",IF(COUNTIFS($A$14:$A$1213,$H298,$C$14:$C$1213,"&gt;=0")=0,"—",IFERROR(INDEX($B$14:$B$1213,MATCH($H298&amp;"|1",$Z$14:$Z$1213,0)),"(tied)")))</f>
        <v/>
      </c>
      <c r="J298" s="25">
        <f>IF($H298="","",IF(OR(COUNTIFS($A$14:$A$1213,$H298,$C$14:$C$1213,"&gt;=0")=0,COUNTIFS($A$14:$A$1213,$H298,$F$14:$F$1213,"&gt;=0")=0),"—",IF(OR(ISERROR(MATCH($H298&amp;"|1",$Z$14:$Z$1213,0)),ISERROR(MATCH($H298&amp;"|1",$AA$14:$AA$1213,0))),"Tie",IF(MATCH($H298&amp;"|1",$Z$14:$Z$1213,0)=MATCH($H298&amp;"|1",$AA$14:$AA$1213,0),"Hit","Miss"))))</f>
        <v/>
      </c>
      <c r="K298" s="24">
        <f>IF($H298="","",IF(COUNTIFS($A$14:$A$1213,$H298,$F$14:$F$1213,"&gt;=0")=0,"—",IFERROR(INDEX($B$14:$B$1213,MATCH($H298&amp;"|1",$AA$14:$AA$1213,0)),"(tied)")))</f>
        <v/>
      </c>
      <c r="L298" s="25">
        <f>IF($H298="","",IF((--(COUNTIFS($A$14:$A$1213,$H298,$P$14:$P$1213,"&gt;=0")&gt;0)+--(COUNTIFS($A$14:$A$1213,$H298,$Q$14:$Q$1213,"&gt;=0")&gt;0)+--(COUNTIFS($A$14:$A$1213,$H298,$R$14:$R$1213,"&gt;=0")&gt;0)+--(COUNTIFS($A$14:$A$1213,$H298,$S$14:$S$1213,"&gt;=0")&gt;0)+--(COUNTIFS($A$14:$A$1213,$H298,$T$14:$T$1213,"&gt;=0")&gt;0))&lt;2,"—",IF(SUMIFS($AH$14:$AH$1213,$A$14:$A$1213,$H298)=0,"Yes","No")))</f>
        <v/>
      </c>
      <c r="M298" s="25">
        <f>IF($H298="","",IF(COUNTIFS($A$14:$A$1213,$H298,$F$14:$F$1213,"&gt;=0")&lt;2,"—",IF(COUNTIFS($A$14:$A$1213,$H298,$F$14:$F$1213,_xlfn.MAXIFS($F$14:$F$1213,$A$14:$A$1213,$H298))&gt;1,"No",IF(NOT(ISNUMBER($AN298)),"—",IF((2*(1-NORMSDIST(ABS($AN298))))&lt;0.05,"Yes","No")))))</f>
        <v/>
      </c>
      <c r="N298" s="21">
        <f>IF($H298="","",IF(NOT(ISNUMBER($AN298)),"—",IF((2*(1-NORMSDIST(ABS($AN298))))&lt;0.001,"&lt;0.001",TEXT((2*(1-NORMSDIST(ABS($AN298)))),"0.000"))))</f>
        <v/>
      </c>
      <c r="P298" s="26" t="n"/>
      <c r="Q298" s="26" t="n"/>
      <c r="R298" s="26" t="n"/>
      <c r="S298" s="26" t="n"/>
      <c r="T298" s="26" t="n"/>
      <c r="V298" s="27">
        <f>IF(ISNUMBER($C298),COUNTIFS($A$14:$A$1213,$A298,$C$14:$C$1213,"&gt;"&amp;$C298)+(COUNTIFS($A$14:$A$1213,$A298,$C$14:$C$1213,"="&amp;$C298)+1)/2,"")</f>
        <v/>
      </c>
      <c r="W298" s="27">
        <f>IF(ISNUMBER($F298),COUNTIFS($A$14:$A$1213,$A298,$F$14:$F$1213,"&gt;"&amp;$F298)+(COUNTIFS($A$14:$A$1213,$A298,$F$14:$F$1213,"="&amp;$F298)+1)/2,"")</f>
        <v/>
      </c>
      <c r="X298" s="27">
        <f>IF(OR(NOT(ISNUMBER($V298)),$AO298=1),"",$V298-(COUNTIFS($A$14:$A$1213,$A298,$C$14:$C$1213,"&gt;=0")+1)/2)</f>
        <v/>
      </c>
      <c r="Y298" s="27">
        <f>IF(OR(NOT(ISNUMBER($W298)),$AO298=1),"",$W298-(COUNTIFS($A$14:$A$1213,$A298,$F$14:$F$1213,"&gt;=0")+1)/2)</f>
        <v/>
      </c>
      <c r="Z298" s="27">
        <f>IF(ISNUMBER($V298),$A298&amp;"|"&amp;$V298,"")</f>
        <v/>
      </c>
      <c r="AA298" s="27">
        <f>IF(ISNUMBER($W298),$A298&amp;"|"&amp;$W298,"")</f>
        <v/>
      </c>
      <c r="AB298" s="27">
        <f>IF(ISNUMBER($F298),$A298&amp;"|"&amp;$F298,"")</f>
        <v/>
      </c>
      <c r="AC298" s="27">
        <f>IF(ISNUMBER($P298),COUNTIFS($A$14:$A$1213,$A298,$P$14:$P$1213,"&gt;"&amp;$P298)+(COUNTIFS($A$14:$A$1213,$A298,$P$14:$P$1213,"="&amp;$P298)+1)/2,"")</f>
        <v/>
      </c>
      <c r="AD298" s="27">
        <f>IF(ISNUMBER($Q298),COUNTIFS($A$14:$A$1213,$A298,$Q$14:$Q$1213,"&gt;"&amp;$Q298)+(COUNTIFS($A$14:$A$1213,$A298,$Q$14:$Q$1213,"="&amp;$Q298)+1)/2,"")</f>
        <v/>
      </c>
      <c r="AE298" s="27">
        <f>IF(ISNUMBER($R298),COUNTIFS($A$14:$A$1213,$A298,$R$14:$R$1213,"&gt;"&amp;$R298)+(COUNTIFS($A$14:$A$1213,$A298,$R$14:$R$1213,"="&amp;$R298)+1)/2,"")</f>
        <v/>
      </c>
      <c r="AF298" s="27">
        <f>IF(ISNUMBER($S298),COUNTIFS($A$14:$A$1213,$A298,$S$14:$S$1213,"&gt;"&amp;$S298)+(COUNTIFS($A$14:$A$1213,$A298,$S$14:$S$1213,"="&amp;$S298)+1)/2,"")</f>
        <v/>
      </c>
      <c r="AG298" s="27">
        <f>IF(ISNUMBER($T298),COUNTIFS($A$14:$A$1213,$A298,$T$14:$T$1213,"&gt;"&amp;$T298)+(COUNTIFS($A$14:$A$1213,$A298,$T$14:$T$1213,"="&amp;$T298)+1)/2,"")</f>
        <v/>
      </c>
      <c r="AH298" s="27">
        <f>IF(COUNT($AC298:$AG298)&lt;2,"",IF(MAX($AC298:$AG298)=MIN($AC298:$AG298),0,1))</f>
        <v/>
      </c>
      <c r="AI298" s="27">
        <f>IF($A298="","",IF(COUNTIF($A$14:$A298,$A298)=1,COUNTIF($AI$13:AI297,"&gt;0")+1,""))</f>
        <v/>
      </c>
      <c r="AJ298" s="27">
        <f>IF(OR($H298="",COUNTIFS($A$14:$A$1213,$H298,$F$14:$F$1213,"&gt;=0")&lt;2,COUNTIFS($A$14:$A$1213,$H298,$F$14:$F$1213,_xlfn.MAXIFS($F$14:$F$1213,$A$14:$A$1213,$H298))&gt;1),"",IFERROR(INDEX($D$14:$D$1213,MATCH($H298&amp;"|"&amp;_xlfn.MAXIFS($F$14:$F$1213,$A$14:$A$1213,$H298),$AB$14:$AB$1213,0)),""))</f>
        <v/>
      </c>
      <c r="AK298" s="27">
        <f>IF(OR($H298="",COUNTIFS($A$14:$A$1213,$H298,$F$14:$F$1213,"&gt;=0")&lt;2,COUNTIFS($A$14:$A$1213,$H298,$F$14:$F$1213,_xlfn.MAXIFS($F$14:$F$1213,$A$14:$A$1213,$H298))&gt;1),"",IFERROR(INDEX($E$14:$E$1213,MATCH($H298&amp;"|"&amp;_xlfn.MAXIFS($F$14:$F$1213,$A$14:$A$1213,$H298),$AB$14:$AB$1213,0)),""))</f>
        <v/>
      </c>
      <c r="AL298" s="27">
        <f>IF(OR($H298="",COUNTIFS($A$14:$A$1213,$H298,$F$14:$F$1213,"&gt;=0")&lt;2,COUNTIFS($A$14:$A$1213,$H298,$F$14:$F$1213,_xlfn.MAXIFS($F$14:$F$1213,$A$14:$A$1213,$H298))&gt;1),"",IFERROR(INDEX($D$14:$D$1213,MATCH($H298&amp;"|"&amp;_xlfn.MAXIFS($F$14:$F$1213,$A$14:$A$1213,$H298,$F$14:$F$1213,"&lt;"&amp;_xlfn.MAXIFS($F$14:$F$1213,$A$14:$A$1213,$H298)),$AB$14:$AB$1213,0)),""))</f>
        <v/>
      </c>
      <c r="AM298" s="27">
        <f>IF(OR($H298="",COUNTIFS($A$14:$A$1213,$H298,$F$14:$F$1213,"&gt;=0")&lt;2,COUNTIFS($A$14:$A$1213,$H298,$F$14:$F$1213,_xlfn.MAXIFS($F$14:$F$1213,$A$14:$A$1213,$H298))&gt;1),"",IFERROR(INDEX($E$14:$E$1213,MATCH($H298&amp;"|"&amp;_xlfn.MAXIFS($F$14:$F$1213,$A$14:$A$1213,$H298,$F$14:$F$1213,"&lt;"&amp;_xlfn.MAXIFS($F$14:$F$1213,$A$14:$A$1213,$H298)),$AB$14:$AB$1213,0)),""))</f>
        <v/>
      </c>
      <c r="AN298" s="27">
        <f>IF(OR(NOT(ISNUMBER($AJ298)),NOT(ISNUMBER($AL298)),$AK298=0,$AM298=0),"",IF(OR((($AJ298+$AL298)/($AK298+$AM298))&lt;=0,(($AJ298+$AL298)/($AK298+$AM298))&gt;=1),"",($AJ298/$AK298-$AL298/$AM298)/SQRT((($AJ298+$AL298)/($AK298+$AM298))*(1-(($AJ298+$AL298)/($AK298+$AM298)))*(1/$AK298+1/$AM298))))</f>
        <v/>
      </c>
      <c r="AO298" s="27">
        <f>IF($A298="","",IF(AND(COUNTIFS($A$14:$A$1213,$A298,$F$14:$F$1213,"&gt;=0")=2,IFERROR(INDEX($M$14:$M$313,MATCH($A298,$H$14:$H$313,0)),"Yes")&lt;&gt;"Yes"),1,0))</f>
        <v/>
      </c>
    </row>
    <row r="299" ht="24" customHeight="1">
      <c r="A299" s="19" t="n"/>
      <c r="B299" s="20" t="n"/>
      <c r="C299" s="21">
        <f>IFERROR(AVERAGE(P299:T299),"")</f>
        <v/>
      </c>
      <c r="D299" s="29" t="n"/>
      <c r="E299" s="29" t="n"/>
      <c r="F299" s="30">
        <f>IF(AND(ISNUMBER($D299),ISNUMBER($E299),$E299&gt;0,$D299&lt;=$E299),$D299/$E299,"")</f>
        <v/>
      </c>
      <c r="H299" s="19">
        <f>IFERROR(INDEX($A$14:$A$1213,MATCH(286,$AI$14:$AI$1213,0)),"")</f>
        <v/>
      </c>
      <c r="I299" s="24">
        <f>IF($H299="","",IF(COUNTIFS($A$14:$A$1213,$H299,$C$14:$C$1213,"&gt;=0")=0,"—",IFERROR(INDEX($B$14:$B$1213,MATCH($H299&amp;"|1",$Z$14:$Z$1213,0)),"(tied)")))</f>
        <v/>
      </c>
      <c r="J299" s="25">
        <f>IF($H299="","",IF(OR(COUNTIFS($A$14:$A$1213,$H299,$C$14:$C$1213,"&gt;=0")=0,COUNTIFS($A$14:$A$1213,$H299,$F$14:$F$1213,"&gt;=0")=0),"—",IF(OR(ISERROR(MATCH($H299&amp;"|1",$Z$14:$Z$1213,0)),ISERROR(MATCH($H299&amp;"|1",$AA$14:$AA$1213,0))),"Tie",IF(MATCH($H299&amp;"|1",$Z$14:$Z$1213,0)=MATCH($H299&amp;"|1",$AA$14:$AA$1213,0),"Hit","Miss"))))</f>
        <v/>
      </c>
      <c r="K299" s="24">
        <f>IF($H299="","",IF(COUNTIFS($A$14:$A$1213,$H299,$F$14:$F$1213,"&gt;=0")=0,"—",IFERROR(INDEX($B$14:$B$1213,MATCH($H299&amp;"|1",$AA$14:$AA$1213,0)),"(tied)")))</f>
        <v/>
      </c>
      <c r="L299" s="25">
        <f>IF($H299="","",IF((--(COUNTIFS($A$14:$A$1213,$H299,$P$14:$P$1213,"&gt;=0")&gt;0)+--(COUNTIFS($A$14:$A$1213,$H299,$Q$14:$Q$1213,"&gt;=0")&gt;0)+--(COUNTIFS($A$14:$A$1213,$H299,$R$14:$R$1213,"&gt;=0")&gt;0)+--(COUNTIFS($A$14:$A$1213,$H299,$S$14:$S$1213,"&gt;=0")&gt;0)+--(COUNTIFS($A$14:$A$1213,$H299,$T$14:$T$1213,"&gt;=0")&gt;0))&lt;2,"—",IF(SUMIFS($AH$14:$AH$1213,$A$14:$A$1213,$H299)=0,"Yes","No")))</f>
        <v/>
      </c>
      <c r="M299" s="25">
        <f>IF($H299="","",IF(COUNTIFS($A$14:$A$1213,$H299,$F$14:$F$1213,"&gt;=0")&lt;2,"—",IF(COUNTIFS($A$14:$A$1213,$H299,$F$14:$F$1213,_xlfn.MAXIFS($F$14:$F$1213,$A$14:$A$1213,$H299))&gt;1,"No",IF(NOT(ISNUMBER($AN299)),"—",IF((2*(1-NORMSDIST(ABS($AN299))))&lt;0.05,"Yes","No")))))</f>
        <v/>
      </c>
      <c r="N299" s="21">
        <f>IF($H299="","",IF(NOT(ISNUMBER($AN299)),"—",IF((2*(1-NORMSDIST(ABS($AN299))))&lt;0.001,"&lt;0.001",TEXT((2*(1-NORMSDIST(ABS($AN299)))),"0.000"))))</f>
        <v/>
      </c>
      <c r="P299" s="26" t="n"/>
      <c r="Q299" s="26" t="n"/>
      <c r="R299" s="26" t="n"/>
      <c r="S299" s="26" t="n"/>
      <c r="T299" s="26" t="n"/>
      <c r="V299" s="27">
        <f>IF(ISNUMBER($C299),COUNTIFS($A$14:$A$1213,$A299,$C$14:$C$1213,"&gt;"&amp;$C299)+(COUNTIFS($A$14:$A$1213,$A299,$C$14:$C$1213,"="&amp;$C299)+1)/2,"")</f>
        <v/>
      </c>
      <c r="W299" s="27">
        <f>IF(ISNUMBER($F299),COUNTIFS($A$14:$A$1213,$A299,$F$14:$F$1213,"&gt;"&amp;$F299)+(COUNTIFS($A$14:$A$1213,$A299,$F$14:$F$1213,"="&amp;$F299)+1)/2,"")</f>
        <v/>
      </c>
      <c r="X299" s="27">
        <f>IF(OR(NOT(ISNUMBER($V299)),$AO299=1),"",$V299-(COUNTIFS($A$14:$A$1213,$A299,$C$14:$C$1213,"&gt;=0")+1)/2)</f>
        <v/>
      </c>
      <c r="Y299" s="27">
        <f>IF(OR(NOT(ISNUMBER($W299)),$AO299=1),"",$W299-(COUNTIFS($A$14:$A$1213,$A299,$F$14:$F$1213,"&gt;=0")+1)/2)</f>
        <v/>
      </c>
      <c r="Z299" s="27">
        <f>IF(ISNUMBER($V299),$A299&amp;"|"&amp;$V299,"")</f>
        <v/>
      </c>
      <c r="AA299" s="27">
        <f>IF(ISNUMBER($W299),$A299&amp;"|"&amp;$W299,"")</f>
        <v/>
      </c>
      <c r="AB299" s="27">
        <f>IF(ISNUMBER($F299),$A299&amp;"|"&amp;$F299,"")</f>
        <v/>
      </c>
      <c r="AC299" s="27">
        <f>IF(ISNUMBER($P299),COUNTIFS($A$14:$A$1213,$A299,$P$14:$P$1213,"&gt;"&amp;$P299)+(COUNTIFS($A$14:$A$1213,$A299,$P$14:$P$1213,"="&amp;$P299)+1)/2,"")</f>
        <v/>
      </c>
      <c r="AD299" s="27">
        <f>IF(ISNUMBER($Q299),COUNTIFS($A$14:$A$1213,$A299,$Q$14:$Q$1213,"&gt;"&amp;$Q299)+(COUNTIFS($A$14:$A$1213,$A299,$Q$14:$Q$1213,"="&amp;$Q299)+1)/2,"")</f>
        <v/>
      </c>
      <c r="AE299" s="27">
        <f>IF(ISNUMBER($R299),COUNTIFS($A$14:$A$1213,$A299,$R$14:$R$1213,"&gt;"&amp;$R299)+(COUNTIFS($A$14:$A$1213,$A299,$R$14:$R$1213,"="&amp;$R299)+1)/2,"")</f>
        <v/>
      </c>
      <c r="AF299" s="27">
        <f>IF(ISNUMBER($S299),COUNTIFS($A$14:$A$1213,$A299,$S$14:$S$1213,"&gt;"&amp;$S299)+(COUNTIFS($A$14:$A$1213,$A299,$S$14:$S$1213,"="&amp;$S299)+1)/2,"")</f>
        <v/>
      </c>
      <c r="AG299" s="27">
        <f>IF(ISNUMBER($T299),COUNTIFS($A$14:$A$1213,$A299,$T$14:$T$1213,"&gt;"&amp;$T299)+(COUNTIFS($A$14:$A$1213,$A299,$T$14:$T$1213,"="&amp;$T299)+1)/2,"")</f>
        <v/>
      </c>
      <c r="AH299" s="27">
        <f>IF(COUNT($AC299:$AG299)&lt;2,"",IF(MAX($AC299:$AG299)=MIN($AC299:$AG299),0,1))</f>
        <v/>
      </c>
      <c r="AI299" s="27">
        <f>IF($A299="","",IF(COUNTIF($A$14:$A299,$A299)=1,COUNTIF($AI$13:AI298,"&gt;0")+1,""))</f>
        <v/>
      </c>
      <c r="AJ299" s="27">
        <f>IF(OR($H299="",COUNTIFS($A$14:$A$1213,$H299,$F$14:$F$1213,"&gt;=0")&lt;2,COUNTIFS($A$14:$A$1213,$H299,$F$14:$F$1213,_xlfn.MAXIFS($F$14:$F$1213,$A$14:$A$1213,$H299))&gt;1),"",IFERROR(INDEX($D$14:$D$1213,MATCH($H299&amp;"|"&amp;_xlfn.MAXIFS($F$14:$F$1213,$A$14:$A$1213,$H299),$AB$14:$AB$1213,0)),""))</f>
        <v/>
      </c>
      <c r="AK299" s="27">
        <f>IF(OR($H299="",COUNTIFS($A$14:$A$1213,$H299,$F$14:$F$1213,"&gt;=0")&lt;2,COUNTIFS($A$14:$A$1213,$H299,$F$14:$F$1213,_xlfn.MAXIFS($F$14:$F$1213,$A$14:$A$1213,$H299))&gt;1),"",IFERROR(INDEX($E$14:$E$1213,MATCH($H299&amp;"|"&amp;_xlfn.MAXIFS($F$14:$F$1213,$A$14:$A$1213,$H299),$AB$14:$AB$1213,0)),""))</f>
        <v/>
      </c>
      <c r="AL299" s="27">
        <f>IF(OR($H299="",COUNTIFS($A$14:$A$1213,$H299,$F$14:$F$1213,"&gt;=0")&lt;2,COUNTIFS($A$14:$A$1213,$H299,$F$14:$F$1213,_xlfn.MAXIFS($F$14:$F$1213,$A$14:$A$1213,$H299))&gt;1),"",IFERROR(INDEX($D$14:$D$1213,MATCH($H299&amp;"|"&amp;_xlfn.MAXIFS($F$14:$F$1213,$A$14:$A$1213,$H299,$F$14:$F$1213,"&lt;"&amp;_xlfn.MAXIFS($F$14:$F$1213,$A$14:$A$1213,$H299)),$AB$14:$AB$1213,0)),""))</f>
        <v/>
      </c>
      <c r="AM299" s="27">
        <f>IF(OR($H299="",COUNTIFS($A$14:$A$1213,$H299,$F$14:$F$1213,"&gt;=0")&lt;2,COUNTIFS($A$14:$A$1213,$H299,$F$14:$F$1213,_xlfn.MAXIFS($F$14:$F$1213,$A$14:$A$1213,$H299))&gt;1),"",IFERROR(INDEX($E$14:$E$1213,MATCH($H299&amp;"|"&amp;_xlfn.MAXIFS($F$14:$F$1213,$A$14:$A$1213,$H299,$F$14:$F$1213,"&lt;"&amp;_xlfn.MAXIFS($F$14:$F$1213,$A$14:$A$1213,$H299)),$AB$14:$AB$1213,0)),""))</f>
        <v/>
      </c>
      <c r="AN299" s="27">
        <f>IF(OR(NOT(ISNUMBER($AJ299)),NOT(ISNUMBER($AL299)),$AK299=0,$AM299=0),"",IF(OR((($AJ299+$AL299)/($AK299+$AM299))&lt;=0,(($AJ299+$AL299)/($AK299+$AM299))&gt;=1),"",($AJ299/$AK299-$AL299/$AM299)/SQRT((($AJ299+$AL299)/($AK299+$AM299))*(1-(($AJ299+$AL299)/($AK299+$AM299)))*(1/$AK299+1/$AM299))))</f>
        <v/>
      </c>
      <c r="AO299" s="27">
        <f>IF($A299="","",IF(AND(COUNTIFS($A$14:$A$1213,$A299,$F$14:$F$1213,"&gt;=0")=2,IFERROR(INDEX($M$14:$M$313,MATCH($A299,$H$14:$H$313,0)),"Yes")&lt;&gt;"Yes"),1,0))</f>
        <v/>
      </c>
    </row>
    <row r="300" ht="24" customHeight="1">
      <c r="A300" s="19" t="n"/>
      <c r="B300" s="20" t="n"/>
      <c r="C300" s="21">
        <f>IFERROR(AVERAGE(P300:T300),"")</f>
        <v/>
      </c>
      <c r="D300" s="29" t="n"/>
      <c r="E300" s="29" t="n"/>
      <c r="F300" s="30">
        <f>IF(AND(ISNUMBER($D300),ISNUMBER($E300),$E300&gt;0,$D300&lt;=$E300),$D300/$E300,"")</f>
        <v/>
      </c>
      <c r="H300" s="19">
        <f>IFERROR(INDEX($A$14:$A$1213,MATCH(287,$AI$14:$AI$1213,0)),"")</f>
        <v/>
      </c>
      <c r="I300" s="24">
        <f>IF($H300="","",IF(COUNTIFS($A$14:$A$1213,$H300,$C$14:$C$1213,"&gt;=0")=0,"—",IFERROR(INDEX($B$14:$B$1213,MATCH($H300&amp;"|1",$Z$14:$Z$1213,0)),"(tied)")))</f>
        <v/>
      </c>
      <c r="J300" s="25">
        <f>IF($H300="","",IF(OR(COUNTIFS($A$14:$A$1213,$H300,$C$14:$C$1213,"&gt;=0")=0,COUNTIFS($A$14:$A$1213,$H300,$F$14:$F$1213,"&gt;=0")=0),"—",IF(OR(ISERROR(MATCH($H300&amp;"|1",$Z$14:$Z$1213,0)),ISERROR(MATCH($H300&amp;"|1",$AA$14:$AA$1213,0))),"Tie",IF(MATCH($H300&amp;"|1",$Z$14:$Z$1213,0)=MATCH($H300&amp;"|1",$AA$14:$AA$1213,0),"Hit","Miss"))))</f>
        <v/>
      </c>
      <c r="K300" s="24">
        <f>IF($H300="","",IF(COUNTIFS($A$14:$A$1213,$H300,$F$14:$F$1213,"&gt;=0")=0,"—",IFERROR(INDEX($B$14:$B$1213,MATCH($H300&amp;"|1",$AA$14:$AA$1213,0)),"(tied)")))</f>
        <v/>
      </c>
      <c r="L300" s="25">
        <f>IF($H300="","",IF((--(COUNTIFS($A$14:$A$1213,$H300,$P$14:$P$1213,"&gt;=0")&gt;0)+--(COUNTIFS($A$14:$A$1213,$H300,$Q$14:$Q$1213,"&gt;=0")&gt;0)+--(COUNTIFS($A$14:$A$1213,$H300,$R$14:$R$1213,"&gt;=0")&gt;0)+--(COUNTIFS($A$14:$A$1213,$H300,$S$14:$S$1213,"&gt;=0")&gt;0)+--(COUNTIFS($A$14:$A$1213,$H300,$T$14:$T$1213,"&gt;=0")&gt;0))&lt;2,"—",IF(SUMIFS($AH$14:$AH$1213,$A$14:$A$1213,$H300)=0,"Yes","No")))</f>
        <v/>
      </c>
      <c r="M300" s="25">
        <f>IF($H300="","",IF(COUNTIFS($A$14:$A$1213,$H300,$F$14:$F$1213,"&gt;=0")&lt;2,"—",IF(COUNTIFS($A$14:$A$1213,$H300,$F$14:$F$1213,_xlfn.MAXIFS($F$14:$F$1213,$A$14:$A$1213,$H300))&gt;1,"No",IF(NOT(ISNUMBER($AN300)),"—",IF((2*(1-NORMSDIST(ABS($AN300))))&lt;0.05,"Yes","No")))))</f>
        <v/>
      </c>
      <c r="N300" s="21">
        <f>IF($H300="","",IF(NOT(ISNUMBER($AN300)),"—",IF((2*(1-NORMSDIST(ABS($AN300))))&lt;0.001,"&lt;0.001",TEXT((2*(1-NORMSDIST(ABS($AN300)))),"0.000"))))</f>
        <v/>
      </c>
      <c r="P300" s="26" t="n"/>
      <c r="Q300" s="26" t="n"/>
      <c r="R300" s="26" t="n"/>
      <c r="S300" s="26" t="n"/>
      <c r="T300" s="26" t="n"/>
      <c r="V300" s="27">
        <f>IF(ISNUMBER($C300),COUNTIFS($A$14:$A$1213,$A300,$C$14:$C$1213,"&gt;"&amp;$C300)+(COUNTIFS($A$14:$A$1213,$A300,$C$14:$C$1213,"="&amp;$C300)+1)/2,"")</f>
        <v/>
      </c>
      <c r="W300" s="27">
        <f>IF(ISNUMBER($F300),COUNTIFS($A$14:$A$1213,$A300,$F$14:$F$1213,"&gt;"&amp;$F300)+(COUNTIFS($A$14:$A$1213,$A300,$F$14:$F$1213,"="&amp;$F300)+1)/2,"")</f>
        <v/>
      </c>
      <c r="X300" s="27">
        <f>IF(OR(NOT(ISNUMBER($V300)),$AO300=1),"",$V300-(COUNTIFS($A$14:$A$1213,$A300,$C$14:$C$1213,"&gt;=0")+1)/2)</f>
        <v/>
      </c>
      <c r="Y300" s="27">
        <f>IF(OR(NOT(ISNUMBER($W300)),$AO300=1),"",$W300-(COUNTIFS($A$14:$A$1213,$A300,$F$14:$F$1213,"&gt;=0")+1)/2)</f>
        <v/>
      </c>
      <c r="Z300" s="27">
        <f>IF(ISNUMBER($V300),$A300&amp;"|"&amp;$V300,"")</f>
        <v/>
      </c>
      <c r="AA300" s="27">
        <f>IF(ISNUMBER($W300),$A300&amp;"|"&amp;$W300,"")</f>
        <v/>
      </c>
      <c r="AB300" s="27">
        <f>IF(ISNUMBER($F300),$A300&amp;"|"&amp;$F300,"")</f>
        <v/>
      </c>
      <c r="AC300" s="27">
        <f>IF(ISNUMBER($P300),COUNTIFS($A$14:$A$1213,$A300,$P$14:$P$1213,"&gt;"&amp;$P300)+(COUNTIFS($A$14:$A$1213,$A300,$P$14:$P$1213,"="&amp;$P300)+1)/2,"")</f>
        <v/>
      </c>
      <c r="AD300" s="27">
        <f>IF(ISNUMBER($Q300),COUNTIFS($A$14:$A$1213,$A300,$Q$14:$Q$1213,"&gt;"&amp;$Q300)+(COUNTIFS($A$14:$A$1213,$A300,$Q$14:$Q$1213,"="&amp;$Q300)+1)/2,"")</f>
        <v/>
      </c>
      <c r="AE300" s="27">
        <f>IF(ISNUMBER($R300),COUNTIFS($A$14:$A$1213,$A300,$R$14:$R$1213,"&gt;"&amp;$R300)+(COUNTIFS($A$14:$A$1213,$A300,$R$14:$R$1213,"="&amp;$R300)+1)/2,"")</f>
        <v/>
      </c>
      <c r="AF300" s="27">
        <f>IF(ISNUMBER($S300),COUNTIFS($A$14:$A$1213,$A300,$S$14:$S$1213,"&gt;"&amp;$S300)+(COUNTIFS($A$14:$A$1213,$A300,$S$14:$S$1213,"="&amp;$S300)+1)/2,"")</f>
        <v/>
      </c>
      <c r="AG300" s="27">
        <f>IF(ISNUMBER($T300),COUNTIFS($A$14:$A$1213,$A300,$T$14:$T$1213,"&gt;"&amp;$T300)+(COUNTIFS($A$14:$A$1213,$A300,$T$14:$T$1213,"="&amp;$T300)+1)/2,"")</f>
        <v/>
      </c>
      <c r="AH300" s="27">
        <f>IF(COUNT($AC300:$AG300)&lt;2,"",IF(MAX($AC300:$AG300)=MIN($AC300:$AG300),0,1))</f>
        <v/>
      </c>
      <c r="AI300" s="27">
        <f>IF($A300="","",IF(COUNTIF($A$14:$A300,$A300)=1,COUNTIF($AI$13:AI299,"&gt;0")+1,""))</f>
        <v/>
      </c>
      <c r="AJ300" s="27">
        <f>IF(OR($H300="",COUNTIFS($A$14:$A$1213,$H300,$F$14:$F$1213,"&gt;=0")&lt;2,COUNTIFS($A$14:$A$1213,$H300,$F$14:$F$1213,_xlfn.MAXIFS($F$14:$F$1213,$A$14:$A$1213,$H300))&gt;1),"",IFERROR(INDEX($D$14:$D$1213,MATCH($H300&amp;"|"&amp;_xlfn.MAXIFS($F$14:$F$1213,$A$14:$A$1213,$H300),$AB$14:$AB$1213,0)),""))</f>
        <v/>
      </c>
      <c r="AK300" s="27">
        <f>IF(OR($H300="",COUNTIFS($A$14:$A$1213,$H300,$F$14:$F$1213,"&gt;=0")&lt;2,COUNTIFS($A$14:$A$1213,$H300,$F$14:$F$1213,_xlfn.MAXIFS($F$14:$F$1213,$A$14:$A$1213,$H300))&gt;1),"",IFERROR(INDEX($E$14:$E$1213,MATCH($H300&amp;"|"&amp;_xlfn.MAXIFS($F$14:$F$1213,$A$14:$A$1213,$H300),$AB$14:$AB$1213,0)),""))</f>
        <v/>
      </c>
      <c r="AL300" s="27">
        <f>IF(OR($H300="",COUNTIFS($A$14:$A$1213,$H300,$F$14:$F$1213,"&gt;=0")&lt;2,COUNTIFS($A$14:$A$1213,$H300,$F$14:$F$1213,_xlfn.MAXIFS($F$14:$F$1213,$A$14:$A$1213,$H300))&gt;1),"",IFERROR(INDEX($D$14:$D$1213,MATCH($H300&amp;"|"&amp;_xlfn.MAXIFS($F$14:$F$1213,$A$14:$A$1213,$H300,$F$14:$F$1213,"&lt;"&amp;_xlfn.MAXIFS($F$14:$F$1213,$A$14:$A$1213,$H300)),$AB$14:$AB$1213,0)),""))</f>
        <v/>
      </c>
      <c r="AM300" s="27">
        <f>IF(OR($H300="",COUNTIFS($A$14:$A$1213,$H300,$F$14:$F$1213,"&gt;=0")&lt;2,COUNTIFS($A$14:$A$1213,$H300,$F$14:$F$1213,_xlfn.MAXIFS($F$14:$F$1213,$A$14:$A$1213,$H300))&gt;1),"",IFERROR(INDEX($E$14:$E$1213,MATCH($H300&amp;"|"&amp;_xlfn.MAXIFS($F$14:$F$1213,$A$14:$A$1213,$H300,$F$14:$F$1213,"&lt;"&amp;_xlfn.MAXIFS($F$14:$F$1213,$A$14:$A$1213,$H300)),$AB$14:$AB$1213,0)),""))</f>
        <v/>
      </c>
      <c r="AN300" s="27">
        <f>IF(OR(NOT(ISNUMBER($AJ300)),NOT(ISNUMBER($AL300)),$AK300=0,$AM300=0),"",IF(OR((($AJ300+$AL300)/($AK300+$AM300))&lt;=0,(($AJ300+$AL300)/($AK300+$AM300))&gt;=1),"",($AJ300/$AK300-$AL300/$AM300)/SQRT((($AJ300+$AL300)/($AK300+$AM300))*(1-(($AJ300+$AL300)/($AK300+$AM300)))*(1/$AK300+1/$AM300))))</f>
        <v/>
      </c>
      <c r="AO300" s="27">
        <f>IF($A300="","",IF(AND(COUNTIFS($A$14:$A$1213,$A300,$F$14:$F$1213,"&gt;=0")=2,IFERROR(INDEX($M$14:$M$313,MATCH($A300,$H$14:$H$313,0)),"Yes")&lt;&gt;"Yes"),1,0))</f>
        <v/>
      </c>
    </row>
    <row r="301" ht="24" customHeight="1">
      <c r="A301" s="19" t="n"/>
      <c r="B301" s="20" t="n"/>
      <c r="C301" s="21">
        <f>IFERROR(AVERAGE(P301:T301),"")</f>
        <v/>
      </c>
      <c r="D301" s="29" t="n"/>
      <c r="E301" s="29" t="n"/>
      <c r="F301" s="30">
        <f>IF(AND(ISNUMBER($D301),ISNUMBER($E301),$E301&gt;0,$D301&lt;=$E301),$D301/$E301,"")</f>
        <v/>
      </c>
      <c r="H301" s="19">
        <f>IFERROR(INDEX($A$14:$A$1213,MATCH(288,$AI$14:$AI$1213,0)),"")</f>
        <v/>
      </c>
      <c r="I301" s="24">
        <f>IF($H301="","",IF(COUNTIFS($A$14:$A$1213,$H301,$C$14:$C$1213,"&gt;=0")=0,"—",IFERROR(INDEX($B$14:$B$1213,MATCH($H301&amp;"|1",$Z$14:$Z$1213,0)),"(tied)")))</f>
        <v/>
      </c>
      <c r="J301" s="25">
        <f>IF($H301="","",IF(OR(COUNTIFS($A$14:$A$1213,$H301,$C$14:$C$1213,"&gt;=0")=0,COUNTIFS($A$14:$A$1213,$H301,$F$14:$F$1213,"&gt;=0")=0),"—",IF(OR(ISERROR(MATCH($H301&amp;"|1",$Z$14:$Z$1213,0)),ISERROR(MATCH($H301&amp;"|1",$AA$14:$AA$1213,0))),"Tie",IF(MATCH($H301&amp;"|1",$Z$14:$Z$1213,0)=MATCH($H301&amp;"|1",$AA$14:$AA$1213,0),"Hit","Miss"))))</f>
        <v/>
      </c>
      <c r="K301" s="24">
        <f>IF($H301="","",IF(COUNTIFS($A$14:$A$1213,$H301,$F$14:$F$1213,"&gt;=0")=0,"—",IFERROR(INDEX($B$14:$B$1213,MATCH($H301&amp;"|1",$AA$14:$AA$1213,0)),"(tied)")))</f>
        <v/>
      </c>
      <c r="L301" s="25">
        <f>IF($H301="","",IF((--(COUNTIFS($A$14:$A$1213,$H301,$P$14:$P$1213,"&gt;=0")&gt;0)+--(COUNTIFS($A$14:$A$1213,$H301,$Q$14:$Q$1213,"&gt;=0")&gt;0)+--(COUNTIFS($A$14:$A$1213,$H301,$R$14:$R$1213,"&gt;=0")&gt;0)+--(COUNTIFS($A$14:$A$1213,$H301,$S$14:$S$1213,"&gt;=0")&gt;0)+--(COUNTIFS($A$14:$A$1213,$H301,$T$14:$T$1213,"&gt;=0")&gt;0))&lt;2,"—",IF(SUMIFS($AH$14:$AH$1213,$A$14:$A$1213,$H301)=0,"Yes","No")))</f>
        <v/>
      </c>
      <c r="M301" s="25">
        <f>IF($H301="","",IF(COUNTIFS($A$14:$A$1213,$H301,$F$14:$F$1213,"&gt;=0")&lt;2,"—",IF(COUNTIFS($A$14:$A$1213,$H301,$F$14:$F$1213,_xlfn.MAXIFS($F$14:$F$1213,$A$14:$A$1213,$H301))&gt;1,"No",IF(NOT(ISNUMBER($AN301)),"—",IF((2*(1-NORMSDIST(ABS($AN301))))&lt;0.05,"Yes","No")))))</f>
        <v/>
      </c>
      <c r="N301" s="21">
        <f>IF($H301="","",IF(NOT(ISNUMBER($AN301)),"—",IF((2*(1-NORMSDIST(ABS($AN301))))&lt;0.001,"&lt;0.001",TEXT((2*(1-NORMSDIST(ABS($AN301)))),"0.000"))))</f>
        <v/>
      </c>
      <c r="P301" s="26" t="n"/>
      <c r="Q301" s="26" t="n"/>
      <c r="R301" s="26" t="n"/>
      <c r="S301" s="26" t="n"/>
      <c r="T301" s="26" t="n"/>
      <c r="V301" s="27">
        <f>IF(ISNUMBER($C301),COUNTIFS($A$14:$A$1213,$A301,$C$14:$C$1213,"&gt;"&amp;$C301)+(COUNTIFS($A$14:$A$1213,$A301,$C$14:$C$1213,"="&amp;$C301)+1)/2,"")</f>
        <v/>
      </c>
      <c r="W301" s="27">
        <f>IF(ISNUMBER($F301),COUNTIFS($A$14:$A$1213,$A301,$F$14:$F$1213,"&gt;"&amp;$F301)+(COUNTIFS($A$14:$A$1213,$A301,$F$14:$F$1213,"="&amp;$F301)+1)/2,"")</f>
        <v/>
      </c>
      <c r="X301" s="27">
        <f>IF(OR(NOT(ISNUMBER($V301)),$AO301=1),"",$V301-(COUNTIFS($A$14:$A$1213,$A301,$C$14:$C$1213,"&gt;=0")+1)/2)</f>
        <v/>
      </c>
      <c r="Y301" s="27">
        <f>IF(OR(NOT(ISNUMBER($W301)),$AO301=1),"",$W301-(COUNTIFS($A$14:$A$1213,$A301,$F$14:$F$1213,"&gt;=0")+1)/2)</f>
        <v/>
      </c>
      <c r="Z301" s="27">
        <f>IF(ISNUMBER($V301),$A301&amp;"|"&amp;$V301,"")</f>
        <v/>
      </c>
      <c r="AA301" s="27">
        <f>IF(ISNUMBER($W301),$A301&amp;"|"&amp;$W301,"")</f>
        <v/>
      </c>
      <c r="AB301" s="27">
        <f>IF(ISNUMBER($F301),$A301&amp;"|"&amp;$F301,"")</f>
        <v/>
      </c>
      <c r="AC301" s="27">
        <f>IF(ISNUMBER($P301),COUNTIFS($A$14:$A$1213,$A301,$P$14:$P$1213,"&gt;"&amp;$P301)+(COUNTIFS($A$14:$A$1213,$A301,$P$14:$P$1213,"="&amp;$P301)+1)/2,"")</f>
        <v/>
      </c>
      <c r="AD301" s="27">
        <f>IF(ISNUMBER($Q301),COUNTIFS($A$14:$A$1213,$A301,$Q$14:$Q$1213,"&gt;"&amp;$Q301)+(COUNTIFS($A$14:$A$1213,$A301,$Q$14:$Q$1213,"="&amp;$Q301)+1)/2,"")</f>
        <v/>
      </c>
      <c r="AE301" s="27">
        <f>IF(ISNUMBER($R301),COUNTIFS($A$14:$A$1213,$A301,$R$14:$R$1213,"&gt;"&amp;$R301)+(COUNTIFS($A$14:$A$1213,$A301,$R$14:$R$1213,"="&amp;$R301)+1)/2,"")</f>
        <v/>
      </c>
      <c r="AF301" s="27">
        <f>IF(ISNUMBER($S301),COUNTIFS($A$14:$A$1213,$A301,$S$14:$S$1213,"&gt;"&amp;$S301)+(COUNTIFS($A$14:$A$1213,$A301,$S$14:$S$1213,"="&amp;$S301)+1)/2,"")</f>
        <v/>
      </c>
      <c r="AG301" s="27">
        <f>IF(ISNUMBER($T301),COUNTIFS($A$14:$A$1213,$A301,$T$14:$T$1213,"&gt;"&amp;$T301)+(COUNTIFS($A$14:$A$1213,$A301,$T$14:$T$1213,"="&amp;$T301)+1)/2,"")</f>
        <v/>
      </c>
      <c r="AH301" s="27">
        <f>IF(COUNT($AC301:$AG301)&lt;2,"",IF(MAX($AC301:$AG301)=MIN($AC301:$AG301),0,1))</f>
        <v/>
      </c>
      <c r="AI301" s="27">
        <f>IF($A301="","",IF(COUNTIF($A$14:$A301,$A301)=1,COUNTIF($AI$13:AI300,"&gt;0")+1,""))</f>
        <v/>
      </c>
      <c r="AJ301" s="27">
        <f>IF(OR($H301="",COUNTIFS($A$14:$A$1213,$H301,$F$14:$F$1213,"&gt;=0")&lt;2,COUNTIFS($A$14:$A$1213,$H301,$F$14:$F$1213,_xlfn.MAXIFS($F$14:$F$1213,$A$14:$A$1213,$H301))&gt;1),"",IFERROR(INDEX($D$14:$D$1213,MATCH($H301&amp;"|"&amp;_xlfn.MAXIFS($F$14:$F$1213,$A$14:$A$1213,$H301),$AB$14:$AB$1213,0)),""))</f>
        <v/>
      </c>
      <c r="AK301" s="27">
        <f>IF(OR($H301="",COUNTIFS($A$14:$A$1213,$H301,$F$14:$F$1213,"&gt;=0")&lt;2,COUNTIFS($A$14:$A$1213,$H301,$F$14:$F$1213,_xlfn.MAXIFS($F$14:$F$1213,$A$14:$A$1213,$H301))&gt;1),"",IFERROR(INDEX($E$14:$E$1213,MATCH($H301&amp;"|"&amp;_xlfn.MAXIFS($F$14:$F$1213,$A$14:$A$1213,$H301),$AB$14:$AB$1213,0)),""))</f>
        <v/>
      </c>
      <c r="AL301" s="27">
        <f>IF(OR($H301="",COUNTIFS($A$14:$A$1213,$H301,$F$14:$F$1213,"&gt;=0")&lt;2,COUNTIFS($A$14:$A$1213,$H301,$F$14:$F$1213,_xlfn.MAXIFS($F$14:$F$1213,$A$14:$A$1213,$H301))&gt;1),"",IFERROR(INDEX($D$14:$D$1213,MATCH($H301&amp;"|"&amp;_xlfn.MAXIFS($F$14:$F$1213,$A$14:$A$1213,$H301,$F$14:$F$1213,"&lt;"&amp;_xlfn.MAXIFS($F$14:$F$1213,$A$14:$A$1213,$H301)),$AB$14:$AB$1213,0)),""))</f>
        <v/>
      </c>
      <c r="AM301" s="27">
        <f>IF(OR($H301="",COUNTIFS($A$14:$A$1213,$H301,$F$14:$F$1213,"&gt;=0")&lt;2,COUNTIFS($A$14:$A$1213,$H301,$F$14:$F$1213,_xlfn.MAXIFS($F$14:$F$1213,$A$14:$A$1213,$H301))&gt;1),"",IFERROR(INDEX($E$14:$E$1213,MATCH($H301&amp;"|"&amp;_xlfn.MAXIFS($F$14:$F$1213,$A$14:$A$1213,$H301,$F$14:$F$1213,"&lt;"&amp;_xlfn.MAXIFS($F$14:$F$1213,$A$14:$A$1213,$H301)),$AB$14:$AB$1213,0)),""))</f>
        <v/>
      </c>
      <c r="AN301" s="27">
        <f>IF(OR(NOT(ISNUMBER($AJ301)),NOT(ISNUMBER($AL301)),$AK301=0,$AM301=0),"",IF(OR((($AJ301+$AL301)/($AK301+$AM301))&lt;=0,(($AJ301+$AL301)/($AK301+$AM301))&gt;=1),"",($AJ301/$AK301-$AL301/$AM301)/SQRT((($AJ301+$AL301)/($AK301+$AM301))*(1-(($AJ301+$AL301)/($AK301+$AM301)))*(1/$AK301+1/$AM301))))</f>
        <v/>
      </c>
      <c r="AO301" s="27">
        <f>IF($A301="","",IF(AND(COUNTIFS($A$14:$A$1213,$A301,$F$14:$F$1213,"&gt;=0")=2,IFERROR(INDEX($M$14:$M$313,MATCH($A301,$H$14:$H$313,0)),"Yes")&lt;&gt;"Yes"),1,0))</f>
        <v/>
      </c>
    </row>
    <row r="302" ht="24" customHeight="1">
      <c r="A302" s="19" t="n"/>
      <c r="B302" s="20" t="n"/>
      <c r="C302" s="21">
        <f>IFERROR(AVERAGE(P302:T302),"")</f>
        <v/>
      </c>
      <c r="D302" s="29" t="n"/>
      <c r="E302" s="29" t="n"/>
      <c r="F302" s="30">
        <f>IF(AND(ISNUMBER($D302),ISNUMBER($E302),$E302&gt;0,$D302&lt;=$E302),$D302/$E302,"")</f>
        <v/>
      </c>
      <c r="H302" s="19">
        <f>IFERROR(INDEX($A$14:$A$1213,MATCH(289,$AI$14:$AI$1213,0)),"")</f>
        <v/>
      </c>
      <c r="I302" s="24">
        <f>IF($H302="","",IF(COUNTIFS($A$14:$A$1213,$H302,$C$14:$C$1213,"&gt;=0")=0,"—",IFERROR(INDEX($B$14:$B$1213,MATCH($H302&amp;"|1",$Z$14:$Z$1213,0)),"(tied)")))</f>
        <v/>
      </c>
      <c r="J302" s="25">
        <f>IF($H302="","",IF(OR(COUNTIFS($A$14:$A$1213,$H302,$C$14:$C$1213,"&gt;=0")=0,COUNTIFS($A$14:$A$1213,$H302,$F$14:$F$1213,"&gt;=0")=0),"—",IF(OR(ISERROR(MATCH($H302&amp;"|1",$Z$14:$Z$1213,0)),ISERROR(MATCH($H302&amp;"|1",$AA$14:$AA$1213,0))),"Tie",IF(MATCH($H302&amp;"|1",$Z$14:$Z$1213,0)=MATCH($H302&amp;"|1",$AA$14:$AA$1213,0),"Hit","Miss"))))</f>
        <v/>
      </c>
      <c r="K302" s="24">
        <f>IF($H302="","",IF(COUNTIFS($A$14:$A$1213,$H302,$F$14:$F$1213,"&gt;=0")=0,"—",IFERROR(INDEX($B$14:$B$1213,MATCH($H302&amp;"|1",$AA$14:$AA$1213,0)),"(tied)")))</f>
        <v/>
      </c>
      <c r="L302" s="25">
        <f>IF($H302="","",IF((--(COUNTIFS($A$14:$A$1213,$H302,$P$14:$P$1213,"&gt;=0")&gt;0)+--(COUNTIFS($A$14:$A$1213,$H302,$Q$14:$Q$1213,"&gt;=0")&gt;0)+--(COUNTIFS($A$14:$A$1213,$H302,$R$14:$R$1213,"&gt;=0")&gt;0)+--(COUNTIFS($A$14:$A$1213,$H302,$S$14:$S$1213,"&gt;=0")&gt;0)+--(COUNTIFS($A$14:$A$1213,$H302,$T$14:$T$1213,"&gt;=0")&gt;0))&lt;2,"—",IF(SUMIFS($AH$14:$AH$1213,$A$14:$A$1213,$H302)=0,"Yes","No")))</f>
        <v/>
      </c>
      <c r="M302" s="25">
        <f>IF($H302="","",IF(COUNTIFS($A$14:$A$1213,$H302,$F$14:$F$1213,"&gt;=0")&lt;2,"—",IF(COUNTIFS($A$14:$A$1213,$H302,$F$14:$F$1213,_xlfn.MAXIFS($F$14:$F$1213,$A$14:$A$1213,$H302))&gt;1,"No",IF(NOT(ISNUMBER($AN302)),"—",IF((2*(1-NORMSDIST(ABS($AN302))))&lt;0.05,"Yes","No")))))</f>
        <v/>
      </c>
      <c r="N302" s="21">
        <f>IF($H302="","",IF(NOT(ISNUMBER($AN302)),"—",IF((2*(1-NORMSDIST(ABS($AN302))))&lt;0.001,"&lt;0.001",TEXT((2*(1-NORMSDIST(ABS($AN302)))),"0.000"))))</f>
        <v/>
      </c>
      <c r="P302" s="26" t="n"/>
      <c r="Q302" s="26" t="n"/>
      <c r="R302" s="26" t="n"/>
      <c r="S302" s="26" t="n"/>
      <c r="T302" s="26" t="n"/>
      <c r="V302" s="27">
        <f>IF(ISNUMBER($C302),COUNTIFS($A$14:$A$1213,$A302,$C$14:$C$1213,"&gt;"&amp;$C302)+(COUNTIFS($A$14:$A$1213,$A302,$C$14:$C$1213,"="&amp;$C302)+1)/2,"")</f>
        <v/>
      </c>
      <c r="W302" s="27">
        <f>IF(ISNUMBER($F302),COUNTIFS($A$14:$A$1213,$A302,$F$14:$F$1213,"&gt;"&amp;$F302)+(COUNTIFS($A$14:$A$1213,$A302,$F$14:$F$1213,"="&amp;$F302)+1)/2,"")</f>
        <v/>
      </c>
      <c r="X302" s="27">
        <f>IF(OR(NOT(ISNUMBER($V302)),$AO302=1),"",$V302-(COUNTIFS($A$14:$A$1213,$A302,$C$14:$C$1213,"&gt;=0")+1)/2)</f>
        <v/>
      </c>
      <c r="Y302" s="27">
        <f>IF(OR(NOT(ISNUMBER($W302)),$AO302=1),"",$W302-(COUNTIFS($A$14:$A$1213,$A302,$F$14:$F$1213,"&gt;=0")+1)/2)</f>
        <v/>
      </c>
      <c r="Z302" s="27">
        <f>IF(ISNUMBER($V302),$A302&amp;"|"&amp;$V302,"")</f>
        <v/>
      </c>
      <c r="AA302" s="27">
        <f>IF(ISNUMBER($W302),$A302&amp;"|"&amp;$W302,"")</f>
        <v/>
      </c>
      <c r="AB302" s="27">
        <f>IF(ISNUMBER($F302),$A302&amp;"|"&amp;$F302,"")</f>
        <v/>
      </c>
      <c r="AC302" s="27">
        <f>IF(ISNUMBER($P302),COUNTIFS($A$14:$A$1213,$A302,$P$14:$P$1213,"&gt;"&amp;$P302)+(COUNTIFS($A$14:$A$1213,$A302,$P$14:$P$1213,"="&amp;$P302)+1)/2,"")</f>
        <v/>
      </c>
      <c r="AD302" s="27">
        <f>IF(ISNUMBER($Q302),COUNTIFS($A$14:$A$1213,$A302,$Q$14:$Q$1213,"&gt;"&amp;$Q302)+(COUNTIFS($A$14:$A$1213,$A302,$Q$14:$Q$1213,"="&amp;$Q302)+1)/2,"")</f>
        <v/>
      </c>
      <c r="AE302" s="27">
        <f>IF(ISNUMBER($R302),COUNTIFS($A$14:$A$1213,$A302,$R$14:$R$1213,"&gt;"&amp;$R302)+(COUNTIFS($A$14:$A$1213,$A302,$R$14:$R$1213,"="&amp;$R302)+1)/2,"")</f>
        <v/>
      </c>
      <c r="AF302" s="27">
        <f>IF(ISNUMBER($S302),COUNTIFS($A$14:$A$1213,$A302,$S$14:$S$1213,"&gt;"&amp;$S302)+(COUNTIFS($A$14:$A$1213,$A302,$S$14:$S$1213,"="&amp;$S302)+1)/2,"")</f>
        <v/>
      </c>
      <c r="AG302" s="27">
        <f>IF(ISNUMBER($T302),COUNTIFS($A$14:$A$1213,$A302,$T$14:$T$1213,"&gt;"&amp;$T302)+(COUNTIFS($A$14:$A$1213,$A302,$T$14:$T$1213,"="&amp;$T302)+1)/2,"")</f>
        <v/>
      </c>
      <c r="AH302" s="27">
        <f>IF(COUNT($AC302:$AG302)&lt;2,"",IF(MAX($AC302:$AG302)=MIN($AC302:$AG302),0,1))</f>
        <v/>
      </c>
      <c r="AI302" s="27">
        <f>IF($A302="","",IF(COUNTIF($A$14:$A302,$A302)=1,COUNTIF($AI$13:AI301,"&gt;0")+1,""))</f>
        <v/>
      </c>
      <c r="AJ302" s="27">
        <f>IF(OR($H302="",COUNTIFS($A$14:$A$1213,$H302,$F$14:$F$1213,"&gt;=0")&lt;2,COUNTIFS($A$14:$A$1213,$H302,$F$14:$F$1213,_xlfn.MAXIFS($F$14:$F$1213,$A$14:$A$1213,$H302))&gt;1),"",IFERROR(INDEX($D$14:$D$1213,MATCH($H302&amp;"|"&amp;_xlfn.MAXIFS($F$14:$F$1213,$A$14:$A$1213,$H302),$AB$14:$AB$1213,0)),""))</f>
        <v/>
      </c>
      <c r="AK302" s="27">
        <f>IF(OR($H302="",COUNTIFS($A$14:$A$1213,$H302,$F$14:$F$1213,"&gt;=0")&lt;2,COUNTIFS($A$14:$A$1213,$H302,$F$14:$F$1213,_xlfn.MAXIFS($F$14:$F$1213,$A$14:$A$1213,$H302))&gt;1),"",IFERROR(INDEX($E$14:$E$1213,MATCH($H302&amp;"|"&amp;_xlfn.MAXIFS($F$14:$F$1213,$A$14:$A$1213,$H302),$AB$14:$AB$1213,0)),""))</f>
        <v/>
      </c>
      <c r="AL302" s="27">
        <f>IF(OR($H302="",COUNTIFS($A$14:$A$1213,$H302,$F$14:$F$1213,"&gt;=0")&lt;2,COUNTIFS($A$14:$A$1213,$H302,$F$14:$F$1213,_xlfn.MAXIFS($F$14:$F$1213,$A$14:$A$1213,$H302))&gt;1),"",IFERROR(INDEX($D$14:$D$1213,MATCH($H302&amp;"|"&amp;_xlfn.MAXIFS($F$14:$F$1213,$A$14:$A$1213,$H302,$F$14:$F$1213,"&lt;"&amp;_xlfn.MAXIFS($F$14:$F$1213,$A$14:$A$1213,$H302)),$AB$14:$AB$1213,0)),""))</f>
        <v/>
      </c>
      <c r="AM302" s="27">
        <f>IF(OR($H302="",COUNTIFS($A$14:$A$1213,$H302,$F$14:$F$1213,"&gt;=0")&lt;2,COUNTIFS($A$14:$A$1213,$H302,$F$14:$F$1213,_xlfn.MAXIFS($F$14:$F$1213,$A$14:$A$1213,$H302))&gt;1),"",IFERROR(INDEX($E$14:$E$1213,MATCH($H302&amp;"|"&amp;_xlfn.MAXIFS($F$14:$F$1213,$A$14:$A$1213,$H302,$F$14:$F$1213,"&lt;"&amp;_xlfn.MAXIFS($F$14:$F$1213,$A$14:$A$1213,$H302)),$AB$14:$AB$1213,0)),""))</f>
        <v/>
      </c>
      <c r="AN302" s="27">
        <f>IF(OR(NOT(ISNUMBER($AJ302)),NOT(ISNUMBER($AL302)),$AK302=0,$AM302=0),"",IF(OR((($AJ302+$AL302)/($AK302+$AM302))&lt;=0,(($AJ302+$AL302)/($AK302+$AM302))&gt;=1),"",($AJ302/$AK302-$AL302/$AM302)/SQRT((($AJ302+$AL302)/($AK302+$AM302))*(1-(($AJ302+$AL302)/($AK302+$AM302)))*(1/$AK302+1/$AM302))))</f>
        <v/>
      </c>
      <c r="AO302" s="27">
        <f>IF($A302="","",IF(AND(COUNTIFS($A$14:$A$1213,$A302,$F$14:$F$1213,"&gt;=0")=2,IFERROR(INDEX($M$14:$M$313,MATCH($A302,$H$14:$H$313,0)),"Yes")&lt;&gt;"Yes"),1,0))</f>
        <v/>
      </c>
    </row>
    <row r="303" ht="24" customHeight="1">
      <c r="A303" s="19" t="n"/>
      <c r="B303" s="20" t="n"/>
      <c r="C303" s="21">
        <f>IFERROR(AVERAGE(P303:T303),"")</f>
        <v/>
      </c>
      <c r="D303" s="29" t="n"/>
      <c r="E303" s="29" t="n"/>
      <c r="F303" s="30">
        <f>IF(AND(ISNUMBER($D303),ISNUMBER($E303),$E303&gt;0,$D303&lt;=$E303),$D303/$E303,"")</f>
        <v/>
      </c>
      <c r="H303" s="19">
        <f>IFERROR(INDEX($A$14:$A$1213,MATCH(290,$AI$14:$AI$1213,0)),"")</f>
        <v/>
      </c>
      <c r="I303" s="24">
        <f>IF($H303="","",IF(COUNTIFS($A$14:$A$1213,$H303,$C$14:$C$1213,"&gt;=0")=0,"—",IFERROR(INDEX($B$14:$B$1213,MATCH($H303&amp;"|1",$Z$14:$Z$1213,0)),"(tied)")))</f>
        <v/>
      </c>
      <c r="J303" s="25">
        <f>IF($H303="","",IF(OR(COUNTIFS($A$14:$A$1213,$H303,$C$14:$C$1213,"&gt;=0")=0,COUNTIFS($A$14:$A$1213,$H303,$F$14:$F$1213,"&gt;=0")=0),"—",IF(OR(ISERROR(MATCH($H303&amp;"|1",$Z$14:$Z$1213,0)),ISERROR(MATCH($H303&amp;"|1",$AA$14:$AA$1213,0))),"Tie",IF(MATCH($H303&amp;"|1",$Z$14:$Z$1213,0)=MATCH($H303&amp;"|1",$AA$14:$AA$1213,0),"Hit","Miss"))))</f>
        <v/>
      </c>
      <c r="K303" s="24">
        <f>IF($H303="","",IF(COUNTIFS($A$14:$A$1213,$H303,$F$14:$F$1213,"&gt;=0")=0,"—",IFERROR(INDEX($B$14:$B$1213,MATCH($H303&amp;"|1",$AA$14:$AA$1213,0)),"(tied)")))</f>
        <v/>
      </c>
      <c r="L303" s="25">
        <f>IF($H303="","",IF((--(COUNTIFS($A$14:$A$1213,$H303,$P$14:$P$1213,"&gt;=0")&gt;0)+--(COUNTIFS($A$14:$A$1213,$H303,$Q$14:$Q$1213,"&gt;=0")&gt;0)+--(COUNTIFS($A$14:$A$1213,$H303,$R$14:$R$1213,"&gt;=0")&gt;0)+--(COUNTIFS($A$14:$A$1213,$H303,$S$14:$S$1213,"&gt;=0")&gt;0)+--(COUNTIFS($A$14:$A$1213,$H303,$T$14:$T$1213,"&gt;=0")&gt;0))&lt;2,"—",IF(SUMIFS($AH$14:$AH$1213,$A$14:$A$1213,$H303)=0,"Yes","No")))</f>
        <v/>
      </c>
      <c r="M303" s="25">
        <f>IF($H303="","",IF(COUNTIFS($A$14:$A$1213,$H303,$F$14:$F$1213,"&gt;=0")&lt;2,"—",IF(COUNTIFS($A$14:$A$1213,$H303,$F$14:$F$1213,_xlfn.MAXIFS($F$14:$F$1213,$A$14:$A$1213,$H303))&gt;1,"No",IF(NOT(ISNUMBER($AN303)),"—",IF((2*(1-NORMSDIST(ABS($AN303))))&lt;0.05,"Yes","No")))))</f>
        <v/>
      </c>
      <c r="N303" s="21">
        <f>IF($H303="","",IF(NOT(ISNUMBER($AN303)),"—",IF((2*(1-NORMSDIST(ABS($AN303))))&lt;0.001,"&lt;0.001",TEXT((2*(1-NORMSDIST(ABS($AN303)))),"0.000"))))</f>
        <v/>
      </c>
      <c r="P303" s="26" t="n"/>
      <c r="Q303" s="26" t="n"/>
      <c r="R303" s="26" t="n"/>
      <c r="S303" s="26" t="n"/>
      <c r="T303" s="26" t="n"/>
      <c r="V303" s="27">
        <f>IF(ISNUMBER($C303),COUNTIFS($A$14:$A$1213,$A303,$C$14:$C$1213,"&gt;"&amp;$C303)+(COUNTIFS($A$14:$A$1213,$A303,$C$14:$C$1213,"="&amp;$C303)+1)/2,"")</f>
        <v/>
      </c>
      <c r="W303" s="27">
        <f>IF(ISNUMBER($F303),COUNTIFS($A$14:$A$1213,$A303,$F$14:$F$1213,"&gt;"&amp;$F303)+(COUNTIFS($A$14:$A$1213,$A303,$F$14:$F$1213,"="&amp;$F303)+1)/2,"")</f>
        <v/>
      </c>
      <c r="X303" s="27">
        <f>IF(OR(NOT(ISNUMBER($V303)),$AO303=1),"",$V303-(COUNTIFS($A$14:$A$1213,$A303,$C$14:$C$1213,"&gt;=0")+1)/2)</f>
        <v/>
      </c>
      <c r="Y303" s="27">
        <f>IF(OR(NOT(ISNUMBER($W303)),$AO303=1),"",$W303-(COUNTIFS($A$14:$A$1213,$A303,$F$14:$F$1213,"&gt;=0")+1)/2)</f>
        <v/>
      </c>
      <c r="Z303" s="27">
        <f>IF(ISNUMBER($V303),$A303&amp;"|"&amp;$V303,"")</f>
        <v/>
      </c>
      <c r="AA303" s="27">
        <f>IF(ISNUMBER($W303),$A303&amp;"|"&amp;$W303,"")</f>
        <v/>
      </c>
      <c r="AB303" s="27">
        <f>IF(ISNUMBER($F303),$A303&amp;"|"&amp;$F303,"")</f>
        <v/>
      </c>
      <c r="AC303" s="27">
        <f>IF(ISNUMBER($P303),COUNTIFS($A$14:$A$1213,$A303,$P$14:$P$1213,"&gt;"&amp;$P303)+(COUNTIFS($A$14:$A$1213,$A303,$P$14:$P$1213,"="&amp;$P303)+1)/2,"")</f>
        <v/>
      </c>
      <c r="AD303" s="27">
        <f>IF(ISNUMBER($Q303),COUNTIFS($A$14:$A$1213,$A303,$Q$14:$Q$1213,"&gt;"&amp;$Q303)+(COUNTIFS($A$14:$A$1213,$A303,$Q$14:$Q$1213,"="&amp;$Q303)+1)/2,"")</f>
        <v/>
      </c>
      <c r="AE303" s="27">
        <f>IF(ISNUMBER($R303),COUNTIFS($A$14:$A$1213,$A303,$R$14:$R$1213,"&gt;"&amp;$R303)+(COUNTIFS($A$14:$A$1213,$A303,$R$14:$R$1213,"="&amp;$R303)+1)/2,"")</f>
        <v/>
      </c>
      <c r="AF303" s="27">
        <f>IF(ISNUMBER($S303),COUNTIFS($A$14:$A$1213,$A303,$S$14:$S$1213,"&gt;"&amp;$S303)+(COUNTIFS($A$14:$A$1213,$A303,$S$14:$S$1213,"="&amp;$S303)+1)/2,"")</f>
        <v/>
      </c>
      <c r="AG303" s="27">
        <f>IF(ISNUMBER($T303),COUNTIFS($A$14:$A$1213,$A303,$T$14:$T$1213,"&gt;"&amp;$T303)+(COUNTIFS($A$14:$A$1213,$A303,$T$14:$T$1213,"="&amp;$T303)+1)/2,"")</f>
        <v/>
      </c>
      <c r="AH303" s="27">
        <f>IF(COUNT($AC303:$AG303)&lt;2,"",IF(MAX($AC303:$AG303)=MIN($AC303:$AG303),0,1))</f>
        <v/>
      </c>
      <c r="AI303" s="27">
        <f>IF($A303="","",IF(COUNTIF($A$14:$A303,$A303)=1,COUNTIF($AI$13:AI302,"&gt;0")+1,""))</f>
        <v/>
      </c>
      <c r="AJ303" s="27">
        <f>IF(OR($H303="",COUNTIFS($A$14:$A$1213,$H303,$F$14:$F$1213,"&gt;=0")&lt;2,COUNTIFS($A$14:$A$1213,$H303,$F$14:$F$1213,_xlfn.MAXIFS($F$14:$F$1213,$A$14:$A$1213,$H303))&gt;1),"",IFERROR(INDEX($D$14:$D$1213,MATCH($H303&amp;"|"&amp;_xlfn.MAXIFS($F$14:$F$1213,$A$14:$A$1213,$H303),$AB$14:$AB$1213,0)),""))</f>
        <v/>
      </c>
      <c r="AK303" s="27">
        <f>IF(OR($H303="",COUNTIFS($A$14:$A$1213,$H303,$F$14:$F$1213,"&gt;=0")&lt;2,COUNTIFS($A$14:$A$1213,$H303,$F$14:$F$1213,_xlfn.MAXIFS($F$14:$F$1213,$A$14:$A$1213,$H303))&gt;1),"",IFERROR(INDEX($E$14:$E$1213,MATCH($H303&amp;"|"&amp;_xlfn.MAXIFS($F$14:$F$1213,$A$14:$A$1213,$H303),$AB$14:$AB$1213,0)),""))</f>
        <v/>
      </c>
      <c r="AL303" s="27">
        <f>IF(OR($H303="",COUNTIFS($A$14:$A$1213,$H303,$F$14:$F$1213,"&gt;=0")&lt;2,COUNTIFS($A$14:$A$1213,$H303,$F$14:$F$1213,_xlfn.MAXIFS($F$14:$F$1213,$A$14:$A$1213,$H303))&gt;1),"",IFERROR(INDEX($D$14:$D$1213,MATCH($H303&amp;"|"&amp;_xlfn.MAXIFS($F$14:$F$1213,$A$14:$A$1213,$H303,$F$14:$F$1213,"&lt;"&amp;_xlfn.MAXIFS($F$14:$F$1213,$A$14:$A$1213,$H303)),$AB$14:$AB$1213,0)),""))</f>
        <v/>
      </c>
      <c r="AM303" s="27">
        <f>IF(OR($H303="",COUNTIFS($A$14:$A$1213,$H303,$F$14:$F$1213,"&gt;=0")&lt;2,COUNTIFS($A$14:$A$1213,$H303,$F$14:$F$1213,_xlfn.MAXIFS($F$14:$F$1213,$A$14:$A$1213,$H303))&gt;1),"",IFERROR(INDEX($E$14:$E$1213,MATCH($H303&amp;"|"&amp;_xlfn.MAXIFS($F$14:$F$1213,$A$14:$A$1213,$H303,$F$14:$F$1213,"&lt;"&amp;_xlfn.MAXIFS($F$14:$F$1213,$A$14:$A$1213,$H303)),$AB$14:$AB$1213,0)),""))</f>
        <v/>
      </c>
      <c r="AN303" s="27">
        <f>IF(OR(NOT(ISNUMBER($AJ303)),NOT(ISNUMBER($AL303)),$AK303=0,$AM303=0),"",IF(OR((($AJ303+$AL303)/($AK303+$AM303))&lt;=0,(($AJ303+$AL303)/($AK303+$AM303))&gt;=1),"",($AJ303/$AK303-$AL303/$AM303)/SQRT((($AJ303+$AL303)/($AK303+$AM303))*(1-(($AJ303+$AL303)/($AK303+$AM303)))*(1/$AK303+1/$AM303))))</f>
        <v/>
      </c>
      <c r="AO303" s="27">
        <f>IF($A303="","",IF(AND(COUNTIFS($A$14:$A$1213,$A303,$F$14:$F$1213,"&gt;=0")=2,IFERROR(INDEX($M$14:$M$313,MATCH($A303,$H$14:$H$313,0)),"Yes")&lt;&gt;"Yes"),1,0))</f>
        <v/>
      </c>
    </row>
    <row r="304" ht="24" customHeight="1">
      <c r="A304" s="19" t="n"/>
      <c r="B304" s="20" t="n"/>
      <c r="C304" s="21">
        <f>IFERROR(AVERAGE(P304:T304),"")</f>
        <v/>
      </c>
      <c r="D304" s="29" t="n"/>
      <c r="E304" s="29" t="n"/>
      <c r="F304" s="30">
        <f>IF(AND(ISNUMBER($D304),ISNUMBER($E304),$E304&gt;0,$D304&lt;=$E304),$D304/$E304,"")</f>
        <v/>
      </c>
      <c r="H304" s="19">
        <f>IFERROR(INDEX($A$14:$A$1213,MATCH(291,$AI$14:$AI$1213,0)),"")</f>
        <v/>
      </c>
      <c r="I304" s="24">
        <f>IF($H304="","",IF(COUNTIFS($A$14:$A$1213,$H304,$C$14:$C$1213,"&gt;=0")=0,"—",IFERROR(INDEX($B$14:$B$1213,MATCH($H304&amp;"|1",$Z$14:$Z$1213,0)),"(tied)")))</f>
        <v/>
      </c>
      <c r="J304" s="25">
        <f>IF($H304="","",IF(OR(COUNTIFS($A$14:$A$1213,$H304,$C$14:$C$1213,"&gt;=0")=0,COUNTIFS($A$14:$A$1213,$H304,$F$14:$F$1213,"&gt;=0")=0),"—",IF(OR(ISERROR(MATCH($H304&amp;"|1",$Z$14:$Z$1213,0)),ISERROR(MATCH($H304&amp;"|1",$AA$14:$AA$1213,0))),"Tie",IF(MATCH($H304&amp;"|1",$Z$14:$Z$1213,0)=MATCH($H304&amp;"|1",$AA$14:$AA$1213,0),"Hit","Miss"))))</f>
        <v/>
      </c>
      <c r="K304" s="24">
        <f>IF($H304="","",IF(COUNTIFS($A$14:$A$1213,$H304,$F$14:$F$1213,"&gt;=0")=0,"—",IFERROR(INDEX($B$14:$B$1213,MATCH($H304&amp;"|1",$AA$14:$AA$1213,0)),"(tied)")))</f>
        <v/>
      </c>
      <c r="L304" s="25">
        <f>IF($H304="","",IF((--(COUNTIFS($A$14:$A$1213,$H304,$P$14:$P$1213,"&gt;=0")&gt;0)+--(COUNTIFS($A$14:$A$1213,$H304,$Q$14:$Q$1213,"&gt;=0")&gt;0)+--(COUNTIFS($A$14:$A$1213,$H304,$R$14:$R$1213,"&gt;=0")&gt;0)+--(COUNTIFS($A$14:$A$1213,$H304,$S$14:$S$1213,"&gt;=0")&gt;0)+--(COUNTIFS($A$14:$A$1213,$H304,$T$14:$T$1213,"&gt;=0")&gt;0))&lt;2,"—",IF(SUMIFS($AH$14:$AH$1213,$A$14:$A$1213,$H304)=0,"Yes","No")))</f>
        <v/>
      </c>
      <c r="M304" s="25">
        <f>IF($H304="","",IF(COUNTIFS($A$14:$A$1213,$H304,$F$14:$F$1213,"&gt;=0")&lt;2,"—",IF(COUNTIFS($A$14:$A$1213,$H304,$F$14:$F$1213,_xlfn.MAXIFS($F$14:$F$1213,$A$14:$A$1213,$H304))&gt;1,"No",IF(NOT(ISNUMBER($AN304)),"—",IF((2*(1-NORMSDIST(ABS($AN304))))&lt;0.05,"Yes","No")))))</f>
        <v/>
      </c>
      <c r="N304" s="21">
        <f>IF($H304="","",IF(NOT(ISNUMBER($AN304)),"—",IF((2*(1-NORMSDIST(ABS($AN304))))&lt;0.001,"&lt;0.001",TEXT((2*(1-NORMSDIST(ABS($AN304)))),"0.000"))))</f>
        <v/>
      </c>
      <c r="P304" s="26" t="n"/>
      <c r="Q304" s="26" t="n"/>
      <c r="R304" s="26" t="n"/>
      <c r="S304" s="26" t="n"/>
      <c r="T304" s="26" t="n"/>
      <c r="V304" s="27">
        <f>IF(ISNUMBER($C304),COUNTIFS($A$14:$A$1213,$A304,$C$14:$C$1213,"&gt;"&amp;$C304)+(COUNTIFS($A$14:$A$1213,$A304,$C$14:$C$1213,"="&amp;$C304)+1)/2,"")</f>
        <v/>
      </c>
      <c r="W304" s="27">
        <f>IF(ISNUMBER($F304),COUNTIFS($A$14:$A$1213,$A304,$F$14:$F$1213,"&gt;"&amp;$F304)+(COUNTIFS($A$14:$A$1213,$A304,$F$14:$F$1213,"="&amp;$F304)+1)/2,"")</f>
        <v/>
      </c>
      <c r="X304" s="27">
        <f>IF(OR(NOT(ISNUMBER($V304)),$AO304=1),"",$V304-(COUNTIFS($A$14:$A$1213,$A304,$C$14:$C$1213,"&gt;=0")+1)/2)</f>
        <v/>
      </c>
      <c r="Y304" s="27">
        <f>IF(OR(NOT(ISNUMBER($W304)),$AO304=1),"",$W304-(COUNTIFS($A$14:$A$1213,$A304,$F$14:$F$1213,"&gt;=0")+1)/2)</f>
        <v/>
      </c>
      <c r="Z304" s="27">
        <f>IF(ISNUMBER($V304),$A304&amp;"|"&amp;$V304,"")</f>
        <v/>
      </c>
      <c r="AA304" s="27">
        <f>IF(ISNUMBER($W304),$A304&amp;"|"&amp;$W304,"")</f>
        <v/>
      </c>
      <c r="AB304" s="27">
        <f>IF(ISNUMBER($F304),$A304&amp;"|"&amp;$F304,"")</f>
        <v/>
      </c>
      <c r="AC304" s="27">
        <f>IF(ISNUMBER($P304),COUNTIFS($A$14:$A$1213,$A304,$P$14:$P$1213,"&gt;"&amp;$P304)+(COUNTIFS($A$14:$A$1213,$A304,$P$14:$P$1213,"="&amp;$P304)+1)/2,"")</f>
        <v/>
      </c>
      <c r="AD304" s="27">
        <f>IF(ISNUMBER($Q304),COUNTIFS($A$14:$A$1213,$A304,$Q$14:$Q$1213,"&gt;"&amp;$Q304)+(COUNTIFS($A$14:$A$1213,$A304,$Q$14:$Q$1213,"="&amp;$Q304)+1)/2,"")</f>
        <v/>
      </c>
      <c r="AE304" s="27">
        <f>IF(ISNUMBER($R304),COUNTIFS($A$14:$A$1213,$A304,$R$14:$R$1213,"&gt;"&amp;$R304)+(COUNTIFS($A$14:$A$1213,$A304,$R$14:$R$1213,"="&amp;$R304)+1)/2,"")</f>
        <v/>
      </c>
      <c r="AF304" s="27">
        <f>IF(ISNUMBER($S304),COUNTIFS($A$14:$A$1213,$A304,$S$14:$S$1213,"&gt;"&amp;$S304)+(COUNTIFS($A$14:$A$1213,$A304,$S$14:$S$1213,"="&amp;$S304)+1)/2,"")</f>
        <v/>
      </c>
      <c r="AG304" s="27">
        <f>IF(ISNUMBER($T304),COUNTIFS($A$14:$A$1213,$A304,$T$14:$T$1213,"&gt;"&amp;$T304)+(COUNTIFS($A$14:$A$1213,$A304,$T$14:$T$1213,"="&amp;$T304)+1)/2,"")</f>
        <v/>
      </c>
      <c r="AH304" s="27">
        <f>IF(COUNT($AC304:$AG304)&lt;2,"",IF(MAX($AC304:$AG304)=MIN($AC304:$AG304),0,1))</f>
        <v/>
      </c>
      <c r="AI304" s="27">
        <f>IF($A304="","",IF(COUNTIF($A$14:$A304,$A304)=1,COUNTIF($AI$13:AI303,"&gt;0")+1,""))</f>
        <v/>
      </c>
      <c r="AJ304" s="27">
        <f>IF(OR($H304="",COUNTIFS($A$14:$A$1213,$H304,$F$14:$F$1213,"&gt;=0")&lt;2,COUNTIFS($A$14:$A$1213,$H304,$F$14:$F$1213,_xlfn.MAXIFS($F$14:$F$1213,$A$14:$A$1213,$H304))&gt;1),"",IFERROR(INDEX($D$14:$D$1213,MATCH($H304&amp;"|"&amp;_xlfn.MAXIFS($F$14:$F$1213,$A$14:$A$1213,$H304),$AB$14:$AB$1213,0)),""))</f>
        <v/>
      </c>
      <c r="AK304" s="27">
        <f>IF(OR($H304="",COUNTIFS($A$14:$A$1213,$H304,$F$14:$F$1213,"&gt;=0")&lt;2,COUNTIFS($A$14:$A$1213,$H304,$F$14:$F$1213,_xlfn.MAXIFS($F$14:$F$1213,$A$14:$A$1213,$H304))&gt;1),"",IFERROR(INDEX($E$14:$E$1213,MATCH($H304&amp;"|"&amp;_xlfn.MAXIFS($F$14:$F$1213,$A$14:$A$1213,$H304),$AB$14:$AB$1213,0)),""))</f>
        <v/>
      </c>
      <c r="AL304" s="27">
        <f>IF(OR($H304="",COUNTIFS($A$14:$A$1213,$H304,$F$14:$F$1213,"&gt;=0")&lt;2,COUNTIFS($A$14:$A$1213,$H304,$F$14:$F$1213,_xlfn.MAXIFS($F$14:$F$1213,$A$14:$A$1213,$H304))&gt;1),"",IFERROR(INDEX($D$14:$D$1213,MATCH($H304&amp;"|"&amp;_xlfn.MAXIFS($F$14:$F$1213,$A$14:$A$1213,$H304,$F$14:$F$1213,"&lt;"&amp;_xlfn.MAXIFS($F$14:$F$1213,$A$14:$A$1213,$H304)),$AB$14:$AB$1213,0)),""))</f>
        <v/>
      </c>
      <c r="AM304" s="27">
        <f>IF(OR($H304="",COUNTIFS($A$14:$A$1213,$H304,$F$14:$F$1213,"&gt;=0")&lt;2,COUNTIFS($A$14:$A$1213,$H304,$F$14:$F$1213,_xlfn.MAXIFS($F$14:$F$1213,$A$14:$A$1213,$H304))&gt;1),"",IFERROR(INDEX($E$14:$E$1213,MATCH($H304&amp;"|"&amp;_xlfn.MAXIFS($F$14:$F$1213,$A$14:$A$1213,$H304,$F$14:$F$1213,"&lt;"&amp;_xlfn.MAXIFS($F$14:$F$1213,$A$14:$A$1213,$H304)),$AB$14:$AB$1213,0)),""))</f>
        <v/>
      </c>
      <c r="AN304" s="27">
        <f>IF(OR(NOT(ISNUMBER($AJ304)),NOT(ISNUMBER($AL304)),$AK304=0,$AM304=0),"",IF(OR((($AJ304+$AL304)/($AK304+$AM304))&lt;=0,(($AJ304+$AL304)/($AK304+$AM304))&gt;=1),"",($AJ304/$AK304-$AL304/$AM304)/SQRT((($AJ304+$AL304)/($AK304+$AM304))*(1-(($AJ304+$AL304)/($AK304+$AM304)))*(1/$AK304+1/$AM304))))</f>
        <v/>
      </c>
      <c r="AO304" s="27">
        <f>IF($A304="","",IF(AND(COUNTIFS($A$14:$A$1213,$A304,$F$14:$F$1213,"&gt;=0")=2,IFERROR(INDEX($M$14:$M$313,MATCH($A304,$H$14:$H$313,0)),"Yes")&lt;&gt;"Yes"),1,0))</f>
        <v/>
      </c>
    </row>
    <row r="305" ht="24" customHeight="1">
      <c r="A305" s="19" t="n"/>
      <c r="B305" s="20" t="n"/>
      <c r="C305" s="21">
        <f>IFERROR(AVERAGE(P305:T305),"")</f>
        <v/>
      </c>
      <c r="D305" s="29" t="n"/>
      <c r="E305" s="29" t="n"/>
      <c r="F305" s="30">
        <f>IF(AND(ISNUMBER($D305),ISNUMBER($E305),$E305&gt;0,$D305&lt;=$E305),$D305/$E305,"")</f>
        <v/>
      </c>
      <c r="H305" s="19">
        <f>IFERROR(INDEX($A$14:$A$1213,MATCH(292,$AI$14:$AI$1213,0)),"")</f>
        <v/>
      </c>
      <c r="I305" s="24">
        <f>IF($H305="","",IF(COUNTIFS($A$14:$A$1213,$H305,$C$14:$C$1213,"&gt;=0")=0,"—",IFERROR(INDEX($B$14:$B$1213,MATCH($H305&amp;"|1",$Z$14:$Z$1213,0)),"(tied)")))</f>
        <v/>
      </c>
      <c r="J305" s="25">
        <f>IF($H305="","",IF(OR(COUNTIFS($A$14:$A$1213,$H305,$C$14:$C$1213,"&gt;=0")=0,COUNTIFS($A$14:$A$1213,$H305,$F$14:$F$1213,"&gt;=0")=0),"—",IF(OR(ISERROR(MATCH($H305&amp;"|1",$Z$14:$Z$1213,0)),ISERROR(MATCH($H305&amp;"|1",$AA$14:$AA$1213,0))),"Tie",IF(MATCH($H305&amp;"|1",$Z$14:$Z$1213,0)=MATCH($H305&amp;"|1",$AA$14:$AA$1213,0),"Hit","Miss"))))</f>
        <v/>
      </c>
      <c r="K305" s="24">
        <f>IF($H305="","",IF(COUNTIFS($A$14:$A$1213,$H305,$F$14:$F$1213,"&gt;=0")=0,"—",IFERROR(INDEX($B$14:$B$1213,MATCH($H305&amp;"|1",$AA$14:$AA$1213,0)),"(tied)")))</f>
        <v/>
      </c>
      <c r="L305" s="25">
        <f>IF($H305="","",IF((--(COUNTIFS($A$14:$A$1213,$H305,$P$14:$P$1213,"&gt;=0")&gt;0)+--(COUNTIFS($A$14:$A$1213,$H305,$Q$14:$Q$1213,"&gt;=0")&gt;0)+--(COUNTIFS($A$14:$A$1213,$H305,$R$14:$R$1213,"&gt;=0")&gt;0)+--(COUNTIFS($A$14:$A$1213,$H305,$S$14:$S$1213,"&gt;=0")&gt;0)+--(COUNTIFS($A$14:$A$1213,$H305,$T$14:$T$1213,"&gt;=0")&gt;0))&lt;2,"—",IF(SUMIFS($AH$14:$AH$1213,$A$14:$A$1213,$H305)=0,"Yes","No")))</f>
        <v/>
      </c>
      <c r="M305" s="25">
        <f>IF($H305="","",IF(COUNTIFS($A$14:$A$1213,$H305,$F$14:$F$1213,"&gt;=0")&lt;2,"—",IF(COUNTIFS($A$14:$A$1213,$H305,$F$14:$F$1213,_xlfn.MAXIFS($F$14:$F$1213,$A$14:$A$1213,$H305))&gt;1,"No",IF(NOT(ISNUMBER($AN305)),"—",IF((2*(1-NORMSDIST(ABS($AN305))))&lt;0.05,"Yes","No")))))</f>
        <v/>
      </c>
      <c r="N305" s="21">
        <f>IF($H305="","",IF(NOT(ISNUMBER($AN305)),"—",IF((2*(1-NORMSDIST(ABS($AN305))))&lt;0.001,"&lt;0.001",TEXT((2*(1-NORMSDIST(ABS($AN305)))),"0.000"))))</f>
        <v/>
      </c>
      <c r="P305" s="26" t="n"/>
      <c r="Q305" s="26" t="n"/>
      <c r="R305" s="26" t="n"/>
      <c r="S305" s="26" t="n"/>
      <c r="T305" s="26" t="n"/>
      <c r="V305" s="27">
        <f>IF(ISNUMBER($C305),COUNTIFS($A$14:$A$1213,$A305,$C$14:$C$1213,"&gt;"&amp;$C305)+(COUNTIFS($A$14:$A$1213,$A305,$C$14:$C$1213,"="&amp;$C305)+1)/2,"")</f>
        <v/>
      </c>
      <c r="W305" s="27">
        <f>IF(ISNUMBER($F305),COUNTIFS($A$14:$A$1213,$A305,$F$14:$F$1213,"&gt;"&amp;$F305)+(COUNTIFS($A$14:$A$1213,$A305,$F$14:$F$1213,"="&amp;$F305)+1)/2,"")</f>
        <v/>
      </c>
      <c r="X305" s="27">
        <f>IF(OR(NOT(ISNUMBER($V305)),$AO305=1),"",$V305-(COUNTIFS($A$14:$A$1213,$A305,$C$14:$C$1213,"&gt;=0")+1)/2)</f>
        <v/>
      </c>
      <c r="Y305" s="27">
        <f>IF(OR(NOT(ISNUMBER($W305)),$AO305=1),"",$W305-(COUNTIFS($A$14:$A$1213,$A305,$F$14:$F$1213,"&gt;=0")+1)/2)</f>
        <v/>
      </c>
      <c r="Z305" s="27">
        <f>IF(ISNUMBER($V305),$A305&amp;"|"&amp;$V305,"")</f>
        <v/>
      </c>
      <c r="AA305" s="27">
        <f>IF(ISNUMBER($W305),$A305&amp;"|"&amp;$W305,"")</f>
        <v/>
      </c>
      <c r="AB305" s="27">
        <f>IF(ISNUMBER($F305),$A305&amp;"|"&amp;$F305,"")</f>
        <v/>
      </c>
      <c r="AC305" s="27">
        <f>IF(ISNUMBER($P305),COUNTIFS($A$14:$A$1213,$A305,$P$14:$P$1213,"&gt;"&amp;$P305)+(COUNTIFS($A$14:$A$1213,$A305,$P$14:$P$1213,"="&amp;$P305)+1)/2,"")</f>
        <v/>
      </c>
      <c r="AD305" s="27">
        <f>IF(ISNUMBER($Q305),COUNTIFS($A$14:$A$1213,$A305,$Q$14:$Q$1213,"&gt;"&amp;$Q305)+(COUNTIFS($A$14:$A$1213,$A305,$Q$14:$Q$1213,"="&amp;$Q305)+1)/2,"")</f>
        <v/>
      </c>
      <c r="AE305" s="27">
        <f>IF(ISNUMBER($R305),COUNTIFS($A$14:$A$1213,$A305,$R$14:$R$1213,"&gt;"&amp;$R305)+(COUNTIFS($A$14:$A$1213,$A305,$R$14:$R$1213,"="&amp;$R305)+1)/2,"")</f>
        <v/>
      </c>
      <c r="AF305" s="27">
        <f>IF(ISNUMBER($S305),COUNTIFS($A$14:$A$1213,$A305,$S$14:$S$1213,"&gt;"&amp;$S305)+(COUNTIFS($A$14:$A$1213,$A305,$S$14:$S$1213,"="&amp;$S305)+1)/2,"")</f>
        <v/>
      </c>
      <c r="AG305" s="27">
        <f>IF(ISNUMBER($T305),COUNTIFS($A$14:$A$1213,$A305,$T$14:$T$1213,"&gt;"&amp;$T305)+(COUNTIFS($A$14:$A$1213,$A305,$T$14:$T$1213,"="&amp;$T305)+1)/2,"")</f>
        <v/>
      </c>
      <c r="AH305" s="27">
        <f>IF(COUNT($AC305:$AG305)&lt;2,"",IF(MAX($AC305:$AG305)=MIN($AC305:$AG305),0,1))</f>
        <v/>
      </c>
      <c r="AI305" s="27">
        <f>IF($A305="","",IF(COUNTIF($A$14:$A305,$A305)=1,COUNTIF($AI$13:AI304,"&gt;0")+1,""))</f>
        <v/>
      </c>
      <c r="AJ305" s="27">
        <f>IF(OR($H305="",COUNTIFS($A$14:$A$1213,$H305,$F$14:$F$1213,"&gt;=0")&lt;2,COUNTIFS($A$14:$A$1213,$H305,$F$14:$F$1213,_xlfn.MAXIFS($F$14:$F$1213,$A$14:$A$1213,$H305))&gt;1),"",IFERROR(INDEX($D$14:$D$1213,MATCH($H305&amp;"|"&amp;_xlfn.MAXIFS($F$14:$F$1213,$A$14:$A$1213,$H305),$AB$14:$AB$1213,0)),""))</f>
        <v/>
      </c>
      <c r="AK305" s="27">
        <f>IF(OR($H305="",COUNTIFS($A$14:$A$1213,$H305,$F$14:$F$1213,"&gt;=0")&lt;2,COUNTIFS($A$14:$A$1213,$H305,$F$14:$F$1213,_xlfn.MAXIFS($F$14:$F$1213,$A$14:$A$1213,$H305))&gt;1),"",IFERROR(INDEX($E$14:$E$1213,MATCH($H305&amp;"|"&amp;_xlfn.MAXIFS($F$14:$F$1213,$A$14:$A$1213,$H305),$AB$14:$AB$1213,0)),""))</f>
        <v/>
      </c>
      <c r="AL305" s="27">
        <f>IF(OR($H305="",COUNTIFS($A$14:$A$1213,$H305,$F$14:$F$1213,"&gt;=0")&lt;2,COUNTIFS($A$14:$A$1213,$H305,$F$14:$F$1213,_xlfn.MAXIFS($F$14:$F$1213,$A$14:$A$1213,$H305))&gt;1),"",IFERROR(INDEX($D$14:$D$1213,MATCH($H305&amp;"|"&amp;_xlfn.MAXIFS($F$14:$F$1213,$A$14:$A$1213,$H305,$F$14:$F$1213,"&lt;"&amp;_xlfn.MAXIFS($F$14:$F$1213,$A$14:$A$1213,$H305)),$AB$14:$AB$1213,0)),""))</f>
        <v/>
      </c>
      <c r="AM305" s="27">
        <f>IF(OR($H305="",COUNTIFS($A$14:$A$1213,$H305,$F$14:$F$1213,"&gt;=0")&lt;2,COUNTIFS($A$14:$A$1213,$H305,$F$14:$F$1213,_xlfn.MAXIFS($F$14:$F$1213,$A$14:$A$1213,$H305))&gt;1),"",IFERROR(INDEX($E$14:$E$1213,MATCH($H305&amp;"|"&amp;_xlfn.MAXIFS($F$14:$F$1213,$A$14:$A$1213,$H305,$F$14:$F$1213,"&lt;"&amp;_xlfn.MAXIFS($F$14:$F$1213,$A$14:$A$1213,$H305)),$AB$14:$AB$1213,0)),""))</f>
        <v/>
      </c>
      <c r="AN305" s="27">
        <f>IF(OR(NOT(ISNUMBER($AJ305)),NOT(ISNUMBER($AL305)),$AK305=0,$AM305=0),"",IF(OR((($AJ305+$AL305)/($AK305+$AM305))&lt;=0,(($AJ305+$AL305)/($AK305+$AM305))&gt;=1),"",($AJ305/$AK305-$AL305/$AM305)/SQRT((($AJ305+$AL305)/($AK305+$AM305))*(1-(($AJ305+$AL305)/($AK305+$AM305)))*(1/$AK305+1/$AM305))))</f>
        <v/>
      </c>
      <c r="AO305" s="27">
        <f>IF($A305="","",IF(AND(COUNTIFS($A$14:$A$1213,$A305,$F$14:$F$1213,"&gt;=0")=2,IFERROR(INDEX($M$14:$M$313,MATCH($A305,$H$14:$H$313,0)),"Yes")&lt;&gt;"Yes"),1,0))</f>
        <v/>
      </c>
    </row>
    <row r="306" ht="24" customHeight="1">
      <c r="A306" s="19" t="n"/>
      <c r="B306" s="20" t="n"/>
      <c r="C306" s="21">
        <f>IFERROR(AVERAGE(P306:T306),"")</f>
        <v/>
      </c>
      <c r="D306" s="29" t="n"/>
      <c r="E306" s="29" t="n"/>
      <c r="F306" s="30">
        <f>IF(AND(ISNUMBER($D306),ISNUMBER($E306),$E306&gt;0,$D306&lt;=$E306),$D306/$E306,"")</f>
        <v/>
      </c>
      <c r="H306" s="19">
        <f>IFERROR(INDEX($A$14:$A$1213,MATCH(293,$AI$14:$AI$1213,0)),"")</f>
        <v/>
      </c>
      <c r="I306" s="24">
        <f>IF($H306="","",IF(COUNTIFS($A$14:$A$1213,$H306,$C$14:$C$1213,"&gt;=0")=0,"—",IFERROR(INDEX($B$14:$B$1213,MATCH($H306&amp;"|1",$Z$14:$Z$1213,0)),"(tied)")))</f>
        <v/>
      </c>
      <c r="J306" s="25">
        <f>IF($H306="","",IF(OR(COUNTIFS($A$14:$A$1213,$H306,$C$14:$C$1213,"&gt;=0")=0,COUNTIFS($A$14:$A$1213,$H306,$F$14:$F$1213,"&gt;=0")=0),"—",IF(OR(ISERROR(MATCH($H306&amp;"|1",$Z$14:$Z$1213,0)),ISERROR(MATCH($H306&amp;"|1",$AA$14:$AA$1213,0))),"Tie",IF(MATCH($H306&amp;"|1",$Z$14:$Z$1213,0)=MATCH($H306&amp;"|1",$AA$14:$AA$1213,0),"Hit","Miss"))))</f>
        <v/>
      </c>
      <c r="K306" s="24">
        <f>IF($H306="","",IF(COUNTIFS($A$14:$A$1213,$H306,$F$14:$F$1213,"&gt;=0")=0,"—",IFERROR(INDEX($B$14:$B$1213,MATCH($H306&amp;"|1",$AA$14:$AA$1213,0)),"(tied)")))</f>
        <v/>
      </c>
      <c r="L306" s="25">
        <f>IF($H306="","",IF((--(COUNTIFS($A$14:$A$1213,$H306,$P$14:$P$1213,"&gt;=0")&gt;0)+--(COUNTIFS($A$14:$A$1213,$H306,$Q$14:$Q$1213,"&gt;=0")&gt;0)+--(COUNTIFS($A$14:$A$1213,$H306,$R$14:$R$1213,"&gt;=0")&gt;0)+--(COUNTIFS($A$14:$A$1213,$H306,$S$14:$S$1213,"&gt;=0")&gt;0)+--(COUNTIFS($A$14:$A$1213,$H306,$T$14:$T$1213,"&gt;=0")&gt;0))&lt;2,"—",IF(SUMIFS($AH$14:$AH$1213,$A$14:$A$1213,$H306)=0,"Yes","No")))</f>
        <v/>
      </c>
      <c r="M306" s="25">
        <f>IF($H306="","",IF(COUNTIFS($A$14:$A$1213,$H306,$F$14:$F$1213,"&gt;=0")&lt;2,"—",IF(COUNTIFS($A$14:$A$1213,$H306,$F$14:$F$1213,_xlfn.MAXIFS($F$14:$F$1213,$A$14:$A$1213,$H306))&gt;1,"No",IF(NOT(ISNUMBER($AN306)),"—",IF((2*(1-NORMSDIST(ABS($AN306))))&lt;0.05,"Yes","No")))))</f>
        <v/>
      </c>
      <c r="N306" s="21">
        <f>IF($H306="","",IF(NOT(ISNUMBER($AN306)),"—",IF((2*(1-NORMSDIST(ABS($AN306))))&lt;0.001,"&lt;0.001",TEXT((2*(1-NORMSDIST(ABS($AN306)))),"0.000"))))</f>
        <v/>
      </c>
      <c r="P306" s="26" t="n"/>
      <c r="Q306" s="26" t="n"/>
      <c r="R306" s="26" t="n"/>
      <c r="S306" s="26" t="n"/>
      <c r="T306" s="26" t="n"/>
      <c r="V306" s="27">
        <f>IF(ISNUMBER($C306),COUNTIFS($A$14:$A$1213,$A306,$C$14:$C$1213,"&gt;"&amp;$C306)+(COUNTIFS($A$14:$A$1213,$A306,$C$14:$C$1213,"="&amp;$C306)+1)/2,"")</f>
        <v/>
      </c>
      <c r="W306" s="27">
        <f>IF(ISNUMBER($F306),COUNTIFS($A$14:$A$1213,$A306,$F$14:$F$1213,"&gt;"&amp;$F306)+(COUNTIFS($A$14:$A$1213,$A306,$F$14:$F$1213,"="&amp;$F306)+1)/2,"")</f>
        <v/>
      </c>
      <c r="X306" s="27">
        <f>IF(OR(NOT(ISNUMBER($V306)),$AO306=1),"",$V306-(COUNTIFS($A$14:$A$1213,$A306,$C$14:$C$1213,"&gt;=0")+1)/2)</f>
        <v/>
      </c>
      <c r="Y306" s="27">
        <f>IF(OR(NOT(ISNUMBER($W306)),$AO306=1),"",$W306-(COUNTIFS($A$14:$A$1213,$A306,$F$14:$F$1213,"&gt;=0")+1)/2)</f>
        <v/>
      </c>
      <c r="Z306" s="27">
        <f>IF(ISNUMBER($V306),$A306&amp;"|"&amp;$V306,"")</f>
        <v/>
      </c>
      <c r="AA306" s="27">
        <f>IF(ISNUMBER($W306),$A306&amp;"|"&amp;$W306,"")</f>
        <v/>
      </c>
      <c r="AB306" s="27">
        <f>IF(ISNUMBER($F306),$A306&amp;"|"&amp;$F306,"")</f>
        <v/>
      </c>
      <c r="AC306" s="27">
        <f>IF(ISNUMBER($P306),COUNTIFS($A$14:$A$1213,$A306,$P$14:$P$1213,"&gt;"&amp;$P306)+(COUNTIFS($A$14:$A$1213,$A306,$P$14:$P$1213,"="&amp;$P306)+1)/2,"")</f>
        <v/>
      </c>
      <c r="AD306" s="27">
        <f>IF(ISNUMBER($Q306),COUNTIFS($A$14:$A$1213,$A306,$Q$14:$Q$1213,"&gt;"&amp;$Q306)+(COUNTIFS($A$14:$A$1213,$A306,$Q$14:$Q$1213,"="&amp;$Q306)+1)/2,"")</f>
        <v/>
      </c>
      <c r="AE306" s="27">
        <f>IF(ISNUMBER($R306),COUNTIFS($A$14:$A$1213,$A306,$R$14:$R$1213,"&gt;"&amp;$R306)+(COUNTIFS($A$14:$A$1213,$A306,$R$14:$R$1213,"="&amp;$R306)+1)/2,"")</f>
        <v/>
      </c>
      <c r="AF306" s="27">
        <f>IF(ISNUMBER($S306),COUNTIFS($A$14:$A$1213,$A306,$S$14:$S$1213,"&gt;"&amp;$S306)+(COUNTIFS($A$14:$A$1213,$A306,$S$14:$S$1213,"="&amp;$S306)+1)/2,"")</f>
        <v/>
      </c>
      <c r="AG306" s="27">
        <f>IF(ISNUMBER($T306),COUNTIFS($A$14:$A$1213,$A306,$T$14:$T$1213,"&gt;"&amp;$T306)+(COUNTIFS($A$14:$A$1213,$A306,$T$14:$T$1213,"="&amp;$T306)+1)/2,"")</f>
        <v/>
      </c>
      <c r="AH306" s="27">
        <f>IF(COUNT($AC306:$AG306)&lt;2,"",IF(MAX($AC306:$AG306)=MIN($AC306:$AG306),0,1))</f>
        <v/>
      </c>
      <c r="AI306" s="27">
        <f>IF($A306="","",IF(COUNTIF($A$14:$A306,$A306)=1,COUNTIF($AI$13:AI305,"&gt;0")+1,""))</f>
        <v/>
      </c>
      <c r="AJ306" s="27">
        <f>IF(OR($H306="",COUNTIFS($A$14:$A$1213,$H306,$F$14:$F$1213,"&gt;=0")&lt;2,COUNTIFS($A$14:$A$1213,$H306,$F$14:$F$1213,_xlfn.MAXIFS($F$14:$F$1213,$A$14:$A$1213,$H306))&gt;1),"",IFERROR(INDEX($D$14:$D$1213,MATCH($H306&amp;"|"&amp;_xlfn.MAXIFS($F$14:$F$1213,$A$14:$A$1213,$H306),$AB$14:$AB$1213,0)),""))</f>
        <v/>
      </c>
      <c r="AK306" s="27">
        <f>IF(OR($H306="",COUNTIFS($A$14:$A$1213,$H306,$F$14:$F$1213,"&gt;=0")&lt;2,COUNTIFS($A$14:$A$1213,$H306,$F$14:$F$1213,_xlfn.MAXIFS($F$14:$F$1213,$A$14:$A$1213,$H306))&gt;1),"",IFERROR(INDEX($E$14:$E$1213,MATCH($H306&amp;"|"&amp;_xlfn.MAXIFS($F$14:$F$1213,$A$14:$A$1213,$H306),$AB$14:$AB$1213,0)),""))</f>
        <v/>
      </c>
      <c r="AL306" s="27">
        <f>IF(OR($H306="",COUNTIFS($A$14:$A$1213,$H306,$F$14:$F$1213,"&gt;=0")&lt;2,COUNTIFS($A$14:$A$1213,$H306,$F$14:$F$1213,_xlfn.MAXIFS($F$14:$F$1213,$A$14:$A$1213,$H306))&gt;1),"",IFERROR(INDEX($D$14:$D$1213,MATCH($H306&amp;"|"&amp;_xlfn.MAXIFS($F$14:$F$1213,$A$14:$A$1213,$H306,$F$14:$F$1213,"&lt;"&amp;_xlfn.MAXIFS($F$14:$F$1213,$A$14:$A$1213,$H306)),$AB$14:$AB$1213,0)),""))</f>
        <v/>
      </c>
      <c r="AM306" s="27">
        <f>IF(OR($H306="",COUNTIFS($A$14:$A$1213,$H306,$F$14:$F$1213,"&gt;=0")&lt;2,COUNTIFS($A$14:$A$1213,$H306,$F$14:$F$1213,_xlfn.MAXIFS($F$14:$F$1213,$A$14:$A$1213,$H306))&gt;1),"",IFERROR(INDEX($E$14:$E$1213,MATCH($H306&amp;"|"&amp;_xlfn.MAXIFS($F$14:$F$1213,$A$14:$A$1213,$H306,$F$14:$F$1213,"&lt;"&amp;_xlfn.MAXIFS($F$14:$F$1213,$A$14:$A$1213,$H306)),$AB$14:$AB$1213,0)),""))</f>
        <v/>
      </c>
      <c r="AN306" s="27">
        <f>IF(OR(NOT(ISNUMBER($AJ306)),NOT(ISNUMBER($AL306)),$AK306=0,$AM306=0),"",IF(OR((($AJ306+$AL306)/($AK306+$AM306))&lt;=0,(($AJ306+$AL306)/($AK306+$AM306))&gt;=1),"",($AJ306/$AK306-$AL306/$AM306)/SQRT((($AJ306+$AL306)/($AK306+$AM306))*(1-(($AJ306+$AL306)/($AK306+$AM306)))*(1/$AK306+1/$AM306))))</f>
        <v/>
      </c>
      <c r="AO306" s="27">
        <f>IF($A306="","",IF(AND(COUNTIFS($A$14:$A$1213,$A306,$F$14:$F$1213,"&gt;=0")=2,IFERROR(INDEX($M$14:$M$313,MATCH($A306,$H$14:$H$313,0)),"Yes")&lt;&gt;"Yes"),1,0))</f>
        <v/>
      </c>
    </row>
    <row r="307" ht="24" customHeight="1">
      <c r="A307" s="19" t="n"/>
      <c r="B307" s="20" t="n"/>
      <c r="C307" s="21">
        <f>IFERROR(AVERAGE(P307:T307),"")</f>
        <v/>
      </c>
      <c r="D307" s="29" t="n"/>
      <c r="E307" s="29" t="n"/>
      <c r="F307" s="30">
        <f>IF(AND(ISNUMBER($D307),ISNUMBER($E307),$E307&gt;0,$D307&lt;=$E307),$D307/$E307,"")</f>
        <v/>
      </c>
      <c r="H307" s="19">
        <f>IFERROR(INDEX($A$14:$A$1213,MATCH(294,$AI$14:$AI$1213,0)),"")</f>
        <v/>
      </c>
      <c r="I307" s="24">
        <f>IF($H307="","",IF(COUNTIFS($A$14:$A$1213,$H307,$C$14:$C$1213,"&gt;=0")=0,"—",IFERROR(INDEX($B$14:$B$1213,MATCH($H307&amp;"|1",$Z$14:$Z$1213,0)),"(tied)")))</f>
        <v/>
      </c>
      <c r="J307" s="25">
        <f>IF($H307="","",IF(OR(COUNTIFS($A$14:$A$1213,$H307,$C$14:$C$1213,"&gt;=0")=0,COUNTIFS($A$14:$A$1213,$H307,$F$14:$F$1213,"&gt;=0")=0),"—",IF(OR(ISERROR(MATCH($H307&amp;"|1",$Z$14:$Z$1213,0)),ISERROR(MATCH($H307&amp;"|1",$AA$14:$AA$1213,0))),"Tie",IF(MATCH($H307&amp;"|1",$Z$14:$Z$1213,0)=MATCH($H307&amp;"|1",$AA$14:$AA$1213,0),"Hit","Miss"))))</f>
        <v/>
      </c>
      <c r="K307" s="24">
        <f>IF($H307="","",IF(COUNTIFS($A$14:$A$1213,$H307,$F$14:$F$1213,"&gt;=0")=0,"—",IFERROR(INDEX($B$14:$B$1213,MATCH($H307&amp;"|1",$AA$14:$AA$1213,0)),"(tied)")))</f>
        <v/>
      </c>
      <c r="L307" s="25">
        <f>IF($H307="","",IF((--(COUNTIFS($A$14:$A$1213,$H307,$P$14:$P$1213,"&gt;=0")&gt;0)+--(COUNTIFS($A$14:$A$1213,$H307,$Q$14:$Q$1213,"&gt;=0")&gt;0)+--(COUNTIFS($A$14:$A$1213,$H307,$R$14:$R$1213,"&gt;=0")&gt;0)+--(COUNTIFS($A$14:$A$1213,$H307,$S$14:$S$1213,"&gt;=0")&gt;0)+--(COUNTIFS($A$14:$A$1213,$H307,$T$14:$T$1213,"&gt;=0")&gt;0))&lt;2,"—",IF(SUMIFS($AH$14:$AH$1213,$A$14:$A$1213,$H307)=0,"Yes","No")))</f>
        <v/>
      </c>
      <c r="M307" s="25">
        <f>IF($H307="","",IF(COUNTIFS($A$14:$A$1213,$H307,$F$14:$F$1213,"&gt;=0")&lt;2,"—",IF(COUNTIFS($A$14:$A$1213,$H307,$F$14:$F$1213,_xlfn.MAXIFS($F$14:$F$1213,$A$14:$A$1213,$H307))&gt;1,"No",IF(NOT(ISNUMBER($AN307)),"—",IF((2*(1-NORMSDIST(ABS($AN307))))&lt;0.05,"Yes","No")))))</f>
        <v/>
      </c>
      <c r="N307" s="21">
        <f>IF($H307="","",IF(NOT(ISNUMBER($AN307)),"—",IF((2*(1-NORMSDIST(ABS($AN307))))&lt;0.001,"&lt;0.001",TEXT((2*(1-NORMSDIST(ABS($AN307)))),"0.000"))))</f>
        <v/>
      </c>
      <c r="P307" s="26" t="n"/>
      <c r="Q307" s="26" t="n"/>
      <c r="R307" s="26" t="n"/>
      <c r="S307" s="26" t="n"/>
      <c r="T307" s="26" t="n"/>
      <c r="V307" s="27">
        <f>IF(ISNUMBER($C307),COUNTIFS($A$14:$A$1213,$A307,$C$14:$C$1213,"&gt;"&amp;$C307)+(COUNTIFS($A$14:$A$1213,$A307,$C$14:$C$1213,"="&amp;$C307)+1)/2,"")</f>
        <v/>
      </c>
      <c r="W307" s="27">
        <f>IF(ISNUMBER($F307),COUNTIFS($A$14:$A$1213,$A307,$F$14:$F$1213,"&gt;"&amp;$F307)+(COUNTIFS($A$14:$A$1213,$A307,$F$14:$F$1213,"="&amp;$F307)+1)/2,"")</f>
        <v/>
      </c>
      <c r="X307" s="27">
        <f>IF(OR(NOT(ISNUMBER($V307)),$AO307=1),"",$V307-(COUNTIFS($A$14:$A$1213,$A307,$C$14:$C$1213,"&gt;=0")+1)/2)</f>
        <v/>
      </c>
      <c r="Y307" s="27">
        <f>IF(OR(NOT(ISNUMBER($W307)),$AO307=1),"",$W307-(COUNTIFS($A$14:$A$1213,$A307,$F$14:$F$1213,"&gt;=0")+1)/2)</f>
        <v/>
      </c>
      <c r="Z307" s="27">
        <f>IF(ISNUMBER($V307),$A307&amp;"|"&amp;$V307,"")</f>
        <v/>
      </c>
      <c r="AA307" s="27">
        <f>IF(ISNUMBER($W307),$A307&amp;"|"&amp;$W307,"")</f>
        <v/>
      </c>
      <c r="AB307" s="27">
        <f>IF(ISNUMBER($F307),$A307&amp;"|"&amp;$F307,"")</f>
        <v/>
      </c>
      <c r="AC307" s="27">
        <f>IF(ISNUMBER($P307),COUNTIFS($A$14:$A$1213,$A307,$P$14:$P$1213,"&gt;"&amp;$P307)+(COUNTIFS($A$14:$A$1213,$A307,$P$14:$P$1213,"="&amp;$P307)+1)/2,"")</f>
        <v/>
      </c>
      <c r="AD307" s="27">
        <f>IF(ISNUMBER($Q307),COUNTIFS($A$14:$A$1213,$A307,$Q$14:$Q$1213,"&gt;"&amp;$Q307)+(COUNTIFS($A$14:$A$1213,$A307,$Q$14:$Q$1213,"="&amp;$Q307)+1)/2,"")</f>
        <v/>
      </c>
      <c r="AE307" s="27">
        <f>IF(ISNUMBER($R307),COUNTIFS($A$14:$A$1213,$A307,$R$14:$R$1213,"&gt;"&amp;$R307)+(COUNTIFS($A$14:$A$1213,$A307,$R$14:$R$1213,"="&amp;$R307)+1)/2,"")</f>
        <v/>
      </c>
      <c r="AF307" s="27">
        <f>IF(ISNUMBER($S307),COUNTIFS($A$14:$A$1213,$A307,$S$14:$S$1213,"&gt;"&amp;$S307)+(COUNTIFS($A$14:$A$1213,$A307,$S$14:$S$1213,"="&amp;$S307)+1)/2,"")</f>
        <v/>
      </c>
      <c r="AG307" s="27">
        <f>IF(ISNUMBER($T307),COUNTIFS($A$14:$A$1213,$A307,$T$14:$T$1213,"&gt;"&amp;$T307)+(COUNTIFS($A$14:$A$1213,$A307,$T$14:$T$1213,"="&amp;$T307)+1)/2,"")</f>
        <v/>
      </c>
      <c r="AH307" s="27">
        <f>IF(COUNT($AC307:$AG307)&lt;2,"",IF(MAX($AC307:$AG307)=MIN($AC307:$AG307),0,1))</f>
        <v/>
      </c>
      <c r="AI307" s="27">
        <f>IF($A307="","",IF(COUNTIF($A$14:$A307,$A307)=1,COUNTIF($AI$13:AI306,"&gt;0")+1,""))</f>
        <v/>
      </c>
      <c r="AJ307" s="27">
        <f>IF(OR($H307="",COUNTIFS($A$14:$A$1213,$H307,$F$14:$F$1213,"&gt;=0")&lt;2,COUNTIFS($A$14:$A$1213,$H307,$F$14:$F$1213,_xlfn.MAXIFS($F$14:$F$1213,$A$14:$A$1213,$H307))&gt;1),"",IFERROR(INDEX($D$14:$D$1213,MATCH($H307&amp;"|"&amp;_xlfn.MAXIFS($F$14:$F$1213,$A$14:$A$1213,$H307),$AB$14:$AB$1213,0)),""))</f>
        <v/>
      </c>
      <c r="AK307" s="27">
        <f>IF(OR($H307="",COUNTIFS($A$14:$A$1213,$H307,$F$14:$F$1213,"&gt;=0")&lt;2,COUNTIFS($A$14:$A$1213,$H307,$F$14:$F$1213,_xlfn.MAXIFS($F$14:$F$1213,$A$14:$A$1213,$H307))&gt;1),"",IFERROR(INDEX($E$14:$E$1213,MATCH($H307&amp;"|"&amp;_xlfn.MAXIFS($F$14:$F$1213,$A$14:$A$1213,$H307),$AB$14:$AB$1213,0)),""))</f>
        <v/>
      </c>
      <c r="AL307" s="27">
        <f>IF(OR($H307="",COUNTIFS($A$14:$A$1213,$H307,$F$14:$F$1213,"&gt;=0")&lt;2,COUNTIFS($A$14:$A$1213,$H307,$F$14:$F$1213,_xlfn.MAXIFS($F$14:$F$1213,$A$14:$A$1213,$H307))&gt;1),"",IFERROR(INDEX($D$14:$D$1213,MATCH($H307&amp;"|"&amp;_xlfn.MAXIFS($F$14:$F$1213,$A$14:$A$1213,$H307,$F$14:$F$1213,"&lt;"&amp;_xlfn.MAXIFS($F$14:$F$1213,$A$14:$A$1213,$H307)),$AB$14:$AB$1213,0)),""))</f>
        <v/>
      </c>
      <c r="AM307" s="27">
        <f>IF(OR($H307="",COUNTIFS($A$14:$A$1213,$H307,$F$14:$F$1213,"&gt;=0")&lt;2,COUNTIFS($A$14:$A$1213,$H307,$F$14:$F$1213,_xlfn.MAXIFS($F$14:$F$1213,$A$14:$A$1213,$H307))&gt;1),"",IFERROR(INDEX($E$14:$E$1213,MATCH($H307&amp;"|"&amp;_xlfn.MAXIFS($F$14:$F$1213,$A$14:$A$1213,$H307,$F$14:$F$1213,"&lt;"&amp;_xlfn.MAXIFS($F$14:$F$1213,$A$14:$A$1213,$H307)),$AB$14:$AB$1213,0)),""))</f>
        <v/>
      </c>
      <c r="AN307" s="27">
        <f>IF(OR(NOT(ISNUMBER($AJ307)),NOT(ISNUMBER($AL307)),$AK307=0,$AM307=0),"",IF(OR((($AJ307+$AL307)/($AK307+$AM307))&lt;=0,(($AJ307+$AL307)/($AK307+$AM307))&gt;=1),"",($AJ307/$AK307-$AL307/$AM307)/SQRT((($AJ307+$AL307)/($AK307+$AM307))*(1-(($AJ307+$AL307)/($AK307+$AM307)))*(1/$AK307+1/$AM307))))</f>
        <v/>
      </c>
      <c r="AO307" s="27">
        <f>IF($A307="","",IF(AND(COUNTIFS($A$14:$A$1213,$A307,$F$14:$F$1213,"&gt;=0")=2,IFERROR(INDEX($M$14:$M$313,MATCH($A307,$H$14:$H$313,0)),"Yes")&lt;&gt;"Yes"),1,0))</f>
        <v/>
      </c>
    </row>
    <row r="308" ht="24" customHeight="1">
      <c r="A308" s="19" t="n"/>
      <c r="B308" s="20" t="n"/>
      <c r="C308" s="21">
        <f>IFERROR(AVERAGE(P308:T308),"")</f>
        <v/>
      </c>
      <c r="D308" s="29" t="n"/>
      <c r="E308" s="29" t="n"/>
      <c r="F308" s="30">
        <f>IF(AND(ISNUMBER($D308),ISNUMBER($E308),$E308&gt;0,$D308&lt;=$E308),$D308/$E308,"")</f>
        <v/>
      </c>
      <c r="H308" s="19">
        <f>IFERROR(INDEX($A$14:$A$1213,MATCH(295,$AI$14:$AI$1213,0)),"")</f>
        <v/>
      </c>
      <c r="I308" s="24">
        <f>IF($H308="","",IF(COUNTIFS($A$14:$A$1213,$H308,$C$14:$C$1213,"&gt;=0")=0,"—",IFERROR(INDEX($B$14:$B$1213,MATCH($H308&amp;"|1",$Z$14:$Z$1213,0)),"(tied)")))</f>
        <v/>
      </c>
      <c r="J308" s="25">
        <f>IF($H308="","",IF(OR(COUNTIFS($A$14:$A$1213,$H308,$C$14:$C$1213,"&gt;=0")=0,COUNTIFS($A$14:$A$1213,$H308,$F$14:$F$1213,"&gt;=0")=0),"—",IF(OR(ISERROR(MATCH($H308&amp;"|1",$Z$14:$Z$1213,0)),ISERROR(MATCH($H308&amp;"|1",$AA$14:$AA$1213,0))),"Tie",IF(MATCH($H308&amp;"|1",$Z$14:$Z$1213,0)=MATCH($H308&amp;"|1",$AA$14:$AA$1213,0),"Hit","Miss"))))</f>
        <v/>
      </c>
      <c r="K308" s="24">
        <f>IF($H308="","",IF(COUNTIFS($A$14:$A$1213,$H308,$F$14:$F$1213,"&gt;=0")=0,"—",IFERROR(INDEX($B$14:$B$1213,MATCH($H308&amp;"|1",$AA$14:$AA$1213,0)),"(tied)")))</f>
        <v/>
      </c>
      <c r="L308" s="25">
        <f>IF($H308="","",IF((--(COUNTIFS($A$14:$A$1213,$H308,$P$14:$P$1213,"&gt;=0")&gt;0)+--(COUNTIFS($A$14:$A$1213,$H308,$Q$14:$Q$1213,"&gt;=0")&gt;0)+--(COUNTIFS($A$14:$A$1213,$H308,$R$14:$R$1213,"&gt;=0")&gt;0)+--(COUNTIFS($A$14:$A$1213,$H308,$S$14:$S$1213,"&gt;=0")&gt;0)+--(COUNTIFS($A$14:$A$1213,$H308,$T$14:$T$1213,"&gt;=0")&gt;0))&lt;2,"—",IF(SUMIFS($AH$14:$AH$1213,$A$14:$A$1213,$H308)=0,"Yes","No")))</f>
        <v/>
      </c>
      <c r="M308" s="25">
        <f>IF($H308="","",IF(COUNTIFS($A$14:$A$1213,$H308,$F$14:$F$1213,"&gt;=0")&lt;2,"—",IF(COUNTIFS($A$14:$A$1213,$H308,$F$14:$F$1213,_xlfn.MAXIFS($F$14:$F$1213,$A$14:$A$1213,$H308))&gt;1,"No",IF(NOT(ISNUMBER($AN308)),"—",IF((2*(1-NORMSDIST(ABS($AN308))))&lt;0.05,"Yes","No")))))</f>
        <v/>
      </c>
      <c r="N308" s="21">
        <f>IF($H308="","",IF(NOT(ISNUMBER($AN308)),"—",IF((2*(1-NORMSDIST(ABS($AN308))))&lt;0.001,"&lt;0.001",TEXT((2*(1-NORMSDIST(ABS($AN308)))),"0.000"))))</f>
        <v/>
      </c>
      <c r="P308" s="26" t="n"/>
      <c r="Q308" s="26" t="n"/>
      <c r="R308" s="26" t="n"/>
      <c r="S308" s="26" t="n"/>
      <c r="T308" s="26" t="n"/>
      <c r="V308" s="27">
        <f>IF(ISNUMBER($C308),COUNTIFS($A$14:$A$1213,$A308,$C$14:$C$1213,"&gt;"&amp;$C308)+(COUNTIFS($A$14:$A$1213,$A308,$C$14:$C$1213,"="&amp;$C308)+1)/2,"")</f>
        <v/>
      </c>
      <c r="W308" s="27">
        <f>IF(ISNUMBER($F308),COUNTIFS($A$14:$A$1213,$A308,$F$14:$F$1213,"&gt;"&amp;$F308)+(COUNTIFS($A$14:$A$1213,$A308,$F$14:$F$1213,"="&amp;$F308)+1)/2,"")</f>
        <v/>
      </c>
      <c r="X308" s="27">
        <f>IF(OR(NOT(ISNUMBER($V308)),$AO308=1),"",$V308-(COUNTIFS($A$14:$A$1213,$A308,$C$14:$C$1213,"&gt;=0")+1)/2)</f>
        <v/>
      </c>
      <c r="Y308" s="27">
        <f>IF(OR(NOT(ISNUMBER($W308)),$AO308=1),"",$W308-(COUNTIFS($A$14:$A$1213,$A308,$F$14:$F$1213,"&gt;=0")+1)/2)</f>
        <v/>
      </c>
      <c r="Z308" s="27">
        <f>IF(ISNUMBER($V308),$A308&amp;"|"&amp;$V308,"")</f>
        <v/>
      </c>
      <c r="AA308" s="27">
        <f>IF(ISNUMBER($W308),$A308&amp;"|"&amp;$W308,"")</f>
        <v/>
      </c>
      <c r="AB308" s="27">
        <f>IF(ISNUMBER($F308),$A308&amp;"|"&amp;$F308,"")</f>
        <v/>
      </c>
      <c r="AC308" s="27">
        <f>IF(ISNUMBER($P308),COUNTIFS($A$14:$A$1213,$A308,$P$14:$P$1213,"&gt;"&amp;$P308)+(COUNTIFS($A$14:$A$1213,$A308,$P$14:$P$1213,"="&amp;$P308)+1)/2,"")</f>
        <v/>
      </c>
      <c r="AD308" s="27">
        <f>IF(ISNUMBER($Q308),COUNTIFS($A$14:$A$1213,$A308,$Q$14:$Q$1213,"&gt;"&amp;$Q308)+(COUNTIFS($A$14:$A$1213,$A308,$Q$14:$Q$1213,"="&amp;$Q308)+1)/2,"")</f>
        <v/>
      </c>
      <c r="AE308" s="27">
        <f>IF(ISNUMBER($R308),COUNTIFS($A$14:$A$1213,$A308,$R$14:$R$1213,"&gt;"&amp;$R308)+(COUNTIFS($A$14:$A$1213,$A308,$R$14:$R$1213,"="&amp;$R308)+1)/2,"")</f>
        <v/>
      </c>
      <c r="AF308" s="27">
        <f>IF(ISNUMBER($S308),COUNTIFS($A$14:$A$1213,$A308,$S$14:$S$1213,"&gt;"&amp;$S308)+(COUNTIFS($A$14:$A$1213,$A308,$S$14:$S$1213,"="&amp;$S308)+1)/2,"")</f>
        <v/>
      </c>
      <c r="AG308" s="27">
        <f>IF(ISNUMBER($T308),COUNTIFS($A$14:$A$1213,$A308,$T$14:$T$1213,"&gt;"&amp;$T308)+(COUNTIFS($A$14:$A$1213,$A308,$T$14:$T$1213,"="&amp;$T308)+1)/2,"")</f>
        <v/>
      </c>
      <c r="AH308" s="27">
        <f>IF(COUNT($AC308:$AG308)&lt;2,"",IF(MAX($AC308:$AG308)=MIN($AC308:$AG308),0,1))</f>
        <v/>
      </c>
      <c r="AI308" s="27">
        <f>IF($A308="","",IF(COUNTIF($A$14:$A308,$A308)=1,COUNTIF($AI$13:AI307,"&gt;0")+1,""))</f>
        <v/>
      </c>
      <c r="AJ308" s="27">
        <f>IF(OR($H308="",COUNTIFS($A$14:$A$1213,$H308,$F$14:$F$1213,"&gt;=0")&lt;2,COUNTIFS($A$14:$A$1213,$H308,$F$14:$F$1213,_xlfn.MAXIFS($F$14:$F$1213,$A$14:$A$1213,$H308))&gt;1),"",IFERROR(INDEX($D$14:$D$1213,MATCH($H308&amp;"|"&amp;_xlfn.MAXIFS($F$14:$F$1213,$A$14:$A$1213,$H308),$AB$14:$AB$1213,0)),""))</f>
        <v/>
      </c>
      <c r="AK308" s="27">
        <f>IF(OR($H308="",COUNTIFS($A$14:$A$1213,$H308,$F$14:$F$1213,"&gt;=0")&lt;2,COUNTIFS($A$14:$A$1213,$H308,$F$14:$F$1213,_xlfn.MAXIFS($F$14:$F$1213,$A$14:$A$1213,$H308))&gt;1),"",IFERROR(INDEX($E$14:$E$1213,MATCH($H308&amp;"|"&amp;_xlfn.MAXIFS($F$14:$F$1213,$A$14:$A$1213,$H308),$AB$14:$AB$1213,0)),""))</f>
        <v/>
      </c>
      <c r="AL308" s="27">
        <f>IF(OR($H308="",COUNTIFS($A$14:$A$1213,$H308,$F$14:$F$1213,"&gt;=0")&lt;2,COUNTIFS($A$14:$A$1213,$H308,$F$14:$F$1213,_xlfn.MAXIFS($F$14:$F$1213,$A$14:$A$1213,$H308))&gt;1),"",IFERROR(INDEX($D$14:$D$1213,MATCH($H308&amp;"|"&amp;_xlfn.MAXIFS($F$14:$F$1213,$A$14:$A$1213,$H308,$F$14:$F$1213,"&lt;"&amp;_xlfn.MAXIFS($F$14:$F$1213,$A$14:$A$1213,$H308)),$AB$14:$AB$1213,0)),""))</f>
        <v/>
      </c>
      <c r="AM308" s="27">
        <f>IF(OR($H308="",COUNTIFS($A$14:$A$1213,$H308,$F$14:$F$1213,"&gt;=0")&lt;2,COUNTIFS($A$14:$A$1213,$H308,$F$14:$F$1213,_xlfn.MAXIFS($F$14:$F$1213,$A$14:$A$1213,$H308))&gt;1),"",IFERROR(INDEX($E$14:$E$1213,MATCH($H308&amp;"|"&amp;_xlfn.MAXIFS($F$14:$F$1213,$A$14:$A$1213,$H308,$F$14:$F$1213,"&lt;"&amp;_xlfn.MAXIFS($F$14:$F$1213,$A$14:$A$1213,$H308)),$AB$14:$AB$1213,0)),""))</f>
        <v/>
      </c>
      <c r="AN308" s="27">
        <f>IF(OR(NOT(ISNUMBER($AJ308)),NOT(ISNUMBER($AL308)),$AK308=0,$AM308=0),"",IF(OR((($AJ308+$AL308)/($AK308+$AM308))&lt;=0,(($AJ308+$AL308)/($AK308+$AM308))&gt;=1),"",($AJ308/$AK308-$AL308/$AM308)/SQRT((($AJ308+$AL308)/($AK308+$AM308))*(1-(($AJ308+$AL308)/($AK308+$AM308)))*(1/$AK308+1/$AM308))))</f>
        <v/>
      </c>
      <c r="AO308" s="27">
        <f>IF($A308="","",IF(AND(COUNTIFS($A$14:$A$1213,$A308,$F$14:$F$1213,"&gt;=0")=2,IFERROR(INDEX($M$14:$M$313,MATCH($A308,$H$14:$H$313,0)),"Yes")&lt;&gt;"Yes"),1,0))</f>
        <v/>
      </c>
    </row>
    <row r="309" ht="24" customHeight="1">
      <c r="A309" s="19" t="n"/>
      <c r="B309" s="20" t="n"/>
      <c r="C309" s="21">
        <f>IFERROR(AVERAGE(P309:T309),"")</f>
        <v/>
      </c>
      <c r="D309" s="29" t="n"/>
      <c r="E309" s="29" t="n"/>
      <c r="F309" s="30">
        <f>IF(AND(ISNUMBER($D309),ISNUMBER($E309),$E309&gt;0,$D309&lt;=$E309),$D309/$E309,"")</f>
        <v/>
      </c>
      <c r="H309" s="19">
        <f>IFERROR(INDEX($A$14:$A$1213,MATCH(296,$AI$14:$AI$1213,0)),"")</f>
        <v/>
      </c>
      <c r="I309" s="24">
        <f>IF($H309="","",IF(COUNTIFS($A$14:$A$1213,$H309,$C$14:$C$1213,"&gt;=0")=0,"—",IFERROR(INDEX($B$14:$B$1213,MATCH($H309&amp;"|1",$Z$14:$Z$1213,0)),"(tied)")))</f>
        <v/>
      </c>
      <c r="J309" s="25">
        <f>IF($H309="","",IF(OR(COUNTIFS($A$14:$A$1213,$H309,$C$14:$C$1213,"&gt;=0")=0,COUNTIFS($A$14:$A$1213,$H309,$F$14:$F$1213,"&gt;=0")=0),"—",IF(OR(ISERROR(MATCH($H309&amp;"|1",$Z$14:$Z$1213,0)),ISERROR(MATCH($H309&amp;"|1",$AA$14:$AA$1213,0))),"Tie",IF(MATCH($H309&amp;"|1",$Z$14:$Z$1213,0)=MATCH($H309&amp;"|1",$AA$14:$AA$1213,0),"Hit","Miss"))))</f>
        <v/>
      </c>
      <c r="K309" s="24">
        <f>IF($H309="","",IF(COUNTIFS($A$14:$A$1213,$H309,$F$14:$F$1213,"&gt;=0")=0,"—",IFERROR(INDEX($B$14:$B$1213,MATCH($H309&amp;"|1",$AA$14:$AA$1213,0)),"(tied)")))</f>
        <v/>
      </c>
      <c r="L309" s="25">
        <f>IF($H309="","",IF((--(COUNTIFS($A$14:$A$1213,$H309,$P$14:$P$1213,"&gt;=0")&gt;0)+--(COUNTIFS($A$14:$A$1213,$H309,$Q$14:$Q$1213,"&gt;=0")&gt;0)+--(COUNTIFS($A$14:$A$1213,$H309,$R$14:$R$1213,"&gt;=0")&gt;0)+--(COUNTIFS($A$14:$A$1213,$H309,$S$14:$S$1213,"&gt;=0")&gt;0)+--(COUNTIFS($A$14:$A$1213,$H309,$T$14:$T$1213,"&gt;=0")&gt;0))&lt;2,"—",IF(SUMIFS($AH$14:$AH$1213,$A$14:$A$1213,$H309)=0,"Yes","No")))</f>
        <v/>
      </c>
      <c r="M309" s="25">
        <f>IF($H309="","",IF(COUNTIFS($A$14:$A$1213,$H309,$F$14:$F$1213,"&gt;=0")&lt;2,"—",IF(COUNTIFS($A$14:$A$1213,$H309,$F$14:$F$1213,_xlfn.MAXIFS($F$14:$F$1213,$A$14:$A$1213,$H309))&gt;1,"No",IF(NOT(ISNUMBER($AN309)),"—",IF((2*(1-NORMSDIST(ABS($AN309))))&lt;0.05,"Yes","No")))))</f>
        <v/>
      </c>
      <c r="N309" s="21">
        <f>IF($H309="","",IF(NOT(ISNUMBER($AN309)),"—",IF((2*(1-NORMSDIST(ABS($AN309))))&lt;0.001,"&lt;0.001",TEXT((2*(1-NORMSDIST(ABS($AN309)))),"0.000"))))</f>
        <v/>
      </c>
      <c r="P309" s="26" t="n"/>
      <c r="Q309" s="26" t="n"/>
      <c r="R309" s="26" t="n"/>
      <c r="S309" s="26" t="n"/>
      <c r="T309" s="26" t="n"/>
      <c r="V309" s="27">
        <f>IF(ISNUMBER($C309),COUNTIFS($A$14:$A$1213,$A309,$C$14:$C$1213,"&gt;"&amp;$C309)+(COUNTIFS($A$14:$A$1213,$A309,$C$14:$C$1213,"="&amp;$C309)+1)/2,"")</f>
        <v/>
      </c>
      <c r="W309" s="27">
        <f>IF(ISNUMBER($F309),COUNTIFS($A$14:$A$1213,$A309,$F$14:$F$1213,"&gt;"&amp;$F309)+(COUNTIFS($A$14:$A$1213,$A309,$F$14:$F$1213,"="&amp;$F309)+1)/2,"")</f>
        <v/>
      </c>
      <c r="X309" s="27">
        <f>IF(OR(NOT(ISNUMBER($V309)),$AO309=1),"",$V309-(COUNTIFS($A$14:$A$1213,$A309,$C$14:$C$1213,"&gt;=0")+1)/2)</f>
        <v/>
      </c>
      <c r="Y309" s="27">
        <f>IF(OR(NOT(ISNUMBER($W309)),$AO309=1),"",$W309-(COUNTIFS($A$14:$A$1213,$A309,$F$14:$F$1213,"&gt;=0")+1)/2)</f>
        <v/>
      </c>
      <c r="Z309" s="27">
        <f>IF(ISNUMBER($V309),$A309&amp;"|"&amp;$V309,"")</f>
        <v/>
      </c>
      <c r="AA309" s="27">
        <f>IF(ISNUMBER($W309),$A309&amp;"|"&amp;$W309,"")</f>
        <v/>
      </c>
      <c r="AB309" s="27">
        <f>IF(ISNUMBER($F309),$A309&amp;"|"&amp;$F309,"")</f>
        <v/>
      </c>
      <c r="AC309" s="27">
        <f>IF(ISNUMBER($P309),COUNTIFS($A$14:$A$1213,$A309,$P$14:$P$1213,"&gt;"&amp;$P309)+(COUNTIFS($A$14:$A$1213,$A309,$P$14:$P$1213,"="&amp;$P309)+1)/2,"")</f>
        <v/>
      </c>
      <c r="AD309" s="27">
        <f>IF(ISNUMBER($Q309),COUNTIFS($A$14:$A$1213,$A309,$Q$14:$Q$1213,"&gt;"&amp;$Q309)+(COUNTIFS($A$14:$A$1213,$A309,$Q$14:$Q$1213,"="&amp;$Q309)+1)/2,"")</f>
        <v/>
      </c>
      <c r="AE309" s="27">
        <f>IF(ISNUMBER($R309),COUNTIFS($A$14:$A$1213,$A309,$R$14:$R$1213,"&gt;"&amp;$R309)+(COUNTIFS($A$14:$A$1213,$A309,$R$14:$R$1213,"="&amp;$R309)+1)/2,"")</f>
        <v/>
      </c>
      <c r="AF309" s="27">
        <f>IF(ISNUMBER($S309),COUNTIFS($A$14:$A$1213,$A309,$S$14:$S$1213,"&gt;"&amp;$S309)+(COUNTIFS($A$14:$A$1213,$A309,$S$14:$S$1213,"="&amp;$S309)+1)/2,"")</f>
        <v/>
      </c>
      <c r="AG309" s="27">
        <f>IF(ISNUMBER($T309),COUNTIFS($A$14:$A$1213,$A309,$T$14:$T$1213,"&gt;"&amp;$T309)+(COUNTIFS($A$14:$A$1213,$A309,$T$14:$T$1213,"="&amp;$T309)+1)/2,"")</f>
        <v/>
      </c>
      <c r="AH309" s="27">
        <f>IF(COUNT($AC309:$AG309)&lt;2,"",IF(MAX($AC309:$AG309)=MIN($AC309:$AG309),0,1))</f>
        <v/>
      </c>
      <c r="AI309" s="27">
        <f>IF($A309="","",IF(COUNTIF($A$14:$A309,$A309)=1,COUNTIF($AI$13:AI308,"&gt;0")+1,""))</f>
        <v/>
      </c>
      <c r="AJ309" s="27">
        <f>IF(OR($H309="",COUNTIFS($A$14:$A$1213,$H309,$F$14:$F$1213,"&gt;=0")&lt;2,COUNTIFS($A$14:$A$1213,$H309,$F$14:$F$1213,_xlfn.MAXIFS($F$14:$F$1213,$A$14:$A$1213,$H309))&gt;1),"",IFERROR(INDEX($D$14:$D$1213,MATCH($H309&amp;"|"&amp;_xlfn.MAXIFS($F$14:$F$1213,$A$14:$A$1213,$H309),$AB$14:$AB$1213,0)),""))</f>
        <v/>
      </c>
      <c r="AK309" s="27">
        <f>IF(OR($H309="",COUNTIFS($A$14:$A$1213,$H309,$F$14:$F$1213,"&gt;=0")&lt;2,COUNTIFS($A$14:$A$1213,$H309,$F$14:$F$1213,_xlfn.MAXIFS($F$14:$F$1213,$A$14:$A$1213,$H309))&gt;1),"",IFERROR(INDEX($E$14:$E$1213,MATCH($H309&amp;"|"&amp;_xlfn.MAXIFS($F$14:$F$1213,$A$14:$A$1213,$H309),$AB$14:$AB$1213,0)),""))</f>
        <v/>
      </c>
      <c r="AL309" s="27">
        <f>IF(OR($H309="",COUNTIFS($A$14:$A$1213,$H309,$F$14:$F$1213,"&gt;=0")&lt;2,COUNTIFS($A$14:$A$1213,$H309,$F$14:$F$1213,_xlfn.MAXIFS($F$14:$F$1213,$A$14:$A$1213,$H309))&gt;1),"",IFERROR(INDEX($D$14:$D$1213,MATCH($H309&amp;"|"&amp;_xlfn.MAXIFS($F$14:$F$1213,$A$14:$A$1213,$H309,$F$14:$F$1213,"&lt;"&amp;_xlfn.MAXIFS($F$14:$F$1213,$A$14:$A$1213,$H309)),$AB$14:$AB$1213,0)),""))</f>
        <v/>
      </c>
      <c r="AM309" s="27">
        <f>IF(OR($H309="",COUNTIFS($A$14:$A$1213,$H309,$F$14:$F$1213,"&gt;=0")&lt;2,COUNTIFS($A$14:$A$1213,$H309,$F$14:$F$1213,_xlfn.MAXIFS($F$14:$F$1213,$A$14:$A$1213,$H309))&gt;1),"",IFERROR(INDEX($E$14:$E$1213,MATCH($H309&amp;"|"&amp;_xlfn.MAXIFS($F$14:$F$1213,$A$14:$A$1213,$H309,$F$14:$F$1213,"&lt;"&amp;_xlfn.MAXIFS($F$14:$F$1213,$A$14:$A$1213,$H309)),$AB$14:$AB$1213,0)),""))</f>
        <v/>
      </c>
      <c r="AN309" s="27">
        <f>IF(OR(NOT(ISNUMBER($AJ309)),NOT(ISNUMBER($AL309)),$AK309=0,$AM309=0),"",IF(OR((($AJ309+$AL309)/($AK309+$AM309))&lt;=0,(($AJ309+$AL309)/($AK309+$AM309))&gt;=1),"",($AJ309/$AK309-$AL309/$AM309)/SQRT((($AJ309+$AL309)/($AK309+$AM309))*(1-(($AJ309+$AL309)/($AK309+$AM309)))*(1/$AK309+1/$AM309))))</f>
        <v/>
      </c>
      <c r="AO309" s="27">
        <f>IF($A309="","",IF(AND(COUNTIFS($A$14:$A$1213,$A309,$F$14:$F$1213,"&gt;=0")=2,IFERROR(INDEX($M$14:$M$313,MATCH($A309,$H$14:$H$313,0)),"Yes")&lt;&gt;"Yes"),1,0))</f>
        <v/>
      </c>
    </row>
    <row r="310" ht="24" customHeight="1">
      <c r="A310" s="19" t="n"/>
      <c r="B310" s="20" t="n"/>
      <c r="C310" s="21">
        <f>IFERROR(AVERAGE(P310:T310),"")</f>
        <v/>
      </c>
      <c r="D310" s="29" t="n"/>
      <c r="E310" s="29" t="n"/>
      <c r="F310" s="30">
        <f>IF(AND(ISNUMBER($D310),ISNUMBER($E310),$E310&gt;0,$D310&lt;=$E310),$D310/$E310,"")</f>
        <v/>
      </c>
      <c r="H310" s="19">
        <f>IFERROR(INDEX($A$14:$A$1213,MATCH(297,$AI$14:$AI$1213,0)),"")</f>
        <v/>
      </c>
      <c r="I310" s="24">
        <f>IF($H310="","",IF(COUNTIFS($A$14:$A$1213,$H310,$C$14:$C$1213,"&gt;=0")=0,"—",IFERROR(INDEX($B$14:$B$1213,MATCH($H310&amp;"|1",$Z$14:$Z$1213,0)),"(tied)")))</f>
        <v/>
      </c>
      <c r="J310" s="25">
        <f>IF($H310="","",IF(OR(COUNTIFS($A$14:$A$1213,$H310,$C$14:$C$1213,"&gt;=0")=0,COUNTIFS($A$14:$A$1213,$H310,$F$14:$F$1213,"&gt;=0")=0),"—",IF(OR(ISERROR(MATCH($H310&amp;"|1",$Z$14:$Z$1213,0)),ISERROR(MATCH($H310&amp;"|1",$AA$14:$AA$1213,0))),"Tie",IF(MATCH($H310&amp;"|1",$Z$14:$Z$1213,0)=MATCH($H310&amp;"|1",$AA$14:$AA$1213,0),"Hit","Miss"))))</f>
        <v/>
      </c>
      <c r="K310" s="24">
        <f>IF($H310="","",IF(COUNTIFS($A$14:$A$1213,$H310,$F$14:$F$1213,"&gt;=0")=0,"—",IFERROR(INDEX($B$14:$B$1213,MATCH($H310&amp;"|1",$AA$14:$AA$1213,0)),"(tied)")))</f>
        <v/>
      </c>
      <c r="L310" s="25">
        <f>IF($H310="","",IF((--(COUNTIFS($A$14:$A$1213,$H310,$P$14:$P$1213,"&gt;=0")&gt;0)+--(COUNTIFS($A$14:$A$1213,$H310,$Q$14:$Q$1213,"&gt;=0")&gt;0)+--(COUNTIFS($A$14:$A$1213,$H310,$R$14:$R$1213,"&gt;=0")&gt;0)+--(COUNTIFS($A$14:$A$1213,$H310,$S$14:$S$1213,"&gt;=0")&gt;0)+--(COUNTIFS($A$14:$A$1213,$H310,$T$14:$T$1213,"&gt;=0")&gt;0))&lt;2,"—",IF(SUMIFS($AH$14:$AH$1213,$A$14:$A$1213,$H310)=0,"Yes","No")))</f>
        <v/>
      </c>
      <c r="M310" s="25">
        <f>IF($H310="","",IF(COUNTIFS($A$14:$A$1213,$H310,$F$14:$F$1213,"&gt;=0")&lt;2,"—",IF(COUNTIFS($A$14:$A$1213,$H310,$F$14:$F$1213,_xlfn.MAXIFS($F$14:$F$1213,$A$14:$A$1213,$H310))&gt;1,"No",IF(NOT(ISNUMBER($AN310)),"—",IF((2*(1-NORMSDIST(ABS($AN310))))&lt;0.05,"Yes","No")))))</f>
        <v/>
      </c>
      <c r="N310" s="21">
        <f>IF($H310="","",IF(NOT(ISNUMBER($AN310)),"—",IF((2*(1-NORMSDIST(ABS($AN310))))&lt;0.001,"&lt;0.001",TEXT((2*(1-NORMSDIST(ABS($AN310)))),"0.000"))))</f>
        <v/>
      </c>
      <c r="P310" s="26" t="n"/>
      <c r="Q310" s="26" t="n"/>
      <c r="R310" s="26" t="n"/>
      <c r="S310" s="26" t="n"/>
      <c r="T310" s="26" t="n"/>
      <c r="V310" s="27">
        <f>IF(ISNUMBER($C310),COUNTIFS($A$14:$A$1213,$A310,$C$14:$C$1213,"&gt;"&amp;$C310)+(COUNTIFS($A$14:$A$1213,$A310,$C$14:$C$1213,"="&amp;$C310)+1)/2,"")</f>
        <v/>
      </c>
      <c r="W310" s="27">
        <f>IF(ISNUMBER($F310),COUNTIFS($A$14:$A$1213,$A310,$F$14:$F$1213,"&gt;"&amp;$F310)+(COUNTIFS($A$14:$A$1213,$A310,$F$14:$F$1213,"="&amp;$F310)+1)/2,"")</f>
        <v/>
      </c>
      <c r="X310" s="27">
        <f>IF(OR(NOT(ISNUMBER($V310)),$AO310=1),"",$V310-(COUNTIFS($A$14:$A$1213,$A310,$C$14:$C$1213,"&gt;=0")+1)/2)</f>
        <v/>
      </c>
      <c r="Y310" s="27">
        <f>IF(OR(NOT(ISNUMBER($W310)),$AO310=1),"",$W310-(COUNTIFS($A$14:$A$1213,$A310,$F$14:$F$1213,"&gt;=0")+1)/2)</f>
        <v/>
      </c>
      <c r="Z310" s="27">
        <f>IF(ISNUMBER($V310),$A310&amp;"|"&amp;$V310,"")</f>
        <v/>
      </c>
      <c r="AA310" s="27">
        <f>IF(ISNUMBER($W310),$A310&amp;"|"&amp;$W310,"")</f>
        <v/>
      </c>
      <c r="AB310" s="27">
        <f>IF(ISNUMBER($F310),$A310&amp;"|"&amp;$F310,"")</f>
        <v/>
      </c>
      <c r="AC310" s="27">
        <f>IF(ISNUMBER($P310),COUNTIFS($A$14:$A$1213,$A310,$P$14:$P$1213,"&gt;"&amp;$P310)+(COUNTIFS($A$14:$A$1213,$A310,$P$14:$P$1213,"="&amp;$P310)+1)/2,"")</f>
        <v/>
      </c>
      <c r="AD310" s="27">
        <f>IF(ISNUMBER($Q310),COUNTIFS($A$14:$A$1213,$A310,$Q$14:$Q$1213,"&gt;"&amp;$Q310)+(COUNTIFS($A$14:$A$1213,$A310,$Q$14:$Q$1213,"="&amp;$Q310)+1)/2,"")</f>
        <v/>
      </c>
      <c r="AE310" s="27">
        <f>IF(ISNUMBER($R310),COUNTIFS($A$14:$A$1213,$A310,$R$14:$R$1213,"&gt;"&amp;$R310)+(COUNTIFS($A$14:$A$1213,$A310,$R$14:$R$1213,"="&amp;$R310)+1)/2,"")</f>
        <v/>
      </c>
      <c r="AF310" s="27">
        <f>IF(ISNUMBER($S310),COUNTIFS($A$14:$A$1213,$A310,$S$14:$S$1213,"&gt;"&amp;$S310)+(COUNTIFS($A$14:$A$1213,$A310,$S$14:$S$1213,"="&amp;$S310)+1)/2,"")</f>
        <v/>
      </c>
      <c r="AG310" s="27">
        <f>IF(ISNUMBER($T310),COUNTIFS($A$14:$A$1213,$A310,$T$14:$T$1213,"&gt;"&amp;$T310)+(COUNTIFS($A$14:$A$1213,$A310,$T$14:$T$1213,"="&amp;$T310)+1)/2,"")</f>
        <v/>
      </c>
      <c r="AH310" s="27">
        <f>IF(COUNT($AC310:$AG310)&lt;2,"",IF(MAX($AC310:$AG310)=MIN($AC310:$AG310),0,1))</f>
        <v/>
      </c>
      <c r="AI310" s="27">
        <f>IF($A310="","",IF(COUNTIF($A$14:$A310,$A310)=1,COUNTIF($AI$13:AI309,"&gt;0")+1,""))</f>
        <v/>
      </c>
      <c r="AJ310" s="27">
        <f>IF(OR($H310="",COUNTIFS($A$14:$A$1213,$H310,$F$14:$F$1213,"&gt;=0")&lt;2,COUNTIFS($A$14:$A$1213,$H310,$F$14:$F$1213,_xlfn.MAXIFS($F$14:$F$1213,$A$14:$A$1213,$H310))&gt;1),"",IFERROR(INDEX($D$14:$D$1213,MATCH($H310&amp;"|"&amp;_xlfn.MAXIFS($F$14:$F$1213,$A$14:$A$1213,$H310),$AB$14:$AB$1213,0)),""))</f>
        <v/>
      </c>
      <c r="AK310" s="27">
        <f>IF(OR($H310="",COUNTIFS($A$14:$A$1213,$H310,$F$14:$F$1213,"&gt;=0")&lt;2,COUNTIFS($A$14:$A$1213,$H310,$F$14:$F$1213,_xlfn.MAXIFS($F$14:$F$1213,$A$14:$A$1213,$H310))&gt;1),"",IFERROR(INDEX($E$14:$E$1213,MATCH($H310&amp;"|"&amp;_xlfn.MAXIFS($F$14:$F$1213,$A$14:$A$1213,$H310),$AB$14:$AB$1213,0)),""))</f>
        <v/>
      </c>
      <c r="AL310" s="27">
        <f>IF(OR($H310="",COUNTIFS($A$14:$A$1213,$H310,$F$14:$F$1213,"&gt;=0")&lt;2,COUNTIFS($A$14:$A$1213,$H310,$F$14:$F$1213,_xlfn.MAXIFS($F$14:$F$1213,$A$14:$A$1213,$H310))&gt;1),"",IFERROR(INDEX($D$14:$D$1213,MATCH($H310&amp;"|"&amp;_xlfn.MAXIFS($F$14:$F$1213,$A$14:$A$1213,$H310,$F$14:$F$1213,"&lt;"&amp;_xlfn.MAXIFS($F$14:$F$1213,$A$14:$A$1213,$H310)),$AB$14:$AB$1213,0)),""))</f>
        <v/>
      </c>
      <c r="AM310" s="27">
        <f>IF(OR($H310="",COUNTIFS($A$14:$A$1213,$H310,$F$14:$F$1213,"&gt;=0")&lt;2,COUNTIFS($A$14:$A$1213,$H310,$F$14:$F$1213,_xlfn.MAXIFS($F$14:$F$1213,$A$14:$A$1213,$H310))&gt;1),"",IFERROR(INDEX($E$14:$E$1213,MATCH($H310&amp;"|"&amp;_xlfn.MAXIFS($F$14:$F$1213,$A$14:$A$1213,$H310,$F$14:$F$1213,"&lt;"&amp;_xlfn.MAXIFS($F$14:$F$1213,$A$14:$A$1213,$H310)),$AB$14:$AB$1213,0)),""))</f>
        <v/>
      </c>
      <c r="AN310" s="27">
        <f>IF(OR(NOT(ISNUMBER($AJ310)),NOT(ISNUMBER($AL310)),$AK310=0,$AM310=0),"",IF(OR((($AJ310+$AL310)/($AK310+$AM310))&lt;=0,(($AJ310+$AL310)/($AK310+$AM310))&gt;=1),"",($AJ310/$AK310-$AL310/$AM310)/SQRT((($AJ310+$AL310)/($AK310+$AM310))*(1-(($AJ310+$AL310)/($AK310+$AM310)))*(1/$AK310+1/$AM310))))</f>
        <v/>
      </c>
      <c r="AO310" s="27">
        <f>IF($A310="","",IF(AND(COUNTIFS($A$14:$A$1213,$A310,$F$14:$F$1213,"&gt;=0")=2,IFERROR(INDEX($M$14:$M$313,MATCH($A310,$H$14:$H$313,0)),"Yes")&lt;&gt;"Yes"),1,0))</f>
        <v/>
      </c>
    </row>
    <row r="311" ht="24" customHeight="1">
      <c r="A311" s="19" t="n"/>
      <c r="B311" s="20" t="n"/>
      <c r="C311" s="21">
        <f>IFERROR(AVERAGE(P311:T311),"")</f>
        <v/>
      </c>
      <c r="D311" s="29" t="n"/>
      <c r="E311" s="29" t="n"/>
      <c r="F311" s="30">
        <f>IF(AND(ISNUMBER($D311),ISNUMBER($E311),$E311&gt;0,$D311&lt;=$E311),$D311/$E311,"")</f>
        <v/>
      </c>
      <c r="H311" s="19">
        <f>IFERROR(INDEX($A$14:$A$1213,MATCH(298,$AI$14:$AI$1213,0)),"")</f>
        <v/>
      </c>
      <c r="I311" s="24">
        <f>IF($H311="","",IF(COUNTIFS($A$14:$A$1213,$H311,$C$14:$C$1213,"&gt;=0")=0,"—",IFERROR(INDEX($B$14:$B$1213,MATCH($H311&amp;"|1",$Z$14:$Z$1213,0)),"(tied)")))</f>
        <v/>
      </c>
      <c r="J311" s="25">
        <f>IF($H311="","",IF(OR(COUNTIFS($A$14:$A$1213,$H311,$C$14:$C$1213,"&gt;=0")=0,COUNTIFS($A$14:$A$1213,$H311,$F$14:$F$1213,"&gt;=0")=0),"—",IF(OR(ISERROR(MATCH($H311&amp;"|1",$Z$14:$Z$1213,0)),ISERROR(MATCH($H311&amp;"|1",$AA$14:$AA$1213,0))),"Tie",IF(MATCH($H311&amp;"|1",$Z$14:$Z$1213,0)=MATCH($H311&amp;"|1",$AA$14:$AA$1213,0),"Hit","Miss"))))</f>
        <v/>
      </c>
      <c r="K311" s="24">
        <f>IF($H311="","",IF(COUNTIFS($A$14:$A$1213,$H311,$F$14:$F$1213,"&gt;=0")=0,"—",IFERROR(INDEX($B$14:$B$1213,MATCH($H311&amp;"|1",$AA$14:$AA$1213,0)),"(tied)")))</f>
        <v/>
      </c>
      <c r="L311" s="25">
        <f>IF($H311="","",IF((--(COUNTIFS($A$14:$A$1213,$H311,$P$14:$P$1213,"&gt;=0")&gt;0)+--(COUNTIFS($A$14:$A$1213,$H311,$Q$14:$Q$1213,"&gt;=0")&gt;0)+--(COUNTIFS($A$14:$A$1213,$H311,$R$14:$R$1213,"&gt;=0")&gt;0)+--(COUNTIFS($A$14:$A$1213,$H311,$S$14:$S$1213,"&gt;=0")&gt;0)+--(COUNTIFS($A$14:$A$1213,$H311,$T$14:$T$1213,"&gt;=0")&gt;0))&lt;2,"—",IF(SUMIFS($AH$14:$AH$1213,$A$14:$A$1213,$H311)=0,"Yes","No")))</f>
        <v/>
      </c>
      <c r="M311" s="25">
        <f>IF($H311="","",IF(COUNTIFS($A$14:$A$1213,$H311,$F$14:$F$1213,"&gt;=0")&lt;2,"—",IF(COUNTIFS($A$14:$A$1213,$H311,$F$14:$F$1213,_xlfn.MAXIFS($F$14:$F$1213,$A$14:$A$1213,$H311))&gt;1,"No",IF(NOT(ISNUMBER($AN311)),"—",IF((2*(1-NORMSDIST(ABS($AN311))))&lt;0.05,"Yes","No")))))</f>
        <v/>
      </c>
      <c r="N311" s="21">
        <f>IF($H311="","",IF(NOT(ISNUMBER($AN311)),"—",IF((2*(1-NORMSDIST(ABS($AN311))))&lt;0.001,"&lt;0.001",TEXT((2*(1-NORMSDIST(ABS($AN311)))),"0.000"))))</f>
        <v/>
      </c>
      <c r="P311" s="26" t="n"/>
      <c r="Q311" s="26" t="n"/>
      <c r="R311" s="26" t="n"/>
      <c r="S311" s="26" t="n"/>
      <c r="T311" s="26" t="n"/>
      <c r="V311" s="27">
        <f>IF(ISNUMBER($C311),COUNTIFS($A$14:$A$1213,$A311,$C$14:$C$1213,"&gt;"&amp;$C311)+(COUNTIFS($A$14:$A$1213,$A311,$C$14:$C$1213,"="&amp;$C311)+1)/2,"")</f>
        <v/>
      </c>
      <c r="W311" s="27">
        <f>IF(ISNUMBER($F311),COUNTIFS($A$14:$A$1213,$A311,$F$14:$F$1213,"&gt;"&amp;$F311)+(COUNTIFS($A$14:$A$1213,$A311,$F$14:$F$1213,"="&amp;$F311)+1)/2,"")</f>
        <v/>
      </c>
      <c r="X311" s="27">
        <f>IF(OR(NOT(ISNUMBER($V311)),$AO311=1),"",$V311-(COUNTIFS($A$14:$A$1213,$A311,$C$14:$C$1213,"&gt;=0")+1)/2)</f>
        <v/>
      </c>
      <c r="Y311" s="27">
        <f>IF(OR(NOT(ISNUMBER($W311)),$AO311=1),"",$W311-(COUNTIFS($A$14:$A$1213,$A311,$F$14:$F$1213,"&gt;=0")+1)/2)</f>
        <v/>
      </c>
      <c r="Z311" s="27">
        <f>IF(ISNUMBER($V311),$A311&amp;"|"&amp;$V311,"")</f>
        <v/>
      </c>
      <c r="AA311" s="27">
        <f>IF(ISNUMBER($W311),$A311&amp;"|"&amp;$W311,"")</f>
        <v/>
      </c>
      <c r="AB311" s="27">
        <f>IF(ISNUMBER($F311),$A311&amp;"|"&amp;$F311,"")</f>
        <v/>
      </c>
      <c r="AC311" s="27">
        <f>IF(ISNUMBER($P311),COUNTIFS($A$14:$A$1213,$A311,$P$14:$P$1213,"&gt;"&amp;$P311)+(COUNTIFS($A$14:$A$1213,$A311,$P$14:$P$1213,"="&amp;$P311)+1)/2,"")</f>
        <v/>
      </c>
      <c r="AD311" s="27">
        <f>IF(ISNUMBER($Q311),COUNTIFS($A$14:$A$1213,$A311,$Q$14:$Q$1213,"&gt;"&amp;$Q311)+(COUNTIFS($A$14:$A$1213,$A311,$Q$14:$Q$1213,"="&amp;$Q311)+1)/2,"")</f>
        <v/>
      </c>
      <c r="AE311" s="27">
        <f>IF(ISNUMBER($R311),COUNTIFS($A$14:$A$1213,$A311,$R$14:$R$1213,"&gt;"&amp;$R311)+(COUNTIFS($A$14:$A$1213,$A311,$R$14:$R$1213,"="&amp;$R311)+1)/2,"")</f>
        <v/>
      </c>
      <c r="AF311" s="27">
        <f>IF(ISNUMBER($S311),COUNTIFS($A$14:$A$1213,$A311,$S$14:$S$1213,"&gt;"&amp;$S311)+(COUNTIFS($A$14:$A$1213,$A311,$S$14:$S$1213,"="&amp;$S311)+1)/2,"")</f>
        <v/>
      </c>
      <c r="AG311" s="27">
        <f>IF(ISNUMBER($T311),COUNTIFS($A$14:$A$1213,$A311,$T$14:$T$1213,"&gt;"&amp;$T311)+(COUNTIFS($A$14:$A$1213,$A311,$T$14:$T$1213,"="&amp;$T311)+1)/2,"")</f>
        <v/>
      </c>
      <c r="AH311" s="27">
        <f>IF(COUNT($AC311:$AG311)&lt;2,"",IF(MAX($AC311:$AG311)=MIN($AC311:$AG311),0,1))</f>
        <v/>
      </c>
      <c r="AI311" s="27">
        <f>IF($A311="","",IF(COUNTIF($A$14:$A311,$A311)=1,COUNTIF($AI$13:AI310,"&gt;0")+1,""))</f>
        <v/>
      </c>
      <c r="AJ311" s="27">
        <f>IF(OR($H311="",COUNTIFS($A$14:$A$1213,$H311,$F$14:$F$1213,"&gt;=0")&lt;2,COUNTIFS($A$14:$A$1213,$H311,$F$14:$F$1213,_xlfn.MAXIFS($F$14:$F$1213,$A$14:$A$1213,$H311))&gt;1),"",IFERROR(INDEX($D$14:$D$1213,MATCH($H311&amp;"|"&amp;_xlfn.MAXIFS($F$14:$F$1213,$A$14:$A$1213,$H311),$AB$14:$AB$1213,0)),""))</f>
        <v/>
      </c>
      <c r="AK311" s="27">
        <f>IF(OR($H311="",COUNTIFS($A$14:$A$1213,$H311,$F$14:$F$1213,"&gt;=0")&lt;2,COUNTIFS($A$14:$A$1213,$H311,$F$14:$F$1213,_xlfn.MAXIFS($F$14:$F$1213,$A$14:$A$1213,$H311))&gt;1),"",IFERROR(INDEX($E$14:$E$1213,MATCH($H311&amp;"|"&amp;_xlfn.MAXIFS($F$14:$F$1213,$A$14:$A$1213,$H311),$AB$14:$AB$1213,0)),""))</f>
        <v/>
      </c>
      <c r="AL311" s="27">
        <f>IF(OR($H311="",COUNTIFS($A$14:$A$1213,$H311,$F$14:$F$1213,"&gt;=0")&lt;2,COUNTIFS($A$14:$A$1213,$H311,$F$14:$F$1213,_xlfn.MAXIFS($F$14:$F$1213,$A$14:$A$1213,$H311))&gt;1),"",IFERROR(INDEX($D$14:$D$1213,MATCH($H311&amp;"|"&amp;_xlfn.MAXIFS($F$14:$F$1213,$A$14:$A$1213,$H311,$F$14:$F$1213,"&lt;"&amp;_xlfn.MAXIFS($F$14:$F$1213,$A$14:$A$1213,$H311)),$AB$14:$AB$1213,0)),""))</f>
        <v/>
      </c>
      <c r="AM311" s="27">
        <f>IF(OR($H311="",COUNTIFS($A$14:$A$1213,$H311,$F$14:$F$1213,"&gt;=0")&lt;2,COUNTIFS($A$14:$A$1213,$H311,$F$14:$F$1213,_xlfn.MAXIFS($F$14:$F$1213,$A$14:$A$1213,$H311))&gt;1),"",IFERROR(INDEX($E$14:$E$1213,MATCH($H311&amp;"|"&amp;_xlfn.MAXIFS($F$14:$F$1213,$A$14:$A$1213,$H311,$F$14:$F$1213,"&lt;"&amp;_xlfn.MAXIFS($F$14:$F$1213,$A$14:$A$1213,$H311)),$AB$14:$AB$1213,0)),""))</f>
        <v/>
      </c>
      <c r="AN311" s="27">
        <f>IF(OR(NOT(ISNUMBER($AJ311)),NOT(ISNUMBER($AL311)),$AK311=0,$AM311=0),"",IF(OR((($AJ311+$AL311)/($AK311+$AM311))&lt;=0,(($AJ311+$AL311)/($AK311+$AM311))&gt;=1),"",($AJ311/$AK311-$AL311/$AM311)/SQRT((($AJ311+$AL311)/($AK311+$AM311))*(1-(($AJ311+$AL311)/($AK311+$AM311)))*(1/$AK311+1/$AM311))))</f>
        <v/>
      </c>
      <c r="AO311" s="27">
        <f>IF($A311="","",IF(AND(COUNTIFS($A$14:$A$1213,$A311,$F$14:$F$1213,"&gt;=0")=2,IFERROR(INDEX($M$14:$M$313,MATCH($A311,$H$14:$H$313,0)),"Yes")&lt;&gt;"Yes"),1,0))</f>
        <v/>
      </c>
    </row>
    <row r="312" ht="24" customHeight="1">
      <c r="A312" s="19" t="n"/>
      <c r="B312" s="20" t="n"/>
      <c r="C312" s="21">
        <f>IFERROR(AVERAGE(P312:T312),"")</f>
        <v/>
      </c>
      <c r="D312" s="29" t="n"/>
      <c r="E312" s="29" t="n"/>
      <c r="F312" s="30">
        <f>IF(AND(ISNUMBER($D312),ISNUMBER($E312),$E312&gt;0,$D312&lt;=$E312),$D312/$E312,"")</f>
        <v/>
      </c>
      <c r="H312" s="19">
        <f>IFERROR(INDEX($A$14:$A$1213,MATCH(299,$AI$14:$AI$1213,0)),"")</f>
        <v/>
      </c>
      <c r="I312" s="24">
        <f>IF($H312="","",IF(COUNTIFS($A$14:$A$1213,$H312,$C$14:$C$1213,"&gt;=0")=0,"—",IFERROR(INDEX($B$14:$B$1213,MATCH($H312&amp;"|1",$Z$14:$Z$1213,0)),"(tied)")))</f>
        <v/>
      </c>
      <c r="J312" s="25">
        <f>IF($H312="","",IF(OR(COUNTIFS($A$14:$A$1213,$H312,$C$14:$C$1213,"&gt;=0")=0,COUNTIFS($A$14:$A$1213,$H312,$F$14:$F$1213,"&gt;=0")=0),"—",IF(OR(ISERROR(MATCH($H312&amp;"|1",$Z$14:$Z$1213,0)),ISERROR(MATCH($H312&amp;"|1",$AA$14:$AA$1213,0))),"Tie",IF(MATCH($H312&amp;"|1",$Z$14:$Z$1213,0)=MATCH($H312&amp;"|1",$AA$14:$AA$1213,0),"Hit","Miss"))))</f>
        <v/>
      </c>
      <c r="K312" s="24">
        <f>IF($H312="","",IF(COUNTIFS($A$14:$A$1213,$H312,$F$14:$F$1213,"&gt;=0")=0,"—",IFERROR(INDEX($B$14:$B$1213,MATCH($H312&amp;"|1",$AA$14:$AA$1213,0)),"(tied)")))</f>
        <v/>
      </c>
      <c r="L312" s="25">
        <f>IF($H312="","",IF((--(COUNTIFS($A$14:$A$1213,$H312,$P$14:$P$1213,"&gt;=0")&gt;0)+--(COUNTIFS($A$14:$A$1213,$H312,$Q$14:$Q$1213,"&gt;=0")&gt;0)+--(COUNTIFS($A$14:$A$1213,$H312,$R$14:$R$1213,"&gt;=0")&gt;0)+--(COUNTIFS($A$14:$A$1213,$H312,$S$14:$S$1213,"&gt;=0")&gt;0)+--(COUNTIFS($A$14:$A$1213,$H312,$T$14:$T$1213,"&gt;=0")&gt;0))&lt;2,"—",IF(SUMIFS($AH$14:$AH$1213,$A$14:$A$1213,$H312)=0,"Yes","No")))</f>
        <v/>
      </c>
      <c r="M312" s="25">
        <f>IF($H312="","",IF(COUNTIFS($A$14:$A$1213,$H312,$F$14:$F$1213,"&gt;=0")&lt;2,"—",IF(COUNTIFS($A$14:$A$1213,$H312,$F$14:$F$1213,_xlfn.MAXIFS($F$14:$F$1213,$A$14:$A$1213,$H312))&gt;1,"No",IF(NOT(ISNUMBER($AN312)),"—",IF((2*(1-NORMSDIST(ABS($AN312))))&lt;0.05,"Yes","No")))))</f>
        <v/>
      </c>
      <c r="N312" s="21">
        <f>IF($H312="","",IF(NOT(ISNUMBER($AN312)),"—",IF((2*(1-NORMSDIST(ABS($AN312))))&lt;0.001,"&lt;0.001",TEXT((2*(1-NORMSDIST(ABS($AN312)))),"0.000"))))</f>
        <v/>
      </c>
      <c r="P312" s="26" t="n"/>
      <c r="Q312" s="26" t="n"/>
      <c r="R312" s="26" t="n"/>
      <c r="S312" s="26" t="n"/>
      <c r="T312" s="26" t="n"/>
      <c r="V312" s="27">
        <f>IF(ISNUMBER($C312),COUNTIFS($A$14:$A$1213,$A312,$C$14:$C$1213,"&gt;"&amp;$C312)+(COUNTIFS($A$14:$A$1213,$A312,$C$14:$C$1213,"="&amp;$C312)+1)/2,"")</f>
        <v/>
      </c>
      <c r="W312" s="27">
        <f>IF(ISNUMBER($F312),COUNTIFS($A$14:$A$1213,$A312,$F$14:$F$1213,"&gt;"&amp;$F312)+(COUNTIFS($A$14:$A$1213,$A312,$F$14:$F$1213,"="&amp;$F312)+1)/2,"")</f>
        <v/>
      </c>
      <c r="X312" s="27">
        <f>IF(OR(NOT(ISNUMBER($V312)),$AO312=1),"",$V312-(COUNTIFS($A$14:$A$1213,$A312,$C$14:$C$1213,"&gt;=0")+1)/2)</f>
        <v/>
      </c>
      <c r="Y312" s="27">
        <f>IF(OR(NOT(ISNUMBER($W312)),$AO312=1),"",$W312-(COUNTIFS($A$14:$A$1213,$A312,$F$14:$F$1213,"&gt;=0")+1)/2)</f>
        <v/>
      </c>
      <c r="Z312" s="27">
        <f>IF(ISNUMBER($V312),$A312&amp;"|"&amp;$V312,"")</f>
        <v/>
      </c>
      <c r="AA312" s="27">
        <f>IF(ISNUMBER($W312),$A312&amp;"|"&amp;$W312,"")</f>
        <v/>
      </c>
      <c r="AB312" s="27">
        <f>IF(ISNUMBER($F312),$A312&amp;"|"&amp;$F312,"")</f>
        <v/>
      </c>
      <c r="AC312" s="27">
        <f>IF(ISNUMBER($P312),COUNTIFS($A$14:$A$1213,$A312,$P$14:$P$1213,"&gt;"&amp;$P312)+(COUNTIFS($A$14:$A$1213,$A312,$P$14:$P$1213,"="&amp;$P312)+1)/2,"")</f>
        <v/>
      </c>
      <c r="AD312" s="27">
        <f>IF(ISNUMBER($Q312),COUNTIFS($A$14:$A$1213,$A312,$Q$14:$Q$1213,"&gt;"&amp;$Q312)+(COUNTIFS($A$14:$A$1213,$A312,$Q$14:$Q$1213,"="&amp;$Q312)+1)/2,"")</f>
        <v/>
      </c>
      <c r="AE312" s="27">
        <f>IF(ISNUMBER($R312),COUNTIFS($A$14:$A$1213,$A312,$R$14:$R$1213,"&gt;"&amp;$R312)+(COUNTIFS($A$14:$A$1213,$A312,$R$14:$R$1213,"="&amp;$R312)+1)/2,"")</f>
        <v/>
      </c>
      <c r="AF312" s="27">
        <f>IF(ISNUMBER($S312),COUNTIFS($A$14:$A$1213,$A312,$S$14:$S$1213,"&gt;"&amp;$S312)+(COUNTIFS($A$14:$A$1213,$A312,$S$14:$S$1213,"="&amp;$S312)+1)/2,"")</f>
        <v/>
      </c>
      <c r="AG312" s="27">
        <f>IF(ISNUMBER($T312),COUNTIFS($A$14:$A$1213,$A312,$T$14:$T$1213,"&gt;"&amp;$T312)+(COUNTIFS($A$14:$A$1213,$A312,$T$14:$T$1213,"="&amp;$T312)+1)/2,"")</f>
        <v/>
      </c>
      <c r="AH312" s="27">
        <f>IF(COUNT($AC312:$AG312)&lt;2,"",IF(MAX($AC312:$AG312)=MIN($AC312:$AG312),0,1))</f>
        <v/>
      </c>
      <c r="AI312" s="27">
        <f>IF($A312="","",IF(COUNTIF($A$14:$A312,$A312)=1,COUNTIF($AI$13:AI311,"&gt;0")+1,""))</f>
        <v/>
      </c>
      <c r="AJ312" s="27">
        <f>IF(OR($H312="",COUNTIFS($A$14:$A$1213,$H312,$F$14:$F$1213,"&gt;=0")&lt;2,COUNTIFS($A$14:$A$1213,$H312,$F$14:$F$1213,_xlfn.MAXIFS($F$14:$F$1213,$A$14:$A$1213,$H312))&gt;1),"",IFERROR(INDEX($D$14:$D$1213,MATCH($H312&amp;"|"&amp;_xlfn.MAXIFS($F$14:$F$1213,$A$14:$A$1213,$H312),$AB$14:$AB$1213,0)),""))</f>
        <v/>
      </c>
      <c r="AK312" s="27">
        <f>IF(OR($H312="",COUNTIFS($A$14:$A$1213,$H312,$F$14:$F$1213,"&gt;=0")&lt;2,COUNTIFS($A$14:$A$1213,$H312,$F$14:$F$1213,_xlfn.MAXIFS($F$14:$F$1213,$A$14:$A$1213,$H312))&gt;1),"",IFERROR(INDEX($E$14:$E$1213,MATCH($H312&amp;"|"&amp;_xlfn.MAXIFS($F$14:$F$1213,$A$14:$A$1213,$H312),$AB$14:$AB$1213,0)),""))</f>
        <v/>
      </c>
      <c r="AL312" s="27">
        <f>IF(OR($H312="",COUNTIFS($A$14:$A$1213,$H312,$F$14:$F$1213,"&gt;=0")&lt;2,COUNTIFS($A$14:$A$1213,$H312,$F$14:$F$1213,_xlfn.MAXIFS($F$14:$F$1213,$A$14:$A$1213,$H312))&gt;1),"",IFERROR(INDEX($D$14:$D$1213,MATCH($H312&amp;"|"&amp;_xlfn.MAXIFS($F$14:$F$1213,$A$14:$A$1213,$H312,$F$14:$F$1213,"&lt;"&amp;_xlfn.MAXIFS($F$14:$F$1213,$A$14:$A$1213,$H312)),$AB$14:$AB$1213,0)),""))</f>
        <v/>
      </c>
      <c r="AM312" s="27">
        <f>IF(OR($H312="",COUNTIFS($A$14:$A$1213,$H312,$F$14:$F$1213,"&gt;=0")&lt;2,COUNTIFS($A$14:$A$1213,$H312,$F$14:$F$1213,_xlfn.MAXIFS($F$14:$F$1213,$A$14:$A$1213,$H312))&gt;1),"",IFERROR(INDEX($E$14:$E$1213,MATCH($H312&amp;"|"&amp;_xlfn.MAXIFS($F$14:$F$1213,$A$14:$A$1213,$H312,$F$14:$F$1213,"&lt;"&amp;_xlfn.MAXIFS($F$14:$F$1213,$A$14:$A$1213,$H312)),$AB$14:$AB$1213,0)),""))</f>
        <v/>
      </c>
      <c r="AN312" s="27">
        <f>IF(OR(NOT(ISNUMBER($AJ312)),NOT(ISNUMBER($AL312)),$AK312=0,$AM312=0),"",IF(OR((($AJ312+$AL312)/($AK312+$AM312))&lt;=0,(($AJ312+$AL312)/($AK312+$AM312))&gt;=1),"",($AJ312/$AK312-$AL312/$AM312)/SQRT((($AJ312+$AL312)/($AK312+$AM312))*(1-(($AJ312+$AL312)/($AK312+$AM312)))*(1/$AK312+1/$AM312))))</f>
        <v/>
      </c>
      <c r="AO312" s="27">
        <f>IF($A312="","",IF(AND(COUNTIFS($A$14:$A$1213,$A312,$F$14:$F$1213,"&gt;=0")=2,IFERROR(INDEX($M$14:$M$313,MATCH($A312,$H$14:$H$313,0)),"Yes")&lt;&gt;"Yes"),1,0))</f>
        <v/>
      </c>
    </row>
    <row r="313" ht="24" customHeight="1">
      <c r="A313" s="19" t="n"/>
      <c r="B313" s="20" t="n"/>
      <c r="C313" s="21">
        <f>IFERROR(AVERAGE(P313:T313),"")</f>
        <v/>
      </c>
      <c r="D313" s="29" t="n"/>
      <c r="E313" s="29" t="n"/>
      <c r="F313" s="30">
        <f>IF(AND(ISNUMBER($D313),ISNUMBER($E313),$E313&gt;0,$D313&lt;=$E313),$D313/$E313,"")</f>
        <v/>
      </c>
      <c r="H313" s="19">
        <f>IFERROR(INDEX($A$14:$A$1213,MATCH(300,$AI$14:$AI$1213,0)),"")</f>
        <v/>
      </c>
      <c r="I313" s="24">
        <f>IF($H313="","",IF(COUNTIFS($A$14:$A$1213,$H313,$C$14:$C$1213,"&gt;=0")=0,"—",IFERROR(INDEX($B$14:$B$1213,MATCH($H313&amp;"|1",$Z$14:$Z$1213,0)),"(tied)")))</f>
        <v/>
      </c>
      <c r="J313" s="25">
        <f>IF($H313="","",IF(OR(COUNTIFS($A$14:$A$1213,$H313,$C$14:$C$1213,"&gt;=0")=0,COUNTIFS($A$14:$A$1213,$H313,$F$14:$F$1213,"&gt;=0")=0),"—",IF(OR(ISERROR(MATCH($H313&amp;"|1",$Z$14:$Z$1213,0)),ISERROR(MATCH($H313&amp;"|1",$AA$14:$AA$1213,0))),"Tie",IF(MATCH($H313&amp;"|1",$Z$14:$Z$1213,0)=MATCH($H313&amp;"|1",$AA$14:$AA$1213,0),"Hit","Miss"))))</f>
        <v/>
      </c>
      <c r="K313" s="24">
        <f>IF($H313="","",IF(COUNTIFS($A$14:$A$1213,$H313,$F$14:$F$1213,"&gt;=0")=0,"—",IFERROR(INDEX($B$14:$B$1213,MATCH($H313&amp;"|1",$AA$14:$AA$1213,0)),"(tied)")))</f>
        <v/>
      </c>
      <c r="L313" s="25">
        <f>IF($H313="","",IF((--(COUNTIFS($A$14:$A$1213,$H313,$P$14:$P$1213,"&gt;=0")&gt;0)+--(COUNTIFS($A$14:$A$1213,$H313,$Q$14:$Q$1213,"&gt;=0")&gt;0)+--(COUNTIFS($A$14:$A$1213,$H313,$R$14:$R$1213,"&gt;=0")&gt;0)+--(COUNTIFS($A$14:$A$1213,$H313,$S$14:$S$1213,"&gt;=0")&gt;0)+--(COUNTIFS($A$14:$A$1213,$H313,$T$14:$T$1213,"&gt;=0")&gt;0))&lt;2,"—",IF(SUMIFS($AH$14:$AH$1213,$A$14:$A$1213,$H313)=0,"Yes","No")))</f>
        <v/>
      </c>
      <c r="M313" s="25">
        <f>IF($H313="","",IF(COUNTIFS($A$14:$A$1213,$H313,$F$14:$F$1213,"&gt;=0")&lt;2,"—",IF(COUNTIFS($A$14:$A$1213,$H313,$F$14:$F$1213,_xlfn.MAXIFS($F$14:$F$1213,$A$14:$A$1213,$H313))&gt;1,"No",IF(NOT(ISNUMBER($AN313)),"—",IF((2*(1-NORMSDIST(ABS($AN313))))&lt;0.05,"Yes","No")))))</f>
        <v/>
      </c>
      <c r="N313" s="21">
        <f>IF($H313="","",IF(NOT(ISNUMBER($AN313)),"—",IF((2*(1-NORMSDIST(ABS($AN313))))&lt;0.001,"&lt;0.001",TEXT((2*(1-NORMSDIST(ABS($AN313)))),"0.000"))))</f>
        <v/>
      </c>
      <c r="P313" s="26" t="n"/>
      <c r="Q313" s="26" t="n"/>
      <c r="R313" s="26" t="n"/>
      <c r="S313" s="26" t="n"/>
      <c r="T313" s="26" t="n"/>
      <c r="V313" s="27">
        <f>IF(ISNUMBER($C313),COUNTIFS($A$14:$A$1213,$A313,$C$14:$C$1213,"&gt;"&amp;$C313)+(COUNTIFS($A$14:$A$1213,$A313,$C$14:$C$1213,"="&amp;$C313)+1)/2,"")</f>
        <v/>
      </c>
      <c r="W313" s="27">
        <f>IF(ISNUMBER($F313),COUNTIFS($A$14:$A$1213,$A313,$F$14:$F$1213,"&gt;"&amp;$F313)+(COUNTIFS($A$14:$A$1213,$A313,$F$14:$F$1213,"="&amp;$F313)+1)/2,"")</f>
        <v/>
      </c>
      <c r="X313" s="27">
        <f>IF(OR(NOT(ISNUMBER($V313)),$AO313=1),"",$V313-(COUNTIFS($A$14:$A$1213,$A313,$C$14:$C$1213,"&gt;=0")+1)/2)</f>
        <v/>
      </c>
      <c r="Y313" s="27">
        <f>IF(OR(NOT(ISNUMBER($W313)),$AO313=1),"",$W313-(COUNTIFS($A$14:$A$1213,$A313,$F$14:$F$1213,"&gt;=0")+1)/2)</f>
        <v/>
      </c>
      <c r="Z313" s="27">
        <f>IF(ISNUMBER($V313),$A313&amp;"|"&amp;$V313,"")</f>
        <v/>
      </c>
      <c r="AA313" s="27">
        <f>IF(ISNUMBER($W313),$A313&amp;"|"&amp;$W313,"")</f>
        <v/>
      </c>
      <c r="AB313" s="27">
        <f>IF(ISNUMBER($F313),$A313&amp;"|"&amp;$F313,"")</f>
        <v/>
      </c>
      <c r="AC313" s="27">
        <f>IF(ISNUMBER($P313),COUNTIFS($A$14:$A$1213,$A313,$P$14:$P$1213,"&gt;"&amp;$P313)+(COUNTIFS($A$14:$A$1213,$A313,$P$14:$P$1213,"="&amp;$P313)+1)/2,"")</f>
        <v/>
      </c>
      <c r="AD313" s="27">
        <f>IF(ISNUMBER($Q313),COUNTIFS($A$14:$A$1213,$A313,$Q$14:$Q$1213,"&gt;"&amp;$Q313)+(COUNTIFS($A$14:$A$1213,$A313,$Q$14:$Q$1213,"="&amp;$Q313)+1)/2,"")</f>
        <v/>
      </c>
      <c r="AE313" s="27">
        <f>IF(ISNUMBER($R313),COUNTIFS($A$14:$A$1213,$A313,$R$14:$R$1213,"&gt;"&amp;$R313)+(COUNTIFS($A$14:$A$1213,$A313,$R$14:$R$1213,"="&amp;$R313)+1)/2,"")</f>
        <v/>
      </c>
      <c r="AF313" s="27">
        <f>IF(ISNUMBER($S313),COUNTIFS($A$14:$A$1213,$A313,$S$14:$S$1213,"&gt;"&amp;$S313)+(COUNTIFS($A$14:$A$1213,$A313,$S$14:$S$1213,"="&amp;$S313)+1)/2,"")</f>
        <v/>
      </c>
      <c r="AG313" s="27">
        <f>IF(ISNUMBER($T313),COUNTIFS($A$14:$A$1213,$A313,$T$14:$T$1213,"&gt;"&amp;$T313)+(COUNTIFS($A$14:$A$1213,$A313,$T$14:$T$1213,"="&amp;$T313)+1)/2,"")</f>
        <v/>
      </c>
      <c r="AH313" s="27">
        <f>IF(COUNT($AC313:$AG313)&lt;2,"",IF(MAX($AC313:$AG313)=MIN($AC313:$AG313),0,1))</f>
        <v/>
      </c>
      <c r="AI313" s="27">
        <f>IF($A313="","",IF(COUNTIF($A$14:$A313,$A313)=1,COUNTIF($AI$13:AI312,"&gt;0")+1,""))</f>
        <v/>
      </c>
      <c r="AJ313" s="27">
        <f>IF(OR($H313="",COUNTIFS($A$14:$A$1213,$H313,$F$14:$F$1213,"&gt;=0")&lt;2,COUNTIFS($A$14:$A$1213,$H313,$F$14:$F$1213,_xlfn.MAXIFS($F$14:$F$1213,$A$14:$A$1213,$H313))&gt;1),"",IFERROR(INDEX($D$14:$D$1213,MATCH($H313&amp;"|"&amp;_xlfn.MAXIFS($F$14:$F$1213,$A$14:$A$1213,$H313),$AB$14:$AB$1213,0)),""))</f>
        <v/>
      </c>
      <c r="AK313" s="27">
        <f>IF(OR($H313="",COUNTIFS($A$14:$A$1213,$H313,$F$14:$F$1213,"&gt;=0")&lt;2,COUNTIFS($A$14:$A$1213,$H313,$F$14:$F$1213,_xlfn.MAXIFS($F$14:$F$1213,$A$14:$A$1213,$H313))&gt;1),"",IFERROR(INDEX($E$14:$E$1213,MATCH($H313&amp;"|"&amp;_xlfn.MAXIFS($F$14:$F$1213,$A$14:$A$1213,$H313),$AB$14:$AB$1213,0)),""))</f>
        <v/>
      </c>
      <c r="AL313" s="27">
        <f>IF(OR($H313="",COUNTIFS($A$14:$A$1213,$H313,$F$14:$F$1213,"&gt;=0")&lt;2,COUNTIFS($A$14:$A$1213,$H313,$F$14:$F$1213,_xlfn.MAXIFS($F$14:$F$1213,$A$14:$A$1213,$H313))&gt;1),"",IFERROR(INDEX($D$14:$D$1213,MATCH($H313&amp;"|"&amp;_xlfn.MAXIFS($F$14:$F$1213,$A$14:$A$1213,$H313,$F$14:$F$1213,"&lt;"&amp;_xlfn.MAXIFS($F$14:$F$1213,$A$14:$A$1213,$H313)),$AB$14:$AB$1213,0)),""))</f>
        <v/>
      </c>
      <c r="AM313" s="27">
        <f>IF(OR($H313="",COUNTIFS($A$14:$A$1213,$H313,$F$14:$F$1213,"&gt;=0")&lt;2,COUNTIFS($A$14:$A$1213,$H313,$F$14:$F$1213,_xlfn.MAXIFS($F$14:$F$1213,$A$14:$A$1213,$H313))&gt;1),"",IFERROR(INDEX($E$14:$E$1213,MATCH($H313&amp;"|"&amp;_xlfn.MAXIFS($F$14:$F$1213,$A$14:$A$1213,$H313,$F$14:$F$1213,"&lt;"&amp;_xlfn.MAXIFS($F$14:$F$1213,$A$14:$A$1213,$H313)),$AB$14:$AB$1213,0)),""))</f>
        <v/>
      </c>
      <c r="AN313" s="27">
        <f>IF(OR(NOT(ISNUMBER($AJ313)),NOT(ISNUMBER($AL313)),$AK313=0,$AM313=0),"",IF(OR((($AJ313+$AL313)/($AK313+$AM313))&lt;=0,(($AJ313+$AL313)/($AK313+$AM313))&gt;=1),"",($AJ313/$AK313-$AL313/$AM313)/SQRT((($AJ313+$AL313)/($AK313+$AM313))*(1-(($AJ313+$AL313)/($AK313+$AM313)))*(1/$AK313+1/$AM313))))</f>
        <v/>
      </c>
      <c r="AO313" s="27">
        <f>IF($A313="","",IF(AND(COUNTIFS($A$14:$A$1213,$A313,$F$14:$F$1213,"&gt;=0")=2,IFERROR(INDEX($M$14:$M$313,MATCH($A313,$H$14:$H$313,0)),"Yes")&lt;&gt;"Yes"),1,0))</f>
        <v/>
      </c>
    </row>
    <row r="314">
      <c r="A314" s="19" t="n"/>
      <c r="B314" s="20" t="n"/>
      <c r="C314" s="21">
        <f>IFERROR(AVERAGE(P314:T314),"")</f>
        <v/>
      </c>
      <c r="D314" s="29" t="n"/>
      <c r="E314" s="29" t="n"/>
      <c r="F314" s="30">
        <f>IF(AND(ISNUMBER($D314),ISNUMBER($E314),$E314&gt;0,$D314&lt;=$E314),$D314/$E314,"")</f>
        <v/>
      </c>
      <c r="P314" s="26" t="n"/>
      <c r="Q314" s="26" t="n"/>
      <c r="R314" s="26" t="n"/>
      <c r="S314" s="26" t="n"/>
      <c r="T314" s="26" t="n"/>
      <c r="V314" s="27">
        <f>IF(ISNUMBER($C314),COUNTIFS($A$14:$A$1213,$A314,$C$14:$C$1213,"&gt;"&amp;$C314)+(COUNTIFS($A$14:$A$1213,$A314,$C$14:$C$1213,"="&amp;$C314)+1)/2,"")</f>
        <v/>
      </c>
      <c r="W314" s="27">
        <f>IF(ISNUMBER($F314),COUNTIFS($A$14:$A$1213,$A314,$F$14:$F$1213,"&gt;"&amp;$F314)+(COUNTIFS($A$14:$A$1213,$A314,$F$14:$F$1213,"="&amp;$F314)+1)/2,"")</f>
        <v/>
      </c>
      <c r="X314" s="27">
        <f>IF(OR(NOT(ISNUMBER($V314)),$AO314=1),"",$V314-(COUNTIFS($A$14:$A$1213,$A314,$C$14:$C$1213,"&gt;=0")+1)/2)</f>
        <v/>
      </c>
      <c r="Y314" s="27">
        <f>IF(OR(NOT(ISNUMBER($W314)),$AO314=1),"",$W314-(COUNTIFS($A$14:$A$1213,$A314,$F$14:$F$1213,"&gt;=0")+1)/2)</f>
        <v/>
      </c>
      <c r="Z314" s="27">
        <f>IF(ISNUMBER($V314),$A314&amp;"|"&amp;$V314,"")</f>
        <v/>
      </c>
      <c r="AA314" s="27">
        <f>IF(ISNUMBER($W314),$A314&amp;"|"&amp;$W314,"")</f>
        <v/>
      </c>
      <c r="AB314" s="27">
        <f>IF(ISNUMBER($F314),$A314&amp;"|"&amp;$F314,"")</f>
        <v/>
      </c>
      <c r="AC314" s="27">
        <f>IF(ISNUMBER($P314),COUNTIFS($A$14:$A$1213,$A314,$P$14:$P$1213,"&gt;"&amp;$P314)+(COUNTIFS($A$14:$A$1213,$A314,$P$14:$P$1213,"="&amp;$P314)+1)/2,"")</f>
        <v/>
      </c>
      <c r="AD314" s="27">
        <f>IF(ISNUMBER($Q314),COUNTIFS($A$14:$A$1213,$A314,$Q$14:$Q$1213,"&gt;"&amp;$Q314)+(COUNTIFS($A$14:$A$1213,$A314,$Q$14:$Q$1213,"="&amp;$Q314)+1)/2,"")</f>
        <v/>
      </c>
      <c r="AE314" s="27">
        <f>IF(ISNUMBER($R314),COUNTIFS($A$14:$A$1213,$A314,$R$14:$R$1213,"&gt;"&amp;$R314)+(COUNTIFS($A$14:$A$1213,$A314,$R$14:$R$1213,"="&amp;$R314)+1)/2,"")</f>
        <v/>
      </c>
      <c r="AF314" s="27">
        <f>IF(ISNUMBER($S314),COUNTIFS($A$14:$A$1213,$A314,$S$14:$S$1213,"&gt;"&amp;$S314)+(COUNTIFS($A$14:$A$1213,$A314,$S$14:$S$1213,"="&amp;$S314)+1)/2,"")</f>
        <v/>
      </c>
      <c r="AG314" s="27">
        <f>IF(ISNUMBER($T314),COUNTIFS($A$14:$A$1213,$A314,$T$14:$T$1213,"&gt;"&amp;$T314)+(COUNTIFS($A$14:$A$1213,$A314,$T$14:$T$1213,"="&amp;$T314)+1)/2,"")</f>
        <v/>
      </c>
      <c r="AH314" s="27">
        <f>IF(COUNT($AC314:$AG314)&lt;2,"",IF(MAX($AC314:$AG314)=MIN($AC314:$AG314),0,1))</f>
        <v/>
      </c>
      <c r="AI314" s="27">
        <f>IF($A314="","",IF(COUNTIF($A$14:$A314,$A314)=1,COUNTIF($AI$13:AI313,"&gt;0")+1,""))</f>
        <v/>
      </c>
      <c r="AO314" s="27">
        <f>IF($A314="","",IF(AND(COUNTIFS($A$14:$A$1213,$A314,$F$14:$F$1213,"&gt;=0")=2,IFERROR(INDEX($M$14:$M$313,MATCH($A314,$H$14:$H$313,0)),"Yes")&lt;&gt;"Yes"),1,0))</f>
        <v/>
      </c>
    </row>
    <row r="315">
      <c r="A315" s="19" t="n"/>
      <c r="B315" s="20" t="n"/>
      <c r="C315" s="21">
        <f>IFERROR(AVERAGE(P315:T315),"")</f>
        <v/>
      </c>
      <c r="D315" s="29" t="n"/>
      <c r="E315" s="29" t="n"/>
      <c r="F315" s="30">
        <f>IF(AND(ISNUMBER($D315),ISNUMBER($E315),$E315&gt;0,$D315&lt;=$E315),$D315/$E315,"")</f>
        <v/>
      </c>
      <c r="P315" s="26" t="n"/>
      <c r="Q315" s="26" t="n"/>
      <c r="R315" s="26" t="n"/>
      <c r="S315" s="26" t="n"/>
      <c r="T315" s="26" t="n"/>
      <c r="V315" s="27">
        <f>IF(ISNUMBER($C315),COUNTIFS($A$14:$A$1213,$A315,$C$14:$C$1213,"&gt;"&amp;$C315)+(COUNTIFS($A$14:$A$1213,$A315,$C$14:$C$1213,"="&amp;$C315)+1)/2,"")</f>
        <v/>
      </c>
      <c r="W315" s="27">
        <f>IF(ISNUMBER($F315),COUNTIFS($A$14:$A$1213,$A315,$F$14:$F$1213,"&gt;"&amp;$F315)+(COUNTIFS($A$14:$A$1213,$A315,$F$14:$F$1213,"="&amp;$F315)+1)/2,"")</f>
        <v/>
      </c>
      <c r="X315" s="27">
        <f>IF(OR(NOT(ISNUMBER($V315)),$AO315=1),"",$V315-(COUNTIFS($A$14:$A$1213,$A315,$C$14:$C$1213,"&gt;=0")+1)/2)</f>
        <v/>
      </c>
      <c r="Y315" s="27">
        <f>IF(OR(NOT(ISNUMBER($W315)),$AO315=1),"",$W315-(COUNTIFS($A$14:$A$1213,$A315,$F$14:$F$1213,"&gt;=0")+1)/2)</f>
        <v/>
      </c>
      <c r="Z315" s="27">
        <f>IF(ISNUMBER($V315),$A315&amp;"|"&amp;$V315,"")</f>
        <v/>
      </c>
      <c r="AA315" s="27">
        <f>IF(ISNUMBER($W315),$A315&amp;"|"&amp;$W315,"")</f>
        <v/>
      </c>
      <c r="AB315" s="27">
        <f>IF(ISNUMBER($F315),$A315&amp;"|"&amp;$F315,"")</f>
        <v/>
      </c>
      <c r="AC315" s="27">
        <f>IF(ISNUMBER($P315),COUNTIFS($A$14:$A$1213,$A315,$P$14:$P$1213,"&gt;"&amp;$P315)+(COUNTIFS($A$14:$A$1213,$A315,$P$14:$P$1213,"="&amp;$P315)+1)/2,"")</f>
        <v/>
      </c>
      <c r="AD315" s="27">
        <f>IF(ISNUMBER($Q315),COUNTIFS($A$14:$A$1213,$A315,$Q$14:$Q$1213,"&gt;"&amp;$Q315)+(COUNTIFS($A$14:$A$1213,$A315,$Q$14:$Q$1213,"="&amp;$Q315)+1)/2,"")</f>
        <v/>
      </c>
      <c r="AE315" s="27">
        <f>IF(ISNUMBER($R315),COUNTIFS($A$14:$A$1213,$A315,$R$14:$R$1213,"&gt;"&amp;$R315)+(COUNTIFS($A$14:$A$1213,$A315,$R$14:$R$1213,"="&amp;$R315)+1)/2,"")</f>
        <v/>
      </c>
      <c r="AF315" s="27">
        <f>IF(ISNUMBER($S315),COUNTIFS($A$14:$A$1213,$A315,$S$14:$S$1213,"&gt;"&amp;$S315)+(COUNTIFS($A$14:$A$1213,$A315,$S$14:$S$1213,"="&amp;$S315)+1)/2,"")</f>
        <v/>
      </c>
      <c r="AG315" s="27">
        <f>IF(ISNUMBER($T315),COUNTIFS($A$14:$A$1213,$A315,$T$14:$T$1213,"&gt;"&amp;$T315)+(COUNTIFS($A$14:$A$1213,$A315,$T$14:$T$1213,"="&amp;$T315)+1)/2,"")</f>
        <v/>
      </c>
      <c r="AH315" s="27">
        <f>IF(COUNT($AC315:$AG315)&lt;2,"",IF(MAX($AC315:$AG315)=MIN($AC315:$AG315),0,1))</f>
        <v/>
      </c>
      <c r="AI315" s="27">
        <f>IF($A315="","",IF(COUNTIF($A$14:$A315,$A315)=1,COUNTIF($AI$13:AI314,"&gt;0")+1,""))</f>
        <v/>
      </c>
      <c r="AO315" s="27">
        <f>IF($A315="","",IF(AND(COUNTIFS($A$14:$A$1213,$A315,$F$14:$F$1213,"&gt;=0")=2,IFERROR(INDEX($M$14:$M$313,MATCH($A315,$H$14:$H$313,0)),"Yes")&lt;&gt;"Yes"),1,0))</f>
        <v/>
      </c>
    </row>
    <row r="316">
      <c r="A316" s="19" t="n"/>
      <c r="B316" s="20" t="n"/>
      <c r="C316" s="21">
        <f>IFERROR(AVERAGE(P316:T316),"")</f>
        <v/>
      </c>
      <c r="D316" s="29" t="n"/>
      <c r="E316" s="29" t="n"/>
      <c r="F316" s="30">
        <f>IF(AND(ISNUMBER($D316),ISNUMBER($E316),$E316&gt;0,$D316&lt;=$E316),$D316/$E316,"")</f>
        <v/>
      </c>
      <c r="P316" s="26" t="n"/>
      <c r="Q316" s="26" t="n"/>
      <c r="R316" s="26" t="n"/>
      <c r="S316" s="26" t="n"/>
      <c r="T316" s="26" t="n"/>
      <c r="V316" s="27">
        <f>IF(ISNUMBER($C316),COUNTIFS($A$14:$A$1213,$A316,$C$14:$C$1213,"&gt;"&amp;$C316)+(COUNTIFS($A$14:$A$1213,$A316,$C$14:$C$1213,"="&amp;$C316)+1)/2,"")</f>
        <v/>
      </c>
      <c r="W316" s="27">
        <f>IF(ISNUMBER($F316),COUNTIFS($A$14:$A$1213,$A316,$F$14:$F$1213,"&gt;"&amp;$F316)+(COUNTIFS($A$14:$A$1213,$A316,$F$14:$F$1213,"="&amp;$F316)+1)/2,"")</f>
        <v/>
      </c>
      <c r="X316" s="27">
        <f>IF(OR(NOT(ISNUMBER($V316)),$AO316=1),"",$V316-(COUNTIFS($A$14:$A$1213,$A316,$C$14:$C$1213,"&gt;=0")+1)/2)</f>
        <v/>
      </c>
      <c r="Y316" s="27">
        <f>IF(OR(NOT(ISNUMBER($W316)),$AO316=1),"",$W316-(COUNTIFS($A$14:$A$1213,$A316,$F$14:$F$1213,"&gt;=0")+1)/2)</f>
        <v/>
      </c>
      <c r="Z316" s="27">
        <f>IF(ISNUMBER($V316),$A316&amp;"|"&amp;$V316,"")</f>
        <v/>
      </c>
      <c r="AA316" s="27">
        <f>IF(ISNUMBER($W316),$A316&amp;"|"&amp;$W316,"")</f>
        <v/>
      </c>
      <c r="AB316" s="27">
        <f>IF(ISNUMBER($F316),$A316&amp;"|"&amp;$F316,"")</f>
        <v/>
      </c>
      <c r="AC316" s="27">
        <f>IF(ISNUMBER($P316),COUNTIFS($A$14:$A$1213,$A316,$P$14:$P$1213,"&gt;"&amp;$P316)+(COUNTIFS($A$14:$A$1213,$A316,$P$14:$P$1213,"="&amp;$P316)+1)/2,"")</f>
        <v/>
      </c>
      <c r="AD316" s="27">
        <f>IF(ISNUMBER($Q316),COUNTIFS($A$14:$A$1213,$A316,$Q$14:$Q$1213,"&gt;"&amp;$Q316)+(COUNTIFS($A$14:$A$1213,$A316,$Q$14:$Q$1213,"="&amp;$Q316)+1)/2,"")</f>
        <v/>
      </c>
      <c r="AE316" s="27">
        <f>IF(ISNUMBER($R316),COUNTIFS($A$14:$A$1213,$A316,$R$14:$R$1213,"&gt;"&amp;$R316)+(COUNTIFS($A$14:$A$1213,$A316,$R$14:$R$1213,"="&amp;$R316)+1)/2,"")</f>
        <v/>
      </c>
      <c r="AF316" s="27">
        <f>IF(ISNUMBER($S316),COUNTIFS($A$14:$A$1213,$A316,$S$14:$S$1213,"&gt;"&amp;$S316)+(COUNTIFS($A$14:$A$1213,$A316,$S$14:$S$1213,"="&amp;$S316)+1)/2,"")</f>
        <v/>
      </c>
      <c r="AG316" s="27">
        <f>IF(ISNUMBER($T316),COUNTIFS($A$14:$A$1213,$A316,$T$14:$T$1213,"&gt;"&amp;$T316)+(COUNTIFS($A$14:$A$1213,$A316,$T$14:$T$1213,"="&amp;$T316)+1)/2,"")</f>
        <v/>
      </c>
      <c r="AH316" s="27">
        <f>IF(COUNT($AC316:$AG316)&lt;2,"",IF(MAX($AC316:$AG316)=MIN($AC316:$AG316),0,1))</f>
        <v/>
      </c>
      <c r="AI316" s="27">
        <f>IF($A316="","",IF(COUNTIF($A$14:$A316,$A316)=1,COUNTIF($AI$13:AI315,"&gt;0")+1,""))</f>
        <v/>
      </c>
      <c r="AO316" s="27">
        <f>IF($A316="","",IF(AND(COUNTIFS($A$14:$A$1213,$A316,$F$14:$F$1213,"&gt;=0")=2,IFERROR(INDEX($M$14:$M$313,MATCH($A316,$H$14:$H$313,0)),"Yes")&lt;&gt;"Yes"),1,0))</f>
        <v/>
      </c>
    </row>
    <row r="317">
      <c r="A317" s="19" t="n"/>
      <c r="B317" s="20" t="n"/>
      <c r="C317" s="21">
        <f>IFERROR(AVERAGE(P317:T317),"")</f>
        <v/>
      </c>
      <c r="D317" s="29" t="n"/>
      <c r="E317" s="29" t="n"/>
      <c r="F317" s="30">
        <f>IF(AND(ISNUMBER($D317),ISNUMBER($E317),$E317&gt;0,$D317&lt;=$E317),$D317/$E317,"")</f>
        <v/>
      </c>
      <c r="P317" s="26" t="n"/>
      <c r="Q317" s="26" t="n"/>
      <c r="R317" s="26" t="n"/>
      <c r="S317" s="26" t="n"/>
      <c r="T317" s="26" t="n"/>
      <c r="V317" s="27">
        <f>IF(ISNUMBER($C317),COUNTIFS($A$14:$A$1213,$A317,$C$14:$C$1213,"&gt;"&amp;$C317)+(COUNTIFS($A$14:$A$1213,$A317,$C$14:$C$1213,"="&amp;$C317)+1)/2,"")</f>
        <v/>
      </c>
      <c r="W317" s="27">
        <f>IF(ISNUMBER($F317),COUNTIFS($A$14:$A$1213,$A317,$F$14:$F$1213,"&gt;"&amp;$F317)+(COUNTIFS($A$14:$A$1213,$A317,$F$14:$F$1213,"="&amp;$F317)+1)/2,"")</f>
        <v/>
      </c>
      <c r="X317" s="27">
        <f>IF(OR(NOT(ISNUMBER($V317)),$AO317=1),"",$V317-(COUNTIFS($A$14:$A$1213,$A317,$C$14:$C$1213,"&gt;=0")+1)/2)</f>
        <v/>
      </c>
      <c r="Y317" s="27">
        <f>IF(OR(NOT(ISNUMBER($W317)),$AO317=1),"",$W317-(COUNTIFS($A$14:$A$1213,$A317,$F$14:$F$1213,"&gt;=0")+1)/2)</f>
        <v/>
      </c>
      <c r="Z317" s="27">
        <f>IF(ISNUMBER($V317),$A317&amp;"|"&amp;$V317,"")</f>
        <v/>
      </c>
      <c r="AA317" s="27">
        <f>IF(ISNUMBER($W317),$A317&amp;"|"&amp;$W317,"")</f>
        <v/>
      </c>
      <c r="AB317" s="27">
        <f>IF(ISNUMBER($F317),$A317&amp;"|"&amp;$F317,"")</f>
        <v/>
      </c>
      <c r="AC317" s="27">
        <f>IF(ISNUMBER($P317),COUNTIFS($A$14:$A$1213,$A317,$P$14:$P$1213,"&gt;"&amp;$P317)+(COUNTIFS($A$14:$A$1213,$A317,$P$14:$P$1213,"="&amp;$P317)+1)/2,"")</f>
        <v/>
      </c>
      <c r="AD317" s="27">
        <f>IF(ISNUMBER($Q317),COUNTIFS($A$14:$A$1213,$A317,$Q$14:$Q$1213,"&gt;"&amp;$Q317)+(COUNTIFS($A$14:$A$1213,$A317,$Q$14:$Q$1213,"="&amp;$Q317)+1)/2,"")</f>
        <v/>
      </c>
      <c r="AE317" s="27">
        <f>IF(ISNUMBER($R317),COUNTIFS($A$14:$A$1213,$A317,$R$14:$R$1213,"&gt;"&amp;$R317)+(COUNTIFS($A$14:$A$1213,$A317,$R$14:$R$1213,"="&amp;$R317)+1)/2,"")</f>
        <v/>
      </c>
      <c r="AF317" s="27">
        <f>IF(ISNUMBER($S317),COUNTIFS($A$14:$A$1213,$A317,$S$14:$S$1213,"&gt;"&amp;$S317)+(COUNTIFS($A$14:$A$1213,$A317,$S$14:$S$1213,"="&amp;$S317)+1)/2,"")</f>
        <v/>
      </c>
      <c r="AG317" s="27">
        <f>IF(ISNUMBER($T317),COUNTIFS($A$14:$A$1213,$A317,$T$14:$T$1213,"&gt;"&amp;$T317)+(COUNTIFS($A$14:$A$1213,$A317,$T$14:$T$1213,"="&amp;$T317)+1)/2,"")</f>
        <v/>
      </c>
      <c r="AH317" s="27">
        <f>IF(COUNT($AC317:$AG317)&lt;2,"",IF(MAX($AC317:$AG317)=MIN($AC317:$AG317),0,1))</f>
        <v/>
      </c>
      <c r="AI317" s="27">
        <f>IF($A317="","",IF(COUNTIF($A$14:$A317,$A317)=1,COUNTIF($AI$13:AI316,"&gt;0")+1,""))</f>
        <v/>
      </c>
      <c r="AO317" s="27">
        <f>IF($A317="","",IF(AND(COUNTIFS($A$14:$A$1213,$A317,$F$14:$F$1213,"&gt;=0")=2,IFERROR(INDEX($M$14:$M$313,MATCH($A317,$H$14:$H$313,0)),"Yes")&lt;&gt;"Yes"),1,0))</f>
        <v/>
      </c>
    </row>
    <row r="318">
      <c r="A318" s="19" t="n"/>
      <c r="B318" s="20" t="n"/>
      <c r="C318" s="21">
        <f>IFERROR(AVERAGE(P318:T318),"")</f>
        <v/>
      </c>
      <c r="D318" s="29" t="n"/>
      <c r="E318" s="29" t="n"/>
      <c r="F318" s="30">
        <f>IF(AND(ISNUMBER($D318),ISNUMBER($E318),$E318&gt;0,$D318&lt;=$E318),$D318/$E318,"")</f>
        <v/>
      </c>
      <c r="P318" s="26" t="n"/>
      <c r="Q318" s="26" t="n"/>
      <c r="R318" s="26" t="n"/>
      <c r="S318" s="26" t="n"/>
      <c r="T318" s="26" t="n"/>
      <c r="V318" s="27">
        <f>IF(ISNUMBER($C318),COUNTIFS($A$14:$A$1213,$A318,$C$14:$C$1213,"&gt;"&amp;$C318)+(COUNTIFS($A$14:$A$1213,$A318,$C$14:$C$1213,"="&amp;$C318)+1)/2,"")</f>
        <v/>
      </c>
      <c r="W318" s="27">
        <f>IF(ISNUMBER($F318),COUNTIFS($A$14:$A$1213,$A318,$F$14:$F$1213,"&gt;"&amp;$F318)+(COUNTIFS($A$14:$A$1213,$A318,$F$14:$F$1213,"="&amp;$F318)+1)/2,"")</f>
        <v/>
      </c>
      <c r="X318" s="27">
        <f>IF(OR(NOT(ISNUMBER($V318)),$AO318=1),"",$V318-(COUNTIFS($A$14:$A$1213,$A318,$C$14:$C$1213,"&gt;=0")+1)/2)</f>
        <v/>
      </c>
      <c r="Y318" s="27">
        <f>IF(OR(NOT(ISNUMBER($W318)),$AO318=1),"",$W318-(COUNTIFS($A$14:$A$1213,$A318,$F$14:$F$1213,"&gt;=0")+1)/2)</f>
        <v/>
      </c>
      <c r="Z318" s="27">
        <f>IF(ISNUMBER($V318),$A318&amp;"|"&amp;$V318,"")</f>
        <v/>
      </c>
      <c r="AA318" s="27">
        <f>IF(ISNUMBER($W318),$A318&amp;"|"&amp;$W318,"")</f>
        <v/>
      </c>
      <c r="AB318" s="27">
        <f>IF(ISNUMBER($F318),$A318&amp;"|"&amp;$F318,"")</f>
        <v/>
      </c>
      <c r="AC318" s="27">
        <f>IF(ISNUMBER($P318),COUNTIFS($A$14:$A$1213,$A318,$P$14:$P$1213,"&gt;"&amp;$P318)+(COUNTIFS($A$14:$A$1213,$A318,$P$14:$P$1213,"="&amp;$P318)+1)/2,"")</f>
        <v/>
      </c>
      <c r="AD318" s="27">
        <f>IF(ISNUMBER($Q318),COUNTIFS($A$14:$A$1213,$A318,$Q$14:$Q$1213,"&gt;"&amp;$Q318)+(COUNTIFS($A$14:$A$1213,$A318,$Q$14:$Q$1213,"="&amp;$Q318)+1)/2,"")</f>
        <v/>
      </c>
      <c r="AE318" s="27">
        <f>IF(ISNUMBER($R318),COUNTIFS($A$14:$A$1213,$A318,$R$14:$R$1213,"&gt;"&amp;$R318)+(COUNTIFS($A$14:$A$1213,$A318,$R$14:$R$1213,"="&amp;$R318)+1)/2,"")</f>
        <v/>
      </c>
      <c r="AF318" s="27">
        <f>IF(ISNUMBER($S318),COUNTIFS($A$14:$A$1213,$A318,$S$14:$S$1213,"&gt;"&amp;$S318)+(COUNTIFS($A$14:$A$1213,$A318,$S$14:$S$1213,"="&amp;$S318)+1)/2,"")</f>
        <v/>
      </c>
      <c r="AG318" s="27">
        <f>IF(ISNUMBER($T318),COUNTIFS($A$14:$A$1213,$A318,$T$14:$T$1213,"&gt;"&amp;$T318)+(COUNTIFS($A$14:$A$1213,$A318,$T$14:$T$1213,"="&amp;$T318)+1)/2,"")</f>
        <v/>
      </c>
      <c r="AH318" s="27">
        <f>IF(COUNT($AC318:$AG318)&lt;2,"",IF(MAX($AC318:$AG318)=MIN($AC318:$AG318),0,1))</f>
        <v/>
      </c>
      <c r="AI318" s="27">
        <f>IF($A318="","",IF(COUNTIF($A$14:$A318,$A318)=1,COUNTIF($AI$13:AI317,"&gt;0")+1,""))</f>
        <v/>
      </c>
      <c r="AO318" s="27">
        <f>IF($A318="","",IF(AND(COUNTIFS($A$14:$A$1213,$A318,$F$14:$F$1213,"&gt;=0")=2,IFERROR(INDEX($M$14:$M$313,MATCH($A318,$H$14:$H$313,0)),"Yes")&lt;&gt;"Yes"),1,0))</f>
        <v/>
      </c>
    </row>
    <row r="319">
      <c r="A319" s="19" t="n"/>
      <c r="B319" s="20" t="n"/>
      <c r="C319" s="21">
        <f>IFERROR(AVERAGE(P319:T319),"")</f>
        <v/>
      </c>
      <c r="D319" s="29" t="n"/>
      <c r="E319" s="29" t="n"/>
      <c r="F319" s="30">
        <f>IF(AND(ISNUMBER($D319),ISNUMBER($E319),$E319&gt;0,$D319&lt;=$E319),$D319/$E319,"")</f>
        <v/>
      </c>
      <c r="P319" s="26" t="n"/>
      <c r="Q319" s="26" t="n"/>
      <c r="R319" s="26" t="n"/>
      <c r="S319" s="26" t="n"/>
      <c r="T319" s="26" t="n"/>
      <c r="V319" s="27">
        <f>IF(ISNUMBER($C319),COUNTIFS($A$14:$A$1213,$A319,$C$14:$C$1213,"&gt;"&amp;$C319)+(COUNTIFS($A$14:$A$1213,$A319,$C$14:$C$1213,"="&amp;$C319)+1)/2,"")</f>
        <v/>
      </c>
      <c r="W319" s="27">
        <f>IF(ISNUMBER($F319),COUNTIFS($A$14:$A$1213,$A319,$F$14:$F$1213,"&gt;"&amp;$F319)+(COUNTIFS($A$14:$A$1213,$A319,$F$14:$F$1213,"="&amp;$F319)+1)/2,"")</f>
        <v/>
      </c>
      <c r="X319" s="27">
        <f>IF(OR(NOT(ISNUMBER($V319)),$AO319=1),"",$V319-(COUNTIFS($A$14:$A$1213,$A319,$C$14:$C$1213,"&gt;=0")+1)/2)</f>
        <v/>
      </c>
      <c r="Y319" s="27">
        <f>IF(OR(NOT(ISNUMBER($W319)),$AO319=1),"",$W319-(COUNTIFS($A$14:$A$1213,$A319,$F$14:$F$1213,"&gt;=0")+1)/2)</f>
        <v/>
      </c>
      <c r="Z319" s="27">
        <f>IF(ISNUMBER($V319),$A319&amp;"|"&amp;$V319,"")</f>
        <v/>
      </c>
      <c r="AA319" s="27">
        <f>IF(ISNUMBER($W319),$A319&amp;"|"&amp;$W319,"")</f>
        <v/>
      </c>
      <c r="AB319" s="27">
        <f>IF(ISNUMBER($F319),$A319&amp;"|"&amp;$F319,"")</f>
        <v/>
      </c>
      <c r="AC319" s="27">
        <f>IF(ISNUMBER($P319),COUNTIFS($A$14:$A$1213,$A319,$P$14:$P$1213,"&gt;"&amp;$P319)+(COUNTIFS($A$14:$A$1213,$A319,$P$14:$P$1213,"="&amp;$P319)+1)/2,"")</f>
        <v/>
      </c>
      <c r="AD319" s="27">
        <f>IF(ISNUMBER($Q319),COUNTIFS($A$14:$A$1213,$A319,$Q$14:$Q$1213,"&gt;"&amp;$Q319)+(COUNTIFS($A$14:$A$1213,$A319,$Q$14:$Q$1213,"="&amp;$Q319)+1)/2,"")</f>
        <v/>
      </c>
      <c r="AE319" s="27">
        <f>IF(ISNUMBER($R319),COUNTIFS($A$14:$A$1213,$A319,$R$14:$R$1213,"&gt;"&amp;$R319)+(COUNTIFS($A$14:$A$1213,$A319,$R$14:$R$1213,"="&amp;$R319)+1)/2,"")</f>
        <v/>
      </c>
      <c r="AF319" s="27">
        <f>IF(ISNUMBER($S319),COUNTIFS($A$14:$A$1213,$A319,$S$14:$S$1213,"&gt;"&amp;$S319)+(COUNTIFS($A$14:$A$1213,$A319,$S$14:$S$1213,"="&amp;$S319)+1)/2,"")</f>
        <v/>
      </c>
      <c r="AG319" s="27">
        <f>IF(ISNUMBER($T319),COUNTIFS($A$14:$A$1213,$A319,$T$14:$T$1213,"&gt;"&amp;$T319)+(COUNTIFS($A$14:$A$1213,$A319,$T$14:$T$1213,"="&amp;$T319)+1)/2,"")</f>
        <v/>
      </c>
      <c r="AH319" s="27">
        <f>IF(COUNT($AC319:$AG319)&lt;2,"",IF(MAX($AC319:$AG319)=MIN($AC319:$AG319),0,1))</f>
        <v/>
      </c>
      <c r="AI319" s="27">
        <f>IF($A319="","",IF(COUNTIF($A$14:$A319,$A319)=1,COUNTIF($AI$13:AI318,"&gt;0")+1,""))</f>
        <v/>
      </c>
      <c r="AO319" s="27">
        <f>IF($A319="","",IF(AND(COUNTIFS($A$14:$A$1213,$A319,$F$14:$F$1213,"&gt;=0")=2,IFERROR(INDEX($M$14:$M$313,MATCH($A319,$H$14:$H$313,0)),"Yes")&lt;&gt;"Yes"),1,0))</f>
        <v/>
      </c>
    </row>
    <row r="320">
      <c r="A320" s="19" t="n"/>
      <c r="B320" s="20" t="n"/>
      <c r="C320" s="21">
        <f>IFERROR(AVERAGE(P320:T320),"")</f>
        <v/>
      </c>
      <c r="D320" s="29" t="n"/>
      <c r="E320" s="29" t="n"/>
      <c r="F320" s="30">
        <f>IF(AND(ISNUMBER($D320),ISNUMBER($E320),$E320&gt;0,$D320&lt;=$E320),$D320/$E320,"")</f>
        <v/>
      </c>
      <c r="P320" s="26" t="n"/>
      <c r="Q320" s="26" t="n"/>
      <c r="R320" s="26" t="n"/>
      <c r="S320" s="26" t="n"/>
      <c r="T320" s="26" t="n"/>
      <c r="V320" s="27">
        <f>IF(ISNUMBER($C320),COUNTIFS($A$14:$A$1213,$A320,$C$14:$C$1213,"&gt;"&amp;$C320)+(COUNTIFS($A$14:$A$1213,$A320,$C$14:$C$1213,"="&amp;$C320)+1)/2,"")</f>
        <v/>
      </c>
      <c r="W320" s="27">
        <f>IF(ISNUMBER($F320),COUNTIFS($A$14:$A$1213,$A320,$F$14:$F$1213,"&gt;"&amp;$F320)+(COUNTIFS($A$14:$A$1213,$A320,$F$14:$F$1213,"="&amp;$F320)+1)/2,"")</f>
        <v/>
      </c>
      <c r="X320" s="27">
        <f>IF(OR(NOT(ISNUMBER($V320)),$AO320=1),"",$V320-(COUNTIFS($A$14:$A$1213,$A320,$C$14:$C$1213,"&gt;=0")+1)/2)</f>
        <v/>
      </c>
      <c r="Y320" s="27">
        <f>IF(OR(NOT(ISNUMBER($W320)),$AO320=1),"",$W320-(COUNTIFS($A$14:$A$1213,$A320,$F$14:$F$1213,"&gt;=0")+1)/2)</f>
        <v/>
      </c>
      <c r="Z320" s="27">
        <f>IF(ISNUMBER($V320),$A320&amp;"|"&amp;$V320,"")</f>
        <v/>
      </c>
      <c r="AA320" s="27">
        <f>IF(ISNUMBER($W320),$A320&amp;"|"&amp;$W320,"")</f>
        <v/>
      </c>
      <c r="AB320" s="27">
        <f>IF(ISNUMBER($F320),$A320&amp;"|"&amp;$F320,"")</f>
        <v/>
      </c>
      <c r="AC320" s="27">
        <f>IF(ISNUMBER($P320),COUNTIFS($A$14:$A$1213,$A320,$P$14:$P$1213,"&gt;"&amp;$P320)+(COUNTIFS($A$14:$A$1213,$A320,$P$14:$P$1213,"="&amp;$P320)+1)/2,"")</f>
        <v/>
      </c>
      <c r="AD320" s="27">
        <f>IF(ISNUMBER($Q320),COUNTIFS($A$14:$A$1213,$A320,$Q$14:$Q$1213,"&gt;"&amp;$Q320)+(COUNTIFS($A$14:$A$1213,$A320,$Q$14:$Q$1213,"="&amp;$Q320)+1)/2,"")</f>
        <v/>
      </c>
      <c r="AE320" s="27">
        <f>IF(ISNUMBER($R320),COUNTIFS($A$14:$A$1213,$A320,$R$14:$R$1213,"&gt;"&amp;$R320)+(COUNTIFS($A$14:$A$1213,$A320,$R$14:$R$1213,"="&amp;$R320)+1)/2,"")</f>
        <v/>
      </c>
      <c r="AF320" s="27">
        <f>IF(ISNUMBER($S320),COUNTIFS($A$14:$A$1213,$A320,$S$14:$S$1213,"&gt;"&amp;$S320)+(COUNTIFS($A$14:$A$1213,$A320,$S$14:$S$1213,"="&amp;$S320)+1)/2,"")</f>
        <v/>
      </c>
      <c r="AG320" s="27">
        <f>IF(ISNUMBER($T320),COUNTIFS($A$14:$A$1213,$A320,$T$14:$T$1213,"&gt;"&amp;$T320)+(COUNTIFS($A$14:$A$1213,$A320,$T$14:$T$1213,"="&amp;$T320)+1)/2,"")</f>
        <v/>
      </c>
      <c r="AH320" s="27">
        <f>IF(COUNT($AC320:$AG320)&lt;2,"",IF(MAX($AC320:$AG320)=MIN($AC320:$AG320),0,1))</f>
        <v/>
      </c>
      <c r="AI320" s="27">
        <f>IF($A320="","",IF(COUNTIF($A$14:$A320,$A320)=1,COUNTIF($AI$13:AI319,"&gt;0")+1,""))</f>
        <v/>
      </c>
      <c r="AO320" s="27">
        <f>IF($A320="","",IF(AND(COUNTIFS($A$14:$A$1213,$A320,$F$14:$F$1213,"&gt;=0")=2,IFERROR(INDEX($M$14:$M$313,MATCH($A320,$H$14:$H$313,0)),"Yes")&lt;&gt;"Yes"),1,0))</f>
        <v/>
      </c>
    </row>
    <row r="321">
      <c r="A321" s="19" t="n"/>
      <c r="B321" s="20" t="n"/>
      <c r="C321" s="21">
        <f>IFERROR(AVERAGE(P321:T321),"")</f>
        <v/>
      </c>
      <c r="D321" s="29" t="n"/>
      <c r="E321" s="29" t="n"/>
      <c r="F321" s="30">
        <f>IF(AND(ISNUMBER($D321),ISNUMBER($E321),$E321&gt;0,$D321&lt;=$E321),$D321/$E321,"")</f>
        <v/>
      </c>
      <c r="P321" s="26" t="n"/>
      <c r="Q321" s="26" t="n"/>
      <c r="R321" s="26" t="n"/>
      <c r="S321" s="26" t="n"/>
      <c r="T321" s="26" t="n"/>
      <c r="V321" s="27">
        <f>IF(ISNUMBER($C321),COUNTIFS($A$14:$A$1213,$A321,$C$14:$C$1213,"&gt;"&amp;$C321)+(COUNTIFS($A$14:$A$1213,$A321,$C$14:$C$1213,"="&amp;$C321)+1)/2,"")</f>
        <v/>
      </c>
      <c r="W321" s="27">
        <f>IF(ISNUMBER($F321),COUNTIFS($A$14:$A$1213,$A321,$F$14:$F$1213,"&gt;"&amp;$F321)+(COUNTIFS($A$14:$A$1213,$A321,$F$14:$F$1213,"="&amp;$F321)+1)/2,"")</f>
        <v/>
      </c>
      <c r="X321" s="27">
        <f>IF(OR(NOT(ISNUMBER($V321)),$AO321=1),"",$V321-(COUNTIFS($A$14:$A$1213,$A321,$C$14:$C$1213,"&gt;=0")+1)/2)</f>
        <v/>
      </c>
      <c r="Y321" s="27">
        <f>IF(OR(NOT(ISNUMBER($W321)),$AO321=1),"",$W321-(COUNTIFS($A$14:$A$1213,$A321,$F$14:$F$1213,"&gt;=0")+1)/2)</f>
        <v/>
      </c>
      <c r="Z321" s="27">
        <f>IF(ISNUMBER($V321),$A321&amp;"|"&amp;$V321,"")</f>
        <v/>
      </c>
      <c r="AA321" s="27">
        <f>IF(ISNUMBER($W321),$A321&amp;"|"&amp;$W321,"")</f>
        <v/>
      </c>
      <c r="AB321" s="27">
        <f>IF(ISNUMBER($F321),$A321&amp;"|"&amp;$F321,"")</f>
        <v/>
      </c>
      <c r="AC321" s="27">
        <f>IF(ISNUMBER($P321),COUNTIFS($A$14:$A$1213,$A321,$P$14:$P$1213,"&gt;"&amp;$P321)+(COUNTIFS($A$14:$A$1213,$A321,$P$14:$P$1213,"="&amp;$P321)+1)/2,"")</f>
        <v/>
      </c>
      <c r="AD321" s="27">
        <f>IF(ISNUMBER($Q321),COUNTIFS($A$14:$A$1213,$A321,$Q$14:$Q$1213,"&gt;"&amp;$Q321)+(COUNTIFS($A$14:$A$1213,$A321,$Q$14:$Q$1213,"="&amp;$Q321)+1)/2,"")</f>
        <v/>
      </c>
      <c r="AE321" s="27">
        <f>IF(ISNUMBER($R321),COUNTIFS($A$14:$A$1213,$A321,$R$14:$R$1213,"&gt;"&amp;$R321)+(COUNTIFS($A$14:$A$1213,$A321,$R$14:$R$1213,"="&amp;$R321)+1)/2,"")</f>
        <v/>
      </c>
      <c r="AF321" s="27">
        <f>IF(ISNUMBER($S321),COUNTIFS($A$14:$A$1213,$A321,$S$14:$S$1213,"&gt;"&amp;$S321)+(COUNTIFS($A$14:$A$1213,$A321,$S$14:$S$1213,"="&amp;$S321)+1)/2,"")</f>
        <v/>
      </c>
      <c r="AG321" s="27">
        <f>IF(ISNUMBER($T321),COUNTIFS($A$14:$A$1213,$A321,$T$14:$T$1213,"&gt;"&amp;$T321)+(COUNTIFS($A$14:$A$1213,$A321,$T$14:$T$1213,"="&amp;$T321)+1)/2,"")</f>
        <v/>
      </c>
      <c r="AH321" s="27">
        <f>IF(COUNT($AC321:$AG321)&lt;2,"",IF(MAX($AC321:$AG321)=MIN($AC321:$AG321),0,1))</f>
        <v/>
      </c>
      <c r="AI321" s="27">
        <f>IF($A321="","",IF(COUNTIF($A$14:$A321,$A321)=1,COUNTIF($AI$13:AI320,"&gt;0")+1,""))</f>
        <v/>
      </c>
      <c r="AO321" s="27">
        <f>IF($A321="","",IF(AND(COUNTIFS($A$14:$A$1213,$A321,$F$14:$F$1213,"&gt;=0")=2,IFERROR(INDEX($M$14:$M$313,MATCH($A321,$H$14:$H$313,0)),"Yes")&lt;&gt;"Yes"),1,0))</f>
        <v/>
      </c>
    </row>
    <row r="322">
      <c r="A322" s="19" t="n"/>
      <c r="B322" s="20" t="n"/>
      <c r="C322" s="21">
        <f>IFERROR(AVERAGE(P322:T322),"")</f>
        <v/>
      </c>
      <c r="D322" s="29" t="n"/>
      <c r="E322" s="29" t="n"/>
      <c r="F322" s="30">
        <f>IF(AND(ISNUMBER($D322),ISNUMBER($E322),$E322&gt;0,$D322&lt;=$E322),$D322/$E322,"")</f>
        <v/>
      </c>
      <c r="P322" s="26" t="n"/>
      <c r="Q322" s="26" t="n"/>
      <c r="R322" s="26" t="n"/>
      <c r="S322" s="26" t="n"/>
      <c r="T322" s="26" t="n"/>
      <c r="V322" s="27">
        <f>IF(ISNUMBER($C322),COUNTIFS($A$14:$A$1213,$A322,$C$14:$C$1213,"&gt;"&amp;$C322)+(COUNTIFS($A$14:$A$1213,$A322,$C$14:$C$1213,"="&amp;$C322)+1)/2,"")</f>
        <v/>
      </c>
      <c r="W322" s="27">
        <f>IF(ISNUMBER($F322),COUNTIFS($A$14:$A$1213,$A322,$F$14:$F$1213,"&gt;"&amp;$F322)+(COUNTIFS($A$14:$A$1213,$A322,$F$14:$F$1213,"="&amp;$F322)+1)/2,"")</f>
        <v/>
      </c>
      <c r="X322" s="27">
        <f>IF(OR(NOT(ISNUMBER($V322)),$AO322=1),"",$V322-(COUNTIFS($A$14:$A$1213,$A322,$C$14:$C$1213,"&gt;=0")+1)/2)</f>
        <v/>
      </c>
      <c r="Y322" s="27">
        <f>IF(OR(NOT(ISNUMBER($W322)),$AO322=1),"",$W322-(COUNTIFS($A$14:$A$1213,$A322,$F$14:$F$1213,"&gt;=0")+1)/2)</f>
        <v/>
      </c>
      <c r="Z322" s="27">
        <f>IF(ISNUMBER($V322),$A322&amp;"|"&amp;$V322,"")</f>
        <v/>
      </c>
      <c r="AA322" s="27">
        <f>IF(ISNUMBER($W322),$A322&amp;"|"&amp;$W322,"")</f>
        <v/>
      </c>
      <c r="AB322" s="27">
        <f>IF(ISNUMBER($F322),$A322&amp;"|"&amp;$F322,"")</f>
        <v/>
      </c>
      <c r="AC322" s="27">
        <f>IF(ISNUMBER($P322),COUNTIFS($A$14:$A$1213,$A322,$P$14:$P$1213,"&gt;"&amp;$P322)+(COUNTIFS($A$14:$A$1213,$A322,$P$14:$P$1213,"="&amp;$P322)+1)/2,"")</f>
        <v/>
      </c>
      <c r="AD322" s="27">
        <f>IF(ISNUMBER($Q322),COUNTIFS($A$14:$A$1213,$A322,$Q$14:$Q$1213,"&gt;"&amp;$Q322)+(COUNTIFS($A$14:$A$1213,$A322,$Q$14:$Q$1213,"="&amp;$Q322)+1)/2,"")</f>
        <v/>
      </c>
      <c r="AE322" s="27">
        <f>IF(ISNUMBER($R322),COUNTIFS($A$14:$A$1213,$A322,$R$14:$R$1213,"&gt;"&amp;$R322)+(COUNTIFS($A$14:$A$1213,$A322,$R$14:$R$1213,"="&amp;$R322)+1)/2,"")</f>
        <v/>
      </c>
      <c r="AF322" s="27">
        <f>IF(ISNUMBER($S322),COUNTIFS($A$14:$A$1213,$A322,$S$14:$S$1213,"&gt;"&amp;$S322)+(COUNTIFS($A$14:$A$1213,$A322,$S$14:$S$1213,"="&amp;$S322)+1)/2,"")</f>
        <v/>
      </c>
      <c r="AG322" s="27">
        <f>IF(ISNUMBER($T322),COUNTIFS($A$14:$A$1213,$A322,$T$14:$T$1213,"&gt;"&amp;$T322)+(COUNTIFS($A$14:$A$1213,$A322,$T$14:$T$1213,"="&amp;$T322)+1)/2,"")</f>
        <v/>
      </c>
      <c r="AH322" s="27">
        <f>IF(COUNT($AC322:$AG322)&lt;2,"",IF(MAX($AC322:$AG322)=MIN($AC322:$AG322),0,1))</f>
        <v/>
      </c>
      <c r="AI322" s="27">
        <f>IF($A322="","",IF(COUNTIF($A$14:$A322,$A322)=1,COUNTIF($AI$13:AI321,"&gt;0")+1,""))</f>
        <v/>
      </c>
      <c r="AO322" s="27">
        <f>IF($A322="","",IF(AND(COUNTIFS($A$14:$A$1213,$A322,$F$14:$F$1213,"&gt;=0")=2,IFERROR(INDEX($M$14:$M$313,MATCH($A322,$H$14:$H$313,0)),"Yes")&lt;&gt;"Yes"),1,0))</f>
        <v/>
      </c>
    </row>
    <row r="323">
      <c r="A323" s="19" t="n"/>
      <c r="B323" s="20" t="n"/>
      <c r="C323" s="21">
        <f>IFERROR(AVERAGE(P323:T323),"")</f>
        <v/>
      </c>
      <c r="D323" s="29" t="n"/>
      <c r="E323" s="29" t="n"/>
      <c r="F323" s="30">
        <f>IF(AND(ISNUMBER($D323),ISNUMBER($E323),$E323&gt;0,$D323&lt;=$E323),$D323/$E323,"")</f>
        <v/>
      </c>
      <c r="P323" s="26" t="n"/>
      <c r="Q323" s="26" t="n"/>
      <c r="R323" s="26" t="n"/>
      <c r="S323" s="26" t="n"/>
      <c r="T323" s="26" t="n"/>
      <c r="V323" s="27">
        <f>IF(ISNUMBER($C323),COUNTIFS($A$14:$A$1213,$A323,$C$14:$C$1213,"&gt;"&amp;$C323)+(COUNTIFS($A$14:$A$1213,$A323,$C$14:$C$1213,"="&amp;$C323)+1)/2,"")</f>
        <v/>
      </c>
      <c r="W323" s="27">
        <f>IF(ISNUMBER($F323),COUNTIFS($A$14:$A$1213,$A323,$F$14:$F$1213,"&gt;"&amp;$F323)+(COUNTIFS($A$14:$A$1213,$A323,$F$14:$F$1213,"="&amp;$F323)+1)/2,"")</f>
        <v/>
      </c>
      <c r="X323" s="27">
        <f>IF(OR(NOT(ISNUMBER($V323)),$AO323=1),"",$V323-(COUNTIFS($A$14:$A$1213,$A323,$C$14:$C$1213,"&gt;=0")+1)/2)</f>
        <v/>
      </c>
      <c r="Y323" s="27">
        <f>IF(OR(NOT(ISNUMBER($W323)),$AO323=1),"",$W323-(COUNTIFS($A$14:$A$1213,$A323,$F$14:$F$1213,"&gt;=0")+1)/2)</f>
        <v/>
      </c>
      <c r="Z323" s="27">
        <f>IF(ISNUMBER($V323),$A323&amp;"|"&amp;$V323,"")</f>
        <v/>
      </c>
      <c r="AA323" s="27">
        <f>IF(ISNUMBER($W323),$A323&amp;"|"&amp;$W323,"")</f>
        <v/>
      </c>
      <c r="AB323" s="27">
        <f>IF(ISNUMBER($F323),$A323&amp;"|"&amp;$F323,"")</f>
        <v/>
      </c>
      <c r="AC323" s="27">
        <f>IF(ISNUMBER($P323),COUNTIFS($A$14:$A$1213,$A323,$P$14:$P$1213,"&gt;"&amp;$P323)+(COUNTIFS($A$14:$A$1213,$A323,$P$14:$P$1213,"="&amp;$P323)+1)/2,"")</f>
        <v/>
      </c>
      <c r="AD323" s="27">
        <f>IF(ISNUMBER($Q323),COUNTIFS($A$14:$A$1213,$A323,$Q$14:$Q$1213,"&gt;"&amp;$Q323)+(COUNTIFS($A$14:$A$1213,$A323,$Q$14:$Q$1213,"="&amp;$Q323)+1)/2,"")</f>
        <v/>
      </c>
      <c r="AE323" s="27">
        <f>IF(ISNUMBER($R323),COUNTIFS($A$14:$A$1213,$A323,$R$14:$R$1213,"&gt;"&amp;$R323)+(COUNTIFS($A$14:$A$1213,$A323,$R$14:$R$1213,"="&amp;$R323)+1)/2,"")</f>
        <v/>
      </c>
      <c r="AF323" s="27">
        <f>IF(ISNUMBER($S323),COUNTIFS($A$14:$A$1213,$A323,$S$14:$S$1213,"&gt;"&amp;$S323)+(COUNTIFS($A$14:$A$1213,$A323,$S$14:$S$1213,"="&amp;$S323)+1)/2,"")</f>
        <v/>
      </c>
      <c r="AG323" s="27">
        <f>IF(ISNUMBER($T323),COUNTIFS($A$14:$A$1213,$A323,$T$14:$T$1213,"&gt;"&amp;$T323)+(COUNTIFS($A$14:$A$1213,$A323,$T$14:$T$1213,"="&amp;$T323)+1)/2,"")</f>
        <v/>
      </c>
      <c r="AH323" s="27">
        <f>IF(COUNT($AC323:$AG323)&lt;2,"",IF(MAX($AC323:$AG323)=MIN($AC323:$AG323),0,1))</f>
        <v/>
      </c>
      <c r="AI323" s="27">
        <f>IF($A323="","",IF(COUNTIF($A$14:$A323,$A323)=1,COUNTIF($AI$13:AI322,"&gt;0")+1,""))</f>
        <v/>
      </c>
      <c r="AO323" s="27">
        <f>IF($A323="","",IF(AND(COUNTIFS($A$14:$A$1213,$A323,$F$14:$F$1213,"&gt;=0")=2,IFERROR(INDEX($M$14:$M$313,MATCH($A323,$H$14:$H$313,0)),"Yes")&lt;&gt;"Yes"),1,0))</f>
        <v/>
      </c>
    </row>
    <row r="324">
      <c r="A324" s="19" t="n"/>
      <c r="B324" s="20" t="n"/>
      <c r="C324" s="21">
        <f>IFERROR(AVERAGE(P324:T324),"")</f>
        <v/>
      </c>
      <c r="D324" s="29" t="n"/>
      <c r="E324" s="29" t="n"/>
      <c r="F324" s="30">
        <f>IF(AND(ISNUMBER($D324),ISNUMBER($E324),$E324&gt;0,$D324&lt;=$E324),$D324/$E324,"")</f>
        <v/>
      </c>
      <c r="P324" s="26" t="n"/>
      <c r="Q324" s="26" t="n"/>
      <c r="R324" s="26" t="n"/>
      <c r="S324" s="26" t="n"/>
      <c r="T324" s="26" t="n"/>
      <c r="V324" s="27">
        <f>IF(ISNUMBER($C324),COUNTIFS($A$14:$A$1213,$A324,$C$14:$C$1213,"&gt;"&amp;$C324)+(COUNTIFS($A$14:$A$1213,$A324,$C$14:$C$1213,"="&amp;$C324)+1)/2,"")</f>
        <v/>
      </c>
      <c r="W324" s="27">
        <f>IF(ISNUMBER($F324),COUNTIFS($A$14:$A$1213,$A324,$F$14:$F$1213,"&gt;"&amp;$F324)+(COUNTIFS($A$14:$A$1213,$A324,$F$14:$F$1213,"="&amp;$F324)+1)/2,"")</f>
        <v/>
      </c>
      <c r="X324" s="27">
        <f>IF(OR(NOT(ISNUMBER($V324)),$AO324=1),"",$V324-(COUNTIFS($A$14:$A$1213,$A324,$C$14:$C$1213,"&gt;=0")+1)/2)</f>
        <v/>
      </c>
      <c r="Y324" s="27">
        <f>IF(OR(NOT(ISNUMBER($W324)),$AO324=1),"",$W324-(COUNTIFS($A$14:$A$1213,$A324,$F$14:$F$1213,"&gt;=0")+1)/2)</f>
        <v/>
      </c>
      <c r="Z324" s="27">
        <f>IF(ISNUMBER($V324),$A324&amp;"|"&amp;$V324,"")</f>
        <v/>
      </c>
      <c r="AA324" s="27">
        <f>IF(ISNUMBER($W324),$A324&amp;"|"&amp;$W324,"")</f>
        <v/>
      </c>
      <c r="AB324" s="27">
        <f>IF(ISNUMBER($F324),$A324&amp;"|"&amp;$F324,"")</f>
        <v/>
      </c>
      <c r="AC324" s="27">
        <f>IF(ISNUMBER($P324),COUNTIFS($A$14:$A$1213,$A324,$P$14:$P$1213,"&gt;"&amp;$P324)+(COUNTIFS($A$14:$A$1213,$A324,$P$14:$P$1213,"="&amp;$P324)+1)/2,"")</f>
        <v/>
      </c>
      <c r="AD324" s="27">
        <f>IF(ISNUMBER($Q324),COUNTIFS($A$14:$A$1213,$A324,$Q$14:$Q$1213,"&gt;"&amp;$Q324)+(COUNTIFS($A$14:$A$1213,$A324,$Q$14:$Q$1213,"="&amp;$Q324)+1)/2,"")</f>
        <v/>
      </c>
      <c r="AE324" s="27">
        <f>IF(ISNUMBER($R324),COUNTIFS($A$14:$A$1213,$A324,$R$14:$R$1213,"&gt;"&amp;$R324)+(COUNTIFS($A$14:$A$1213,$A324,$R$14:$R$1213,"="&amp;$R324)+1)/2,"")</f>
        <v/>
      </c>
      <c r="AF324" s="27">
        <f>IF(ISNUMBER($S324),COUNTIFS($A$14:$A$1213,$A324,$S$14:$S$1213,"&gt;"&amp;$S324)+(COUNTIFS($A$14:$A$1213,$A324,$S$14:$S$1213,"="&amp;$S324)+1)/2,"")</f>
        <v/>
      </c>
      <c r="AG324" s="27">
        <f>IF(ISNUMBER($T324),COUNTIFS($A$14:$A$1213,$A324,$T$14:$T$1213,"&gt;"&amp;$T324)+(COUNTIFS($A$14:$A$1213,$A324,$T$14:$T$1213,"="&amp;$T324)+1)/2,"")</f>
        <v/>
      </c>
      <c r="AH324" s="27">
        <f>IF(COUNT($AC324:$AG324)&lt;2,"",IF(MAX($AC324:$AG324)=MIN($AC324:$AG324),0,1))</f>
        <v/>
      </c>
      <c r="AI324" s="27">
        <f>IF($A324="","",IF(COUNTIF($A$14:$A324,$A324)=1,COUNTIF($AI$13:AI323,"&gt;0")+1,""))</f>
        <v/>
      </c>
      <c r="AO324" s="27">
        <f>IF($A324="","",IF(AND(COUNTIFS($A$14:$A$1213,$A324,$F$14:$F$1213,"&gt;=0")=2,IFERROR(INDEX($M$14:$M$313,MATCH($A324,$H$14:$H$313,0)),"Yes")&lt;&gt;"Yes"),1,0))</f>
        <v/>
      </c>
    </row>
    <row r="325">
      <c r="A325" s="19" t="n"/>
      <c r="B325" s="20" t="n"/>
      <c r="C325" s="21">
        <f>IFERROR(AVERAGE(P325:T325),"")</f>
        <v/>
      </c>
      <c r="D325" s="29" t="n"/>
      <c r="E325" s="29" t="n"/>
      <c r="F325" s="30">
        <f>IF(AND(ISNUMBER($D325),ISNUMBER($E325),$E325&gt;0,$D325&lt;=$E325),$D325/$E325,"")</f>
        <v/>
      </c>
      <c r="P325" s="26" t="n"/>
      <c r="Q325" s="26" t="n"/>
      <c r="R325" s="26" t="n"/>
      <c r="S325" s="26" t="n"/>
      <c r="T325" s="26" t="n"/>
      <c r="V325" s="27">
        <f>IF(ISNUMBER($C325),COUNTIFS($A$14:$A$1213,$A325,$C$14:$C$1213,"&gt;"&amp;$C325)+(COUNTIFS($A$14:$A$1213,$A325,$C$14:$C$1213,"="&amp;$C325)+1)/2,"")</f>
        <v/>
      </c>
      <c r="W325" s="27">
        <f>IF(ISNUMBER($F325),COUNTIFS($A$14:$A$1213,$A325,$F$14:$F$1213,"&gt;"&amp;$F325)+(COUNTIFS($A$14:$A$1213,$A325,$F$14:$F$1213,"="&amp;$F325)+1)/2,"")</f>
        <v/>
      </c>
      <c r="X325" s="27">
        <f>IF(OR(NOT(ISNUMBER($V325)),$AO325=1),"",$V325-(COUNTIFS($A$14:$A$1213,$A325,$C$14:$C$1213,"&gt;=0")+1)/2)</f>
        <v/>
      </c>
      <c r="Y325" s="27">
        <f>IF(OR(NOT(ISNUMBER($W325)),$AO325=1),"",$W325-(COUNTIFS($A$14:$A$1213,$A325,$F$14:$F$1213,"&gt;=0")+1)/2)</f>
        <v/>
      </c>
      <c r="Z325" s="27">
        <f>IF(ISNUMBER($V325),$A325&amp;"|"&amp;$V325,"")</f>
        <v/>
      </c>
      <c r="AA325" s="27">
        <f>IF(ISNUMBER($W325),$A325&amp;"|"&amp;$W325,"")</f>
        <v/>
      </c>
      <c r="AB325" s="27">
        <f>IF(ISNUMBER($F325),$A325&amp;"|"&amp;$F325,"")</f>
        <v/>
      </c>
      <c r="AC325" s="27">
        <f>IF(ISNUMBER($P325),COUNTIFS($A$14:$A$1213,$A325,$P$14:$P$1213,"&gt;"&amp;$P325)+(COUNTIFS($A$14:$A$1213,$A325,$P$14:$P$1213,"="&amp;$P325)+1)/2,"")</f>
        <v/>
      </c>
      <c r="AD325" s="27">
        <f>IF(ISNUMBER($Q325),COUNTIFS($A$14:$A$1213,$A325,$Q$14:$Q$1213,"&gt;"&amp;$Q325)+(COUNTIFS($A$14:$A$1213,$A325,$Q$14:$Q$1213,"="&amp;$Q325)+1)/2,"")</f>
        <v/>
      </c>
      <c r="AE325" s="27">
        <f>IF(ISNUMBER($R325),COUNTIFS($A$14:$A$1213,$A325,$R$14:$R$1213,"&gt;"&amp;$R325)+(COUNTIFS($A$14:$A$1213,$A325,$R$14:$R$1213,"="&amp;$R325)+1)/2,"")</f>
        <v/>
      </c>
      <c r="AF325" s="27">
        <f>IF(ISNUMBER($S325),COUNTIFS($A$14:$A$1213,$A325,$S$14:$S$1213,"&gt;"&amp;$S325)+(COUNTIFS($A$14:$A$1213,$A325,$S$14:$S$1213,"="&amp;$S325)+1)/2,"")</f>
        <v/>
      </c>
      <c r="AG325" s="27">
        <f>IF(ISNUMBER($T325),COUNTIFS($A$14:$A$1213,$A325,$T$14:$T$1213,"&gt;"&amp;$T325)+(COUNTIFS($A$14:$A$1213,$A325,$T$14:$T$1213,"="&amp;$T325)+1)/2,"")</f>
        <v/>
      </c>
      <c r="AH325" s="27">
        <f>IF(COUNT($AC325:$AG325)&lt;2,"",IF(MAX($AC325:$AG325)=MIN($AC325:$AG325),0,1))</f>
        <v/>
      </c>
      <c r="AI325" s="27">
        <f>IF($A325="","",IF(COUNTIF($A$14:$A325,$A325)=1,COUNTIF($AI$13:AI324,"&gt;0")+1,""))</f>
        <v/>
      </c>
      <c r="AO325" s="27">
        <f>IF($A325="","",IF(AND(COUNTIFS($A$14:$A$1213,$A325,$F$14:$F$1213,"&gt;=0")=2,IFERROR(INDEX($M$14:$M$313,MATCH($A325,$H$14:$H$313,0)),"Yes")&lt;&gt;"Yes"),1,0))</f>
        <v/>
      </c>
    </row>
    <row r="326">
      <c r="A326" s="19" t="n"/>
      <c r="B326" s="20" t="n"/>
      <c r="C326" s="21">
        <f>IFERROR(AVERAGE(P326:T326),"")</f>
        <v/>
      </c>
      <c r="D326" s="29" t="n"/>
      <c r="E326" s="29" t="n"/>
      <c r="F326" s="30">
        <f>IF(AND(ISNUMBER($D326),ISNUMBER($E326),$E326&gt;0,$D326&lt;=$E326),$D326/$E326,"")</f>
        <v/>
      </c>
      <c r="P326" s="26" t="n"/>
      <c r="Q326" s="26" t="n"/>
      <c r="R326" s="26" t="n"/>
      <c r="S326" s="26" t="n"/>
      <c r="T326" s="26" t="n"/>
      <c r="V326" s="27">
        <f>IF(ISNUMBER($C326),COUNTIFS($A$14:$A$1213,$A326,$C$14:$C$1213,"&gt;"&amp;$C326)+(COUNTIFS($A$14:$A$1213,$A326,$C$14:$C$1213,"="&amp;$C326)+1)/2,"")</f>
        <v/>
      </c>
      <c r="W326" s="27">
        <f>IF(ISNUMBER($F326),COUNTIFS($A$14:$A$1213,$A326,$F$14:$F$1213,"&gt;"&amp;$F326)+(COUNTIFS($A$14:$A$1213,$A326,$F$14:$F$1213,"="&amp;$F326)+1)/2,"")</f>
        <v/>
      </c>
      <c r="X326" s="27">
        <f>IF(OR(NOT(ISNUMBER($V326)),$AO326=1),"",$V326-(COUNTIFS($A$14:$A$1213,$A326,$C$14:$C$1213,"&gt;=0")+1)/2)</f>
        <v/>
      </c>
      <c r="Y326" s="27">
        <f>IF(OR(NOT(ISNUMBER($W326)),$AO326=1),"",$W326-(COUNTIFS($A$14:$A$1213,$A326,$F$14:$F$1213,"&gt;=0")+1)/2)</f>
        <v/>
      </c>
      <c r="Z326" s="27">
        <f>IF(ISNUMBER($V326),$A326&amp;"|"&amp;$V326,"")</f>
        <v/>
      </c>
      <c r="AA326" s="27">
        <f>IF(ISNUMBER($W326),$A326&amp;"|"&amp;$W326,"")</f>
        <v/>
      </c>
      <c r="AB326" s="27">
        <f>IF(ISNUMBER($F326),$A326&amp;"|"&amp;$F326,"")</f>
        <v/>
      </c>
      <c r="AC326" s="27">
        <f>IF(ISNUMBER($P326),COUNTIFS($A$14:$A$1213,$A326,$P$14:$P$1213,"&gt;"&amp;$P326)+(COUNTIFS($A$14:$A$1213,$A326,$P$14:$P$1213,"="&amp;$P326)+1)/2,"")</f>
        <v/>
      </c>
      <c r="AD326" s="27">
        <f>IF(ISNUMBER($Q326),COUNTIFS($A$14:$A$1213,$A326,$Q$14:$Q$1213,"&gt;"&amp;$Q326)+(COUNTIFS($A$14:$A$1213,$A326,$Q$14:$Q$1213,"="&amp;$Q326)+1)/2,"")</f>
        <v/>
      </c>
      <c r="AE326" s="27">
        <f>IF(ISNUMBER($R326),COUNTIFS($A$14:$A$1213,$A326,$R$14:$R$1213,"&gt;"&amp;$R326)+(COUNTIFS($A$14:$A$1213,$A326,$R$14:$R$1213,"="&amp;$R326)+1)/2,"")</f>
        <v/>
      </c>
      <c r="AF326" s="27">
        <f>IF(ISNUMBER($S326),COUNTIFS($A$14:$A$1213,$A326,$S$14:$S$1213,"&gt;"&amp;$S326)+(COUNTIFS($A$14:$A$1213,$A326,$S$14:$S$1213,"="&amp;$S326)+1)/2,"")</f>
        <v/>
      </c>
      <c r="AG326" s="27">
        <f>IF(ISNUMBER($T326),COUNTIFS($A$14:$A$1213,$A326,$T$14:$T$1213,"&gt;"&amp;$T326)+(COUNTIFS($A$14:$A$1213,$A326,$T$14:$T$1213,"="&amp;$T326)+1)/2,"")</f>
        <v/>
      </c>
      <c r="AH326" s="27">
        <f>IF(COUNT($AC326:$AG326)&lt;2,"",IF(MAX($AC326:$AG326)=MIN($AC326:$AG326),0,1))</f>
        <v/>
      </c>
      <c r="AI326" s="27">
        <f>IF($A326="","",IF(COUNTIF($A$14:$A326,$A326)=1,COUNTIF($AI$13:AI325,"&gt;0")+1,""))</f>
        <v/>
      </c>
      <c r="AO326" s="27">
        <f>IF($A326="","",IF(AND(COUNTIFS($A$14:$A$1213,$A326,$F$14:$F$1213,"&gt;=0")=2,IFERROR(INDEX($M$14:$M$313,MATCH($A326,$H$14:$H$313,0)),"Yes")&lt;&gt;"Yes"),1,0))</f>
        <v/>
      </c>
    </row>
    <row r="327">
      <c r="A327" s="19" t="n"/>
      <c r="B327" s="20" t="n"/>
      <c r="C327" s="21">
        <f>IFERROR(AVERAGE(P327:T327),"")</f>
        <v/>
      </c>
      <c r="D327" s="29" t="n"/>
      <c r="E327" s="29" t="n"/>
      <c r="F327" s="30">
        <f>IF(AND(ISNUMBER($D327),ISNUMBER($E327),$E327&gt;0,$D327&lt;=$E327),$D327/$E327,"")</f>
        <v/>
      </c>
      <c r="P327" s="26" t="n"/>
      <c r="Q327" s="26" t="n"/>
      <c r="R327" s="26" t="n"/>
      <c r="S327" s="26" t="n"/>
      <c r="T327" s="26" t="n"/>
      <c r="V327" s="27">
        <f>IF(ISNUMBER($C327),COUNTIFS($A$14:$A$1213,$A327,$C$14:$C$1213,"&gt;"&amp;$C327)+(COUNTIFS($A$14:$A$1213,$A327,$C$14:$C$1213,"="&amp;$C327)+1)/2,"")</f>
        <v/>
      </c>
      <c r="W327" s="27">
        <f>IF(ISNUMBER($F327),COUNTIFS($A$14:$A$1213,$A327,$F$14:$F$1213,"&gt;"&amp;$F327)+(COUNTIFS($A$14:$A$1213,$A327,$F$14:$F$1213,"="&amp;$F327)+1)/2,"")</f>
        <v/>
      </c>
      <c r="X327" s="27">
        <f>IF(OR(NOT(ISNUMBER($V327)),$AO327=1),"",$V327-(COUNTIFS($A$14:$A$1213,$A327,$C$14:$C$1213,"&gt;=0")+1)/2)</f>
        <v/>
      </c>
      <c r="Y327" s="27">
        <f>IF(OR(NOT(ISNUMBER($W327)),$AO327=1),"",$W327-(COUNTIFS($A$14:$A$1213,$A327,$F$14:$F$1213,"&gt;=0")+1)/2)</f>
        <v/>
      </c>
      <c r="Z327" s="27">
        <f>IF(ISNUMBER($V327),$A327&amp;"|"&amp;$V327,"")</f>
        <v/>
      </c>
      <c r="AA327" s="27">
        <f>IF(ISNUMBER($W327),$A327&amp;"|"&amp;$W327,"")</f>
        <v/>
      </c>
      <c r="AB327" s="27">
        <f>IF(ISNUMBER($F327),$A327&amp;"|"&amp;$F327,"")</f>
        <v/>
      </c>
      <c r="AC327" s="27">
        <f>IF(ISNUMBER($P327),COUNTIFS($A$14:$A$1213,$A327,$P$14:$P$1213,"&gt;"&amp;$P327)+(COUNTIFS($A$14:$A$1213,$A327,$P$14:$P$1213,"="&amp;$P327)+1)/2,"")</f>
        <v/>
      </c>
      <c r="AD327" s="27">
        <f>IF(ISNUMBER($Q327),COUNTIFS($A$14:$A$1213,$A327,$Q$14:$Q$1213,"&gt;"&amp;$Q327)+(COUNTIFS($A$14:$A$1213,$A327,$Q$14:$Q$1213,"="&amp;$Q327)+1)/2,"")</f>
        <v/>
      </c>
      <c r="AE327" s="27">
        <f>IF(ISNUMBER($R327),COUNTIFS($A$14:$A$1213,$A327,$R$14:$R$1213,"&gt;"&amp;$R327)+(COUNTIFS($A$14:$A$1213,$A327,$R$14:$R$1213,"="&amp;$R327)+1)/2,"")</f>
        <v/>
      </c>
      <c r="AF327" s="27">
        <f>IF(ISNUMBER($S327),COUNTIFS($A$14:$A$1213,$A327,$S$14:$S$1213,"&gt;"&amp;$S327)+(COUNTIFS($A$14:$A$1213,$A327,$S$14:$S$1213,"="&amp;$S327)+1)/2,"")</f>
        <v/>
      </c>
      <c r="AG327" s="27">
        <f>IF(ISNUMBER($T327),COUNTIFS($A$14:$A$1213,$A327,$T$14:$T$1213,"&gt;"&amp;$T327)+(COUNTIFS($A$14:$A$1213,$A327,$T$14:$T$1213,"="&amp;$T327)+1)/2,"")</f>
        <v/>
      </c>
      <c r="AH327" s="27">
        <f>IF(COUNT($AC327:$AG327)&lt;2,"",IF(MAX($AC327:$AG327)=MIN($AC327:$AG327),0,1))</f>
        <v/>
      </c>
      <c r="AI327" s="27">
        <f>IF($A327="","",IF(COUNTIF($A$14:$A327,$A327)=1,COUNTIF($AI$13:AI326,"&gt;0")+1,""))</f>
        <v/>
      </c>
      <c r="AO327" s="27">
        <f>IF($A327="","",IF(AND(COUNTIFS($A$14:$A$1213,$A327,$F$14:$F$1213,"&gt;=0")=2,IFERROR(INDEX($M$14:$M$313,MATCH($A327,$H$14:$H$313,0)),"Yes")&lt;&gt;"Yes"),1,0))</f>
        <v/>
      </c>
    </row>
    <row r="328">
      <c r="A328" s="19" t="n"/>
      <c r="B328" s="20" t="n"/>
      <c r="C328" s="21">
        <f>IFERROR(AVERAGE(P328:T328),"")</f>
        <v/>
      </c>
      <c r="D328" s="29" t="n"/>
      <c r="E328" s="29" t="n"/>
      <c r="F328" s="30">
        <f>IF(AND(ISNUMBER($D328),ISNUMBER($E328),$E328&gt;0,$D328&lt;=$E328),$D328/$E328,"")</f>
        <v/>
      </c>
      <c r="P328" s="26" t="n"/>
      <c r="Q328" s="26" t="n"/>
      <c r="R328" s="26" t="n"/>
      <c r="S328" s="26" t="n"/>
      <c r="T328" s="26" t="n"/>
      <c r="V328" s="27">
        <f>IF(ISNUMBER($C328),COUNTIFS($A$14:$A$1213,$A328,$C$14:$C$1213,"&gt;"&amp;$C328)+(COUNTIFS($A$14:$A$1213,$A328,$C$14:$C$1213,"="&amp;$C328)+1)/2,"")</f>
        <v/>
      </c>
      <c r="W328" s="27">
        <f>IF(ISNUMBER($F328),COUNTIFS($A$14:$A$1213,$A328,$F$14:$F$1213,"&gt;"&amp;$F328)+(COUNTIFS($A$14:$A$1213,$A328,$F$14:$F$1213,"="&amp;$F328)+1)/2,"")</f>
        <v/>
      </c>
      <c r="X328" s="27">
        <f>IF(OR(NOT(ISNUMBER($V328)),$AO328=1),"",$V328-(COUNTIFS($A$14:$A$1213,$A328,$C$14:$C$1213,"&gt;=0")+1)/2)</f>
        <v/>
      </c>
      <c r="Y328" s="27">
        <f>IF(OR(NOT(ISNUMBER($W328)),$AO328=1),"",$W328-(COUNTIFS($A$14:$A$1213,$A328,$F$14:$F$1213,"&gt;=0")+1)/2)</f>
        <v/>
      </c>
      <c r="Z328" s="27">
        <f>IF(ISNUMBER($V328),$A328&amp;"|"&amp;$V328,"")</f>
        <v/>
      </c>
      <c r="AA328" s="27">
        <f>IF(ISNUMBER($W328),$A328&amp;"|"&amp;$W328,"")</f>
        <v/>
      </c>
      <c r="AB328" s="27">
        <f>IF(ISNUMBER($F328),$A328&amp;"|"&amp;$F328,"")</f>
        <v/>
      </c>
      <c r="AC328" s="27">
        <f>IF(ISNUMBER($P328),COUNTIFS($A$14:$A$1213,$A328,$P$14:$P$1213,"&gt;"&amp;$P328)+(COUNTIFS($A$14:$A$1213,$A328,$P$14:$P$1213,"="&amp;$P328)+1)/2,"")</f>
        <v/>
      </c>
      <c r="AD328" s="27">
        <f>IF(ISNUMBER($Q328),COUNTIFS($A$14:$A$1213,$A328,$Q$14:$Q$1213,"&gt;"&amp;$Q328)+(COUNTIFS($A$14:$A$1213,$A328,$Q$14:$Q$1213,"="&amp;$Q328)+1)/2,"")</f>
        <v/>
      </c>
      <c r="AE328" s="27">
        <f>IF(ISNUMBER($R328),COUNTIFS($A$14:$A$1213,$A328,$R$14:$R$1213,"&gt;"&amp;$R328)+(COUNTIFS($A$14:$A$1213,$A328,$R$14:$R$1213,"="&amp;$R328)+1)/2,"")</f>
        <v/>
      </c>
      <c r="AF328" s="27">
        <f>IF(ISNUMBER($S328),COUNTIFS($A$14:$A$1213,$A328,$S$14:$S$1213,"&gt;"&amp;$S328)+(COUNTIFS($A$14:$A$1213,$A328,$S$14:$S$1213,"="&amp;$S328)+1)/2,"")</f>
        <v/>
      </c>
      <c r="AG328" s="27">
        <f>IF(ISNUMBER($T328),COUNTIFS($A$14:$A$1213,$A328,$T$14:$T$1213,"&gt;"&amp;$T328)+(COUNTIFS($A$14:$A$1213,$A328,$T$14:$T$1213,"="&amp;$T328)+1)/2,"")</f>
        <v/>
      </c>
      <c r="AH328" s="27">
        <f>IF(COUNT($AC328:$AG328)&lt;2,"",IF(MAX($AC328:$AG328)=MIN($AC328:$AG328),0,1))</f>
        <v/>
      </c>
      <c r="AI328" s="27">
        <f>IF($A328="","",IF(COUNTIF($A$14:$A328,$A328)=1,COUNTIF($AI$13:AI327,"&gt;0")+1,""))</f>
        <v/>
      </c>
      <c r="AO328" s="27">
        <f>IF($A328="","",IF(AND(COUNTIFS($A$14:$A$1213,$A328,$F$14:$F$1213,"&gt;=0")=2,IFERROR(INDEX($M$14:$M$313,MATCH($A328,$H$14:$H$313,0)),"Yes")&lt;&gt;"Yes"),1,0))</f>
        <v/>
      </c>
    </row>
    <row r="329">
      <c r="A329" s="19" t="n"/>
      <c r="B329" s="20" t="n"/>
      <c r="C329" s="21">
        <f>IFERROR(AVERAGE(P329:T329),"")</f>
        <v/>
      </c>
      <c r="D329" s="29" t="n"/>
      <c r="E329" s="29" t="n"/>
      <c r="F329" s="30">
        <f>IF(AND(ISNUMBER($D329),ISNUMBER($E329),$E329&gt;0,$D329&lt;=$E329),$D329/$E329,"")</f>
        <v/>
      </c>
      <c r="P329" s="26" t="n"/>
      <c r="Q329" s="26" t="n"/>
      <c r="R329" s="26" t="n"/>
      <c r="S329" s="26" t="n"/>
      <c r="T329" s="26" t="n"/>
      <c r="V329" s="27">
        <f>IF(ISNUMBER($C329),COUNTIFS($A$14:$A$1213,$A329,$C$14:$C$1213,"&gt;"&amp;$C329)+(COUNTIFS($A$14:$A$1213,$A329,$C$14:$C$1213,"="&amp;$C329)+1)/2,"")</f>
        <v/>
      </c>
      <c r="W329" s="27">
        <f>IF(ISNUMBER($F329),COUNTIFS($A$14:$A$1213,$A329,$F$14:$F$1213,"&gt;"&amp;$F329)+(COUNTIFS($A$14:$A$1213,$A329,$F$14:$F$1213,"="&amp;$F329)+1)/2,"")</f>
        <v/>
      </c>
      <c r="X329" s="27">
        <f>IF(OR(NOT(ISNUMBER($V329)),$AO329=1),"",$V329-(COUNTIFS($A$14:$A$1213,$A329,$C$14:$C$1213,"&gt;=0")+1)/2)</f>
        <v/>
      </c>
      <c r="Y329" s="27">
        <f>IF(OR(NOT(ISNUMBER($W329)),$AO329=1),"",$W329-(COUNTIFS($A$14:$A$1213,$A329,$F$14:$F$1213,"&gt;=0")+1)/2)</f>
        <v/>
      </c>
      <c r="Z329" s="27">
        <f>IF(ISNUMBER($V329),$A329&amp;"|"&amp;$V329,"")</f>
        <v/>
      </c>
      <c r="AA329" s="27">
        <f>IF(ISNUMBER($W329),$A329&amp;"|"&amp;$W329,"")</f>
        <v/>
      </c>
      <c r="AB329" s="27">
        <f>IF(ISNUMBER($F329),$A329&amp;"|"&amp;$F329,"")</f>
        <v/>
      </c>
      <c r="AC329" s="27">
        <f>IF(ISNUMBER($P329),COUNTIFS($A$14:$A$1213,$A329,$P$14:$P$1213,"&gt;"&amp;$P329)+(COUNTIFS($A$14:$A$1213,$A329,$P$14:$P$1213,"="&amp;$P329)+1)/2,"")</f>
        <v/>
      </c>
      <c r="AD329" s="27">
        <f>IF(ISNUMBER($Q329),COUNTIFS($A$14:$A$1213,$A329,$Q$14:$Q$1213,"&gt;"&amp;$Q329)+(COUNTIFS($A$14:$A$1213,$A329,$Q$14:$Q$1213,"="&amp;$Q329)+1)/2,"")</f>
        <v/>
      </c>
      <c r="AE329" s="27">
        <f>IF(ISNUMBER($R329),COUNTIFS($A$14:$A$1213,$A329,$R$14:$R$1213,"&gt;"&amp;$R329)+(COUNTIFS($A$14:$A$1213,$A329,$R$14:$R$1213,"="&amp;$R329)+1)/2,"")</f>
        <v/>
      </c>
      <c r="AF329" s="27">
        <f>IF(ISNUMBER($S329),COUNTIFS($A$14:$A$1213,$A329,$S$14:$S$1213,"&gt;"&amp;$S329)+(COUNTIFS($A$14:$A$1213,$A329,$S$14:$S$1213,"="&amp;$S329)+1)/2,"")</f>
        <v/>
      </c>
      <c r="AG329" s="27">
        <f>IF(ISNUMBER($T329),COUNTIFS($A$14:$A$1213,$A329,$T$14:$T$1213,"&gt;"&amp;$T329)+(COUNTIFS($A$14:$A$1213,$A329,$T$14:$T$1213,"="&amp;$T329)+1)/2,"")</f>
        <v/>
      </c>
      <c r="AH329" s="27">
        <f>IF(COUNT($AC329:$AG329)&lt;2,"",IF(MAX($AC329:$AG329)=MIN($AC329:$AG329),0,1))</f>
        <v/>
      </c>
      <c r="AI329" s="27">
        <f>IF($A329="","",IF(COUNTIF($A$14:$A329,$A329)=1,COUNTIF($AI$13:AI328,"&gt;0")+1,""))</f>
        <v/>
      </c>
      <c r="AO329" s="27">
        <f>IF($A329="","",IF(AND(COUNTIFS($A$14:$A$1213,$A329,$F$14:$F$1213,"&gt;=0")=2,IFERROR(INDEX($M$14:$M$313,MATCH($A329,$H$14:$H$313,0)),"Yes")&lt;&gt;"Yes"),1,0))</f>
        <v/>
      </c>
    </row>
    <row r="330">
      <c r="A330" s="19" t="n"/>
      <c r="B330" s="20" t="n"/>
      <c r="C330" s="21">
        <f>IFERROR(AVERAGE(P330:T330),"")</f>
        <v/>
      </c>
      <c r="D330" s="29" t="n"/>
      <c r="E330" s="29" t="n"/>
      <c r="F330" s="30">
        <f>IF(AND(ISNUMBER($D330),ISNUMBER($E330),$E330&gt;0,$D330&lt;=$E330),$D330/$E330,"")</f>
        <v/>
      </c>
      <c r="P330" s="26" t="n"/>
      <c r="Q330" s="26" t="n"/>
      <c r="R330" s="26" t="n"/>
      <c r="S330" s="26" t="n"/>
      <c r="T330" s="26" t="n"/>
      <c r="V330" s="27">
        <f>IF(ISNUMBER($C330),COUNTIFS($A$14:$A$1213,$A330,$C$14:$C$1213,"&gt;"&amp;$C330)+(COUNTIFS($A$14:$A$1213,$A330,$C$14:$C$1213,"="&amp;$C330)+1)/2,"")</f>
        <v/>
      </c>
      <c r="W330" s="27">
        <f>IF(ISNUMBER($F330),COUNTIFS($A$14:$A$1213,$A330,$F$14:$F$1213,"&gt;"&amp;$F330)+(COUNTIFS($A$14:$A$1213,$A330,$F$14:$F$1213,"="&amp;$F330)+1)/2,"")</f>
        <v/>
      </c>
      <c r="X330" s="27">
        <f>IF(OR(NOT(ISNUMBER($V330)),$AO330=1),"",$V330-(COUNTIFS($A$14:$A$1213,$A330,$C$14:$C$1213,"&gt;=0")+1)/2)</f>
        <v/>
      </c>
      <c r="Y330" s="27">
        <f>IF(OR(NOT(ISNUMBER($W330)),$AO330=1),"",$W330-(COUNTIFS($A$14:$A$1213,$A330,$F$14:$F$1213,"&gt;=0")+1)/2)</f>
        <v/>
      </c>
      <c r="Z330" s="27">
        <f>IF(ISNUMBER($V330),$A330&amp;"|"&amp;$V330,"")</f>
        <v/>
      </c>
      <c r="AA330" s="27">
        <f>IF(ISNUMBER($W330),$A330&amp;"|"&amp;$W330,"")</f>
        <v/>
      </c>
      <c r="AB330" s="27">
        <f>IF(ISNUMBER($F330),$A330&amp;"|"&amp;$F330,"")</f>
        <v/>
      </c>
      <c r="AC330" s="27">
        <f>IF(ISNUMBER($P330),COUNTIFS($A$14:$A$1213,$A330,$P$14:$P$1213,"&gt;"&amp;$P330)+(COUNTIFS($A$14:$A$1213,$A330,$P$14:$P$1213,"="&amp;$P330)+1)/2,"")</f>
        <v/>
      </c>
      <c r="AD330" s="27">
        <f>IF(ISNUMBER($Q330),COUNTIFS($A$14:$A$1213,$A330,$Q$14:$Q$1213,"&gt;"&amp;$Q330)+(COUNTIFS($A$14:$A$1213,$A330,$Q$14:$Q$1213,"="&amp;$Q330)+1)/2,"")</f>
        <v/>
      </c>
      <c r="AE330" s="27">
        <f>IF(ISNUMBER($R330),COUNTIFS($A$14:$A$1213,$A330,$R$14:$R$1213,"&gt;"&amp;$R330)+(COUNTIFS($A$14:$A$1213,$A330,$R$14:$R$1213,"="&amp;$R330)+1)/2,"")</f>
        <v/>
      </c>
      <c r="AF330" s="27">
        <f>IF(ISNUMBER($S330),COUNTIFS($A$14:$A$1213,$A330,$S$14:$S$1213,"&gt;"&amp;$S330)+(COUNTIFS($A$14:$A$1213,$A330,$S$14:$S$1213,"="&amp;$S330)+1)/2,"")</f>
        <v/>
      </c>
      <c r="AG330" s="27">
        <f>IF(ISNUMBER($T330),COUNTIFS($A$14:$A$1213,$A330,$T$14:$T$1213,"&gt;"&amp;$T330)+(COUNTIFS($A$14:$A$1213,$A330,$T$14:$T$1213,"="&amp;$T330)+1)/2,"")</f>
        <v/>
      </c>
      <c r="AH330" s="27">
        <f>IF(COUNT($AC330:$AG330)&lt;2,"",IF(MAX($AC330:$AG330)=MIN($AC330:$AG330),0,1))</f>
        <v/>
      </c>
      <c r="AI330" s="27">
        <f>IF($A330="","",IF(COUNTIF($A$14:$A330,$A330)=1,COUNTIF($AI$13:AI329,"&gt;0")+1,""))</f>
        <v/>
      </c>
      <c r="AO330" s="27">
        <f>IF($A330="","",IF(AND(COUNTIFS($A$14:$A$1213,$A330,$F$14:$F$1213,"&gt;=0")=2,IFERROR(INDEX($M$14:$M$313,MATCH($A330,$H$14:$H$313,0)),"Yes")&lt;&gt;"Yes"),1,0))</f>
        <v/>
      </c>
    </row>
    <row r="331">
      <c r="A331" s="19" t="n"/>
      <c r="B331" s="20" t="n"/>
      <c r="C331" s="21">
        <f>IFERROR(AVERAGE(P331:T331),"")</f>
        <v/>
      </c>
      <c r="D331" s="29" t="n"/>
      <c r="E331" s="29" t="n"/>
      <c r="F331" s="30">
        <f>IF(AND(ISNUMBER($D331),ISNUMBER($E331),$E331&gt;0,$D331&lt;=$E331),$D331/$E331,"")</f>
        <v/>
      </c>
      <c r="P331" s="26" t="n"/>
      <c r="Q331" s="26" t="n"/>
      <c r="R331" s="26" t="n"/>
      <c r="S331" s="26" t="n"/>
      <c r="T331" s="26" t="n"/>
      <c r="V331" s="27">
        <f>IF(ISNUMBER($C331),COUNTIFS($A$14:$A$1213,$A331,$C$14:$C$1213,"&gt;"&amp;$C331)+(COUNTIFS($A$14:$A$1213,$A331,$C$14:$C$1213,"="&amp;$C331)+1)/2,"")</f>
        <v/>
      </c>
      <c r="W331" s="27">
        <f>IF(ISNUMBER($F331),COUNTIFS($A$14:$A$1213,$A331,$F$14:$F$1213,"&gt;"&amp;$F331)+(COUNTIFS($A$14:$A$1213,$A331,$F$14:$F$1213,"="&amp;$F331)+1)/2,"")</f>
        <v/>
      </c>
      <c r="X331" s="27">
        <f>IF(OR(NOT(ISNUMBER($V331)),$AO331=1),"",$V331-(COUNTIFS($A$14:$A$1213,$A331,$C$14:$C$1213,"&gt;=0")+1)/2)</f>
        <v/>
      </c>
      <c r="Y331" s="27">
        <f>IF(OR(NOT(ISNUMBER($W331)),$AO331=1),"",$W331-(COUNTIFS($A$14:$A$1213,$A331,$F$14:$F$1213,"&gt;=0")+1)/2)</f>
        <v/>
      </c>
      <c r="Z331" s="27">
        <f>IF(ISNUMBER($V331),$A331&amp;"|"&amp;$V331,"")</f>
        <v/>
      </c>
      <c r="AA331" s="27">
        <f>IF(ISNUMBER($W331),$A331&amp;"|"&amp;$W331,"")</f>
        <v/>
      </c>
      <c r="AB331" s="27">
        <f>IF(ISNUMBER($F331),$A331&amp;"|"&amp;$F331,"")</f>
        <v/>
      </c>
      <c r="AC331" s="27">
        <f>IF(ISNUMBER($P331),COUNTIFS($A$14:$A$1213,$A331,$P$14:$P$1213,"&gt;"&amp;$P331)+(COUNTIFS($A$14:$A$1213,$A331,$P$14:$P$1213,"="&amp;$P331)+1)/2,"")</f>
        <v/>
      </c>
      <c r="AD331" s="27">
        <f>IF(ISNUMBER($Q331),COUNTIFS($A$14:$A$1213,$A331,$Q$14:$Q$1213,"&gt;"&amp;$Q331)+(COUNTIFS($A$14:$A$1213,$A331,$Q$14:$Q$1213,"="&amp;$Q331)+1)/2,"")</f>
        <v/>
      </c>
      <c r="AE331" s="27">
        <f>IF(ISNUMBER($R331),COUNTIFS($A$14:$A$1213,$A331,$R$14:$R$1213,"&gt;"&amp;$R331)+(COUNTIFS($A$14:$A$1213,$A331,$R$14:$R$1213,"="&amp;$R331)+1)/2,"")</f>
        <v/>
      </c>
      <c r="AF331" s="27">
        <f>IF(ISNUMBER($S331),COUNTIFS($A$14:$A$1213,$A331,$S$14:$S$1213,"&gt;"&amp;$S331)+(COUNTIFS($A$14:$A$1213,$A331,$S$14:$S$1213,"="&amp;$S331)+1)/2,"")</f>
        <v/>
      </c>
      <c r="AG331" s="27">
        <f>IF(ISNUMBER($T331),COUNTIFS($A$14:$A$1213,$A331,$T$14:$T$1213,"&gt;"&amp;$T331)+(COUNTIFS($A$14:$A$1213,$A331,$T$14:$T$1213,"="&amp;$T331)+1)/2,"")</f>
        <v/>
      </c>
      <c r="AH331" s="27">
        <f>IF(COUNT($AC331:$AG331)&lt;2,"",IF(MAX($AC331:$AG331)=MIN($AC331:$AG331),0,1))</f>
        <v/>
      </c>
      <c r="AI331" s="27">
        <f>IF($A331="","",IF(COUNTIF($A$14:$A331,$A331)=1,COUNTIF($AI$13:AI330,"&gt;0")+1,""))</f>
        <v/>
      </c>
      <c r="AO331" s="27">
        <f>IF($A331="","",IF(AND(COUNTIFS($A$14:$A$1213,$A331,$F$14:$F$1213,"&gt;=0")=2,IFERROR(INDEX($M$14:$M$313,MATCH($A331,$H$14:$H$313,0)),"Yes")&lt;&gt;"Yes"),1,0))</f>
        <v/>
      </c>
    </row>
    <row r="332">
      <c r="A332" s="19" t="n"/>
      <c r="B332" s="20" t="n"/>
      <c r="C332" s="21">
        <f>IFERROR(AVERAGE(P332:T332),"")</f>
        <v/>
      </c>
      <c r="D332" s="29" t="n"/>
      <c r="E332" s="29" t="n"/>
      <c r="F332" s="30">
        <f>IF(AND(ISNUMBER($D332),ISNUMBER($E332),$E332&gt;0,$D332&lt;=$E332),$D332/$E332,"")</f>
        <v/>
      </c>
      <c r="P332" s="26" t="n"/>
      <c r="Q332" s="26" t="n"/>
      <c r="R332" s="26" t="n"/>
      <c r="S332" s="26" t="n"/>
      <c r="T332" s="26" t="n"/>
      <c r="V332" s="27">
        <f>IF(ISNUMBER($C332),COUNTIFS($A$14:$A$1213,$A332,$C$14:$C$1213,"&gt;"&amp;$C332)+(COUNTIFS($A$14:$A$1213,$A332,$C$14:$C$1213,"="&amp;$C332)+1)/2,"")</f>
        <v/>
      </c>
      <c r="W332" s="27">
        <f>IF(ISNUMBER($F332),COUNTIFS($A$14:$A$1213,$A332,$F$14:$F$1213,"&gt;"&amp;$F332)+(COUNTIFS($A$14:$A$1213,$A332,$F$14:$F$1213,"="&amp;$F332)+1)/2,"")</f>
        <v/>
      </c>
      <c r="X332" s="27">
        <f>IF(OR(NOT(ISNUMBER($V332)),$AO332=1),"",$V332-(COUNTIFS($A$14:$A$1213,$A332,$C$14:$C$1213,"&gt;=0")+1)/2)</f>
        <v/>
      </c>
      <c r="Y332" s="27">
        <f>IF(OR(NOT(ISNUMBER($W332)),$AO332=1),"",$W332-(COUNTIFS($A$14:$A$1213,$A332,$F$14:$F$1213,"&gt;=0")+1)/2)</f>
        <v/>
      </c>
      <c r="Z332" s="27">
        <f>IF(ISNUMBER($V332),$A332&amp;"|"&amp;$V332,"")</f>
        <v/>
      </c>
      <c r="AA332" s="27">
        <f>IF(ISNUMBER($W332),$A332&amp;"|"&amp;$W332,"")</f>
        <v/>
      </c>
      <c r="AB332" s="27">
        <f>IF(ISNUMBER($F332),$A332&amp;"|"&amp;$F332,"")</f>
        <v/>
      </c>
      <c r="AC332" s="27">
        <f>IF(ISNUMBER($P332),COUNTIFS($A$14:$A$1213,$A332,$P$14:$P$1213,"&gt;"&amp;$P332)+(COUNTIFS($A$14:$A$1213,$A332,$P$14:$P$1213,"="&amp;$P332)+1)/2,"")</f>
        <v/>
      </c>
      <c r="AD332" s="27">
        <f>IF(ISNUMBER($Q332),COUNTIFS($A$14:$A$1213,$A332,$Q$14:$Q$1213,"&gt;"&amp;$Q332)+(COUNTIFS($A$14:$A$1213,$A332,$Q$14:$Q$1213,"="&amp;$Q332)+1)/2,"")</f>
        <v/>
      </c>
      <c r="AE332" s="27">
        <f>IF(ISNUMBER($R332),COUNTIFS($A$14:$A$1213,$A332,$R$14:$R$1213,"&gt;"&amp;$R332)+(COUNTIFS($A$14:$A$1213,$A332,$R$14:$R$1213,"="&amp;$R332)+1)/2,"")</f>
        <v/>
      </c>
      <c r="AF332" s="27">
        <f>IF(ISNUMBER($S332),COUNTIFS($A$14:$A$1213,$A332,$S$14:$S$1213,"&gt;"&amp;$S332)+(COUNTIFS($A$14:$A$1213,$A332,$S$14:$S$1213,"="&amp;$S332)+1)/2,"")</f>
        <v/>
      </c>
      <c r="AG332" s="27">
        <f>IF(ISNUMBER($T332),COUNTIFS($A$14:$A$1213,$A332,$T$14:$T$1213,"&gt;"&amp;$T332)+(COUNTIFS($A$14:$A$1213,$A332,$T$14:$T$1213,"="&amp;$T332)+1)/2,"")</f>
        <v/>
      </c>
      <c r="AH332" s="27">
        <f>IF(COUNT($AC332:$AG332)&lt;2,"",IF(MAX($AC332:$AG332)=MIN($AC332:$AG332),0,1))</f>
        <v/>
      </c>
      <c r="AI332" s="27">
        <f>IF($A332="","",IF(COUNTIF($A$14:$A332,$A332)=1,COUNTIF($AI$13:AI331,"&gt;0")+1,""))</f>
        <v/>
      </c>
      <c r="AO332" s="27">
        <f>IF($A332="","",IF(AND(COUNTIFS($A$14:$A$1213,$A332,$F$14:$F$1213,"&gt;=0")=2,IFERROR(INDEX($M$14:$M$313,MATCH($A332,$H$14:$H$313,0)),"Yes")&lt;&gt;"Yes"),1,0))</f>
        <v/>
      </c>
    </row>
    <row r="333">
      <c r="A333" s="19" t="n"/>
      <c r="B333" s="20" t="n"/>
      <c r="C333" s="21">
        <f>IFERROR(AVERAGE(P333:T333),"")</f>
        <v/>
      </c>
      <c r="D333" s="29" t="n"/>
      <c r="E333" s="29" t="n"/>
      <c r="F333" s="30">
        <f>IF(AND(ISNUMBER($D333),ISNUMBER($E333),$E333&gt;0,$D333&lt;=$E333),$D333/$E333,"")</f>
        <v/>
      </c>
      <c r="P333" s="26" t="n"/>
      <c r="Q333" s="26" t="n"/>
      <c r="R333" s="26" t="n"/>
      <c r="S333" s="26" t="n"/>
      <c r="T333" s="26" t="n"/>
      <c r="V333" s="27">
        <f>IF(ISNUMBER($C333),COUNTIFS($A$14:$A$1213,$A333,$C$14:$C$1213,"&gt;"&amp;$C333)+(COUNTIFS($A$14:$A$1213,$A333,$C$14:$C$1213,"="&amp;$C333)+1)/2,"")</f>
        <v/>
      </c>
      <c r="W333" s="27">
        <f>IF(ISNUMBER($F333),COUNTIFS($A$14:$A$1213,$A333,$F$14:$F$1213,"&gt;"&amp;$F333)+(COUNTIFS($A$14:$A$1213,$A333,$F$14:$F$1213,"="&amp;$F333)+1)/2,"")</f>
        <v/>
      </c>
      <c r="X333" s="27">
        <f>IF(OR(NOT(ISNUMBER($V333)),$AO333=1),"",$V333-(COUNTIFS($A$14:$A$1213,$A333,$C$14:$C$1213,"&gt;=0")+1)/2)</f>
        <v/>
      </c>
      <c r="Y333" s="27">
        <f>IF(OR(NOT(ISNUMBER($W333)),$AO333=1),"",$W333-(COUNTIFS($A$14:$A$1213,$A333,$F$14:$F$1213,"&gt;=0")+1)/2)</f>
        <v/>
      </c>
      <c r="Z333" s="27">
        <f>IF(ISNUMBER($V333),$A333&amp;"|"&amp;$V333,"")</f>
        <v/>
      </c>
      <c r="AA333" s="27">
        <f>IF(ISNUMBER($W333),$A333&amp;"|"&amp;$W333,"")</f>
        <v/>
      </c>
      <c r="AB333" s="27">
        <f>IF(ISNUMBER($F333),$A333&amp;"|"&amp;$F333,"")</f>
        <v/>
      </c>
      <c r="AC333" s="27">
        <f>IF(ISNUMBER($P333),COUNTIFS($A$14:$A$1213,$A333,$P$14:$P$1213,"&gt;"&amp;$P333)+(COUNTIFS($A$14:$A$1213,$A333,$P$14:$P$1213,"="&amp;$P333)+1)/2,"")</f>
        <v/>
      </c>
      <c r="AD333" s="27">
        <f>IF(ISNUMBER($Q333),COUNTIFS($A$14:$A$1213,$A333,$Q$14:$Q$1213,"&gt;"&amp;$Q333)+(COUNTIFS($A$14:$A$1213,$A333,$Q$14:$Q$1213,"="&amp;$Q333)+1)/2,"")</f>
        <v/>
      </c>
      <c r="AE333" s="27">
        <f>IF(ISNUMBER($R333),COUNTIFS($A$14:$A$1213,$A333,$R$14:$R$1213,"&gt;"&amp;$R333)+(COUNTIFS($A$14:$A$1213,$A333,$R$14:$R$1213,"="&amp;$R333)+1)/2,"")</f>
        <v/>
      </c>
      <c r="AF333" s="27">
        <f>IF(ISNUMBER($S333),COUNTIFS($A$14:$A$1213,$A333,$S$14:$S$1213,"&gt;"&amp;$S333)+(COUNTIFS($A$14:$A$1213,$A333,$S$14:$S$1213,"="&amp;$S333)+1)/2,"")</f>
        <v/>
      </c>
      <c r="AG333" s="27">
        <f>IF(ISNUMBER($T333),COUNTIFS($A$14:$A$1213,$A333,$T$14:$T$1213,"&gt;"&amp;$T333)+(COUNTIFS($A$14:$A$1213,$A333,$T$14:$T$1213,"="&amp;$T333)+1)/2,"")</f>
        <v/>
      </c>
      <c r="AH333" s="27">
        <f>IF(COUNT($AC333:$AG333)&lt;2,"",IF(MAX($AC333:$AG333)=MIN($AC333:$AG333),0,1))</f>
        <v/>
      </c>
      <c r="AI333" s="27">
        <f>IF($A333="","",IF(COUNTIF($A$14:$A333,$A333)=1,COUNTIF($AI$13:AI332,"&gt;0")+1,""))</f>
        <v/>
      </c>
      <c r="AO333" s="27">
        <f>IF($A333="","",IF(AND(COUNTIFS($A$14:$A$1213,$A333,$F$14:$F$1213,"&gt;=0")=2,IFERROR(INDEX($M$14:$M$313,MATCH($A333,$H$14:$H$313,0)),"Yes")&lt;&gt;"Yes"),1,0))</f>
        <v/>
      </c>
    </row>
    <row r="334">
      <c r="A334" s="19" t="n"/>
      <c r="B334" s="20" t="n"/>
      <c r="C334" s="21">
        <f>IFERROR(AVERAGE(P334:T334),"")</f>
        <v/>
      </c>
      <c r="D334" s="29" t="n"/>
      <c r="E334" s="29" t="n"/>
      <c r="F334" s="30">
        <f>IF(AND(ISNUMBER($D334),ISNUMBER($E334),$E334&gt;0,$D334&lt;=$E334),$D334/$E334,"")</f>
        <v/>
      </c>
      <c r="P334" s="26" t="n"/>
      <c r="Q334" s="26" t="n"/>
      <c r="R334" s="26" t="n"/>
      <c r="S334" s="26" t="n"/>
      <c r="T334" s="26" t="n"/>
      <c r="V334" s="27">
        <f>IF(ISNUMBER($C334),COUNTIFS($A$14:$A$1213,$A334,$C$14:$C$1213,"&gt;"&amp;$C334)+(COUNTIFS($A$14:$A$1213,$A334,$C$14:$C$1213,"="&amp;$C334)+1)/2,"")</f>
        <v/>
      </c>
      <c r="W334" s="27">
        <f>IF(ISNUMBER($F334),COUNTIFS($A$14:$A$1213,$A334,$F$14:$F$1213,"&gt;"&amp;$F334)+(COUNTIFS($A$14:$A$1213,$A334,$F$14:$F$1213,"="&amp;$F334)+1)/2,"")</f>
        <v/>
      </c>
      <c r="X334" s="27">
        <f>IF(OR(NOT(ISNUMBER($V334)),$AO334=1),"",$V334-(COUNTIFS($A$14:$A$1213,$A334,$C$14:$C$1213,"&gt;=0")+1)/2)</f>
        <v/>
      </c>
      <c r="Y334" s="27">
        <f>IF(OR(NOT(ISNUMBER($W334)),$AO334=1),"",$W334-(COUNTIFS($A$14:$A$1213,$A334,$F$14:$F$1213,"&gt;=0")+1)/2)</f>
        <v/>
      </c>
      <c r="Z334" s="27">
        <f>IF(ISNUMBER($V334),$A334&amp;"|"&amp;$V334,"")</f>
        <v/>
      </c>
      <c r="AA334" s="27">
        <f>IF(ISNUMBER($W334),$A334&amp;"|"&amp;$W334,"")</f>
        <v/>
      </c>
      <c r="AB334" s="27">
        <f>IF(ISNUMBER($F334),$A334&amp;"|"&amp;$F334,"")</f>
        <v/>
      </c>
      <c r="AC334" s="27">
        <f>IF(ISNUMBER($P334),COUNTIFS($A$14:$A$1213,$A334,$P$14:$P$1213,"&gt;"&amp;$P334)+(COUNTIFS($A$14:$A$1213,$A334,$P$14:$P$1213,"="&amp;$P334)+1)/2,"")</f>
        <v/>
      </c>
      <c r="AD334" s="27">
        <f>IF(ISNUMBER($Q334),COUNTIFS($A$14:$A$1213,$A334,$Q$14:$Q$1213,"&gt;"&amp;$Q334)+(COUNTIFS($A$14:$A$1213,$A334,$Q$14:$Q$1213,"="&amp;$Q334)+1)/2,"")</f>
        <v/>
      </c>
      <c r="AE334" s="27">
        <f>IF(ISNUMBER($R334),COUNTIFS($A$14:$A$1213,$A334,$R$14:$R$1213,"&gt;"&amp;$R334)+(COUNTIFS($A$14:$A$1213,$A334,$R$14:$R$1213,"="&amp;$R334)+1)/2,"")</f>
        <v/>
      </c>
      <c r="AF334" s="27">
        <f>IF(ISNUMBER($S334),COUNTIFS($A$14:$A$1213,$A334,$S$14:$S$1213,"&gt;"&amp;$S334)+(COUNTIFS($A$14:$A$1213,$A334,$S$14:$S$1213,"="&amp;$S334)+1)/2,"")</f>
        <v/>
      </c>
      <c r="AG334" s="27">
        <f>IF(ISNUMBER($T334),COUNTIFS($A$14:$A$1213,$A334,$T$14:$T$1213,"&gt;"&amp;$T334)+(COUNTIFS($A$14:$A$1213,$A334,$T$14:$T$1213,"="&amp;$T334)+1)/2,"")</f>
        <v/>
      </c>
      <c r="AH334" s="27">
        <f>IF(COUNT($AC334:$AG334)&lt;2,"",IF(MAX($AC334:$AG334)=MIN($AC334:$AG334),0,1))</f>
        <v/>
      </c>
      <c r="AI334" s="27">
        <f>IF($A334="","",IF(COUNTIF($A$14:$A334,$A334)=1,COUNTIF($AI$13:AI333,"&gt;0")+1,""))</f>
        <v/>
      </c>
      <c r="AO334" s="27">
        <f>IF($A334="","",IF(AND(COUNTIFS($A$14:$A$1213,$A334,$F$14:$F$1213,"&gt;=0")=2,IFERROR(INDEX($M$14:$M$313,MATCH($A334,$H$14:$H$313,0)),"Yes")&lt;&gt;"Yes"),1,0))</f>
        <v/>
      </c>
    </row>
    <row r="335">
      <c r="A335" s="19" t="n"/>
      <c r="B335" s="20" t="n"/>
      <c r="C335" s="21">
        <f>IFERROR(AVERAGE(P335:T335),"")</f>
        <v/>
      </c>
      <c r="D335" s="29" t="n"/>
      <c r="E335" s="29" t="n"/>
      <c r="F335" s="30">
        <f>IF(AND(ISNUMBER($D335),ISNUMBER($E335),$E335&gt;0,$D335&lt;=$E335),$D335/$E335,"")</f>
        <v/>
      </c>
      <c r="P335" s="26" t="n"/>
      <c r="Q335" s="26" t="n"/>
      <c r="R335" s="26" t="n"/>
      <c r="S335" s="26" t="n"/>
      <c r="T335" s="26" t="n"/>
      <c r="V335" s="27">
        <f>IF(ISNUMBER($C335),COUNTIFS($A$14:$A$1213,$A335,$C$14:$C$1213,"&gt;"&amp;$C335)+(COUNTIFS($A$14:$A$1213,$A335,$C$14:$C$1213,"="&amp;$C335)+1)/2,"")</f>
        <v/>
      </c>
      <c r="W335" s="27">
        <f>IF(ISNUMBER($F335),COUNTIFS($A$14:$A$1213,$A335,$F$14:$F$1213,"&gt;"&amp;$F335)+(COUNTIFS($A$14:$A$1213,$A335,$F$14:$F$1213,"="&amp;$F335)+1)/2,"")</f>
        <v/>
      </c>
      <c r="X335" s="27">
        <f>IF(OR(NOT(ISNUMBER($V335)),$AO335=1),"",$V335-(COUNTIFS($A$14:$A$1213,$A335,$C$14:$C$1213,"&gt;=0")+1)/2)</f>
        <v/>
      </c>
      <c r="Y335" s="27">
        <f>IF(OR(NOT(ISNUMBER($W335)),$AO335=1),"",$W335-(COUNTIFS($A$14:$A$1213,$A335,$F$14:$F$1213,"&gt;=0")+1)/2)</f>
        <v/>
      </c>
      <c r="Z335" s="27">
        <f>IF(ISNUMBER($V335),$A335&amp;"|"&amp;$V335,"")</f>
        <v/>
      </c>
      <c r="AA335" s="27">
        <f>IF(ISNUMBER($W335),$A335&amp;"|"&amp;$W335,"")</f>
        <v/>
      </c>
      <c r="AB335" s="27">
        <f>IF(ISNUMBER($F335),$A335&amp;"|"&amp;$F335,"")</f>
        <v/>
      </c>
      <c r="AC335" s="27">
        <f>IF(ISNUMBER($P335),COUNTIFS($A$14:$A$1213,$A335,$P$14:$P$1213,"&gt;"&amp;$P335)+(COUNTIFS($A$14:$A$1213,$A335,$P$14:$P$1213,"="&amp;$P335)+1)/2,"")</f>
        <v/>
      </c>
      <c r="AD335" s="27">
        <f>IF(ISNUMBER($Q335),COUNTIFS($A$14:$A$1213,$A335,$Q$14:$Q$1213,"&gt;"&amp;$Q335)+(COUNTIFS($A$14:$A$1213,$A335,$Q$14:$Q$1213,"="&amp;$Q335)+1)/2,"")</f>
        <v/>
      </c>
      <c r="AE335" s="27">
        <f>IF(ISNUMBER($R335),COUNTIFS($A$14:$A$1213,$A335,$R$14:$R$1213,"&gt;"&amp;$R335)+(COUNTIFS($A$14:$A$1213,$A335,$R$14:$R$1213,"="&amp;$R335)+1)/2,"")</f>
        <v/>
      </c>
      <c r="AF335" s="27">
        <f>IF(ISNUMBER($S335),COUNTIFS($A$14:$A$1213,$A335,$S$14:$S$1213,"&gt;"&amp;$S335)+(COUNTIFS($A$14:$A$1213,$A335,$S$14:$S$1213,"="&amp;$S335)+1)/2,"")</f>
        <v/>
      </c>
      <c r="AG335" s="27">
        <f>IF(ISNUMBER($T335),COUNTIFS($A$14:$A$1213,$A335,$T$14:$T$1213,"&gt;"&amp;$T335)+(COUNTIFS($A$14:$A$1213,$A335,$T$14:$T$1213,"="&amp;$T335)+1)/2,"")</f>
        <v/>
      </c>
      <c r="AH335" s="27">
        <f>IF(COUNT($AC335:$AG335)&lt;2,"",IF(MAX($AC335:$AG335)=MIN($AC335:$AG335),0,1))</f>
        <v/>
      </c>
      <c r="AI335" s="27">
        <f>IF($A335="","",IF(COUNTIF($A$14:$A335,$A335)=1,COUNTIF($AI$13:AI334,"&gt;0")+1,""))</f>
        <v/>
      </c>
      <c r="AO335" s="27">
        <f>IF($A335="","",IF(AND(COUNTIFS($A$14:$A$1213,$A335,$F$14:$F$1213,"&gt;=0")=2,IFERROR(INDEX($M$14:$M$313,MATCH($A335,$H$14:$H$313,0)),"Yes")&lt;&gt;"Yes"),1,0))</f>
        <v/>
      </c>
    </row>
    <row r="336">
      <c r="A336" s="19" t="n"/>
      <c r="B336" s="20" t="n"/>
      <c r="C336" s="21">
        <f>IFERROR(AVERAGE(P336:T336),"")</f>
        <v/>
      </c>
      <c r="D336" s="29" t="n"/>
      <c r="E336" s="29" t="n"/>
      <c r="F336" s="30">
        <f>IF(AND(ISNUMBER($D336),ISNUMBER($E336),$E336&gt;0,$D336&lt;=$E336),$D336/$E336,"")</f>
        <v/>
      </c>
      <c r="P336" s="26" t="n"/>
      <c r="Q336" s="26" t="n"/>
      <c r="R336" s="26" t="n"/>
      <c r="S336" s="26" t="n"/>
      <c r="T336" s="26" t="n"/>
      <c r="V336" s="27">
        <f>IF(ISNUMBER($C336),COUNTIFS($A$14:$A$1213,$A336,$C$14:$C$1213,"&gt;"&amp;$C336)+(COUNTIFS($A$14:$A$1213,$A336,$C$14:$C$1213,"="&amp;$C336)+1)/2,"")</f>
        <v/>
      </c>
      <c r="W336" s="27">
        <f>IF(ISNUMBER($F336),COUNTIFS($A$14:$A$1213,$A336,$F$14:$F$1213,"&gt;"&amp;$F336)+(COUNTIFS($A$14:$A$1213,$A336,$F$14:$F$1213,"="&amp;$F336)+1)/2,"")</f>
        <v/>
      </c>
      <c r="X336" s="27">
        <f>IF(OR(NOT(ISNUMBER($V336)),$AO336=1),"",$V336-(COUNTIFS($A$14:$A$1213,$A336,$C$14:$C$1213,"&gt;=0")+1)/2)</f>
        <v/>
      </c>
      <c r="Y336" s="27">
        <f>IF(OR(NOT(ISNUMBER($W336)),$AO336=1),"",$W336-(COUNTIFS($A$14:$A$1213,$A336,$F$14:$F$1213,"&gt;=0")+1)/2)</f>
        <v/>
      </c>
      <c r="Z336" s="27">
        <f>IF(ISNUMBER($V336),$A336&amp;"|"&amp;$V336,"")</f>
        <v/>
      </c>
      <c r="AA336" s="27">
        <f>IF(ISNUMBER($W336),$A336&amp;"|"&amp;$W336,"")</f>
        <v/>
      </c>
      <c r="AB336" s="27">
        <f>IF(ISNUMBER($F336),$A336&amp;"|"&amp;$F336,"")</f>
        <v/>
      </c>
      <c r="AC336" s="27">
        <f>IF(ISNUMBER($P336),COUNTIFS($A$14:$A$1213,$A336,$P$14:$P$1213,"&gt;"&amp;$P336)+(COUNTIFS($A$14:$A$1213,$A336,$P$14:$P$1213,"="&amp;$P336)+1)/2,"")</f>
        <v/>
      </c>
      <c r="AD336" s="27">
        <f>IF(ISNUMBER($Q336),COUNTIFS($A$14:$A$1213,$A336,$Q$14:$Q$1213,"&gt;"&amp;$Q336)+(COUNTIFS($A$14:$A$1213,$A336,$Q$14:$Q$1213,"="&amp;$Q336)+1)/2,"")</f>
        <v/>
      </c>
      <c r="AE336" s="27">
        <f>IF(ISNUMBER($R336),COUNTIFS($A$14:$A$1213,$A336,$R$14:$R$1213,"&gt;"&amp;$R336)+(COUNTIFS($A$14:$A$1213,$A336,$R$14:$R$1213,"="&amp;$R336)+1)/2,"")</f>
        <v/>
      </c>
      <c r="AF336" s="27">
        <f>IF(ISNUMBER($S336),COUNTIFS($A$14:$A$1213,$A336,$S$14:$S$1213,"&gt;"&amp;$S336)+(COUNTIFS($A$14:$A$1213,$A336,$S$14:$S$1213,"="&amp;$S336)+1)/2,"")</f>
        <v/>
      </c>
      <c r="AG336" s="27">
        <f>IF(ISNUMBER($T336),COUNTIFS($A$14:$A$1213,$A336,$T$14:$T$1213,"&gt;"&amp;$T336)+(COUNTIFS($A$14:$A$1213,$A336,$T$14:$T$1213,"="&amp;$T336)+1)/2,"")</f>
        <v/>
      </c>
      <c r="AH336" s="27">
        <f>IF(COUNT($AC336:$AG336)&lt;2,"",IF(MAX($AC336:$AG336)=MIN($AC336:$AG336),0,1))</f>
        <v/>
      </c>
      <c r="AI336" s="27">
        <f>IF($A336="","",IF(COUNTIF($A$14:$A336,$A336)=1,COUNTIF($AI$13:AI335,"&gt;0")+1,""))</f>
        <v/>
      </c>
      <c r="AO336" s="27">
        <f>IF($A336="","",IF(AND(COUNTIFS($A$14:$A$1213,$A336,$F$14:$F$1213,"&gt;=0")=2,IFERROR(INDEX($M$14:$M$313,MATCH($A336,$H$14:$H$313,0)),"Yes")&lt;&gt;"Yes"),1,0))</f>
        <v/>
      </c>
    </row>
    <row r="337">
      <c r="A337" s="19" t="n"/>
      <c r="B337" s="20" t="n"/>
      <c r="C337" s="21">
        <f>IFERROR(AVERAGE(P337:T337),"")</f>
        <v/>
      </c>
      <c r="D337" s="29" t="n"/>
      <c r="E337" s="29" t="n"/>
      <c r="F337" s="30">
        <f>IF(AND(ISNUMBER($D337),ISNUMBER($E337),$E337&gt;0,$D337&lt;=$E337),$D337/$E337,"")</f>
        <v/>
      </c>
      <c r="P337" s="26" t="n"/>
      <c r="Q337" s="26" t="n"/>
      <c r="R337" s="26" t="n"/>
      <c r="S337" s="26" t="n"/>
      <c r="T337" s="26" t="n"/>
      <c r="V337" s="27">
        <f>IF(ISNUMBER($C337),COUNTIFS($A$14:$A$1213,$A337,$C$14:$C$1213,"&gt;"&amp;$C337)+(COUNTIFS($A$14:$A$1213,$A337,$C$14:$C$1213,"="&amp;$C337)+1)/2,"")</f>
        <v/>
      </c>
      <c r="W337" s="27">
        <f>IF(ISNUMBER($F337),COUNTIFS($A$14:$A$1213,$A337,$F$14:$F$1213,"&gt;"&amp;$F337)+(COUNTIFS($A$14:$A$1213,$A337,$F$14:$F$1213,"="&amp;$F337)+1)/2,"")</f>
        <v/>
      </c>
      <c r="X337" s="27">
        <f>IF(OR(NOT(ISNUMBER($V337)),$AO337=1),"",$V337-(COUNTIFS($A$14:$A$1213,$A337,$C$14:$C$1213,"&gt;=0")+1)/2)</f>
        <v/>
      </c>
      <c r="Y337" s="27">
        <f>IF(OR(NOT(ISNUMBER($W337)),$AO337=1),"",$W337-(COUNTIFS($A$14:$A$1213,$A337,$F$14:$F$1213,"&gt;=0")+1)/2)</f>
        <v/>
      </c>
      <c r="Z337" s="27">
        <f>IF(ISNUMBER($V337),$A337&amp;"|"&amp;$V337,"")</f>
        <v/>
      </c>
      <c r="AA337" s="27">
        <f>IF(ISNUMBER($W337),$A337&amp;"|"&amp;$W337,"")</f>
        <v/>
      </c>
      <c r="AB337" s="27">
        <f>IF(ISNUMBER($F337),$A337&amp;"|"&amp;$F337,"")</f>
        <v/>
      </c>
      <c r="AC337" s="27">
        <f>IF(ISNUMBER($P337),COUNTIFS($A$14:$A$1213,$A337,$P$14:$P$1213,"&gt;"&amp;$P337)+(COUNTIFS($A$14:$A$1213,$A337,$P$14:$P$1213,"="&amp;$P337)+1)/2,"")</f>
        <v/>
      </c>
      <c r="AD337" s="27">
        <f>IF(ISNUMBER($Q337),COUNTIFS($A$14:$A$1213,$A337,$Q$14:$Q$1213,"&gt;"&amp;$Q337)+(COUNTIFS($A$14:$A$1213,$A337,$Q$14:$Q$1213,"="&amp;$Q337)+1)/2,"")</f>
        <v/>
      </c>
      <c r="AE337" s="27">
        <f>IF(ISNUMBER($R337),COUNTIFS($A$14:$A$1213,$A337,$R$14:$R$1213,"&gt;"&amp;$R337)+(COUNTIFS($A$14:$A$1213,$A337,$R$14:$R$1213,"="&amp;$R337)+1)/2,"")</f>
        <v/>
      </c>
      <c r="AF337" s="27">
        <f>IF(ISNUMBER($S337),COUNTIFS($A$14:$A$1213,$A337,$S$14:$S$1213,"&gt;"&amp;$S337)+(COUNTIFS($A$14:$A$1213,$A337,$S$14:$S$1213,"="&amp;$S337)+1)/2,"")</f>
        <v/>
      </c>
      <c r="AG337" s="27">
        <f>IF(ISNUMBER($T337),COUNTIFS($A$14:$A$1213,$A337,$T$14:$T$1213,"&gt;"&amp;$T337)+(COUNTIFS($A$14:$A$1213,$A337,$T$14:$T$1213,"="&amp;$T337)+1)/2,"")</f>
        <v/>
      </c>
      <c r="AH337" s="27">
        <f>IF(COUNT($AC337:$AG337)&lt;2,"",IF(MAX($AC337:$AG337)=MIN($AC337:$AG337),0,1))</f>
        <v/>
      </c>
      <c r="AI337" s="27">
        <f>IF($A337="","",IF(COUNTIF($A$14:$A337,$A337)=1,COUNTIF($AI$13:AI336,"&gt;0")+1,""))</f>
        <v/>
      </c>
      <c r="AO337" s="27">
        <f>IF($A337="","",IF(AND(COUNTIFS($A$14:$A$1213,$A337,$F$14:$F$1213,"&gt;=0")=2,IFERROR(INDEX($M$14:$M$313,MATCH($A337,$H$14:$H$313,0)),"Yes")&lt;&gt;"Yes"),1,0))</f>
        <v/>
      </c>
    </row>
    <row r="338">
      <c r="A338" s="19" t="n"/>
      <c r="B338" s="20" t="n"/>
      <c r="C338" s="21">
        <f>IFERROR(AVERAGE(P338:T338),"")</f>
        <v/>
      </c>
      <c r="D338" s="29" t="n"/>
      <c r="E338" s="29" t="n"/>
      <c r="F338" s="30">
        <f>IF(AND(ISNUMBER($D338),ISNUMBER($E338),$E338&gt;0,$D338&lt;=$E338),$D338/$E338,"")</f>
        <v/>
      </c>
      <c r="P338" s="26" t="n"/>
      <c r="Q338" s="26" t="n"/>
      <c r="R338" s="26" t="n"/>
      <c r="S338" s="26" t="n"/>
      <c r="T338" s="26" t="n"/>
      <c r="V338" s="27">
        <f>IF(ISNUMBER($C338),COUNTIFS($A$14:$A$1213,$A338,$C$14:$C$1213,"&gt;"&amp;$C338)+(COUNTIFS($A$14:$A$1213,$A338,$C$14:$C$1213,"="&amp;$C338)+1)/2,"")</f>
        <v/>
      </c>
      <c r="W338" s="27">
        <f>IF(ISNUMBER($F338),COUNTIFS($A$14:$A$1213,$A338,$F$14:$F$1213,"&gt;"&amp;$F338)+(COUNTIFS($A$14:$A$1213,$A338,$F$14:$F$1213,"="&amp;$F338)+1)/2,"")</f>
        <v/>
      </c>
      <c r="X338" s="27">
        <f>IF(OR(NOT(ISNUMBER($V338)),$AO338=1),"",$V338-(COUNTIFS($A$14:$A$1213,$A338,$C$14:$C$1213,"&gt;=0")+1)/2)</f>
        <v/>
      </c>
      <c r="Y338" s="27">
        <f>IF(OR(NOT(ISNUMBER($W338)),$AO338=1),"",$W338-(COUNTIFS($A$14:$A$1213,$A338,$F$14:$F$1213,"&gt;=0")+1)/2)</f>
        <v/>
      </c>
      <c r="Z338" s="27">
        <f>IF(ISNUMBER($V338),$A338&amp;"|"&amp;$V338,"")</f>
        <v/>
      </c>
      <c r="AA338" s="27">
        <f>IF(ISNUMBER($W338),$A338&amp;"|"&amp;$W338,"")</f>
        <v/>
      </c>
      <c r="AB338" s="27">
        <f>IF(ISNUMBER($F338),$A338&amp;"|"&amp;$F338,"")</f>
        <v/>
      </c>
      <c r="AC338" s="27">
        <f>IF(ISNUMBER($P338),COUNTIFS($A$14:$A$1213,$A338,$P$14:$P$1213,"&gt;"&amp;$P338)+(COUNTIFS($A$14:$A$1213,$A338,$P$14:$P$1213,"="&amp;$P338)+1)/2,"")</f>
        <v/>
      </c>
      <c r="AD338" s="27">
        <f>IF(ISNUMBER($Q338),COUNTIFS($A$14:$A$1213,$A338,$Q$14:$Q$1213,"&gt;"&amp;$Q338)+(COUNTIFS($A$14:$A$1213,$A338,$Q$14:$Q$1213,"="&amp;$Q338)+1)/2,"")</f>
        <v/>
      </c>
      <c r="AE338" s="27">
        <f>IF(ISNUMBER($R338),COUNTIFS($A$14:$A$1213,$A338,$R$14:$R$1213,"&gt;"&amp;$R338)+(COUNTIFS($A$14:$A$1213,$A338,$R$14:$R$1213,"="&amp;$R338)+1)/2,"")</f>
        <v/>
      </c>
      <c r="AF338" s="27">
        <f>IF(ISNUMBER($S338),COUNTIFS($A$14:$A$1213,$A338,$S$14:$S$1213,"&gt;"&amp;$S338)+(COUNTIFS($A$14:$A$1213,$A338,$S$14:$S$1213,"="&amp;$S338)+1)/2,"")</f>
        <v/>
      </c>
      <c r="AG338" s="27">
        <f>IF(ISNUMBER($T338),COUNTIFS($A$14:$A$1213,$A338,$T$14:$T$1213,"&gt;"&amp;$T338)+(COUNTIFS($A$14:$A$1213,$A338,$T$14:$T$1213,"="&amp;$T338)+1)/2,"")</f>
        <v/>
      </c>
      <c r="AH338" s="27">
        <f>IF(COUNT($AC338:$AG338)&lt;2,"",IF(MAX($AC338:$AG338)=MIN($AC338:$AG338),0,1))</f>
        <v/>
      </c>
      <c r="AI338" s="27">
        <f>IF($A338="","",IF(COUNTIF($A$14:$A338,$A338)=1,COUNTIF($AI$13:AI337,"&gt;0")+1,""))</f>
        <v/>
      </c>
      <c r="AO338" s="27">
        <f>IF($A338="","",IF(AND(COUNTIFS($A$14:$A$1213,$A338,$F$14:$F$1213,"&gt;=0")=2,IFERROR(INDEX($M$14:$M$313,MATCH($A338,$H$14:$H$313,0)),"Yes")&lt;&gt;"Yes"),1,0))</f>
        <v/>
      </c>
    </row>
    <row r="339">
      <c r="A339" s="19" t="n"/>
      <c r="B339" s="20" t="n"/>
      <c r="C339" s="21">
        <f>IFERROR(AVERAGE(P339:T339),"")</f>
        <v/>
      </c>
      <c r="D339" s="29" t="n"/>
      <c r="E339" s="29" t="n"/>
      <c r="F339" s="30">
        <f>IF(AND(ISNUMBER($D339),ISNUMBER($E339),$E339&gt;0,$D339&lt;=$E339),$D339/$E339,"")</f>
        <v/>
      </c>
      <c r="P339" s="26" t="n"/>
      <c r="Q339" s="26" t="n"/>
      <c r="R339" s="26" t="n"/>
      <c r="S339" s="26" t="n"/>
      <c r="T339" s="26" t="n"/>
      <c r="V339" s="27">
        <f>IF(ISNUMBER($C339),COUNTIFS($A$14:$A$1213,$A339,$C$14:$C$1213,"&gt;"&amp;$C339)+(COUNTIFS($A$14:$A$1213,$A339,$C$14:$C$1213,"="&amp;$C339)+1)/2,"")</f>
        <v/>
      </c>
      <c r="W339" s="27">
        <f>IF(ISNUMBER($F339),COUNTIFS($A$14:$A$1213,$A339,$F$14:$F$1213,"&gt;"&amp;$F339)+(COUNTIFS($A$14:$A$1213,$A339,$F$14:$F$1213,"="&amp;$F339)+1)/2,"")</f>
        <v/>
      </c>
      <c r="X339" s="27">
        <f>IF(OR(NOT(ISNUMBER($V339)),$AO339=1),"",$V339-(COUNTIFS($A$14:$A$1213,$A339,$C$14:$C$1213,"&gt;=0")+1)/2)</f>
        <v/>
      </c>
      <c r="Y339" s="27">
        <f>IF(OR(NOT(ISNUMBER($W339)),$AO339=1),"",$W339-(COUNTIFS($A$14:$A$1213,$A339,$F$14:$F$1213,"&gt;=0")+1)/2)</f>
        <v/>
      </c>
      <c r="Z339" s="27">
        <f>IF(ISNUMBER($V339),$A339&amp;"|"&amp;$V339,"")</f>
        <v/>
      </c>
      <c r="AA339" s="27">
        <f>IF(ISNUMBER($W339),$A339&amp;"|"&amp;$W339,"")</f>
        <v/>
      </c>
      <c r="AB339" s="27">
        <f>IF(ISNUMBER($F339),$A339&amp;"|"&amp;$F339,"")</f>
        <v/>
      </c>
      <c r="AC339" s="27">
        <f>IF(ISNUMBER($P339),COUNTIFS($A$14:$A$1213,$A339,$P$14:$P$1213,"&gt;"&amp;$P339)+(COUNTIFS($A$14:$A$1213,$A339,$P$14:$P$1213,"="&amp;$P339)+1)/2,"")</f>
        <v/>
      </c>
      <c r="AD339" s="27">
        <f>IF(ISNUMBER($Q339),COUNTIFS($A$14:$A$1213,$A339,$Q$14:$Q$1213,"&gt;"&amp;$Q339)+(COUNTIFS($A$14:$A$1213,$A339,$Q$14:$Q$1213,"="&amp;$Q339)+1)/2,"")</f>
        <v/>
      </c>
      <c r="AE339" s="27">
        <f>IF(ISNUMBER($R339),COUNTIFS($A$14:$A$1213,$A339,$R$14:$R$1213,"&gt;"&amp;$R339)+(COUNTIFS($A$14:$A$1213,$A339,$R$14:$R$1213,"="&amp;$R339)+1)/2,"")</f>
        <v/>
      </c>
      <c r="AF339" s="27">
        <f>IF(ISNUMBER($S339),COUNTIFS($A$14:$A$1213,$A339,$S$14:$S$1213,"&gt;"&amp;$S339)+(COUNTIFS($A$14:$A$1213,$A339,$S$14:$S$1213,"="&amp;$S339)+1)/2,"")</f>
        <v/>
      </c>
      <c r="AG339" s="27">
        <f>IF(ISNUMBER($T339),COUNTIFS($A$14:$A$1213,$A339,$T$14:$T$1213,"&gt;"&amp;$T339)+(COUNTIFS($A$14:$A$1213,$A339,$T$14:$T$1213,"="&amp;$T339)+1)/2,"")</f>
        <v/>
      </c>
      <c r="AH339" s="27">
        <f>IF(COUNT($AC339:$AG339)&lt;2,"",IF(MAX($AC339:$AG339)=MIN($AC339:$AG339),0,1))</f>
        <v/>
      </c>
      <c r="AI339" s="27">
        <f>IF($A339="","",IF(COUNTIF($A$14:$A339,$A339)=1,COUNTIF($AI$13:AI338,"&gt;0")+1,""))</f>
        <v/>
      </c>
      <c r="AO339" s="27">
        <f>IF($A339="","",IF(AND(COUNTIFS($A$14:$A$1213,$A339,$F$14:$F$1213,"&gt;=0")=2,IFERROR(INDEX($M$14:$M$313,MATCH($A339,$H$14:$H$313,0)),"Yes")&lt;&gt;"Yes"),1,0))</f>
        <v/>
      </c>
    </row>
    <row r="340">
      <c r="A340" s="19" t="n"/>
      <c r="B340" s="20" t="n"/>
      <c r="C340" s="21">
        <f>IFERROR(AVERAGE(P340:T340),"")</f>
        <v/>
      </c>
      <c r="D340" s="29" t="n"/>
      <c r="E340" s="29" t="n"/>
      <c r="F340" s="30">
        <f>IF(AND(ISNUMBER($D340),ISNUMBER($E340),$E340&gt;0,$D340&lt;=$E340),$D340/$E340,"")</f>
        <v/>
      </c>
      <c r="P340" s="26" t="n"/>
      <c r="Q340" s="26" t="n"/>
      <c r="R340" s="26" t="n"/>
      <c r="S340" s="26" t="n"/>
      <c r="T340" s="26" t="n"/>
      <c r="V340" s="27">
        <f>IF(ISNUMBER($C340),COUNTIFS($A$14:$A$1213,$A340,$C$14:$C$1213,"&gt;"&amp;$C340)+(COUNTIFS($A$14:$A$1213,$A340,$C$14:$C$1213,"="&amp;$C340)+1)/2,"")</f>
        <v/>
      </c>
      <c r="W340" s="27">
        <f>IF(ISNUMBER($F340),COUNTIFS($A$14:$A$1213,$A340,$F$14:$F$1213,"&gt;"&amp;$F340)+(COUNTIFS($A$14:$A$1213,$A340,$F$14:$F$1213,"="&amp;$F340)+1)/2,"")</f>
        <v/>
      </c>
      <c r="X340" s="27">
        <f>IF(OR(NOT(ISNUMBER($V340)),$AO340=1),"",$V340-(COUNTIFS($A$14:$A$1213,$A340,$C$14:$C$1213,"&gt;=0")+1)/2)</f>
        <v/>
      </c>
      <c r="Y340" s="27">
        <f>IF(OR(NOT(ISNUMBER($W340)),$AO340=1),"",$W340-(COUNTIFS($A$14:$A$1213,$A340,$F$14:$F$1213,"&gt;=0")+1)/2)</f>
        <v/>
      </c>
      <c r="Z340" s="27">
        <f>IF(ISNUMBER($V340),$A340&amp;"|"&amp;$V340,"")</f>
        <v/>
      </c>
      <c r="AA340" s="27">
        <f>IF(ISNUMBER($W340),$A340&amp;"|"&amp;$W340,"")</f>
        <v/>
      </c>
      <c r="AB340" s="27">
        <f>IF(ISNUMBER($F340),$A340&amp;"|"&amp;$F340,"")</f>
        <v/>
      </c>
      <c r="AC340" s="27">
        <f>IF(ISNUMBER($P340),COUNTIFS($A$14:$A$1213,$A340,$P$14:$P$1213,"&gt;"&amp;$P340)+(COUNTIFS($A$14:$A$1213,$A340,$P$14:$P$1213,"="&amp;$P340)+1)/2,"")</f>
        <v/>
      </c>
      <c r="AD340" s="27">
        <f>IF(ISNUMBER($Q340),COUNTIFS($A$14:$A$1213,$A340,$Q$14:$Q$1213,"&gt;"&amp;$Q340)+(COUNTIFS($A$14:$A$1213,$A340,$Q$14:$Q$1213,"="&amp;$Q340)+1)/2,"")</f>
        <v/>
      </c>
      <c r="AE340" s="27">
        <f>IF(ISNUMBER($R340),COUNTIFS($A$14:$A$1213,$A340,$R$14:$R$1213,"&gt;"&amp;$R340)+(COUNTIFS($A$14:$A$1213,$A340,$R$14:$R$1213,"="&amp;$R340)+1)/2,"")</f>
        <v/>
      </c>
      <c r="AF340" s="27">
        <f>IF(ISNUMBER($S340),COUNTIFS($A$14:$A$1213,$A340,$S$14:$S$1213,"&gt;"&amp;$S340)+(COUNTIFS($A$14:$A$1213,$A340,$S$14:$S$1213,"="&amp;$S340)+1)/2,"")</f>
        <v/>
      </c>
      <c r="AG340" s="27">
        <f>IF(ISNUMBER($T340),COUNTIFS($A$14:$A$1213,$A340,$T$14:$T$1213,"&gt;"&amp;$T340)+(COUNTIFS($A$14:$A$1213,$A340,$T$14:$T$1213,"="&amp;$T340)+1)/2,"")</f>
        <v/>
      </c>
      <c r="AH340" s="27">
        <f>IF(COUNT($AC340:$AG340)&lt;2,"",IF(MAX($AC340:$AG340)=MIN($AC340:$AG340),0,1))</f>
        <v/>
      </c>
      <c r="AI340" s="27">
        <f>IF($A340="","",IF(COUNTIF($A$14:$A340,$A340)=1,COUNTIF($AI$13:AI339,"&gt;0")+1,""))</f>
        <v/>
      </c>
      <c r="AO340" s="27">
        <f>IF($A340="","",IF(AND(COUNTIFS($A$14:$A$1213,$A340,$F$14:$F$1213,"&gt;=0")=2,IFERROR(INDEX($M$14:$M$313,MATCH($A340,$H$14:$H$313,0)),"Yes")&lt;&gt;"Yes"),1,0))</f>
        <v/>
      </c>
    </row>
    <row r="341">
      <c r="A341" s="19" t="n"/>
      <c r="B341" s="20" t="n"/>
      <c r="C341" s="21">
        <f>IFERROR(AVERAGE(P341:T341),"")</f>
        <v/>
      </c>
      <c r="D341" s="29" t="n"/>
      <c r="E341" s="29" t="n"/>
      <c r="F341" s="30">
        <f>IF(AND(ISNUMBER($D341),ISNUMBER($E341),$E341&gt;0,$D341&lt;=$E341),$D341/$E341,"")</f>
        <v/>
      </c>
      <c r="P341" s="26" t="n"/>
      <c r="Q341" s="26" t="n"/>
      <c r="R341" s="26" t="n"/>
      <c r="S341" s="26" t="n"/>
      <c r="T341" s="26" t="n"/>
      <c r="V341" s="27">
        <f>IF(ISNUMBER($C341),COUNTIFS($A$14:$A$1213,$A341,$C$14:$C$1213,"&gt;"&amp;$C341)+(COUNTIFS($A$14:$A$1213,$A341,$C$14:$C$1213,"="&amp;$C341)+1)/2,"")</f>
        <v/>
      </c>
      <c r="W341" s="27">
        <f>IF(ISNUMBER($F341),COUNTIFS($A$14:$A$1213,$A341,$F$14:$F$1213,"&gt;"&amp;$F341)+(COUNTIFS($A$14:$A$1213,$A341,$F$14:$F$1213,"="&amp;$F341)+1)/2,"")</f>
        <v/>
      </c>
      <c r="X341" s="27">
        <f>IF(OR(NOT(ISNUMBER($V341)),$AO341=1),"",$V341-(COUNTIFS($A$14:$A$1213,$A341,$C$14:$C$1213,"&gt;=0")+1)/2)</f>
        <v/>
      </c>
      <c r="Y341" s="27">
        <f>IF(OR(NOT(ISNUMBER($W341)),$AO341=1),"",$W341-(COUNTIFS($A$14:$A$1213,$A341,$F$14:$F$1213,"&gt;=0")+1)/2)</f>
        <v/>
      </c>
      <c r="Z341" s="27">
        <f>IF(ISNUMBER($V341),$A341&amp;"|"&amp;$V341,"")</f>
        <v/>
      </c>
      <c r="AA341" s="27">
        <f>IF(ISNUMBER($W341),$A341&amp;"|"&amp;$W341,"")</f>
        <v/>
      </c>
      <c r="AB341" s="27">
        <f>IF(ISNUMBER($F341),$A341&amp;"|"&amp;$F341,"")</f>
        <v/>
      </c>
      <c r="AC341" s="27">
        <f>IF(ISNUMBER($P341),COUNTIFS($A$14:$A$1213,$A341,$P$14:$P$1213,"&gt;"&amp;$P341)+(COUNTIFS($A$14:$A$1213,$A341,$P$14:$P$1213,"="&amp;$P341)+1)/2,"")</f>
        <v/>
      </c>
      <c r="AD341" s="27">
        <f>IF(ISNUMBER($Q341),COUNTIFS($A$14:$A$1213,$A341,$Q$14:$Q$1213,"&gt;"&amp;$Q341)+(COUNTIFS($A$14:$A$1213,$A341,$Q$14:$Q$1213,"="&amp;$Q341)+1)/2,"")</f>
        <v/>
      </c>
      <c r="AE341" s="27">
        <f>IF(ISNUMBER($R341),COUNTIFS($A$14:$A$1213,$A341,$R$14:$R$1213,"&gt;"&amp;$R341)+(COUNTIFS($A$14:$A$1213,$A341,$R$14:$R$1213,"="&amp;$R341)+1)/2,"")</f>
        <v/>
      </c>
      <c r="AF341" s="27">
        <f>IF(ISNUMBER($S341),COUNTIFS($A$14:$A$1213,$A341,$S$14:$S$1213,"&gt;"&amp;$S341)+(COUNTIFS($A$14:$A$1213,$A341,$S$14:$S$1213,"="&amp;$S341)+1)/2,"")</f>
        <v/>
      </c>
      <c r="AG341" s="27">
        <f>IF(ISNUMBER($T341),COUNTIFS($A$14:$A$1213,$A341,$T$14:$T$1213,"&gt;"&amp;$T341)+(COUNTIFS($A$14:$A$1213,$A341,$T$14:$T$1213,"="&amp;$T341)+1)/2,"")</f>
        <v/>
      </c>
      <c r="AH341" s="27">
        <f>IF(COUNT($AC341:$AG341)&lt;2,"",IF(MAX($AC341:$AG341)=MIN($AC341:$AG341),0,1))</f>
        <v/>
      </c>
      <c r="AI341" s="27">
        <f>IF($A341="","",IF(COUNTIF($A$14:$A341,$A341)=1,COUNTIF($AI$13:AI340,"&gt;0")+1,""))</f>
        <v/>
      </c>
      <c r="AO341" s="27">
        <f>IF($A341="","",IF(AND(COUNTIFS($A$14:$A$1213,$A341,$F$14:$F$1213,"&gt;=0")=2,IFERROR(INDEX($M$14:$M$313,MATCH($A341,$H$14:$H$313,0)),"Yes")&lt;&gt;"Yes"),1,0))</f>
        <v/>
      </c>
    </row>
    <row r="342">
      <c r="A342" s="19" t="n"/>
      <c r="B342" s="20" t="n"/>
      <c r="C342" s="21">
        <f>IFERROR(AVERAGE(P342:T342),"")</f>
        <v/>
      </c>
      <c r="D342" s="29" t="n"/>
      <c r="E342" s="29" t="n"/>
      <c r="F342" s="30">
        <f>IF(AND(ISNUMBER($D342),ISNUMBER($E342),$E342&gt;0,$D342&lt;=$E342),$D342/$E342,"")</f>
        <v/>
      </c>
      <c r="P342" s="26" t="n"/>
      <c r="Q342" s="26" t="n"/>
      <c r="R342" s="26" t="n"/>
      <c r="S342" s="26" t="n"/>
      <c r="T342" s="26" t="n"/>
      <c r="V342" s="27">
        <f>IF(ISNUMBER($C342),COUNTIFS($A$14:$A$1213,$A342,$C$14:$C$1213,"&gt;"&amp;$C342)+(COUNTIFS($A$14:$A$1213,$A342,$C$14:$C$1213,"="&amp;$C342)+1)/2,"")</f>
        <v/>
      </c>
      <c r="W342" s="27">
        <f>IF(ISNUMBER($F342),COUNTIFS($A$14:$A$1213,$A342,$F$14:$F$1213,"&gt;"&amp;$F342)+(COUNTIFS($A$14:$A$1213,$A342,$F$14:$F$1213,"="&amp;$F342)+1)/2,"")</f>
        <v/>
      </c>
      <c r="X342" s="27">
        <f>IF(OR(NOT(ISNUMBER($V342)),$AO342=1),"",$V342-(COUNTIFS($A$14:$A$1213,$A342,$C$14:$C$1213,"&gt;=0")+1)/2)</f>
        <v/>
      </c>
      <c r="Y342" s="27">
        <f>IF(OR(NOT(ISNUMBER($W342)),$AO342=1),"",$W342-(COUNTIFS($A$14:$A$1213,$A342,$F$14:$F$1213,"&gt;=0")+1)/2)</f>
        <v/>
      </c>
      <c r="Z342" s="27">
        <f>IF(ISNUMBER($V342),$A342&amp;"|"&amp;$V342,"")</f>
        <v/>
      </c>
      <c r="AA342" s="27">
        <f>IF(ISNUMBER($W342),$A342&amp;"|"&amp;$W342,"")</f>
        <v/>
      </c>
      <c r="AB342" s="27">
        <f>IF(ISNUMBER($F342),$A342&amp;"|"&amp;$F342,"")</f>
        <v/>
      </c>
      <c r="AC342" s="27">
        <f>IF(ISNUMBER($P342),COUNTIFS($A$14:$A$1213,$A342,$P$14:$P$1213,"&gt;"&amp;$P342)+(COUNTIFS($A$14:$A$1213,$A342,$P$14:$P$1213,"="&amp;$P342)+1)/2,"")</f>
        <v/>
      </c>
      <c r="AD342" s="27">
        <f>IF(ISNUMBER($Q342),COUNTIFS($A$14:$A$1213,$A342,$Q$14:$Q$1213,"&gt;"&amp;$Q342)+(COUNTIFS($A$14:$A$1213,$A342,$Q$14:$Q$1213,"="&amp;$Q342)+1)/2,"")</f>
        <v/>
      </c>
      <c r="AE342" s="27">
        <f>IF(ISNUMBER($R342),COUNTIFS($A$14:$A$1213,$A342,$R$14:$R$1213,"&gt;"&amp;$R342)+(COUNTIFS($A$14:$A$1213,$A342,$R$14:$R$1213,"="&amp;$R342)+1)/2,"")</f>
        <v/>
      </c>
      <c r="AF342" s="27">
        <f>IF(ISNUMBER($S342),COUNTIFS($A$14:$A$1213,$A342,$S$14:$S$1213,"&gt;"&amp;$S342)+(COUNTIFS($A$14:$A$1213,$A342,$S$14:$S$1213,"="&amp;$S342)+1)/2,"")</f>
        <v/>
      </c>
      <c r="AG342" s="27">
        <f>IF(ISNUMBER($T342),COUNTIFS($A$14:$A$1213,$A342,$T$14:$T$1213,"&gt;"&amp;$T342)+(COUNTIFS($A$14:$A$1213,$A342,$T$14:$T$1213,"="&amp;$T342)+1)/2,"")</f>
        <v/>
      </c>
      <c r="AH342" s="27">
        <f>IF(COUNT($AC342:$AG342)&lt;2,"",IF(MAX($AC342:$AG342)=MIN($AC342:$AG342),0,1))</f>
        <v/>
      </c>
      <c r="AI342" s="27">
        <f>IF($A342="","",IF(COUNTIF($A$14:$A342,$A342)=1,COUNTIF($AI$13:AI341,"&gt;0")+1,""))</f>
        <v/>
      </c>
      <c r="AO342" s="27">
        <f>IF($A342="","",IF(AND(COUNTIFS($A$14:$A$1213,$A342,$F$14:$F$1213,"&gt;=0")=2,IFERROR(INDEX($M$14:$M$313,MATCH($A342,$H$14:$H$313,0)),"Yes")&lt;&gt;"Yes"),1,0))</f>
        <v/>
      </c>
    </row>
    <row r="343">
      <c r="A343" s="19" t="n"/>
      <c r="B343" s="20" t="n"/>
      <c r="C343" s="21">
        <f>IFERROR(AVERAGE(P343:T343),"")</f>
        <v/>
      </c>
      <c r="D343" s="29" t="n"/>
      <c r="E343" s="29" t="n"/>
      <c r="F343" s="30">
        <f>IF(AND(ISNUMBER($D343),ISNUMBER($E343),$E343&gt;0,$D343&lt;=$E343),$D343/$E343,"")</f>
        <v/>
      </c>
      <c r="P343" s="26" t="n"/>
      <c r="Q343" s="26" t="n"/>
      <c r="R343" s="26" t="n"/>
      <c r="S343" s="26" t="n"/>
      <c r="T343" s="26" t="n"/>
      <c r="V343" s="27">
        <f>IF(ISNUMBER($C343),COUNTIFS($A$14:$A$1213,$A343,$C$14:$C$1213,"&gt;"&amp;$C343)+(COUNTIFS($A$14:$A$1213,$A343,$C$14:$C$1213,"="&amp;$C343)+1)/2,"")</f>
        <v/>
      </c>
      <c r="W343" s="27">
        <f>IF(ISNUMBER($F343),COUNTIFS($A$14:$A$1213,$A343,$F$14:$F$1213,"&gt;"&amp;$F343)+(COUNTIFS($A$14:$A$1213,$A343,$F$14:$F$1213,"="&amp;$F343)+1)/2,"")</f>
        <v/>
      </c>
      <c r="X343" s="27">
        <f>IF(OR(NOT(ISNUMBER($V343)),$AO343=1),"",$V343-(COUNTIFS($A$14:$A$1213,$A343,$C$14:$C$1213,"&gt;=0")+1)/2)</f>
        <v/>
      </c>
      <c r="Y343" s="27">
        <f>IF(OR(NOT(ISNUMBER($W343)),$AO343=1),"",$W343-(COUNTIFS($A$14:$A$1213,$A343,$F$14:$F$1213,"&gt;=0")+1)/2)</f>
        <v/>
      </c>
      <c r="Z343" s="27">
        <f>IF(ISNUMBER($V343),$A343&amp;"|"&amp;$V343,"")</f>
        <v/>
      </c>
      <c r="AA343" s="27">
        <f>IF(ISNUMBER($W343),$A343&amp;"|"&amp;$W343,"")</f>
        <v/>
      </c>
      <c r="AB343" s="27">
        <f>IF(ISNUMBER($F343),$A343&amp;"|"&amp;$F343,"")</f>
        <v/>
      </c>
      <c r="AC343" s="27">
        <f>IF(ISNUMBER($P343),COUNTIFS($A$14:$A$1213,$A343,$P$14:$P$1213,"&gt;"&amp;$P343)+(COUNTIFS($A$14:$A$1213,$A343,$P$14:$P$1213,"="&amp;$P343)+1)/2,"")</f>
        <v/>
      </c>
      <c r="AD343" s="27">
        <f>IF(ISNUMBER($Q343),COUNTIFS($A$14:$A$1213,$A343,$Q$14:$Q$1213,"&gt;"&amp;$Q343)+(COUNTIFS($A$14:$A$1213,$A343,$Q$14:$Q$1213,"="&amp;$Q343)+1)/2,"")</f>
        <v/>
      </c>
      <c r="AE343" s="27">
        <f>IF(ISNUMBER($R343),COUNTIFS($A$14:$A$1213,$A343,$R$14:$R$1213,"&gt;"&amp;$R343)+(COUNTIFS($A$14:$A$1213,$A343,$R$14:$R$1213,"="&amp;$R343)+1)/2,"")</f>
        <v/>
      </c>
      <c r="AF343" s="27">
        <f>IF(ISNUMBER($S343),COUNTIFS($A$14:$A$1213,$A343,$S$14:$S$1213,"&gt;"&amp;$S343)+(COUNTIFS($A$14:$A$1213,$A343,$S$14:$S$1213,"="&amp;$S343)+1)/2,"")</f>
        <v/>
      </c>
      <c r="AG343" s="27">
        <f>IF(ISNUMBER($T343),COUNTIFS($A$14:$A$1213,$A343,$T$14:$T$1213,"&gt;"&amp;$T343)+(COUNTIFS($A$14:$A$1213,$A343,$T$14:$T$1213,"="&amp;$T343)+1)/2,"")</f>
        <v/>
      </c>
      <c r="AH343" s="27">
        <f>IF(COUNT($AC343:$AG343)&lt;2,"",IF(MAX($AC343:$AG343)=MIN($AC343:$AG343),0,1))</f>
        <v/>
      </c>
      <c r="AI343" s="27">
        <f>IF($A343="","",IF(COUNTIF($A$14:$A343,$A343)=1,COUNTIF($AI$13:AI342,"&gt;0")+1,""))</f>
        <v/>
      </c>
      <c r="AO343" s="27">
        <f>IF($A343="","",IF(AND(COUNTIFS($A$14:$A$1213,$A343,$F$14:$F$1213,"&gt;=0")=2,IFERROR(INDEX($M$14:$M$313,MATCH($A343,$H$14:$H$313,0)),"Yes")&lt;&gt;"Yes"),1,0))</f>
        <v/>
      </c>
    </row>
    <row r="344">
      <c r="A344" s="19" t="n"/>
      <c r="B344" s="20" t="n"/>
      <c r="C344" s="21">
        <f>IFERROR(AVERAGE(P344:T344),"")</f>
        <v/>
      </c>
      <c r="D344" s="29" t="n"/>
      <c r="E344" s="29" t="n"/>
      <c r="F344" s="30">
        <f>IF(AND(ISNUMBER($D344),ISNUMBER($E344),$E344&gt;0,$D344&lt;=$E344),$D344/$E344,"")</f>
        <v/>
      </c>
      <c r="P344" s="26" t="n"/>
      <c r="Q344" s="26" t="n"/>
      <c r="R344" s="26" t="n"/>
      <c r="S344" s="26" t="n"/>
      <c r="T344" s="26" t="n"/>
      <c r="V344" s="27">
        <f>IF(ISNUMBER($C344),COUNTIFS($A$14:$A$1213,$A344,$C$14:$C$1213,"&gt;"&amp;$C344)+(COUNTIFS($A$14:$A$1213,$A344,$C$14:$C$1213,"="&amp;$C344)+1)/2,"")</f>
        <v/>
      </c>
      <c r="W344" s="27">
        <f>IF(ISNUMBER($F344),COUNTIFS($A$14:$A$1213,$A344,$F$14:$F$1213,"&gt;"&amp;$F344)+(COUNTIFS($A$14:$A$1213,$A344,$F$14:$F$1213,"="&amp;$F344)+1)/2,"")</f>
        <v/>
      </c>
      <c r="X344" s="27">
        <f>IF(OR(NOT(ISNUMBER($V344)),$AO344=1),"",$V344-(COUNTIFS($A$14:$A$1213,$A344,$C$14:$C$1213,"&gt;=0")+1)/2)</f>
        <v/>
      </c>
      <c r="Y344" s="27">
        <f>IF(OR(NOT(ISNUMBER($W344)),$AO344=1),"",$W344-(COUNTIFS($A$14:$A$1213,$A344,$F$14:$F$1213,"&gt;=0")+1)/2)</f>
        <v/>
      </c>
      <c r="Z344" s="27">
        <f>IF(ISNUMBER($V344),$A344&amp;"|"&amp;$V344,"")</f>
        <v/>
      </c>
      <c r="AA344" s="27">
        <f>IF(ISNUMBER($W344),$A344&amp;"|"&amp;$W344,"")</f>
        <v/>
      </c>
      <c r="AB344" s="27">
        <f>IF(ISNUMBER($F344),$A344&amp;"|"&amp;$F344,"")</f>
        <v/>
      </c>
      <c r="AC344" s="27">
        <f>IF(ISNUMBER($P344),COUNTIFS($A$14:$A$1213,$A344,$P$14:$P$1213,"&gt;"&amp;$P344)+(COUNTIFS($A$14:$A$1213,$A344,$P$14:$P$1213,"="&amp;$P344)+1)/2,"")</f>
        <v/>
      </c>
      <c r="AD344" s="27">
        <f>IF(ISNUMBER($Q344),COUNTIFS($A$14:$A$1213,$A344,$Q$14:$Q$1213,"&gt;"&amp;$Q344)+(COUNTIFS($A$14:$A$1213,$A344,$Q$14:$Q$1213,"="&amp;$Q344)+1)/2,"")</f>
        <v/>
      </c>
      <c r="AE344" s="27">
        <f>IF(ISNUMBER($R344),COUNTIFS($A$14:$A$1213,$A344,$R$14:$R$1213,"&gt;"&amp;$R344)+(COUNTIFS($A$14:$A$1213,$A344,$R$14:$R$1213,"="&amp;$R344)+1)/2,"")</f>
        <v/>
      </c>
      <c r="AF344" s="27">
        <f>IF(ISNUMBER($S344),COUNTIFS($A$14:$A$1213,$A344,$S$14:$S$1213,"&gt;"&amp;$S344)+(COUNTIFS($A$14:$A$1213,$A344,$S$14:$S$1213,"="&amp;$S344)+1)/2,"")</f>
        <v/>
      </c>
      <c r="AG344" s="27">
        <f>IF(ISNUMBER($T344),COUNTIFS($A$14:$A$1213,$A344,$T$14:$T$1213,"&gt;"&amp;$T344)+(COUNTIFS($A$14:$A$1213,$A344,$T$14:$T$1213,"="&amp;$T344)+1)/2,"")</f>
        <v/>
      </c>
      <c r="AH344" s="27">
        <f>IF(COUNT($AC344:$AG344)&lt;2,"",IF(MAX($AC344:$AG344)=MIN($AC344:$AG344),0,1))</f>
        <v/>
      </c>
      <c r="AI344" s="27">
        <f>IF($A344="","",IF(COUNTIF($A$14:$A344,$A344)=1,COUNTIF($AI$13:AI343,"&gt;0")+1,""))</f>
        <v/>
      </c>
      <c r="AO344" s="27">
        <f>IF($A344="","",IF(AND(COUNTIFS($A$14:$A$1213,$A344,$F$14:$F$1213,"&gt;=0")=2,IFERROR(INDEX($M$14:$M$313,MATCH($A344,$H$14:$H$313,0)),"Yes")&lt;&gt;"Yes"),1,0))</f>
        <v/>
      </c>
    </row>
    <row r="345">
      <c r="A345" s="19" t="n"/>
      <c r="B345" s="20" t="n"/>
      <c r="C345" s="21">
        <f>IFERROR(AVERAGE(P345:T345),"")</f>
        <v/>
      </c>
      <c r="D345" s="29" t="n"/>
      <c r="E345" s="29" t="n"/>
      <c r="F345" s="30">
        <f>IF(AND(ISNUMBER($D345),ISNUMBER($E345),$E345&gt;0,$D345&lt;=$E345),$D345/$E345,"")</f>
        <v/>
      </c>
      <c r="P345" s="26" t="n"/>
      <c r="Q345" s="26" t="n"/>
      <c r="R345" s="26" t="n"/>
      <c r="S345" s="26" t="n"/>
      <c r="T345" s="26" t="n"/>
      <c r="V345" s="27">
        <f>IF(ISNUMBER($C345),COUNTIFS($A$14:$A$1213,$A345,$C$14:$C$1213,"&gt;"&amp;$C345)+(COUNTIFS($A$14:$A$1213,$A345,$C$14:$C$1213,"="&amp;$C345)+1)/2,"")</f>
        <v/>
      </c>
      <c r="W345" s="27">
        <f>IF(ISNUMBER($F345),COUNTIFS($A$14:$A$1213,$A345,$F$14:$F$1213,"&gt;"&amp;$F345)+(COUNTIFS($A$14:$A$1213,$A345,$F$14:$F$1213,"="&amp;$F345)+1)/2,"")</f>
        <v/>
      </c>
      <c r="X345" s="27">
        <f>IF(OR(NOT(ISNUMBER($V345)),$AO345=1),"",$V345-(COUNTIFS($A$14:$A$1213,$A345,$C$14:$C$1213,"&gt;=0")+1)/2)</f>
        <v/>
      </c>
      <c r="Y345" s="27">
        <f>IF(OR(NOT(ISNUMBER($W345)),$AO345=1),"",$W345-(COUNTIFS($A$14:$A$1213,$A345,$F$14:$F$1213,"&gt;=0")+1)/2)</f>
        <v/>
      </c>
      <c r="Z345" s="27">
        <f>IF(ISNUMBER($V345),$A345&amp;"|"&amp;$V345,"")</f>
        <v/>
      </c>
      <c r="AA345" s="27">
        <f>IF(ISNUMBER($W345),$A345&amp;"|"&amp;$W345,"")</f>
        <v/>
      </c>
      <c r="AB345" s="27">
        <f>IF(ISNUMBER($F345),$A345&amp;"|"&amp;$F345,"")</f>
        <v/>
      </c>
      <c r="AC345" s="27">
        <f>IF(ISNUMBER($P345),COUNTIFS($A$14:$A$1213,$A345,$P$14:$P$1213,"&gt;"&amp;$P345)+(COUNTIFS($A$14:$A$1213,$A345,$P$14:$P$1213,"="&amp;$P345)+1)/2,"")</f>
        <v/>
      </c>
      <c r="AD345" s="27">
        <f>IF(ISNUMBER($Q345),COUNTIFS($A$14:$A$1213,$A345,$Q$14:$Q$1213,"&gt;"&amp;$Q345)+(COUNTIFS($A$14:$A$1213,$A345,$Q$14:$Q$1213,"="&amp;$Q345)+1)/2,"")</f>
        <v/>
      </c>
      <c r="AE345" s="27">
        <f>IF(ISNUMBER($R345),COUNTIFS($A$14:$A$1213,$A345,$R$14:$R$1213,"&gt;"&amp;$R345)+(COUNTIFS($A$14:$A$1213,$A345,$R$14:$R$1213,"="&amp;$R345)+1)/2,"")</f>
        <v/>
      </c>
      <c r="AF345" s="27">
        <f>IF(ISNUMBER($S345),COUNTIFS($A$14:$A$1213,$A345,$S$14:$S$1213,"&gt;"&amp;$S345)+(COUNTIFS($A$14:$A$1213,$A345,$S$14:$S$1213,"="&amp;$S345)+1)/2,"")</f>
        <v/>
      </c>
      <c r="AG345" s="27">
        <f>IF(ISNUMBER($T345),COUNTIFS($A$14:$A$1213,$A345,$T$14:$T$1213,"&gt;"&amp;$T345)+(COUNTIFS($A$14:$A$1213,$A345,$T$14:$T$1213,"="&amp;$T345)+1)/2,"")</f>
        <v/>
      </c>
      <c r="AH345" s="27">
        <f>IF(COUNT($AC345:$AG345)&lt;2,"",IF(MAX($AC345:$AG345)=MIN($AC345:$AG345),0,1))</f>
        <v/>
      </c>
      <c r="AI345" s="27">
        <f>IF($A345="","",IF(COUNTIF($A$14:$A345,$A345)=1,COUNTIF($AI$13:AI344,"&gt;0")+1,""))</f>
        <v/>
      </c>
      <c r="AO345" s="27">
        <f>IF($A345="","",IF(AND(COUNTIFS($A$14:$A$1213,$A345,$F$14:$F$1213,"&gt;=0")=2,IFERROR(INDEX($M$14:$M$313,MATCH($A345,$H$14:$H$313,0)),"Yes")&lt;&gt;"Yes"),1,0))</f>
        <v/>
      </c>
    </row>
    <row r="346">
      <c r="A346" s="19" t="n"/>
      <c r="B346" s="20" t="n"/>
      <c r="C346" s="21">
        <f>IFERROR(AVERAGE(P346:T346),"")</f>
        <v/>
      </c>
      <c r="D346" s="29" t="n"/>
      <c r="E346" s="29" t="n"/>
      <c r="F346" s="30">
        <f>IF(AND(ISNUMBER($D346),ISNUMBER($E346),$E346&gt;0,$D346&lt;=$E346),$D346/$E346,"")</f>
        <v/>
      </c>
      <c r="P346" s="26" t="n"/>
      <c r="Q346" s="26" t="n"/>
      <c r="R346" s="26" t="n"/>
      <c r="S346" s="26" t="n"/>
      <c r="T346" s="26" t="n"/>
      <c r="V346" s="27">
        <f>IF(ISNUMBER($C346),COUNTIFS($A$14:$A$1213,$A346,$C$14:$C$1213,"&gt;"&amp;$C346)+(COUNTIFS($A$14:$A$1213,$A346,$C$14:$C$1213,"="&amp;$C346)+1)/2,"")</f>
        <v/>
      </c>
      <c r="W346" s="27">
        <f>IF(ISNUMBER($F346),COUNTIFS($A$14:$A$1213,$A346,$F$14:$F$1213,"&gt;"&amp;$F346)+(COUNTIFS($A$14:$A$1213,$A346,$F$14:$F$1213,"="&amp;$F346)+1)/2,"")</f>
        <v/>
      </c>
      <c r="X346" s="27">
        <f>IF(OR(NOT(ISNUMBER($V346)),$AO346=1),"",$V346-(COUNTIFS($A$14:$A$1213,$A346,$C$14:$C$1213,"&gt;=0")+1)/2)</f>
        <v/>
      </c>
      <c r="Y346" s="27">
        <f>IF(OR(NOT(ISNUMBER($W346)),$AO346=1),"",$W346-(COUNTIFS($A$14:$A$1213,$A346,$F$14:$F$1213,"&gt;=0")+1)/2)</f>
        <v/>
      </c>
      <c r="Z346" s="27">
        <f>IF(ISNUMBER($V346),$A346&amp;"|"&amp;$V346,"")</f>
        <v/>
      </c>
      <c r="AA346" s="27">
        <f>IF(ISNUMBER($W346),$A346&amp;"|"&amp;$W346,"")</f>
        <v/>
      </c>
      <c r="AB346" s="27">
        <f>IF(ISNUMBER($F346),$A346&amp;"|"&amp;$F346,"")</f>
        <v/>
      </c>
      <c r="AC346" s="27">
        <f>IF(ISNUMBER($P346),COUNTIFS($A$14:$A$1213,$A346,$P$14:$P$1213,"&gt;"&amp;$P346)+(COUNTIFS($A$14:$A$1213,$A346,$P$14:$P$1213,"="&amp;$P346)+1)/2,"")</f>
        <v/>
      </c>
      <c r="AD346" s="27">
        <f>IF(ISNUMBER($Q346),COUNTIFS($A$14:$A$1213,$A346,$Q$14:$Q$1213,"&gt;"&amp;$Q346)+(COUNTIFS($A$14:$A$1213,$A346,$Q$14:$Q$1213,"="&amp;$Q346)+1)/2,"")</f>
        <v/>
      </c>
      <c r="AE346" s="27">
        <f>IF(ISNUMBER($R346),COUNTIFS($A$14:$A$1213,$A346,$R$14:$R$1213,"&gt;"&amp;$R346)+(COUNTIFS($A$14:$A$1213,$A346,$R$14:$R$1213,"="&amp;$R346)+1)/2,"")</f>
        <v/>
      </c>
      <c r="AF346" s="27">
        <f>IF(ISNUMBER($S346),COUNTIFS($A$14:$A$1213,$A346,$S$14:$S$1213,"&gt;"&amp;$S346)+(COUNTIFS($A$14:$A$1213,$A346,$S$14:$S$1213,"="&amp;$S346)+1)/2,"")</f>
        <v/>
      </c>
      <c r="AG346" s="27">
        <f>IF(ISNUMBER($T346),COUNTIFS($A$14:$A$1213,$A346,$T$14:$T$1213,"&gt;"&amp;$T346)+(COUNTIFS($A$14:$A$1213,$A346,$T$14:$T$1213,"="&amp;$T346)+1)/2,"")</f>
        <v/>
      </c>
      <c r="AH346" s="27">
        <f>IF(COUNT($AC346:$AG346)&lt;2,"",IF(MAX($AC346:$AG346)=MIN($AC346:$AG346),0,1))</f>
        <v/>
      </c>
      <c r="AI346" s="27">
        <f>IF($A346="","",IF(COUNTIF($A$14:$A346,$A346)=1,COUNTIF($AI$13:AI345,"&gt;0")+1,""))</f>
        <v/>
      </c>
      <c r="AO346" s="27">
        <f>IF($A346="","",IF(AND(COUNTIFS($A$14:$A$1213,$A346,$F$14:$F$1213,"&gt;=0")=2,IFERROR(INDEX($M$14:$M$313,MATCH($A346,$H$14:$H$313,0)),"Yes")&lt;&gt;"Yes"),1,0))</f>
        <v/>
      </c>
    </row>
    <row r="347">
      <c r="A347" s="19" t="n"/>
      <c r="B347" s="20" t="n"/>
      <c r="C347" s="21">
        <f>IFERROR(AVERAGE(P347:T347),"")</f>
        <v/>
      </c>
      <c r="D347" s="29" t="n"/>
      <c r="E347" s="29" t="n"/>
      <c r="F347" s="30">
        <f>IF(AND(ISNUMBER($D347),ISNUMBER($E347),$E347&gt;0,$D347&lt;=$E347),$D347/$E347,"")</f>
        <v/>
      </c>
      <c r="P347" s="26" t="n"/>
      <c r="Q347" s="26" t="n"/>
      <c r="R347" s="26" t="n"/>
      <c r="S347" s="26" t="n"/>
      <c r="T347" s="26" t="n"/>
      <c r="V347" s="27">
        <f>IF(ISNUMBER($C347),COUNTIFS($A$14:$A$1213,$A347,$C$14:$C$1213,"&gt;"&amp;$C347)+(COUNTIFS($A$14:$A$1213,$A347,$C$14:$C$1213,"="&amp;$C347)+1)/2,"")</f>
        <v/>
      </c>
      <c r="W347" s="27">
        <f>IF(ISNUMBER($F347),COUNTIFS($A$14:$A$1213,$A347,$F$14:$F$1213,"&gt;"&amp;$F347)+(COUNTIFS($A$14:$A$1213,$A347,$F$14:$F$1213,"="&amp;$F347)+1)/2,"")</f>
        <v/>
      </c>
      <c r="X347" s="27">
        <f>IF(OR(NOT(ISNUMBER($V347)),$AO347=1),"",$V347-(COUNTIFS($A$14:$A$1213,$A347,$C$14:$C$1213,"&gt;=0")+1)/2)</f>
        <v/>
      </c>
      <c r="Y347" s="27">
        <f>IF(OR(NOT(ISNUMBER($W347)),$AO347=1),"",$W347-(COUNTIFS($A$14:$A$1213,$A347,$F$14:$F$1213,"&gt;=0")+1)/2)</f>
        <v/>
      </c>
      <c r="Z347" s="27">
        <f>IF(ISNUMBER($V347),$A347&amp;"|"&amp;$V347,"")</f>
        <v/>
      </c>
      <c r="AA347" s="27">
        <f>IF(ISNUMBER($W347),$A347&amp;"|"&amp;$W347,"")</f>
        <v/>
      </c>
      <c r="AB347" s="27">
        <f>IF(ISNUMBER($F347),$A347&amp;"|"&amp;$F347,"")</f>
        <v/>
      </c>
      <c r="AC347" s="27">
        <f>IF(ISNUMBER($P347),COUNTIFS($A$14:$A$1213,$A347,$P$14:$P$1213,"&gt;"&amp;$P347)+(COUNTIFS($A$14:$A$1213,$A347,$P$14:$P$1213,"="&amp;$P347)+1)/2,"")</f>
        <v/>
      </c>
      <c r="AD347" s="27">
        <f>IF(ISNUMBER($Q347),COUNTIFS($A$14:$A$1213,$A347,$Q$14:$Q$1213,"&gt;"&amp;$Q347)+(COUNTIFS($A$14:$A$1213,$A347,$Q$14:$Q$1213,"="&amp;$Q347)+1)/2,"")</f>
        <v/>
      </c>
      <c r="AE347" s="27">
        <f>IF(ISNUMBER($R347),COUNTIFS($A$14:$A$1213,$A347,$R$14:$R$1213,"&gt;"&amp;$R347)+(COUNTIFS($A$14:$A$1213,$A347,$R$14:$R$1213,"="&amp;$R347)+1)/2,"")</f>
        <v/>
      </c>
      <c r="AF347" s="27">
        <f>IF(ISNUMBER($S347),COUNTIFS($A$14:$A$1213,$A347,$S$14:$S$1213,"&gt;"&amp;$S347)+(COUNTIFS($A$14:$A$1213,$A347,$S$14:$S$1213,"="&amp;$S347)+1)/2,"")</f>
        <v/>
      </c>
      <c r="AG347" s="27">
        <f>IF(ISNUMBER($T347),COUNTIFS($A$14:$A$1213,$A347,$T$14:$T$1213,"&gt;"&amp;$T347)+(COUNTIFS($A$14:$A$1213,$A347,$T$14:$T$1213,"="&amp;$T347)+1)/2,"")</f>
        <v/>
      </c>
      <c r="AH347" s="27">
        <f>IF(COUNT($AC347:$AG347)&lt;2,"",IF(MAX($AC347:$AG347)=MIN($AC347:$AG347),0,1))</f>
        <v/>
      </c>
      <c r="AI347" s="27">
        <f>IF($A347="","",IF(COUNTIF($A$14:$A347,$A347)=1,COUNTIF($AI$13:AI346,"&gt;0")+1,""))</f>
        <v/>
      </c>
      <c r="AO347" s="27">
        <f>IF($A347="","",IF(AND(COUNTIFS($A$14:$A$1213,$A347,$F$14:$F$1213,"&gt;=0")=2,IFERROR(INDEX($M$14:$M$313,MATCH($A347,$H$14:$H$313,0)),"Yes")&lt;&gt;"Yes"),1,0))</f>
        <v/>
      </c>
    </row>
    <row r="348">
      <c r="A348" s="19" t="n"/>
      <c r="B348" s="20" t="n"/>
      <c r="C348" s="21">
        <f>IFERROR(AVERAGE(P348:T348),"")</f>
        <v/>
      </c>
      <c r="D348" s="29" t="n"/>
      <c r="E348" s="29" t="n"/>
      <c r="F348" s="30">
        <f>IF(AND(ISNUMBER($D348),ISNUMBER($E348),$E348&gt;0,$D348&lt;=$E348),$D348/$E348,"")</f>
        <v/>
      </c>
      <c r="P348" s="26" t="n"/>
      <c r="Q348" s="26" t="n"/>
      <c r="R348" s="26" t="n"/>
      <c r="S348" s="26" t="n"/>
      <c r="T348" s="26" t="n"/>
      <c r="V348" s="27">
        <f>IF(ISNUMBER($C348),COUNTIFS($A$14:$A$1213,$A348,$C$14:$C$1213,"&gt;"&amp;$C348)+(COUNTIFS($A$14:$A$1213,$A348,$C$14:$C$1213,"="&amp;$C348)+1)/2,"")</f>
        <v/>
      </c>
      <c r="W348" s="27">
        <f>IF(ISNUMBER($F348),COUNTIFS($A$14:$A$1213,$A348,$F$14:$F$1213,"&gt;"&amp;$F348)+(COUNTIFS($A$14:$A$1213,$A348,$F$14:$F$1213,"="&amp;$F348)+1)/2,"")</f>
        <v/>
      </c>
      <c r="X348" s="27">
        <f>IF(OR(NOT(ISNUMBER($V348)),$AO348=1),"",$V348-(COUNTIFS($A$14:$A$1213,$A348,$C$14:$C$1213,"&gt;=0")+1)/2)</f>
        <v/>
      </c>
      <c r="Y348" s="27">
        <f>IF(OR(NOT(ISNUMBER($W348)),$AO348=1),"",$W348-(COUNTIFS($A$14:$A$1213,$A348,$F$14:$F$1213,"&gt;=0")+1)/2)</f>
        <v/>
      </c>
      <c r="Z348" s="27">
        <f>IF(ISNUMBER($V348),$A348&amp;"|"&amp;$V348,"")</f>
        <v/>
      </c>
      <c r="AA348" s="27">
        <f>IF(ISNUMBER($W348),$A348&amp;"|"&amp;$W348,"")</f>
        <v/>
      </c>
      <c r="AB348" s="27">
        <f>IF(ISNUMBER($F348),$A348&amp;"|"&amp;$F348,"")</f>
        <v/>
      </c>
      <c r="AC348" s="27">
        <f>IF(ISNUMBER($P348),COUNTIFS($A$14:$A$1213,$A348,$P$14:$P$1213,"&gt;"&amp;$P348)+(COUNTIFS($A$14:$A$1213,$A348,$P$14:$P$1213,"="&amp;$P348)+1)/2,"")</f>
        <v/>
      </c>
      <c r="AD348" s="27">
        <f>IF(ISNUMBER($Q348),COUNTIFS($A$14:$A$1213,$A348,$Q$14:$Q$1213,"&gt;"&amp;$Q348)+(COUNTIFS($A$14:$A$1213,$A348,$Q$14:$Q$1213,"="&amp;$Q348)+1)/2,"")</f>
        <v/>
      </c>
      <c r="AE348" s="27">
        <f>IF(ISNUMBER($R348),COUNTIFS($A$14:$A$1213,$A348,$R$14:$R$1213,"&gt;"&amp;$R348)+(COUNTIFS($A$14:$A$1213,$A348,$R$14:$R$1213,"="&amp;$R348)+1)/2,"")</f>
        <v/>
      </c>
      <c r="AF348" s="27">
        <f>IF(ISNUMBER($S348),COUNTIFS($A$14:$A$1213,$A348,$S$14:$S$1213,"&gt;"&amp;$S348)+(COUNTIFS($A$14:$A$1213,$A348,$S$14:$S$1213,"="&amp;$S348)+1)/2,"")</f>
        <v/>
      </c>
      <c r="AG348" s="27">
        <f>IF(ISNUMBER($T348),COUNTIFS($A$14:$A$1213,$A348,$T$14:$T$1213,"&gt;"&amp;$T348)+(COUNTIFS($A$14:$A$1213,$A348,$T$14:$T$1213,"="&amp;$T348)+1)/2,"")</f>
        <v/>
      </c>
      <c r="AH348" s="27">
        <f>IF(COUNT($AC348:$AG348)&lt;2,"",IF(MAX($AC348:$AG348)=MIN($AC348:$AG348),0,1))</f>
        <v/>
      </c>
      <c r="AI348" s="27">
        <f>IF($A348="","",IF(COUNTIF($A$14:$A348,$A348)=1,COUNTIF($AI$13:AI347,"&gt;0")+1,""))</f>
        <v/>
      </c>
      <c r="AO348" s="27">
        <f>IF($A348="","",IF(AND(COUNTIFS($A$14:$A$1213,$A348,$F$14:$F$1213,"&gt;=0")=2,IFERROR(INDEX($M$14:$M$313,MATCH($A348,$H$14:$H$313,0)),"Yes")&lt;&gt;"Yes"),1,0))</f>
        <v/>
      </c>
    </row>
    <row r="349">
      <c r="A349" s="19" t="n"/>
      <c r="B349" s="20" t="n"/>
      <c r="C349" s="21">
        <f>IFERROR(AVERAGE(P349:T349),"")</f>
        <v/>
      </c>
      <c r="D349" s="29" t="n"/>
      <c r="E349" s="29" t="n"/>
      <c r="F349" s="30">
        <f>IF(AND(ISNUMBER($D349),ISNUMBER($E349),$E349&gt;0,$D349&lt;=$E349),$D349/$E349,"")</f>
        <v/>
      </c>
      <c r="P349" s="26" t="n"/>
      <c r="Q349" s="26" t="n"/>
      <c r="R349" s="26" t="n"/>
      <c r="S349" s="26" t="n"/>
      <c r="T349" s="26" t="n"/>
      <c r="V349" s="27">
        <f>IF(ISNUMBER($C349),COUNTIFS($A$14:$A$1213,$A349,$C$14:$C$1213,"&gt;"&amp;$C349)+(COUNTIFS($A$14:$A$1213,$A349,$C$14:$C$1213,"="&amp;$C349)+1)/2,"")</f>
        <v/>
      </c>
      <c r="W349" s="27">
        <f>IF(ISNUMBER($F349),COUNTIFS($A$14:$A$1213,$A349,$F$14:$F$1213,"&gt;"&amp;$F349)+(COUNTIFS($A$14:$A$1213,$A349,$F$14:$F$1213,"="&amp;$F349)+1)/2,"")</f>
        <v/>
      </c>
      <c r="X349" s="27">
        <f>IF(OR(NOT(ISNUMBER($V349)),$AO349=1),"",$V349-(COUNTIFS($A$14:$A$1213,$A349,$C$14:$C$1213,"&gt;=0")+1)/2)</f>
        <v/>
      </c>
      <c r="Y349" s="27">
        <f>IF(OR(NOT(ISNUMBER($W349)),$AO349=1),"",$W349-(COUNTIFS($A$14:$A$1213,$A349,$F$14:$F$1213,"&gt;=0")+1)/2)</f>
        <v/>
      </c>
      <c r="Z349" s="27">
        <f>IF(ISNUMBER($V349),$A349&amp;"|"&amp;$V349,"")</f>
        <v/>
      </c>
      <c r="AA349" s="27">
        <f>IF(ISNUMBER($W349),$A349&amp;"|"&amp;$W349,"")</f>
        <v/>
      </c>
      <c r="AB349" s="27">
        <f>IF(ISNUMBER($F349),$A349&amp;"|"&amp;$F349,"")</f>
        <v/>
      </c>
      <c r="AC349" s="27">
        <f>IF(ISNUMBER($P349),COUNTIFS($A$14:$A$1213,$A349,$P$14:$P$1213,"&gt;"&amp;$P349)+(COUNTIFS($A$14:$A$1213,$A349,$P$14:$P$1213,"="&amp;$P349)+1)/2,"")</f>
        <v/>
      </c>
      <c r="AD349" s="27">
        <f>IF(ISNUMBER($Q349),COUNTIFS($A$14:$A$1213,$A349,$Q$14:$Q$1213,"&gt;"&amp;$Q349)+(COUNTIFS($A$14:$A$1213,$A349,$Q$14:$Q$1213,"="&amp;$Q349)+1)/2,"")</f>
        <v/>
      </c>
      <c r="AE349" s="27">
        <f>IF(ISNUMBER($R349),COUNTIFS($A$14:$A$1213,$A349,$R$14:$R$1213,"&gt;"&amp;$R349)+(COUNTIFS($A$14:$A$1213,$A349,$R$14:$R$1213,"="&amp;$R349)+1)/2,"")</f>
        <v/>
      </c>
      <c r="AF349" s="27">
        <f>IF(ISNUMBER($S349),COUNTIFS($A$14:$A$1213,$A349,$S$14:$S$1213,"&gt;"&amp;$S349)+(COUNTIFS($A$14:$A$1213,$A349,$S$14:$S$1213,"="&amp;$S349)+1)/2,"")</f>
        <v/>
      </c>
      <c r="AG349" s="27">
        <f>IF(ISNUMBER($T349),COUNTIFS($A$14:$A$1213,$A349,$T$14:$T$1213,"&gt;"&amp;$T349)+(COUNTIFS($A$14:$A$1213,$A349,$T$14:$T$1213,"="&amp;$T349)+1)/2,"")</f>
        <v/>
      </c>
      <c r="AH349" s="27">
        <f>IF(COUNT($AC349:$AG349)&lt;2,"",IF(MAX($AC349:$AG349)=MIN($AC349:$AG349),0,1))</f>
        <v/>
      </c>
      <c r="AI349" s="27">
        <f>IF($A349="","",IF(COUNTIF($A$14:$A349,$A349)=1,COUNTIF($AI$13:AI348,"&gt;0")+1,""))</f>
        <v/>
      </c>
      <c r="AO349" s="27">
        <f>IF($A349="","",IF(AND(COUNTIFS($A$14:$A$1213,$A349,$F$14:$F$1213,"&gt;=0")=2,IFERROR(INDEX($M$14:$M$313,MATCH($A349,$H$14:$H$313,0)),"Yes")&lt;&gt;"Yes"),1,0))</f>
        <v/>
      </c>
    </row>
    <row r="350">
      <c r="A350" s="19" t="n"/>
      <c r="B350" s="20" t="n"/>
      <c r="C350" s="21">
        <f>IFERROR(AVERAGE(P350:T350),"")</f>
        <v/>
      </c>
      <c r="D350" s="29" t="n"/>
      <c r="E350" s="29" t="n"/>
      <c r="F350" s="30">
        <f>IF(AND(ISNUMBER($D350),ISNUMBER($E350),$E350&gt;0,$D350&lt;=$E350),$D350/$E350,"")</f>
        <v/>
      </c>
      <c r="P350" s="26" t="n"/>
      <c r="Q350" s="26" t="n"/>
      <c r="R350" s="26" t="n"/>
      <c r="S350" s="26" t="n"/>
      <c r="T350" s="26" t="n"/>
      <c r="V350" s="27">
        <f>IF(ISNUMBER($C350),COUNTIFS($A$14:$A$1213,$A350,$C$14:$C$1213,"&gt;"&amp;$C350)+(COUNTIFS($A$14:$A$1213,$A350,$C$14:$C$1213,"="&amp;$C350)+1)/2,"")</f>
        <v/>
      </c>
      <c r="W350" s="27">
        <f>IF(ISNUMBER($F350),COUNTIFS($A$14:$A$1213,$A350,$F$14:$F$1213,"&gt;"&amp;$F350)+(COUNTIFS($A$14:$A$1213,$A350,$F$14:$F$1213,"="&amp;$F350)+1)/2,"")</f>
        <v/>
      </c>
      <c r="X350" s="27">
        <f>IF(OR(NOT(ISNUMBER($V350)),$AO350=1),"",$V350-(COUNTIFS($A$14:$A$1213,$A350,$C$14:$C$1213,"&gt;=0")+1)/2)</f>
        <v/>
      </c>
      <c r="Y350" s="27">
        <f>IF(OR(NOT(ISNUMBER($W350)),$AO350=1),"",$W350-(COUNTIFS($A$14:$A$1213,$A350,$F$14:$F$1213,"&gt;=0")+1)/2)</f>
        <v/>
      </c>
      <c r="Z350" s="27">
        <f>IF(ISNUMBER($V350),$A350&amp;"|"&amp;$V350,"")</f>
        <v/>
      </c>
      <c r="AA350" s="27">
        <f>IF(ISNUMBER($W350),$A350&amp;"|"&amp;$W350,"")</f>
        <v/>
      </c>
      <c r="AB350" s="27">
        <f>IF(ISNUMBER($F350),$A350&amp;"|"&amp;$F350,"")</f>
        <v/>
      </c>
      <c r="AC350" s="27">
        <f>IF(ISNUMBER($P350),COUNTIFS($A$14:$A$1213,$A350,$P$14:$P$1213,"&gt;"&amp;$P350)+(COUNTIFS($A$14:$A$1213,$A350,$P$14:$P$1213,"="&amp;$P350)+1)/2,"")</f>
        <v/>
      </c>
      <c r="AD350" s="27">
        <f>IF(ISNUMBER($Q350),COUNTIFS($A$14:$A$1213,$A350,$Q$14:$Q$1213,"&gt;"&amp;$Q350)+(COUNTIFS($A$14:$A$1213,$A350,$Q$14:$Q$1213,"="&amp;$Q350)+1)/2,"")</f>
        <v/>
      </c>
      <c r="AE350" s="27">
        <f>IF(ISNUMBER($R350),COUNTIFS($A$14:$A$1213,$A350,$R$14:$R$1213,"&gt;"&amp;$R350)+(COUNTIFS($A$14:$A$1213,$A350,$R$14:$R$1213,"="&amp;$R350)+1)/2,"")</f>
        <v/>
      </c>
      <c r="AF350" s="27">
        <f>IF(ISNUMBER($S350),COUNTIFS($A$14:$A$1213,$A350,$S$14:$S$1213,"&gt;"&amp;$S350)+(COUNTIFS($A$14:$A$1213,$A350,$S$14:$S$1213,"="&amp;$S350)+1)/2,"")</f>
        <v/>
      </c>
      <c r="AG350" s="27">
        <f>IF(ISNUMBER($T350),COUNTIFS($A$14:$A$1213,$A350,$T$14:$T$1213,"&gt;"&amp;$T350)+(COUNTIFS($A$14:$A$1213,$A350,$T$14:$T$1213,"="&amp;$T350)+1)/2,"")</f>
        <v/>
      </c>
      <c r="AH350" s="27">
        <f>IF(COUNT($AC350:$AG350)&lt;2,"",IF(MAX($AC350:$AG350)=MIN($AC350:$AG350),0,1))</f>
        <v/>
      </c>
      <c r="AI350" s="27">
        <f>IF($A350="","",IF(COUNTIF($A$14:$A350,$A350)=1,COUNTIF($AI$13:AI349,"&gt;0")+1,""))</f>
        <v/>
      </c>
      <c r="AO350" s="27">
        <f>IF($A350="","",IF(AND(COUNTIFS($A$14:$A$1213,$A350,$F$14:$F$1213,"&gt;=0")=2,IFERROR(INDEX($M$14:$M$313,MATCH($A350,$H$14:$H$313,0)),"Yes")&lt;&gt;"Yes"),1,0))</f>
        <v/>
      </c>
    </row>
    <row r="351">
      <c r="A351" s="19" t="n"/>
      <c r="B351" s="20" t="n"/>
      <c r="C351" s="21">
        <f>IFERROR(AVERAGE(P351:T351),"")</f>
        <v/>
      </c>
      <c r="D351" s="29" t="n"/>
      <c r="E351" s="29" t="n"/>
      <c r="F351" s="30">
        <f>IF(AND(ISNUMBER($D351),ISNUMBER($E351),$E351&gt;0,$D351&lt;=$E351),$D351/$E351,"")</f>
        <v/>
      </c>
      <c r="P351" s="26" t="n"/>
      <c r="Q351" s="26" t="n"/>
      <c r="R351" s="26" t="n"/>
      <c r="S351" s="26" t="n"/>
      <c r="T351" s="26" t="n"/>
      <c r="V351" s="27">
        <f>IF(ISNUMBER($C351),COUNTIFS($A$14:$A$1213,$A351,$C$14:$C$1213,"&gt;"&amp;$C351)+(COUNTIFS($A$14:$A$1213,$A351,$C$14:$C$1213,"="&amp;$C351)+1)/2,"")</f>
        <v/>
      </c>
      <c r="W351" s="27">
        <f>IF(ISNUMBER($F351),COUNTIFS($A$14:$A$1213,$A351,$F$14:$F$1213,"&gt;"&amp;$F351)+(COUNTIFS($A$14:$A$1213,$A351,$F$14:$F$1213,"="&amp;$F351)+1)/2,"")</f>
        <v/>
      </c>
      <c r="X351" s="27">
        <f>IF(OR(NOT(ISNUMBER($V351)),$AO351=1),"",$V351-(COUNTIFS($A$14:$A$1213,$A351,$C$14:$C$1213,"&gt;=0")+1)/2)</f>
        <v/>
      </c>
      <c r="Y351" s="27">
        <f>IF(OR(NOT(ISNUMBER($W351)),$AO351=1),"",$W351-(COUNTIFS($A$14:$A$1213,$A351,$F$14:$F$1213,"&gt;=0")+1)/2)</f>
        <v/>
      </c>
      <c r="Z351" s="27">
        <f>IF(ISNUMBER($V351),$A351&amp;"|"&amp;$V351,"")</f>
        <v/>
      </c>
      <c r="AA351" s="27">
        <f>IF(ISNUMBER($W351),$A351&amp;"|"&amp;$W351,"")</f>
        <v/>
      </c>
      <c r="AB351" s="27">
        <f>IF(ISNUMBER($F351),$A351&amp;"|"&amp;$F351,"")</f>
        <v/>
      </c>
      <c r="AC351" s="27">
        <f>IF(ISNUMBER($P351),COUNTIFS($A$14:$A$1213,$A351,$P$14:$P$1213,"&gt;"&amp;$P351)+(COUNTIFS($A$14:$A$1213,$A351,$P$14:$P$1213,"="&amp;$P351)+1)/2,"")</f>
        <v/>
      </c>
      <c r="AD351" s="27">
        <f>IF(ISNUMBER($Q351),COUNTIFS($A$14:$A$1213,$A351,$Q$14:$Q$1213,"&gt;"&amp;$Q351)+(COUNTIFS($A$14:$A$1213,$A351,$Q$14:$Q$1213,"="&amp;$Q351)+1)/2,"")</f>
        <v/>
      </c>
      <c r="AE351" s="27">
        <f>IF(ISNUMBER($R351),COUNTIFS($A$14:$A$1213,$A351,$R$14:$R$1213,"&gt;"&amp;$R351)+(COUNTIFS($A$14:$A$1213,$A351,$R$14:$R$1213,"="&amp;$R351)+1)/2,"")</f>
        <v/>
      </c>
      <c r="AF351" s="27">
        <f>IF(ISNUMBER($S351),COUNTIFS($A$14:$A$1213,$A351,$S$14:$S$1213,"&gt;"&amp;$S351)+(COUNTIFS($A$14:$A$1213,$A351,$S$14:$S$1213,"="&amp;$S351)+1)/2,"")</f>
        <v/>
      </c>
      <c r="AG351" s="27">
        <f>IF(ISNUMBER($T351),COUNTIFS($A$14:$A$1213,$A351,$T$14:$T$1213,"&gt;"&amp;$T351)+(COUNTIFS($A$14:$A$1213,$A351,$T$14:$T$1213,"="&amp;$T351)+1)/2,"")</f>
        <v/>
      </c>
      <c r="AH351" s="27">
        <f>IF(COUNT($AC351:$AG351)&lt;2,"",IF(MAX($AC351:$AG351)=MIN($AC351:$AG351),0,1))</f>
        <v/>
      </c>
      <c r="AI351" s="27">
        <f>IF($A351="","",IF(COUNTIF($A$14:$A351,$A351)=1,COUNTIF($AI$13:AI350,"&gt;0")+1,""))</f>
        <v/>
      </c>
      <c r="AO351" s="27">
        <f>IF($A351="","",IF(AND(COUNTIFS($A$14:$A$1213,$A351,$F$14:$F$1213,"&gt;=0")=2,IFERROR(INDEX($M$14:$M$313,MATCH($A351,$H$14:$H$313,0)),"Yes")&lt;&gt;"Yes"),1,0))</f>
        <v/>
      </c>
    </row>
    <row r="352">
      <c r="A352" s="19" t="n"/>
      <c r="B352" s="20" t="n"/>
      <c r="C352" s="21">
        <f>IFERROR(AVERAGE(P352:T352),"")</f>
        <v/>
      </c>
      <c r="D352" s="29" t="n"/>
      <c r="E352" s="29" t="n"/>
      <c r="F352" s="30">
        <f>IF(AND(ISNUMBER($D352),ISNUMBER($E352),$E352&gt;0,$D352&lt;=$E352),$D352/$E352,"")</f>
        <v/>
      </c>
      <c r="P352" s="26" t="n"/>
      <c r="Q352" s="26" t="n"/>
      <c r="R352" s="26" t="n"/>
      <c r="S352" s="26" t="n"/>
      <c r="T352" s="26" t="n"/>
      <c r="V352" s="27">
        <f>IF(ISNUMBER($C352),COUNTIFS($A$14:$A$1213,$A352,$C$14:$C$1213,"&gt;"&amp;$C352)+(COUNTIFS($A$14:$A$1213,$A352,$C$14:$C$1213,"="&amp;$C352)+1)/2,"")</f>
        <v/>
      </c>
      <c r="W352" s="27">
        <f>IF(ISNUMBER($F352),COUNTIFS($A$14:$A$1213,$A352,$F$14:$F$1213,"&gt;"&amp;$F352)+(COUNTIFS($A$14:$A$1213,$A352,$F$14:$F$1213,"="&amp;$F352)+1)/2,"")</f>
        <v/>
      </c>
      <c r="X352" s="27">
        <f>IF(OR(NOT(ISNUMBER($V352)),$AO352=1),"",$V352-(COUNTIFS($A$14:$A$1213,$A352,$C$14:$C$1213,"&gt;=0")+1)/2)</f>
        <v/>
      </c>
      <c r="Y352" s="27">
        <f>IF(OR(NOT(ISNUMBER($W352)),$AO352=1),"",$W352-(COUNTIFS($A$14:$A$1213,$A352,$F$14:$F$1213,"&gt;=0")+1)/2)</f>
        <v/>
      </c>
      <c r="Z352" s="27">
        <f>IF(ISNUMBER($V352),$A352&amp;"|"&amp;$V352,"")</f>
        <v/>
      </c>
      <c r="AA352" s="27">
        <f>IF(ISNUMBER($W352),$A352&amp;"|"&amp;$W352,"")</f>
        <v/>
      </c>
      <c r="AB352" s="27">
        <f>IF(ISNUMBER($F352),$A352&amp;"|"&amp;$F352,"")</f>
        <v/>
      </c>
      <c r="AC352" s="27">
        <f>IF(ISNUMBER($P352),COUNTIFS($A$14:$A$1213,$A352,$P$14:$P$1213,"&gt;"&amp;$P352)+(COUNTIFS($A$14:$A$1213,$A352,$P$14:$P$1213,"="&amp;$P352)+1)/2,"")</f>
        <v/>
      </c>
      <c r="AD352" s="27">
        <f>IF(ISNUMBER($Q352),COUNTIFS($A$14:$A$1213,$A352,$Q$14:$Q$1213,"&gt;"&amp;$Q352)+(COUNTIFS($A$14:$A$1213,$A352,$Q$14:$Q$1213,"="&amp;$Q352)+1)/2,"")</f>
        <v/>
      </c>
      <c r="AE352" s="27">
        <f>IF(ISNUMBER($R352),COUNTIFS($A$14:$A$1213,$A352,$R$14:$R$1213,"&gt;"&amp;$R352)+(COUNTIFS($A$14:$A$1213,$A352,$R$14:$R$1213,"="&amp;$R352)+1)/2,"")</f>
        <v/>
      </c>
      <c r="AF352" s="27">
        <f>IF(ISNUMBER($S352),COUNTIFS($A$14:$A$1213,$A352,$S$14:$S$1213,"&gt;"&amp;$S352)+(COUNTIFS($A$14:$A$1213,$A352,$S$14:$S$1213,"="&amp;$S352)+1)/2,"")</f>
        <v/>
      </c>
      <c r="AG352" s="27">
        <f>IF(ISNUMBER($T352),COUNTIFS($A$14:$A$1213,$A352,$T$14:$T$1213,"&gt;"&amp;$T352)+(COUNTIFS($A$14:$A$1213,$A352,$T$14:$T$1213,"="&amp;$T352)+1)/2,"")</f>
        <v/>
      </c>
      <c r="AH352" s="27">
        <f>IF(COUNT($AC352:$AG352)&lt;2,"",IF(MAX($AC352:$AG352)=MIN($AC352:$AG352),0,1))</f>
        <v/>
      </c>
      <c r="AI352" s="27">
        <f>IF($A352="","",IF(COUNTIF($A$14:$A352,$A352)=1,COUNTIF($AI$13:AI351,"&gt;0")+1,""))</f>
        <v/>
      </c>
      <c r="AO352" s="27">
        <f>IF($A352="","",IF(AND(COUNTIFS($A$14:$A$1213,$A352,$F$14:$F$1213,"&gt;=0")=2,IFERROR(INDEX($M$14:$M$313,MATCH($A352,$H$14:$H$313,0)),"Yes")&lt;&gt;"Yes"),1,0))</f>
        <v/>
      </c>
    </row>
    <row r="353">
      <c r="A353" s="19" t="n"/>
      <c r="B353" s="20" t="n"/>
      <c r="C353" s="21">
        <f>IFERROR(AVERAGE(P353:T353),"")</f>
        <v/>
      </c>
      <c r="D353" s="29" t="n"/>
      <c r="E353" s="29" t="n"/>
      <c r="F353" s="30">
        <f>IF(AND(ISNUMBER($D353),ISNUMBER($E353),$E353&gt;0,$D353&lt;=$E353),$D353/$E353,"")</f>
        <v/>
      </c>
      <c r="P353" s="26" t="n"/>
      <c r="Q353" s="26" t="n"/>
      <c r="R353" s="26" t="n"/>
      <c r="S353" s="26" t="n"/>
      <c r="T353" s="26" t="n"/>
      <c r="V353" s="27">
        <f>IF(ISNUMBER($C353),COUNTIFS($A$14:$A$1213,$A353,$C$14:$C$1213,"&gt;"&amp;$C353)+(COUNTIFS($A$14:$A$1213,$A353,$C$14:$C$1213,"="&amp;$C353)+1)/2,"")</f>
        <v/>
      </c>
      <c r="W353" s="27">
        <f>IF(ISNUMBER($F353),COUNTIFS($A$14:$A$1213,$A353,$F$14:$F$1213,"&gt;"&amp;$F353)+(COUNTIFS($A$14:$A$1213,$A353,$F$14:$F$1213,"="&amp;$F353)+1)/2,"")</f>
        <v/>
      </c>
      <c r="X353" s="27">
        <f>IF(OR(NOT(ISNUMBER($V353)),$AO353=1),"",$V353-(COUNTIFS($A$14:$A$1213,$A353,$C$14:$C$1213,"&gt;=0")+1)/2)</f>
        <v/>
      </c>
      <c r="Y353" s="27">
        <f>IF(OR(NOT(ISNUMBER($W353)),$AO353=1),"",$W353-(COUNTIFS($A$14:$A$1213,$A353,$F$14:$F$1213,"&gt;=0")+1)/2)</f>
        <v/>
      </c>
      <c r="Z353" s="27">
        <f>IF(ISNUMBER($V353),$A353&amp;"|"&amp;$V353,"")</f>
        <v/>
      </c>
      <c r="AA353" s="27">
        <f>IF(ISNUMBER($W353),$A353&amp;"|"&amp;$W353,"")</f>
        <v/>
      </c>
      <c r="AB353" s="27">
        <f>IF(ISNUMBER($F353),$A353&amp;"|"&amp;$F353,"")</f>
        <v/>
      </c>
      <c r="AC353" s="27">
        <f>IF(ISNUMBER($P353),COUNTIFS($A$14:$A$1213,$A353,$P$14:$P$1213,"&gt;"&amp;$P353)+(COUNTIFS($A$14:$A$1213,$A353,$P$14:$P$1213,"="&amp;$P353)+1)/2,"")</f>
        <v/>
      </c>
      <c r="AD353" s="27">
        <f>IF(ISNUMBER($Q353),COUNTIFS($A$14:$A$1213,$A353,$Q$14:$Q$1213,"&gt;"&amp;$Q353)+(COUNTIFS($A$14:$A$1213,$A353,$Q$14:$Q$1213,"="&amp;$Q353)+1)/2,"")</f>
        <v/>
      </c>
      <c r="AE353" s="27">
        <f>IF(ISNUMBER($R353),COUNTIFS($A$14:$A$1213,$A353,$R$14:$R$1213,"&gt;"&amp;$R353)+(COUNTIFS($A$14:$A$1213,$A353,$R$14:$R$1213,"="&amp;$R353)+1)/2,"")</f>
        <v/>
      </c>
      <c r="AF353" s="27">
        <f>IF(ISNUMBER($S353),COUNTIFS($A$14:$A$1213,$A353,$S$14:$S$1213,"&gt;"&amp;$S353)+(COUNTIFS($A$14:$A$1213,$A353,$S$14:$S$1213,"="&amp;$S353)+1)/2,"")</f>
        <v/>
      </c>
      <c r="AG353" s="27">
        <f>IF(ISNUMBER($T353),COUNTIFS($A$14:$A$1213,$A353,$T$14:$T$1213,"&gt;"&amp;$T353)+(COUNTIFS($A$14:$A$1213,$A353,$T$14:$T$1213,"="&amp;$T353)+1)/2,"")</f>
        <v/>
      </c>
      <c r="AH353" s="27">
        <f>IF(COUNT($AC353:$AG353)&lt;2,"",IF(MAX($AC353:$AG353)=MIN($AC353:$AG353),0,1))</f>
        <v/>
      </c>
      <c r="AI353" s="27">
        <f>IF($A353="","",IF(COUNTIF($A$14:$A353,$A353)=1,COUNTIF($AI$13:AI352,"&gt;0")+1,""))</f>
        <v/>
      </c>
      <c r="AO353" s="27">
        <f>IF($A353="","",IF(AND(COUNTIFS($A$14:$A$1213,$A353,$F$14:$F$1213,"&gt;=0")=2,IFERROR(INDEX($M$14:$M$313,MATCH($A353,$H$14:$H$313,0)),"Yes")&lt;&gt;"Yes"),1,0))</f>
        <v/>
      </c>
    </row>
    <row r="354">
      <c r="A354" s="19" t="n"/>
      <c r="B354" s="20" t="n"/>
      <c r="C354" s="21">
        <f>IFERROR(AVERAGE(P354:T354),"")</f>
        <v/>
      </c>
      <c r="D354" s="29" t="n"/>
      <c r="E354" s="29" t="n"/>
      <c r="F354" s="30">
        <f>IF(AND(ISNUMBER($D354),ISNUMBER($E354),$E354&gt;0,$D354&lt;=$E354),$D354/$E354,"")</f>
        <v/>
      </c>
      <c r="P354" s="26" t="n"/>
      <c r="Q354" s="26" t="n"/>
      <c r="R354" s="26" t="n"/>
      <c r="S354" s="26" t="n"/>
      <c r="T354" s="26" t="n"/>
      <c r="V354" s="27">
        <f>IF(ISNUMBER($C354),COUNTIFS($A$14:$A$1213,$A354,$C$14:$C$1213,"&gt;"&amp;$C354)+(COUNTIFS($A$14:$A$1213,$A354,$C$14:$C$1213,"="&amp;$C354)+1)/2,"")</f>
        <v/>
      </c>
      <c r="W354" s="27">
        <f>IF(ISNUMBER($F354),COUNTIFS($A$14:$A$1213,$A354,$F$14:$F$1213,"&gt;"&amp;$F354)+(COUNTIFS($A$14:$A$1213,$A354,$F$14:$F$1213,"="&amp;$F354)+1)/2,"")</f>
        <v/>
      </c>
      <c r="X354" s="27">
        <f>IF(OR(NOT(ISNUMBER($V354)),$AO354=1),"",$V354-(COUNTIFS($A$14:$A$1213,$A354,$C$14:$C$1213,"&gt;=0")+1)/2)</f>
        <v/>
      </c>
      <c r="Y354" s="27">
        <f>IF(OR(NOT(ISNUMBER($W354)),$AO354=1),"",$W354-(COUNTIFS($A$14:$A$1213,$A354,$F$14:$F$1213,"&gt;=0")+1)/2)</f>
        <v/>
      </c>
      <c r="Z354" s="27">
        <f>IF(ISNUMBER($V354),$A354&amp;"|"&amp;$V354,"")</f>
        <v/>
      </c>
      <c r="AA354" s="27">
        <f>IF(ISNUMBER($W354),$A354&amp;"|"&amp;$W354,"")</f>
        <v/>
      </c>
      <c r="AB354" s="27">
        <f>IF(ISNUMBER($F354),$A354&amp;"|"&amp;$F354,"")</f>
        <v/>
      </c>
      <c r="AC354" s="27">
        <f>IF(ISNUMBER($P354),COUNTIFS($A$14:$A$1213,$A354,$P$14:$P$1213,"&gt;"&amp;$P354)+(COUNTIFS($A$14:$A$1213,$A354,$P$14:$P$1213,"="&amp;$P354)+1)/2,"")</f>
        <v/>
      </c>
      <c r="AD354" s="27">
        <f>IF(ISNUMBER($Q354),COUNTIFS($A$14:$A$1213,$A354,$Q$14:$Q$1213,"&gt;"&amp;$Q354)+(COUNTIFS($A$14:$A$1213,$A354,$Q$14:$Q$1213,"="&amp;$Q354)+1)/2,"")</f>
        <v/>
      </c>
      <c r="AE354" s="27">
        <f>IF(ISNUMBER($R354),COUNTIFS($A$14:$A$1213,$A354,$R$14:$R$1213,"&gt;"&amp;$R354)+(COUNTIFS($A$14:$A$1213,$A354,$R$14:$R$1213,"="&amp;$R354)+1)/2,"")</f>
        <v/>
      </c>
      <c r="AF354" s="27">
        <f>IF(ISNUMBER($S354),COUNTIFS($A$14:$A$1213,$A354,$S$14:$S$1213,"&gt;"&amp;$S354)+(COUNTIFS($A$14:$A$1213,$A354,$S$14:$S$1213,"="&amp;$S354)+1)/2,"")</f>
        <v/>
      </c>
      <c r="AG354" s="27">
        <f>IF(ISNUMBER($T354),COUNTIFS($A$14:$A$1213,$A354,$T$14:$T$1213,"&gt;"&amp;$T354)+(COUNTIFS($A$14:$A$1213,$A354,$T$14:$T$1213,"="&amp;$T354)+1)/2,"")</f>
        <v/>
      </c>
      <c r="AH354" s="27">
        <f>IF(COUNT($AC354:$AG354)&lt;2,"",IF(MAX($AC354:$AG354)=MIN($AC354:$AG354),0,1))</f>
        <v/>
      </c>
      <c r="AI354" s="27">
        <f>IF($A354="","",IF(COUNTIF($A$14:$A354,$A354)=1,COUNTIF($AI$13:AI353,"&gt;0")+1,""))</f>
        <v/>
      </c>
      <c r="AO354" s="27">
        <f>IF($A354="","",IF(AND(COUNTIFS($A$14:$A$1213,$A354,$F$14:$F$1213,"&gt;=0")=2,IFERROR(INDEX($M$14:$M$313,MATCH($A354,$H$14:$H$313,0)),"Yes")&lt;&gt;"Yes"),1,0))</f>
        <v/>
      </c>
    </row>
    <row r="355">
      <c r="A355" s="19" t="n"/>
      <c r="B355" s="20" t="n"/>
      <c r="C355" s="21">
        <f>IFERROR(AVERAGE(P355:T355),"")</f>
        <v/>
      </c>
      <c r="D355" s="29" t="n"/>
      <c r="E355" s="29" t="n"/>
      <c r="F355" s="30">
        <f>IF(AND(ISNUMBER($D355),ISNUMBER($E355),$E355&gt;0,$D355&lt;=$E355),$D355/$E355,"")</f>
        <v/>
      </c>
      <c r="P355" s="26" t="n"/>
      <c r="Q355" s="26" t="n"/>
      <c r="R355" s="26" t="n"/>
      <c r="S355" s="26" t="n"/>
      <c r="T355" s="26" t="n"/>
      <c r="V355" s="27">
        <f>IF(ISNUMBER($C355),COUNTIFS($A$14:$A$1213,$A355,$C$14:$C$1213,"&gt;"&amp;$C355)+(COUNTIFS($A$14:$A$1213,$A355,$C$14:$C$1213,"="&amp;$C355)+1)/2,"")</f>
        <v/>
      </c>
      <c r="W355" s="27">
        <f>IF(ISNUMBER($F355),COUNTIFS($A$14:$A$1213,$A355,$F$14:$F$1213,"&gt;"&amp;$F355)+(COUNTIFS($A$14:$A$1213,$A355,$F$14:$F$1213,"="&amp;$F355)+1)/2,"")</f>
        <v/>
      </c>
      <c r="X355" s="27">
        <f>IF(OR(NOT(ISNUMBER($V355)),$AO355=1),"",$V355-(COUNTIFS($A$14:$A$1213,$A355,$C$14:$C$1213,"&gt;=0")+1)/2)</f>
        <v/>
      </c>
      <c r="Y355" s="27">
        <f>IF(OR(NOT(ISNUMBER($W355)),$AO355=1),"",$W355-(COUNTIFS($A$14:$A$1213,$A355,$F$14:$F$1213,"&gt;=0")+1)/2)</f>
        <v/>
      </c>
      <c r="Z355" s="27">
        <f>IF(ISNUMBER($V355),$A355&amp;"|"&amp;$V355,"")</f>
        <v/>
      </c>
      <c r="AA355" s="27">
        <f>IF(ISNUMBER($W355),$A355&amp;"|"&amp;$W355,"")</f>
        <v/>
      </c>
      <c r="AB355" s="27">
        <f>IF(ISNUMBER($F355),$A355&amp;"|"&amp;$F355,"")</f>
        <v/>
      </c>
      <c r="AC355" s="27">
        <f>IF(ISNUMBER($P355),COUNTIFS($A$14:$A$1213,$A355,$P$14:$P$1213,"&gt;"&amp;$P355)+(COUNTIFS($A$14:$A$1213,$A355,$P$14:$P$1213,"="&amp;$P355)+1)/2,"")</f>
        <v/>
      </c>
      <c r="AD355" s="27">
        <f>IF(ISNUMBER($Q355),COUNTIFS($A$14:$A$1213,$A355,$Q$14:$Q$1213,"&gt;"&amp;$Q355)+(COUNTIFS($A$14:$A$1213,$A355,$Q$14:$Q$1213,"="&amp;$Q355)+1)/2,"")</f>
        <v/>
      </c>
      <c r="AE355" s="27">
        <f>IF(ISNUMBER($R355),COUNTIFS($A$14:$A$1213,$A355,$R$14:$R$1213,"&gt;"&amp;$R355)+(COUNTIFS($A$14:$A$1213,$A355,$R$14:$R$1213,"="&amp;$R355)+1)/2,"")</f>
        <v/>
      </c>
      <c r="AF355" s="27">
        <f>IF(ISNUMBER($S355),COUNTIFS($A$14:$A$1213,$A355,$S$14:$S$1213,"&gt;"&amp;$S355)+(COUNTIFS($A$14:$A$1213,$A355,$S$14:$S$1213,"="&amp;$S355)+1)/2,"")</f>
        <v/>
      </c>
      <c r="AG355" s="27">
        <f>IF(ISNUMBER($T355),COUNTIFS($A$14:$A$1213,$A355,$T$14:$T$1213,"&gt;"&amp;$T355)+(COUNTIFS($A$14:$A$1213,$A355,$T$14:$T$1213,"="&amp;$T355)+1)/2,"")</f>
        <v/>
      </c>
      <c r="AH355" s="27">
        <f>IF(COUNT($AC355:$AG355)&lt;2,"",IF(MAX($AC355:$AG355)=MIN($AC355:$AG355),0,1))</f>
        <v/>
      </c>
      <c r="AI355" s="27">
        <f>IF($A355="","",IF(COUNTIF($A$14:$A355,$A355)=1,COUNTIF($AI$13:AI354,"&gt;0")+1,""))</f>
        <v/>
      </c>
      <c r="AO355" s="27">
        <f>IF($A355="","",IF(AND(COUNTIFS($A$14:$A$1213,$A355,$F$14:$F$1213,"&gt;=0")=2,IFERROR(INDEX($M$14:$M$313,MATCH($A355,$H$14:$H$313,0)),"Yes")&lt;&gt;"Yes"),1,0))</f>
        <v/>
      </c>
    </row>
    <row r="356">
      <c r="A356" s="19" t="n"/>
      <c r="B356" s="20" t="n"/>
      <c r="C356" s="21">
        <f>IFERROR(AVERAGE(P356:T356),"")</f>
        <v/>
      </c>
      <c r="D356" s="29" t="n"/>
      <c r="E356" s="29" t="n"/>
      <c r="F356" s="30">
        <f>IF(AND(ISNUMBER($D356),ISNUMBER($E356),$E356&gt;0,$D356&lt;=$E356),$D356/$E356,"")</f>
        <v/>
      </c>
      <c r="P356" s="26" t="n"/>
      <c r="Q356" s="26" t="n"/>
      <c r="R356" s="26" t="n"/>
      <c r="S356" s="26" t="n"/>
      <c r="T356" s="26" t="n"/>
      <c r="V356" s="27">
        <f>IF(ISNUMBER($C356),COUNTIFS($A$14:$A$1213,$A356,$C$14:$C$1213,"&gt;"&amp;$C356)+(COUNTIFS($A$14:$A$1213,$A356,$C$14:$C$1213,"="&amp;$C356)+1)/2,"")</f>
        <v/>
      </c>
      <c r="W356" s="27">
        <f>IF(ISNUMBER($F356),COUNTIFS($A$14:$A$1213,$A356,$F$14:$F$1213,"&gt;"&amp;$F356)+(COUNTIFS($A$14:$A$1213,$A356,$F$14:$F$1213,"="&amp;$F356)+1)/2,"")</f>
        <v/>
      </c>
      <c r="X356" s="27">
        <f>IF(OR(NOT(ISNUMBER($V356)),$AO356=1),"",$V356-(COUNTIFS($A$14:$A$1213,$A356,$C$14:$C$1213,"&gt;=0")+1)/2)</f>
        <v/>
      </c>
      <c r="Y356" s="27">
        <f>IF(OR(NOT(ISNUMBER($W356)),$AO356=1),"",$W356-(COUNTIFS($A$14:$A$1213,$A356,$F$14:$F$1213,"&gt;=0")+1)/2)</f>
        <v/>
      </c>
      <c r="Z356" s="27">
        <f>IF(ISNUMBER($V356),$A356&amp;"|"&amp;$V356,"")</f>
        <v/>
      </c>
      <c r="AA356" s="27">
        <f>IF(ISNUMBER($W356),$A356&amp;"|"&amp;$W356,"")</f>
        <v/>
      </c>
      <c r="AB356" s="27">
        <f>IF(ISNUMBER($F356),$A356&amp;"|"&amp;$F356,"")</f>
        <v/>
      </c>
      <c r="AC356" s="27">
        <f>IF(ISNUMBER($P356),COUNTIFS($A$14:$A$1213,$A356,$P$14:$P$1213,"&gt;"&amp;$P356)+(COUNTIFS($A$14:$A$1213,$A356,$P$14:$P$1213,"="&amp;$P356)+1)/2,"")</f>
        <v/>
      </c>
      <c r="AD356" s="27">
        <f>IF(ISNUMBER($Q356),COUNTIFS($A$14:$A$1213,$A356,$Q$14:$Q$1213,"&gt;"&amp;$Q356)+(COUNTIFS($A$14:$A$1213,$A356,$Q$14:$Q$1213,"="&amp;$Q356)+1)/2,"")</f>
        <v/>
      </c>
      <c r="AE356" s="27">
        <f>IF(ISNUMBER($R356),COUNTIFS($A$14:$A$1213,$A356,$R$14:$R$1213,"&gt;"&amp;$R356)+(COUNTIFS($A$14:$A$1213,$A356,$R$14:$R$1213,"="&amp;$R356)+1)/2,"")</f>
        <v/>
      </c>
      <c r="AF356" s="27">
        <f>IF(ISNUMBER($S356),COUNTIFS($A$14:$A$1213,$A356,$S$14:$S$1213,"&gt;"&amp;$S356)+(COUNTIFS($A$14:$A$1213,$A356,$S$14:$S$1213,"="&amp;$S356)+1)/2,"")</f>
        <v/>
      </c>
      <c r="AG356" s="27">
        <f>IF(ISNUMBER($T356),COUNTIFS($A$14:$A$1213,$A356,$T$14:$T$1213,"&gt;"&amp;$T356)+(COUNTIFS($A$14:$A$1213,$A356,$T$14:$T$1213,"="&amp;$T356)+1)/2,"")</f>
        <v/>
      </c>
      <c r="AH356" s="27">
        <f>IF(COUNT($AC356:$AG356)&lt;2,"",IF(MAX($AC356:$AG356)=MIN($AC356:$AG356),0,1))</f>
        <v/>
      </c>
      <c r="AI356" s="27">
        <f>IF($A356="","",IF(COUNTIF($A$14:$A356,$A356)=1,COUNTIF($AI$13:AI355,"&gt;0")+1,""))</f>
        <v/>
      </c>
      <c r="AO356" s="27">
        <f>IF($A356="","",IF(AND(COUNTIFS($A$14:$A$1213,$A356,$F$14:$F$1213,"&gt;=0")=2,IFERROR(INDEX($M$14:$M$313,MATCH($A356,$H$14:$H$313,0)),"Yes")&lt;&gt;"Yes"),1,0))</f>
        <v/>
      </c>
    </row>
    <row r="357">
      <c r="A357" s="19" t="n"/>
      <c r="B357" s="20" t="n"/>
      <c r="C357" s="21">
        <f>IFERROR(AVERAGE(P357:T357),"")</f>
        <v/>
      </c>
      <c r="D357" s="29" t="n"/>
      <c r="E357" s="29" t="n"/>
      <c r="F357" s="30">
        <f>IF(AND(ISNUMBER($D357),ISNUMBER($E357),$E357&gt;0,$D357&lt;=$E357),$D357/$E357,"")</f>
        <v/>
      </c>
      <c r="P357" s="26" t="n"/>
      <c r="Q357" s="26" t="n"/>
      <c r="R357" s="26" t="n"/>
      <c r="S357" s="26" t="n"/>
      <c r="T357" s="26" t="n"/>
      <c r="V357" s="27">
        <f>IF(ISNUMBER($C357),COUNTIFS($A$14:$A$1213,$A357,$C$14:$C$1213,"&gt;"&amp;$C357)+(COUNTIFS($A$14:$A$1213,$A357,$C$14:$C$1213,"="&amp;$C357)+1)/2,"")</f>
        <v/>
      </c>
      <c r="W357" s="27">
        <f>IF(ISNUMBER($F357),COUNTIFS($A$14:$A$1213,$A357,$F$14:$F$1213,"&gt;"&amp;$F357)+(COUNTIFS($A$14:$A$1213,$A357,$F$14:$F$1213,"="&amp;$F357)+1)/2,"")</f>
        <v/>
      </c>
      <c r="X357" s="27">
        <f>IF(OR(NOT(ISNUMBER($V357)),$AO357=1),"",$V357-(COUNTIFS($A$14:$A$1213,$A357,$C$14:$C$1213,"&gt;=0")+1)/2)</f>
        <v/>
      </c>
      <c r="Y357" s="27">
        <f>IF(OR(NOT(ISNUMBER($W357)),$AO357=1),"",$W357-(COUNTIFS($A$14:$A$1213,$A357,$F$14:$F$1213,"&gt;=0")+1)/2)</f>
        <v/>
      </c>
      <c r="Z357" s="27">
        <f>IF(ISNUMBER($V357),$A357&amp;"|"&amp;$V357,"")</f>
        <v/>
      </c>
      <c r="AA357" s="27">
        <f>IF(ISNUMBER($W357),$A357&amp;"|"&amp;$W357,"")</f>
        <v/>
      </c>
      <c r="AB357" s="27">
        <f>IF(ISNUMBER($F357),$A357&amp;"|"&amp;$F357,"")</f>
        <v/>
      </c>
      <c r="AC357" s="27">
        <f>IF(ISNUMBER($P357),COUNTIFS($A$14:$A$1213,$A357,$P$14:$P$1213,"&gt;"&amp;$P357)+(COUNTIFS($A$14:$A$1213,$A357,$P$14:$P$1213,"="&amp;$P357)+1)/2,"")</f>
        <v/>
      </c>
      <c r="AD357" s="27">
        <f>IF(ISNUMBER($Q357),COUNTIFS($A$14:$A$1213,$A357,$Q$14:$Q$1213,"&gt;"&amp;$Q357)+(COUNTIFS($A$14:$A$1213,$A357,$Q$14:$Q$1213,"="&amp;$Q357)+1)/2,"")</f>
        <v/>
      </c>
      <c r="AE357" s="27">
        <f>IF(ISNUMBER($R357),COUNTIFS($A$14:$A$1213,$A357,$R$14:$R$1213,"&gt;"&amp;$R357)+(COUNTIFS($A$14:$A$1213,$A357,$R$14:$R$1213,"="&amp;$R357)+1)/2,"")</f>
        <v/>
      </c>
      <c r="AF357" s="27">
        <f>IF(ISNUMBER($S357),COUNTIFS($A$14:$A$1213,$A357,$S$14:$S$1213,"&gt;"&amp;$S357)+(COUNTIFS($A$14:$A$1213,$A357,$S$14:$S$1213,"="&amp;$S357)+1)/2,"")</f>
        <v/>
      </c>
      <c r="AG357" s="27">
        <f>IF(ISNUMBER($T357),COUNTIFS($A$14:$A$1213,$A357,$T$14:$T$1213,"&gt;"&amp;$T357)+(COUNTIFS($A$14:$A$1213,$A357,$T$14:$T$1213,"="&amp;$T357)+1)/2,"")</f>
        <v/>
      </c>
      <c r="AH357" s="27">
        <f>IF(COUNT($AC357:$AG357)&lt;2,"",IF(MAX($AC357:$AG357)=MIN($AC357:$AG357),0,1))</f>
        <v/>
      </c>
      <c r="AI357" s="27">
        <f>IF($A357="","",IF(COUNTIF($A$14:$A357,$A357)=1,COUNTIF($AI$13:AI356,"&gt;0")+1,""))</f>
        <v/>
      </c>
      <c r="AO357" s="27">
        <f>IF($A357="","",IF(AND(COUNTIFS($A$14:$A$1213,$A357,$F$14:$F$1213,"&gt;=0")=2,IFERROR(INDEX($M$14:$M$313,MATCH($A357,$H$14:$H$313,0)),"Yes")&lt;&gt;"Yes"),1,0))</f>
        <v/>
      </c>
    </row>
    <row r="358">
      <c r="A358" s="19" t="n"/>
      <c r="B358" s="20" t="n"/>
      <c r="C358" s="21">
        <f>IFERROR(AVERAGE(P358:T358),"")</f>
        <v/>
      </c>
      <c r="D358" s="29" t="n"/>
      <c r="E358" s="29" t="n"/>
      <c r="F358" s="30">
        <f>IF(AND(ISNUMBER($D358),ISNUMBER($E358),$E358&gt;0,$D358&lt;=$E358),$D358/$E358,"")</f>
        <v/>
      </c>
      <c r="P358" s="26" t="n"/>
      <c r="Q358" s="26" t="n"/>
      <c r="R358" s="26" t="n"/>
      <c r="S358" s="26" t="n"/>
      <c r="T358" s="26" t="n"/>
      <c r="V358" s="27">
        <f>IF(ISNUMBER($C358),COUNTIFS($A$14:$A$1213,$A358,$C$14:$C$1213,"&gt;"&amp;$C358)+(COUNTIFS($A$14:$A$1213,$A358,$C$14:$C$1213,"="&amp;$C358)+1)/2,"")</f>
        <v/>
      </c>
      <c r="W358" s="27">
        <f>IF(ISNUMBER($F358),COUNTIFS($A$14:$A$1213,$A358,$F$14:$F$1213,"&gt;"&amp;$F358)+(COUNTIFS($A$14:$A$1213,$A358,$F$14:$F$1213,"="&amp;$F358)+1)/2,"")</f>
        <v/>
      </c>
      <c r="X358" s="27">
        <f>IF(OR(NOT(ISNUMBER($V358)),$AO358=1),"",$V358-(COUNTIFS($A$14:$A$1213,$A358,$C$14:$C$1213,"&gt;=0")+1)/2)</f>
        <v/>
      </c>
      <c r="Y358" s="27">
        <f>IF(OR(NOT(ISNUMBER($W358)),$AO358=1),"",$W358-(COUNTIFS($A$14:$A$1213,$A358,$F$14:$F$1213,"&gt;=0")+1)/2)</f>
        <v/>
      </c>
      <c r="Z358" s="27">
        <f>IF(ISNUMBER($V358),$A358&amp;"|"&amp;$V358,"")</f>
        <v/>
      </c>
      <c r="AA358" s="27">
        <f>IF(ISNUMBER($W358),$A358&amp;"|"&amp;$W358,"")</f>
        <v/>
      </c>
      <c r="AB358" s="27">
        <f>IF(ISNUMBER($F358),$A358&amp;"|"&amp;$F358,"")</f>
        <v/>
      </c>
      <c r="AC358" s="27">
        <f>IF(ISNUMBER($P358),COUNTIFS($A$14:$A$1213,$A358,$P$14:$P$1213,"&gt;"&amp;$P358)+(COUNTIFS($A$14:$A$1213,$A358,$P$14:$P$1213,"="&amp;$P358)+1)/2,"")</f>
        <v/>
      </c>
      <c r="AD358" s="27">
        <f>IF(ISNUMBER($Q358),COUNTIFS($A$14:$A$1213,$A358,$Q$14:$Q$1213,"&gt;"&amp;$Q358)+(COUNTIFS($A$14:$A$1213,$A358,$Q$14:$Q$1213,"="&amp;$Q358)+1)/2,"")</f>
        <v/>
      </c>
      <c r="AE358" s="27">
        <f>IF(ISNUMBER($R358),COUNTIFS($A$14:$A$1213,$A358,$R$14:$R$1213,"&gt;"&amp;$R358)+(COUNTIFS($A$14:$A$1213,$A358,$R$14:$R$1213,"="&amp;$R358)+1)/2,"")</f>
        <v/>
      </c>
      <c r="AF358" s="27">
        <f>IF(ISNUMBER($S358),COUNTIFS($A$14:$A$1213,$A358,$S$14:$S$1213,"&gt;"&amp;$S358)+(COUNTIFS($A$14:$A$1213,$A358,$S$14:$S$1213,"="&amp;$S358)+1)/2,"")</f>
        <v/>
      </c>
      <c r="AG358" s="27">
        <f>IF(ISNUMBER($T358),COUNTIFS($A$14:$A$1213,$A358,$T$14:$T$1213,"&gt;"&amp;$T358)+(COUNTIFS($A$14:$A$1213,$A358,$T$14:$T$1213,"="&amp;$T358)+1)/2,"")</f>
        <v/>
      </c>
      <c r="AH358" s="27">
        <f>IF(COUNT($AC358:$AG358)&lt;2,"",IF(MAX($AC358:$AG358)=MIN($AC358:$AG358),0,1))</f>
        <v/>
      </c>
      <c r="AI358" s="27">
        <f>IF($A358="","",IF(COUNTIF($A$14:$A358,$A358)=1,COUNTIF($AI$13:AI357,"&gt;0")+1,""))</f>
        <v/>
      </c>
      <c r="AO358" s="27">
        <f>IF($A358="","",IF(AND(COUNTIFS($A$14:$A$1213,$A358,$F$14:$F$1213,"&gt;=0")=2,IFERROR(INDEX($M$14:$M$313,MATCH($A358,$H$14:$H$313,0)),"Yes")&lt;&gt;"Yes"),1,0))</f>
        <v/>
      </c>
    </row>
    <row r="359">
      <c r="A359" s="19" t="n"/>
      <c r="B359" s="20" t="n"/>
      <c r="C359" s="21">
        <f>IFERROR(AVERAGE(P359:T359),"")</f>
        <v/>
      </c>
      <c r="D359" s="29" t="n"/>
      <c r="E359" s="29" t="n"/>
      <c r="F359" s="30">
        <f>IF(AND(ISNUMBER($D359),ISNUMBER($E359),$E359&gt;0,$D359&lt;=$E359),$D359/$E359,"")</f>
        <v/>
      </c>
      <c r="P359" s="26" t="n"/>
      <c r="Q359" s="26" t="n"/>
      <c r="R359" s="26" t="n"/>
      <c r="S359" s="26" t="n"/>
      <c r="T359" s="26" t="n"/>
      <c r="V359" s="27">
        <f>IF(ISNUMBER($C359),COUNTIFS($A$14:$A$1213,$A359,$C$14:$C$1213,"&gt;"&amp;$C359)+(COUNTIFS($A$14:$A$1213,$A359,$C$14:$C$1213,"="&amp;$C359)+1)/2,"")</f>
        <v/>
      </c>
      <c r="W359" s="27">
        <f>IF(ISNUMBER($F359),COUNTIFS($A$14:$A$1213,$A359,$F$14:$F$1213,"&gt;"&amp;$F359)+(COUNTIFS($A$14:$A$1213,$A359,$F$14:$F$1213,"="&amp;$F359)+1)/2,"")</f>
        <v/>
      </c>
      <c r="X359" s="27">
        <f>IF(OR(NOT(ISNUMBER($V359)),$AO359=1),"",$V359-(COUNTIFS($A$14:$A$1213,$A359,$C$14:$C$1213,"&gt;=0")+1)/2)</f>
        <v/>
      </c>
      <c r="Y359" s="27">
        <f>IF(OR(NOT(ISNUMBER($W359)),$AO359=1),"",$W359-(COUNTIFS($A$14:$A$1213,$A359,$F$14:$F$1213,"&gt;=0")+1)/2)</f>
        <v/>
      </c>
      <c r="Z359" s="27">
        <f>IF(ISNUMBER($V359),$A359&amp;"|"&amp;$V359,"")</f>
        <v/>
      </c>
      <c r="AA359" s="27">
        <f>IF(ISNUMBER($W359),$A359&amp;"|"&amp;$W359,"")</f>
        <v/>
      </c>
      <c r="AB359" s="27">
        <f>IF(ISNUMBER($F359),$A359&amp;"|"&amp;$F359,"")</f>
        <v/>
      </c>
      <c r="AC359" s="27">
        <f>IF(ISNUMBER($P359),COUNTIFS($A$14:$A$1213,$A359,$P$14:$P$1213,"&gt;"&amp;$P359)+(COUNTIFS($A$14:$A$1213,$A359,$P$14:$P$1213,"="&amp;$P359)+1)/2,"")</f>
        <v/>
      </c>
      <c r="AD359" s="27">
        <f>IF(ISNUMBER($Q359),COUNTIFS($A$14:$A$1213,$A359,$Q$14:$Q$1213,"&gt;"&amp;$Q359)+(COUNTIFS($A$14:$A$1213,$A359,$Q$14:$Q$1213,"="&amp;$Q359)+1)/2,"")</f>
        <v/>
      </c>
      <c r="AE359" s="27">
        <f>IF(ISNUMBER($R359),COUNTIFS($A$14:$A$1213,$A359,$R$14:$R$1213,"&gt;"&amp;$R359)+(COUNTIFS($A$14:$A$1213,$A359,$R$14:$R$1213,"="&amp;$R359)+1)/2,"")</f>
        <v/>
      </c>
      <c r="AF359" s="27">
        <f>IF(ISNUMBER($S359),COUNTIFS($A$14:$A$1213,$A359,$S$14:$S$1213,"&gt;"&amp;$S359)+(COUNTIFS($A$14:$A$1213,$A359,$S$14:$S$1213,"="&amp;$S359)+1)/2,"")</f>
        <v/>
      </c>
      <c r="AG359" s="27">
        <f>IF(ISNUMBER($T359),COUNTIFS($A$14:$A$1213,$A359,$T$14:$T$1213,"&gt;"&amp;$T359)+(COUNTIFS($A$14:$A$1213,$A359,$T$14:$T$1213,"="&amp;$T359)+1)/2,"")</f>
        <v/>
      </c>
      <c r="AH359" s="27">
        <f>IF(COUNT($AC359:$AG359)&lt;2,"",IF(MAX($AC359:$AG359)=MIN($AC359:$AG359),0,1))</f>
        <v/>
      </c>
      <c r="AI359" s="27">
        <f>IF($A359="","",IF(COUNTIF($A$14:$A359,$A359)=1,COUNTIF($AI$13:AI358,"&gt;0")+1,""))</f>
        <v/>
      </c>
      <c r="AO359" s="27">
        <f>IF($A359="","",IF(AND(COUNTIFS($A$14:$A$1213,$A359,$F$14:$F$1213,"&gt;=0")=2,IFERROR(INDEX($M$14:$M$313,MATCH($A359,$H$14:$H$313,0)),"Yes")&lt;&gt;"Yes"),1,0))</f>
        <v/>
      </c>
    </row>
    <row r="360">
      <c r="A360" s="19" t="n"/>
      <c r="B360" s="20" t="n"/>
      <c r="C360" s="21">
        <f>IFERROR(AVERAGE(P360:T360),"")</f>
        <v/>
      </c>
      <c r="D360" s="29" t="n"/>
      <c r="E360" s="29" t="n"/>
      <c r="F360" s="30">
        <f>IF(AND(ISNUMBER($D360),ISNUMBER($E360),$E360&gt;0,$D360&lt;=$E360),$D360/$E360,"")</f>
        <v/>
      </c>
      <c r="P360" s="26" t="n"/>
      <c r="Q360" s="26" t="n"/>
      <c r="R360" s="26" t="n"/>
      <c r="S360" s="26" t="n"/>
      <c r="T360" s="26" t="n"/>
      <c r="V360" s="27">
        <f>IF(ISNUMBER($C360),COUNTIFS($A$14:$A$1213,$A360,$C$14:$C$1213,"&gt;"&amp;$C360)+(COUNTIFS($A$14:$A$1213,$A360,$C$14:$C$1213,"="&amp;$C360)+1)/2,"")</f>
        <v/>
      </c>
      <c r="W360" s="27">
        <f>IF(ISNUMBER($F360),COUNTIFS($A$14:$A$1213,$A360,$F$14:$F$1213,"&gt;"&amp;$F360)+(COUNTIFS($A$14:$A$1213,$A360,$F$14:$F$1213,"="&amp;$F360)+1)/2,"")</f>
        <v/>
      </c>
      <c r="X360" s="27">
        <f>IF(OR(NOT(ISNUMBER($V360)),$AO360=1),"",$V360-(COUNTIFS($A$14:$A$1213,$A360,$C$14:$C$1213,"&gt;=0")+1)/2)</f>
        <v/>
      </c>
      <c r="Y360" s="27">
        <f>IF(OR(NOT(ISNUMBER($W360)),$AO360=1),"",$W360-(COUNTIFS($A$14:$A$1213,$A360,$F$14:$F$1213,"&gt;=0")+1)/2)</f>
        <v/>
      </c>
      <c r="Z360" s="27">
        <f>IF(ISNUMBER($V360),$A360&amp;"|"&amp;$V360,"")</f>
        <v/>
      </c>
      <c r="AA360" s="27">
        <f>IF(ISNUMBER($W360),$A360&amp;"|"&amp;$W360,"")</f>
        <v/>
      </c>
      <c r="AB360" s="27">
        <f>IF(ISNUMBER($F360),$A360&amp;"|"&amp;$F360,"")</f>
        <v/>
      </c>
      <c r="AC360" s="27">
        <f>IF(ISNUMBER($P360),COUNTIFS($A$14:$A$1213,$A360,$P$14:$P$1213,"&gt;"&amp;$P360)+(COUNTIFS($A$14:$A$1213,$A360,$P$14:$P$1213,"="&amp;$P360)+1)/2,"")</f>
        <v/>
      </c>
      <c r="AD360" s="27">
        <f>IF(ISNUMBER($Q360),COUNTIFS($A$14:$A$1213,$A360,$Q$14:$Q$1213,"&gt;"&amp;$Q360)+(COUNTIFS($A$14:$A$1213,$A360,$Q$14:$Q$1213,"="&amp;$Q360)+1)/2,"")</f>
        <v/>
      </c>
      <c r="AE360" s="27">
        <f>IF(ISNUMBER($R360),COUNTIFS($A$14:$A$1213,$A360,$R$14:$R$1213,"&gt;"&amp;$R360)+(COUNTIFS($A$14:$A$1213,$A360,$R$14:$R$1213,"="&amp;$R360)+1)/2,"")</f>
        <v/>
      </c>
      <c r="AF360" s="27">
        <f>IF(ISNUMBER($S360),COUNTIFS($A$14:$A$1213,$A360,$S$14:$S$1213,"&gt;"&amp;$S360)+(COUNTIFS($A$14:$A$1213,$A360,$S$14:$S$1213,"="&amp;$S360)+1)/2,"")</f>
        <v/>
      </c>
      <c r="AG360" s="27">
        <f>IF(ISNUMBER($T360),COUNTIFS($A$14:$A$1213,$A360,$T$14:$T$1213,"&gt;"&amp;$T360)+(COUNTIFS($A$14:$A$1213,$A360,$T$14:$T$1213,"="&amp;$T360)+1)/2,"")</f>
        <v/>
      </c>
      <c r="AH360" s="27">
        <f>IF(COUNT($AC360:$AG360)&lt;2,"",IF(MAX($AC360:$AG360)=MIN($AC360:$AG360),0,1))</f>
        <v/>
      </c>
      <c r="AI360" s="27">
        <f>IF($A360="","",IF(COUNTIF($A$14:$A360,$A360)=1,COUNTIF($AI$13:AI359,"&gt;0")+1,""))</f>
        <v/>
      </c>
      <c r="AO360" s="27">
        <f>IF($A360="","",IF(AND(COUNTIFS($A$14:$A$1213,$A360,$F$14:$F$1213,"&gt;=0")=2,IFERROR(INDEX($M$14:$M$313,MATCH($A360,$H$14:$H$313,0)),"Yes")&lt;&gt;"Yes"),1,0))</f>
        <v/>
      </c>
    </row>
    <row r="361">
      <c r="A361" s="19" t="n"/>
      <c r="B361" s="20" t="n"/>
      <c r="C361" s="21">
        <f>IFERROR(AVERAGE(P361:T361),"")</f>
        <v/>
      </c>
      <c r="D361" s="29" t="n"/>
      <c r="E361" s="29" t="n"/>
      <c r="F361" s="30">
        <f>IF(AND(ISNUMBER($D361),ISNUMBER($E361),$E361&gt;0,$D361&lt;=$E361),$D361/$E361,"")</f>
        <v/>
      </c>
      <c r="P361" s="26" t="n"/>
      <c r="Q361" s="26" t="n"/>
      <c r="R361" s="26" t="n"/>
      <c r="S361" s="26" t="n"/>
      <c r="T361" s="26" t="n"/>
      <c r="V361" s="27">
        <f>IF(ISNUMBER($C361),COUNTIFS($A$14:$A$1213,$A361,$C$14:$C$1213,"&gt;"&amp;$C361)+(COUNTIFS($A$14:$A$1213,$A361,$C$14:$C$1213,"="&amp;$C361)+1)/2,"")</f>
        <v/>
      </c>
      <c r="W361" s="27">
        <f>IF(ISNUMBER($F361),COUNTIFS($A$14:$A$1213,$A361,$F$14:$F$1213,"&gt;"&amp;$F361)+(COUNTIFS($A$14:$A$1213,$A361,$F$14:$F$1213,"="&amp;$F361)+1)/2,"")</f>
        <v/>
      </c>
      <c r="X361" s="27">
        <f>IF(OR(NOT(ISNUMBER($V361)),$AO361=1),"",$V361-(COUNTIFS($A$14:$A$1213,$A361,$C$14:$C$1213,"&gt;=0")+1)/2)</f>
        <v/>
      </c>
      <c r="Y361" s="27">
        <f>IF(OR(NOT(ISNUMBER($W361)),$AO361=1),"",$W361-(COUNTIFS($A$14:$A$1213,$A361,$F$14:$F$1213,"&gt;=0")+1)/2)</f>
        <v/>
      </c>
      <c r="Z361" s="27">
        <f>IF(ISNUMBER($V361),$A361&amp;"|"&amp;$V361,"")</f>
        <v/>
      </c>
      <c r="AA361" s="27">
        <f>IF(ISNUMBER($W361),$A361&amp;"|"&amp;$W361,"")</f>
        <v/>
      </c>
      <c r="AB361" s="27">
        <f>IF(ISNUMBER($F361),$A361&amp;"|"&amp;$F361,"")</f>
        <v/>
      </c>
      <c r="AC361" s="27">
        <f>IF(ISNUMBER($P361),COUNTIFS($A$14:$A$1213,$A361,$P$14:$P$1213,"&gt;"&amp;$P361)+(COUNTIFS($A$14:$A$1213,$A361,$P$14:$P$1213,"="&amp;$P361)+1)/2,"")</f>
        <v/>
      </c>
      <c r="AD361" s="27">
        <f>IF(ISNUMBER($Q361),COUNTIFS($A$14:$A$1213,$A361,$Q$14:$Q$1213,"&gt;"&amp;$Q361)+(COUNTIFS($A$14:$A$1213,$A361,$Q$14:$Q$1213,"="&amp;$Q361)+1)/2,"")</f>
        <v/>
      </c>
      <c r="AE361" s="27">
        <f>IF(ISNUMBER($R361),COUNTIFS($A$14:$A$1213,$A361,$R$14:$R$1213,"&gt;"&amp;$R361)+(COUNTIFS($A$14:$A$1213,$A361,$R$14:$R$1213,"="&amp;$R361)+1)/2,"")</f>
        <v/>
      </c>
      <c r="AF361" s="27">
        <f>IF(ISNUMBER($S361),COUNTIFS($A$14:$A$1213,$A361,$S$14:$S$1213,"&gt;"&amp;$S361)+(COUNTIFS($A$14:$A$1213,$A361,$S$14:$S$1213,"="&amp;$S361)+1)/2,"")</f>
        <v/>
      </c>
      <c r="AG361" s="27">
        <f>IF(ISNUMBER($T361),COUNTIFS($A$14:$A$1213,$A361,$T$14:$T$1213,"&gt;"&amp;$T361)+(COUNTIFS($A$14:$A$1213,$A361,$T$14:$T$1213,"="&amp;$T361)+1)/2,"")</f>
        <v/>
      </c>
      <c r="AH361" s="27">
        <f>IF(COUNT($AC361:$AG361)&lt;2,"",IF(MAX($AC361:$AG361)=MIN($AC361:$AG361),0,1))</f>
        <v/>
      </c>
      <c r="AI361" s="27">
        <f>IF($A361="","",IF(COUNTIF($A$14:$A361,$A361)=1,COUNTIF($AI$13:AI360,"&gt;0")+1,""))</f>
        <v/>
      </c>
      <c r="AO361" s="27">
        <f>IF($A361="","",IF(AND(COUNTIFS($A$14:$A$1213,$A361,$F$14:$F$1213,"&gt;=0")=2,IFERROR(INDEX($M$14:$M$313,MATCH($A361,$H$14:$H$313,0)),"Yes")&lt;&gt;"Yes"),1,0))</f>
        <v/>
      </c>
    </row>
    <row r="362">
      <c r="A362" s="19" t="n"/>
      <c r="B362" s="20" t="n"/>
      <c r="C362" s="21">
        <f>IFERROR(AVERAGE(P362:T362),"")</f>
        <v/>
      </c>
      <c r="D362" s="29" t="n"/>
      <c r="E362" s="29" t="n"/>
      <c r="F362" s="30">
        <f>IF(AND(ISNUMBER($D362),ISNUMBER($E362),$E362&gt;0,$D362&lt;=$E362),$D362/$E362,"")</f>
        <v/>
      </c>
      <c r="P362" s="26" t="n"/>
      <c r="Q362" s="26" t="n"/>
      <c r="R362" s="26" t="n"/>
      <c r="S362" s="26" t="n"/>
      <c r="T362" s="26" t="n"/>
      <c r="V362" s="27">
        <f>IF(ISNUMBER($C362),COUNTIFS($A$14:$A$1213,$A362,$C$14:$C$1213,"&gt;"&amp;$C362)+(COUNTIFS($A$14:$A$1213,$A362,$C$14:$C$1213,"="&amp;$C362)+1)/2,"")</f>
        <v/>
      </c>
      <c r="W362" s="27">
        <f>IF(ISNUMBER($F362),COUNTIFS($A$14:$A$1213,$A362,$F$14:$F$1213,"&gt;"&amp;$F362)+(COUNTIFS($A$14:$A$1213,$A362,$F$14:$F$1213,"="&amp;$F362)+1)/2,"")</f>
        <v/>
      </c>
      <c r="X362" s="27">
        <f>IF(OR(NOT(ISNUMBER($V362)),$AO362=1),"",$V362-(COUNTIFS($A$14:$A$1213,$A362,$C$14:$C$1213,"&gt;=0")+1)/2)</f>
        <v/>
      </c>
      <c r="Y362" s="27">
        <f>IF(OR(NOT(ISNUMBER($W362)),$AO362=1),"",$W362-(COUNTIFS($A$14:$A$1213,$A362,$F$14:$F$1213,"&gt;=0")+1)/2)</f>
        <v/>
      </c>
      <c r="Z362" s="27">
        <f>IF(ISNUMBER($V362),$A362&amp;"|"&amp;$V362,"")</f>
        <v/>
      </c>
      <c r="AA362" s="27">
        <f>IF(ISNUMBER($W362),$A362&amp;"|"&amp;$W362,"")</f>
        <v/>
      </c>
      <c r="AB362" s="27">
        <f>IF(ISNUMBER($F362),$A362&amp;"|"&amp;$F362,"")</f>
        <v/>
      </c>
      <c r="AC362" s="27">
        <f>IF(ISNUMBER($P362),COUNTIFS($A$14:$A$1213,$A362,$P$14:$P$1213,"&gt;"&amp;$P362)+(COUNTIFS($A$14:$A$1213,$A362,$P$14:$P$1213,"="&amp;$P362)+1)/2,"")</f>
        <v/>
      </c>
      <c r="AD362" s="27">
        <f>IF(ISNUMBER($Q362),COUNTIFS($A$14:$A$1213,$A362,$Q$14:$Q$1213,"&gt;"&amp;$Q362)+(COUNTIFS($A$14:$A$1213,$A362,$Q$14:$Q$1213,"="&amp;$Q362)+1)/2,"")</f>
        <v/>
      </c>
      <c r="AE362" s="27">
        <f>IF(ISNUMBER($R362),COUNTIFS($A$14:$A$1213,$A362,$R$14:$R$1213,"&gt;"&amp;$R362)+(COUNTIFS($A$14:$A$1213,$A362,$R$14:$R$1213,"="&amp;$R362)+1)/2,"")</f>
        <v/>
      </c>
      <c r="AF362" s="27">
        <f>IF(ISNUMBER($S362),COUNTIFS($A$14:$A$1213,$A362,$S$14:$S$1213,"&gt;"&amp;$S362)+(COUNTIFS($A$14:$A$1213,$A362,$S$14:$S$1213,"="&amp;$S362)+1)/2,"")</f>
        <v/>
      </c>
      <c r="AG362" s="27">
        <f>IF(ISNUMBER($T362),COUNTIFS($A$14:$A$1213,$A362,$T$14:$T$1213,"&gt;"&amp;$T362)+(COUNTIFS($A$14:$A$1213,$A362,$T$14:$T$1213,"="&amp;$T362)+1)/2,"")</f>
        <v/>
      </c>
      <c r="AH362" s="27">
        <f>IF(COUNT($AC362:$AG362)&lt;2,"",IF(MAX($AC362:$AG362)=MIN($AC362:$AG362),0,1))</f>
        <v/>
      </c>
      <c r="AI362" s="27">
        <f>IF($A362="","",IF(COUNTIF($A$14:$A362,$A362)=1,COUNTIF($AI$13:AI361,"&gt;0")+1,""))</f>
        <v/>
      </c>
      <c r="AO362" s="27">
        <f>IF($A362="","",IF(AND(COUNTIFS($A$14:$A$1213,$A362,$F$14:$F$1213,"&gt;=0")=2,IFERROR(INDEX($M$14:$M$313,MATCH($A362,$H$14:$H$313,0)),"Yes")&lt;&gt;"Yes"),1,0))</f>
        <v/>
      </c>
    </row>
    <row r="363">
      <c r="A363" s="19" t="n"/>
      <c r="B363" s="20" t="n"/>
      <c r="C363" s="21">
        <f>IFERROR(AVERAGE(P363:T363),"")</f>
        <v/>
      </c>
      <c r="D363" s="29" t="n"/>
      <c r="E363" s="29" t="n"/>
      <c r="F363" s="30">
        <f>IF(AND(ISNUMBER($D363),ISNUMBER($E363),$E363&gt;0,$D363&lt;=$E363),$D363/$E363,"")</f>
        <v/>
      </c>
      <c r="P363" s="26" t="n"/>
      <c r="Q363" s="26" t="n"/>
      <c r="R363" s="26" t="n"/>
      <c r="S363" s="26" t="n"/>
      <c r="T363" s="26" t="n"/>
      <c r="V363" s="27">
        <f>IF(ISNUMBER($C363),COUNTIFS($A$14:$A$1213,$A363,$C$14:$C$1213,"&gt;"&amp;$C363)+(COUNTIFS($A$14:$A$1213,$A363,$C$14:$C$1213,"="&amp;$C363)+1)/2,"")</f>
        <v/>
      </c>
      <c r="W363" s="27">
        <f>IF(ISNUMBER($F363),COUNTIFS($A$14:$A$1213,$A363,$F$14:$F$1213,"&gt;"&amp;$F363)+(COUNTIFS($A$14:$A$1213,$A363,$F$14:$F$1213,"="&amp;$F363)+1)/2,"")</f>
        <v/>
      </c>
      <c r="X363" s="27">
        <f>IF(OR(NOT(ISNUMBER($V363)),$AO363=1),"",$V363-(COUNTIFS($A$14:$A$1213,$A363,$C$14:$C$1213,"&gt;=0")+1)/2)</f>
        <v/>
      </c>
      <c r="Y363" s="27">
        <f>IF(OR(NOT(ISNUMBER($W363)),$AO363=1),"",$W363-(COUNTIFS($A$14:$A$1213,$A363,$F$14:$F$1213,"&gt;=0")+1)/2)</f>
        <v/>
      </c>
      <c r="Z363" s="27">
        <f>IF(ISNUMBER($V363),$A363&amp;"|"&amp;$V363,"")</f>
        <v/>
      </c>
      <c r="AA363" s="27">
        <f>IF(ISNUMBER($W363),$A363&amp;"|"&amp;$W363,"")</f>
        <v/>
      </c>
      <c r="AB363" s="27">
        <f>IF(ISNUMBER($F363),$A363&amp;"|"&amp;$F363,"")</f>
        <v/>
      </c>
      <c r="AC363" s="27">
        <f>IF(ISNUMBER($P363),COUNTIFS($A$14:$A$1213,$A363,$P$14:$P$1213,"&gt;"&amp;$P363)+(COUNTIFS($A$14:$A$1213,$A363,$P$14:$P$1213,"="&amp;$P363)+1)/2,"")</f>
        <v/>
      </c>
      <c r="AD363" s="27">
        <f>IF(ISNUMBER($Q363),COUNTIFS($A$14:$A$1213,$A363,$Q$14:$Q$1213,"&gt;"&amp;$Q363)+(COUNTIFS($A$14:$A$1213,$A363,$Q$14:$Q$1213,"="&amp;$Q363)+1)/2,"")</f>
        <v/>
      </c>
      <c r="AE363" s="27">
        <f>IF(ISNUMBER($R363),COUNTIFS($A$14:$A$1213,$A363,$R$14:$R$1213,"&gt;"&amp;$R363)+(COUNTIFS($A$14:$A$1213,$A363,$R$14:$R$1213,"="&amp;$R363)+1)/2,"")</f>
        <v/>
      </c>
      <c r="AF363" s="27">
        <f>IF(ISNUMBER($S363),COUNTIFS($A$14:$A$1213,$A363,$S$14:$S$1213,"&gt;"&amp;$S363)+(COUNTIFS($A$14:$A$1213,$A363,$S$14:$S$1213,"="&amp;$S363)+1)/2,"")</f>
        <v/>
      </c>
      <c r="AG363" s="27">
        <f>IF(ISNUMBER($T363),COUNTIFS($A$14:$A$1213,$A363,$T$14:$T$1213,"&gt;"&amp;$T363)+(COUNTIFS($A$14:$A$1213,$A363,$T$14:$T$1213,"="&amp;$T363)+1)/2,"")</f>
        <v/>
      </c>
      <c r="AH363" s="27">
        <f>IF(COUNT($AC363:$AG363)&lt;2,"",IF(MAX($AC363:$AG363)=MIN($AC363:$AG363),0,1))</f>
        <v/>
      </c>
      <c r="AI363" s="27">
        <f>IF($A363="","",IF(COUNTIF($A$14:$A363,$A363)=1,COUNTIF($AI$13:AI362,"&gt;0")+1,""))</f>
        <v/>
      </c>
      <c r="AO363" s="27">
        <f>IF($A363="","",IF(AND(COUNTIFS($A$14:$A$1213,$A363,$F$14:$F$1213,"&gt;=0")=2,IFERROR(INDEX($M$14:$M$313,MATCH($A363,$H$14:$H$313,0)),"Yes")&lt;&gt;"Yes"),1,0))</f>
        <v/>
      </c>
    </row>
    <row r="364">
      <c r="A364" s="19" t="n"/>
      <c r="B364" s="20" t="n"/>
      <c r="C364" s="21">
        <f>IFERROR(AVERAGE(P364:T364),"")</f>
        <v/>
      </c>
      <c r="D364" s="29" t="n"/>
      <c r="E364" s="29" t="n"/>
      <c r="F364" s="30">
        <f>IF(AND(ISNUMBER($D364),ISNUMBER($E364),$E364&gt;0,$D364&lt;=$E364),$D364/$E364,"")</f>
        <v/>
      </c>
      <c r="P364" s="26" t="n"/>
      <c r="Q364" s="26" t="n"/>
      <c r="R364" s="26" t="n"/>
      <c r="S364" s="26" t="n"/>
      <c r="T364" s="26" t="n"/>
      <c r="V364" s="27">
        <f>IF(ISNUMBER($C364),COUNTIFS($A$14:$A$1213,$A364,$C$14:$C$1213,"&gt;"&amp;$C364)+(COUNTIFS($A$14:$A$1213,$A364,$C$14:$C$1213,"="&amp;$C364)+1)/2,"")</f>
        <v/>
      </c>
      <c r="W364" s="27">
        <f>IF(ISNUMBER($F364),COUNTIFS($A$14:$A$1213,$A364,$F$14:$F$1213,"&gt;"&amp;$F364)+(COUNTIFS($A$14:$A$1213,$A364,$F$14:$F$1213,"="&amp;$F364)+1)/2,"")</f>
        <v/>
      </c>
      <c r="X364" s="27">
        <f>IF(OR(NOT(ISNUMBER($V364)),$AO364=1),"",$V364-(COUNTIFS($A$14:$A$1213,$A364,$C$14:$C$1213,"&gt;=0")+1)/2)</f>
        <v/>
      </c>
      <c r="Y364" s="27">
        <f>IF(OR(NOT(ISNUMBER($W364)),$AO364=1),"",$W364-(COUNTIFS($A$14:$A$1213,$A364,$F$14:$F$1213,"&gt;=0")+1)/2)</f>
        <v/>
      </c>
      <c r="Z364" s="27">
        <f>IF(ISNUMBER($V364),$A364&amp;"|"&amp;$V364,"")</f>
        <v/>
      </c>
      <c r="AA364" s="27">
        <f>IF(ISNUMBER($W364),$A364&amp;"|"&amp;$W364,"")</f>
        <v/>
      </c>
      <c r="AB364" s="27">
        <f>IF(ISNUMBER($F364),$A364&amp;"|"&amp;$F364,"")</f>
        <v/>
      </c>
      <c r="AC364" s="27">
        <f>IF(ISNUMBER($P364),COUNTIFS($A$14:$A$1213,$A364,$P$14:$P$1213,"&gt;"&amp;$P364)+(COUNTIFS($A$14:$A$1213,$A364,$P$14:$P$1213,"="&amp;$P364)+1)/2,"")</f>
        <v/>
      </c>
      <c r="AD364" s="27">
        <f>IF(ISNUMBER($Q364),COUNTIFS($A$14:$A$1213,$A364,$Q$14:$Q$1213,"&gt;"&amp;$Q364)+(COUNTIFS($A$14:$A$1213,$A364,$Q$14:$Q$1213,"="&amp;$Q364)+1)/2,"")</f>
        <v/>
      </c>
      <c r="AE364" s="27">
        <f>IF(ISNUMBER($R364),COUNTIFS($A$14:$A$1213,$A364,$R$14:$R$1213,"&gt;"&amp;$R364)+(COUNTIFS($A$14:$A$1213,$A364,$R$14:$R$1213,"="&amp;$R364)+1)/2,"")</f>
        <v/>
      </c>
      <c r="AF364" s="27">
        <f>IF(ISNUMBER($S364),COUNTIFS($A$14:$A$1213,$A364,$S$14:$S$1213,"&gt;"&amp;$S364)+(COUNTIFS($A$14:$A$1213,$A364,$S$14:$S$1213,"="&amp;$S364)+1)/2,"")</f>
        <v/>
      </c>
      <c r="AG364" s="27">
        <f>IF(ISNUMBER($T364),COUNTIFS($A$14:$A$1213,$A364,$T$14:$T$1213,"&gt;"&amp;$T364)+(COUNTIFS($A$14:$A$1213,$A364,$T$14:$T$1213,"="&amp;$T364)+1)/2,"")</f>
        <v/>
      </c>
      <c r="AH364" s="27">
        <f>IF(COUNT($AC364:$AG364)&lt;2,"",IF(MAX($AC364:$AG364)=MIN($AC364:$AG364),0,1))</f>
        <v/>
      </c>
      <c r="AI364" s="27">
        <f>IF($A364="","",IF(COUNTIF($A$14:$A364,$A364)=1,COUNTIF($AI$13:AI363,"&gt;0")+1,""))</f>
        <v/>
      </c>
      <c r="AO364" s="27">
        <f>IF($A364="","",IF(AND(COUNTIFS($A$14:$A$1213,$A364,$F$14:$F$1213,"&gt;=0")=2,IFERROR(INDEX($M$14:$M$313,MATCH($A364,$H$14:$H$313,0)),"Yes")&lt;&gt;"Yes"),1,0))</f>
        <v/>
      </c>
    </row>
    <row r="365">
      <c r="A365" s="19" t="n"/>
      <c r="B365" s="20" t="n"/>
      <c r="C365" s="21">
        <f>IFERROR(AVERAGE(P365:T365),"")</f>
        <v/>
      </c>
      <c r="D365" s="29" t="n"/>
      <c r="E365" s="29" t="n"/>
      <c r="F365" s="30">
        <f>IF(AND(ISNUMBER($D365),ISNUMBER($E365),$E365&gt;0,$D365&lt;=$E365),$D365/$E365,"")</f>
        <v/>
      </c>
      <c r="P365" s="26" t="n"/>
      <c r="Q365" s="26" t="n"/>
      <c r="R365" s="26" t="n"/>
      <c r="S365" s="26" t="n"/>
      <c r="T365" s="26" t="n"/>
      <c r="V365" s="27">
        <f>IF(ISNUMBER($C365),COUNTIFS($A$14:$A$1213,$A365,$C$14:$C$1213,"&gt;"&amp;$C365)+(COUNTIFS($A$14:$A$1213,$A365,$C$14:$C$1213,"="&amp;$C365)+1)/2,"")</f>
        <v/>
      </c>
      <c r="W365" s="27">
        <f>IF(ISNUMBER($F365),COUNTIFS($A$14:$A$1213,$A365,$F$14:$F$1213,"&gt;"&amp;$F365)+(COUNTIFS($A$14:$A$1213,$A365,$F$14:$F$1213,"="&amp;$F365)+1)/2,"")</f>
        <v/>
      </c>
      <c r="X365" s="27">
        <f>IF(OR(NOT(ISNUMBER($V365)),$AO365=1),"",$V365-(COUNTIFS($A$14:$A$1213,$A365,$C$14:$C$1213,"&gt;=0")+1)/2)</f>
        <v/>
      </c>
      <c r="Y365" s="27">
        <f>IF(OR(NOT(ISNUMBER($W365)),$AO365=1),"",$W365-(COUNTIFS($A$14:$A$1213,$A365,$F$14:$F$1213,"&gt;=0")+1)/2)</f>
        <v/>
      </c>
      <c r="Z365" s="27">
        <f>IF(ISNUMBER($V365),$A365&amp;"|"&amp;$V365,"")</f>
        <v/>
      </c>
      <c r="AA365" s="27">
        <f>IF(ISNUMBER($W365),$A365&amp;"|"&amp;$W365,"")</f>
        <v/>
      </c>
      <c r="AB365" s="27">
        <f>IF(ISNUMBER($F365),$A365&amp;"|"&amp;$F365,"")</f>
        <v/>
      </c>
      <c r="AC365" s="27">
        <f>IF(ISNUMBER($P365),COUNTIFS($A$14:$A$1213,$A365,$P$14:$P$1213,"&gt;"&amp;$P365)+(COUNTIFS($A$14:$A$1213,$A365,$P$14:$P$1213,"="&amp;$P365)+1)/2,"")</f>
        <v/>
      </c>
      <c r="AD365" s="27">
        <f>IF(ISNUMBER($Q365),COUNTIFS($A$14:$A$1213,$A365,$Q$14:$Q$1213,"&gt;"&amp;$Q365)+(COUNTIFS($A$14:$A$1213,$A365,$Q$14:$Q$1213,"="&amp;$Q365)+1)/2,"")</f>
        <v/>
      </c>
      <c r="AE365" s="27">
        <f>IF(ISNUMBER($R365),COUNTIFS($A$14:$A$1213,$A365,$R$14:$R$1213,"&gt;"&amp;$R365)+(COUNTIFS($A$14:$A$1213,$A365,$R$14:$R$1213,"="&amp;$R365)+1)/2,"")</f>
        <v/>
      </c>
      <c r="AF365" s="27">
        <f>IF(ISNUMBER($S365),COUNTIFS($A$14:$A$1213,$A365,$S$14:$S$1213,"&gt;"&amp;$S365)+(COUNTIFS($A$14:$A$1213,$A365,$S$14:$S$1213,"="&amp;$S365)+1)/2,"")</f>
        <v/>
      </c>
      <c r="AG365" s="27">
        <f>IF(ISNUMBER($T365),COUNTIFS($A$14:$A$1213,$A365,$T$14:$T$1213,"&gt;"&amp;$T365)+(COUNTIFS($A$14:$A$1213,$A365,$T$14:$T$1213,"="&amp;$T365)+1)/2,"")</f>
        <v/>
      </c>
      <c r="AH365" s="27">
        <f>IF(COUNT($AC365:$AG365)&lt;2,"",IF(MAX($AC365:$AG365)=MIN($AC365:$AG365),0,1))</f>
        <v/>
      </c>
      <c r="AI365" s="27">
        <f>IF($A365="","",IF(COUNTIF($A$14:$A365,$A365)=1,COUNTIF($AI$13:AI364,"&gt;0")+1,""))</f>
        <v/>
      </c>
      <c r="AO365" s="27">
        <f>IF($A365="","",IF(AND(COUNTIFS($A$14:$A$1213,$A365,$F$14:$F$1213,"&gt;=0")=2,IFERROR(INDEX($M$14:$M$313,MATCH($A365,$H$14:$H$313,0)),"Yes")&lt;&gt;"Yes"),1,0))</f>
        <v/>
      </c>
    </row>
    <row r="366">
      <c r="A366" s="19" t="n"/>
      <c r="B366" s="20" t="n"/>
      <c r="C366" s="21">
        <f>IFERROR(AVERAGE(P366:T366),"")</f>
        <v/>
      </c>
      <c r="D366" s="29" t="n"/>
      <c r="E366" s="29" t="n"/>
      <c r="F366" s="30">
        <f>IF(AND(ISNUMBER($D366),ISNUMBER($E366),$E366&gt;0,$D366&lt;=$E366),$D366/$E366,"")</f>
        <v/>
      </c>
      <c r="P366" s="26" t="n"/>
      <c r="Q366" s="26" t="n"/>
      <c r="R366" s="26" t="n"/>
      <c r="S366" s="26" t="n"/>
      <c r="T366" s="26" t="n"/>
      <c r="V366" s="27">
        <f>IF(ISNUMBER($C366),COUNTIFS($A$14:$A$1213,$A366,$C$14:$C$1213,"&gt;"&amp;$C366)+(COUNTIFS($A$14:$A$1213,$A366,$C$14:$C$1213,"="&amp;$C366)+1)/2,"")</f>
        <v/>
      </c>
      <c r="W366" s="27">
        <f>IF(ISNUMBER($F366),COUNTIFS($A$14:$A$1213,$A366,$F$14:$F$1213,"&gt;"&amp;$F366)+(COUNTIFS($A$14:$A$1213,$A366,$F$14:$F$1213,"="&amp;$F366)+1)/2,"")</f>
        <v/>
      </c>
      <c r="X366" s="27">
        <f>IF(OR(NOT(ISNUMBER($V366)),$AO366=1),"",$V366-(COUNTIFS($A$14:$A$1213,$A366,$C$14:$C$1213,"&gt;=0")+1)/2)</f>
        <v/>
      </c>
      <c r="Y366" s="27">
        <f>IF(OR(NOT(ISNUMBER($W366)),$AO366=1),"",$W366-(COUNTIFS($A$14:$A$1213,$A366,$F$14:$F$1213,"&gt;=0")+1)/2)</f>
        <v/>
      </c>
      <c r="Z366" s="27">
        <f>IF(ISNUMBER($V366),$A366&amp;"|"&amp;$V366,"")</f>
        <v/>
      </c>
      <c r="AA366" s="27">
        <f>IF(ISNUMBER($W366),$A366&amp;"|"&amp;$W366,"")</f>
        <v/>
      </c>
      <c r="AB366" s="27">
        <f>IF(ISNUMBER($F366),$A366&amp;"|"&amp;$F366,"")</f>
        <v/>
      </c>
      <c r="AC366" s="27">
        <f>IF(ISNUMBER($P366),COUNTIFS($A$14:$A$1213,$A366,$P$14:$P$1213,"&gt;"&amp;$P366)+(COUNTIFS($A$14:$A$1213,$A366,$P$14:$P$1213,"="&amp;$P366)+1)/2,"")</f>
        <v/>
      </c>
      <c r="AD366" s="27">
        <f>IF(ISNUMBER($Q366),COUNTIFS($A$14:$A$1213,$A366,$Q$14:$Q$1213,"&gt;"&amp;$Q366)+(COUNTIFS($A$14:$A$1213,$A366,$Q$14:$Q$1213,"="&amp;$Q366)+1)/2,"")</f>
        <v/>
      </c>
      <c r="AE366" s="27">
        <f>IF(ISNUMBER($R366),COUNTIFS($A$14:$A$1213,$A366,$R$14:$R$1213,"&gt;"&amp;$R366)+(COUNTIFS($A$14:$A$1213,$A366,$R$14:$R$1213,"="&amp;$R366)+1)/2,"")</f>
        <v/>
      </c>
      <c r="AF366" s="27">
        <f>IF(ISNUMBER($S366),COUNTIFS($A$14:$A$1213,$A366,$S$14:$S$1213,"&gt;"&amp;$S366)+(COUNTIFS($A$14:$A$1213,$A366,$S$14:$S$1213,"="&amp;$S366)+1)/2,"")</f>
        <v/>
      </c>
      <c r="AG366" s="27">
        <f>IF(ISNUMBER($T366),COUNTIFS($A$14:$A$1213,$A366,$T$14:$T$1213,"&gt;"&amp;$T366)+(COUNTIFS($A$14:$A$1213,$A366,$T$14:$T$1213,"="&amp;$T366)+1)/2,"")</f>
        <v/>
      </c>
      <c r="AH366" s="27">
        <f>IF(COUNT($AC366:$AG366)&lt;2,"",IF(MAX($AC366:$AG366)=MIN($AC366:$AG366),0,1))</f>
        <v/>
      </c>
      <c r="AI366" s="27">
        <f>IF($A366="","",IF(COUNTIF($A$14:$A366,$A366)=1,COUNTIF($AI$13:AI365,"&gt;0")+1,""))</f>
        <v/>
      </c>
      <c r="AO366" s="27">
        <f>IF($A366="","",IF(AND(COUNTIFS($A$14:$A$1213,$A366,$F$14:$F$1213,"&gt;=0")=2,IFERROR(INDEX($M$14:$M$313,MATCH($A366,$H$14:$H$313,0)),"Yes")&lt;&gt;"Yes"),1,0))</f>
        <v/>
      </c>
    </row>
    <row r="367">
      <c r="A367" s="19" t="n"/>
      <c r="B367" s="20" t="n"/>
      <c r="C367" s="21">
        <f>IFERROR(AVERAGE(P367:T367),"")</f>
        <v/>
      </c>
      <c r="D367" s="29" t="n"/>
      <c r="E367" s="29" t="n"/>
      <c r="F367" s="30">
        <f>IF(AND(ISNUMBER($D367),ISNUMBER($E367),$E367&gt;0,$D367&lt;=$E367),$D367/$E367,"")</f>
        <v/>
      </c>
      <c r="P367" s="26" t="n"/>
      <c r="Q367" s="26" t="n"/>
      <c r="R367" s="26" t="n"/>
      <c r="S367" s="26" t="n"/>
      <c r="T367" s="26" t="n"/>
      <c r="V367" s="27">
        <f>IF(ISNUMBER($C367),COUNTIFS($A$14:$A$1213,$A367,$C$14:$C$1213,"&gt;"&amp;$C367)+(COUNTIFS($A$14:$A$1213,$A367,$C$14:$C$1213,"="&amp;$C367)+1)/2,"")</f>
        <v/>
      </c>
      <c r="W367" s="27">
        <f>IF(ISNUMBER($F367),COUNTIFS($A$14:$A$1213,$A367,$F$14:$F$1213,"&gt;"&amp;$F367)+(COUNTIFS($A$14:$A$1213,$A367,$F$14:$F$1213,"="&amp;$F367)+1)/2,"")</f>
        <v/>
      </c>
      <c r="X367" s="27">
        <f>IF(OR(NOT(ISNUMBER($V367)),$AO367=1),"",$V367-(COUNTIFS($A$14:$A$1213,$A367,$C$14:$C$1213,"&gt;=0")+1)/2)</f>
        <v/>
      </c>
      <c r="Y367" s="27">
        <f>IF(OR(NOT(ISNUMBER($W367)),$AO367=1),"",$W367-(COUNTIFS($A$14:$A$1213,$A367,$F$14:$F$1213,"&gt;=0")+1)/2)</f>
        <v/>
      </c>
      <c r="Z367" s="27">
        <f>IF(ISNUMBER($V367),$A367&amp;"|"&amp;$V367,"")</f>
        <v/>
      </c>
      <c r="AA367" s="27">
        <f>IF(ISNUMBER($W367),$A367&amp;"|"&amp;$W367,"")</f>
        <v/>
      </c>
      <c r="AB367" s="27">
        <f>IF(ISNUMBER($F367),$A367&amp;"|"&amp;$F367,"")</f>
        <v/>
      </c>
      <c r="AC367" s="27">
        <f>IF(ISNUMBER($P367),COUNTIFS($A$14:$A$1213,$A367,$P$14:$P$1213,"&gt;"&amp;$P367)+(COUNTIFS($A$14:$A$1213,$A367,$P$14:$P$1213,"="&amp;$P367)+1)/2,"")</f>
        <v/>
      </c>
      <c r="AD367" s="27">
        <f>IF(ISNUMBER($Q367),COUNTIFS($A$14:$A$1213,$A367,$Q$14:$Q$1213,"&gt;"&amp;$Q367)+(COUNTIFS($A$14:$A$1213,$A367,$Q$14:$Q$1213,"="&amp;$Q367)+1)/2,"")</f>
        <v/>
      </c>
      <c r="AE367" s="27">
        <f>IF(ISNUMBER($R367),COUNTIFS($A$14:$A$1213,$A367,$R$14:$R$1213,"&gt;"&amp;$R367)+(COUNTIFS($A$14:$A$1213,$A367,$R$14:$R$1213,"="&amp;$R367)+1)/2,"")</f>
        <v/>
      </c>
      <c r="AF367" s="27">
        <f>IF(ISNUMBER($S367),COUNTIFS($A$14:$A$1213,$A367,$S$14:$S$1213,"&gt;"&amp;$S367)+(COUNTIFS($A$14:$A$1213,$A367,$S$14:$S$1213,"="&amp;$S367)+1)/2,"")</f>
        <v/>
      </c>
      <c r="AG367" s="27">
        <f>IF(ISNUMBER($T367),COUNTIFS($A$14:$A$1213,$A367,$T$14:$T$1213,"&gt;"&amp;$T367)+(COUNTIFS($A$14:$A$1213,$A367,$T$14:$T$1213,"="&amp;$T367)+1)/2,"")</f>
        <v/>
      </c>
      <c r="AH367" s="27">
        <f>IF(COUNT($AC367:$AG367)&lt;2,"",IF(MAX($AC367:$AG367)=MIN($AC367:$AG367),0,1))</f>
        <v/>
      </c>
      <c r="AI367" s="27">
        <f>IF($A367="","",IF(COUNTIF($A$14:$A367,$A367)=1,COUNTIF($AI$13:AI366,"&gt;0")+1,""))</f>
        <v/>
      </c>
      <c r="AO367" s="27">
        <f>IF($A367="","",IF(AND(COUNTIFS($A$14:$A$1213,$A367,$F$14:$F$1213,"&gt;=0")=2,IFERROR(INDEX($M$14:$M$313,MATCH($A367,$H$14:$H$313,0)),"Yes")&lt;&gt;"Yes"),1,0))</f>
        <v/>
      </c>
    </row>
    <row r="368">
      <c r="A368" s="19" t="n"/>
      <c r="B368" s="20" t="n"/>
      <c r="C368" s="21">
        <f>IFERROR(AVERAGE(P368:T368),"")</f>
        <v/>
      </c>
      <c r="D368" s="29" t="n"/>
      <c r="E368" s="29" t="n"/>
      <c r="F368" s="30">
        <f>IF(AND(ISNUMBER($D368),ISNUMBER($E368),$E368&gt;0,$D368&lt;=$E368),$D368/$E368,"")</f>
        <v/>
      </c>
      <c r="P368" s="26" t="n"/>
      <c r="Q368" s="26" t="n"/>
      <c r="R368" s="26" t="n"/>
      <c r="S368" s="26" t="n"/>
      <c r="T368" s="26" t="n"/>
      <c r="V368" s="27">
        <f>IF(ISNUMBER($C368),COUNTIFS($A$14:$A$1213,$A368,$C$14:$C$1213,"&gt;"&amp;$C368)+(COUNTIFS($A$14:$A$1213,$A368,$C$14:$C$1213,"="&amp;$C368)+1)/2,"")</f>
        <v/>
      </c>
      <c r="W368" s="27">
        <f>IF(ISNUMBER($F368),COUNTIFS($A$14:$A$1213,$A368,$F$14:$F$1213,"&gt;"&amp;$F368)+(COUNTIFS($A$14:$A$1213,$A368,$F$14:$F$1213,"="&amp;$F368)+1)/2,"")</f>
        <v/>
      </c>
      <c r="X368" s="27">
        <f>IF(OR(NOT(ISNUMBER($V368)),$AO368=1),"",$V368-(COUNTIFS($A$14:$A$1213,$A368,$C$14:$C$1213,"&gt;=0")+1)/2)</f>
        <v/>
      </c>
      <c r="Y368" s="27">
        <f>IF(OR(NOT(ISNUMBER($W368)),$AO368=1),"",$W368-(COUNTIFS($A$14:$A$1213,$A368,$F$14:$F$1213,"&gt;=0")+1)/2)</f>
        <v/>
      </c>
      <c r="Z368" s="27">
        <f>IF(ISNUMBER($V368),$A368&amp;"|"&amp;$V368,"")</f>
        <v/>
      </c>
      <c r="AA368" s="27">
        <f>IF(ISNUMBER($W368),$A368&amp;"|"&amp;$W368,"")</f>
        <v/>
      </c>
      <c r="AB368" s="27">
        <f>IF(ISNUMBER($F368),$A368&amp;"|"&amp;$F368,"")</f>
        <v/>
      </c>
      <c r="AC368" s="27">
        <f>IF(ISNUMBER($P368),COUNTIFS($A$14:$A$1213,$A368,$P$14:$P$1213,"&gt;"&amp;$P368)+(COUNTIFS($A$14:$A$1213,$A368,$P$14:$P$1213,"="&amp;$P368)+1)/2,"")</f>
        <v/>
      </c>
      <c r="AD368" s="27">
        <f>IF(ISNUMBER($Q368),COUNTIFS($A$14:$A$1213,$A368,$Q$14:$Q$1213,"&gt;"&amp;$Q368)+(COUNTIFS($A$14:$A$1213,$A368,$Q$14:$Q$1213,"="&amp;$Q368)+1)/2,"")</f>
        <v/>
      </c>
      <c r="AE368" s="27">
        <f>IF(ISNUMBER($R368),COUNTIFS($A$14:$A$1213,$A368,$R$14:$R$1213,"&gt;"&amp;$R368)+(COUNTIFS($A$14:$A$1213,$A368,$R$14:$R$1213,"="&amp;$R368)+1)/2,"")</f>
        <v/>
      </c>
      <c r="AF368" s="27">
        <f>IF(ISNUMBER($S368),COUNTIFS($A$14:$A$1213,$A368,$S$14:$S$1213,"&gt;"&amp;$S368)+(COUNTIFS($A$14:$A$1213,$A368,$S$14:$S$1213,"="&amp;$S368)+1)/2,"")</f>
        <v/>
      </c>
      <c r="AG368" s="27">
        <f>IF(ISNUMBER($T368),COUNTIFS($A$14:$A$1213,$A368,$T$14:$T$1213,"&gt;"&amp;$T368)+(COUNTIFS($A$14:$A$1213,$A368,$T$14:$T$1213,"="&amp;$T368)+1)/2,"")</f>
        <v/>
      </c>
      <c r="AH368" s="27">
        <f>IF(COUNT($AC368:$AG368)&lt;2,"",IF(MAX($AC368:$AG368)=MIN($AC368:$AG368),0,1))</f>
        <v/>
      </c>
      <c r="AI368" s="27">
        <f>IF($A368="","",IF(COUNTIF($A$14:$A368,$A368)=1,COUNTIF($AI$13:AI367,"&gt;0")+1,""))</f>
        <v/>
      </c>
      <c r="AO368" s="27">
        <f>IF($A368="","",IF(AND(COUNTIFS($A$14:$A$1213,$A368,$F$14:$F$1213,"&gt;=0")=2,IFERROR(INDEX($M$14:$M$313,MATCH($A368,$H$14:$H$313,0)),"Yes")&lt;&gt;"Yes"),1,0))</f>
        <v/>
      </c>
    </row>
    <row r="369">
      <c r="A369" s="19" t="n"/>
      <c r="B369" s="20" t="n"/>
      <c r="C369" s="21">
        <f>IFERROR(AVERAGE(P369:T369),"")</f>
        <v/>
      </c>
      <c r="D369" s="29" t="n"/>
      <c r="E369" s="29" t="n"/>
      <c r="F369" s="30">
        <f>IF(AND(ISNUMBER($D369),ISNUMBER($E369),$E369&gt;0,$D369&lt;=$E369),$D369/$E369,"")</f>
        <v/>
      </c>
      <c r="P369" s="26" t="n"/>
      <c r="Q369" s="26" t="n"/>
      <c r="R369" s="26" t="n"/>
      <c r="S369" s="26" t="n"/>
      <c r="T369" s="26" t="n"/>
      <c r="V369" s="27">
        <f>IF(ISNUMBER($C369),COUNTIFS($A$14:$A$1213,$A369,$C$14:$C$1213,"&gt;"&amp;$C369)+(COUNTIFS($A$14:$A$1213,$A369,$C$14:$C$1213,"="&amp;$C369)+1)/2,"")</f>
        <v/>
      </c>
      <c r="W369" s="27">
        <f>IF(ISNUMBER($F369),COUNTIFS($A$14:$A$1213,$A369,$F$14:$F$1213,"&gt;"&amp;$F369)+(COUNTIFS($A$14:$A$1213,$A369,$F$14:$F$1213,"="&amp;$F369)+1)/2,"")</f>
        <v/>
      </c>
      <c r="X369" s="27">
        <f>IF(OR(NOT(ISNUMBER($V369)),$AO369=1),"",$V369-(COUNTIFS($A$14:$A$1213,$A369,$C$14:$C$1213,"&gt;=0")+1)/2)</f>
        <v/>
      </c>
      <c r="Y369" s="27">
        <f>IF(OR(NOT(ISNUMBER($W369)),$AO369=1),"",$W369-(COUNTIFS($A$14:$A$1213,$A369,$F$14:$F$1213,"&gt;=0")+1)/2)</f>
        <v/>
      </c>
      <c r="Z369" s="27">
        <f>IF(ISNUMBER($V369),$A369&amp;"|"&amp;$V369,"")</f>
        <v/>
      </c>
      <c r="AA369" s="27">
        <f>IF(ISNUMBER($W369),$A369&amp;"|"&amp;$W369,"")</f>
        <v/>
      </c>
      <c r="AB369" s="27">
        <f>IF(ISNUMBER($F369),$A369&amp;"|"&amp;$F369,"")</f>
        <v/>
      </c>
      <c r="AC369" s="27">
        <f>IF(ISNUMBER($P369),COUNTIFS($A$14:$A$1213,$A369,$P$14:$P$1213,"&gt;"&amp;$P369)+(COUNTIFS($A$14:$A$1213,$A369,$P$14:$P$1213,"="&amp;$P369)+1)/2,"")</f>
        <v/>
      </c>
      <c r="AD369" s="27">
        <f>IF(ISNUMBER($Q369),COUNTIFS($A$14:$A$1213,$A369,$Q$14:$Q$1213,"&gt;"&amp;$Q369)+(COUNTIFS($A$14:$A$1213,$A369,$Q$14:$Q$1213,"="&amp;$Q369)+1)/2,"")</f>
        <v/>
      </c>
      <c r="AE369" s="27">
        <f>IF(ISNUMBER($R369),COUNTIFS($A$14:$A$1213,$A369,$R$14:$R$1213,"&gt;"&amp;$R369)+(COUNTIFS($A$14:$A$1213,$A369,$R$14:$R$1213,"="&amp;$R369)+1)/2,"")</f>
        <v/>
      </c>
      <c r="AF369" s="27">
        <f>IF(ISNUMBER($S369),COUNTIFS($A$14:$A$1213,$A369,$S$14:$S$1213,"&gt;"&amp;$S369)+(COUNTIFS($A$14:$A$1213,$A369,$S$14:$S$1213,"="&amp;$S369)+1)/2,"")</f>
        <v/>
      </c>
      <c r="AG369" s="27">
        <f>IF(ISNUMBER($T369),COUNTIFS($A$14:$A$1213,$A369,$T$14:$T$1213,"&gt;"&amp;$T369)+(COUNTIFS($A$14:$A$1213,$A369,$T$14:$T$1213,"="&amp;$T369)+1)/2,"")</f>
        <v/>
      </c>
      <c r="AH369" s="27">
        <f>IF(COUNT($AC369:$AG369)&lt;2,"",IF(MAX($AC369:$AG369)=MIN($AC369:$AG369),0,1))</f>
        <v/>
      </c>
      <c r="AI369" s="27">
        <f>IF($A369="","",IF(COUNTIF($A$14:$A369,$A369)=1,COUNTIF($AI$13:AI368,"&gt;0")+1,""))</f>
        <v/>
      </c>
      <c r="AO369" s="27">
        <f>IF($A369="","",IF(AND(COUNTIFS($A$14:$A$1213,$A369,$F$14:$F$1213,"&gt;=0")=2,IFERROR(INDEX($M$14:$M$313,MATCH($A369,$H$14:$H$313,0)),"Yes")&lt;&gt;"Yes"),1,0))</f>
        <v/>
      </c>
    </row>
    <row r="370">
      <c r="A370" s="19" t="n"/>
      <c r="B370" s="20" t="n"/>
      <c r="C370" s="21">
        <f>IFERROR(AVERAGE(P370:T370),"")</f>
        <v/>
      </c>
      <c r="D370" s="29" t="n"/>
      <c r="E370" s="29" t="n"/>
      <c r="F370" s="30">
        <f>IF(AND(ISNUMBER($D370),ISNUMBER($E370),$E370&gt;0,$D370&lt;=$E370),$D370/$E370,"")</f>
        <v/>
      </c>
      <c r="P370" s="26" t="n"/>
      <c r="Q370" s="26" t="n"/>
      <c r="R370" s="26" t="n"/>
      <c r="S370" s="26" t="n"/>
      <c r="T370" s="26" t="n"/>
      <c r="V370" s="27">
        <f>IF(ISNUMBER($C370),COUNTIFS($A$14:$A$1213,$A370,$C$14:$C$1213,"&gt;"&amp;$C370)+(COUNTIFS($A$14:$A$1213,$A370,$C$14:$C$1213,"="&amp;$C370)+1)/2,"")</f>
        <v/>
      </c>
      <c r="W370" s="27">
        <f>IF(ISNUMBER($F370),COUNTIFS($A$14:$A$1213,$A370,$F$14:$F$1213,"&gt;"&amp;$F370)+(COUNTIFS($A$14:$A$1213,$A370,$F$14:$F$1213,"="&amp;$F370)+1)/2,"")</f>
        <v/>
      </c>
      <c r="X370" s="27">
        <f>IF(OR(NOT(ISNUMBER($V370)),$AO370=1),"",$V370-(COUNTIFS($A$14:$A$1213,$A370,$C$14:$C$1213,"&gt;=0")+1)/2)</f>
        <v/>
      </c>
      <c r="Y370" s="27">
        <f>IF(OR(NOT(ISNUMBER($W370)),$AO370=1),"",$W370-(COUNTIFS($A$14:$A$1213,$A370,$F$14:$F$1213,"&gt;=0")+1)/2)</f>
        <v/>
      </c>
      <c r="Z370" s="27">
        <f>IF(ISNUMBER($V370),$A370&amp;"|"&amp;$V370,"")</f>
        <v/>
      </c>
      <c r="AA370" s="27">
        <f>IF(ISNUMBER($W370),$A370&amp;"|"&amp;$W370,"")</f>
        <v/>
      </c>
      <c r="AB370" s="27">
        <f>IF(ISNUMBER($F370),$A370&amp;"|"&amp;$F370,"")</f>
        <v/>
      </c>
      <c r="AC370" s="27">
        <f>IF(ISNUMBER($P370),COUNTIFS($A$14:$A$1213,$A370,$P$14:$P$1213,"&gt;"&amp;$P370)+(COUNTIFS($A$14:$A$1213,$A370,$P$14:$P$1213,"="&amp;$P370)+1)/2,"")</f>
        <v/>
      </c>
      <c r="AD370" s="27">
        <f>IF(ISNUMBER($Q370),COUNTIFS($A$14:$A$1213,$A370,$Q$14:$Q$1213,"&gt;"&amp;$Q370)+(COUNTIFS($A$14:$A$1213,$A370,$Q$14:$Q$1213,"="&amp;$Q370)+1)/2,"")</f>
        <v/>
      </c>
      <c r="AE370" s="27">
        <f>IF(ISNUMBER($R370),COUNTIFS($A$14:$A$1213,$A370,$R$14:$R$1213,"&gt;"&amp;$R370)+(COUNTIFS($A$14:$A$1213,$A370,$R$14:$R$1213,"="&amp;$R370)+1)/2,"")</f>
        <v/>
      </c>
      <c r="AF370" s="27">
        <f>IF(ISNUMBER($S370),COUNTIFS($A$14:$A$1213,$A370,$S$14:$S$1213,"&gt;"&amp;$S370)+(COUNTIFS($A$14:$A$1213,$A370,$S$14:$S$1213,"="&amp;$S370)+1)/2,"")</f>
        <v/>
      </c>
      <c r="AG370" s="27">
        <f>IF(ISNUMBER($T370),COUNTIFS($A$14:$A$1213,$A370,$T$14:$T$1213,"&gt;"&amp;$T370)+(COUNTIFS($A$14:$A$1213,$A370,$T$14:$T$1213,"="&amp;$T370)+1)/2,"")</f>
        <v/>
      </c>
      <c r="AH370" s="27">
        <f>IF(COUNT($AC370:$AG370)&lt;2,"",IF(MAX($AC370:$AG370)=MIN($AC370:$AG370),0,1))</f>
        <v/>
      </c>
      <c r="AI370" s="27">
        <f>IF($A370="","",IF(COUNTIF($A$14:$A370,$A370)=1,COUNTIF($AI$13:AI369,"&gt;0")+1,""))</f>
        <v/>
      </c>
      <c r="AO370" s="27">
        <f>IF($A370="","",IF(AND(COUNTIFS($A$14:$A$1213,$A370,$F$14:$F$1213,"&gt;=0")=2,IFERROR(INDEX($M$14:$M$313,MATCH($A370,$H$14:$H$313,0)),"Yes")&lt;&gt;"Yes"),1,0))</f>
        <v/>
      </c>
    </row>
    <row r="371">
      <c r="A371" s="19" t="n"/>
      <c r="B371" s="20" t="n"/>
      <c r="C371" s="21">
        <f>IFERROR(AVERAGE(P371:T371),"")</f>
        <v/>
      </c>
      <c r="D371" s="29" t="n"/>
      <c r="E371" s="29" t="n"/>
      <c r="F371" s="30">
        <f>IF(AND(ISNUMBER($D371),ISNUMBER($E371),$E371&gt;0,$D371&lt;=$E371),$D371/$E371,"")</f>
        <v/>
      </c>
      <c r="P371" s="26" t="n"/>
      <c r="Q371" s="26" t="n"/>
      <c r="R371" s="26" t="n"/>
      <c r="S371" s="26" t="n"/>
      <c r="T371" s="26" t="n"/>
      <c r="V371" s="27">
        <f>IF(ISNUMBER($C371),COUNTIFS($A$14:$A$1213,$A371,$C$14:$C$1213,"&gt;"&amp;$C371)+(COUNTIFS($A$14:$A$1213,$A371,$C$14:$C$1213,"="&amp;$C371)+1)/2,"")</f>
        <v/>
      </c>
      <c r="W371" s="27">
        <f>IF(ISNUMBER($F371),COUNTIFS($A$14:$A$1213,$A371,$F$14:$F$1213,"&gt;"&amp;$F371)+(COUNTIFS($A$14:$A$1213,$A371,$F$14:$F$1213,"="&amp;$F371)+1)/2,"")</f>
        <v/>
      </c>
      <c r="X371" s="27">
        <f>IF(OR(NOT(ISNUMBER($V371)),$AO371=1),"",$V371-(COUNTIFS($A$14:$A$1213,$A371,$C$14:$C$1213,"&gt;=0")+1)/2)</f>
        <v/>
      </c>
      <c r="Y371" s="27">
        <f>IF(OR(NOT(ISNUMBER($W371)),$AO371=1),"",$W371-(COUNTIFS($A$14:$A$1213,$A371,$F$14:$F$1213,"&gt;=0")+1)/2)</f>
        <v/>
      </c>
      <c r="Z371" s="27">
        <f>IF(ISNUMBER($V371),$A371&amp;"|"&amp;$V371,"")</f>
        <v/>
      </c>
      <c r="AA371" s="27">
        <f>IF(ISNUMBER($W371),$A371&amp;"|"&amp;$W371,"")</f>
        <v/>
      </c>
      <c r="AB371" s="27">
        <f>IF(ISNUMBER($F371),$A371&amp;"|"&amp;$F371,"")</f>
        <v/>
      </c>
      <c r="AC371" s="27">
        <f>IF(ISNUMBER($P371),COUNTIFS($A$14:$A$1213,$A371,$P$14:$P$1213,"&gt;"&amp;$P371)+(COUNTIFS($A$14:$A$1213,$A371,$P$14:$P$1213,"="&amp;$P371)+1)/2,"")</f>
        <v/>
      </c>
      <c r="AD371" s="27">
        <f>IF(ISNUMBER($Q371),COUNTIFS($A$14:$A$1213,$A371,$Q$14:$Q$1213,"&gt;"&amp;$Q371)+(COUNTIFS($A$14:$A$1213,$A371,$Q$14:$Q$1213,"="&amp;$Q371)+1)/2,"")</f>
        <v/>
      </c>
      <c r="AE371" s="27">
        <f>IF(ISNUMBER($R371),COUNTIFS($A$14:$A$1213,$A371,$R$14:$R$1213,"&gt;"&amp;$R371)+(COUNTIFS($A$14:$A$1213,$A371,$R$14:$R$1213,"="&amp;$R371)+1)/2,"")</f>
        <v/>
      </c>
      <c r="AF371" s="27">
        <f>IF(ISNUMBER($S371),COUNTIFS($A$14:$A$1213,$A371,$S$14:$S$1213,"&gt;"&amp;$S371)+(COUNTIFS($A$14:$A$1213,$A371,$S$14:$S$1213,"="&amp;$S371)+1)/2,"")</f>
        <v/>
      </c>
      <c r="AG371" s="27">
        <f>IF(ISNUMBER($T371),COUNTIFS($A$14:$A$1213,$A371,$T$14:$T$1213,"&gt;"&amp;$T371)+(COUNTIFS($A$14:$A$1213,$A371,$T$14:$T$1213,"="&amp;$T371)+1)/2,"")</f>
        <v/>
      </c>
      <c r="AH371" s="27">
        <f>IF(COUNT($AC371:$AG371)&lt;2,"",IF(MAX($AC371:$AG371)=MIN($AC371:$AG371),0,1))</f>
        <v/>
      </c>
      <c r="AI371" s="27">
        <f>IF($A371="","",IF(COUNTIF($A$14:$A371,$A371)=1,COUNTIF($AI$13:AI370,"&gt;0")+1,""))</f>
        <v/>
      </c>
      <c r="AO371" s="27">
        <f>IF($A371="","",IF(AND(COUNTIFS($A$14:$A$1213,$A371,$F$14:$F$1213,"&gt;=0")=2,IFERROR(INDEX($M$14:$M$313,MATCH($A371,$H$14:$H$313,0)),"Yes")&lt;&gt;"Yes"),1,0))</f>
        <v/>
      </c>
    </row>
    <row r="372">
      <c r="A372" s="19" t="n"/>
      <c r="B372" s="20" t="n"/>
      <c r="C372" s="21">
        <f>IFERROR(AVERAGE(P372:T372),"")</f>
        <v/>
      </c>
      <c r="D372" s="29" t="n"/>
      <c r="E372" s="29" t="n"/>
      <c r="F372" s="30">
        <f>IF(AND(ISNUMBER($D372),ISNUMBER($E372),$E372&gt;0,$D372&lt;=$E372),$D372/$E372,"")</f>
        <v/>
      </c>
      <c r="P372" s="26" t="n"/>
      <c r="Q372" s="26" t="n"/>
      <c r="R372" s="26" t="n"/>
      <c r="S372" s="26" t="n"/>
      <c r="T372" s="26" t="n"/>
      <c r="V372" s="27">
        <f>IF(ISNUMBER($C372),COUNTIFS($A$14:$A$1213,$A372,$C$14:$C$1213,"&gt;"&amp;$C372)+(COUNTIFS($A$14:$A$1213,$A372,$C$14:$C$1213,"="&amp;$C372)+1)/2,"")</f>
        <v/>
      </c>
      <c r="W372" s="27">
        <f>IF(ISNUMBER($F372),COUNTIFS($A$14:$A$1213,$A372,$F$14:$F$1213,"&gt;"&amp;$F372)+(COUNTIFS($A$14:$A$1213,$A372,$F$14:$F$1213,"="&amp;$F372)+1)/2,"")</f>
        <v/>
      </c>
      <c r="X372" s="27">
        <f>IF(OR(NOT(ISNUMBER($V372)),$AO372=1),"",$V372-(COUNTIFS($A$14:$A$1213,$A372,$C$14:$C$1213,"&gt;=0")+1)/2)</f>
        <v/>
      </c>
      <c r="Y372" s="27">
        <f>IF(OR(NOT(ISNUMBER($W372)),$AO372=1),"",$W372-(COUNTIFS($A$14:$A$1213,$A372,$F$14:$F$1213,"&gt;=0")+1)/2)</f>
        <v/>
      </c>
      <c r="Z372" s="27">
        <f>IF(ISNUMBER($V372),$A372&amp;"|"&amp;$V372,"")</f>
        <v/>
      </c>
      <c r="AA372" s="27">
        <f>IF(ISNUMBER($W372),$A372&amp;"|"&amp;$W372,"")</f>
        <v/>
      </c>
      <c r="AB372" s="27">
        <f>IF(ISNUMBER($F372),$A372&amp;"|"&amp;$F372,"")</f>
        <v/>
      </c>
      <c r="AC372" s="27">
        <f>IF(ISNUMBER($P372),COUNTIFS($A$14:$A$1213,$A372,$P$14:$P$1213,"&gt;"&amp;$P372)+(COUNTIFS($A$14:$A$1213,$A372,$P$14:$P$1213,"="&amp;$P372)+1)/2,"")</f>
        <v/>
      </c>
      <c r="AD372" s="27">
        <f>IF(ISNUMBER($Q372),COUNTIFS($A$14:$A$1213,$A372,$Q$14:$Q$1213,"&gt;"&amp;$Q372)+(COUNTIFS($A$14:$A$1213,$A372,$Q$14:$Q$1213,"="&amp;$Q372)+1)/2,"")</f>
        <v/>
      </c>
      <c r="AE372" s="27">
        <f>IF(ISNUMBER($R372),COUNTIFS($A$14:$A$1213,$A372,$R$14:$R$1213,"&gt;"&amp;$R372)+(COUNTIFS($A$14:$A$1213,$A372,$R$14:$R$1213,"="&amp;$R372)+1)/2,"")</f>
        <v/>
      </c>
      <c r="AF372" s="27">
        <f>IF(ISNUMBER($S372),COUNTIFS($A$14:$A$1213,$A372,$S$14:$S$1213,"&gt;"&amp;$S372)+(COUNTIFS($A$14:$A$1213,$A372,$S$14:$S$1213,"="&amp;$S372)+1)/2,"")</f>
        <v/>
      </c>
      <c r="AG372" s="27">
        <f>IF(ISNUMBER($T372),COUNTIFS($A$14:$A$1213,$A372,$T$14:$T$1213,"&gt;"&amp;$T372)+(COUNTIFS($A$14:$A$1213,$A372,$T$14:$T$1213,"="&amp;$T372)+1)/2,"")</f>
        <v/>
      </c>
      <c r="AH372" s="27">
        <f>IF(COUNT($AC372:$AG372)&lt;2,"",IF(MAX($AC372:$AG372)=MIN($AC372:$AG372),0,1))</f>
        <v/>
      </c>
      <c r="AI372" s="27">
        <f>IF($A372="","",IF(COUNTIF($A$14:$A372,$A372)=1,COUNTIF($AI$13:AI371,"&gt;0")+1,""))</f>
        <v/>
      </c>
      <c r="AO372" s="27">
        <f>IF($A372="","",IF(AND(COUNTIFS($A$14:$A$1213,$A372,$F$14:$F$1213,"&gt;=0")=2,IFERROR(INDEX($M$14:$M$313,MATCH($A372,$H$14:$H$313,0)),"Yes")&lt;&gt;"Yes"),1,0))</f>
        <v/>
      </c>
    </row>
    <row r="373">
      <c r="A373" s="19" t="n"/>
      <c r="B373" s="20" t="n"/>
      <c r="C373" s="21">
        <f>IFERROR(AVERAGE(P373:T373),"")</f>
        <v/>
      </c>
      <c r="D373" s="29" t="n"/>
      <c r="E373" s="29" t="n"/>
      <c r="F373" s="30">
        <f>IF(AND(ISNUMBER($D373),ISNUMBER($E373),$E373&gt;0,$D373&lt;=$E373),$D373/$E373,"")</f>
        <v/>
      </c>
      <c r="P373" s="26" t="n"/>
      <c r="Q373" s="26" t="n"/>
      <c r="R373" s="26" t="n"/>
      <c r="S373" s="26" t="n"/>
      <c r="T373" s="26" t="n"/>
      <c r="V373" s="27">
        <f>IF(ISNUMBER($C373),COUNTIFS($A$14:$A$1213,$A373,$C$14:$C$1213,"&gt;"&amp;$C373)+(COUNTIFS($A$14:$A$1213,$A373,$C$14:$C$1213,"="&amp;$C373)+1)/2,"")</f>
        <v/>
      </c>
      <c r="W373" s="27">
        <f>IF(ISNUMBER($F373),COUNTIFS($A$14:$A$1213,$A373,$F$14:$F$1213,"&gt;"&amp;$F373)+(COUNTIFS($A$14:$A$1213,$A373,$F$14:$F$1213,"="&amp;$F373)+1)/2,"")</f>
        <v/>
      </c>
      <c r="X373" s="27">
        <f>IF(OR(NOT(ISNUMBER($V373)),$AO373=1),"",$V373-(COUNTIFS($A$14:$A$1213,$A373,$C$14:$C$1213,"&gt;=0")+1)/2)</f>
        <v/>
      </c>
      <c r="Y373" s="27">
        <f>IF(OR(NOT(ISNUMBER($W373)),$AO373=1),"",$W373-(COUNTIFS($A$14:$A$1213,$A373,$F$14:$F$1213,"&gt;=0")+1)/2)</f>
        <v/>
      </c>
      <c r="Z373" s="27">
        <f>IF(ISNUMBER($V373),$A373&amp;"|"&amp;$V373,"")</f>
        <v/>
      </c>
      <c r="AA373" s="27">
        <f>IF(ISNUMBER($W373),$A373&amp;"|"&amp;$W373,"")</f>
        <v/>
      </c>
      <c r="AB373" s="27">
        <f>IF(ISNUMBER($F373),$A373&amp;"|"&amp;$F373,"")</f>
        <v/>
      </c>
      <c r="AC373" s="27">
        <f>IF(ISNUMBER($P373),COUNTIFS($A$14:$A$1213,$A373,$P$14:$P$1213,"&gt;"&amp;$P373)+(COUNTIFS($A$14:$A$1213,$A373,$P$14:$P$1213,"="&amp;$P373)+1)/2,"")</f>
        <v/>
      </c>
      <c r="AD373" s="27">
        <f>IF(ISNUMBER($Q373),COUNTIFS($A$14:$A$1213,$A373,$Q$14:$Q$1213,"&gt;"&amp;$Q373)+(COUNTIFS($A$14:$A$1213,$A373,$Q$14:$Q$1213,"="&amp;$Q373)+1)/2,"")</f>
        <v/>
      </c>
      <c r="AE373" s="27">
        <f>IF(ISNUMBER($R373),COUNTIFS($A$14:$A$1213,$A373,$R$14:$R$1213,"&gt;"&amp;$R373)+(COUNTIFS($A$14:$A$1213,$A373,$R$14:$R$1213,"="&amp;$R373)+1)/2,"")</f>
        <v/>
      </c>
      <c r="AF373" s="27">
        <f>IF(ISNUMBER($S373),COUNTIFS($A$14:$A$1213,$A373,$S$14:$S$1213,"&gt;"&amp;$S373)+(COUNTIFS($A$14:$A$1213,$A373,$S$14:$S$1213,"="&amp;$S373)+1)/2,"")</f>
        <v/>
      </c>
      <c r="AG373" s="27">
        <f>IF(ISNUMBER($T373),COUNTIFS($A$14:$A$1213,$A373,$T$14:$T$1213,"&gt;"&amp;$T373)+(COUNTIFS($A$14:$A$1213,$A373,$T$14:$T$1213,"="&amp;$T373)+1)/2,"")</f>
        <v/>
      </c>
      <c r="AH373" s="27">
        <f>IF(COUNT($AC373:$AG373)&lt;2,"",IF(MAX($AC373:$AG373)=MIN($AC373:$AG373),0,1))</f>
        <v/>
      </c>
      <c r="AI373" s="27">
        <f>IF($A373="","",IF(COUNTIF($A$14:$A373,$A373)=1,COUNTIF($AI$13:AI372,"&gt;0")+1,""))</f>
        <v/>
      </c>
      <c r="AO373" s="27">
        <f>IF($A373="","",IF(AND(COUNTIFS($A$14:$A$1213,$A373,$F$14:$F$1213,"&gt;=0")=2,IFERROR(INDEX($M$14:$M$313,MATCH($A373,$H$14:$H$313,0)),"Yes")&lt;&gt;"Yes"),1,0))</f>
        <v/>
      </c>
    </row>
    <row r="374">
      <c r="A374" s="19" t="n"/>
      <c r="B374" s="20" t="n"/>
      <c r="C374" s="21">
        <f>IFERROR(AVERAGE(P374:T374),"")</f>
        <v/>
      </c>
      <c r="D374" s="29" t="n"/>
      <c r="E374" s="29" t="n"/>
      <c r="F374" s="30">
        <f>IF(AND(ISNUMBER($D374),ISNUMBER($E374),$E374&gt;0,$D374&lt;=$E374),$D374/$E374,"")</f>
        <v/>
      </c>
      <c r="P374" s="26" t="n"/>
      <c r="Q374" s="26" t="n"/>
      <c r="R374" s="26" t="n"/>
      <c r="S374" s="26" t="n"/>
      <c r="T374" s="26" t="n"/>
      <c r="V374" s="27">
        <f>IF(ISNUMBER($C374),COUNTIFS($A$14:$A$1213,$A374,$C$14:$C$1213,"&gt;"&amp;$C374)+(COUNTIFS($A$14:$A$1213,$A374,$C$14:$C$1213,"="&amp;$C374)+1)/2,"")</f>
        <v/>
      </c>
      <c r="W374" s="27">
        <f>IF(ISNUMBER($F374),COUNTIFS($A$14:$A$1213,$A374,$F$14:$F$1213,"&gt;"&amp;$F374)+(COUNTIFS($A$14:$A$1213,$A374,$F$14:$F$1213,"="&amp;$F374)+1)/2,"")</f>
        <v/>
      </c>
      <c r="X374" s="27">
        <f>IF(OR(NOT(ISNUMBER($V374)),$AO374=1),"",$V374-(COUNTIFS($A$14:$A$1213,$A374,$C$14:$C$1213,"&gt;=0")+1)/2)</f>
        <v/>
      </c>
      <c r="Y374" s="27">
        <f>IF(OR(NOT(ISNUMBER($W374)),$AO374=1),"",$W374-(COUNTIFS($A$14:$A$1213,$A374,$F$14:$F$1213,"&gt;=0")+1)/2)</f>
        <v/>
      </c>
      <c r="Z374" s="27">
        <f>IF(ISNUMBER($V374),$A374&amp;"|"&amp;$V374,"")</f>
        <v/>
      </c>
      <c r="AA374" s="27">
        <f>IF(ISNUMBER($W374),$A374&amp;"|"&amp;$W374,"")</f>
        <v/>
      </c>
      <c r="AB374" s="27">
        <f>IF(ISNUMBER($F374),$A374&amp;"|"&amp;$F374,"")</f>
        <v/>
      </c>
      <c r="AC374" s="27">
        <f>IF(ISNUMBER($P374),COUNTIFS($A$14:$A$1213,$A374,$P$14:$P$1213,"&gt;"&amp;$P374)+(COUNTIFS($A$14:$A$1213,$A374,$P$14:$P$1213,"="&amp;$P374)+1)/2,"")</f>
        <v/>
      </c>
      <c r="AD374" s="27">
        <f>IF(ISNUMBER($Q374),COUNTIFS($A$14:$A$1213,$A374,$Q$14:$Q$1213,"&gt;"&amp;$Q374)+(COUNTIFS($A$14:$A$1213,$A374,$Q$14:$Q$1213,"="&amp;$Q374)+1)/2,"")</f>
        <v/>
      </c>
      <c r="AE374" s="27">
        <f>IF(ISNUMBER($R374),COUNTIFS($A$14:$A$1213,$A374,$R$14:$R$1213,"&gt;"&amp;$R374)+(COUNTIFS($A$14:$A$1213,$A374,$R$14:$R$1213,"="&amp;$R374)+1)/2,"")</f>
        <v/>
      </c>
      <c r="AF374" s="27">
        <f>IF(ISNUMBER($S374),COUNTIFS($A$14:$A$1213,$A374,$S$14:$S$1213,"&gt;"&amp;$S374)+(COUNTIFS($A$14:$A$1213,$A374,$S$14:$S$1213,"="&amp;$S374)+1)/2,"")</f>
        <v/>
      </c>
      <c r="AG374" s="27">
        <f>IF(ISNUMBER($T374),COUNTIFS($A$14:$A$1213,$A374,$T$14:$T$1213,"&gt;"&amp;$T374)+(COUNTIFS($A$14:$A$1213,$A374,$T$14:$T$1213,"="&amp;$T374)+1)/2,"")</f>
        <v/>
      </c>
      <c r="AH374" s="27">
        <f>IF(COUNT($AC374:$AG374)&lt;2,"",IF(MAX($AC374:$AG374)=MIN($AC374:$AG374),0,1))</f>
        <v/>
      </c>
      <c r="AI374" s="27">
        <f>IF($A374="","",IF(COUNTIF($A$14:$A374,$A374)=1,COUNTIF($AI$13:AI373,"&gt;0")+1,""))</f>
        <v/>
      </c>
      <c r="AO374" s="27">
        <f>IF($A374="","",IF(AND(COUNTIFS($A$14:$A$1213,$A374,$F$14:$F$1213,"&gt;=0")=2,IFERROR(INDEX($M$14:$M$313,MATCH($A374,$H$14:$H$313,0)),"Yes")&lt;&gt;"Yes"),1,0))</f>
        <v/>
      </c>
    </row>
    <row r="375">
      <c r="A375" s="19" t="n"/>
      <c r="B375" s="20" t="n"/>
      <c r="C375" s="21">
        <f>IFERROR(AVERAGE(P375:T375),"")</f>
        <v/>
      </c>
      <c r="D375" s="29" t="n"/>
      <c r="E375" s="29" t="n"/>
      <c r="F375" s="30">
        <f>IF(AND(ISNUMBER($D375),ISNUMBER($E375),$E375&gt;0,$D375&lt;=$E375),$D375/$E375,"")</f>
        <v/>
      </c>
      <c r="P375" s="26" t="n"/>
      <c r="Q375" s="26" t="n"/>
      <c r="R375" s="26" t="n"/>
      <c r="S375" s="26" t="n"/>
      <c r="T375" s="26" t="n"/>
      <c r="V375" s="27">
        <f>IF(ISNUMBER($C375),COUNTIFS($A$14:$A$1213,$A375,$C$14:$C$1213,"&gt;"&amp;$C375)+(COUNTIFS($A$14:$A$1213,$A375,$C$14:$C$1213,"="&amp;$C375)+1)/2,"")</f>
        <v/>
      </c>
      <c r="W375" s="27">
        <f>IF(ISNUMBER($F375),COUNTIFS($A$14:$A$1213,$A375,$F$14:$F$1213,"&gt;"&amp;$F375)+(COUNTIFS($A$14:$A$1213,$A375,$F$14:$F$1213,"="&amp;$F375)+1)/2,"")</f>
        <v/>
      </c>
      <c r="X375" s="27">
        <f>IF(OR(NOT(ISNUMBER($V375)),$AO375=1),"",$V375-(COUNTIFS($A$14:$A$1213,$A375,$C$14:$C$1213,"&gt;=0")+1)/2)</f>
        <v/>
      </c>
      <c r="Y375" s="27">
        <f>IF(OR(NOT(ISNUMBER($W375)),$AO375=1),"",$W375-(COUNTIFS($A$14:$A$1213,$A375,$F$14:$F$1213,"&gt;=0")+1)/2)</f>
        <v/>
      </c>
      <c r="Z375" s="27">
        <f>IF(ISNUMBER($V375),$A375&amp;"|"&amp;$V375,"")</f>
        <v/>
      </c>
      <c r="AA375" s="27">
        <f>IF(ISNUMBER($W375),$A375&amp;"|"&amp;$W375,"")</f>
        <v/>
      </c>
      <c r="AB375" s="27">
        <f>IF(ISNUMBER($F375),$A375&amp;"|"&amp;$F375,"")</f>
        <v/>
      </c>
      <c r="AC375" s="27">
        <f>IF(ISNUMBER($P375),COUNTIFS($A$14:$A$1213,$A375,$P$14:$P$1213,"&gt;"&amp;$P375)+(COUNTIFS($A$14:$A$1213,$A375,$P$14:$P$1213,"="&amp;$P375)+1)/2,"")</f>
        <v/>
      </c>
      <c r="AD375" s="27">
        <f>IF(ISNUMBER($Q375),COUNTIFS($A$14:$A$1213,$A375,$Q$14:$Q$1213,"&gt;"&amp;$Q375)+(COUNTIFS($A$14:$A$1213,$A375,$Q$14:$Q$1213,"="&amp;$Q375)+1)/2,"")</f>
        <v/>
      </c>
      <c r="AE375" s="27">
        <f>IF(ISNUMBER($R375),COUNTIFS($A$14:$A$1213,$A375,$R$14:$R$1213,"&gt;"&amp;$R375)+(COUNTIFS($A$14:$A$1213,$A375,$R$14:$R$1213,"="&amp;$R375)+1)/2,"")</f>
        <v/>
      </c>
      <c r="AF375" s="27">
        <f>IF(ISNUMBER($S375),COUNTIFS($A$14:$A$1213,$A375,$S$14:$S$1213,"&gt;"&amp;$S375)+(COUNTIFS($A$14:$A$1213,$A375,$S$14:$S$1213,"="&amp;$S375)+1)/2,"")</f>
        <v/>
      </c>
      <c r="AG375" s="27">
        <f>IF(ISNUMBER($T375),COUNTIFS($A$14:$A$1213,$A375,$T$14:$T$1213,"&gt;"&amp;$T375)+(COUNTIFS($A$14:$A$1213,$A375,$T$14:$T$1213,"="&amp;$T375)+1)/2,"")</f>
        <v/>
      </c>
      <c r="AH375" s="27">
        <f>IF(COUNT($AC375:$AG375)&lt;2,"",IF(MAX($AC375:$AG375)=MIN($AC375:$AG375),0,1))</f>
        <v/>
      </c>
      <c r="AI375" s="27">
        <f>IF($A375="","",IF(COUNTIF($A$14:$A375,$A375)=1,COUNTIF($AI$13:AI374,"&gt;0")+1,""))</f>
        <v/>
      </c>
      <c r="AO375" s="27">
        <f>IF($A375="","",IF(AND(COUNTIFS($A$14:$A$1213,$A375,$F$14:$F$1213,"&gt;=0")=2,IFERROR(INDEX($M$14:$M$313,MATCH($A375,$H$14:$H$313,0)),"Yes")&lt;&gt;"Yes"),1,0))</f>
        <v/>
      </c>
    </row>
    <row r="376">
      <c r="A376" s="19" t="n"/>
      <c r="B376" s="20" t="n"/>
      <c r="C376" s="21">
        <f>IFERROR(AVERAGE(P376:T376),"")</f>
        <v/>
      </c>
      <c r="D376" s="29" t="n"/>
      <c r="E376" s="29" t="n"/>
      <c r="F376" s="30">
        <f>IF(AND(ISNUMBER($D376),ISNUMBER($E376),$E376&gt;0,$D376&lt;=$E376),$D376/$E376,"")</f>
        <v/>
      </c>
      <c r="P376" s="26" t="n"/>
      <c r="Q376" s="26" t="n"/>
      <c r="R376" s="26" t="n"/>
      <c r="S376" s="26" t="n"/>
      <c r="T376" s="26" t="n"/>
      <c r="V376" s="27">
        <f>IF(ISNUMBER($C376),COUNTIFS($A$14:$A$1213,$A376,$C$14:$C$1213,"&gt;"&amp;$C376)+(COUNTIFS($A$14:$A$1213,$A376,$C$14:$C$1213,"="&amp;$C376)+1)/2,"")</f>
        <v/>
      </c>
      <c r="W376" s="27">
        <f>IF(ISNUMBER($F376),COUNTIFS($A$14:$A$1213,$A376,$F$14:$F$1213,"&gt;"&amp;$F376)+(COUNTIFS($A$14:$A$1213,$A376,$F$14:$F$1213,"="&amp;$F376)+1)/2,"")</f>
        <v/>
      </c>
      <c r="X376" s="27">
        <f>IF(OR(NOT(ISNUMBER($V376)),$AO376=1),"",$V376-(COUNTIFS($A$14:$A$1213,$A376,$C$14:$C$1213,"&gt;=0")+1)/2)</f>
        <v/>
      </c>
      <c r="Y376" s="27">
        <f>IF(OR(NOT(ISNUMBER($W376)),$AO376=1),"",$W376-(COUNTIFS($A$14:$A$1213,$A376,$F$14:$F$1213,"&gt;=0")+1)/2)</f>
        <v/>
      </c>
      <c r="Z376" s="27">
        <f>IF(ISNUMBER($V376),$A376&amp;"|"&amp;$V376,"")</f>
        <v/>
      </c>
      <c r="AA376" s="27">
        <f>IF(ISNUMBER($W376),$A376&amp;"|"&amp;$W376,"")</f>
        <v/>
      </c>
      <c r="AB376" s="27">
        <f>IF(ISNUMBER($F376),$A376&amp;"|"&amp;$F376,"")</f>
        <v/>
      </c>
      <c r="AC376" s="27">
        <f>IF(ISNUMBER($P376),COUNTIFS($A$14:$A$1213,$A376,$P$14:$P$1213,"&gt;"&amp;$P376)+(COUNTIFS($A$14:$A$1213,$A376,$P$14:$P$1213,"="&amp;$P376)+1)/2,"")</f>
        <v/>
      </c>
      <c r="AD376" s="27">
        <f>IF(ISNUMBER($Q376),COUNTIFS($A$14:$A$1213,$A376,$Q$14:$Q$1213,"&gt;"&amp;$Q376)+(COUNTIFS($A$14:$A$1213,$A376,$Q$14:$Q$1213,"="&amp;$Q376)+1)/2,"")</f>
        <v/>
      </c>
      <c r="AE376" s="27">
        <f>IF(ISNUMBER($R376),COUNTIFS($A$14:$A$1213,$A376,$R$14:$R$1213,"&gt;"&amp;$R376)+(COUNTIFS($A$14:$A$1213,$A376,$R$14:$R$1213,"="&amp;$R376)+1)/2,"")</f>
        <v/>
      </c>
      <c r="AF376" s="27">
        <f>IF(ISNUMBER($S376),COUNTIFS($A$14:$A$1213,$A376,$S$14:$S$1213,"&gt;"&amp;$S376)+(COUNTIFS($A$14:$A$1213,$A376,$S$14:$S$1213,"="&amp;$S376)+1)/2,"")</f>
        <v/>
      </c>
      <c r="AG376" s="27">
        <f>IF(ISNUMBER($T376),COUNTIFS($A$14:$A$1213,$A376,$T$14:$T$1213,"&gt;"&amp;$T376)+(COUNTIFS($A$14:$A$1213,$A376,$T$14:$T$1213,"="&amp;$T376)+1)/2,"")</f>
        <v/>
      </c>
      <c r="AH376" s="27">
        <f>IF(COUNT($AC376:$AG376)&lt;2,"",IF(MAX($AC376:$AG376)=MIN($AC376:$AG376),0,1))</f>
        <v/>
      </c>
      <c r="AI376" s="27">
        <f>IF($A376="","",IF(COUNTIF($A$14:$A376,$A376)=1,COUNTIF($AI$13:AI375,"&gt;0")+1,""))</f>
        <v/>
      </c>
      <c r="AO376" s="27">
        <f>IF($A376="","",IF(AND(COUNTIFS($A$14:$A$1213,$A376,$F$14:$F$1213,"&gt;=0")=2,IFERROR(INDEX($M$14:$M$313,MATCH($A376,$H$14:$H$313,0)),"Yes")&lt;&gt;"Yes"),1,0))</f>
        <v/>
      </c>
    </row>
    <row r="377">
      <c r="A377" s="19" t="n"/>
      <c r="B377" s="20" t="n"/>
      <c r="C377" s="21">
        <f>IFERROR(AVERAGE(P377:T377),"")</f>
        <v/>
      </c>
      <c r="D377" s="29" t="n"/>
      <c r="E377" s="29" t="n"/>
      <c r="F377" s="30">
        <f>IF(AND(ISNUMBER($D377),ISNUMBER($E377),$E377&gt;0,$D377&lt;=$E377),$D377/$E377,"")</f>
        <v/>
      </c>
      <c r="P377" s="26" t="n"/>
      <c r="Q377" s="26" t="n"/>
      <c r="R377" s="26" t="n"/>
      <c r="S377" s="26" t="n"/>
      <c r="T377" s="26" t="n"/>
      <c r="V377" s="27">
        <f>IF(ISNUMBER($C377),COUNTIFS($A$14:$A$1213,$A377,$C$14:$C$1213,"&gt;"&amp;$C377)+(COUNTIFS($A$14:$A$1213,$A377,$C$14:$C$1213,"="&amp;$C377)+1)/2,"")</f>
        <v/>
      </c>
      <c r="W377" s="27">
        <f>IF(ISNUMBER($F377),COUNTIFS($A$14:$A$1213,$A377,$F$14:$F$1213,"&gt;"&amp;$F377)+(COUNTIFS($A$14:$A$1213,$A377,$F$14:$F$1213,"="&amp;$F377)+1)/2,"")</f>
        <v/>
      </c>
      <c r="X377" s="27">
        <f>IF(OR(NOT(ISNUMBER($V377)),$AO377=1),"",$V377-(COUNTIFS($A$14:$A$1213,$A377,$C$14:$C$1213,"&gt;=0")+1)/2)</f>
        <v/>
      </c>
      <c r="Y377" s="27">
        <f>IF(OR(NOT(ISNUMBER($W377)),$AO377=1),"",$W377-(COUNTIFS($A$14:$A$1213,$A377,$F$14:$F$1213,"&gt;=0")+1)/2)</f>
        <v/>
      </c>
      <c r="Z377" s="27">
        <f>IF(ISNUMBER($V377),$A377&amp;"|"&amp;$V377,"")</f>
        <v/>
      </c>
      <c r="AA377" s="27">
        <f>IF(ISNUMBER($W377),$A377&amp;"|"&amp;$W377,"")</f>
        <v/>
      </c>
      <c r="AB377" s="27">
        <f>IF(ISNUMBER($F377),$A377&amp;"|"&amp;$F377,"")</f>
        <v/>
      </c>
      <c r="AC377" s="27">
        <f>IF(ISNUMBER($P377),COUNTIFS($A$14:$A$1213,$A377,$P$14:$P$1213,"&gt;"&amp;$P377)+(COUNTIFS($A$14:$A$1213,$A377,$P$14:$P$1213,"="&amp;$P377)+1)/2,"")</f>
        <v/>
      </c>
      <c r="AD377" s="27">
        <f>IF(ISNUMBER($Q377),COUNTIFS($A$14:$A$1213,$A377,$Q$14:$Q$1213,"&gt;"&amp;$Q377)+(COUNTIFS($A$14:$A$1213,$A377,$Q$14:$Q$1213,"="&amp;$Q377)+1)/2,"")</f>
        <v/>
      </c>
      <c r="AE377" s="27">
        <f>IF(ISNUMBER($R377),COUNTIFS($A$14:$A$1213,$A377,$R$14:$R$1213,"&gt;"&amp;$R377)+(COUNTIFS($A$14:$A$1213,$A377,$R$14:$R$1213,"="&amp;$R377)+1)/2,"")</f>
        <v/>
      </c>
      <c r="AF377" s="27">
        <f>IF(ISNUMBER($S377),COUNTIFS($A$14:$A$1213,$A377,$S$14:$S$1213,"&gt;"&amp;$S377)+(COUNTIFS($A$14:$A$1213,$A377,$S$14:$S$1213,"="&amp;$S377)+1)/2,"")</f>
        <v/>
      </c>
      <c r="AG377" s="27">
        <f>IF(ISNUMBER($T377),COUNTIFS($A$14:$A$1213,$A377,$T$14:$T$1213,"&gt;"&amp;$T377)+(COUNTIFS($A$14:$A$1213,$A377,$T$14:$T$1213,"="&amp;$T377)+1)/2,"")</f>
        <v/>
      </c>
      <c r="AH377" s="27">
        <f>IF(COUNT($AC377:$AG377)&lt;2,"",IF(MAX($AC377:$AG377)=MIN($AC377:$AG377),0,1))</f>
        <v/>
      </c>
      <c r="AI377" s="27">
        <f>IF($A377="","",IF(COUNTIF($A$14:$A377,$A377)=1,COUNTIF($AI$13:AI376,"&gt;0")+1,""))</f>
        <v/>
      </c>
      <c r="AO377" s="27">
        <f>IF($A377="","",IF(AND(COUNTIFS($A$14:$A$1213,$A377,$F$14:$F$1213,"&gt;=0")=2,IFERROR(INDEX($M$14:$M$313,MATCH($A377,$H$14:$H$313,0)),"Yes")&lt;&gt;"Yes"),1,0))</f>
        <v/>
      </c>
    </row>
    <row r="378">
      <c r="A378" s="19" t="n"/>
      <c r="B378" s="20" t="n"/>
      <c r="C378" s="21">
        <f>IFERROR(AVERAGE(P378:T378),"")</f>
        <v/>
      </c>
      <c r="D378" s="29" t="n"/>
      <c r="E378" s="29" t="n"/>
      <c r="F378" s="30">
        <f>IF(AND(ISNUMBER($D378),ISNUMBER($E378),$E378&gt;0,$D378&lt;=$E378),$D378/$E378,"")</f>
        <v/>
      </c>
      <c r="P378" s="26" t="n"/>
      <c r="Q378" s="26" t="n"/>
      <c r="R378" s="26" t="n"/>
      <c r="S378" s="26" t="n"/>
      <c r="T378" s="26" t="n"/>
      <c r="V378" s="27">
        <f>IF(ISNUMBER($C378),COUNTIFS($A$14:$A$1213,$A378,$C$14:$C$1213,"&gt;"&amp;$C378)+(COUNTIFS($A$14:$A$1213,$A378,$C$14:$C$1213,"="&amp;$C378)+1)/2,"")</f>
        <v/>
      </c>
      <c r="W378" s="27">
        <f>IF(ISNUMBER($F378),COUNTIFS($A$14:$A$1213,$A378,$F$14:$F$1213,"&gt;"&amp;$F378)+(COUNTIFS($A$14:$A$1213,$A378,$F$14:$F$1213,"="&amp;$F378)+1)/2,"")</f>
        <v/>
      </c>
      <c r="X378" s="27">
        <f>IF(OR(NOT(ISNUMBER($V378)),$AO378=1),"",$V378-(COUNTIFS($A$14:$A$1213,$A378,$C$14:$C$1213,"&gt;=0")+1)/2)</f>
        <v/>
      </c>
      <c r="Y378" s="27">
        <f>IF(OR(NOT(ISNUMBER($W378)),$AO378=1),"",$W378-(COUNTIFS($A$14:$A$1213,$A378,$F$14:$F$1213,"&gt;=0")+1)/2)</f>
        <v/>
      </c>
      <c r="Z378" s="27">
        <f>IF(ISNUMBER($V378),$A378&amp;"|"&amp;$V378,"")</f>
        <v/>
      </c>
      <c r="AA378" s="27">
        <f>IF(ISNUMBER($W378),$A378&amp;"|"&amp;$W378,"")</f>
        <v/>
      </c>
      <c r="AB378" s="27">
        <f>IF(ISNUMBER($F378),$A378&amp;"|"&amp;$F378,"")</f>
        <v/>
      </c>
      <c r="AC378" s="27">
        <f>IF(ISNUMBER($P378),COUNTIFS($A$14:$A$1213,$A378,$P$14:$P$1213,"&gt;"&amp;$P378)+(COUNTIFS($A$14:$A$1213,$A378,$P$14:$P$1213,"="&amp;$P378)+1)/2,"")</f>
        <v/>
      </c>
      <c r="AD378" s="27">
        <f>IF(ISNUMBER($Q378),COUNTIFS($A$14:$A$1213,$A378,$Q$14:$Q$1213,"&gt;"&amp;$Q378)+(COUNTIFS($A$14:$A$1213,$A378,$Q$14:$Q$1213,"="&amp;$Q378)+1)/2,"")</f>
        <v/>
      </c>
      <c r="AE378" s="27">
        <f>IF(ISNUMBER($R378),COUNTIFS($A$14:$A$1213,$A378,$R$14:$R$1213,"&gt;"&amp;$R378)+(COUNTIFS($A$14:$A$1213,$A378,$R$14:$R$1213,"="&amp;$R378)+1)/2,"")</f>
        <v/>
      </c>
      <c r="AF378" s="27">
        <f>IF(ISNUMBER($S378),COUNTIFS($A$14:$A$1213,$A378,$S$14:$S$1213,"&gt;"&amp;$S378)+(COUNTIFS($A$14:$A$1213,$A378,$S$14:$S$1213,"="&amp;$S378)+1)/2,"")</f>
        <v/>
      </c>
      <c r="AG378" s="27">
        <f>IF(ISNUMBER($T378),COUNTIFS($A$14:$A$1213,$A378,$T$14:$T$1213,"&gt;"&amp;$T378)+(COUNTIFS($A$14:$A$1213,$A378,$T$14:$T$1213,"="&amp;$T378)+1)/2,"")</f>
        <v/>
      </c>
      <c r="AH378" s="27">
        <f>IF(COUNT($AC378:$AG378)&lt;2,"",IF(MAX($AC378:$AG378)=MIN($AC378:$AG378),0,1))</f>
        <v/>
      </c>
      <c r="AI378" s="27">
        <f>IF($A378="","",IF(COUNTIF($A$14:$A378,$A378)=1,COUNTIF($AI$13:AI377,"&gt;0")+1,""))</f>
        <v/>
      </c>
      <c r="AO378" s="27">
        <f>IF($A378="","",IF(AND(COUNTIFS($A$14:$A$1213,$A378,$F$14:$F$1213,"&gt;=0")=2,IFERROR(INDEX($M$14:$M$313,MATCH($A378,$H$14:$H$313,0)),"Yes")&lt;&gt;"Yes"),1,0))</f>
        <v/>
      </c>
    </row>
    <row r="379">
      <c r="A379" s="19" t="n"/>
      <c r="B379" s="20" t="n"/>
      <c r="C379" s="21">
        <f>IFERROR(AVERAGE(P379:T379),"")</f>
        <v/>
      </c>
      <c r="D379" s="29" t="n"/>
      <c r="E379" s="29" t="n"/>
      <c r="F379" s="30">
        <f>IF(AND(ISNUMBER($D379),ISNUMBER($E379),$E379&gt;0,$D379&lt;=$E379),$D379/$E379,"")</f>
        <v/>
      </c>
      <c r="P379" s="26" t="n"/>
      <c r="Q379" s="26" t="n"/>
      <c r="R379" s="26" t="n"/>
      <c r="S379" s="26" t="n"/>
      <c r="T379" s="26" t="n"/>
      <c r="V379" s="27">
        <f>IF(ISNUMBER($C379),COUNTIFS($A$14:$A$1213,$A379,$C$14:$C$1213,"&gt;"&amp;$C379)+(COUNTIFS($A$14:$A$1213,$A379,$C$14:$C$1213,"="&amp;$C379)+1)/2,"")</f>
        <v/>
      </c>
      <c r="W379" s="27">
        <f>IF(ISNUMBER($F379),COUNTIFS($A$14:$A$1213,$A379,$F$14:$F$1213,"&gt;"&amp;$F379)+(COUNTIFS($A$14:$A$1213,$A379,$F$14:$F$1213,"="&amp;$F379)+1)/2,"")</f>
        <v/>
      </c>
      <c r="X379" s="27">
        <f>IF(OR(NOT(ISNUMBER($V379)),$AO379=1),"",$V379-(COUNTIFS($A$14:$A$1213,$A379,$C$14:$C$1213,"&gt;=0")+1)/2)</f>
        <v/>
      </c>
      <c r="Y379" s="27">
        <f>IF(OR(NOT(ISNUMBER($W379)),$AO379=1),"",$W379-(COUNTIFS($A$14:$A$1213,$A379,$F$14:$F$1213,"&gt;=0")+1)/2)</f>
        <v/>
      </c>
      <c r="Z379" s="27">
        <f>IF(ISNUMBER($V379),$A379&amp;"|"&amp;$V379,"")</f>
        <v/>
      </c>
      <c r="AA379" s="27">
        <f>IF(ISNUMBER($W379),$A379&amp;"|"&amp;$W379,"")</f>
        <v/>
      </c>
      <c r="AB379" s="27">
        <f>IF(ISNUMBER($F379),$A379&amp;"|"&amp;$F379,"")</f>
        <v/>
      </c>
      <c r="AC379" s="27">
        <f>IF(ISNUMBER($P379),COUNTIFS($A$14:$A$1213,$A379,$P$14:$P$1213,"&gt;"&amp;$P379)+(COUNTIFS($A$14:$A$1213,$A379,$P$14:$P$1213,"="&amp;$P379)+1)/2,"")</f>
        <v/>
      </c>
      <c r="AD379" s="27">
        <f>IF(ISNUMBER($Q379),COUNTIFS($A$14:$A$1213,$A379,$Q$14:$Q$1213,"&gt;"&amp;$Q379)+(COUNTIFS($A$14:$A$1213,$A379,$Q$14:$Q$1213,"="&amp;$Q379)+1)/2,"")</f>
        <v/>
      </c>
      <c r="AE379" s="27">
        <f>IF(ISNUMBER($R379),COUNTIFS($A$14:$A$1213,$A379,$R$14:$R$1213,"&gt;"&amp;$R379)+(COUNTIFS($A$14:$A$1213,$A379,$R$14:$R$1213,"="&amp;$R379)+1)/2,"")</f>
        <v/>
      </c>
      <c r="AF379" s="27">
        <f>IF(ISNUMBER($S379),COUNTIFS($A$14:$A$1213,$A379,$S$14:$S$1213,"&gt;"&amp;$S379)+(COUNTIFS($A$14:$A$1213,$A379,$S$14:$S$1213,"="&amp;$S379)+1)/2,"")</f>
        <v/>
      </c>
      <c r="AG379" s="27">
        <f>IF(ISNUMBER($T379),COUNTIFS($A$14:$A$1213,$A379,$T$14:$T$1213,"&gt;"&amp;$T379)+(COUNTIFS($A$14:$A$1213,$A379,$T$14:$T$1213,"="&amp;$T379)+1)/2,"")</f>
        <v/>
      </c>
      <c r="AH379" s="27">
        <f>IF(COUNT($AC379:$AG379)&lt;2,"",IF(MAX($AC379:$AG379)=MIN($AC379:$AG379),0,1))</f>
        <v/>
      </c>
      <c r="AI379" s="27">
        <f>IF($A379="","",IF(COUNTIF($A$14:$A379,$A379)=1,COUNTIF($AI$13:AI378,"&gt;0")+1,""))</f>
        <v/>
      </c>
      <c r="AO379" s="27">
        <f>IF($A379="","",IF(AND(COUNTIFS($A$14:$A$1213,$A379,$F$14:$F$1213,"&gt;=0")=2,IFERROR(INDEX($M$14:$M$313,MATCH($A379,$H$14:$H$313,0)),"Yes")&lt;&gt;"Yes"),1,0))</f>
        <v/>
      </c>
    </row>
    <row r="380">
      <c r="A380" s="19" t="n"/>
      <c r="B380" s="20" t="n"/>
      <c r="C380" s="21">
        <f>IFERROR(AVERAGE(P380:T380),"")</f>
        <v/>
      </c>
      <c r="D380" s="29" t="n"/>
      <c r="E380" s="29" t="n"/>
      <c r="F380" s="30">
        <f>IF(AND(ISNUMBER($D380),ISNUMBER($E380),$E380&gt;0,$D380&lt;=$E380),$D380/$E380,"")</f>
        <v/>
      </c>
      <c r="P380" s="26" t="n"/>
      <c r="Q380" s="26" t="n"/>
      <c r="R380" s="26" t="n"/>
      <c r="S380" s="26" t="n"/>
      <c r="T380" s="26" t="n"/>
      <c r="V380" s="27">
        <f>IF(ISNUMBER($C380),COUNTIFS($A$14:$A$1213,$A380,$C$14:$C$1213,"&gt;"&amp;$C380)+(COUNTIFS($A$14:$A$1213,$A380,$C$14:$C$1213,"="&amp;$C380)+1)/2,"")</f>
        <v/>
      </c>
      <c r="W380" s="27">
        <f>IF(ISNUMBER($F380),COUNTIFS($A$14:$A$1213,$A380,$F$14:$F$1213,"&gt;"&amp;$F380)+(COUNTIFS($A$14:$A$1213,$A380,$F$14:$F$1213,"="&amp;$F380)+1)/2,"")</f>
        <v/>
      </c>
      <c r="X380" s="27">
        <f>IF(OR(NOT(ISNUMBER($V380)),$AO380=1),"",$V380-(COUNTIFS($A$14:$A$1213,$A380,$C$14:$C$1213,"&gt;=0")+1)/2)</f>
        <v/>
      </c>
      <c r="Y380" s="27">
        <f>IF(OR(NOT(ISNUMBER($W380)),$AO380=1),"",$W380-(COUNTIFS($A$14:$A$1213,$A380,$F$14:$F$1213,"&gt;=0")+1)/2)</f>
        <v/>
      </c>
      <c r="Z380" s="27">
        <f>IF(ISNUMBER($V380),$A380&amp;"|"&amp;$V380,"")</f>
        <v/>
      </c>
      <c r="AA380" s="27">
        <f>IF(ISNUMBER($W380),$A380&amp;"|"&amp;$W380,"")</f>
        <v/>
      </c>
      <c r="AB380" s="27">
        <f>IF(ISNUMBER($F380),$A380&amp;"|"&amp;$F380,"")</f>
        <v/>
      </c>
      <c r="AC380" s="27">
        <f>IF(ISNUMBER($P380),COUNTIFS($A$14:$A$1213,$A380,$P$14:$P$1213,"&gt;"&amp;$P380)+(COUNTIFS($A$14:$A$1213,$A380,$P$14:$P$1213,"="&amp;$P380)+1)/2,"")</f>
        <v/>
      </c>
      <c r="AD380" s="27">
        <f>IF(ISNUMBER($Q380),COUNTIFS($A$14:$A$1213,$A380,$Q$14:$Q$1213,"&gt;"&amp;$Q380)+(COUNTIFS($A$14:$A$1213,$A380,$Q$14:$Q$1213,"="&amp;$Q380)+1)/2,"")</f>
        <v/>
      </c>
      <c r="AE380" s="27">
        <f>IF(ISNUMBER($R380),COUNTIFS($A$14:$A$1213,$A380,$R$14:$R$1213,"&gt;"&amp;$R380)+(COUNTIFS($A$14:$A$1213,$A380,$R$14:$R$1213,"="&amp;$R380)+1)/2,"")</f>
        <v/>
      </c>
      <c r="AF380" s="27">
        <f>IF(ISNUMBER($S380),COUNTIFS($A$14:$A$1213,$A380,$S$14:$S$1213,"&gt;"&amp;$S380)+(COUNTIFS($A$14:$A$1213,$A380,$S$14:$S$1213,"="&amp;$S380)+1)/2,"")</f>
        <v/>
      </c>
      <c r="AG380" s="27">
        <f>IF(ISNUMBER($T380),COUNTIFS($A$14:$A$1213,$A380,$T$14:$T$1213,"&gt;"&amp;$T380)+(COUNTIFS($A$14:$A$1213,$A380,$T$14:$T$1213,"="&amp;$T380)+1)/2,"")</f>
        <v/>
      </c>
      <c r="AH380" s="27">
        <f>IF(COUNT($AC380:$AG380)&lt;2,"",IF(MAX($AC380:$AG380)=MIN($AC380:$AG380),0,1))</f>
        <v/>
      </c>
      <c r="AI380" s="27">
        <f>IF($A380="","",IF(COUNTIF($A$14:$A380,$A380)=1,COUNTIF($AI$13:AI379,"&gt;0")+1,""))</f>
        <v/>
      </c>
      <c r="AO380" s="27">
        <f>IF($A380="","",IF(AND(COUNTIFS($A$14:$A$1213,$A380,$F$14:$F$1213,"&gt;=0")=2,IFERROR(INDEX($M$14:$M$313,MATCH($A380,$H$14:$H$313,0)),"Yes")&lt;&gt;"Yes"),1,0))</f>
        <v/>
      </c>
    </row>
    <row r="381">
      <c r="A381" s="19" t="n"/>
      <c r="B381" s="20" t="n"/>
      <c r="C381" s="21">
        <f>IFERROR(AVERAGE(P381:T381),"")</f>
        <v/>
      </c>
      <c r="D381" s="29" t="n"/>
      <c r="E381" s="29" t="n"/>
      <c r="F381" s="30">
        <f>IF(AND(ISNUMBER($D381),ISNUMBER($E381),$E381&gt;0,$D381&lt;=$E381),$D381/$E381,"")</f>
        <v/>
      </c>
      <c r="P381" s="26" t="n"/>
      <c r="Q381" s="26" t="n"/>
      <c r="R381" s="26" t="n"/>
      <c r="S381" s="26" t="n"/>
      <c r="T381" s="26" t="n"/>
      <c r="V381" s="27">
        <f>IF(ISNUMBER($C381),COUNTIFS($A$14:$A$1213,$A381,$C$14:$C$1213,"&gt;"&amp;$C381)+(COUNTIFS($A$14:$A$1213,$A381,$C$14:$C$1213,"="&amp;$C381)+1)/2,"")</f>
        <v/>
      </c>
      <c r="W381" s="27">
        <f>IF(ISNUMBER($F381),COUNTIFS($A$14:$A$1213,$A381,$F$14:$F$1213,"&gt;"&amp;$F381)+(COUNTIFS($A$14:$A$1213,$A381,$F$14:$F$1213,"="&amp;$F381)+1)/2,"")</f>
        <v/>
      </c>
      <c r="X381" s="27">
        <f>IF(OR(NOT(ISNUMBER($V381)),$AO381=1),"",$V381-(COUNTIFS($A$14:$A$1213,$A381,$C$14:$C$1213,"&gt;=0")+1)/2)</f>
        <v/>
      </c>
      <c r="Y381" s="27">
        <f>IF(OR(NOT(ISNUMBER($W381)),$AO381=1),"",$W381-(COUNTIFS($A$14:$A$1213,$A381,$F$14:$F$1213,"&gt;=0")+1)/2)</f>
        <v/>
      </c>
      <c r="Z381" s="27">
        <f>IF(ISNUMBER($V381),$A381&amp;"|"&amp;$V381,"")</f>
        <v/>
      </c>
      <c r="AA381" s="27">
        <f>IF(ISNUMBER($W381),$A381&amp;"|"&amp;$W381,"")</f>
        <v/>
      </c>
      <c r="AB381" s="27">
        <f>IF(ISNUMBER($F381),$A381&amp;"|"&amp;$F381,"")</f>
        <v/>
      </c>
      <c r="AC381" s="27">
        <f>IF(ISNUMBER($P381),COUNTIFS($A$14:$A$1213,$A381,$P$14:$P$1213,"&gt;"&amp;$P381)+(COUNTIFS($A$14:$A$1213,$A381,$P$14:$P$1213,"="&amp;$P381)+1)/2,"")</f>
        <v/>
      </c>
      <c r="AD381" s="27">
        <f>IF(ISNUMBER($Q381),COUNTIFS($A$14:$A$1213,$A381,$Q$14:$Q$1213,"&gt;"&amp;$Q381)+(COUNTIFS($A$14:$A$1213,$A381,$Q$14:$Q$1213,"="&amp;$Q381)+1)/2,"")</f>
        <v/>
      </c>
      <c r="AE381" s="27">
        <f>IF(ISNUMBER($R381),COUNTIFS($A$14:$A$1213,$A381,$R$14:$R$1213,"&gt;"&amp;$R381)+(COUNTIFS($A$14:$A$1213,$A381,$R$14:$R$1213,"="&amp;$R381)+1)/2,"")</f>
        <v/>
      </c>
      <c r="AF381" s="27">
        <f>IF(ISNUMBER($S381),COUNTIFS($A$14:$A$1213,$A381,$S$14:$S$1213,"&gt;"&amp;$S381)+(COUNTIFS($A$14:$A$1213,$A381,$S$14:$S$1213,"="&amp;$S381)+1)/2,"")</f>
        <v/>
      </c>
      <c r="AG381" s="27">
        <f>IF(ISNUMBER($T381),COUNTIFS($A$14:$A$1213,$A381,$T$14:$T$1213,"&gt;"&amp;$T381)+(COUNTIFS($A$14:$A$1213,$A381,$T$14:$T$1213,"="&amp;$T381)+1)/2,"")</f>
        <v/>
      </c>
      <c r="AH381" s="27">
        <f>IF(COUNT($AC381:$AG381)&lt;2,"",IF(MAX($AC381:$AG381)=MIN($AC381:$AG381),0,1))</f>
        <v/>
      </c>
      <c r="AI381" s="27">
        <f>IF($A381="","",IF(COUNTIF($A$14:$A381,$A381)=1,COUNTIF($AI$13:AI380,"&gt;0")+1,""))</f>
        <v/>
      </c>
      <c r="AO381" s="27">
        <f>IF($A381="","",IF(AND(COUNTIFS($A$14:$A$1213,$A381,$F$14:$F$1213,"&gt;=0")=2,IFERROR(INDEX($M$14:$M$313,MATCH($A381,$H$14:$H$313,0)),"Yes")&lt;&gt;"Yes"),1,0))</f>
        <v/>
      </c>
    </row>
    <row r="382">
      <c r="A382" s="19" t="n"/>
      <c r="B382" s="20" t="n"/>
      <c r="C382" s="21">
        <f>IFERROR(AVERAGE(P382:T382),"")</f>
        <v/>
      </c>
      <c r="D382" s="29" t="n"/>
      <c r="E382" s="29" t="n"/>
      <c r="F382" s="30">
        <f>IF(AND(ISNUMBER($D382),ISNUMBER($E382),$E382&gt;0,$D382&lt;=$E382),$D382/$E382,"")</f>
        <v/>
      </c>
      <c r="P382" s="26" t="n"/>
      <c r="Q382" s="26" t="n"/>
      <c r="R382" s="26" t="n"/>
      <c r="S382" s="26" t="n"/>
      <c r="T382" s="26" t="n"/>
      <c r="V382" s="27">
        <f>IF(ISNUMBER($C382),COUNTIFS($A$14:$A$1213,$A382,$C$14:$C$1213,"&gt;"&amp;$C382)+(COUNTIFS($A$14:$A$1213,$A382,$C$14:$C$1213,"="&amp;$C382)+1)/2,"")</f>
        <v/>
      </c>
      <c r="W382" s="27">
        <f>IF(ISNUMBER($F382),COUNTIFS($A$14:$A$1213,$A382,$F$14:$F$1213,"&gt;"&amp;$F382)+(COUNTIFS($A$14:$A$1213,$A382,$F$14:$F$1213,"="&amp;$F382)+1)/2,"")</f>
        <v/>
      </c>
      <c r="X382" s="27">
        <f>IF(OR(NOT(ISNUMBER($V382)),$AO382=1),"",$V382-(COUNTIFS($A$14:$A$1213,$A382,$C$14:$C$1213,"&gt;=0")+1)/2)</f>
        <v/>
      </c>
      <c r="Y382" s="27">
        <f>IF(OR(NOT(ISNUMBER($W382)),$AO382=1),"",$W382-(COUNTIFS($A$14:$A$1213,$A382,$F$14:$F$1213,"&gt;=0")+1)/2)</f>
        <v/>
      </c>
      <c r="Z382" s="27">
        <f>IF(ISNUMBER($V382),$A382&amp;"|"&amp;$V382,"")</f>
        <v/>
      </c>
      <c r="AA382" s="27">
        <f>IF(ISNUMBER($W382),$A382&amp;"|"&amp;$W382,"")</f>
        <v/>
      </c>
      <c r="AB382" s="27">
        <f>IF(ISNUMBER($F382),$A382&amp;"|"&amp;$F382,"")</f>
        <v/>
      </c>
      <c r="AC382" s="27">
        <f>IF(ISNUMBER($P382),COUNTIFS($A$14:$A$1213,$A382,$P$14:$P$1213,"&gt;"&amp;$P382)+(COUNTIFS($A$14:$A$1213,$A382,$P$14:$P$1213,"="&amp;$P382)+1)/2,"")</f>
        <v/>
      </c>
      <c r="AD382" s="27">
        <f>IF(ISNUMBER($Q382),COUNTIFS($A$14:$A$1213,$A382,$Q$14:$Q$1213,"&gt;"&amp;$Q382)+(COUNTIFS($A$14:$A$1213,$A382,$Q$14:$Q$1213,"="&amp;$Q382)+1)/2,"")</f>
        <v/>
      </c>
      <c r="AE382" s="27">
        <f>IF(ISNUMBER($R382),COUNTIFS($A$14:$A$1213,$A382,$R$14:$R$1213,"&gt;"&amp;$R382)+(COUNTIFS($A$14:$A$1213,$A382,$R$14:$R$1213,"="&amp;$R382)+1)/2,"")</f>
        <v/>
      </c>
      <c r="AF382" s="27">
        <f>IF(ISNUMBER($S382),COUNTIFS($A$14:$A$1213,$A382,$S$14:$S$1213,"&gt;"&amp;$S382)+(COUNTIFS($A$14:$A$1213,$A382,$S$14:$S$1213,"="&amp;$S382)+1)/2,"")</f>
        <v/>
      </c>
      <c r="AG382" s="27">
        <f>IF(ISNUMBER($T382),COUNTIFS($A$14:$A$1213,$A382,$T$14:$T$1213,"&gt;"&amp;$T382)+(COUNTIFS($A$14:$A$1213,$A382,$T$14:$T$1213,"="&amp;$T382)+1)/2,"")</f>
        <v/>
      </c>
      <c r="AH382" s="27">
        <f>IF(COUNT($AC382:$AG382)&lt;2,"",IF(MAX($AC382:$AG382)=MIN($AC382:$AG382),0,1))</f>
        <v/>
      </c>
      <c r="AI382" s="27">
        <f>IF($A382="","",IF(COUNTIF($A$14:$A382,$A382)=1,COUNTIF($AI$13:AI381,"&gt;0")+1,""))</f>
        <v/>
      </c>
      <c r="AO382" s="27">
        <f>IF($A382="","",IF(AND(COUNTIFS($A$14:$A$1213,$A382,$F$14:$F$1213,"&gt;=0")=2,IFERROR(INDEX($M$14:$M$313,MATCH($A382,$H$14:$H$313,0)),"Yes")&lt;&gt;"Yes"),1,0))</f>
        <v/>
      </c>
    </row>
    <row r="383">
      <c r="A383" s="19" t="n"/>
      <c r="B383" s="20" t="n"/>
      <c r="C383" s="21">
        <f>IFERROR(AVERAGE(P383:T383),"")</f>
        <v/>
      </c>
      <c r="D383" s="29" t="n"/>
      <c r="E383" s="29" t="n"/>
      <c r="F383" s="30">
        <f>IF(AND(ISNUMBER($D383),ISNUMBER($E383),$E383&gt;0,$D383&lt;=$E383),$D383/$E383,"")</f>
        <v/>
      </c>
      <c r="P383" s="26" t="n"/>
      <c r="Q383" s="26" t="n"/>
      <c r="R383" s="26" t="n"/>
      <c r="S383" s="26" t="n"/>
      <c r="T383" s="26" t="n"/>
      <c r="V383" s="27">
        <f>IF(ISNUMBER($C383),COUNTIFS($A$14:$A$1213,$A383,$C$14:$C$1213,"&gt;"&amp;$C383)+(COUNTIFS($A$14:$A$1213,$A383,$C$14:$C$1213,"="&amp;$C383)+1)/2,"")</f>
        <v/>
      </c>
      <c r="W383" s="27">
        <f>IF(ISNUMBER($F383),COUNTIFS($A$14:$A$1213,$A383,$F$14:$F$1213,"&gt;"&amp;$F383)+(COUNTIFS($A$14:$A$1213,$A383,$F$14:$F$1213,"="&amp;$F383)+1)/2,"")</f>
        <v/>
      </c>
      <c r="X383" s="27">
        <f>IF(OR(NOT(ISNUMBER($V383)),$AO383=1),"",$V383-(COUNTIFS($A$14:$A$1213,$A383,$C$14:$C$1213,"&gt;=0")+1)/2)</f>
        <v/>
      </c>
      <c r="Y383" s="27">
        <f>IF(OR(NOT(ISNUMBER($W383)),$AO383=1),"",$W383-(COUNTIFS($A$14:$A$1213,$A383,$F$14:$F$1213,"&gt;=0")+1)/2)</f>
        <v/>
      </c>
      <c r="Z383" s="27">
        <f>IF(ISNUMBER($V383),$A383&amp;"|"&amp;$V383,"")</f>
        <v/>
      </c>
      <c r="AA383" s="27">
        <f>IF(ISNUMBER($W383),$A383&amp;"|"&amp;$W383,"")</f>
        <v/>
      </c>
      <c r="AB383" s="27">
        <f>IF(ISNUMBER($F383),$A383&amp;"|"&amp;$F383,"")</f>
        <v/>
      </c>
      <c r="AC383" s="27">
        <f>IF(ISNUMBER($P383),COUNTIFS($A$14:$A$1213,$A383,$P$14:$P$1213,"&gt;"&amp;$P383)+(COUNTIFS($A$14:$A$1213,$A383,$P$14:$P$1213,"="&amp;$P383)+1)/2,"")</f>
        <v/>
      </c>
      <c r="AD383" s="27">
        <f>IF(ISNUMBER($Q383),COUNTIFS($A$14:$A$1213,$A383,$Q$14:$Q$1213,"&gt;"&amp;$Q383)+(COUNTIFS($A$14:$A$1213,$A383,$Q$14:$Q$1213,"="&amp;$Q383)+1)/2,"")</f>
        <v/>
      </c>
      <c r="AE383" s="27">
        <f>IF(ISNUMBER($R383),COUNTIFS($A$14:$A$1213,$A383,$R$14:$R$1213,"&gt;"&amp;$R383)+(COUNTIFS($A$14:$A$1213,$A383,$R$14:$R$1213,"="&amp;$R383)+1)/2,"")</f>
        <v/>
      </c>
      <c r="AF383" s="27">
        <f>IF(ISNUMBER($S383),COUNTIFS($A$14:$A$1213,$A383,$S$14:$S$1213,"&gt;"&amp;$S383)+(COUNTIFS($A$14:$A$1213,$A383,$S$14:$S$1213,"="&amp;$S383)+1)/2,"")</f>
        <v/>
      </c>
      <c r="AG383" s="27">
        <f>IF(ISNUMBER($T383),COUNTIFS($A$14:$A$1213,$A383,$T$14:$T$1213,"&gt;"&amp;$T383)+(COUNTIFS($A$14:$A$1213,$A383,$T$14:$T$1213,"="&amp;$T383)+1)/2,"")</f>
        <v/>
      </c>
      <c r="AH383" s="27">
        <f>IF(COUNT($AC383:$AG383)&lt;2,"",IF(MAX($AC383:$AG383)=MIN($AC383:$AG383),0,1))</f>
        <v/>
      </c>
      <c r="AI383" s="27">
        <f>IF($A383="","",IF(COUNTIF($A$14:$A383,$A383)=1,COUNTIF($AI$13:AI382,"&gt;0")+1,""))</f>
        <v/>
      </c>
      <c r="AO383" s="27">
        <f>IF($A383="","",IF(AND(COUNTIFS($A$14:$A$1213,$A383,$F$14:$F$1213,"&gt;=0")=2,IFERROR(INDEX($M$14:$M$313,MATCH($A383,$H$14:$H$313,0)),"Yes")&lt;&gt;"Yes"),1,0))</f>
        <v/>
      </c>
    </row>
    <row r="384">
      <c r="A384" s="19" t="n"/>
      <c r="B384" s="20" t="n"/>
      <c r="C384" s="21">
        <f>IFERROR(AVERAGE(P384:T384),"")</f>
        <v/>
      </c>
      <c r="D384" s="29" t="n"/>
      <c r="E384" s="29" t="n"/>
      <c r="F384" s="30">
        <f>IF(AND(ISNUMBER($D384),ISNUMBER($E384),$E384&gt;0,$D384&lt;=$E384),$D384/$E384,"")</f>
        <v/>
      </c>
      <c r="P384" s="26" t="n"/>
      <c r="Q384" s="26" t="n"/>
      <c r="R384" s="26" t="n"/>
      <c r="S384" s="26" t="n"/>
      <c r="T384" s="26" t="n"/>
      <c r="V384" s="27">
        <f>IF(ISNUMBER($C384),COUNTIFS($A$14:$A$1213,$A384,$C$14:$C$1213,"&gt;"&amp;$C384)+(COUNTIFS($A$14:$A$1213,$A384,$C$14:$C$1213,"="&amp;$C384)+1)/2,"")</f>
        <v/>
      </c>
      <c r="W384" s="27">
        <f>IF(ISNUMBER($F384),COUNTIFS($A$14:$A$1213,$A384,$F$14:$F$1213,"&gt;"&amp;$F384)+(COUNTIFS($A$14:$A$1213,$A384,$F$14:$F$1213,"="&amp;$F384)+1)/2,"")</f>
        <v/>
      </c>
      <c r="X384" s="27">
        <f>IF(OR(NOT(ISNUMBER($V384)),$AO384=1),"",$V384-(COUNTIFS($A$14:$A$1213,$A384,$C$14:$C$1213,"&gt;=0")+1)/2)</f>
        <v/>
      </c>
      <c r="Y384" s="27">
        <f>IF(OR(NOT(ISNUMBER($W384)),$AO384=1),"",$W384-(COUNTIFS($A$14:$A$1213,$A384,$F$14:$F$1213,"&gt;=0")+1)/2)</f>
        <v/>
      </c>
      <c r="Z384" s="27">
        <f>IF(ISNUMBER($V384),$A384&amp;"|"&amp;$V384,"")</f>
        <v/>
      </c>
      <c r="AA384" s="27">
        <f>IF(ISNUMBER($W384),$A384&amp;"|"&amp;$W384,"")</f>
        <v/>
      </c>
      <c r="AB384" s="27">
        <f>IF(ISNUMBER($F384),$A384&amp;"|"&amp;$F384,"")</f>
        <v/>
      </c>
      <c r="AC384" s="27">
        <f>IF(ISNUMBER($P384),COUNTIFS($A$14:$A$1213,$A384,$P$14:$P$1213,"&gt;"&amp;$P384)+(COUNTIFS($A$14:$A$1213,$A384,$P$14:$P$1213,"="&amp;$P384)+1)/2,"")</f>
        <v/>
      </c>
      <c r="AD384" s="27">
        <f>IF(ISNUMBER($Q384),COUNTIFS($A$14:$A$1213,$A384,$Q$14:$Q$1213,"&gt;"&amp;$Q384)+(COUNTIFS($A$14:$A$1213,$A384,$Q$14:$Q$1213,"="&amp;$Q384)+1)/2,"")</f>
        <v/>
      </c>
      <c r="AE384" s="27">
        <f>IF(ISNUMBER($R384),COUNTIFS($A$14:$A$1213,$A384,$R$14:$R$1213,"&gt;"&amp;$R384)+(COUNTIFS($A$14:$A$1213,$A384,$R$14:$R$1213,"="&amp;$R384)+1)/2,"")</f>
        <v/>
      </c>
      <c r="AF384" s="27">
        <f>IF(ISNUMBER($S384),COUNTIFS($A$14:$A$1213,$A384,$S$14:$S$1213,"&gt;"&amp;$S384)+(COUNTIFS($A$14:$A$1213,$A384,$S$14:$S$1213,"="&amp;$S384)+1)/2,"")</f>
        <v/>
      </c>
      <c r="AG384" s="27">
        <f>IF(ISNUMBER($T384),COUNTIFS($A$14:$A$1213,$A384,$T$14:$T$1213,"&gt;"&amp;$T384)+(COUNTIFS($A$14:$A$1213,$A384,$T$14:$T$1213,"="&amp;$T384)+1)/2,"")</f>
        <v/>
      </c>
      <c r="AH384" s="27">
        <f>IF(COUNT($AC384:$AG384)&lt;2,"",IF(MAX($AC384:$AG384)=MIN($AC384:$AG384),0,1))</f>
        <v/>
      </c>
      <c r="AI384" s="27">
        <f>IF($A384="","",IF(COUNTIF($A$14:$A384,$A384)=1,COUNTIF($AI$13:AI383,"&gt;0")+1,""))</f>
        <v/>
      </c>
      <c r="AO384" s="27">
        <f>IF($A384="","",IF(AND(COUNTIFS($A$14:$A$1213,$A384,$F$14:$F$1213,"&gt;=0")=2,IFERROR(INDEX($M$14:$M$313,MATCH($A384,$H$14:$H$313,0)),"Yes")&lt;&gt;"Yes"),1,0))</f>
        <v/>
      </c>
    </row>
    <row r="385">
      <c r="A385" s="19" t="n"/>
      <c r="B385" s="20" t="n"/>
      <c r="C385" s="21">
        <f>IFERROR(AVERAGE(P385:T385),"")</f>
        <v/>
      </c>
      <c r="D385" s="29" t="n"/>
      <c r="E385" s="29" t="n"/>
      <c r="F385" s="30">
        <f>IF(AND(ISNUMBER($D385),ISNUMBER($E385),$E385&gt;0,$D385&lt;=$E385),$D385/$E385,"")</f>
        <v/>
      </c>
      <c r="P385" s="26" t="n"/>
      <c r="Q385" s="26" t="n"/>
      <c r="R385" s="26" t="n"/>
      <c r="S385" s="26" t="n"/>
      <c r="T385" s="26" t="n"/>
      <c r="V385" s="27">
        <f>IF(ISNUMBER($C385),COUNTIFS($A$14:$A$1213,$A385,$C$14:$C$1213,"&gt;"&amp;$C385)+(COUNTIFS($A$14:$A$1213,$A385,$C$14:$C$1213,"="&amp;$C385)+1)/2,"")</f>
        <v/>
      </c>
      <c r="W385" s="27">
        <f>IF(ISNUMBER($F385),COUNTIFS($A$14:$A$1213,$A385,$F$14:$F$1213,"&gt;"&amp;$F385)+(COUNTIFS($A$14:$A$1213,$A385,$F$14:$F$1213,"="&amp;$F385)+1)/2,"")</f>
        <v/>
      </c>
      <c r="X385" s="27">
        <f>IF(OR(NOT(ISNUMBER($V385)),$AO385=1),"",$V385-(COUNTIFS($A$14:$A$1213,$A385,$C$14:$C$1213,"&gt;=0")+1)/2)</f>
        <v/>
      </c>
      <c r="Y385" s="27">
        <f>IF(OR(NOT(ISNUMBER($W385)),$AO385=1),"",$W385-(COUNTIFS($A$14:$A$1213,$A385,$F$14:$F$1213,"&gt;=0")+1)/2)</f>
        <v/>
      </c>
      <c r="Z385" s="27">
        <f>IF(ISNUMBER($V385),$A385&amp;"|"&amp;$V385,"")</f>
        <v/>
      </c>
      <c r="AA385" s="27">
        <f>IF(ISNUMBER($W385),$A385&amp;"|"&amp;$W385,"")</f>
        <v/>
      </c>
      <c r="AB385" s="27">
        <f>IF(ISNUMBER($F385),$A385&amp;"|"&amp;$F385,"")</f>
        <v/>
      </c>
      <c r="AC385" s="27">
        <f>IF(ISNUMBER($P385),COUNTIFS($A$14:$A$1213,$A385,$P$14:$P$1213,"&gt;"&amp;$P385)+(COUNTIFS($A$14:$A$1213,$A385,$P$14:$P$1213,"="&amp;$P385)+1)/2,"")</f>
        <v/>
      </c>
      <c r="AD385" s="27">
        <f>IF(ISNUMBER($Q385),COUNTIFS($A$14:$A$1213,$A385,$Q$14:$Q$1213,"&gt;"&amp;$Q385)+(COUNTIFS($A$14:$A$1213,$A385,$Q$14:$Q$1213,"="&amp;$Q385)+1)/2,"")</f>
        <v/>
      </c>
      <c r="AE385" s="27">
        <f>IF(ISNUMBER($R385),COUNTIFS($A$14:$A$1213,$A385,$R$14:$R$1213,"&gt;"&amp;$R385)+(COUNTIFS($A$14:$A$1213,$A385,$R$14:$R$1213,"="&amp;$R385)+1)/2,"")</f>
        <v/>
      </c>
      <c r="AF385" s="27">
        <f>IF(ISNUMBER($S385),COUNTIFS($A$14:$A$1213,$A385,$S$14:$S$1213,"&gt;"&amp;$S385)+(COUNTIFS($A$14:$A$1213,$A385,$S$14:$S$1213,"="&amp;$S385)+1)/2,"")</f>
        <v/>
      </c>
      <c r="AG385" s="27">
        <f>IF(ISNUMBER($T385),COUNTIFS($A$14:$A$1213,$A385,$T$14:$T$1213,"&gt;"&amp;$T385)+(COUNTIFS($A$14:$A$1213,$A385,$T$14:$T$1213,"="&amp;$T385)+1)/2,"")</f>
        <v/>
      </c>
      <c r="AH385" s="27">
        <f>IF(COUNT($AC385:$AG385)&lt;2,"",IF(MAX($AC385:$AG385)=MIN($AC385:$AG385),0,1))</f>
        <v/>
      </c>
      <c r="AI385" s="27">
        <f>IF($A385="","",IF(COUNTIF($A$14:$A385,$A385)=1,COUNTIF($AI$13:AI384,"&gt;0")+1,""))</f>
        <v/>
      </c>
      <c r="AO385" s="27">
        <f>IF($A385="","",IF(AND(COUNTIFS($A$14:$A$1213,$A385,$F$14:$F$1213,"&gt;=0")=2,IFERROR(INDEX($M$14:$M$313,MATCH($A385,$H$14:$H$313,0)),"Yes")&lt;&gt;"Yes"),1,0))</f>
        <v/>
      </c>
    </row>
    <row r="386">
      <c r="A386" s="19" t="n"/>
      <c r="B386" s="20" t="n"/>
      <c r="C386" s="21">
        <f>IFERROR(AVERAGE(P386:T386),"")</f>
        <v/>
      </c>
      <c r="D386" s="29" t="n"/>
      <c r="E386" s="29" t="n"/>
      <c r="F386" s="30">
        <f>IF(AND(ISNUMBER($D386),ISNUMBER($E386),$E386&gt;0,$D386&lt;=$E386),$D386/$E386,"")</f>
        <v/>
      </c>
      <c r="P386" s="26" t="n"/>
      <c r="Q386" s="26" t="n"/>
      <c r="R386" s="26" t="n"/>
      <c r="S386" s="26" t="n"/>
      <c r="T386" s="26" t="n"/>
      <c r="V386" s="27">
        <f>IF(ISNUMBER($C386),COUNTIFS($A$14:$A$1213,$A386,$C$14:$C$1213,"&gt;"&amp;$C386)+(COUNTIFS($A$14:$A$1213,$A386,$C$14:$C$1213,"="&amp;$C386)+1)/2,"")</f>
        <v/>
      </c>
      <c r="W386" s="27">
        <f>IF(ISNUMBER($F386),COUNTIFS($A$14:$A$1213,$A386,$F$14:$F$1213,"&gt;"&amp;$F386)+(COUNTIFS($A$14:$A$1213,$A386,$F$14:$F$1213,"="&amp;$F386)+1)/2,"")</f>
        <v/>
      </c>
      <c r="X386" s="27">
        <f>IF(OR(NOT(ISNUMBER($V386)),$AO386=1),"",$V386-(COUNTIFS($A$14:$A$1213,$A386,$C$14:$C$1213,"&gt;=0")+1)/2)</f>
        <v/>
      </c>
      <c r="Y386" s="27">
        <f>IF(OR(NOT(ISNUMBER($W386)),$AO386=1),"",$W386-(COUNTIFS($A$14:$A$1213,$A386,$F$14:$F$1213,"&gt;=0")+1)/2)</f>
        <v/>
      </c>
      <c r="Z386" s="27">
        <f>IF(ISNUMBER($V386),$A386&amp;"|"&amp;$V386,"")</f>
        <v/>
      </c>
      <c r="AA386" s="27">
        <f>IF(ISNUMBER($W386),$A386&amp;"|"&amp;$W386,"")</f>
        <v/>
      </c>
      <c r="AB386" s="27">
        <f>IF(ISNUMBER($F386),$A386&amp;"|"&amp;$F386,"")</f>
        <v/>
      </c>
      <c r="AC386" s="27">
        <f>IF(ISNUMBER($P386),COUNTIFS($A$14:$A$1213,$A386,$P$14:$P$1213,"&gt;"&amp;$P386)+(COUNTIFS($A$14:$A$1213,$A386,$P$14:$P$1213,"="&amp;$P386)+1)/2,"")</f>
        <v/>
      </c>
      <c r="AD386" s="27">
        <f>IF(ISNUMBER($Q386),COUNTIFS($A$14:$A$1213,$A386,$Q$14:$Q$1213,"&gt;"&amp;$Q386)+(COUNTIFS($A$14:$A$1213,$A386,$Q$14:$Q$1213,"="&amp;$Q386)+1)/2,"")</f>
        <v/>
      </c>
      <c r="AE386" s="27">
        <f>IF(ISNUMBER($R386),COUNTIFS($A$14:$A$1213,$A386,$R$14:$R$1213,"&gt;"&amp;$R386)+(COUNTIFS($A$14:$A$1213,$A386,$R$14:$R$1213,"="&amp;$R386)+1)/2,"")</f>
        <v/>
      </c>
      <c r="AF386" s="27">
        <f>IF(ISNUMBER($S386),COUNTIFS($A$14:$A$1213,$A386,$S$14:$S$1213,"&gt;"&amp;$S386)+(COUNTIFS($A$14:$A$1213,$A386,$S$14:$S$1213,"="&amp;$S386)+1)/2,"")</f>
        <v/>
      </c>
      <c r="AG386" s="27">
        <f>IF(ISNUMBER($T386),COUNTIFS($A$14:$A$1213,$A386,$T$14:$T$1213,"&gt;"&amp;$T386)+(COUNTIFS($A$14:$A$1213,$A386,$T$14:$T$1213,"="&amp;$T386)+1)/2,"")</f>
        <v/>
      </c>
      <c r="AH386" s="27">
        <f>IF(COUNT($AC386:$AG386)&lt;2,"",IF(MAX($AC386:$AG386)=MIN($AC386:$AG386),0,1))</f>
        <v/>
      </c>
      <c r="AI386" s="27">
        <f>IF($A386="","",IF(COUNTIF($A$14:$A386,$A386)=1,COUNTIF($AI$13:AI385,"&gt;0")+1,""))</f>
        <v/>
      </c>
      <c r="AO386" s="27">
        <f>IF($A386="","",IF(AND(COUNTIFS($A$14:$A$1213,$A386,$F$14:$F$1213,"&gt;=0")=2,IFERROR(INDEX($M$14:$M$313,MATCH($A386,$H$14:$H$313,0)),"Yes")&lt;&gt;"Yes"),1,0))</f>
        <v/>
      </c>
    </row>
    <row r="387">
      <c r="A387" s="19" t="n"/>
      <c r="B387" s="20" t="n"/>
      <c r="C387" s="21">
        <f>IFERROR(AVERAGE(P387:T387),"")</f>
        <v/>
      </c>
      <c r="D387" s="29" t="n"/>
      <c r="E387" s="29" t="n"/>
      <c r="F387" s="30">
        <f>IF(AND(ISNUMBER($D387),ISNUMBER($E387),$E387&gt;0,$D387&lt;=$E387),$D387/$E387,"")</f>
        <v/>
      </c>
      <c r="P387" s="26" t="n"/>
      <c r="Q387" s="26" t="n"/>
      <c r="R387" s="26" t="n"/>
      <c r="S387" s="26" t="n"/>
      <c r="T387" s="26" t="n"/>
      <c r="V387" s="27">
        <f>IF(ISNUMBER($C387),COUNTIFS($A$14:$A$1213,$A387,$C$14:$C$1213,"&gt;"&amp;$C387)+(COUNTIFS($A$14:$A$1213,$A387,$C$14:$C$1213,"="&amp;$C387)+1)/2,"")</f>
        <v/>
      </c>
      <c r="W387" s="27">
        <f>IF(ISNUMBER($F387),COUNTIFS($A$14:$A$1213,$A387,$F$14:$F$1213,"&gt;"&amp;$F387)+(COUNTIFS($A$14:$A$1213,$A387,$F$14:$F$1213,"="&amp;$F387)+1)/2,"")</f>
        <v/>
      </c>
      <c r="X387" s="27">
        <f>IF(OR(NOT(ISNUMBER($V387)),$AO387=1),"",$V387-(COUNTIFS($A$14:$A$1213,$A387,$C$14:$C$1213,"&gt;=0")+1)/2)</f>
        <v/>
      </c>
      <c r="Y387" s="27">
        <f>IF(OR(NOT(ISNUMBER($W387)),$AO387=1),"",$W387-(COUNTIFS($A$14:$A$1213,$A387,$F$14:$F$1213,"&gt;=0")+1)/2)</f>
        <v/>
      </c>
      <c r="Z387" s="27">
        <f>IF(ISNUMBER($V387),$A387&amp;"|"&amp;$V387,"")</f>
        <v/>
      </c>
      <c r="AA387" s="27">
        <f>IF(ISNUMBER($W387),$A387&amp;"|"&amp;$W387,"")</f>
        <v/>
      </c>
      <c r="AB387" s="27">
        <f>IF(ISNUMBER($F387),$A387&amp;"|"&amp;$F387,"")</f>
        <v/>
      </c>
      <c r="AC387" s="27">
        <f>IF(ISNUMBER($P387),COUNTIFS($A$14:$A$1213,$A387,$P$14:$P$1213,"&gt;"&amp;$P387)+(COUNTIFS($A$14:$A$1213,$A387,$P$14:$P$1213,"="&amp;$P387)+1)/2,"")</f>
        <v/>
      </c>
      <c r="AD387" s="27">
        <f>IF(ISNUMBER($Q387),COUNTIFS($A$14:$A$1213,$A387,$Q$14:$Q$1213,"&gt;"&amp;$Q387)+(COUNTIFS($A$14:$A$1213,$A387,$Q$14:$Q$1213,"="&amp;$Q387)+1)/2,"")</f>
        <v/>
      </c>
      <c r="AE387" s="27">
        <f>IF(ISNUMBER($R387),COUNTIFS($A$14:$A$1213,$A387,$R$14:$R$1213,"&gt;"&amp;$R387)+(COUNTIFS($A$14:$A$1213,$A387,$R$14:$R$1213,"="&amp;$R387)+1)/2,"")</f>
        <v/>
      </c>
      <c r="AF387" s="27">
        <f>IF(ISNUMBER($S387),COUNTIFS($A$14:$A$1213,$A387,$S$14:$S$1213,"&gt;"&amp;$S387)+(COUNTIFS($A$14:$A$1213,$A387,$S$14:$S$1213,"="&amp;$S387)+1)/2,"")</f>
        <v/>
      </c>
      <c r="AG387" s="27">
        <f>IF(ISNUMBER($T387),COUNTIFS($A$14:$A$1213,$A387,$T$14:$T$1213,"&gt;"&amp;$T387)+(COUNTIFS($A$14:$A$1213,$A387,$T$14:$T$1213,"="&amp;$T387)+1)/2,"")</f>
        <v/>
      </c>
      <c r="AH387" s="27">
        <f>IF(COUNT($AC387:$AG387)&lt;2,"",IF(MAX($AC387:$AG387)=MIN($AC387:$AG387),0,1))</f>
        <v/>
      </c>
      <c r="AI387" s="27">
        <f>IF($A387="","",IF(COUNTIF($A$14:$A387,$A387)=1,COUNTIF($AI$13:AI386,"&gt;0")+1,""))</f>
        <v/>
      </c>
      <c r="AO387" s="27">
        <f>IF($A387="","",IF(AND(COUNTIFS($A$14:$A$1213,$A387,$F$14:$F$1213,"&gt;=0")=2,IFERROR(INDEX($M$14:$M$313,MATCH($A387,$H$14:$H$313,0)),"Yes")&lt;&gt;"Yes"),1,0))</f>
        <v/>
      </c>
    </row>
    <row r="388">
      <c r="A388" s="19" t="n"/>
      <c r="B388" s="20" t="n"/>
      <c r="C388" s="21">
        <f>IFERROR(AVERAGE(P388:T388),"")</f>
        <v/>
      </c>
      <c r="D388" s="29" t="n"/>
      <c r="E388" s="29" t="n"/>
      <c r="F388" s="30">
        <f>IF(AND(ISNUMBER($D388),ISNUMBER($E388),$E388&gt;0,$D388&lt;=$E388),$D388/$E388,"")</f>
        <v/>
      </c>
      <c r="P388" s="26" t="n"/>
      <c r="Q388" s="26" t="n"/>
      <c r="R388" s="26" t="n"/>
      <c r="S388" s="26" t="n"/>
      <c r="T388" s="26" t="n"/>
      <c r="V388" s="27">
        <f>IF(ISNUMBER($C388),COUNTIFS($A$14:$A$1213,$A388,$C$14:$C$1213,"&gt;"&amp;$C388)+(COUNTIFS($A$14:$A$1213,$A388,$C$14:$C$1213,"="&amp;$C388)+1)/2,"")</f>
        <v/>
      </c>
      <c r="W388" s="27">
        <f>IF(ISNUMBER($F388),COUNTIFS($A$14:$A$1213,$A388,$F$14:$F$1213,"&gt;"&amp;$F388)+(COUNTIFS($A$14:$A$1213,$A388,$F$14:$F$1213,"="&amp;$F388)+1)/2,"")</f>
        <v/>
      </c>
      <c r="X388" s="27">
        <f>IF(OR(NOT(ISNUMBER($V388)),$AO388=1),"",$V388-(COUNTIFS($A$14:$A$1213,$A388,$C$14:$C$1213,"&gt;=0")+1)/2)</f>
        <v/>
      </c>
      <c r="Y388" s="27">
        <f>IF(OR(NOT(ISNUMBER($W388)),$AO388=1),"",$W388-(COUNTIFS($A$14:$A$1213,$A388,$F$14:$F$1213,"&gt;=0")+1)/2)</f>
        <v/>
      </c>
      <c r="Z388" s="27">
        <f>IF(ISNUMBER($V388),$A388&amp;"|"&amp;$V388,"")</f>
        <v/>
      </c>
      <c r="AA388" s="27">
        <f>IF(ISNUMBER($W388),$A388&amp;"|"&amp;$W388,"")</f>
        <v/>
      </c>
      <c r="AB388" s="27">
        <f>IF(ISNUMBER($F388),$A388&amp;"|"&amp;$F388,"")</f>
        <v/>
      </c>
      <c r="AC388" s="27">
        <f>IF(ISNUMBER($P388),COUNTIFS($A$14:$A$1213,$A388,$P$14:$P$1213,"&gt;"&amp;$P388)+(COUNTIFS($A$14:$A$1213,$A388,$P$14:$P$1213,"="&amp;$P388)+1)/2,"")</f>
        <v/>
      </c>
      <c r="AD388" s="27">
        <f>IF(ISNUMBER($Q388),COUNTIFS($A$14:$A$1213,$A388,$Q$14:$Q$1213,"&gt;"&amp;$Q388)+(COUNTIFS($A$14:$A$1213,$A388,$Q$14:$Q$1213,"="&amp;$Q388)+1)/2,"")</f>
        <v/>
      </c>
      <c r="AE388" s="27">
        <f>IF(ISNUMBER($R388),COUNTIFS($A$14:$A$1213,$A388,$R$14:$R$1213,"&gt;"&amp;$R388)+(COUNTIFS($A$14:$A$1213,$A388,$R$14:$R$1213,"="&amp;$R388)+1)/2,"")</f>
        <v/>
      </c>
      <c r="AF388" s="27">
        <f>IF(ISNUMBER($S388),COUNTIFS($A$14:$A$1213,$A388,$S$14:$S$1213,"&gt;"&amp;$S388)+(COUNTIFS($A$14:$A$1213,$A388,$S$14:$S$1213,"="&amp;$S388)+1)/2,"")</f>
        <v/>
      </c>
      <c r="AG388" s="27">
        <f>IF(ISNUMBER($T388),COUNTIFS($A$14:$A$1213,$A388,$T$14:$T$1213,"&gt;"&amp;$T388)+(COUNTIFS($A$14:$A$1213,$A388,$T$14:$T$1213,"="&amp;$T388)+1)/2,"")</f>
        <v/>
      </c>
      <c r="AH388" s="27">
        <f>IF(COUNT($AC388:$AG388)&lt;2,"",IF(MAX($AC388:$AG388)=MIN($AC388:$AG388),0,1))</f>
        <v/>
      </c>
      <c r="AI388" s="27">
        <f>IF($A388="","",IF(COUNTIF($A$14:$A388,$A388)=1,COUNTIF($AI$13:AI387,"&gt;0")+1,""))</f>
        <v/>
      </c>
      <c r="AO388" s="27">
        <f>IF($A388="","",IF(AND(COUNTIFS($A$14:$A$1213,$A388,$F$14:$F$1213,"&gt;=0")=2,IFERROR(INDEX($M$14:$M$313,MATCH($A388,$H$14:$H$313,0)),"Yes")&lt;&gt;"Yes"),1,0))</f>
        <v/>
      </c>
    </row>
    <row r="389">
      <c r="A389" s="19" t="n"/>
      <c r="B389" s="20" t="n"/>
      <c r="C389" s="21">
        <f>IFERROR(AVERAGE(P389:T389),"")</f>
        <v/>
      </c>
      <c r="D389" s="29" t="n"/>
      <c r="E389" s="29" t="n"/>
      <c r="F389" s="30">
        <f>IF(AND(ISNUMBER($D389),ISNUMBER($E389),$E389&gt;0,$D389&lt;=$E389),$D389/$E389,"")</f>
        <v/>
      </c>
      <c r="P389" s="26" t="n"/>
      <c r="Q389" s="26" t="n"/>
      <c r="R389" s="26" t="n"/>
      <c r="S389" s="26" t="n"/>
      <c r="T389" s="26" t="n"/>
      <c r="V389" s="27">
        <f>IF(ISNUMBER($C389),COUNTIFS($A$14:$A$1213,$A389,$C$14:$C$1213,"&gt;"&amp;$C389)+(COUNTIFS($A$14:$A$1213,$A389,$C$14:$C$1213,"="&amp;$C389)+1)/2,"")</f>
        <v/>
      </c>
      <c r="W389" s="27">
        <f>IF(ISNUMBER($F389),COUNTIFS($A$14:$A$1213,$A389,$F$14:$F$1213,"&gt;"&amp;$F389)+(COUNTIFS($A$14:$A$1213,$A389,$F$14:$F$1213,"="&amp;$F389)+1)/2,"")</f>
        <v/>
      </c>
      <c r="X389" s="27">
        <f>IF(OR(NOT(ISNUMBER($V389)),$AO389=1),"",$V389-(COUNTIFS($A$14:$A$1213,$A389,$C$14:$C$1213,"&gt;=0")+1)/2)</f>
        <v/>
      </c>
      <c r="Y389" s="27">
        <f>IF(OR(NOT(ISNUMBER($W389)),$AO389=1),"",$W389-(COUNTIFS($A$14:$A$1213,$A389,$F$14:$F$1213,"&gt;=0")+1)/2)</f>
        <v/>
      </c>
      <c r="Z389" s="27">
        <f>IF(ISNUMBER($V389),$A389&amp;"|"&amp;$V389,"")</f>
        <v/>
      </c>
      <c r="AA389" s="27">
        <f>IF(ISNUMBER($W389),$A389&amp;"|"&amp;$W389,"")</f>
        <v/>
      </c>
      <c r="AB389" s="27">
        <f>IF(ISNUMBER($F389),$A389&amp;"|"&amp;$F389,"")</f>
        <v/>
      </c>
      <c r="AC389" s="27">
        <f>IF(ISNUMBER($P389),COUNTIFS($A$14:$A$1213,$A389,$P$14:$P$1213,"&gt;"&amp;$P389)+(COUNTIFS($A$14:$A$1213,$A389,$P$14:$P$1213,"="&amp;$P389)+1)/2,"")</f>
        <v/>
      </c>
      <c r="AD389" s="27">
        <f>IF(ISNUMBER($Q389),COUNTIFS($A$14:$A$1213,$A389,$Q$14:$Q$1213,"&gt;"&amp;$Q389)+(COUNTIFS($A$14:$A$1213,$A389,$Q$14:$Q$1213,"="&amp;$Q389)+1)/2,"")</f>
        <v/>
      </c>
      <c r="AE389" s="27">
        <f>IF(ISNUMBER($R389),COUNTIFS($A$14:$A$1213,$A389,$R$14:$R$1213,"&gt;"&amp;$R389)+(COUNTIFS($A$14:$A$1213,$A389,$R$14:$R$1213,"="&amp;$R389)+1)/2,"")</f>
        <v/>
      </c>
      <c r="AF389" s="27">
        <f>IF(ISNUMBER($S389),COUNTIFS($A$14:$A$1213,$A389,$S$14:$S$1213,"&gt;"&amp;$S389)+(COUNTIFS($A$14:$A$1213,$A389,$S$14:$S$1213,"="&amp;$S389)+1)/2,"")</f>
        <v/>
      </c>
      <c r="AG389" s="27">
        <f>IF(ISNUMBER($T389),COUNTIFS($A$14:$A$1213,$A389,$T$14:$T$1213,"&gt;"&amp;$T389)+(COUNTIFS($A$14:$A$1213,$A389,$T$14:$T$1213,"="&amp;$T389)+1)/2,"")</f>
        <v/>
      </c>
      <c r="AH389" s="27">
        <f>IF(COUNT($AC389:$AG389)&lt;2,"",IF(MAX($AC389:$AG389)=MIN($AC389:$AG389),0,1))</f>
        <v/>
      </c>
      <c r="AI389" s="27">
        <f>IF($A389="","",IF(COUNTIF($A$14:$A389,$A389)=1,COUNTIF($AI$13:AI388,"&gt;0")+1,""))</f>
        <v/>
      </c>
      <c r="AO389" s="27">
        <f>IF($A389="","",IF(AND(COUNTIFS($A$14:$A$1213,$A389,$F$14:$F$1213,"&gt;=0")=2,IFERROR(INDEX($M$14:$M$313,MATCH($A389,$H$14:$H$313,0)),"Yes")&lt;&gt;"Yes"),1,0))</f>
        <v/>
      </c>
    </row>
    <row r="390">
      <c r="A390" s="19" t="n"/>
      <c r="B390" s="20" t="n"/>
      <c r="C390" s="21">
        <f>IFERROR(AVERAGE(P390:T390),"")</f>
        <v/>
      </c>
      <c r="D390" s="29" t="n"/>
      <c r="E390" s="29" t="n"/>
      <c r="F390" s="30">
        <f>IF(AND(ISNUMBER($D390),ISNUMBER($E390),$E390&gt;0,$D390&lt;=$E390),$D390/$E390,"")</f>
        <v/>
      </c>
      <c r="P390" s="26" t="n"/>
      <c r="Q390" s="26" t="n"/>
      <c r="R390" s="26" t="n"/>
      <c r="S390" s="26" t="n"/>
      <c r="T390" s="26" t="n"/>
      <c r="V390" s="27">
        <f>IF(ISNUMBER($C390),COUNTIFS($A$14:$A$1213,$A390,$C$14:$C$1213,"&gt;"&amp;$C390)+(COUNTIFS($A$14:$A$1213,$A390,$C$14:$C$1213,"="&amp;$C390)+1)/2,"")</f>
        <v/>
      </c>
      <c r="W390" s="27">
        <f>IF(ISNUMBER($F390),COUNTIFS($A$14:$A$1213,$A390,$F$14:$F$1213,"&gt;"&amp;$F390)+(COUNTIFS($A$14:$A$1213,$A390,$F$14:$F$1213,"="&amp;$F390)+1)/2,"")</f>
        <v/>
      </c>
      <c r="X390" s="27">
        <f>IF(OR(NOT(ISNUMBER($V390)),$AO390=1),"",$V390-(COUNTIFS($A$14:$A$1213,$A390,$C$14:$C$1213,"&gt;=0")+1)/2)</f>
        <v/>
      </c>
      <c r="Y390" s="27">
        <f>IF(OR(NOT(ISNUMBER($W390)),$AO390=1),"",$W390-(COUNTIFS($A$14:$A$1213,$A390,$F$14:$F$1213,"&gt;=0")+1)/2)</f>
        <v/>
      </c>
      <c r="Z390" s="27">
        <f>IF(ISNUMBER($V390),$A390&amp;"|"&amp;$V390,"")</f>
        <v/>
      </c>
      <c r="AA390" s="27">
        <f>IF(ISNUMBER($W390),$A390&amp;"|"&amp;$W390,"")</f>
        <v/>
      </c>
      <c r="AB390" s="27">
        <f>IF(ISNUMBER($F390),$A390&amp;"|"&amp;$F390,"")</f>
        <v/>
      </c>
      <c r="AC390" s="27">
        <f>IF(ISNUMBER($P390),COUNTIFS($A$14:$A$1213,$A390,$P$14:$P$1213,"&gt;"&amp;$P390)+(COUNTIFS($A$14:$A$1213,$A390,$P$14:$P$1213,"="&amp;$P390)+1)/2,"")</f>
        <v/>
      </c>
      <c r="AD390" s="27">
        <f>IF(ISNUMBER($Q390),COUNTIFS($A$14:$A$1213,$A390,$Q$14:$Q$1213,"&gt;"&amp;$Q390)+(COUNTIFS($A$14:$A$1213,$A390,$Q$14:$Q$1213,"="&amp;$Q390)+1)/2,"")</f>
        <v/>
      </c>
      <c r="AE390" s="27">
        <f>IF(ISNUMBER($R390),COUNTIFS($A$14:$A$1213,$A390,$R$14:$R$1213,"&gt;"&amp;$R390)+(COUNTIFS($A$14:$A$1213,$A390,$R$14:$R$1213,"="&amp;$R390)+1)/2,"")</f>
        <v/>
      </c>
      <c r="AF390" s="27">
        <f>IF(ISNUMBER($S390),COUNTIFS($A$14:$A$1213,$A390,$S$14:$S$1213,"&gt;"&amp;$S390)+(COUNTIFS($A$14:$A$1213,$A390,$S$14:$S$1213,"="&amp;$S390)+1)/2,"")</f>
        <v/>
      </c>
      <c r="AG390" s="27">
        <f>IF(ISNUMBER($T390),COUNTIFS($A$14:$A$1213,$A390,$T$14:$T$1213,"&gt;"&amp;$T390)+(COUNTIFS($A$14:$A$1213,$A390,$T$14:$T$1213,"="&amp;$T390)+1)/2,"")</f>
        <v/>
      </c>
      <c r="AH390" s="27">
        <f>IF(COUNT($AC390:$AG390)&lt;2,"",IF(MAX($AC390:$AG390)=MIN($AC390:$AG390),0,1))</f>
        <v/>
      </c>
      <c r="AI390" s="27">
        <f>IF($A390="","",IF(COUNTIF($A$14:$A390,$A390)=1,COUNTIF($AI$13:AI389,"&gt;0")+1,""))</f>
        <v/>
      </c>
      <c r="AO390" s="27">
        <f>IF($A390="","",IF(AND(COUNTIFS($A$14:$A$1213,$A390,$F$14:$F$1213,"&gt;=0")=2,IFERROR(INDEX($M$14:$M$313,MATCH($A390,$H$14:$H$313,0)),"Yes")&lt;&gt;"Yes"),1,0))</f>
        <v/>
      </c>
    </row>
    <row r="391">
      <c r="A391" s="19" t="n"/>
      <c r="B391" s="20" t="n"/>
      <c r="C391" s="21">
        <f>IFERROR(AVERAGE(P391:T391),"")</f>
        <v/>
      </c>
      <c r="D391" s="29" t="n"/>
      <c r="E391" s="29" t="n"/>
      <c r="F391" s="30">
        <f>IF(AND(ISNUMBER($D391),ISNUMBER($E391),$E391&gt;0,$D391&lt;=$E391),$D391/$E391,"")</f>
        <v/>
      </c>
      <c r="P391" s="26" t="n"/>
      <c r="Q391" s="26" t="n"/>
      <c r="R391" s="26" t="n"/>
      <c r="S391" s="26" t="n"/>
      <c r="T391" s="26" t="n"/>
      <c r="V391" s="27">
        <f>IF(ISNUMBER($C391),COUNTIFS($A$14:$A$1213,$A391,$C$14:$C$1213,"&gt;"&amp;$C391)+(COUNTIFS($A$14:$A$1213,$A391,$C$14:$C$1213,"="&amp;$C391)+1)/2,"")</f>
        <v/>
      </c>
      <c r="W391" s="27">
        <f>IF(ISNUMBER($F391),COUNTIFS($A$14:$A$1213,$A391,$F$14:$F$1213,"&gt;"&amp;$F391)+(COUNTIFS($A$14:$A$1213,$A391,$F$14:$F$1213,"="&amp;$F391)+1)/2,"")</f>
        <v/>
      </c>
      <c r="X391" s="27">
        <f>IF(OR(NOT(ISNUMBER($V391)),$AO391=1),"",$V391-(COUNTIFS($A$14:$A$1213,$A391,$C$14:$C$1213,"&gt;=0")+1)/2)</f>
        <v/>
      </c>
      <c r="Y391" s="27">
        <f>IF(OR(NOT(ISNUMBER($W391)),$AO391=1),"",$W391-(COUNTIFS($A$14:$A$1213,$A391,$F$14:$F$1213,"&gt;=0")+1)/2)</f>
        <v/>
      </c>
      <c r="Z391" s="27">
        <f>IF(ISNUMBER($V391),$A391&amp;"|"&amp;$V391,"")</f>
        <v/>
      </c>
      <c r="AA391" s="27">
        <f>IF(ISNUMBER($W391),$A391&amp;"|"&amp;$W391,"")</f>
        <v/>
      </c>
      <c r="AB391" s="27">
        <f>IF(ISNUMBER($F391),$A391&amp;"|"&amp;$F391,"")</f>
        <v/>
      </c>
      <c r="AC391" s="27">
        <f>IF(ISNUMBER($P391),COUNTIFS($A$14:$A$1213,$A391,$P$14:$P$1213,"&gt;"&amp;$P391)+(COUNTIFS($A$14:$A$1213,$A391,$P$14:$P$1213,"="&amp;$P391)+1)/2,"")</f>
        <v/>
      </c>
      <c r="AD391" s="27">
        <f>IF(ISNUMBER($Q391),COUNTIFS($A$14:$A$1213,$A391,$Q$14:$Q$1213,"&gt;"&amp;$Q391)+(COUNTIFS($A$14:$A$1213,$A391,$Q$14:$Q$1213,"="&amp;$Q391)+1)/2,"")</f>
        <v/>
      </c>
      <c r="AE391" s="27">
        <f>IF(ISNUMBER($R391),COUNTIFS($A$14:$A$1213,$A391,$R$14:$R$1213,"&gt;"&amp;$R391)+(COUNTIFS($A$14:$A$1213,$A391,$R$14:$R$1213,"="&amp;$R391)+1)/2,"")</f>
        <v/>
      </c>
      <c r="AF391" s="27">
        <f>IF(ISNUMBER($S391),COUNTIFS($A$14:$A$1213,$A391,$S$14:$S$1213,"&gt;"&amp;$S391)+(COUNTIFS($A$14:$A$1213,$A391,$S$14:$S$1213,"="&amp;$S391)+1)/2,"")</f>
        <v/>
      </c>
      <c r="AG391" s="27">
        <f>IF(ISNUMBER($T391),COUNTIFS($A$14:$A$1213,$A391,$T$14:$T$1213,"&gt;"&amp;$T391)+(COUNTIFS($A$14:$A$1213,$A391,$T$14:$T$1213,"="&amp;$T391)+1)/2,"")</f>
        <v/>
      </c>
      <c r="AH391" s="27">
        <f>IF(COUNT($AC391:$AG391)&lt;2,"",IF(MAX($AC391:$AG391)=MIN($AC391:$AG391),0,1))</f>
        <v/>
      </c>
      <c r="AI391" s="27">
        <f>IF($A391="","",IF(COUNTIF($A$14:$A391,$A391)=1,COUNTIF($AI$13:AI390,"&gt;0")+1,""))</f>
        <v/>
      </c>
      <c r="AO391" s="27">
        <f>IF($A391="","",IF(AND(COUNTIFS($A$14:$A$1213,$A391,$F$14:$F$1213,"&gt;=0")=2,IFERROR(INDEX($M$14:$M$313,MATCH($A391,$H$14:$H$313,0)),"Yes")&lt;&gt;"Yes"),1,0))</f>
        <v/>
      </c>
    </row>
    <row r="392">
      <c r="A392" s="19" t="n"/>
      <c r="B392" s="20" t="n"/>
      <c r="C392" s="21">
        <f>IFERROR(AVERAGE(P392:T392),"")</f>
        <v/>
      </c>
      <c r="D392" s="29" t="n"/>
      <c r="E392" s="29" t="n"/>
      <c r="F392" s="30">
        <f>IF(AND(ISNUMBER($D392),ISNUMBER($E392),$E392&gt;0,$D392&lt;=$E392),$D392/$E392,"")</f>
        <v/>
      </c>
      <c r="P392" s="26" t="n"/>
      <c r="Q392" s="26" t="n"/>
      <c r="R392" s="26" t="n"/>
      <c r="S392" s="26" t="n"/>
      <c r="T392" s="26" t="n"/>
      <c r="V392" s="27">
        <f>IF(ISNUMBER($C392),COUNTIFS($A$14:$A$1213,$A392,$C$14:$C$1213,"&gt;"&amp;$C392)+(COUNTIFS($A$14:$A$1213,$A392,$C$14:$C$1213,"="&amp;$C392)+1)/2,"")</f>
        <v/>
      </c>
      <c r="W392" s="27">
        <f>IF(ISNUMBER($F392),COUNTIFS($A$14:$A$1213,$A392,$F$14:$F$1213,"&gt;"&amp;$F392)+(COUNTIFS($A$14:$A$1213,$A392,$F$14:$F$1213,"="&amp;$F392)+1)/2,"")</f>
        <v/>
      </c>
      <c r="X392" s="27">
        <f>IF(OR(NOT(ISNUMBER($V392)),$AO392=1),"",$V392-(COUNTIFS($A$14:$A$1213,$A392,$C$14:$C$1213,"&gt;=0")+1)/2)</f>
        <v/>
      </c>
      <c r="Y392" s="27">
        <f>IF(OR(NOT(ISNUMBER($W392)),$AO392=1),"",$W392-(COUNTIFS($A$14:$A$1213,$A392,$F$14:$F$1213,"&gt;=0")+1)/2)</f>
        <v/>
      </c>
      <c r="Z392" s="27">
        <f>IF(ISNUMBER($V392),$A392&amp;"|"&amp;$V392,"")</f>
        <v/>
      </c>
      <c r="AA392" s="27">
        <f>IF(ISNUMBER($W392),$A392&amp;"|"&amp;$W392,"")</f>
        <v/>
      </c>
      <c r="AB392" s="27">
        <f>IF(ISNUMBER($F392),$A392&amp;"|"&amp;$F392,"")</f>
        <v/>
      </c>
      <c r="AC392" s="27">
        <f>IF(ISNUMBER($P392),COUNTIFS($A$14:$A$1213,$A392,$P$14:$P$1213,"&gt;"&amp;$P392)+(COUNTIFS($A$14:$A$1213,$A392,$P$14:$P$1213,"="&amp;$P392)+1)/2,"")</f>
        <v/>
      </c>
      <c r="AD392" s="27">
        <f>IF(ISNUMBER($Q392),COUNTIFS($A$14:$A$1213,$A392,$Q$14:$Q$1213,"&gt;"&amp;$Q392)+(COUNTIFS($A$14:$A$1213,$A392,$Q$14:$Q$1213,"="&amp;$Q392)+1)/2,"")</f>
        <v/>
      </c>
      <c r="AE392" s="27">
        <f>IF(ISNUMBER($R392),COUNTIFS($A$14:$A$1213,$A392,$R$14:$R$1213,"&gt;"&amp;$R392)+(COUNTIFS($A$14:$A$1213,$A392,$R$14:$R$1213,"="&amp;$R392)+1)/2,"")</f>
        <v/>
      </c>
      <c r="AF392" s="27">
        <f>IF(ISNUMBER($S392),COUNTIFS($A$14:$A$1213,$A392,$S$14:$S$1213,"&gt;"&amp;$S392)+(COUNTIFS($A$14:$A$1213,$A392,$S$14:$S$1213,"="&amp;$S392)+1)/2,"")</f>
        <v/>
      </c>
      <c r="AG392" s="27">
        <f>IF(ISNUMBER($T392),COUNTIFS($A$14:$A$1213,$A392,$T$14:$T$1213,"&gt;"&amp;$T392)+(COUNTIFS($A$14:$A$1213,$A392,$T$14:$T$1213,"="&amp;$T392)+1)/2,"")</f>
        <v/>
      </c>
      <c r="AH392" s="27">
        <f>IF(COUNT($AC392:$AG392)&lt;2,"",IF(MAX($AC392:$AG392)=MIN($AC392:$AG392),0,1))</f>
        <v/>
      </c>
      <c r="AI392" s="27">
        <f>IF($A392="","",IF(COUNTIF($A$14:$A392,$A392)=1,COUNTIF($AI$13:AI391,"&gt;0")+1,""))</f>
        <v/>
      </c>
      <c r="AO392" s="27">
        <f>IF($A392="","",IF(AND(COUNTIFS($A$14:$A$1213,$A392,$F$14:$F$1213,"&gt;=0")=2,IFERROR(INDEX($M$14:$M$313,MATCH($A392,$H$14:$H$313,0)),"Yes")&lt;&gt;"Yes"),1,0))</f>
        <v/>
      </c>
    </row>
    <row r="393">
      <c r="A393" s="19" t="n"/>
      <c r="B393" s="20" t="n"/>
      <c r="C393" s="21">
        <f>IFERROR(AVERAGE(P393:T393),"")</f>
        <v/>
      </c>
      <c r="D393" s="29" t="n"/>
      <c r="E393" s="29" t="n"/>
      <c r="F393" s="30">
        <f>IF(AND(ISNUMBER($D393),ISNUMBER($E393),$E393&gt;0,$D393&lt;=$E393),$D393/$E393,"")</f>
        <v/>
      </c>
      <c r="P393" s="26" t="n"/>
      <c r="Q393" s="26" t="n"/>
      <c r="R393" s="26" t="n"/>
      <c r="S393" s="26" t="n"/>
      <c r="T393" s="26" t="n"/>
      <c r="V393" s="27">
        <f>IF(ISNUMBER($C393),COUNTIFS($A$14:$A$1213,$A393,$C$14:$C$1213,"&gt;"&amp;$C393)+(COUNTIFS($A$14:$A$1213,$A393,$C$14:$C$1213,"="&amp;$C393)+1)/2,"")</f>
        <v/>
      </c>
      <c r="W393" s="27">
        <f>IF(ISNUMBER($F393),COUNTIFS($A$14:$A$1213,$A393,$F$14:$F$1213,"&gt;"&amp;$F393)+(COUNTIFS($A$14:$A$1213,$A393,$F$14:$F$1213,"="&amp;$F393)+1)/2,"")</f>
        <v/>
      </c>
      <c r="X393" s="27">
        <f>IF(OR(NOT(ISNUMBER($V393)),$AO393=1),"",$V393-(COUNTIFS($A$14:$A$1213,$A393,$C$14:$C$1213,"&gt;=0")+1)/2)</f>
        <v/>
      </c>
      <c r="Y393" s="27">
        <f>IF(OR(NOT(ISNUMBER($W393)),$AO393=1),"",$W393-(COUNTIFS($A$14:$A$1213,$A393,$F$14:$F$1213,"&gt;=0")+1)/2)</f>
        <v/>
      </c>
      <c r="Z393" s="27">
        <f>IF(ISNUMBER($V393),$A393&amp;"|"&amp;$V393,"")</f>
        <v/>
      </c>
      <c r="AA393" s="27">
        <f>IF(ISNUMBER($W393),$A393&amp;"|"&amp;$W393,"")</f>
        <v/>
      </c>
      <c r="AB393" s="27">
        <f>IF(ISNUMBER($F393),$A393&amp;"|"&amp;$F393,"")</f>
        <v/>
      </c>
      <c r="AC393" s="27">
        <f>IF(ISNUMBER($P393),COUNTIFS($A$14:$A$1213,$A393,$P$14:$P$1213,"&gt;"&amp;$P393)+(COUNTIFS($A$14:$A$1213,$A393,$P$14:$P$1213,"="&amp;$P393)+1)/2,"")</f>
        <v/>
      </c>
      <c r="AD393" s="27">
        <f>IF(ISNUMBER($Q393),COUNTIFS($A$14:$A$1213,$A393,$Q$14:$Q$1213,"&gt;"&amp;$Q393)+(COUNTIFS($A$14:$A$1213,$A393,$Q$14:$Q$1213,"="&amp;$Q393)+1)/2,"")</f>
        <v/>
      </c>
      <c r="AE393" s="27">
        <f>IF(ISNUMBER($R393),COUNTIFS($A$14:$A$1213,$A393,$R$14:$R$1213,"&gt;"&amp;$R393)+(COUNTIFS($A$14:$A$1213,$A393,$R$14:$R$1213,"="&amp;$R393)+1)/2,"")</f>
        <v/>
      </c>
      <c r="AF393" s="27">
        <f>IF(ISNUMBER($S393),COUNTIFS($A$14:$A$1213,$A393,$S$14:$S$1213,"&gt;"&amp;$S393)+(COUNTIFS($A$14:$A$1213,$A393,$S$14:$S$1213,"="&amp;$S393)+1)/2,"")</f>
        <v/>
      </c>
      <c r="AG393" s="27">
        <f>IF(ISNUMBER($T393),COUNTIFS($A$14:$A$1213,$A393,$T$14:$T$1213,"&gt;"&amp;$T393)+(COUNTIFS($A$14:$A$1213,$A393,$T$14:$T$1213,"="&amp;$T393)+1)/2,"")</f>
        <v/>
      </c>
      <c r="AH393" s="27">
        <f>IF(COUNT($AC393:$AG393)&lt;2,"",IF(MAX($AC393:$AG393)=MIN($AC393:$AG393),0,1))</f>
        <v/>
      </c>
      <c r="AI393" s="27">
        <f>IF($A393="","",IF(COUNTIF($A$14:$A393,$A393)=1,COUNTIF($AI$13:AI392,"&gt;0")+1,""))</f>
        <v/>
      </c>
      <c r="AO393" s="27">
        <f>IF($A393="","",IF(AND(COUNTIFS($A$14:$A$1213,$A393,$F$14:$F$1213,"&gt;=0")=2,IFERROR(INDEX($M$14:$M$313,MATCH($A393,$H$14:$H$313,0)),"Yes")&lt;&gt;"Yes"),1,0))</f>
        <v/>
      </c>
    </row>
    <row r="394">
      <c r="A394" s="19" t="n"/>
      <c r="B394" s="20" t="n"/>
      <c r="C394" s="21">
        <f>IFERROR(AVERAGE(P394:T394),"")</f>
        <v/>
      </c>
      <c r="D394" s="29" t="n"/>
      <c r="E394" s="29" t="n"/>
      <c r="F394" s="30">
        <f>IF(AND(ISNUMBER($D394),ISNUMBER($E394),$E394&gt;0,$D394&lt;=$E394),$D394/$E394,"")</f>
        <v/>
      </c>
      <c r="P394" s="26" t="n"/>
      <c r="Q394" s="26" t="n"/>
      <c r="R394" s="26" t="n"/>
      <c r="S394" s="26" t="n"/>
      <c r="T394" s="26" t="n"/>
      <c r="V394" s="27">
        <f>IF(ISNUMBER($C394),COUNTIFS($A$14:$A$1213,$A394,$C$14:$C$1213,"&gt;"&amp;$C394)+(COUNTIFS($A$14:$A$1213,$A394,$C$14:$C$1213,"="&amp;$C394)+1)/2,"")</f>
        <v/>
      </c>
      <c r="W394" s="27">
        <f>IF(ISNUMBER($F394),COUNTIFS($A$14:$A$1213,$A394,$F$14:$F$1213,"&gt;"&amp;$F394)+(COUNTIFS($A$14:$A$1213,$A394,$F$14:$F$1213,"="&amp;$F394)+1)/2,"")</f>
        <v/>
      </c>
      <c r="X394" s="27">
        <f>IF(OR(NOT(ISNUMBER($V394)),$AO394=1),"",$V394-(COUNTIFS($A$14:$A$1213,$A394,$C$14:$C$1213,"&gt;=0")+1)/2)</f>
        <v/>
      </c>
      <c r="Y394" s="27">
        <f>IF(OR(NOT(ISNUMBER($W394)),$AO394=1),"",$W394-(COUNTIFS($A$14:$A$1213,$A394,$F$14:$F$1213,"&gt;=0")+1)/2)</f>
        <v/>
      </c>
      <c r="Z394" s="27">
        <f>IF(ISNUMBER($V394),$A394&amp;"|"&amp;$V394,"")</f>
        <v/>
      </c>
      <c r="AA394" s="27">
        <f>IF(ISNUMBER($W394),$A394&amp;"|"&amp;$W394,"")</f>
        <v/>
      </c>
      <c r="AB394" s="27">
        <f>IF(ISNUMBER($F394),$A394&amp;"|"&amp;$F394,"")</f>
        <v/>
      </c>
      <c r="AC394" s="27">
        <f>IF(ISNUMBER($P394),COUNTIFS($A$14:$A$1213,$A394,$P$14:$P$1213,"&gt;"&amp;$P394)+(COUNTIFS($A$14:$A$1213,$A394,$P$14:$P$1213,"="&amp;$P394)+1)/2,"")</f>
        <v/>
      </c>
      <c r="AD394" s="27">
        <f>IF(ISNUMBER($Q394),COUNTIFS($A$14:$A$1213,$A394,$Q$14:$Q$1213,"&gt;"&amp;$Q394)+(COUNTIFS($A$14:$A$1213,$A394,$Q$14:$Q$1213,"="&amp;$Q394)+1)/2,"")</f>
        <v/>
      </c>
      <c r="AE394" s="27">
        <f>IF(ISNUMBER($R394),COUNTIFS($A$14:$A$1213,$A394,$R$14:$R$1213,"&gt;"&amp;$R394)+(COUNTIFS($A$14:$A$1213,$A394,$R$14:$R$1213,"="&amp;$R394)+1)/2,"")</f>
        <v/>
      </c>
      <c r="AF394" s="27">
        <f>IF(ISNUMBER($S394),COUNTIFS($A$14:$A$1213,$A394,$S$14:$S$1213,"&gt;"&amp;$S394)+(COUNTIFS($A$14:$A$1213,$A394,$S$14:$S$1213,"="&amp;$S394)+1)/2,"")</f>
        <v/>
      </c>
      <c r="AG394" s="27">
        <f>IF(ISNUMBER($T394),COUNTIFS($A$14:$A$1213,$A394,$T$14:$T$1213,"&gt;"&amp;$T394)+(COUNTIFS($A$14:$A$1213,$A394,$T$14:$T$1213,"="&amp;$T394)+1)/2,"")</f>
        <v/>
      </c>
      <c r="AH394" s="27">
        <f>IF(COUNT($AC394:$AG394)&lt;2,"",IF(MAX($AC394:$AG394)=MIN($AC394:$AG394),0,1))</f>
        <v/>
      </c>
      <c r="AI394" s="27">
        <f>IF($A394="","",IF(COUNTIF($A$14:$A394,$A394)=1,COUNTIF($AI$13:AI393,"&gt;0")+1,""))</f>
        <v/>
      </c>
      <c r="AO394" s="27">
        <f>IF($A394="","",IF(AND(COUNTIFS($A$14:$A$1213,$A394,$F$14:$F$1213,"&gt;=0")=2,IFERROR(INDEX($M$14:$M$313,MATCH($A394,$H$14:$H$313,0)),"Yes")&lt;&gt;"Yes"),1,0))</f>
        <v/>
      </c>
    </row>
    <row r="395">
      <c r="A395" s="19" t="n"/>
      <c r="B395" s="20" t="n"/>
      <c r="C395" s="21">
        <f>IFERROR(AVERAGE(P395:T395),"")</f>
        <v/>
      </c>
      <c r="D395" s="29" t="n"/>
      <c r="E395" s="29" t="n"/>
      <c r="F395" s="30">
        <f>IF(AND(ISNUMBER($D395),ISNUMBER($E395),$E395&gt;0,$D395&lt;=$E395),$D395/$E395,"")</f>
        <v/>
      </c>
      <c r="P395" s="26" t="n"/>
      <c r="Q395" s="26" t="n"/>
      <c r="R395" s="26" t="n"/>
      <c r="S395" s="26" t="n"/>
      <c r="T395" s="26" t="n"/>
      <c r="V395" s="27">
        <f>IF(ISNUMBER($C395),COUNTIFS($A$14:$A$1213,$A395,$C$14:$C$1213,"&gt;"&amp;$C395)+(COUNTIFS($A$14:$A$1213,$A395,$C$14:$C$1213,"="&amp;$C395)+1)/2,"")</f>
        <v/>
      </c>
      <c r="W395" s="27">
        <f>IF(ISNUMBER($F395),COUNTIFS($A$14:$A$1213,$A395,$F$14:$F$1213,"&gt;"&amp;$F395)+(COUNTIFS($A$14:$A$1213,$A395,$F$14:$F$1213,"="&amp;$F395)+1)/2,"")</f>
        <v/>
      </c>
      <c r="X395" s="27">
        <f>IF(OR(NOT(ISNUMBER($V395)),$AO395=1),"",$V395-(COUNTIFS($A$14:$A$1213,$A395,$C$14:$C$1213,"&gt;=0")+1)/2)</f>
        <v/>
      </c>
      <c r="Y395" s="27">
        <f>IF(OR(NOT(ISNUMBER($W395)),$AO395=1),"",$W395-(COUNTIFS($A$14:$A$1213,$A395,$F$14:$F$1213,"&gt;=0")+1)/2)</f>
        <v/>
      </c>
      <c r="Z395" s="27">
        <f>IF(ISNUMBER($V395),$A395&amp;"|"&amp;$V395,"")</f>
        <v/>
      </c>
      <c r="AA395" s="27">
        <f>IF(ISNUMBER($W395),$A395&amp;"|"&amp;$W395,"")</f>
        <v/>
      </c>
      <c r="AB395" s="27">
        <f>IF(ISNUMBER($F395),$A395&amp;"|"&amp;$F395,"")</f>
        <v/>
      </c>
      <c r="AC395" s="27">
        <f>IF(ISNUMBER($P395),COUNTIFS($A$14:$A$1213,$A395,$P$14:$P$1213,"&gt;"&amp;$P395)+(COUNTIFS($A$14:$A$1213,$A395,$P$14:$P$1213,"="&amp;$P395)+1)/2,"")</f>
        <v/>
      </c>
      <c r="AD395" s="27">
        <f>IF(ISNUMBER($Q395),COUNTIFS($A$14:$A$1213,$A395,$Q$14:$Q$1213,"&gt;"&amp;$Q395)+(COUNTIFS($A$14:$A$1213,$A395,$Q$14:$Q$1213,"="&amp;$Q395)+1)/2,"")</f>
        <v/>
      </c>
      <c r="AE395" s="27">
        <f>IF(ISNUMBER($R395),COUNTIFS($A$14:$A$1213,$A395,$R$14:$R$1213,"&gt;"&amp;$R395)+(COUNTIFS($A$14:$A$1213,$A395,$R$14:$R$1213,"="&amp;$R395)+1)/2,"")</f>
        <v/>
      </c>
      <c r="AF395" s="27">
        <f>IF(ISNUMBER($S395),COUNTIFS($A$14:$A$1213,$A395,$S$14:$S$1213,"&gt;"&amp;$S395)+(COUNTIFS($A$14:$A$1213,$A395,$S$14:$S$1213,"="&amp;$S395)+1)/2,"")</f>
        <v/>
      </c>
      <c r="AG395" s="27">
        <f>IF(ISNUMBER($T395),COUNTIFS($A$14:$A$1213,$A395,$T$14:$T$1213,"&gt;"&amp;$T395)+(COUNTIFS($A$14:$A$1213,$A395,$T$14:$T$1213,"="&amp;$T395)+1)/2,"")</f>
        <v/>
      </c>
      <c r="AH395" s="27">
        <f>IF(COUNT($AC395:$AG395)&lt;2,"",IF(MAX($AC395:$AG395)=MIN($AC395:$AG395),0,1))</f>
        <v/>
      </c>
      <c r="AI395" s="27">
        <f>IF($A395="","",IF(COUNTIF($A$14:$A395,$A395)=1,COUNTIF($AI$13:AI394,"&gt;0")+1,""))</f>
        <v/>
      </c>
      <c r="AO395" s="27">
        <f>IF($A395="","",IF(AND(COUNTIFS($A$14:$A$1213,$A395,$F$14:$F$1213,"&gt;=0")=2,IFERROR(INDEX($M$14:$M$313,MATCH($A395,$H$14:$H$313,0)),"Yes")&lt;&gt;"Yes"),1,0))</f>
        <v/>
      </c>
    </row>
    <row r="396">
      <c r="A396" s="19" t="n"/>
      <c r="B396" s="20" t="n"/>
      <c r="C396" s="21">
        <f>IFERROR(AVERAGE(P396:T396),"")</f>
        <v/>
      </c>
      <c r="D396" s="29" t="n"/>
      <c r="E396" s="29" t="n"/>
      <c r="F396" s="30">
        <f>IF(AND(ISNUMBER($D396),ISNUMBER($E396),$E396&gt;0,$D396&lt;=$E396),$D396/$E396,"")</f>
        <v/>
      </c>
      <c r="P396" s="26" t="n"/>
      <c r="Q396" s="26" t="n"/>
      <c r="R396" s="26" t="n"/>
      <c r="S396" s="26" t="n"/>
      <c r="T396" s="26" t="n"/>
      <c r="V396" s="27">
        <f>IF(ISNUMBER($C396),COUNTIFS($A$14:$A$1213,$A396,$C$14:$C$1213,"&gt;"&amp;$C396)+(COUNTIFS($A$14:$A$1213,$A396,$C$14:$C$1213,"="&amp;$C396)+1)/2,"")</f>
        <v/>
      </c>
      <c r="W396" s="27">
        <f>IF(ISNUMBER($F396),COUNTIFS($A$14:$A$1213,$A396,$F$14:$F$1213,"&gt;"&amp;$F396)+(COUNTIFS($A$14:$A$1213,$A396,$F$14:$F$1213,"="&amp;$F396)+1)/2,"")</f>
        <v/>
      </c>
      <c r="X396" s="27">
        <f>IF(OR(NOT(ISNUMBER($V396)),$AO396=1),"",$V396-(COUNTIFS($A$14:$A$1213,$A396,$C$14:$C$1213,"&gt;=0")+1)/2)</f>
        <v/>
      </c>
      <c r="Y396" s="27">
        <f>IF(OR(NOT(ISNUMBER($W396)),$AO396=1),"",$W396-(COUNTIFS($A$14:$A$1213,$A396,$F$14:$F$1213,"&gt;=0")+1)/2)</f>
        <v/>
      </c>
      <c r="Z396" s="27">
        <f>IF(ISNUMBER($V396),$A396&amp;"|"&amp;$V396,"")</f>
        <v/>
      </c>
      <c r="AA396" s="27">
        <f>IF(ISNUMBER($W396),$A396&amp;"|"&amp;$W396,"")</f>
        <v/>
      </c>
      <c r="AB396" s="27">
        <f>IF(ISNUMBER($F396),$A396&amp;"|"&amp;$F396,"")</f>
        <v/>
      </c>
      <c r="AC396" s="27">
        <f>IF(ISNUMBER($P396),COUNTIFS($A$14:$A$1213,$A396,$P$14:$P$1213,"&gt;"&amp;$P396)+(COUNTIFS($A$14:$A$1213,$A396,$P$14:$P$1213,"="&amp;$P396)+1)/2,"")</f>
        <v/>
      </c>
      <c r="AD396" s="27">
        <f>IF(ISNUMBER($Q396),COUNTIFS($A$14:$A$1213,$A396,$Q$14:$Q$1213,"&gt;"&amp;$Q396)+(COUNTIFS($A$14:$A$1213,$A396,$Q$14:$Q$1213,"="&amp;$Q396)+1)/2,"")</f>
        <v/>
      </c>
      <c r="AE396" s="27">
        <f>IF(ISNUMBER($R396),COUNTIFS($A$14:$A$1213,$A396,$R$14:$R$1213,"&gt;"&amp;$R396)+(COUNTIFS($A$14:$A$1213,$A396,$R$14:$R$1213,"="&amp;$R396)+1)/2,"")</f>
        <v/>
      </c>
      <c r="AF396" s="27">
        <f>IF(ISNUMBER($S396),COUNTIFS($A$14:$A$1213,$A396,$S$14:$S$1213,"&gt;"&amp;$S396)+(COUNTIFS($A$14:$A$1213,$A396,$S$14:$S$1213,"="&amp;$S396)+1)/2,"")</f>
        <v/>
      </c>
      <c r="AG396" s="27">
        <f>IF(ISNUMBER($T396),COUNTIFS($A$14:$A$1213,$A396,$T$14:$T$1213,"&gt;"&amp;$T396)+(COUNTIFS($A$14:$A$1213,$A396,$T$14:$T$1213,"="&amp;$T396)+1)/2,"")</f>
        <v/>
      </c>
      <c r="AH396" s="27">
        <f>IF(COUNT($AC396:$AG396)&lt;2,"",IF(MAX($AC396:$AG396)=MIN($AC396:$AG396),0,1))</f>
        <v/>
      </c>
      <c r="AI396" s="27">
        <f>IF($A396="","",IF(COUNTIF($A$14:$A396,$A396)=1,COUNTIF($AI$13:AI395,"&gt;0")+1,""))</f>
        <v/>
      </c>
      <c r="AO396" s="27">
        <f>IF($A396="","",IF(AND(COUNTIFS($A$14:$A$1213,$A396,$F$14:$F$1213,"&gt;=0")=2,IFERROR(INDEX($M$14:$M$313,MATCH($A396,$H$14:$H$313,0)),"Yes")&lt;&gt;"Yes"),1,0))</f>
        <v/>
      </c>
    </row>
    <row r="397">
      <c r="A397" s="19" t="n"/>
      <c r="B397" s="20" t="n"/>
      <c r="C397" s="21">
        <f>IFERROR(AVERAGE(P397:T397),"")</f>
        <v/>
      </c>
      <c r="D397" s="29" t="n"/>
      <c r="E397" s="29" t="n"/>
      <c r="F397" s="30">
        <f>IF(AND(ISNUMBER($D397),ISNUMBER($E397),$E397&gt;0,$D397&lt;=$E397),$D397/$E397,"")</f>
        <v/>
      </c>
      <c r="P397" s="26" t="n"/>
      <c r="Q397" s="26" t="n"/>
      <c r="R397" s="26" t="n"/>
      <c r="S397" s="26" t="n"/>
      <c r="T397" s="26" t="n"/>
      <c r="V397" s="27">
        <f>IF(ISNUMBER($C397),COUNTIFS($A$14:$A$1213,$A397,$C$14:$C$1213,"&gt;"&amp;$C397)+(COUNTIFS($A$14:$A$1213,$A397,$C$14:$C$1213,"="&amp;$C397)+1)/2,"")</f>
        <v/>
      </c>
      <c r="W397" s="27">
        <f>IF(ISNUMBER($F397),COUNTIFS($A$14:$A$1213,$A397,$F$14:$F$1213,"&gt;"&amp;$F397)+(COUNTIFS($A$14:$A$1213,$A397,$F$14:$F$1213,"="&amp;$F397)+1)/2,"")</f>
        <v/>
      </c>
      <c r="X397" s="27">
        <f>IF(OR(NOT(ISNUMBER($V397)),$AO397=1),"",$V397-(COUNTIFS($A$14:$A$1213,$A397,$C$14:$C$1213,"&gt;=0")+1)/2)</f>
        <v/>
      </c>
      <c r="Y397" s="27">
        <f>IF(OR(NOT(ISNUMBER($W397)),$AO397=1),"",$W397-(COUNTIFS($A$14:$A$1213,$A397,$F$14:$F$1213,"&gt;=0")+1)/2)</f>
        <v/>
      </c>
      <c r="Z397" s="27">
        <f>IF(ISNUMBER($V397),$A397&amp;"|"&amp;$V397,"")</f>
        <v/>
      </c>
      <c r="AA397" s="27">
        <f>IF(ISNUMBER($W397),$A397&amp;"|"&amp;$W397,"")</f>
        <v/>
      </c>
      <c r="AB397" s="27">
        <f>IF(ISNUMBER($F397),$A397&amp;"|"&amp;$F397,"")</f>
        <v/>
      </c>
      <c r="AC397" s="27">
        <f>IF(ISNUMBER($P397),COUNTIFS($A$14:$A$1213,$A397,$P$14:$P$1213,"&gt;"&amp;$P397)+(COUNTIFS($A$14:$A$1213,$A397,$P$14:$P$1213,"="&amp;$P397)+1)/2,"")</f>
        <v/>
      </c>
      <c r="AD397" s="27">
        <f>IF(ISNUMBER($Q397),COUNTIFS($A$14:$A$1213,$A397,$Q$14:$Q$1213,"&gt;"&amp;$Q397)+(COUNTIFS($A$14:$A$1213,$A397,$Q$14:$Q$1213,"="&amp;$Q397)+1)/2,"")</f>
        <v/>
      </c>
      <c r="AE397" s="27">
        <f>IF(ISNUMBER($R397),COUNTIFS($A$14:$A$1213,$A397,$R$14:$R$1213,"&gt;"&amp;$R397)+(COUNTIFS($A$14:$A$1213,$A397,$R$14:$R$1213,"="&amp;$R397)+1)/2,"")</f>
        <v/>
      </c>
      <c r="AF397" s="27">
        <f>IF(ISNUMBER($S397),COUNTIFS($A$14:$A$1213,$A397,$S$14:$S$1213,"&gt;"&amp;$S397)+(COUNTIFS($A$14:$A$1213,$A397,$S$14:$S$1213,"="&amp;$S397)+1)/2,"")</f>
        <v/>
      </c>
      <c r="AG397" s="27">
        <f>IF(ISNUMBER($T397),COUNTIFS($A$14:$A$1213,$A397,$T$14:$T$1213,"&gt;"&amp;$T397)+(COUNTIFS($A$14:$A$1213,$A397,$T$14:$T$1213,"="&amp;$T397)+1)/2,"")</f>
        <v/>
      </c>
      <c r="AH397" s="27">
        <f>IF(COUNT($AC397:$AG397)&lt;2,"",IF(MAX($AC397:$AG397)=MIN($AC397:$AG397),0,1))</f>
        <v/>
      </c>
      <c r="AI397" s="27">
        <f>IF($A397="","",IF(COUNTIF($A$14:$A397,$A397)=1,COUNTIF($AI$13:AI396,"&gt;0")+1,""))</f>
        <v/>
      </c>
      <c r="AO397" s="27">
        <f>IF($A397="","",IF(AND(COUNTIFS($A$14:$A$1213,$A397,$F$14:$F$1213,"&gt;=0")=2,IFERROR(INDEX($M$14:$M$313,MATCH($A397,$H$14:$H$313,0)),"Yes")&lt;&gt;"Yes"),1,0))</f>
        <v/>
      </c>
    </row>
    <row r="398">
      <c r="A398" s="19" t="n"/>
      <c r="B398" s="20" t="n"/>
      <c r="C398" s="21">
        <f>IFERROR(AVERAGE(P398:T398),"")</f>
        <v/>
      </c>
      <c r="D398" s="29" t="n"/>
      <c r="E398" s="29" t="n"/>
      <c r="F398" s="30">
        <f>IF(AND(ISNUMBER($D398),ISNUMBER($E398),$E398&gt;0,$D398&lt;=$E398),$D398/$E398,"")</f>
        <v/>
      </c>
      <c r="P398" s="26" t="n"/>
      <c r="Q398" s="26" t="n"/>
      <c r="R398" s="26" t="n"/>
      <c r="S398" s="26" t="n"/>
      <c r="T398" s="26" t="n"/>
      <c r="V398" s="27">
        <f>IF(ISNUMBER($C398),COUNTIFS($A$14:$A$1213,$A398,$C$14:$C$1213,"&gt;"&amp;$C398)+(COUNTIFS($A$14:$A$1213,$A398,$C$14:$C$1213,"="&amp;$C398)+1)/2,"")</f>
        <v/>
      </c>
      <c r="W398" s="27">
        <f>IF(ISNUMBER($F398),COUNTIFS($A$14:$A$1213,$A398,$F$14:$F$1213,"&gt;"&amp;$F398)+(COUNTIFS($A$14:$A$1213,$A398,$F$14:$F$1213,"="&amp;$F398)+1)/2,"")</f>
        <v/>
      </c>
      <c r="X398" s="27">
        <f>IF(OR(NOT(ISNUMBER($V398)),$AO398=1),"",$V398-(COUNTIFS($A$14:$A$1213,$A398,$C$14:$C$1213,"&gt;=0")+1)/2)</f>
        <v/>
      </c>
      <c r="Y398" s="27">
        <f>IF(OR(NOT(ISNUMBER($W398)),$AO398=1),"",$W398-(COUNTIFS($A$14:$A$1213,$A398,$F$14:$F$1213,"&gt;=0")+1)/2)</f>
        <v/>
      </c>
      <c r="Z398" s="27">
        <f>IF(ISNUMBER($V398),$A398&amp;"|"&amp;$V398,"")</f>
        <v/>
      </c>
      <c r="AA398" s="27">
        <f>IF(ISNUMBER($W398),$A398&amp;"|"&amp;$W398,"")</f>
        <v/>
      </c>
      <c r="AB398" s="27">
        <f>IF(ISNUMBER($F398),$A398&amp;"|"&amp;$F398,"")</f>
        <v/>
      </c>
      <c r="AC398" s="27">
        <f>IF(ISNUMBER($P398),COUNTIFS($A$14:$A$1213,$A398,$P$14:$P$1213,"&gt;"&amp;$P398)+(COUNTIFS($A$14:$A$1213,$A398,$P$14:$P$1213,"="&amp;$P398)+1)/2,"")</f>
        <v/>
      </c>
      <c r="AD398" s="27">
        <f>IF(ISNUMBER($Q398),COUNTIFS($A$14:$A$1213,$A398,$Q$14:$Q$1213,"&gt;"&amp;$Q398)+(COUNTIFS($A$14:$A$1213,$A398,$Q$14:$Q$1213,"="&amp;$Q398)+1)/2,"")</f>
        <v/>
      </c>
      <c r="AE398" s="27">
        <f>IF(ISNUMBER($R398),COUNTIFS($A$14:$A$1213,$A398,$R$14:$R$1213,"&gt;"&amp;$R398)+(COUNTIFS($A$14:$A$1213,$A398,$R$14:$R$1213,"="&amp;$R398)+1)/2,"")</f>
        <v/>
      </c>
      <c r="AF398" s="27">
        <f>IF(ISNUMBER($S398),COUNTIFS($A$14:$A$1213,$A398,$S$14:$S$1213,"&gt;"&amp;$S398)+(COUNTIFS($A$14:$A$1213,$A398,$S$14:$S$1213,"="&amp;$S398)+1)/2,"")</f>
        <v/>
      </c>
      <c r="AG398" s="27">
        <f>IF(ISNUMBER($T398),COUNTIFS($A$14:$A$1213,$A398,$T$14:$T$1213,"&gt;"&amp;$T398)+(COUNTIFS($A$14:$A$1213,$A398,$T$14:$T$1213,"="&amp;$T398)+1)/2,"")</f>
        <v/>
      </c>
      <c r="AH398" s="27">
        <f>IF(COUNT($AC398:$AG398)&lt;2,"",IF(MAX($AC398:$AG398)=MIN($AC398:$AG398),0,1))</f>
        <v/>
      </c>
      <c r="AI398" s="27">
        <f>IF($A398="","",IF(COUNTIF($A$14:$A398,$A398)=1,COUNTIF($AI$13:AI397,"&gt;0")+1,""))</f>
        <v/>
      </c>
      <c r="AO398" s="27">
        <f>IF($A398="","",IF(AND(COUNTIFS($A$14:$A$1213,$A398,$F$14:$F$1213,"&gt;=0")=2,IFERROR(INDEX($M$14:$M$313,MATCH($A398,$H$14:$H$313,0)),"Yes")&lt;&gt;"Yes"),1,0))</f>
        <v/>
      </c>
    </row>
    <row r="399">
      <c r="A399" s="19" t="n"/>
      <c r="B399" s="20" t="n"/>
      <c r="C399" s="21">
        <f>IFERROR(AVERAGE(P399:T399),"")</f>
        <v/>
      </c>
      <c r="D399" s="29" t="n"/>
      <c r="E399" s="29" t="n"/>
      <c r="F399" s="30">
        <f>IF(AND(ISNUMBER($D399),ISNUMBER($E399),$E399&gt;0,$D399&lt;=$E399),$D399/$E399,"")</f>
        <v/>
      </c>
      <c r="P399" s="26" t="n"/>
      <c r="Q399" s="26" t="n"/>
      <c r="R399" s="26" t="n"/>
      <c r="S399" s="26" t="n"/>
      <c r="T399" s="26" t="n"/>
      <c r="V399" s="27">
        <f>IF(ISNUMBER($C399),COUNTIFS($A$14:$A$1213,$A399,$C$14:$C$1213,"&gt;"&amp;$C399)+(COUNTIFS($A$14:$A$1213,$A399,$C$14:$C$1213,"="&amp;$C399)+1)/2,"")</f>
        <v/>
      </c>
      <c r="W399" s="27">
        <f>IF(ISNUMBER($F399),COUNTIFS($A$14:$A$1213,$A399,$F$14:$F$1213,"&gt;"&amp;$F399)+(COUNTIFS($A$14:$A$1213,$A399,$F$14:$F$1213,"="&amp;$F399)+1)/2,"")</f>
        <v/>
      </c>
      <c r="X399" s="27">
        <f>IF(OR(NOT(ISNUMBER($V399)),$AO399=1),"",$V399-(COUNTIFS($A$14:$A$1213,$A399,$C$14:$C$1213,"&gt;=0")+1)/2)</f>
        <v/>
      </c>
      <c r="Y399" s="27">
        <f>IF(OR(NOT(ISNUMBER($W399)),$AO399=1),"",$W399-(COUNTIFS($A$14:$A$1213,$A399,$F$14:$F$1213,"&gt;=0")+1)/2)</f>
        <v/>
      </c>
      <c r="Z399" s="27">
        <f>IF(ISNUMBER($V399),$A399&amp;"|"&amp;$V399,"")</f>
        <v/>
      </c>
      <c r="AA399" s="27">
        <f>IF(ISNUMBER($W399),$A399&amp;"|"&amp;$W399,"")</f>
        <v/>
      </c>
      <c r="AB399" s="27">
        <f>IF(ISNUMBER($F399),$A399&amp;"|"&amp;$F399,"")</f>
        <v/>
      </c>
      <c r="AC399" s="27">
        <f>IF(ISNUMBER($P399),COUNTIFS($A$14:$A$1213,$A399,$P$14:$P$1213,"&gt;"&amp;$P399)+(COUNTIFS($A$14:$A$1213,$A399,$P$14:$P$1213,"="&amp;$P399)+1)/2,"")</f>
        <v/>
      </c>
      <c r="AD399" s="27">
        <f>IF(ISNUMBER($Q399),COUNTIFS($A$14:$A$1213,$A399,$Q$14:$Q$1213,"&gt;"&amp;$Q399)+(COUNTIFS($A$14:$A$1213,$A399,$Q$14:$Q$1213,"="&amp;$Q399)+1)/2,"")</f>
        <v/>
      </c>
      <c r="AE399" s="27">
        <f>IF(ISNUMBER($R399),COUNTIFS($A$14:$A$1213,$A399,$R$14:$R$1213,"&gt;"&amp;$R399)+(COUNTIFS($A$14:$A$1213,$A399,$R$14:$R$1213,"="&amp;$R399)+1)/2,"")</f>
        <v/>
      </c>
      <c r="AF399" s="27">
        <f>IF(ISNUMBER($S399),COUNTIFS($A$14:$A$1213,$A399,$S$14:$S$1213,"&gt;"&amp;$S399)+(COUNTIFS($A$14:$A$1213,$A399,$S$14:$S$1213,"="&amp;$S399)+1)/2,"")</f>
        <v/>
      </c>
      <c r="AG399" s="27">
        <f>IF(ISNUMBER($T399),COUNTIFS($A$14:$A$1213,$A399,$T$14:$T$1213,"&gt;"&amp;$T399)+(COUNTIFS($A$14:$A$1213,$A399,$T$14:$T$1213,"="&amp;$T399)+1)/2,"")</f>
        <v/>
      </c>
      <c r="AH399" s="27">
        <f>IF(COUNT($AC399:$AG399)&lt;2,"",IF(MAX($AC399:$AG399)=MIN($AC399:$AG399),0,1))</f>
        <v/>
      </c>
      <c r="AI399" s="27">
        <f>IF($A399="","",IF(COUNTIF($A$14:$A399,$A399)=1,COUNTIF($AI$13:AI398,"&gt;0")+1,""))</f>
        <v/>
      </c>
      <c r="AO399" s="27">
        <f>IF($A399="","",IF(AND(COUNTIFS($A$14:$A$1213,$A399,$F$14:$F$1213,"&gt;=0")=2,IFERROR(INDEX($M$14:$M$313,MATCH($A399,$H$14:$H$313,0)),"Yes")&lt;&gt;"Yes"),1,0))</f>
        <v/>
      </c>
    </row>
    <row r="400">
      <c r="A400" s="19" t="n"/>
      <c r="B400" s="20" t="n"/>
      <c r="C400" s="21">
        <f>IFERROR(AVERAGE(P400:T400),"")</f>
        <v/>
      </c>
      <c r="D400" s="29" t="n"/>
      <c r="E400" s="29" t="n"/>
      <c r="F400" s="30">
        <f>IF(AND(ISNUMBER($D400),ISNUMBER($E400),$E400&gt;0,$D400&lt;=$E400),$D400/$E400,"")</f>
        <v/>
      </c>
      <c r="P400" s="26" t="n"/>
      <c r="Q400" s="26" t="n"/>
      <c r="R400" s="26" t="n"/>
      <c r="S400" s="26" t="n"/>
      <c r="T400" s="26" t="n"/>
      <c r="V400" s="27">
        <f>IF(ISNUMBER($C400),COUNTIFS($A$14:$A$1213,$A400,$C$14:$C$1213,"&gt;"&amp;$C400)+(COUNTIFS($A$14:$A$1213,$A400,$C$14:$C$1213,"="&amp;$C400)+1)/2,"")</f>
        <v/>
      </c>
      <c r="W400" s="27">
        <f>IF(ISNUMBER($F400),COUNTIFS($A$14:$A$1213,$A400,$F$14:$F$1213,"&gt;"&amp;$F400)+(COUNTIFS($A$14:$A$1213,$A400,$F$14:$F$1213,"="&amp;$F400)+1)/2,"")</f>
        <v/>
      </c>
      <c r="X400" s="27">
        <f>IF(OR(NOT(ISNUMBER($V400)),$AO400=1),"",$V400-(COUNTIFS($A$14:$A$1213,$A400,$C$14:$C$1213,"&gt;=0")+1)/2)</f>
        <v/>
      </c>
      <c r="Y400" s="27">
        <f>IF(OR(NOT(ISNUMBER($W400)),$AO400=1),"",$W400-(COUNTIFS($A$14:$A$1213,$A400,$F$14:$F$1213,"&gt;=0")+1)/2)</f>
        <v/>
      </c>
      <c r="Z400" s="27">
        <f>IF(ISNUMBER($V400),$A400&amp;"|"&amp;$V400,"")</f>
        <v/>
      </c>
      <c r="AA400" s="27">
        <f>IF(ISNUMBER($W400),$A400&amp;"|"&amp;$W400,"")</f>
        <v/>
      </c>
      <c r="AB400" s="27">
        <f>IF(ISNUMBER($F400),$A400&amp;"|"&amp;$F400,"")</f>
        <v/>
      </c>
      <c r="AC400" s="27">
        <f>IF(ISNUMBER($P400),COUNTIFS($A$14:$A$1213,$A400,$P$14:$P$1213,"&gt;"&amp;$P400)+(COUNTIFS($A$14:$A$1213,$A400,$P$14:$P$1213,"="&amp;$P400)+1)/2,"")</f>
        <v/>
      </c>
      <c r="AD400" s="27">
        <f>IF(ISNUMBER($Q400),COUNTIFS($A$14:$A$1213,$A400,$Q$14:$Q$1213,"&gt;"&amp;$Q400)+(COUNTIFS($A$14:$A$1213,$A400,$Q$14:$Q$1213,"="&amp;$Q400)+1)/2,"")</f>
        <v/>
      </c>
      <c r="AE400" s="27">
        <f>IF(ISNUMBER($R400),COUNTIFS($A$14:$A$1213,$A400,$R$14:$R$1213,"&gt;"&amp;$R400)+(COUNTIFS($A$14:$A$1213,$A400,$R$14:$R$1213,"="&amp;$R400)+1)/2,"")</f>
        <v/>
      </c>
      <c r="AF400" s="27">
        <f>IF(ISNUMBER($S400),COUNTIFS($A$14:$A$1213,$A400,$S$14:$S$1213,"&gt;"&amp;$S400)+(COUNTIFS($A$14:$A$1213,$A400,$S$14:$S$1213,"="&amp;$S400)+1)/2,"")</f>
        <v/>
      </c>
      <c r="AG400" s="27">
        <f>IF(ISNUMBER($T400),COUNTIFS($A$14:$A$1213,$A400,$T$14:$T$1213,"&gt;"&amp;$T400)+(COUNTIFS($A$14:$A$1213,$A400,$T$14:$T$1213,"="&amp;$T400)+1)/2,"")</f>
        <v/>
      </c>
      <c r="AH400" s="27">
        <f>IF(COUNT($AC400:$AG400)&lt;2,"",IF(MAX($AC400:$AG400)=MIN($AC400:$AG400),0,1))</f>
        <v/>
      </c>
      <c r="AI400" s="27">
        <f>IF($A400="","",IF(COUNTIF($A$14:$A400,$A400)=1,COUNTIF($AI$13:AI399,"&gt;0")+1,""))</f>
        <v/>
      </c>
      <c r="AO400" s="27">
        <f>IF($A400="","",IF(AND(COUNTIFS($A$14:$A$1213,$A400,$F$14:$F$1213,"&gt;=0")=2,IFERROR(INDEX($M$14:$M$313,MATCH($A400,$H$14:$H$313,0)),"Yes")&lt;&gt;"Yes"),1,0))</f>
        <v/>
      </c>
    </row>
    <row r="401">
      <c r="A401" s="19" t="n"/>
      <c r="B401" s="20" t="n"/>
      <c r="C401" s="21">
        <f>IFERROR(AVERAGE(P401:T401),"")</f>
        <v/>
      </c>
      <c r="D401" s="29" t="n"/>
      <c r="E401" s="29" t="n"/>
      <c r="F401" s="30">
        <f>IF(AND(ISNUMBER($D401),ISNUMBER($E401),$E401&gt;0,$D401&lt;=$E401),$D401/$E401,"")</f>
        <v/>
      </c>
      <c r="P401" s="26" t="n"/>
      <c r="Q401" s="26" t="n"/>
      <c r="R401" s="26" t="n"/>
      <c r="S401" s="26" t="n"/>
      <c r="T401" s="26" t="n"/>
      <c r="V401" s="27">
        <f>IF(ISNUMBER($C401),COUNTIFS($A$14:$A$1213,$A401,$C$14:$C$1213,"&gt;"&amp;$C401)+(COUNTIFS($A$14:$A$1213,$A401,$C$14:$C$1213,"="&amp;$C401)+1)/2,"")</f>
        <v/>
      </c>
      <c r="W401" s="27">
        <f>IF(ISNUMBER($F401),COUNTIFS($A$14:$A$1213,$A401,$F$14:$F$1213,"&gt;"&amp;$F401)+(COUNTIFS($A$14:$A$1213,$A401,$F$14:$F$1213,"="&amp;$F401)+1)/2,"")</f>
        <v/>
      </c>
      <c r="X401" s="27">
        <f>IF(OR(NOT(ISNUMBER($V401)),$AO401=1),"",$V401-(COUNTIFS($A$14:$A$1213,$A401,$C$14:$C$1213,"&gt;=0")+1)/2)</f>
        <v/>
      </c>
      <c r="Y401" s="27">
        <f>IF(OR(NOT(ISNUMBER($W401)),$AO401=1),"",$W401-(COUNTIFS($A$14:$A$1213,$A401,$F$14:$F$1213,"&gt;=0")+1)/2)</f>
        <v/>
      </c>
      <c r="Z401" s="27">
        <f>IF(ISNUMBER($V401),$A401&amp;"|"&amp;$V401,"")</f>
        <v/>
      </c>
      <c r="AA401" s="27">
        <f>IF(ISNUMBER($W401),$A401&amp;"|"&amp;$W401,"")</f>
        <v/>
      </c>
      <c r="AB401" s="27">
        <f>IF(ISNUMBER($F401),$A401&amp;"|"&amp;$F401,"")</f>
        <v/>
      </c>
      <c r="AC401" s="27">
        <f>IF(ISNUMBER($P401),COUNTIFS($A$14:$A$1213,$A401,$P$14:$P$1213,"&gt;"&amp;$P401)+(COUNTIFS($A$14:$A$1213,$A401,$P$14:$P$1213,"="&amp;$P401)+1)/2,"")</f>
        <v/>
      </c>
      <c r="AD401" s="27">
        <f>IF(ISNUMBER($Q401),COUNTIFS($A$14:$A$1213,$A401,$Q$14:$Q$1213,"&gt;"&amp;$Q401)+(COUNTIFS($A$14:$A$1213,$A401,$Q$14:$Q$1213,"="&amp;$Q401)+1)/2,"")</f>
        <v/>
      </c>
      <c r="AE401" s="27">
        <f>IF(ISNUMBER($R401),COUNTIFS($A$14:$A$1213,$A401,$R$14:$R$1213,"&gt;"&amp;$R401)+(COUNTIFS($A$14:$A$1213,$A401,$R$14:$R$1213,"="&amp;$R401)+1)/2,"")</f>
        <v/>
      </c>
      <c r="AF401" s="27">
        <f>IF(ISNUMBER($S401),COUNTIFS($A$14:$A$1213,$A401,$S$14:$S$1213,"&gt;"&amp;$S401)+(COUNTIFS($A$14:$A$1213,$A401,$S$14:$S$1213,"="&amp;$S401)+1)/2,"")</f>
        <v/>
      </c>
      <c r="AG401" s="27">
        <f>IF(ISNUMBER($T401),COUNTIFS($A$14:$A$1213,$A401,$T$14:$T$1213,"&gt;"&amp;$T401)+(COUNTIFS($A$14:$A$1213,$A401,$T$14:$T$1213,"="&amp;$T401)+1)/2,"")</f>
        <v/>
      </c>
      <c r="AH401" s="27">
        <f>IF(COUNT($AC401:$AG401)&lt;2,"",IF(MAX($AC401:$AG401)=MIN($AC401:$AG401),0,1))</f>
        <v/>
      </c>
      <c r="AI401" s="27">
        <f>IF($A401="","",IF(COUNTIF($A$14:$A401,$A401)=1,COUNTIF($AI$13:AI400,"&gt;0")+1,""))</f>
        <v/>
      </c>
      <c r="AO401" s="27">
        <f>IF($A401="","",IF(AND(COUNTIFS($A$14:$A$1213,$A401,$F$14:$F$1213,"&gt;=0")=2,IFERROR(INDEX($M$14:$M$313,MATCH($A401,$H$14:$H$313,0)),"Yes")&lt;&gt;"Yes"),1,0))</f>
        <v/>
      </c>
    </row>
    <row r="402">
      <c r="A402" s="19" t="n"/>
      <c r="B402" s="20" t="n"/>
      <c r="C402" s="21">
        <f>IFERROR(AVERAGE(P402:T402),"")</f>
        <v/>
      </c>
      <c r="D402" s="29" t="n"/>
      <c r="E402" s="29" t="n"/>
      <c r="F402" s="30">
        <f>IF(AND(ISNUMBER($D402),ISNUMBER($E402),$E402&gt;0,$D402&lt;=$E402),$D402/$E402,"")</f>
        <v/>
      </c>
      <c r="P402" s="26" t="n"/>
      <c r="Q402" s="26" t="n"/>
      <c r="R402" s="26" t="n"/>
      <c r="S402" s="26" t="n"/>
      <c r="T402" s="26" t="n"/>
      <c r="V402" s="27">
        <f>IF(ISNUMBER($C402),COUNTIFS($A$14:$A$1213,$A402,$C$14:$C$1213,"&gt;"&amp;$C402)+(COUNTIFS($A$14:$A$1213,$A402,$C$14:$C$1213,"="&amp;$C402)+1)/2,"")</f>
        <v/>
      </c>
      <c r="W402" s="27">
        <f>IF(ISNUMBER($F402),COUNTIFS($A$14:$A$1213,$A402,$F$14:$F$1213,"&gt;"&amp;$F402)+(COUNTIFS($A$14:$A$1213,$A402,$F$14:$F$1213,"="&amp;$F402)+1)/2,"")</f>
        <v/>
      </c>
      <c r="X402" s="27">
        <f>IF(OR(NOT(ISNUMBER($V402)),$AO402=1),"",$V402-(COUNTIFS($A$14:$A$1213,$A402,$C$14:$C$1213,"&gt;=0")+1)/2)</f>
        <v/>
      </c>
      <c r="Y402" s="27">
        <f>IF(OR(NOT(ISNUMBER($W402)),$AO402=1),"",$W402-(COUNTIFS($A$14:$A$1213,$A402,$F$14:$F$1213,"&gt;=0")+1)/2)</f>
        <v/>
      </c>
      <c r="Z402" s="27">
        <f>IF(ISNUMBER($V402),$A402&amp;"|"&amp;$V402,"")</f>
        <v/>
      </c>
      <c r="AA402" s="27">
        <f>IF(ISNUMBER($W402),$A402&amp;"|"&amp;$W402,"")</f>
        <v/>
      </c>
      <c r="AB402" s="27">
        <f>IF(ISNUMBER($F402),$A402&amp;"|"&amp;$F402,"")</f>
        <v/>
      </c>
      <c r="AC402" s="27">
        <f>IF(ISNUMBER($P402),COUNTIFS($A$14:$A$1213,$A402,$P$14:$P$1213,"&gt;"&amp;$P402)+(COUNTIFS($A$14:$A$1213,$A402,$P$14:$P$1213,"="&amp;$P402)+1)/2,"")</f>
        <v/>
      </c>
      <c r="AD402" s="27">
        <f>IF(ISNUMBER($Q402),COUNTIFS($A$14:$A$1213,$A402,$Q$14:$Q$1213,"&gt;"&amp;$Q402)+(COUNTIFS($A$14:$A$1213,$A402,$Q$14:$Q$1213,"="&amp;$Q402)+1)/2,"")</f>
        <v/>
      </c>
      <c r="AE402" s="27">
        <f>IF(ISNUMBER($R402),COUNTIFS($A$14:$A$1213,$A402,$R$14:$R$1213,"&gt;"&amp;$R402)+(COUNTIFS($A$14:$A$1213,$A402,$R$14:$R$1213,"="&amp;$R402)+1)/2,"")</f>
        <v/>
      </c>
      <c r="AF402" s="27">
        <f>IF(ISNUMBER($S402),COUNTIFS($A$14:$A$1213,$A402,$S$14:$S$1213,"&gt;"&amp;$S402)+(COUNTIFS($A$14:$A$1213,$A402,$S$14:$S$1213,"="&amp;$S402)+1)/2,"")</f>
        <v/>
      </c>
      <c r="AG402" s="27">
        <f>IF(ISNUMBER($T402),COUNTIFS($A$14:$A$1213,$A402,$T$14:$T$1213,"&gt;"&amp;$T402)+(COUNTIFS($A$14:$A$1213,$A402,$T$14:$T$1213,"="&amp;$T402)+1)/2,"")</f>
        <v/>
      </c>
      <c r="AH402" s="27">
        <f>IF(COUNT($AC402:$AG402)&lt;2,"",IF(MAX($AC402:$AG402)=MIN($AC402:$AG402),0,1))</f>
        <v/>
      </c>
      <c r="AI402" s="27">
        <f>IF($A402="","",IF(COUNTIF($A$14:$A402,$A402)=1,COUNTIF($AI$13:AI401,"&gt;0")+1,""))</f>
        <v/>
      </c>
      <c r="AO402" s="27">
        <f>IF($A402="","",IF(AND(COUNTIFS($A$14:$A$1213,$A402,$F$14:$F$1213,"&gt;=0")=2,IFERROR(INDEX($M$14:$M$313,MATCH($A402,$H$14:$H$313,0)),"Yes")&lt;&gt;"Yes"),1,0))</f>
        <v/>
      </c>
    </row>
    <row r="403">
      <c r="A403" s="19" t="n"/>
      <c r="B403" s="20" t="n"/>
      <c r="C403" s="21">
        <f>IFERROR(AVERAGE(P403:T403),"")</f>
        <v/>
      </c>
      <c r="D403" s="29" t="n"/>
      <c r="E403" s="29" t="n"/>
      <c r="F403" s="30">
        <f>IF(AND(ISNUMBER($D403),ISNUMBER($E403),$E403&gt;0,$D403&lt;=$E403),$D403/$E403,"")</f>
        <v/>
      </c>
      <c r="P403" s="26" t="n"/>
      <c r="Q403" s="26" t="n"/>
      <c r="R403" s="26" t="n"/>
      <c r="S403" s="26" t="n"/>
      <c r="T403" s="26" t="n"/>
      <c r="V403" s="27">
        <f>IF(ISNUMBER($C403),COUNTIFS($A$14:$A$1213,$A403,$C$14:$C$1213,"&gt;"&amp;$C403)+(COUNTIFS($A$14:$A$1213,$A403,$C$14:$C$1213,"="&amp;$C403)+1)/2,"")</f>
        <v/>
      </c>
      <c r="W403" s="27">
        <f>IF(ISNUMBER($F403),COUNTIFS($A$14:$A$1213,$A403,$F$14:$F$1213,"&gt;"&amp;$F403)+(COUNTIFS($A$14:$A$1213,$A403,$F$14:$F$1213,"="&amp;$F403)+1)/2,"")</f>
        <v/>
      </c>
      <c r="X403" s="27">
        <f>IF(OR(NOT(ISNUMBER($V403)),$AO403=1),"",$V403-(COUNTIFS($A$14:$A$1213,$A403,$C$14:$C$1213,"&gt;=0")+1)/2)</f>
        <v/>
      </c>
      <c r="Y403" s="27">
        <f>IF(OR(NOT(ISNUMBER($W403)),$AO403=1),"",$W403-(COUNTIFS($A$14:$A$1213,$A403,$F$14:$F$1213,"&gt;=0")+1)/2)</f>
        <v/>
      </c>
      <c r="Z403" s="27">
        <f>IF(ISNUMBER($V403),$A403&amp;"|"&amp;$V403,"")</f>
        <v/>
      </c>
      <c r="AA403" s="27">
        <f>IF(ISNUMBER($W403),$A403&amp;"|"&amp;$W403,"")</f>
        <v/>
      </c>
      <c r="AB403" s="27">
        <f>IF(ISNUMBER($F403),$A403&amp;"|"&amp;$F403,"")</f>
        <v/>
      </c>
      <c r="AC403" s="27">
        <f>IF(ISNUMBER($P403),COUNTIFS($A$14:$A$1213,$A403,$P$14:$P$1213,"&gt;"&amp;$P403)+(COUNTIFS($A$14:$A$1213,$A403,$P$14:$P$1213,"="&amp;$P403)+1)/2,"")</f>
        <v/>
      </c>
      <c r="AD403" s="27">
        <f>IF(ISNUMBER($Q403),COUNTIFS($A$14:$A$1213,$A403,$Q$14:$Q$1213,"&gt;"&amp;$Q403)+(COUNTIFS($A$14:$A$1213,$A403,$Q$14:$Q$1213,"="&amp;$Q403)+1)/2,"")</f>
        <v/>
      </c>
      <c r="AE403" s="27">
        <f>IF(ISNUMBER($R403),COUNTIFS($A$14:$A$1213,$A403,$R$14:$R$1213,"&gt;"&amp;$R403)+(COUNTIFS($A$14:$A$1213,$A403,$R$14:$R$1213,"="&amp;$R403)+1)/2,"")</f>
        <v/>
      </c>
      <c r="AF403" s="27">
        <f>IF(ISNUMBER($S403),COUNTIFS($A$14:$A$1213,$A403,$S$14:$S$1213,"&gt;"&amp;$S403)+(COUNTIFS($A$14:$A$1213,$A403,$S$14:$S$1213,"="&amp;$S403)+1)/2,"")</f>
        <v/>
      </c>
      <c r="AG403" s="27">
        <f>IF(ISNUMBER($T403),COUNTIFS($A$14:$A$1213,$A403,$T$14:$T$1213,"&gt;"&amp;$T403)+(COUNTIFS($A$14:$A$1213,$A403,$T$14:$T$1213,"="&amp;$T403)+1)/2,"")</f>
        <v/>
      </c>
      <c r="AH403" s="27">
        <f>IF(COUNT($AC403:$AG403)&lt;2,"",IF(MAX($AC403:$AG403)=MIN($AC403:$AG403),0,1))</f>
        <v/>
      </c>
      <c r="AI403" s="27">
        <f>IF($A403="","",IF(COUNTIF($A$14:$A403,$A403)=1,COUNTIF($AI$13:AI402,"&gt;0")+1,""))</f>
        <v/>
      </c>
      <c r="AO403" s="27">
        <f>IF($A403="","",IF(AND(COUNTIFS($A$14:$A$1213,$A403,$F$14:$F$1213,"&gt;=0")=2,IFERROR(INDEX($M$14:$M$313,MATCH($A403,$H$14:$H$313,0)),"Yes")&lt;&gt;"Yes"),1,0))</f>
        <v/>
      </c>
    </row>
    <row r="404">
      <c r="A404" s="19" t="n"/>
      <c r="B404" s="20" t="n"/>
      <c r="C404" s="21">
        <f>IFERROR(AVERAGE(P404:T404),"")</f>
        <v/>
      </c>
      <c r="D404" s="29" t="n"/>
      <c r="E404" s="29" t="n"/>
      <c r="F404" s="30">
        <f>IF(AND(ISNUMBER($D404),ISNUMBER($E404),$E404&gt;0,$D404&lt;=$E404),$D404/$E404,"")</f>
        <v/>
      </c>
      <c r="P404" s="26" t="n"/>
      <c r="Q404" s="26" t="n"/>
      <c r="R404" s="26" t="n"/>
      <c r="S404" s="26" t="n"/>
      <c r="T404" s="26" t="n"/>
      <c r="V404" s="27">
        <f>IF(ISNUMBER($C404),COUNTIFS($A$14:$A$1213,$A404,$C$14:$C$1213,"&gt;"&amp;$C404)+(COUNTIFS($A$14:$A$1213,$A404,$C$14:$C$1213,"="&amp;$C404)+1)/2,"")</f>
        <v/>
      </c>
      <c r="W404" s="27">
        <f>IF(ISNUMBER($F404),COUNTIFS($A$14:$A$1213,$A404,$F$14:$F$1213,"&gt;"&amp;$F404)+(COUNTIFS($A$14:$A$1213,$A404,$F$14:$F$1213,"="&amp;$F404)+1)/2,"")</f>
        <v/>
      </c>
      <c r="X404" s="27">
        <f>IF(OR(NOT(ISNUMBER($V404)),$AO404=1),"",$V404-(COUNTIFS($A$14:$A$1213,$A404,$C$14:$C$1213,"&gt;=0")+1)/2)</f>
        <v/>
      </c>
      <c r="Y404" s="27">
        <f>IF(OR(NOT(ISNUMBER($W404)),$AO404=1),"",$W404-(COUNTIFS($A$14:$A$1213,$A404,$F$14:$F$1213,"&gt;=0")+1)/2)</f>
        <v/>
      </c>
      <c r="Z404" s="27">
        <f>IF(ISNUMBER($V404),$A404&amp;"|"&amp;$V404,"")</f>
        <v/>
      </c>
      <c r="AA404" s="27">
        <f>IF(ISNUMBER($W404),$A404&amp;"|"&amp;$W404,"")</f>
        <v/>
      </c>
      <c r="AB404" s="27">
        <f>IF(ISNUMBER($F404),$A404&amp;"|"&amp;$F404,"")</f>
        <v/>
      </c>
      <c r="AC404" s="27">
        <f>IF(ISNUMBER($P404),COUNTIFS($A$14:$A$1213,$A404,$P$14:$P$1213,"&gt;"&amp;$P404)+(COUNTIFS($A$14:$A$1213,$A404,$P$14:$P$1213,"="&amp;$P404)+1)/2,"")</f>
        <v/>
      </c>
      <c r="AD404" s="27">
        <f>IF(ISNUMBER($Q404),COUNTIFS($A$14:$A$1213,$A404,$Q$14:$Q$1213,"&gt;"&amp;$Q404)+(COUNTIFS($A$14:$A$1213,$A404,$Q$14:$Q$1213,"="&amp;$Q404)+1)/2,"")</f>
        <v/>
      </c>
      <c r="AE404" s="27">
        <f>IF(ISNUMBER($R404),COUNTIFS($A$14:$A$1213,$A404,$R$14:$R$1213,"&gt;"&amp;$R404)+(COUNTIFS($A$14:$A$1213,$A404,$R$14:$R$1213,"="&amp;$R404)+1)/2,"")</f>
        <v/>
      </c>
      <c r="AF404" s="27">
        <f>IF(ISNUMBER($S404),COUNTIFS($A$14:$A$1213,$A404,$S$14:$S$1213,"&gt;"&amp;$S404)+(COUNTIFS($A$14:$A$1213,$A404,$S$14:$S$1213,"="&amp;$S404)+1)/2,"")</f>
        <v/>
      </c>
      <c r="AG404" s="27">
        <f>IF(ISNUMBER($T404),COUNTIFS($A$14:$A$1213,$A404,$T$14:$T$1213,"&gt;"&amp;$T404)+(COUNTIFS($A$14:$A$1213,$A404,$T$14:$T$1213,"="&amp;$T404)+1)/2,"")</f>
        <v/>
      </c>
      <c r="AH404" s="27">
        <f>IF(COUNT($AC404:$AG404)&lt;2,"",IF(MAX($AC404:$AG404)=MIN($AC404:$AG404),0,1))</f>
        <v/>
      </c>
      <c r="AI404" s="27">
        <f>IF($A404="","",IF(COUNTIF($A$14:$A404,$A404)=1,COUNTIF($AI$13:AI403,"&gt;0")+1,""))</f>
        <v/>
      </c>
      <c r="AO404" s="27">
        <f>IF($A404="","",IF(AND(COUNTIFS($A$14:$A$1213,$A404,$F$14:$F$1213,"&gt;=0")=2,IFERROR(INDEX($M$14:$M$313,MATCH($A404,$H$14:$H$313,0)),"Yes")&lt;&gt;"Yes"),1,0))</f>
        <v/>
      </c>
    </row>
    <row r="405">
      <c r="A405" s="19" t="n"/>
      <c r="B405" s="20" t="n"/>
      <c r="C405" s="21">
        <f>IFERROR(AVERAGE(P405:T405),"")</f>
        <v/>
      </c>
      <c r="D405" s="29" t="n"/>
      <c r="E405" s="29" t="n"/>
      <c r="F405" s="30">
        <f>IF(AND(ISNUMBER($D405),ISNUMBER($E405),$E405&gt;0,$D405&lt;=$E405),$D405/$E405,"")</f>
        <v/>
      </c>
      <c r="P405" s="26" t="n"/>
      <c r="Q405" s="26" t="n"/>
      <c r="R405" s="26" t="n"/>
      <c r="S405" s="26" t="n"/>
      <c r="T405" s="26" t="n"/>
      <c r="V405" s="27">
        <f>IF(ISNUMBER($C405),COUNTIFS($A$14:$A$1213,$A405,$C$14:$C$1213,"&gt;"&amp;$C405)+(COUNTIFS($A$14:$A$1213,$A405,$C$14:$C$1213,"="&amp;$C405)+1)/2,"")</f>
        <v/>
      </c>
      <c r="W405" s="27">
        <f>IF(ISNUMBER($F405),COUNTIFS($A$14:$A$1213,$A405,$F$14:$F$1213,"&gt;"&amp;$F405)+(COUNTIFS($A$14:$A$1213,$A405,$F$14:$F$1213,"="&amp;$F405)+1)/2,"")</f>
        <v/>
      </c>
      <c r="X405" s="27">
        <f>IF(OR(NOT(ISNUMBER($V405)),$AO405=1),"",$V405-(COUNTIFS($A$14:$A$1213,$A405,$C$14:$C$1213,"&gt;=0")+1)/2)</f>
        <v/>
      </c>
      <c r="Y405" s="27">
        <f>IF(OR(NOT(ISNUMBER($W405)),$AO405=1),"",$W405-(COUNTIFS($A$14:$A$1213,$A405,$F$14:$F$1213,"&gt;=0")+1)/2)</f>
        <v/>
      </c>
      <c r="Z405" s="27">
        <f>IF(ISNUMBER($V405),$A405&amp;"|"&amp;$V405,"")</f>
        <v/>
      </c>
      <c r="AA405" s="27">
        <f>IF(ISNUMBER($W405),$A405&amp;"|"&amp;$W405,"")</f>
        <v/>
      </c>
      <c r="AB405" s="27">
        <f>IF(ISNUMBER($F405),$A405&amp;"|"&amp;$F405,"")</f>
        <v/>
      </c>
      <c r="AC405" s="27">
        <f>IF(ISNUMBER($P405),COUNTIFS($A$14:$A$1213,$A405,$P$14:$P$1213,"&gt;"&amp;$P405)+(COUNTIFS($A$14:$A$1213,$A405,$P$14:$P$1213,"="&amp;$P405)+1)/2,"")</f>
        <v/>
      </c>
      <c r="AD405" s="27">
        <f>IF(ISNUMBER($Q405),COUNTIFS($A$14:$A$1213,$A405,$Q$14:$Q$1213,"&gt;"&amp;$Q405)+(COUNTIFS($A$14:$A$1213,$A405,$Q$14:$Q$1213,"="&amp;$Q405)+1)/2,"")</f>
        <v/>
      </c>
      <c r="AE405" s="27">
        <f>IF(ISNUMBER($R405),COUNTIFS($A$14:$A$1213,$A405,$R$14:$R$1213,"&gt;"&amp;$R405)+(COUNTIFS($A$14:$A$1213,$A405,$R$14:$R$1213,"="&amp;$R405)+1)/2,"")</f>
        <v/>
      </c>
      <c r="AF405" s="27">
        <f>IF(ISNUMBER($S405),COUNTIFS($A$14:$A$1213,$A405,$S$14:$S$1213,"&gt;"&amp;$S405)+(COUNTIFS($A$14:$A$1213,$A405,$S$14:$S$1213,"="&amp;$S405)+1)/2,"")</f>
        <v/>
      </c>
      <c r="AG405" s="27">
        <f>IF(ISNUMBER($T405),COUNTIFS($A$14:$A$1213,$A405,$T$14:$T$1213,"&gt;"&amp;$T405)+(COUNTIFS($A$14:$A$1213,$A405,$T$14:$T$1213,"="&amp;$T405)+1)/2,"")</f>
        <v/>
      </c>
      <c r="AH405" s="27">
        <f>IF(COUNT($AC405:$AG405)&lt;2,"",IF(MAX($AC405:$AG405)=MIN($AC405:$AG405),0,1))</f>
        <v/>
      </c>
      <c r="AI405" s="27">
        <f>IF($A405="","",IF(COUNTIF($A$14:$A405,$A405)=1,COUNTIF($AI$13:AI404,"&gt;0")+1,""))</f>
        <v/>
      </c>
      <c r="AO405" s="27">
        <f>IF($A405="","",IF(AND(COUNTIFS($A$14:$A$1213,$A405,$F$14:$F$1213,"&gt;=0")=2,IFERROR(INDEX($M$14:$M$313,MATCH($A405,$H$14:$H$313,0)),"Yes")&lt;&gt;"Yes"),1,0))</f>
        <v/>
      </c>
    </row>
    <row r="406">
      <c r="A406" s="19" t="n"/>
      <c r="B406" s="20" t="n"/>
      <c r="C406" s="21">
        <f>IFERROR(AVERAGE(P406:T406),"")</f>
        <v/>
      </c>
      <c r="D406" s="29" t="n"/>
      <c r="E406" s="29" t="n"/>
      <c r="F406" s="30">
        <f>IF(AND(ISNUMBER($D406),ISNUMBER($E406),$E406&gt;0,$D406&lt;=$E406),$D406/$E406,"")</f>
        <v/>
      </c>
      <c r="P406" s="26" t="n"/>
      <c r="Q406" s="26" t="n"/>
      <c r="R406" s="26" t="n"/>
      <c r="S406" s="26" t="n"/>
      <c r="T406" s="26" t="n"/>
      <c r="V406" s="27">
        <f>IF(ISNUMBER($C406),COUNTIFS($A$14:$A$1213,$A406,$C$14:$C$1213,"&gt;"&amp;$C406)+(COUNTIFS($A$14:$A$1213,$A406,$C$14:$C$1213,"="&amp;$C406)+1)/2,"")</f>
        <v/>
      </c>
      <c r="W406" s="27">
        <f>IF(ISNUMBER($F406),COUNTIFS($A$14:$A$1213,$A406,$F$14:$F$1213,"&gt;"&amp;$F406)+(COUNTIFS($A$14:$A$1213,$A406,$F$14:$F$1213,"="&amp;$F406)+1)/2,"")</f>
        <v/>
      </c>
      <c r="X406" s="27">
        <f>IF(OR(NOT(ISNUMBER($V406)),$AO406=1),"",$V406-(COUNTIFS($A$14:$A$1213,$A406,$C$14:$C$1213,"&gt;=0")+1)/2)</f>
        <v/>
      </c>
      <c r="Y406" s="27">
        <f>IF(OR(NOT(ISNUMBER($W406)),$AO406=1),"",$W406-(COUNTIFS($A$14:$A$1213,$A406,$F$14:$F$1213,"&gt;=0")+1)/2)</f>
        <v/>
      </c>
      <c r="Z406" s="27">
        <f>IF(ISNUMBER($V406),$A406&amp;"|"&amp;$V406,"")</f>
        <v/>
      </c>
      <c r="AA406" s="27">
        <f>IF(ISNUMBER($W406),$A406&amp;"|"&amp;$W406,"")</f>
        <v/>
      </c>
      <c r="AB406" s="27">
        <f>IF(ISNUMBER($F406),$A406&amp;"|"&amp;$F406,"")</f>
        <v/>
      </c>
      <c r="AC406" s="27">
        <f>IF(ISNUMBER($P406),COUNTIFS($A$14:$A$1213,$A406,$P$14:$P$1213,"&gt;"&amp;$P406)+(COUNTIFS($A$14:$A$1213,$A406,$P$14:$P$1213,"="&amp;$P406)+1)/2,"")</f>
        <v/>
      </c>
      <c r="AD406" s="27">
        <f>IF(ISNUMBER($Q406),COUNTIFS($A$14:$A$1213,$A406,$Q$14:$Q$1213,"&gt;"&amp;$Q406)+(COUNTIFS($A$14:$A$1213,$A406,$Q$14:$Q$1213,"="&amp;$Q406)+1)/2,"")</f>
        <v/>
      </c>
      <c r="AE406" s="27">
        <f>IF(ISNUMBER($R406),COUNTIFS($A$14:$A$1213,$A406,$R$14:$R$1213,"&gt;"&amp;$R406)+(COUNTIFS($A$14:$A$1213,$A406,$R$14:$R$1213,"="&amp;$R406)+1)/2,"")</f>
        <v/>
      </c>
      <c r="AF406" s="27">
        <f>IF(ISNUMBER($S406),COUNTIFS($A$14:$A$1213,$A406,$S$14:$S$1213,"&gt;"&amp;$S406)+(COUNTIFS($A$14:$A$1213,$A406,$S$14:$S$1213,"="&amp;$S406)+1)/2,"")</f>
        <v/>
      </c>
      <c r="AG406" s="27">
        <f>IF(ISNUMBER($T406),COUNTIFS($A$14:$A$1213,$A406,$T$14:$T$1213,"&gt;"&amp;$T406)+(COUNTIFS($A$14:$A$1213,$A406,$T$14:$T$1213,"="&amp;$T406)+1)/2,"")</f>
        <v/>
      </c>
      <c r="AH406" s="27">
        <f>IF(COUNT($AC406:$AG406)&lt;2,"",IF(MAX($AC406:$AG406)=MIN($AC406:$AG406),0,1))</f>
        <v/>
      </c>
      <c r="AI406" s="27">
        <f>IF($A406="","",IF(COUNTIF($A$14:$A406,$A406)=1,COUNTIF($AI$13:AI405,"&gt;0")+1,""))</f>
        <v/>
      </c>
      <c r="AO406" s="27">
        <f>IF($A406="","",IF(AND(COUNTIFS($A$14:$A$1213,$A406,$F$14:$F$1213,"&gt;=0")=2,IFERROR(INDEX($M$14:$M$313,MATCH($A406,$H$14:$H$313,0)),"Yes")&lt;&gt;"Yes"),1,0))</f>
        <v/>
      </c>
    </row>
    <row r="407">
      <c r="A407" s="19" t="n"/>
      <c r="B407" s="20" t="n"/>
      <c r="C407" s="21">
        <f>IFERROR(AVERAGE(P407:T407),"")</f>
        <v/>
      </c>
      <c r="D407" s="29" t="n"/>
      <c r="E407" s="29" t="n"/>
      <c r="F407" s="30">
        <f>IF(AND(ISNUMBER($D407),ISNUMBER($E407),$E407&gt;0,$D407&lt;=$E407),$D407/$E407,"")</f>
        <v/>
      </c>
      <c r="P407" s="26" t="n"/>
      <c r="Q407" s="26" t="n"/>
      <c r="R407" s="26" t="n"/>
      <c r="S407" s="26" t="n"/>
      <c r="T407" s="26" t="n"/>
      <c r="V407" s="27">
        <f>IF(ISNUMBER($C407),COUNTIFS($A$14:$A$1213,$A407,$C$14:$C$1213,"&gt;"&amp;$C407)+(COUNTIFS($A$14:$A$1213,$A407,$C$14:$C$1213,"="&amp;$C407)+1)/2,"")</f>
        <v/>
      </c>
      <c r="W407" s="27">
        <f>IF(ISNUMBER($F407),COUNTIFS($A$14:$A$1213,$A407,$F$14:$F$1213,"&gt;"&amp;$F407)+(COUNTIFS($A$14:$A$1213,$A407,$F$14:$F$1213,"="&amp;$F407)+1)/2,"")</f>
        <v/>
      </c>
      <c r="X407" s="27">
        <f>IF(OR(NOT(ISNUMBER($V407)),$AO407=1),"",$V407-(COUNTIFS($A$14:$A$1213,$A407,$C$14:$C$1213,"&gt;=0")+1)/2)</f>
        <v/>
      </c>
      <c r="Y407" s="27">
        <f>IF(OR(NOT(ISNUMBER($W407)),$AO407=1),"",$W407-(COUNTIFS($A$14:$A$1213,$A407,$F$14:$F$1213,"&gt;=0")+1)/2)</f>
        <v/>
      </c>
      <c r="Z407" s="27">
        <f>IF(ISNUMBER($V407),$A407&amp;"|"&amp;$V407,"")</f>
        <v/>
      </c>
      <c r="AA407" s="27">
        <f>IF(ISNUMBER($W407),$A407&amp;"|"&amp;$W407,"")</f>
        <v/>
      </c>
      <c r="AB407" s="27">
        <f>IF(ISNUMBER($F407),$A407&amp;"|"&amp;$F407,"")</f>
        <v/>
      </c>
      <c r="AC407" s="27">
        <f>IF(ISNUMBER($P407),COUNTIFS($A$14:$A$1213,$A407,$P$14:$P$1213,"&gt;"&amp;$P407)+(COUNTIFS($A$14:$A$1213,$A407,$P$14:$P$1213,"="&amp;$P407)+1)/2,"")</f>
        <v/>
      </c>
      <c r="AD407" s="27">
        <f>IF(ISNUMBER($Q407),COUNTIFS($A$14:$A$1213,$A407,$Q$14:$Q$1213,"&gt;"&amp;$Q407)+(COUNTIFS($A$14:$A$1213,$A407,$Q$14:$Q$1213,"="&amp;$Q407)+1)/2,"")</f>
        <v/>
      </c>
      <c r="AE407" s="27">
        <f>IF(ISNUMBER($R407),COUNTIFS($A$14:$A$1213,$A407,$R$14:$R$1213,"&gt;"&amp;$R407)+(COUNTIFS($A$14:$A$1213,$A407,$R$14:$R$1213,"="&amp;$R407)+1)/2,"")</f>
        <v/>
      </c>
      <c r="AF407" s="27">
        <f>IF(ISNUMBER($S407),COUNTIFS($A$14:$A$1213,$A407,$S$14:$S$1213,"&gt;"&amp;$S407)+(COUNTIFS($A$14:$A$1213,$A407,$S$14:$S$1213,"="&amp;$S407)+1)/2,"")</f>
        <v/>
      </c>
      <c r="AG407" s="27">
        <f>IF(ISNUMBER($T407),COUNTIFS($A$14:$A$1213,$A407,$T$14:$T$1213,"&gt;"&amp;$T407)+(COUNTIFS($A$14:$A$1213,$A407,$T$14:$T$1213,"="&amp;$T407)+1)/2,"")</f>
        <v/>
      </c>
      <c r="AH407" s="27">
        <f>IF(COUNT($AC407:$AG407)&lt;2,"",IF(MAX($AC407:$AG407)=MIN($AC407:$AG407),0,1))</f>
        <v/>
      </c>
      <c r="AI407" s="27">
        <f>IF($A407="","",IF(COUNTIF($A$14:$A407,$A407)=1,COUNTIF($AI$13:AI406,"&gt;0")+1,""))</f>
        <v/>
      </c>
      <c r="AO407" s="27">
        <f>IF($A407="","",IF(AND(COUNTIFS($A$14:$A$1213,$A407,$F$14:$F$1213,"&gt;=0")=2,IFERROR(INDEX($M$14:$M$313,MATCH($A407,$H$14:$H$313,0)),"Yes")&lt;&gt;"Yes"),1,0))</f>
        <v/>
      </c>
    </row>
    <row r="408">
      <c r="A408" s="19" t="n"/>
      <c r="B408" s="20" t="n"/>
      <c r="C408" s="21">
        <f>IFERROR(AVERAGE(P408:T408),"")</f>
        <v/>
      </c>
      <c r="D408" s="29" t="n"/>
      <c r="E408" s="29" t="n"/>
      <c r="F408" s="30">
        <f>IF(AND(ISNUMBER($D408),ISNUMBER($E408),$E408&gt;0,$D408&lt;=$E408),$D408/$E408,"")</f>
        <v/>
      </c>
      <c r="P408" s="26" t="n"/>
      <c r="Q408" s="26" t="n"/>
      <c r="R408" s="26" t="n"/>
      <c r="S408" s="26" t="n"/>
      <c r="T408" s="26" t="n"/>
      <c r="V408" s="27">
        <f>IF(ISNUMBER($C408),COUNTIFS($A$14:$A$1213,$A408,$C$14:$C$1213,"&gt;"&amp;$C408)+(COUNTIFS($A$14:$A$1213,$A408,$C$14:$C$1213,"="&amp;$C408)+1)/2,"")</f>
        <v/>
      </c>
      <c r="W408" s="27">
        <f>IF(ISNUMBER($F408),COUNTIFS($A$14:$A$1213,$A408,$F$14:$F$1213,"&gt;"&amp;$F408)+(COUNTIFS($A$14:$A$1213,$A408,$F$14:$F$1213,"="&amp;$F408)+1)/2,"")</f>
        <v/>
      </c>
      <c r="X408" s="27">
        <f>IF(OR(NOT(ISNUMBER($V408)),$AO408=1),"",$V408-(COUNTIFS($A$14:$A$1213,$A408,$C$14:$C$1213,"&gt;=0")+1)/2)</f>
        <v/>
      </c>
      <c r="Y408" s="27">
        <f>IF(OR(NOT(ISNUMBER($W408)),$AO408=1),"",$W408-(COUNTIFS($A$14:$A$1213,$A408,$F$14:$F$1213,"&gt;=0")+1)/2)</f>
        <v/>
      </c>
      <c r="Z408" s="27">
        <f>IF(ISNUMBER($V408),$A408&amp;"|"&amp;$V408,"")</f>
        <v/>
      </c>
      <c r="AA408" s="27">
        <f>IF(ISNUMBER($W408),$A408&amp;"|"&amp;$W408,"")</f>
        <v/>
      </c>
      <c r="AB408" s="27">
        <f>IF(ISNUMBER($F408),$A408&amp;"|"&amp;$F408,"")</f>
        <v/>
      </c>
      <c r="AC408" s="27">
        <f>IF(ISNUMBER($P408),COUNTIFS($A$14:$A$1213,$A408,$P$14:$P$1213,"&gt;"&amp;$P408)+(COUNTIFS($A$14:$A$1213,$A408,$P$14:$P$1213,"="&amp;$P408)+1)/2,"")</f>
        <v/>
      </c>
      <c r="AD408" s="27">
        <f>IF(ISNUMBER($Q408),COUNTIFS($A$14:$A$1213,$A408,$Q$14:$Q$1213,"&gt;"&amp;$Q408)+(COUNTIFS($A$14:$A$1213,$A408,$Q$14:$Q$1213,"="&amp;$Q408)+1)/2,"")</f>
        <v/>
      </c>
      <c r="AE408" s="27">
        <f>IF(ISNUMBER($R408),COUNTIFS($A$14:$A$1213,$A408,$R$14:$R$1213,"&gt;"&amp;$R408)+(COUNTIFS($A$14:$A$1213,$A408,$R$14:$R$1213,"="&amp;$R408)+1)/2,"")</f>
        <v/>
      </c>
      <c r="AF408" s="27">
        <f>IF(ISNUMBER($S408),COUNTIFS($A$14:$A$1213,$A408,$S$14:$S$1213,"&gt;"&amp;$S408)+(COUNTIFS($A$14:$A$1213,$A408,$S$14:$S$1213,"="&amp;$S408)+1)/2,"")</f>
        <v/>
      </c>
      <c r="AG408" s="27">
        <f>IF(ISNUMBER($T408),COUNTIFS($A$14:$A$1213,$A408,$T$14:$T$1213,"&gt;"&amp;$T408)+(COUNTIFS($A$14:$A$1213,$A408,$T$14:$T$1213,"="&amp;$T408)+1)/2,"")</f>
        <v/>
      </c>
      <c r="AH408" s="27">
        <f>IF(COUNT($AC408:$AG408)&lt;2,"",IF(MAX($AC408:$AG408)=MIN($AC408:$AG408),0,1))</f>
        <v/>
      </c>
      <c r="AI408" s="27">
        <f>IF($A408="","",IF(COUNTIF($A$14:$A408,$A408)=1,COUNTIF($AI$13:AI407,"&gt;0")+1,""))</f>
        <v/>
      </c>
      <c r="AO408" s="27">
        <f>IF($A408="","",IF(AND(COUNTIFS($A$14:$A$1213,$A408,$F$14:$F$1213,"&gt;=0")=2,IFERROR(INDEX($M$14:$M$313,MATCH($A408,$H$14:$H$313,0)),"Yes")&lt;&gt;"Yes"),1,0))</f>
        <v/>
      </c>
    </row>
    <row r="409">
      <c r="A409" s="19" t="n"/>
      <c r="B409" s="20" t="n"/>
      <c r="C409" s="21">
        <f>IFERROR(AVERAGE(P409:T409),"")</f>
        <v/>
      </c>
      <c r="D409" s="29" t="n"/>
      <c r="E409" s="29" t="n"/>
      <c r="F409" s="30">
        <f>IF(AND(ISNUMBER($D409),ISNUMBER($E409),$E409&gt;0,$D409&lt;=$E409),$D409/$E409,"")</f>
        <v/>
      </c>
      <c r="P409" s="26" t="n"/>
      <c r="Q409" s="26" t="n"/>
      <c r="R409" s="26" t="n"/>
      <c r="S409" s="26" t="n"/>
      <c r="T409" s="26" t="n"/>
      <c r="V409" s="27">
        <f>IF(ISNUMBER($C409),COUNTIFS($A$14:$A$1213,$A409,$C$14:$C$1213,"&gt;"&amp;$C409)+(COUNTIFS($A$14:$A$1213,$A409,$C$14:$C$1213,"="&amp;$C409)+1)/2,"")</f>
        <v/>
      </c>
      <c r="W409" s="27">
        <f>IF(ISNUMBER($F409),COUNTIFS($A$14:$A$1213,$A409,$F$14:$F$1213,"&gt;"&amp;$F409)+(COUNTIFS($A$14:$A$1213,$A409,$F$14:$F$1213,"="&amp;$F409)+1)/2,"")</f>
        <v/>
      </c>
      <c r="X409" s="27">
        <f>IF(OR(NOT(ISNUMBER($V409)),$AO409=1),"",$V409-(COUNTIFS($A$14:$A$1213,$A409,$C$14:$C$1213,"&gt;=0")+1)/2)</f>
        <v/>
      </c>
      <c r="Y409" s="27">
        <f>IF(OR(NOT(ISNUMBER($W409)),$AO409=1),"",$W409-(COUNTIFS($A$14:$A$1213,$A409,$F$14:$F$1213,"&gt;=0")+1)/2)</f>
        <v/>
      </c>
      <c r="Z409" s="27">
        <f>IF(ISNUMBER($V409),$A409&amp;"|"&amp;$V409,"")</f>
        <v/>
      </c>
      <c r="AA409" s="27">
        <f>IF(ISNUMBER($W409),$A409&amp;"|"&amp;$W409,"")</f>
        <v/>
      </c>
      <c r="AB409" s="27">
        <f>IF(ISNUMBER($F409),$A409&amp;"|"&amp;$F409,"")</f>
        <v/>
      </c>
      <c r="AC409" s="27">
        <f>IF(ISNUMBER($P409),COUNTIFS($A$14:$A$1213,$A409,$P$14:$P$1213,"&gt;"&amp;$P409)+(COUNTIFS($A$14:$A$1213,$A409,$P$14:$P$1213,"="&amp;$P409)+1)/2,"")</f>
        <v/>
      </c>
      <c r="AD409" s="27">
        <f>IF(ISNUMBER($Q409),COUNTIFS($A$14:$A$1213,$A409,$Q$14:$Q$1213,"&gt;"&amp;$Q409)+(COUNTIFS($A$14:$A$1213,$A409,$Q$14:$Q$1213,"="&amp;$Q409)+1)/2,"")</f>
        <v/>
      </c>
      <c r="AE409" s="27">
        <f>IF(ISNUMBER($R409),COUNTIFS($A$14:$A$1213,$A409,$R$14:$R$1213,"&gt;"&amp;$R409)+(COUNTIFS($A$14:$A$1213,$A409,$R$14:$R$1213,"="&amp;$R409)+1)/2,"")</f>
        <v/>
      </c>
      <c r="AF409" s="27">
        <f>IF(ISNUMBER($S409),COUNTIFS($A$14:$A$1213,$A409,$S$14:$S$1213,"&gt;"&amp;$S409)+(COUNTIFS($A$14:$A$1213,$A409,$S$14:$S$1213,"="&amp;$S409)+1)/2,"")</f>
        <v/>
      </c>
      <c r="AG409" s="27">
        <f>IF(ISNUMBER($T409),COUNTIFS($A$14:$A$1213,$A409,$T$14:$T$1213,"&gt;"&amp;$T409)+(COUNTIFS($A$14:$A$1213,$A409,$T$14:$T$1213,"="&amp;$T409)+1)/2,"")</f>
        <v/>
      </c>
      <c r="AH409" s="27">
        <f>IF(COUNT($AC409:$AG409)&lt;2,"",IF(MAX($AC409:$AG409)=MIN($AC409:$AG409),0,1))</f>
        <v/>
      </c>
      <c r="AI409" s="27">
        <f>IF($A409="","",IF(COUNTIF($A$14:$A409,$A409)=1,COUNTIF($AI$13:AI408,"&gt;0")+1,""))</f>
        <v/>
      </c>
      <c r="AO409" s="27">
        <f>IF($A409="","",IF(AND(COUNTIFS($A$14:$A$1213,$A409,$F$14:$F$1213,"&gt;=0")=2,IFERROR(INDEX($M$14:$M$313,MATCH($A409,$H$14:$H$313,0)),"Yes")&lt;&gt;"Yes"),1,0))</f>
        <v/>
      </c>
    </row>
    <row r="410">
      <c r="A410" s="19" t="n"/>
      <c r="B410" s="20" t="n"/>
      <c r="C410" s="21">
        <f>IFERROR(AVERAGE(P410:T410),"")</f>
        <v/>
      </c>
      <c r="D410" s="29" t="n"/>
      <c r="E410" s="29" t="n"/>
      <c r="F410" s="30">
        <f>IF(AND(ISNUMBER($D410),ISNUMBER($E410),$E410&gt;0,$D410&lt;=$E410),$D410/$E410,"")</f>
        <v/>
      </c>
      <c r="P410" s="26" t="n"/>
      <c r="Q410" s="26" t="n"/>
      <c r="R410" s="26" t="n"/>
      <c r="S410" s="26" t="n"/>
      <c r="T410" s="26" t="n"/>
      <c r="V410" s="27">
        <f>IF(ISNUMBER($C410),COUNTIFS($A$14:$A$1213,$A410,$C$14:$C$1213,"&gt;"&amp;$C410)+(COUNTIFS($A$14:$A$1213,$A410,$C$14:$C$1213,"="&amp;$C410)+1)/2,"")</f>
        <v/>
      </c>
      <c r="W410" s="27">
        <f>IF(ISNUMBER($F410),COUNTIFS($A$14:$A$1213,$A410,$F$14:$F$1213,"&gt;"&amp;$F410)+(COUNTIFS($A$14:$A$1213,$A410,$F$14:$F$1213,"="&amp;$F410)+1)/2,"")</f>
        <v/>
      </c>
      <c r="X410" s="27">
        <f>IF(OR(NOT(ISNUMBER($V410)),$AO410=1),"",$V410-(COUNTIFS($A$14:$A$1213,$A410,$C$14:$C$1213,"&gt;=0")+1)/2)</f>
        <v/>
      </c>
      <c r="Y410" s="27">
        <f>IF(OR(NOT(ISNUMBER($W410)),$AO410=1),"",$W410-(COUNTIFS($A$14:$A$1213,$A410,$F$14:$F$1213,"&gt;=0")+1)/2)</f>
        <v/>
      </c>
      <c r="Z410" s="27">
        <f>IF(ISNUMBER($V410),$A410&amp;"|"&amp;$V410,"")</f>
        <v/>
      </c>
      <c r="AA410" s="27">
        <f>IF(ISNUMBER($W410),$A410&amp;"|"&amp;$W410,"")</f>
        <v/>
      </c>
      <c r="AB410" s="27">
        <f>IF(ISNUMBER($F410),$A410&amp;"|"&amp;$F410,"")</f>
        <v/>
      </c>
      <c r="AC410" s="27">
        <f>IF(ISNUMBER($P410),COUNTIFS($A$14:$A$1213,$A410,$P$14:$P$1213,"&gt;"&amp;$P410)+(COUNTIFS($A$14:$A$1213,$A410,$P$14:$P$1213,"="&amp;$P410)+1)/2,"")</f>
        <v/>
      </c>
      <c r="AD410" s="27">
        <f>IF(ISNUMBER($Q410),COUNTIFS($A$14:$A$1213,$A410,$Q$14:$Q$1213,"&gt;"&amp;$Q410)+(COUNTIFS($A$14:$A$1213,$A410,$Q$14:$Q$1213,"="&amp;$Q410)+1)/2,"")</f>
        <v/>
      </c>
      <c r="AE410" s="27">
        <f>IF(ISNUMBER($R410),COUNTIFS($A$14:$A$1213,$A410,$R$14:$R$1213,"&gt;"&amp;$R410)+(COUNTIFS($A$14:$A$1213,$A410,$R$14:$R$1213,"="&amp;$R410)+1)/2,"")</f>
        <v/>
      </c>
      <c r="AF410" s="27">
        <f>IF(ISNUMBER($S410),COUNTIFS($A$14:$A$1213,$A410,$S$14:$S$1213,"&gt;"&amp;$S410)+(COUNTIFS($A$14:$A$1213,$A410,$S$14:$S$1213,"="&amp;$S410)+1)/2,"")</f>
        <v/>
      </c>
      <c r="AG410" s="27">
        <f>IF(ISNUMBER($T410),COUNTIFS($A$14:$A$1213,$A410,$T$14:$T$1213,"&gt;"&amp;$T410)+(COUNTIFS($A$14:$A$1213,$A410,$T$14:$T$1213,"="&amp;$T410)+1)/2,"")</f>
        <v/>
      </c>
      <c r="AH410" s="27">
        <f>IF(COUNT($AC410:$AG410)&lt;2,"",IF(MAX($AC410:$AG410)=MIN($AC410:$AG410),0,1))</f>
        <v/>
      </c>
      <c r="AI410" s="27">
        <f>IF($A410="","",IF(COUNTIF($A$14:$A410,$A410)=1,COUNTIF($AI$13:AI409,"&gt;0")+1,""))</f>
        <v/>
      </c>
      <c r="AO410" s="27">
        <f>IF($A410="","",IF(AND(COUNTIFS($A$14:$A$1213,$A410,$F$14:$F$1213,"&gt;=0")=2,IFERROR(INDEX($M$14:$M$313,MATCH($A410,$H$14:$H$313,0)),"Yes")&lt;&gt;"Yes"),1,0))</f>
        <v/>
      </c>
    </row>
    <row r="411">
      <c r="A411" s="19" t="n"/>
      <c r="B411" s="20" t="n"/>
      <c r="C411" s="21">
        <f>IFERROR(AVERAGE(P411:T411),"")</f>
        <v/>
      </c>
      <c r="D411" s="29" t="n"/>
      <c r="E411" s="29" t="n"/>
      <c r="F411" s="30">
        <f>IF(AND(ISNUMBER($D411),ISNUMBER($E411),$E411&gt;0,$D411&lt;=$E411),$D411/$E411,"")</f>
        <v/>
      </c>
      <c r="P411" s="26" t="n"/>
      <c r="Q411" s="26" t="n"/>
      <c r="R411" s="26" t="n"/>
      <c r="S411" s="26" t="n"/>
      <c r="T411" s="26" t="n"/>
      <c r="V411" s="27">
        <f>IF(ISNUMBER($C411),COUNTIFS($A$14:$A$1213,$A411,$C$14:$C$1213,"&gt;"&amp;$C411)+(COUNTIFS($A$14:$A$1213,$A411,$C$14:$C$1213,"="&amp;$C411)+1)/2,"")</f>
        <v/>
      </c>
      <c r="W411" s="27">
        <f>IF(ISNUMBER($F411),COUNTIFS($A$14:$A$1213,$A411,$F$14:$F$1213,"&gt;"&amp;$F411)+(COUNTIFS($A$14:$A$1213,$A411,$F$14:$F$1213,"="&amp;$F411)+1)/2,"")</f>
        <v/>
      </c>
      <c r="X411" s="27">
        <f>IF(OR(NOT(ISNUMBER($V411)),$AO411=1),"",$V411-(COUNTIFS($A$14:$A$1213,$A411,$C$14:$C$1213,"&gt;=0")+1)/2)</f>
        <v/>
      </c>
      <c r="Y411" s="27">
        <f>IF(OR(NOT(ISNUMBER($W411)),$AO411=1),"",$W411-(COUNTIFS($A$14:$A$1213,$A411,$F$14:$F$1213,"&gt;=0")+1)/2)</f>
        <v/>
      </c>
      <c r="Z411" s="27">
        <f>IF(ISNUMBER($V411),$A411&amp;"|"&amp;$V411,"")</f>
        <v/>
      </c>
      <c r="AA411" s="27">
        <f>IF(ISNUMBER($W411),$A411&amp;"|"&amp;$W411,"")</f>
        <v/>
      </c>
      <c r="AB411" s="27">
        <f>IF(ISNUMBER($F411),$A411&amp;"|"&amp;$F411,"")</f>
        <v/>
      </c>
      <c r="AC411" s="27">
        <f>IF(ISNUMBER($P411),COUNTIFS($A$14:$A$1213,$A411,$P$14:$P$1213,"&gt;"&amp;$P411)+(COUNTIFS($A$14:$A$1213,$A411,$P$14:$P$1213,"="&amp;$P411)+1)/2,"")</f>
        <v/>
      </c>
      <c r="AD411" s="27">
        <f>IF(ISNUMBER($Q411),COUNTIFS($A$14:$A$1213,$A411,$Q$14:$Q$1213,"&gt;"&amp;$Q411)+(COUNTIFS($A$14:$A$1213,$A411,$Q$14:$Q$1213,"="&amp;$Q411)+1)/2,"")</f>
        <v/>
      </c>
      <c r="AE411" s="27">
        <f>IF(ISNUMBER($R411),COUNTIFS($A$14:$A$1213,$A411,$R$14:$R$1213,"&gt;"&amp;$R411)+(COUNTIFS($A$14:$A$1213,$A411,$R$14:$R$1213,"="&amp;$R411)+1)/2,"")</f>
        <v/>
      </c>
      <c r="AF411" s="27">
        <f>IF(ISNUMBER($S411),COUNTIFS($A$14:$A$1213,$A411,$S$14:$S$1213,"&gt;"&amp;$S411)+(COUNTIFS($A$14:$A$1213,$A411,$S$14:$S$1213,"="&amp;$S411)+1)/2,"")</f>
        <v/>
      </c>
      <c r="AG411" s="27">
        <f>IF(ISNUMBER($T411),COUNTIFS($A$14:$A$1213,$A411,$T$14:$T$1213,"&gt;"&amp;$T411)+(COUNTIFS($A$14:$A$1213,$A411,$T$14:$T$1213,"="&amp;$T411)+1)/2,"")</f>
        <v/>
      </c>
      <c r="AH411" s="27">
        <f>IF(COUNT($AC411:$AG411)&lt;2,"",IF(MAX($AC411:$AG411)=MIN($AC411:$AG411),0,1))</f>
        <v/>
      </c>
      <c r="AI411" s="27">
        <f>IF($A411="","",IF(COUNTIF($A$14:$A411,$A411)=1,COUNTIF($AI$13:AI410,"&gt;0")+1,""))</f>
        <v/>
      </c>
      <c r="AO411" s="27">
        <f>IF($A411="","",IF(AND(COUNTIFS($A$14:$A$1213,$A411,$F$14:$F$1213,"&gt;=0")=2,IFERROR(INDEX($M$14:$M$313,MATCH($A411,$H$14:$H$313,0)),"Yes")&lt;&gt;"Yes"),1,0))</f>
        <v/>
      </c>
    </row>
    <row r="412">
      <c r="A412" s="19" t="n"/>
      <c r="B412" s="20" t="n"/>
      <c r="C412" s="21">
        <f>IFERROR(AVERAGE(P412:T412),"")</f>
        <v/>
      </c>
      <c r="D412" s="29" t="n"/>
      <c r="E412" s="29" t="n"/>
      <c r="F412" s="30">
        <f>IF(AND(ISNUMBER($D412),ISNUMBER($E412),$E412&gt;0,$D412&lt;=$E412),$D412/$E412,"")</f>
        <v/>
      </c>
      <c r="P412" s="26" t="n"/>
      <c r="Q412" s="26" t="n"/>
      <c r="R412" s="26" t="n"/>
      <c r="S412" s="26" t="n"/>
      <c r="T412" s="26" t="n"/>
      <c r="V412" s="27">
        <f>IF(ISNUMBER($C412),COUNTIFS($A$14:$A$1213,$A412,$C$14:$C$1213,"&gt;"&amp;$C412)+(COUNTIFS($A$14:$A$1213,$A412,$C$14:$C$1213,"="&amp;$C412)+1)/2,"")</f>
        <v/>
      </c>
      <c r="W412" s="27">
        <f>IF(ISNUMBER($F412),COUNTIFS($A$14:$A$1213,$A412,$F$14:$F$1213,"&gt;"&amp;$F412)+(COUNTIFS($A$14:$A$1213,$A412,$F$14:$F$1213,"="&amp;$F412)+1)/2,"")</f>
        <v/>
      </c>
      <c r="X412" s="27">
        <f>IF(OR(NOT(ISNUMBER($V412)),$AO412=1),"",$V412-(COUNTIFS($A$14:$A$1213,$A412,$C$14:$C$1213,"&gt;=0")+1)/2)</f>
        <v/>
      </c>
      <c r="Y412" s="27">
        <f>IF(OR(NOT(ISNUMBER($W412)),$AO412=1),"",$W412-(COUNTIFS($A$14:$A$1213,$A412,$F$14:$F$1213,"&gt;=0")+1)/2)</f>
        <v/>
      </c>
      <c r="Z412" s="27">
        <f>IF(ISNUMBER($V412),$A412&amp;"|"&amp;$V412,"")</f>
        <v/>
      </c>
      <c r="AA412" s="27">
        <f>IF(ISNUMBER($W412),$A412&amp;"|"&amp;$W412,"")</f>
        <v/>
      </c>
      <c r="AB412" s="27">
        <f>IF(ISNUMBER($F412),$A412&amp;"|"&amp;$F412,"")</f>
        <v/>
      </c>
      <c r="AC412" s="27">
        <f>IF(ISNUMBER($P412),COUNTIFS($A$14:$A$1213,$A412,$P$14:$P$1213,"&gt;"&amp;$P412)+(COUNTIFS($A$14:$A$1213,$A412,$P$14:$P$1213,"="&amp;$P412)+1)/2,"")</f>
        <v/>
      </c>
      <c r="AD412" s="27">
        <f>IF(ISNUMBER($Q412),COUNTIFS($A$14:$A$1213,$A412,$Q$14:$Q$1213,"&gt;"&amp;$Q412)+(COUNTIFS($A$14:$A$1213,$A412,$Q$14:$Q$1213,"="&amp;$Q412)+1)/2,"")</f>
        <v/>
      </c>
      <c r="AE412" s="27">
        <f>IF(ISNUMBER($R412),COUNTIFS($A$14:$A$1213,$A412,$R$14:$R$1213,"&gt;"&amp;$R412)+(COUNTIFS($A$14:$A$1213,$A412,$R$14:$R$1213,"="&amp;$R412)+1)/2,"")</f>
        <v/>
      </c>
      <c r="AF412" s="27">
        <f>IF(ISNUMBER($S412),COUNTIFS($A$14:$A$1213,$A412,$S$14:$S$1213,"&gt;"&amp;$S412)+(COUNTIFS($A$14:$A$1213,$A412,$S$14:$S$1213,"="&amp;$S412)+1)/2,"")</f>
        <v/>
      </c>
      <c r="AG412" s="27">
        <f>IF(ISNUMBER($T412),COUNTIFS($A$14:$A$1213,$A412,$T$14:$T$1213,"&gt;"&amp;$T412)+(COUNTIFS($A$14:$A$1213,$A412,$T$14:$T$1213,"="&amp;$T412)+1)/2,"")</f>
        <v/>
      </c>
      <c r="AH412" s="27">
        <f>IF(COUNT($AC412:$AG412)&lt;2,"",IF(MAX($AC412:$AG412)=MIN($AC412:$AG412),0,1))</f>
        <v/>
      </c>
      <c r="AI412" s="27">
        <f>IF($A412="","",IF(COUNTIF($A$14:$A412,$A412)=1,COUNTIF($AI$13:AI411,"&gt;0")+1,""))</f>
        <v/>
      </c>
      <c r="AO412" s="27">
        <f>IF($A412="","",IF(AND(COUNTIFS($A$14:$A$1213,$A412,$F$14:$F$1213,"&gt;=0")=2,IFERROR(INDEX($M$14:$M$313,MATCH($A412,$H$14:$H$313,0)),"Yes")&lt;&gt;"Yes"),1,0))</f>
        <v/>
      </c>
    </row>
    <row r="413">
      <c r="A413" s="19" t="n"/>
      <c r="B413" s="20" t="n"/>
      <c r="C413" s="21">
        <f>IFERROR(AVERAGE(P413:T413),"")</f>
        <v/>
      </c>
      <c r="D413" s="29" t="n"/>
      <c r="E413" s="29" t="n"/>
      <c r="F413" s="30">
        <f>IF(AND(ISNUMBER($D413),ISNUMBER($E413),$E413&gt;0,$D413&lt;=$E413),$D413/$E413,"")</f>
        <v/>
      </c>
      <c r="P413" s="26" t="n"/>
      <c r="Q413" s="26" t="n"/>
      <c r="R413" s="26" t="n"/>
      <c r="S413" s="26" t="n"/>
      <c r="T413" s="26" t="n"/>
      <c r="V413" s="27">
        <f>IF(ISNUMBER($C413),COUNTIFS($A$14:$A$1213,$A413,$C$14:$C$1213,"&gt;"&amp;$C413)+(COUNTIFS($A$14:$A$1213,$A413,$C$14:$C$1213,"="&amp;$C413)+1)/2,"")</f>
        <v/>
      </c>
      <c r="W413" s="27">
        <f>IF(ISNUMBER($F413),COUNTIFS($A$14:$A$1213,$A413,$F$14:$F$1213,"&gt;"&amp;$F413)+(COUNTIFS($A$14:$A$1213,$A413,$F$14:$F$1213,"="&amp;$F413)+1)/2,"")</f>
        <v/>
      </c>
      <c r="X413" s="27">
        <f>IF(OR(NOT(ISNUMBER($V413)),$AO413=1),"",$V413-(COUNTIFS($A$14:$A$1213,$A413,$C$14:$C$1213,"&gt;=0")+1)/2)</f>
        <v/>
      </c>
      <c r="Y413" s="27">
        <f>IF(OR(NOT(ISNUMBER($W413)),$AO413=1),"",$W413-(COUNTIFS($A$14:$A$1213,$A413,$F$14:$F$1213,"&gt;=0")+1)/2)</f>
        <v/>
      </c>
      <c r="Z413" s="27">
        <f>IF(ISNUMBER($V413),$A413&amp;"|"&amp;$V413,"")</f>
        <v/>
      </c>
      <c r="AA413" s="27">
        <f>IF(ISNUMBER($W413),$A413&amp;"|"&amp;$W413,"")</f>
        <v/>
      </c>
      <c r="AB413" s="27">
        <f>IF(ISNUMBER($F413),$A413&amp;"|"&amp;$F413,"")</f>
        <v/>
      </c>
      <c r="AC413" s="27">
        <f>IF(ISNUMBER($P413),COUNTIFS($A$14:$A$1213,$A413,$P$14:$P$1213,"&gt;"&amp;$P413)+(COUNTIFS($A$14:$A$1213,$A413,$P$14:$P$1213,"="&amp;$P413)+1)/2,"")</f>
        <v/>
      </c>
      <c r="AD413" s="27">
        <f>IF(ISNUMBER($Q413),COUNTIFS($A$14:$A$1213,$A413,$Q$14:$Q$1213,"&gt;"&amp;$Q413)+(COUNTIFS($A$14:$A$1213,$A413,$Q$14:$Q$1213,"="&amp;$Q413)+1)/2,"")</f>
        <v/>
      </c>
      <c r="AE413" s="27">
        <f>IF(ISNUMBER($R413),COUNTIFS($A$14:$A$1213,$A413,$R$14:$R$1213,"&gt;"&amp;$R413)+(COUNTIFS($A$14:$A$1213,$A413,$R$14:$R$1213,"="&amp;$R413)+1)/2,"")</f>
        <v/>
      </c>
      <c r="AF413" s="27">
        <f>IF(ISNUMBER($S413),COUNTIFS($A$14:$A$1213,$A413,$S$14:$S$1213,"&gt;"&amp;$S413)+(COUNTIFS($A$14:$A$1213,$A413,$S$14:$S$1213,"="&amp;$S413)+1)/2,"")</f>
        <v/>
      </c>
      <c r="AG413" s="27">
        <f>IF(ISNUMBER($T413),COUNTIFS($A$14:$A$1213,$A413,$T$14:$T$1213,"&gt;"&amp;$T413)+(COUNTIFS($A$14:$A$1213,$A413,$T$14:$T$1213,"="&amp;$T413)+1)/2,"")</f>
        <v/>
      </c>
      <c r="AH413" s="27">
        <f>IF(COUNT($AC413:$AG413)&lt;2,"",IF(MAX($AC413:$AG413)=MIN($AC413:$AG413),0,1))</f>
        <v/>
      </c>
      <c r="AI413" s="27">
        <f>IF($A413="","",IF(COUNTIF($A$14:$A413,$A413)=1,COUNTIF($AI$13:AI412,"&gt;0")+1,""))</f>
        <v/>
      </c>
      <c r="AO413" s="27">
        <f>IF($A413="","",IF(AND(COUNTIFS($A$14:$A$1213,$A413,$F$14:$F$1213,"&gt;=0")=2,IFERROR(INDEX($M$14:$M$313,MATCH($A413,$H$14:$H$313,0)),"Yes")&lt;&gt;"Yes"),1,0))</f>
        <v/>
      </c>
    </row>
    <row r="414">
      <c r="A414" s="19" t="n"/>
      <c r="B414" s="20" t="n"/>
      <c r="C414" s="21">
        <f>IFERROR(AVERAGE(P414:T414),"")</f>
        <v/>
      </c>
      <c r="D414" s="29" t="n"/>
      <c r="E414" s="29" t="n"/>
      <c r="F414" s="30">
        <f>IF(AND(ISNUMBER($D414),ISNUMBER($E414),$E414&gt;0,$D414&lt;=$E414),$D414/$E414,"")</f>
        <v/>
      </c>
      <c r="P414" s="26" t="n"/>
      <c r="Q414" s="26" t="n"/>
      <c r="R414" s="26" t="n"/>
      <c r="S414" s="26" t="n"/>
      <c r="T414" s="26" t="n"/>
      <c r="V414" s="27">
        <f>IF(ISNUMBER($C414),COUNTIFS($A$14:$A$1213,$A414,$C$14:$C$1213,"&gt;"&amp;$C414)+(COUNTIFS($A$14:$A$1213,$A414,$C$14:$C$1213,"="&amp;$C414)+1)/2,"")</f>
        <v/>
      </c>
      <c r="W414" s="27">
        <f>IF(ISNUMBER($F414),COUNTIFS($A$14:$A$1213,$A414,$F$14:$F$1213,"&gt;"&amp;$F414)+(COUNTIFS($A$14:$A$1213,$A414,$F$14:$F$1213,"="&amp;$F414)+1)/2,"")</f>
        <v/>
      </c>
      <c r="X414" s="27">
        <f>IF(OR(NOT(ISNUMBER($V414)),$AO414=1),"",$V414-(COUNTIFS($A$14:$A$1213,$A414,$C$14:$C$1213,"&gt;=0")+1)/2)</f>
        <v/>
      </c>
      <c r="Y414" s="27">
        <f>IF(OR(NOT(ISNUMBER($W414)),$AO414=1),"",$W414-(COUNTIFS($A$14:$A$1213,$A414,$F$14:$F$1213,"&gt;=0")+1)/2)</f>
        <v/>
      </c>
      <c r="Z414" s="27">
        <f>IF(ISNUMBER($V414),$A414&amp;"|"&amp;$V414,"")</f>
        <v/>
      </c>
      <c r="AA414" s="27">
        <f>IF(ISNUMBER($W414),$A414&amp;"|"&amp;$W414,"")</f>
        <v/>
      </c>
      <c r="AB414" s="27">
        <f>IF(ISNUMBER($F414),$A414&amp;"|"&amp;$F414,"")</f>
        <v/>
      </c>
      <c r="AC414" s="27">
        <f>IF(ISNUMBER($P414),COUNTIFS($A$14:$A$1213,$A414,$P$14:$P$1213,"&gt;"&amp;$P414)+(COUNTIFS($A$14:$A$1213,$A414,$P$14:$P$1213,"="&amp;$P414)+1)/2,"")</f>
        <v/>
      </c>
      <c r="AD414" s="27">
        <f>IF(ISNUMBER($Q414),COUNTIFS($A$14:$A$1213,$A414,$Q$14:$Q$1213,"&gt;"&amp;$Q414)+(COUNTIFS($A$14:$A$1213,$A414,$Q$14:$Q$1213,"="&amp;$Q414)+1)/2,"")</f>
        <v/>
      </c>
      <c r="AE414" s="27">
        <f>IF(ISNUMBER($R414),COUNTIFS($A$14:$A$1213,$A414,$R$14:$R$1213,"&gt;"&amp;$R414)+(COUNTIFS($A$14:$A$1213,$A414,$R$14:$R$1213,"="&amp;$R414)+1)/2,"")</f>
        <v/>
      </c>
      <c r="AF414" s="27">
        <f>IF(ISNUMBER($S414),COUNTIFS($A$14:$A$1213,$A414,$S$14:$S$1213,"&gt;"&amp;$S414)+(COUNTIFS($A$14:$A$1213,$A414,$S$14:$S$1213,"="&amp;$S414)+1)/2,"")</f>
        <v/>
      </c>
      <c r="AG414" s="27">
        <f>IF(ISNUMBER($T414),COUNTIFS($A$14:$A$1213,$A414,$T$14:$T$1213,"&gt;"&amp;$T414)+(COUNTIFS($A$14:$A$1213,$A414,$T$14:$T$1213,"="&amp;$T414)+1)/2,"")</f>
        <v/>
      </c>
      <c r="AH414" s="27">
        <f>IF(COUNT($AC414:$AG414)&lt;2,"",IF(MAX($AC414:$AG414)=MIN($AC414:$AG414),0,1))</f>
        <v/>
      </c>
      <c r="AI414" s="27">
        <f>IF($A414="","",IF(COUNTIF($A$14:$A414,$A414)=1,COUNTIF($AI$13:AI413,"&gt;0")+1,""))</f>
        <v/>
      </c>
      <c r="AO414" s="27">
        <f>IF($A414="","",IF(AND(COUNTIFS($A$14:$A$1213,$A414,$F$14:$F$1213,"&gt;=0")=2,IFERROR(INDEX($M$14:$M$313,MATCH($A414,$H$14:$H$313,0)),"Yes")&lt;&gt;"Yes"),1,0))</f>
        <v/>
      </c>
    </row>
    <row r="415">
      <c r="A415" s="19" t="n"/>
      <c r="B415" s="20" t="n"/>
      <c r="C415" s="21">
        <f>IFERROR(AVERAGE(P415:T415),"")</f>
        <v/>
      </c>
      <c r="D415" s="29" t="n"/>
      <c r="E415" s="29" t="n"/>
      <c r="F415" s="30">
        <f>IF(AND(ISNUMBER($D415),ISNUMBER($E415),$E415&gt;0,$D415&lt;=$E415),$D415/$E415,"")</f>
        <v/>
      </c>
      <c r="P415" s="26" t="n"/>
      <c r="Q415" s="26" t="n"/>
      <c r="R415" s="26" t="n"/>
      <c r="S415" s="26" t="n"/>
      <c r="T415" s="26" t="n"/>
      <c r="V415" s="27">
        <f>IF(ISNUMBER($C415),COUNTIFS($A$14:$A$1213,$A415,$C$14:$C$1213,"&gt;"&amp;$C415)+(COUNTIFS($A$14:$A$1213,$A415,$C$14:$C$1213,"="&amp;$C415)+1)/2,"")</f>
        <v/>
      </c>
      <c r="W415" s="27">
        <f>IF(ISNUMBER($F415),COUNTIFS($A$14:$A$1213,$A415,$F$14:$F$1213,"&gt;"&amp;$F415)+(COUNTIFS($A$14:$A$1213,$A415,$F$14:$F$1213,"="&amp;$F415)+1)/2,"")</f>
        <v/>
      </c>
      <c r="X415" s="27">
        <f>IF(OR(NOT(ISNUMBER($V415)),$AO415=1),"",$V415-(COUNTIFS($A$14:$A$1213,$A415,$C$14:$C$1213,"&gt;=0")+1)/2)</f>
        <v/>
      </c>
      <c r="Y415" s="27">
        <f>IF(OR(NOT(ISNUMBER($W415)),$AO415=1),"",$W415-(COUNTIFS($A$14:$A$1213,$A415,$F$14:$F$1213,"&gt;=0")+1)/2)</f>
        <v/>
      </c>
      <c r="Z415" s="27">
        <f>IF(ISNUMBER($V415),$A415&amp;"|"&amp;$V415,"")</f>
        <v/>
      </c>
      <c r="AA415" s="27">
        <f>IF(ISNUMBER($W415),$A415&amp;"|"&amp;$W415,"")</f>
        <v/>
      </c>
      <c r="AB415" s="27">
        <f>IF(ISNUMBER($F415),$A415&amp;"|"&amp;$F415,"")</f>
        <v/>
      </c>
      <c r="AC415" s="27">
        <f>IF(ISNUMBER($P415),COUNTIFS($A$14:$A$1213,$A415,$P$14:$P$1213,"&gt;"&amp;$P415)+(COUNTIFS($A$14:$A$1213,$A415,$P$14:$P$1213,"="&amp;$P415)+1)/2,"")</f>
        <v/>
      </c>
      <c r="AD415" s="27">
        <f>IF(ISNUMBER($Q415),COUNTIFS($A$14:$A$1213,$A415,$Q$14:$Q$1213,"&gt;"&amp;$Q415)+(COUNTIFS($A$14:$A$1213,$A415,$Q$14:$Q$1213,"="&amp;$Q415)+1)/2,"")</f>
        <v/>
      </c>
      <c r="AE415" s="27">
        <f>IF(ISNUMBER($R415),COUNTIFS($A$14:$A$1213,$A415,$R$14:$R$1213,"&gt;"&amp;$R415)+(COUNTIFS($A$14:$A$1213,$A415,$R$14:$R$1213,"="&amp;$R415)+1)/2,"")</f>
        <v/>
      </c>
      <c r="AF415" s="27">
        <f>IF(ISNUMBER($S415),COUNTIFS($A$14:$A$1213,$A415,$S$14:$S$1213,"&gt;"&amp;$S415)+(COUNTIFS($A$14:$A$1213,$A415,$S$14:$S$1213,"="&amp;$S415)+1)/2,"")</f>
        <v/>
      </c>
      <c r="AG415" s="27">
        <f>IF(ISNUMBER($T415),COUNTIFS($A$14:$A$1213,$A415,$T$14:$T$1213,"&gt;"&amp;$T415)+(COUNTIFS($A$14:$A$1213,$A415,$T$14:$T$1213,"="&amp;$T415)+1)/2,"")</f>
        <v/>
      </c>
      <c r="AH415" s="27">
        <f>IF(COUNT($AC415:$AG415)&lt;2,"",IF(MAX($AC415:$AG415)=MIN($AC415:$AG415),0,1))</f>
        <v/>
      </c>
      <c r="AI415" s="27">
        <f>IF($A415="","",IF(COUNTIF($A$14:$A415,$A415)=1,COUNTIF($AI$13:AI414,"&gt;0")+1,""))</f>
        <v/>
      </c>
      <c r="AO415" s="27">
        <f>IF($A415="","",IF(AND(COUNTIFS($A$14:$A$1213,$A415,$F$14:$F$1213,"&gt;=0")=2,IFERROR(INDEX($M$14:$M$313,MATCH($A415,$H$14:$H$313,0)),"Yes")&lt;&gt;"Yes"),1,0))</f>
        <v/>
      </c>
    </row>
    <row r="416">
      <c r="A416" s="19" t="n"/>
      <c r="B416" s="20" t="n"/>
      <c r="C416" s="21">
        <f>IFERROR(AVERAGE(P416:T416),"")</f>
        <v/>
      </c>
      <c r="D416" s="29" t="n"/>
      <c r="E416" s="29" t="n"/>
      <c r="F416" s="30">
        <f>IF(AND(ISNUMBER($D416),ISNUMBER($E416),$E416&gt;0,$D416&lt;=$E416),$D416/$E416,"")</f>
        <v/>
      </c>
      <c r="P416" s="26" t="n"/>
      <c r="Q416" s="26" t="n"/>
      <c r="R416" s="26" t="n"/>
      <c r="S416" s="26" t="n"/>
      <c r="T416" s="26" t="n"/>
      <c r="V416" s="27">
        <f>IF(ISNUMBER($C416),COUNTIFS($A$14:$A$1213,$A416,$C$14:$C$1213,"&gt;"&amp;$C416)+(COUNTIFS($A$14:$A$1213,$A416,$C$14:$C$1213,"="&amp;$C416)+1)/2,"")</f>
        <v/>
      </c>
      <c r="W416" s="27">
        <f>IF(ISNUMBER($F416),COUNTIFS($A$14:$A$1213,$A416,$F$14:$F$1213,"&gt;"&amp;$F416)+(COUNTIFS($A$14:$A$1213,$A416,$F$14:$F$1213,"="&amp;$F416)+1)/2,"")</f>
        <v/>
      </c>
      <c r="X416" s="27">
        <f>IF(OR(NOT(ISNUMBER($V416)),$AO416=1),"",$V416-(COUNTIFS($A$14:$A$1213,$A416,$C$14:$C$1213,"&gt;=0")+1)/2)</f>
        <v/>
      </c>
      <c r="Y416" s="27">
        <f>IF(OR(NOT(ISNUMBER($W416)),$AO416=1),"",$W416-(COUNTIFS($A$14:$A$1213,$A416,$F$14:$F$1213,"&gt;=0")+1)/2)</f>
        <v/>
      </c>
      <c r="Z416" s="27">
        <f>IF(ISNUMBER($V416),$A416&amp;"|"&amp;$V416,"")</f>
        <v/>
      </c>
      <c r="AA416" s="27">
        <f>IF(ISNUMBER($W416),$A416&amp;"|"&amp;$W416,"")</f>
        <v/>
      </c>
      <c r="AB416" s="27">
        <f>IF(ISNUMBER($F416),$A416&amp;"|"&amp;$F416,"")</f>
        <v/>
      </c>
      <c r="AC416" s="27">
        <f>IF(ISNUMBER($P416),COUNTIFS($A$14:$A$1213,$A416,$P$14:$P$1213,"&gt;"&amp;$P416)+(COUNTIFS($A$14:$A$1213,$A416,$P$14:$P$1213,"="&amp;$P416)+1)/2,"")</f>
        <v/>
      </c>
      <c r="AD416" s="27">
        <f>IF(ISNUMBER($Q416),COUNTIFS($A$14:$A$1213,$A416,$Q$14:$Q$1213,"&gt;"&amp;$Q416)+(COUNTIFS($A$14:$A$1213,$A416,$Q$14:$Q$1213,"="&amp;$Q416)+1)/2,"")</f>
        <v/>
      </c>
      <c r="AE416" s="27">
        <f>IF(ISNUMBER($R416),COUNTIFS($A$14:$A$1213,$A416,$R$14:$R$1213,"&gt;"&amp;$R416)+(COUNTIFS($A$14:$A$1213,$A416,$R$14:$R$1213,"="&amp;$R416)+1)/2,"")</f>
        <v/>
      </c>
      <c r="AF416" s="27">
        <f>IF(ISNUMBER($S416),COUNTIFS($A$14:$A$1213,$A416,$S$14:$S$1213,"&gt;"&amp;$S416)+(COUNTIFS($A$14:$A$1213,$A416,$S$14:$S$1213,"="&amp;$S416)+1)/2,"")</f>
        <v/>
      </c>
      <c r="AG416" s="27">
        <f>IF(ISNUMBER($T416),COUNTIFS($A$14:$A$1213,$A416,$T$14:$T$1213,"&gt;"&amp;$T416)+(COUNTIFS($A$14:$A$1213,$A416,$T$14:$T$1213,"="&amp;$T416)+1)/2,"")</f>
        <v/>
      </c>
      <c r="AH416" s="27">
        <f>IF(COUNT($AC416:$AG416)&lt;2,"",IF(MAX($AC416:$AG416)=MIN($AC416:$AG416),0,1))</f>
        <v/>
      </c>
      <c r="AI416" s="27">
        <f>IF($A416="","",IF(COUNTIF($A$14:$A416,$A416)=1,COUNTIF($AI$13:AI415,"&gt;0")+1,""))</f>
        <v/>
      </c>
      <c r="AO416" s="27">
        <f>IF($A416="","",IF(AND(COUNTIFS($A$14:$A$1213,$A416,$F$14:$F$1213,"&gt;=0")=2,IFERROR(INDEX($M$14:$M$313,MATCH($A416,$H$14:$H$313,0)),"Yes")&lt;&gt;"Yes"),1,0))</f>
        <v/>
      </c>
    </row>
    <row r="417">
      <c r="A417" s="19" t="n"/>
      <c r="B417" s="20" t="n"/>
      <c r="C417" s="21">
        <f>IFERROR(AVERAGE(P417:T417),"")</f>
        <v/>
      </c>
      <c r="D417" s="29" t="n"/>
      <c r="E417" s="29" t="n"/>
      <c r="F417" s="30">
        <f>IF(AND(ISNUMBER($D417),ISNUMBER($E417),$E417&gt;0,$D417&lt;=$E417),$D417/$E417,"")</f>
        <v/>
      </c>
      <c r="P417" s="26" t="n"/>
      <c r="Q417" s="26" t="n"/>
      <c r="R417" s="26" t="n"/>
      <c r="S417" s="26" t="n"/>
      <c r="T417" s="26" t="n"/>
      <c r="V417" s="27">
        <f>IF(ISNUMBER($C417),COUNTIFS($A$14:$A$1213,$A417,$C$14:$C$1213,"&gt;"&amp;$C417)+(COUNTIFS($A$14:$A$1213,$A417,$C$14:$C$1213,"="&amp;$C417)+1)/2,"")</f>
        <v/>
      </c>
      <c r="W417" s="27">
        <f>IF(ISNUMBER($F417),COUNTIFS($A$14:$A$1213,$A417,$F$14:$F$1213,"&gt;"&amp;$F417)+(COUNTIFS($A$14:$A$1213,$A417,$F$14:$F$1213,"="&amp;$F417)+1)/2,"")</f>
        <v/>
      </c>
      <c r="X417" s="27">
        <f>IF(OR(NOT(ISNUMBER($V417)),$AO417=1),"",$V417-(COUNTIFS($A$14:$A$1213,$A417,$C$14:$C$1213,"&gt;=0")+1)/2)</f>
        <v/>
      </c>
      <c r="Y417" s="27">
        <f>IF(OR(NOT(ISNUMBER($W417)),$AO417=1),"",$W417-(COUNTIFS($A$14:$A$1213,$A417,$F$14:$F$1213,"&gt;=0")+1)/2)</f>
        <v/>
      </c>
      <c r="Z417" s="27">
        <f>IF(ISNUMBER($V417),$A417&amp;"|"&amp;$V417,"")</f>
        <v/>
      </c>
      <c r="AA417" s="27">
        <f>IF(ISNUMBER($W417),$A417&amp;"|"&amp;$W417,"")</f>
        <v/>
      </c>
      <c r="AB417" s="27">
        <f>IF(ISNUMBER($F417),$A417&amp;"|"&amp;$F417,"")</f>
        <v/>
      </c>
      <c r="AC417" s="27">
        <f>IF(ISNUMBER($P417),COUNTIFS($A$14:$A$1213,$A417,$P$14:$P$1213,"&gt;"&amp;$P417)+(COUNTIFS($A$14:$A$1213,$A417,$P$14:$P$1213,"="&amp;$P417)+1)/2,"")</f>
        <v/>
      </c>
      <c r="AD417" s="27">
        <f>IF(ISNUMBER($Q417),COUNTIFS($A$14:$A$1213,$A417,$Q$14:$Q$1213,"&gt;"&amp;$Q417)+(COUNTIFS($A$14:$A$1213,$A417,$Q$14:$Q$1213,"="&amp;$Q417)+1)/2,"")</f>
        <v/>
      </c>
      <c r="AE417" s="27">
        <f>IF(ISNUMBER($R417),COUNTIFS($A$14:$A$1213,$A417,$R$14:$R$1213,"&gt;"&amp;$R417)+(COUNTIFS($A$14:$A$1213,$A417,$R$14:$R$1213,"="&amp;$R417)+1)/2,"")</f>
        <v/>
      </c>
      <c r="AF417" s="27">
        <f>IF(ISNUMBER($S417),COUNTIFS($A$14:$A$1213,$A417,$S$14:$S$1213,"&gt;"&amp;$S417)+(COUNTIFS($A$14:$A$1213,$A417,$S$14:$S$1213,"="&amp;$S417)+1)/2,"")</f>
        <v/>
      </c>
      <c r="AG417" s="27">
        <f>IF(ISNUMBER($T417),COUNTIFS($A$14:$A$1213,$A417,$T$14:$T$1213,"&gt;"&amp;$T417)+(COUNTIFS($A$14:$A$1213,$A417,$T$14:$T$1213,"="&amp;$T417)+1)/2,"")</f>
        <v/>
      </c>
      <c r="AH417" s="27">
        <f>IF(COUNT($AC417:$AG417)&lt;2,"",IF(MAX($AC417:$AG417)=MIN($AC417:$AG417),0,1))</f>
        <v/>
      </c>
      <c r="AI417" s="27">
        <f>IF($A417="","",IF(COUNTIF($A$14:$A417,$A417)=1,COUNTIF($AI$13:AI416,"&gt;0")+1,""))</f>
        <v/>
      </c>
      <c r="AO417" s="27">
        <f>IF($A417="","",IF(AND(COUNTIFS($A$14:$A$1213,$A417,$F$14:$F$1213,"&gt;=0")=2,IFERROR(INDEX($M$14:$M$313,MATCH($A417,$H$14:$H$313,0)),"Yes")&lt;&gt;"Yes"),1,0))</f>
        <v/>
      </c>
    </row>
    <row r="418">
      <c r="A418" s="19" t="n"/>
      <c r="B418" s="20" t="n"/>
      <c r="C418" s="21">
        <f>IFERROR(AVERAGE(P418:T418),"")</f>
        <v/>
      </c>
      <c r="D418" s="29" t="n"/>
      <c r="E418" s="29" t="n"/>
      <c r="F418" s="30">
        <f>IF(AND(ISNUMBER($D418),ISNUMBER($E418),$E418&gt;0,$D418&lt;=$E418),$D418/$E418,"")</f>
        <v/>
      </c>
      <c r="P418" s="26" t="n"/>
      <c r="Q418" s="26" t="n"/>
      <c r="R418" s="26" t="n"/>
      <c r="S418" s="26" t="n"/>
      <c r="T418" s="26" t="n"/>
      <c r="V418" s="27">
        <f>IF(ISNUMBER($C418),COUNTIFS($A$14:$A$1213,$A418,$C$14:$C$1213,"&gt;"&amp;$C418)+(COUNTIFS($A$14:$A$1213,$A418,$C$14:$C$1213,"="&amp;$C418)+1)/2,"")</f>
        <v/>
      </c>
      <c r="W418" s="27">
        <f>IF(ISNUMBER($F418),COUNTIFS($A$14:$A$1213,$A418,$F$14:$F$1213,"&gt;"&amp;$F418)+(COUNTIFS($A$14:$A$1213,$A418,$F$14:$F$1213,"="&amp;$F418)+1)/2,"")</f>
        <v/>
      </c>
      <c r="X418" s="27">
        <f>IF(OR(NOT(ISNUMBER($V418)),$AO418=1),"",$V418-(COUNTIFS($A$14:$A$1213,$A418,$C$14:$C$1213,"&gt;=0")+1)/2)</f>
        <v/>
      </c>
      <c r="Y418" s="27">
        <f>IF(OR(NOT(ISNUMBER($W418)),$AO418=1),"",$W418-(COUNTIFS($A$14:$A$1213,$A418,$F$14:$F$1213,"&gt;=0")+1)/2)</f>
        <v/>
      </c>
      <c r="Z418" s="27">
        <f>IF(ISNUMBER($V418),$A418&amp;"|"&amp;$V418,"")</f>
        <v/>
      </c>
      <c r="AA418" s="27">
        <f>IF(ISNUMBER($W418),$A418&amp;"|"&amp;$W418,"")</f>
        <v/>
      </c>
      <c r="AB418" s="27">
        <f>IF(ISNUMBER($F418),$A418&amp;"|"&amp;$F418,"")</f>
        <v/>
      </c>
      <c r="AC418" s="27">
        <f>IF(ISNUMBER($P418),COUNTIFS($A$14:$A$1213,$A418,$P$14:$P$1213,"&gt;"&amp;$P418)+(COUNTIFS($A$14:$A$1213,$A418,$P$14:$P$1213,"="&amp;$P418)+1)/2,"")</f>
        <v/>
      </c>
      <c r="AD418" s="27">
        <f>IF(ISNUMBER($Q418),COUNTIFS($A$14:$A$1213,$A418,$Q$14:$Q$1213,"&gt;"&amp;$Q418)+(COUNTIFS($A$14:$A$1213,$A418,$Q$14:$Q$1213,"="&amp;$Q418)+1)/2,"")</f>
        <v/>
      </c>
      <c r="AE418" s="27">
        <f>IF(ISNUMBER($R418),COUNTIFS($A$14:$A$1213,$A418,$R$14:$R$1213,"&gt;"&amp;$R418)+(COUNTIFS($A$14:$A$1213,$A418,$R$14:$R$1213,"="&amp;$R418)+1)/2,"")</f>
        <v/>
      </c>
      <c r="AF418" s="27">
        <f>IF(ISNUMBER($S418),COUNTIFS($A$14:$A$1213,$A418,$S$14:$S$1213,"&gt;"&amp;$S418)+(COUNTIFS($A$14:$A$1213,$A418,$S$14:$S$1213,"="&amp;$S418)+1)/2,"")</f>
        <v/>
      </c>
      <c r="AG418" s="27">
        <f>IF(ISNUMBER($T418),COUNTIFS($A$14:$A$1213,$A418,$T$14:$T$1213,"&gt;"&amp;$T418)+(COUNTIFS($A$14:$A$1213,$A418,$T$14:$T$1213,"="&amp;$T418)+1)/2,"")</f>
        <v/>
      </c>
      <c r="AH418" s="27">
        <f>IF(COUNT($AC418:$AG418)&lt;2,"",IF(MAX($AC418:$AG418)=MIN($AC418:$AG418),0,1))</f>
        <v/>
      </c>
      <c r="AI418" s="27">
        <f>IF($A418="","",IF(COUNTIF($A$14:$A418,$A418)=1,COUNTIF($AI$13:AI417,"&gt;0")+1,""))</f>
        <v/>
      </c>
      <c r="AO418" s="27">
        <f>IF($A418="","",IF(AND(COUNTIFS($A$14:$A$1213,$A418,$F$14:$F$1213,"&gt;=0")=2,IFERROR(INDEX($M$14:$M$313,MATCH($A418,$H$14:$H$313,0)),"Yes")&lt;&gt;"Yes"),1,0))</f>
        <v/>
      </c>
    </row>
    <row r="419">
      <c r="A419" s="19" t="n"/>
      <c r="B419" s="20" t="n"/>
      <c r="C419" s="21">
        <f>IFERROR(AVERAGE(P419:T419),"")</f>
        <v/>
      </c>
      <c r="D419" s="29" t="n"/>
      <c r="E419" s="29" t="n"/>
      <c r="F419" s="30">
        <f>IF(AND(ISNUMBER($D419),ISNUMBER($E419),$E419&gt;0,$D419&lt;=$E419),$D419/$E419,"")</f>
        <v/>
      </c>
      <c r="P419" s="26" t="n"/>
      <c r="Q419" s="26" t="n"/>
      <c r="R419" s="26" t="n"/>
      <c r="S419" s="26" t="n"/>
      <c r="T419" s="26" t="n"/>
      <c r="V419" s="27">
        <f>IF(ISNUMBER($C419),COUNTIFS($A$14:$A$1213,$A419,$C$14:$C$1213,"&gt;"&amp;$C419)+(COUNTIFS($A$14:$A$1213,$A419,$C$14:$C$1213,"="&amp;$C419)+1)/2,"")</f>
        <v/>
      </c>
      <c r="W419" s="27">
        <f>IF(ISNUMBER($F419),COUNTIFS($A$14:$A$1213,$A419,$F$14:$F$1213,"&gt;"&amp;$F419)+(COUNTIFS($A$14:$A$1213,$A419,$F$14:$F$1213,"="&amp;$F419)+1)/2,"")</f>
        <v/>
      </c>
      <c r="X419" s="27">
        <f>IF(OR(NOT(ISNUMBER($V419)),$AO419=1),"",$V419-(COUNTIFS($A$14:$A$1213,$A419,$C$14:$C$1213,"&gt;=0")+1)/2)</f>
        <v/>
      </c>
      <c r="Y419" s="27">
        <f>IF(OR(NOT(ISNUMBER($W419)),$AO419=1),"",$W419-(COUNTIFS($A$14:$A$1213,$A419,$F$14:$F$1213,"&gt;=0")+1)/2)</f>
        <v/>
      </c>
      <c r="Z419" s="27">
        <f>IF(ISNUMBER($V419),$A419&amp;"|"&amp;$V419,"")</f>
        <v/>
      </c>
      <c r="AA419" s="27">
        <f>IF(ISNUMBER($W419),$A419&amp;"|"&amp;$W419,"")</f>
        <v/>
      </c>
      <c r="AB419" s="27">
        <f>IF(ISNUMBER($F419),$A419&amp;"|"&amp;$F419,"")</f>
        <v/>
      </c>
      <c r="AC419" s="27">
        <f>IF(ISNUMBER($P419),COUNTIFS($A$14:$A$1213,$A419,$P$14:$P$1213,"&gt;"&amp;$P419)+(COUNTIFS($A$14:$A$1213,$A419,$P$14:$P$1213,"="&amp;$P419)+1)/2,"")</f>
        <v/>
      </c>
      <c r="AD419" s="27">
        <f>IF(ISNUMBER($Q419),COUNTIFS($A$14:$A$1213,$A419,$Q$14:$Q$1213,"&gt;"&amp;$Q419)+(COUNTIFS($A$14:$A$1213,$A419,$Q$14:$Q$1213,"="&amp;$Q419)+1)/2,"")</f>
        <v/>
      </c>
      <c r="AE419" s="27">
        <f>IF(ISNUMBER($R419),COUNTIFS($A$14:$A$1213,$A419,$R$14:$R$1213,"&gt;"&amp;$R419)+(COUNTIFS($A$14:$A$1213,$A419,$R$14:$R$1213,"="&amp;$R419)+1)/2,"")</f>
        <v/>
      </c>
      <c r="AF419" s="27">
        <f>IF(ISNUMBER($S419),COUNTIFS($A$14:$A$1213,$A419,$S$14:$S$1213,"&gt;"&amp;$S419)+(COUNTIFS($A$14:$A$1213,$A419,$S$14:$S$1213,"="&amp;$S419)+1)/2,"")</f>
        <v/>
      </c>
      <c r="AG419" s="27">
        <f>IF(ISNUMBER($T419),COUNTIFS($A$14:$A$1213,$A419,$T$14:$T$1213,"&gt;"&amp;$T419)+(COUNTIFS($A$14:$A$1213,$A419,$T$14:$T$1213,"="&amp;$T419)+1)/2,"")</f>
        <v/>
      </c>
      <c r="AH419" s="27">
        <f>IF(COUNT($AC419:$AG419)&lt;2,"",IF(MAX($AC419:$AG419)=MIN($AC419:$AG419),0,1))</f>
        <v/>
      </c>
      <c r="AI419" s="27">
        <f>IF($A419="","",IF(COUNTIF($A$14:$A419,$A419)=1,COUNTIF($AI$13:AI418,"&gt;0")+1,""))</f>
        <v/>
      </c>
      <c r="AO419" s="27">
        <f>IF($A419="","",IF(AND(COUNTIFS($A$14:$A$1213,$A419,$F$14:$F$1213,"&gt;=0")=2,IFERROR(INDEX($M$14:$M$313,MATCH($A419,$H$14:$H$313,0)),"Yes")&lt;&gt;"Yes"),1,0))</f>
        <v/>
      </c>
    </row>
    <row r="420">
      <c r="A420" s="19" t="n"/>
      <c r="B420" s="20" t="n"/>
      <c r="C420" s="21">
        <f>IFERROR(AVERAGE(P420:T420),"")</f>
        <v/>
      </c>
      <c r="D420" s="29" t="n"/>
      <c r="E420" s="29" t="n"/>
      <c r="F420" s="30">
        <f>IF(AND(ISNUMBER($D420),ISNUMBER($E420),$E420&gt;0,$D420&lt;=$E420),$D420/$E420,"")</f>
        <v/>
      </c>
      <c r="P420" s="26" t="n"/>
      <c r="Q420" s="26" t="n"/>
      <c r="R420" s="26" t="n"/>
      <c r="S420" s="26" t="n"/>
      <c r="T420" s="26" t="n"/>
      <c r="V420" s="27">
        <f>IF(ISNUMBER($C420),COUNTIFS($A$14:$A$1213,$A420,$C$14:$C$1213,"&gt;"&amp;$C420)+(COUNTIFS($A$14:$A$1213,$A420,$C$14:$C$1213,"="&amp;$C420)+1)/2,"")</f>
        <v/>
      </c>
      <c r="W420" s="27">
        <f>IF(ISNUMBER($F420),COUNTIFS($A$14:$A$1213,$A420,$F$14:$F$1213,"&gt;"&amp;$F420)+(COUNTIFS($A$14:$A$1213,$A420,$F$14:$F$1213,"="&amp;$F420)+1)/2,"")</f>
        <v/>
      </c>
      <c r="X420" s="27">
        <f>IF(OR(NOT(ISNUMBER($V420)),$AO420=1),"",$V420-(COUNTIFS($A$14:$A$1213,$A420,$C$14:$C$1213,"&gt;=0")+1)/2)</f>
        <v/>
      </c>
      <c r="Y420" s="27">
        <f>IF(OR(NOT(ISNUMBER($W420)),$AO420=1),"",$W420-(COUNTIFS($A$14:$A$1213,$A420,$F$14:$F$1213,"&gt;=0")+1)/2)</f>
        <v/>
      </c>
      <c r="Z420" s="27">
        <f>IF(ISNUMBER($V420),$A420&amp;"|"&amp;$V420,"")</f>
        <v/>
      </c>
      <c r="AA420" s="27">
        <f>IF(ISNUMBER($W420),$A420&amp;"|"&amp;$W420,"")</f>
        <v/>
      </c>
      <c r="AB420" s="27">
        <f>IF(ISNUMBER($F420),$A420&amp;"|"&amp;$F420,"")</f>
        <v/>
      </c>
      <c r="AC420" s="27">
        <f>IF(ISNUMBER($P420),COUNTIFS($A$14:$A$1213,$A420,$P$14:$P$1213,"&gt;"&amp;$P420)+(COUNTIFS($A$14:$A$1213,$A420,$P$14:$P$1213,"="&amp;$P420)+1)/2,"")</f>
        <v/>
      </c>
      <c r="AD420" s="27">
        <f>IF(ISNUMBER($Q420),COUNTIFS($A$14:$A$1213,$A420,$Q$14:$Q$1213,"&gt;"&amp;$Q420)+(COUNTIFS($A$14:$A$1213,$A420,$Q$14:$Q$1213,"="&amp;$Q420)+1)/2,"")</f>
        <v/>
      </c>
      <c r="AE420" s="27">
        <f>IF(ISNUMBER($R420),COUNTIFS($A$14:$A$1213,$A420,$R$14:$R$1213,"&gt;"&amp;$R420)+(COUNTIFS($A$14:$A$1213,$A420,$R$14:$R$1213,"="&amp;$R420)+1)/2,"")</f>
        <v/>
      </c>
      <c r="AF420" s="27">
        <f>IF(ISNUMBER($S420),COUNTIFS($A$14:$A$1213,$A420,$S$14:$S$1213,"&gt;"&amp;$S420)+(COUNTIFS($A$14:$A$1213,$A420,$S$14:$S$1213,"="&amp;$S420)+1)/2,"")</f>
        <v/>
      </c>
      <c r="AG420" s="27">
        <f>IF(ISNUMBER($T420),COUNTIFS($A$14:$A$1213,$A420,$T$14:$T$1213,"&gt;"&amp;$T420)+(COUNTIFS($A$14:$A$1213,$A420,$T$14:$T$1213,"="&amp;$T420)+1)/2,"")</f>
        <v/>
      </c>
      <c r="AH420" s="27">
        <f>IF(COUNT($AC420:$AG420)&lt;2,"",IF(MAX($AC420:$AG420)=MIN($AC420:$AG420),0,1))</f>
        <v/>
      </c>
      <c r="AI420" s="27">
        <f>IF($A420="","",IF(COUNTIF($A$14:$A420,$A420)=1,COUNTIF($AI$13:AI419,"&gt;0")+1,""))</f>
        <v/>
      </c>
      <c r="AO420" s="27">
        <f>IF($A420="","",IF(AND(COUNTIFS($A$14:$A$1213,$A420,$F$14:$F$1213,"&gt;=0")=2,IFERROR(INDEX($M$14:$M$313,MATCH($A420,$H$14:$H$313,0)),"Yes")&lt;&gt;"Yes"),1,0))</f>
        <v/>
      </c>
    </row>
    <row r="421">
      <c r="A421" s="19" t="n"/>
      <c r="B421" s="20" t="n"/>
      <c r="C421" s="21">
        <f>IFERROR(AVERAGE(P421:T421),"")</f>
        <v/>
      </c>
      <c r="D421" s="29" t="n"/>
      <c r="E421" s="29" t="n"/>
      <c r="F421" s="30">
        <f>IF(AND(ISNUMBER($D421),ISNUMBER($E421),$E421&gt;0,$D421&lt;=$E421),$D421/$E421,"")</f>
        <v/>
      </c>
      <c r="P421" s="26" t="n"/>
      <c r="Q421" s="26" t="n"/>
      <c r="R421" s="26" t="n"/>
      <c r="S421" s="26" t="n"/>
      <c r="T421" s="26" t="n"/>
      <c r="V421" s="27">
        <f>IF(ISNUMBER($C421),COUNTIFS($A$14:$A$1213,$A421,$C$14:$C$1213,"&gt;"&amp;$C421)+(COUNTIFS($A$14:$A$1213,$A421,$C$14:$C$1213,"="&amp;$C421)+1)/2,"")</f>
        <v/>
      </c>
      <c r="W421" s="27">
        <f>IF(ISNUMBER($F421),COUNTIFS($A$14:$A$1213,$A421,$F$14:$F$1213,"&gt;"&amp;$F421)+(COUNTIFS($A$14:$A$1213,$A421,$F$14:$F$1213,"="&amp;$F421)+1)/2,"")</f>
        <v/>
      </c>
      <c r="X421" s="27">
        <f>IF(OR(NOT(ISNUMBER($V421)),$AO421=1),"",$V421-(COUNTIFS($A$14:$A$1213,$A421,$C$14:$C$1213,"&gt;=0")+1)/2)</f>
        <v/>
      </c>
      <c r="Y421" s="27">
        <f>IF(OR(NOT(ISNUMBER($W421)),$AO421=1),"",$W421-(COUNTIFS($A$14:$A$1213,$A421,$F$14:$F$1213,"&gt;=0")+1)/2)</f>
        <v/>
      </c>
      <c r="Z421" s="27">
        <f>IF(ISNUMBER($V421),$A421&amp;"|"&amp;$V421,"")</f>
        <v/>
      </c>
      <c r="AA421" s="27">
        <f>IF(ISNUMBER($W421),$A421&amp;"|"&amp;$W421,"")</f>
        <v/>
      </c>
      <c r="AB421" s="27">
        <f>IF(ISNUMBER($F421),$A421&amp;"|"&amp;$F421,"")</f>
        <v/>
      </c>
      <c r="AC421" s="27">
        <f>IF(ISNUMBER($P421),COUNTIFS($A$14:$A$1213,$A421,$P$14:$P$1213,"&gt;"&amp;$P421)+(COUNTIFS($A$14:$A$1213,$A421,$P$14:$P$1213,"="&amp;$P421)+1)/2,"")</f>
        <v/>
      </c>
      <c r="AD421" s="27">
        <f>IF(ISNUMBER($Q421),COUNTIFS($A$14:$A$1213,$A421,$Q$14:$Q$1213,"&gt;"&amp;$Q421)+(COUNTIFS($A$14:$A$1213,$A421,$Q$14:$Q$1213,"="&amp;$Q421)+1)/2,"")</f>
        <v/>
      </c>
      <c r="AE421" s="27">
        <f>IF(ISNUMBER($R421),COUNTIFS($A$14:$A$1213,$A421,$R$14:$R$1213,"&gt;"&amp;$R421)+(COUNTIFS($A$14:$A$1213,$A421,$R$14:$R$1213,"="&amp;$R421)+1)/2,"")</f>
        <v/>
      </c>
      <c r="AF421" s="27">
        <f>IF(ISNUMBER($S421),COUNTIFS($A$14:$A$1213,$A421,$S$14:$S$1213,"&gt;"&amp;$S421)+(COUNTIFS($A$14:$A$1213,$A421,$S$14:$S$1213,"="&amp;$S421)+1)/2,"")</f>
        <v/>
      </c>
      <c r="AG421" s="27">
        <f>IF(ISNUMBER($T421),COUNTIFS($A$14:$A$1213,$A421,$T$14:$T$1213,"&gt;"&amp;$T421)+(COUNTIFS($A$14:$A$1213,$A421,$T$14:$T$1213,"="&amp;$T421)+1)/2,"")</f>
        <v/>
      </c>
      <c r="AH421" s="27">
        <f>IF(COUNT($AC421:$AG421)&lt;2,"",IF(MAX($AC421:$AG421)=MIN($AC421:$AG421),0,1))</f>
        <v/>
      </c>
      <c r="AI421" s="27">
        <f>IF($A421="","",IF(COUNTIF($A$14:$A421,$A421)=1,COUNTIF($AI$13:AI420,"&gt;0")+1,""))</f>
        <v/>
      </c>
      <c r="AO421" s="27">
        <f>IF($A421="","",IF(AND(COUNTIFS($A$14:$A$1213,$A421,$F$14:$F$1213,"&gt;=0")=2,IFERROR(INDEX($M$14:$M$313,MATCH($A421,$H$14:$H$313,0)),"Yes")&lt;&gt;"Yes"),1,0))</f>
        <v/>
      </c>
    </row>
    <row r="422">
      <c r="A422" s="19" t="n"/>
      <c r="B422" s="20" t="n"/>
      <c r="C422" s="21">
        <f>IFERROR(AVERAGE(P422:T422),"")</f>
        <v/>
      </c>
      <c r="D422" s="29" t="n"/>
      <c r="E422" s="29" t="n"/>
      <c r="F422" s="30">
        <f>IF(AND(ISNUMBER($D422),ISNUMBER($E422),$E422&gt;0,$D422&lt;=$E422),$D422/$E422,"")</f>
        <v/>
      </c>
      <c r="P422" s="26" t="n"/>
      <c r="Q422" s="26" t="n"/>
      <c r="R422" s="26" t="n"/>
      <c r="S422" s="26" t="n"/>
      <c r="T422" s="26" t="n"/>
      <c r="V422" s="27">
        <f>IF(ISNUMBER($C422),COUNTIFS($A$14:$A$1213,$A422,$C$14:$C$1213,"&gt;"&amp;$C422)+(COUNTIFS($A$14:$A$1213,$A422,$C$14:$C$1213,"="&amp;$C422)+1)/2,"")</f>
        <v/>
      </c>
      <c r="W422" s="27">
        <f>IF(ISNUMBER($F422),COUNTIFS($A$14:$A$1213,$A422,$F$14:$F$1213,"&gt;"&amp;$F422)+(COUNTIFS($A$14:$A$1213,$A422,$F$14:$F$1213,"="&amp;$F422)+1)/2,"")</f>
        <v/>
      </c>
      <c r="X422" s="27">
        <f>IF(OR(NOT(ISNUMBER($V422)),$AO422=1),"",$V422-(COUNTIFS($A$14:$A$1213,$A422,$C$14:$C$1213,"&gt;=0")+1)/2)</f>
        <v/>
      </c>
      <c r="Y422" s="27">
        <f>IF(OR(NOT(ISNUMBER($W422)),$AO422=1),"",$W422-(COUNTIFS($A$14:$A$1213,$A422,$F$14:$F$1213,"&gt;=0")+1)/2)</f>
        <v/>
      </c>
      <c r="Z422" s="27">
        <f>IF(ISNUMBER($V422),$A422&amp;"|"&amp;$V422,"")</f>
        <v/>
      </c>
      <c r="AA422" s="27">
        <f>IF(ISNUMBER($W422),$A422&amp;"|"&amp;$W422,"")</f>
        <v/>
      </c>
      <c r="AB422" s="27">
        <f>IF(ISNUMBER($F422),$A422&amp;"|"&amp;$F422,"")</f>
        <v/>
      </c>
      <c r="AC422" s="27">
        <f>IF(ISNUMBER($P422),COUNTIFS($A$14:$A$1213,$A422,$P$14:$P$1213,"&gt;"&amp;$P422)+(COUNTIFS($A$14:$A$1213,$A422,$P$14:$P$1213,"="&amp;$P422)+1)/2,"")</f>
        <v/>
      </c>
      <c r="AD422" s="27">
        <f>IF(ISNUMBER($Q422),COUNTIFS($A$14:$A$1213,$A422,$Q$14:$Q$1213,"&gt;"&amp;$Q422)+(COUNTIFS($A$14:$A$1213,$A422,$Q$14:$Q$1213,"="&amp;$Q422)+1)/2,"")</f>
        <v/>
      </c>
      <c r="AE422" s="27">
        <f>IF(ISNUMBER($R422),COUNTIFS($A$14:$A$1213,$A422,$R$14:$R$1213,"&gt;"&amp;$R422)+(COUNTIFS($A$14:$A$1213,$A422,$R$14:$R$1213,"="&amp;$R422)+1)/2,"")</f>
        <v/>
      </c>
      <c r="AF422" s="27">
        <f>IF(ISNUMBER($S422),COUNTIFS($A$14:$A$1213,$A422,$S$14:$S$1213,"&gt;"&amp;$S422)+(COUNTIFS($A$14:$A$1213,$A422,$S$14:$S$1213,"="&amp;$S422)+1)/2,"")</f>
        <v/>
      </c>
      <c r="AG422" s="27">
        <f>IF(ISNUMBER($T422),COUNTIFS($A$14:$A$1213,$A422,$T$14:$T$1213,"&gt;"&amp;$T422)+(COUNTIFS($A$14:$A$1213,$A422,$T$14:$T$1213,"="&amp;$T422)+1)/2,"")</f>
        <v/>
      </c>
      <c r="AH422" s="27">
        <f>IF(COUNT($AC422:$AG422)&lt;2,"",IF(MAX($AC422:$AG422)=MIN($AC422:$AG422),0,1))</f>
        <v/>
      </c>
      <c r="AI422" s="27">
        <f>IF($A422="","",IF(COUNTIF($A$14:$A422,$A422)=1,COUNTIF($AI$13:AI421,"&gt;0")+1,""))</f>
        <v/>
      </c>
      <c r="AO422" s="27">
        <f>IF($A422="","",IF(AND(COUNTIFS($A$14:$A$1213,$A422,$F$14:$F$1213,"&gt;=0")=2,IFERROR(INDEX($M$14:$M$313,MATCH($A422,$H$14:$H$313,0)),"Yes")&lt;&gt;"Yes"),1,0))</f>
        <v/>
      </c>
    </row>
    <row r="423">
      <c r="A423" s="19" t="n"/>
      <c r="B423" s="20" t="n"/>
      <c r="C423" s="21">
        <f>IFERROR(AVERAGE(P423:T423),"")</f>
        <v/>
      </c>
      <c r="D423" s="29" t="n"/>
      <c r="E423" s="29" t="n"/>
      <c r="F423" s="30">
        <f>IF(AND(ISNUMBER($D423),ISNUMBER($E423),$E423&gt;0,$D423&lt;=$E423),$D423/$E423,"")</f>
        <v/>
      </c>
      <c r="P423" s="26" t="n"/>
      <c r="Q423" s="26" t="n"/>
      <c r="R423" s="26" t="n"/>
      <c r="S423" s="26" t="n"/>
      <c r="T423" s="26" t="n"/>
      <c r="V423" s="27">
        <f>IF(ISNUMBER($C423),COUNTIFS($A$14:$A$1213,$A423,$C$14:$C$1213,"&gt;"&amp;$C423)+(COUNTIFS($A$14:$A$1213,$A423,$C$14:$C$1213,"="&amp;$C423)+1)/2,"")</f>
        <v/>
      </c>
      <c r="W423" s="27">
        <f>IF(ISNUMBER($F423),COUNTIFS($A$14:$A$1213,$A423,$F$14:$F$1213,"&gt;"&amp;$F423)+(COUNTIFS($A$14:$A$1213,$A423,$F$14:$F$1213,"="&amp;$F423)+1)/2,"")</f>
        <v/>
      </c>
      <c r="X423" s="27">
        <f>IF(OR(NOT(ISNUMBER($V423)),$AO423=1),"",$V423-(COUNTIFS($A$14:$A$1213,$A423,$C$14:$C$1213,"&gt;=0")+1)/2)</f>
        <v/>
      </c>
      <c r="Y423" s="27">
        <f>IF(OR(NOT(ISNUMBER($W423)),$AO423=1),"",$W423-(COUNTIFS($A$14:$A$1213,$A423,$F$14:$F$1213,"&gt;=0")+1)/2)</f>
        <v/>
      </c>
      <c r="Z423" s="27">
        <f>IF(ISNUMBER($V423),$A423&amp;"|"&amp;$V423,"")</f>
        <v/>
      </c>
      <c r="AA423" s="27">
        <f>IF(ISNUMBER($W423),$A423&amp;"|"&amp;$W423,"")</f>
        <v/>
      </c>
      <c r="AB423" s="27">
        <f>IF(ISNUMBER($F423),$A423&amp;"|"&amp;$F423,"")</f>
        <v/>
      </c>
      <c r="AC423" s="27">
        <f>IF(ISNUMBER($P423),COUNTIFS($A$14:$A$1213,$A423,$P$14:$P$1213,"&gt;"&amp;$P423)+(COUNTIFS($A$14:$A$1213,$A423,$P$14:$P$1213,"="&amp;$P423)+1)/2,"")</f>
        <v/>
      </c>
      <c r="AD423" s="27">
        <f>IF(ISNUMBER($Q423),COUNTIFS($A$14:$A$1213,$A423,$Q$14:$Q$1213,"&gt;"&amp;$Q423)+(COUNTIFS($A$14:$A$1213,$A423,$Q$14:$Q$1213,"="&amp;$Q423)+1)/2,"")</f>
        <v/>
      </c>
      <c r="AE423" s="27">
        <f>IF(ISNUMBER($R423),COUNTIFS($A$14:$A$1213,$A423,$R$14:$R$1213,"&gt;"&amp;$R423)+(COUNTIFS($A$14:$A$1213,$A423,$R$14:$R$1213,"="&amp;$R423)+1)/2,"")</f>
        <v/>
      </c>
      <c r="AF423" s="27">
        <f>IF(ISNUMBER($S423),COUNTIFS($A$14:$A$1213,$A423,$S$14:$S$1213,"&gt;"&amp;$S423)+(COUNTIFS($A$14:$A$1213,$A423,$S$14:$S$1213,"="&amp;$S423)+1)/2,"")</f>
        <v/>
      </c>
      <c r="AG423" s="27">
        <f>IF(ISNUMBER($T423),COUNTIFS($A$14:$A$1213,$A423,$T$14:$T$1213,"&gt;"&amp;$T423)+(COUNTIFS($A$14:$A$1213,$A423,$T$14:$T$1213,"="&amp;$T423)+1)/2,"")</f>
        <v/>
      </c>
      <c r="AH423" s="27">
        <f>IF(COUNT($AC423:$AG423)&lt;2,"",IF(MAX($AC423:$AG423)=MIN($AC423:$AG423),0,1))</f>
        <v/>
      </c>
      <c r="AI423" s="27">
        <f>IF($A423="","",IF(COUNTIF($A$14:$A423,$A423)=1,COUNTIF($AI$13:AI422,"&gt;0")+1,""))</f>
        <v/>
      </c>
      <c r="AO423" s="27">
        <f>IF($A423="","",IF(AND(COUNTIFS($A$14:$A$1213,$A423,$F$14:$F$1213,"&gt;=0")=2,IFERROR(INDEX($M$14:$M$313,MATCH($A423,$H$14:$H$313,0)),"Yes")&lt;&gt;"Yes"),1,0))</f>
        <v/>
      </c>
    </row>
    <row r="424">
      <c r="A424" s="19" t="n"/>
      <c r="B424" s="20" t="n"/>
      <c r="C424" s="21">
        <f>IFERROR(AVERAGE(P424:T424),"")</f>
        <v/>
      </c>
      <c r="D424" s="29" t="n"/>
      <c r="E424" s="29" t="n"/>
      <c r="F424" s="30">
        <f>IF(AND(ISNUMBER($D424),ISNUMBER($E424),$E424&gt;0,$D424&lt;=$E424),$D424/$E424,"")</f>
        <v/>
      </c>
      <c r="P424" s="26" t="n"/>
      <c r="Q424" s="26" t="n"/>
      <c r="R424" s="26" t="n"/>
      <c r="S424" s="26" t="n"/>
      <c r="T424" s="26" t="n"/>
      <c r="V424" s="27">
        <f>IF(ISNUMBER($C424),COUNTIFS($A$14:$A$1213,$A424,$C$14:$C$1213,"&gt;"&amp;$C424)+(COUNTIFS($A$14:$A$1213,$A424,$C$14:$C$1213,"="&amp;$C424)+1)/2,"")</f>
        <v/>
      </c>
      <c r="W424" s="27">
        <f>IF(ISNUMBER($F424),COUNTIFS($A$14:$A$1213,$A424,$F$14:$F$1213,"&gt;"&amp;$F424)+(COUNTIFS($A$14:$A$1213,$A424,$F$14:$F$1213,"="&amp;$F424)+1)/2,"")</f>
        <v/>
      </c>
      <c r="X424" s="27">
        <f>IF(OR(NOT(ISNUMBER($V424)),$AO424=1),"",$V424-(COUNTIFS($A$14:$A$1213,$A424,$C$14:$C$1213,"&gt;=0")+1)/2)</f>
        <v/>
      </c>
      <c r="Y424" s="27">
        <f>IF(OR(NOT(ISNUMBER($W424)),$AO424=1),"",$W424-(COUNTIFS($A$14:$A$1213,$A424,$F$14:$F$1213,"&gt;=0")+1)/2)</f>
        <v/>
      </c>
      <c r="Z424" s="27">
        <f>IF(ISNUMBER($V424),$A424&amp;"|"&amp;$V424,"")</f>
        <v/>
      </c>
      <c r="AA424" s="27">
        <f>IF(ISNUMBER($W424),$A424&amp;"|"&amp;$W424,"")</f>
        <v/>
      </c>
      <c r="AB424" s="27">
        <f>IF(ISNUMBER($F424),$A424&amp;"|"&amp;$F424,"")</f>
        <v/>
      </c>
      <c r="AC424" s="27">
        <f>IF(ISNUMBER($P424),COUNTIFS($A$14:$A$1213,$A424,$P$14:$P$1213,"&gt;"&amp;$P424)+(COUNTIFS($A$14:$A$1213,$A424,$P$14:$P$1213,"="&amp;$P424)+1)/2,"")</f>
        <v/>
      </c>
      <c r="AD424" s="27">
        <f>IF(ISNUMBER($Q424),COUNTIFS($A$14:$A$1213,$A424,$Q$14:$Q$1213,"&gt;"&amp;$Q424)+(COUNTIFS($A$14:$A$1213,$A424,$Q$14:$Q$1213,"="&amp;$Q424)+1)/2,"")</f>
        <v/>
      </c>
      <c r="AE424" s="27">
        <f>IF(ISNUMBER($R424),COUNTIFS($A$14:$A$1213,$A424,$R$14:$R$1213,"&gt;"&amp;$R424)+(COUNTIFS($A$14:$A$1213,$A424,$R$14:$R$1213,"="&amp;$R424)+1)/2,"")</f>
        <v/>
      </c>
      <c r="AF424" s="27">
        <f>IF(ISNUMBER($S424),COUNTIFS($A$14:$A$1213,$A424,$S$14:$S$1213,"&gt;"&amp;$S424)+(COUNTIFS($A$14:$A$1213,$A424,$S$14:$S$1213,"="&amp;$S424)+1)/2,"")</f>
        <v/>
      </c>
      <c r="AG424" s="27">
        <f>IF(ISNUMBER($T424),COUNTIFS($A$14:$A$1213,$A424,$T$14:$T$1213,"&gt;"&amp;$T424)+(COUNTIFS($A$14:$A$1213,$A424,$T$14:$T$1213,"="&amp;$T424)+1)/2,"")</f>
        <v/>
      </c>
      <c r="AH424" s="27">
        <f>IF(COUNT($AC424:$AG424)&lt;2,"",IF(MAX($AC424:$AG424)=MIN($AC424:$AG424),0,1))</f>
        <v/>
      </c>
      <c r="AI424" s="27">
        <f>IF($A424="","",IF(COUNTIF($A$14:$A424,$A424)=1,COUNTIF($AI$13:AI423,"&gt;0")+1,""))</f>
        <v/>
      </c>
      <c r="AO424" s="27">
        <f>IF($A424="","",IF(AND(COUNTIFS($A$14:$A$1213,$A424,$F$14:$F$1213,"&gt;=0")=2,IFERROR(INDEX($M$14:$M$313,MATCH($A424,$H$14:$H$313,0)),"Yes")&lt;&gt;"Yes"),1,0))</f>
        <v/>
      </c>
    </row>
    <row r="425">
      <c r="A425" s="19" t="n"/>
      <c r="B425" s="20" t="n"/>
      <c r="C425" s="21">
        <f>IFERROR(AVERAGE(P425:T425),"")</f>
        <v/>
      </c>
      <c r="D425" s="29" t="n"/>
      <c r="E425" s="29" t="n"/>
      <c r="F425" s="30">
        <f>IF(AND(ISNUMBER($D425),ISNUMBER($E425),$E425&gt;0,$D425&lt;=$E425),$D425/$E425,"")</f>
        <v/>
      </c>
      <c r="P425" s="26" t="n"/>
      <c r="Q425" s="26" t="n"/>
      <c r="R425" s="26" t="n"/>
      <c r="S425" s="26" t="n"/>
      <c r="T425" s="26" t="n"/>
      <c r="V425" s="27">
        <f>IF(ISNUMBER($C425),COUNTIFS($A$14:$A$1213,$A425,$C$14:$C$1213,"&gt;"&amp;$C425)+(COUNTIFS($A$14:$A$1213,$A425,$C$14:$C$1213,"="&amp;$C425)+1)/2,"")</f>
        <v/>
      </c>
      <c r="W425" s="27">
        <f>IF(ISNUMBER($F425),COUNTIFS($A$14:$A$1213,$A425,$F$14:$F$1213,"&gt;"&amp;$F425)+(COUNTIFS($A$14:$A$1213,$A425,$F$14:$F$1213,"="&amp;$F425)+1)/2,"")</f>
        <v/>
      </c>
      <c r="X425" s="27">
        <f>IF(OR(NOT(ISNUMBER($V425)),$AO425=1),"",$V425-(COUNTIFS($A$14:$A$1213,$A425,$C$14:$C$1213,"&gt;=0")+1)/2)</f>
        <v/>
      </c>
      <c r="Y425" s="27">
        <f>IF(OR(NOT(ISNUMBER($W425)),$AO425=1),"",$W425-(COUNTIFS($A$14:$A$1213,$A425,$F$14:$F$1213,"&gt;=0")+1)/2)</f>
        <v/>
      </c>
      <c r="Z425" s="27">
        <f>IF(ISNUMBER($V425),$A425&amp;"|"&amp;$V425,"")</f>
        <v/>
      </c>
      <c r="AA425" s="27">
        <f>IF(ISNUMBER($W425),$A425&amp;"|"&amp;$W425,"")</f>
        <v/>
      </c>
      <c r="AB425" s="27">
        <f>IF(ISNUMBER($F425),$A425&amp;"|"&amp;$F425,"")</f>
        <v/>
      </c>
      <c r="AC425" s="27">
        <f>IF(ISNUMBER($P425),COUNTIFS($A$14:$A$1213,$A425,$P$14:$P$1213,"&gt;"&amp;$P425)+(COUNTIFS($A$14:$A$1213,$A425,$P$14:$P$1213,"="&amp;$P425)+1)/2,"")</f>
        <v/>
      </c>
      <c r="AD425" s="27">
        <f>IF(ISNUMBER($Q425),COUNTIFS($A$14:$A$1213,$A425,$Q$14:$Q$1213,"&gt;"&amp;$Q425)+(COUNTIFS($A$14:$A$1213,$A425,$Q$14:$Q$1213,"="&amp;$Q425)+1)/2,"")</f>
        <v/>
      </c>
      <c r="AE425" s="27">
        <f>IF(ISNUMBER($R425),COUNTIFS($A$14:$A$1213,$A425,$R$14:$R$1213,"&gt;"&amp;$R425)+(COUNTIFS($A$14:$A$1213,$A425,$R$14:$R$1213,"="&amp;$R425)+1)/2,"")</f>
        <v/>
      </c>
      <c r="AF425" s="27">
        <f>IF(ISNUMBER($S425),COUNTIFS($A$14:$A$1213,$A425,$S$14:$S$1213,"&gt;"&amp;$S425)+(COUNTIFS($A$14:$A$1213,$A425,$S$14:$S$1213,"="&amp;$S425)+1)/2,"")</f>
        <v/>
      </c>
      <c r="AG425" s="27">
        <f>IF(ISNUMBER($T425),COUNTIFS($A$14:$A$1213,$A425,$T$14:$T$1213,"&gt;"&amp;$T425)+(COUNTIFS($A$14:$A$1213,$A425,$T$14:$T$1213,"="&amp;$T425)+1)/2,"")</f>
        <v/>
      </c>
      <c r="AH425" s="27">
        <f>IF(COUNT($AC425:$AG425)&lt;2,"",IF(MAX($AC425:$AG425)=MIN($AC425:$AG425),0,1))</f>
        <v/>
      </c>
      <c r="AI425" s="27">
        <f>IF($A425="","",IF(COUNTIF($A$14:$A425,$A425)=1,COUNTIF($AI$13:AI424,"&gt;0")+1,""))</f>
        <v/>
      </c>
      <c r="AO425" s="27">
        <f>IF($A425="","",IF(AND(COUNTIFS($A$14:$A$1213,$A425,$F$14:$F$1213,"&gt;=0")=2,IFERROR(INDEX($M$14:$M$313,MATCH($A425,$H$14:$H$313,0)),"Yes")&lt;&gt;"Yes"),1,0))</f>
        <v/>
      </c>
    </row>
    <row r="426">
      <c r="A426" s="19" t="n"/>
      <c r="B426" s="20" t="n"/>
      <c r="C426" s="21">
        <f>IFERROR(AVERAGE(P426:T426),"")</f>
        <v/>
      </c>
      <c r="D426" s="29" t="n"/>
      <c r="E426" s="29" t="n"/>
      <c r="F426" s="30">
        <f>IF(AND(ISNUMBER($D426),ISNUMBER($E426),$E426&gt;0,$D426&lt;=$E426),$D426/$E426,"")</f>
        <v/>
      </c>
      <c r="P426" s="26" t="n"/>
      <c r="Q426" s="26" t="n"/>
      <c r="R426" s="26" t="n"/>
      <c r="S426" s="26" t="n"/>
      <c r="T426" s="26" t="n"/>
      <c r="V426" s="27">
        <f>IF(ISNUMBER($C426),COUNTIFS($A$14:$A$1213,$A426,$C$14:$C$1213,"&gt;"&amp;$C426)+(COUNTIFS($A$14:$A$1213,$A426,$C$14:$C$1213,"="&amp;$C426)+1)/2,"")</f>
        <v/>
      </c>
      <c r="W426" s="27">
        <f>IF(ISNUMBER($F426),COUNTIFS($A$14:$A$1213,$A426,$F$14:$F$1213,"&gt;"&amp;$F426)+(COUNTIFS($A$14:$A$1213,$A426,$F$14:$F$1213,"="&amp;$F426)+1)/2,"")</f>
        <v/>
      </c>
      <c r="X426" s="27">
        <f>IF(OR(NOT(ISNUMBER($V426)),$AO426=1),"",$V426-(COUNTIFS($A$14:$A$1213,$A426,$C$14:$C$1213,"&gt;=0")+1)/2)</f>
        <v/>
      </c>
      <c r="Y426" s="27">
        <f>IF(OR(NOT(ISNUMBER($W426)),$AO426=1),"",$W426-(COUNTIFS($A$14:$A$1213,$A426,$F$14:$F$1213,"&gt;=0")+1)/2)</f>
        <v/>
      </c>
      <c r="Z426" s="27">
        <f>IF(ISNUMBER($V426),$A426&amp;"|"&amp;$V426,"")</f>
        <v/>
      </c>
      <c r="AA426" s="27">
        <f>IF(ISNUMBER($W426),$A426&amp;"|"&amp;$W426,"")</f>
        <v/>
      </c>
      <c r="AB426" s="27">
        <f>IF(ISNUMBER($F426),$A426&amp;"|"&amp;$F426,"")</f>
        <v/>
      </c>
      <c r="AC426" s="27">
        <f>IF(ISNUMBER($P426),COUNTIFS($A$14:$A$1213,$A426,$P$14:$P$1213,"&gt;"&amp;$P426)+(COUNTIFS($A$14:$A$1213,$A426,$P$14:$P$1213,"="&amp;$P426)+1)/2,"")</f>
        <v/>
      </c>
      <c r="AD426" s="27">
        <f>IF(ISNUMBER($Q426),COUNTIFS($A$14:$A$1213,$A426,$Q$14:$Q$1213,"&gt;"&amp;$Q426)+(COUNTIFS($A$14:$A$1213,$A426,$Q$14:$Q$1213,"="&amp;$Q426)+1)/2,"")</f>
        <v/>
      </c>
      <c r="AE426" s="27">
        <f>IF(ISNUMBER($R426),COUNTIFS($A$14:$A$1213,$A426,$R$14:$R$1213,"&gt;"&amp;$R426)+(COUNTIFS($A$14:$A$1213,$A426,$R$14:$R$1213,"="&amp;$R426)+1)/2,"")</f>
        <v/>
      </c>
      <c r="AF426" s="27">
        <f>IF(ISNUMBER($S426),COUNTIFS($A$14:$A$1213,$A426,$S$14:$S$1213,"&gt;"&amp;$S426)+(COUNTIFS($A$14:$A$1213,$A426,$S$14:$S$1213,"="&amp;$S426)+1)/2,"")</f>
        <v/>
      </c>
      <c r="AG426" s="27">
        <f>IF(ISNUMBER($T426),COUNTIFS($A$14:$A$1213,$A426,$T$14:$T$1213,"&gt;"&amp;$T426)+(COUNTIFS($A$14:$A$1213,$A426,$T$14:$T$1213,"="&amp;$T426)+1)/2,"")</f>
        <v/>
      </c>
      <c r="AH426" s="27">
        <f>IF(COUNT($AC426:$AG426)&lt;2,"",IF(MAX($AC426:$AG426)=MIN($AC426:$AG426),0,1))</f>
        <v/>
      </c>
      <c r="AI426" s="27">
        <f>IF($A426="","",IF(COUNTIF($A$14:$A426,$A426)=1,COUNTIF($AI$13:AI425,"&gt;0")+1,""))</f>
        <v/>
      </c>
      <c r="AO426" s="27">
        <f>IF($A426="","",IF(AND(COUNTIFS($A$14:$A$1213,$A426,$F$14:$F$1213,"&gt;=0")=2,IFERROR(INDEX($M$14:$M$313,MATCH($A426,$H$14:$H$313,0)),"Yes")&lt;&gt;"Yes"),1,0))</f>
        <v/>
      </c>
    </row>
    <row r="427">
      <c r="A427" s="19" t="n"/>
      <c r="B427" s="20" t="n"/>
      <c r="C427" s="21">
        <f>IFERROR(AVERAGE(P427:T427),"")</f>
        <v/>
      </c>
      <c r="D427" s="29" t="n"/>
      <c r="E427" s="29" t="n"/>
      <c r="F427" s="30">
        <f>IF(AND(ISNUMBER($D427),ISNUMBER($E427),$E427&gt;0,$D427&lt;=$E427),$D427/$E427,"")</f>
        <v/>
      </c>
      <c r="P427" s="26" t="n"/>
      <c r="Q427" s="26" t="n"/>
      <c r="R427" s="26" t="n"/>
      <c r="S427" s="26" t="n"/>
      <c r="T427" s="26" t="n"/>
      <c r="V427" s="27">
        <f>IF(ISNUMBER($C427),COUNTIFS($A$14:$A$1213,$A427,$C$14:$C$1213,"&gt;"&amp;$C427)+(COUNTIFS($A$14:$A$1213,$A427,$C$14:$C$1213,"="&amp;$C427)+1)/2,"")</f>
        <v/>
      </c>
      <c r="W427" s="27">
        <f>IF(ISNUMBER($F427),COUNTIFS($A$14:$A$1213,$A427,$F$14:$F$1213,"&gt;"&amp;$F427)+(COUNTIFS($A$14:$A$1213,$A427,$F$14:$F$1213,"="&amp;$F427)+1)/2,"")</f>
        <v/>
      </c>
      <c r="X427" s="27">
        <f>IF(OR(NOT(ISNUMBER($V427)),$AO427=1),"",$V427-(COUNTIFS($A$14:$A$1213,$A427,$C$14:$C$1213,"&gt;=0")+1)/2)</f>
        <v/>
      </c>
      <c r="Y427" s="27">
        <f>IF(OR(NOT(ISNUMBER($W427)),$AO427=1),"",$W427-(COUNTIFS($A$14:$A$1213,$A427,$F$14:$F$1213,"&gt;=0")+1)/2)</f>
        <v/>
      </c>
      <c r="Z427" s="27">
        <f>IF(ISNUMBER($V427),$A427&amp;"|"&amp;$V427,"")</f>
        <v/>
      </c>
      <c r="AA427" s="27">
        <f>IF(ISNUMBER($W427),$A427&amp;"|"&amp;$W427,"")</f>
        <v/>
      </c>
      <c r="AB427" s="27">
        <f>IF(ISNUMBER($F427),$A427&amp;"|"&amp;$F427,"")</f>
        <v/>
      </c>
      <c r="AC427" s="27">
        <f>IF(ISNUMBER($P427),COUNTIFS($A$14:$A$1213,$A427,$P$14:$P$1213,"&gt;"&amp;$P427)+(COUNTIFS($A$14:$A$1213,$A427,$P$14:$P$1213,"="&amp;$P427)+1)/2,"")</f>
        <v/>
      </c>
      <c r="AD427" s="27">
        <f>IF(ISNUMBER($Q427),COUNTIFS($A$14:$A$1213,$A427,$Q$14:$Q$1213,"&gt;"&amp;$Q427)+(COUNTIFS($A$14:$A$1213,$A427,$Q$14:$Q$1213,"="&amp;$Q427)+1)/2,"")</f>
        <v/>
      </c>
      <c r="AE427" s="27">
        <f>IF(ISNUMBER($R427),COUNTIFS($A$14:$A$1213,$A427,$R$14:$R$1213,"&gt;"&amp;$R427)+(COUNTIFS($A$14:$A$1213,$A427,$R$14:$R$1213,"="&amp;$R427)+1)/2,"")</f>
        <v/>
      </c>
      <c r="AF427" s="27">
        <f>IF(ISNUMBER($S427),COUNTIFS($A$14:$A$1213,$A427,$S$14:$S$1213,"&gt;"&amp;$S427)+(COUNTIFS($A$14:$A$1213,$A427,$S$14:$S$1213,"="&amp;$S427)+1)/2,"")</f>
        <v/>
      </c>
      <c r="AG427" s="27">
        <f>IF(ISNUMBER($T427),COUNTIFS($A$14:$A$1213,$A427,$T$14:$T$1213,"&gt;"&amp;$T427)+(COUNTIFS($A$14:$A$1213,$A427,$T$14:$T$1213,"="&amp;$T427)+1)/2,"")</f>
        <v/>
      </c>
      <c r="AH427" s="27">
        <f>IF(COUNT($AC427:$AG427)&lt;2,"",IF(MAX($AC427:$AG427)=MIN($AC427:$AG427),0,1))</f>
        <v/>
      </c>
      <c r="AI427" s="27">
        <f>IF($A427="","",IF(COUNTIF($A$14:$A427,$A427)=1,COUNTIF($AI$13:AI426,"&gt;0")+1,""))</f>
        <v/>
      </c>
      <c r="AO427" s="27">
        <f>IF($A427="","",IF(AND(COUNTIFS($A$14:$A$1213,$A427,$F$14:$F$1213,"&gt;=0")=2,IFERROR(INDEX($M$14:$M$313,MATCH($A427,$H$14:$H$313,0)),"Yes")&lt;&gt;"Yes"),1,0))</f>
        <v/>
      </c>
    </row>
    <row r="428">
      <c r="A428" s="19" t="n"/>
      <c r="B428" s="20" t="n"/>
      <c r="C428" s="21">
        <f>IFERROR(AVERAGE(P428:T428),"")</f>
        <v/>
      </c>
      <c r="D428" s="29" t="n"/>
      <c r="E428" s="29" t="n"/>
      <c r="F428" s="30">
        <f>IF(AND(ISNUMBER($D428),ISNUMBER($E428),$E428&gt;0,$D428&lt;=$E428),$D428/$E428,"")</f>
        <v/>
      </c>
      <c r="P428" s="26" t="n"/>
      <c r="Q428" s="26" t="n"/>
      <c r="R428" s="26" t="n"/>
      <c r="S428" s="26" t="n"/>
      <c r="T428" s="26" t="n"/>
      <c r="V428" s="27">
        <f>IF(ISNUMBER($C428),COUNTIFS($A$14:$A$1213,$A428,$C$14:$C$1213,"&gt;"&amp;$C428)+(COUNTIFS($A$14:$A$1213,$A428,$C$14:$C$1213,"="&amp;$C428)+1)/2,"")</f>
        <v/>
      </c>
      <c r="W428" s="27">
        <f>IF(ISNUMBER($F428),COUNTIFS($A$14:$A$1213,$A428,$F$14:$F$1213,"&gt;"&amp;$F428)+(COUNTIFS($A$14:$A$1213,$A428,$F$14:$F$1213,"="&amp;$F428)+1)/2,"")</f>
        <v/>
      </c>
      <c r="X428" s="27">
        <f>IF(OR(NOT(ISNUMBER($V428)),$AO428=1),"",$V428-(COUNTIFS($A$14:$A$1213,$A428,$C$14:$C$1213,"&gt;=0")+1)/2)</f>
        <v/>
      </c>
      <c r="Y428" s="27">
        <f>IF(OR(NOT(ISNUMBER($W428)),$AO428=1),"",$W428-(COUNTIFS($A$14:$A$1213,$A428,$F$14:$F$1213,"&gt;=0")+1)/2)</f>
        <v/>
      </c>
      <c r="Z428" s="27">
        <f>IF(ISNUMBER($V428),$A428&amp;"|"&amp;$V428,"")</f>
        <v/>
      </c>
      <c r="AA428" s="27">
        <f>IF(ISNUMBER($W428),$A428&amp;"|"&amp;$W428,"")</f>
        <v/>
      </c>
      <c r="AB428" s="27">
        <f>IF(ISNUMBER($F428),$A428&amp;"|"&amp;$F428,"")</f>
        <v/>
      </c>
      <c r="AC428" s="27">
        <f>IF(ISNUMBER($P428),COUNTIFS($A$14:$A$1213,$A428,$P$14:$P$1213,"&gt;"&amp;$P428)+(COUNTIFS($A$14:$A$1213,$A428,$P$14:$P$1213,"="&amp;$P428)+1)/2,"")</f>
        <v/>
      </c>
      <c r="AD428" s="27">
        <f>IF(ISNUMBER($Q428),COUNTIFS($A$14:$A$1213,$A428,$Q$14:$Q$1213,"&gt;"&amp;$Q428)+(COUNTIFS($A$14:$A$1213,$A428,$Q$14:$Q$1213,"="&amp;$Q428)+1)/2,"")</f>
        <v/>
      </c>
      <c r="AE428" s="27">
        <f>IF(ISNUMBER($R428),COUNTIFS($A$14:$A$1213,$A428,$R$14:$R$1213,"&gt;"&amp;$R428)+(COUNTIFS($A$14:$A$1213,$A428,$R$14:$R$1213,"="&amp;$R428)+1)/2,"")</f>
        <v/>
      </c>
      <c r="AF428" s="27">
        <f>IF(ISNUMBER($S428),COUNTIFS($A$14:$A$1213,$A428,$S$14:$S$1213,"&gt;"&amp;$S428)+(COUNTIFS($A$14:$A$1213,$A428,$S$14:$S$1213,"="&amp;$S428)+1)/2,"")</f>
        <v/>
      </c>
      <c r="AG428" s="27">
        <f>IF(ISNUMBER($T428),COUNTIFS($A$14:$A$1213,$A428,$T$14:$T$1213,"&gt;"&amp;$T428)+(COUNTIFS($A$14:$A$1213,$A428,$T$14:$T$1213,"="&amp;$T428)+1)/2,"")</f>
        <v/>
      </c>
      <c r="AH428" s="27">
        <f>IF(COUNT($AC428:$AG428)&lt;2,"",IF(MAX($AC428:$AG428)=MIN($AC428:$AG428),0,1))</f>
        <v/>
      </c>
      <c r="AI428" s="27">
        <f>IF($A428="","",IF(COUNTIF($A$14:$A428,$A428)=1,COUNTIF($AI$13:AI427,"&gt;0")+1,""))</f>
        <v/>
      </c>
      <c r="AO428" s="27">
        <f>IF($A428="","",IF(AND(COUNTIFS($A$14:$A$1213,$A428,$F$14:$F$1213,"&gt;=0")=2,IFERROR(INDEX($M$14:$M$313,MATCH($A428,$H$14:$H$313,0)),"Yes")&lt;&gt;"Yes"),1,0))</f>
        <v/>
      </c>
    </row>
    <row r="429">
      <c r="A429" s="19" t="n"/>
      <c r="B429" s="20" t="n"/>
      <c r="C429" s="21">
        <f>IFERROR(AVERAGE(P429:T429),"")</f>
        <v/>
      </c>
      <c r="D429" s="29" t="n"/>
      <c r="E429" s="29" t="n"/>
      <c r="F429" s="30">
        <f>IF(AND(ISNUMBER($D429),ISNUMBER($E429),$E429&gt;0,$D429&lt;=$E429),$D429/$E429,"")</f>
        <v/>
      </c>
      <c r="P429" s="26" t="n"/>
      <c r="Q429" s="26" t="n"/>
      <c r="R429" s="26" t="n"/>
      <c r="S429" s="26" t="n"/>
      <c r="T429" s="26" t="n"/>
      <c r="V429" s="27">
        <f>IF(ISNUMBER($C429),COUNTIFS($A$14:$A$1213,$A429,$C$14:$C$1213,"&gt;"&amp;$C429)+(COUNTIFS($A$14:$A$1213,$A429,$C$14:$C$1213,"="&amp;$C429)+1)/2,"")</f>
        <v/>
      </c>
      <c r="W429" s="27">
        <f>IF(ISNUMBER($F429),COUNTIFS($A$14:$A$1213,$A429,$F$14:$F$1213,"&gt;"&amp;$F429)+(COUNTIFS($A$14:$A$1213,$A429,$F$14:$F$1213,"="&amp;$F429)+1)/2,"")</f>
        <v/>
      </c>
      <c r="X429" s="27">
        <f>IF(OR(NOT(ISNUMBER($V429)),$AO429=1),"",$V429-(COUNTIFS($A$14:$A$1213,$A429,$C$14:$C$1213,"&gt;=0")+1)/2)</f>
        <v/>
      </c>
      <c r="Y429" s="27">
        <f>IF(OR(NOT(ISNUMBER($W429)),$AO429=1),"",$W429-(COUNTIFS($A$14:$A$1213,$A429,$F$14:$F$1213,"&gt;=0")+1)/2)</f>
        <v/>
      </c>
      <c r="Z429" s="27">
        <f>IF(ISNUMBER($V429),$A429&amp;"|"&amp;$V429,"")</f>
        <v/>
      </c>
      <c r="AA429" s="27">
        <f>IF(ISNUMBER($W429),$A429&amp;"|"&amp;$W429,"")</f>
        <v/>
      </c>
      <c r="AB429" s="27">
        <f>IF(ISNUMBER($F429),$A429&amp;"|"&amp;$F429,"")</f>
        <v/>
      </c>
      <c r="AC429" s="27">
        <f>IF(ISNUMBER($P429),COUNTIFS($A$14:$A$1213,$A429,$P$14:$P$1213,"&gt;"&amp;$P429)+(COUNTIFS($A$14:$A$1213,$A429,$P$14:$P$1213,"="&amp;$P429)+1)/2,"")</f>
        <v/>
      </c>
      <c r="AD429" s="27">
        <f>IF(ISNUMBER($Q429),COUNTIFS($A$14:$A$1213,$A429,$Q$14:$Q$1213,"&gt;"&amp;$Q429)+(COUNTIFS($A$14:$A$1213,$A429,$Q$14:$Q$1213,"="&amp;$Q429)+1)/2,"")</f>
        <v/>
      </c>
      <c r="AE429" s="27">
        <f>IF(ISNUMBER($R429),COUNTIFS($A$14:$A$1213,$A429,$R$14:$R$1213,"&gt;"&amp;$R429)+(COUNTIFS($A$14:$A$1213,$A429,$R$14:$R$1213,"="&amp;$R429)+1)/2,"")</f>
        <v/>
      </c>
      <c r="AF429" s="27">
        <f>IF(ISNUMBER($S429),COUNTIFS($A$14:$A$1213,$A429,$S$14:$S$1213,"&gt;"&amp;$S429)+(COUNTIFS($A$14:$A$1213,$A429,$S$14:$S$1213,"="&amp;$S429)+1)/2,"")</f>
        <v/>
      </c>
      <c r="AG429" s="27">
        <f>IF(ISNUMBER($T429),COUNTIFS($A$14:$A$1213,$A429,$T$14:$T$1213,"&gt;"&amp;$T429)+(COUNTIFS($A$14:$A$1213,$A429,$T$14:$T$1213,"="&amp;$T429)+1)/2,"")</f>
        <v/>
      </c>
      <c r="AH429" s="27">
        <f>IF(COUNT($AC429:$AG429)&lt;2,"",IF(MAX($AC429:$AG429)=MIN($AC429:$AG429),0,1))</f>
        <v/>
      </c>
      <c r="AI429" s="27">
        <f>IF($A429="","",IF(COUNTIF($A$14:$A429,$A429)=1,COUNTIF($AI$13:AI428,"&gt;0")+1,""))</f>
        <v/>
      </c>
      <c r="AO429" s="27">
        <f>IF($A429="","",IF(AND(COUNTIFS($A$14:$A$1213,$A429,$F$14:$F$1213,"&gt;=0")=2,IFERROR(INDEX($M$14:$M$313,MATCH($A429,$H$14:$H$313,0)),"Yes")&lt;&gt;"Yes"),1,0))</f>
        <v/>
      </c>
    </row>
    <row r="430">
      <c r="A430" s="19" t="n"/>
      <c r="B430" s="20" t="n"/>
      <c r="C430" s="21">
        <f>IFERROR(AVERAGE(P430:T430),"")</f>
        <v/>
      </c>
      <c r="D430" s="29" t="n"/>
      <c r="E430" s="29" t="n"/>
      <c r="F430" s="30">
        <f>IF(AND(ISNUMBER($D430),ISNUMBER($E430),$E430&gt;0,$D430&lt;=$E430),$D430/$E430,"")</f>
        <v/>
      </c>
      <c r="P430" s="26" t="n"/>
      <c r="Q430" s="26" t="n"/>
      <c r="R430" s="26" t="n"/>
      <c r="S430" s="26" t="n"/>
      <c r="T430" s="26" t="n"/>
      <c r="V430" s="27">
        <f>IF(ISNUMBER($C430),COUNTIFS($A$14:$A$1213,$A430,$C$14:$C$1213,"&gt;"&amp;$C430)+(COUNTIFS($A$14:$A$1213,$A430,$C$14:$C$1213,"="&amp;$C430)+1)/2,"")</f>
        <v/>
      </c>
      <c r="W430" s="27">
        <f>IF(ISNUMBER($F430),COUNTIFS($A$14:$A$1213,$A430,$F$14:$F$1213,"&gt;"&amp;$F430)+(COUNTIFS($A$14:$A$1213,$A430,$F$14:$F$1213,"="&amp;$F430)+1)/2,"")</f>
        <v/>
      </c>
      <c r="X430" s="27">
        <f>IF(OR(NOT(ISNUMBER($V430)),$AO430=1),"",$V430-(COUNTIFS($A$14:$A$1213,$A430,$C$14:$C$1213,"&gt;=0")+1)/2)</f>
        <v/>
      </c>
      <c r="Y430" s="27">
        <f>IF(OR(NOT(ISNUMBER($W430)),$AO430=1),"",$W430-(COUNTIFS($A$14:$A$1213,$A430,$F$14:$F$1213,"&gt;=0")+1)/2)</f>
        <v/>
      </c>
      <c r="Z430" s="27">
        <f>IF(ISNUMBER($V430),$A430&amp;"|"&amp;$V430,"")</f>
        <v/>
      </c>
      <c r="AA430" s="27">
        <f>IF(ISNUMBER($W430),$A430&amp;"|"&amp;$W430,"")</f>
        <v/>
      </c>
      <c r="AB430" s="27">
        <f>IF(ISNUMBER($F430),$A430&amp;"|"&amp;$F430,"")</f>
        <v/>
      </c>
      <c r="AC430" s="27">
        <f>IF(ISNUMBER($P430),COUNTIFS($A$14:$A$1213,$A430,$P$14:$P$1213,"&gt;"&amp;$P430)+(COUNTIFS($A$14:$A$1213,$A430,$P$14:$P$1213,"="&amp;$P430)+1)/2,"")</f>
        <v/>
      </c>
      <c r="AD430" s="27">
        <f>IF(ISNUMBER($Q430),COUNTIFS($A$14:$A$1213,$A430,$Q$14:$Q$1213,"&gt;"&amp;$Q430)+(COUNTIFS($A$14:$A$1213,$A430,$Q$14:$Q$1213,"="&amp;$Q430)+1)/2,"")</f>
        <v/>
      </c>
      <c r="AE430" s="27">
        <f>IF(ISNUMBER($R430),COUNTIFS($A$14:$A$1213,$A430,$R$14:$R$1213,"&gt;"&amp;$R430)+(COUNTIFS($A$14:$A$1213,$A430,$R$14:$R$1213,"="&amp;$R430)+1)/2,"")</f>
        <v/>
      </c>
      <c r="AF430" s="27">
        <f>IF(ISNUMBER($S430),COUNTIFS($A$14:$A$1213,$A430,$S$14:$S$1213,"&gt;"&amp;$S430)+(COUNTIFS($A$14:$A$1213,$A430,$S$14:$S$1213,"="&amp;$S430)+1)/2,"")</f>
        <v/>
      </c>
      <c r="AG430" s="27">
        <f>IF(ISNUMBER($T430),COUNTIFS($A$14:$A$1213,$A430,$T$14:$T$1213,"&gt;"&amp;$T430)+(COUNTIFS($A$14:$A$1213,$A430,$T$14:$T$1213,"="&amp;$T430)+1)/2,"")</f>
        <v/>
      </c>
      <c r="AH430" s="27">
        <f>IF(COUNT($AC430:$AG430)&lt;2,"",IF(MAX($AC430:$AG430)=MIN($AC430:$AG430),0,1))</f>
        <v/>
      </c>
      <c r="AI430" s="27">
        <f>IF($A430="","",IF(COUNTIF($A$14:$A430,$A430)=1,COUNTIF($AI$13:AI429,"&gt;0")+1,""))</f>
        <v/>
      </c>
      <c r="AO430" s="27">
        <f>IF($A430="","",IF(AND(COUNTIFS($A$14:$A$1213,$A430,$F$14:$F$1213,"&gt;=0")=2,IFERROR(INDEX($M$14:$M$313,MATCH($A430,$H$14:$H$313,0)),"Yes")&lt;&gt;"Yes"),1,0))</f>
        <v/>
      </c>
    </row>
    <row r="431">
      <c r="A431" s="19" t="n"/>
      <c r="B431" s="20" t="n"/>
      <c r="C431" s="21">
        <f>IFERROR(AVERAGE(P431:T431),"")</f>
        <v/>
      </c>
      <c r="D431" s="29" t="n"/>
      <c r="E431" s="29" t="n"/>
      <c r="F431" s="30">
        <f>IF(AND(ISNUMBER($D431),ISNUMBER($E431),$E431&gt;0,$D431&lt;=$E431),$D431/$E431,"")</f>
        <v/>
      </c>
      <c r="P431" s="26" t="n"/>
      <c r="Q431" s="26" t="n"/>
      <c r="R431" s="26" t="n"/>
      <c r="S431" s="26" t="n"/>
      <c r="T431" s="26" t="n"/>
      <c r="V431" s="27">
        <f>IF(ISNUMBER($C431),COUNTIFS($A$14:$A$1213,$A431,$C$14:$C$1213,"&gt;"&amp;$C431)+(COUNTIFS($A$14:$A$1213,$A431,$C$14:$C$1213,"="&amp;$C431)+1)/2,"")</f>
        <v/>
      </c>
      <c r="W431" s="27">
        <f>IF(ISNUMBER($F431),COUNTIFS($A$14:$A$1213,$A431,$F$14:$F$1213,"&gt;"&amp;$F431)+(COUNTIFS($A$14:$A$1213,$A431,$F$14:$F$1213,"="&amp;$F431)+1)/2,"")</f>
        <v/>
      </c>
      <c r="X431" s="27">
        <f>IF(OR(NOT(ISNUMBER($V431)),$AO431=1),"",$V431-(COUNTIFS($A$14:$A$1213,$A431,$C$14:$C$1213,"&gt;=0")+1)/2)</f>
        <v/>
      </c>
      <c r="Y431" s="27">
        <f>IF(OR(NOT(ISNUMBER($W431)),$AO431=1),"",$W431-(COUNTIFS($A$14:$A$1213,$A431,$F$14:$F$1213,"&gt;=0")+1)/2)</f>
        <v/>
      </c>
      <c r="Z431" s="27">
        <f>IF(ISNUMBER($V431),$A431&amp;"|"&amp;$V431,"")</f>
        <v/>
      </c>
      <c r="AA431" s="27">
        <f>IF(ISNUMBER($W431),$A431&amp;"|"&amp;$W431,"")</f>
        <v/>
      </c>
      <c r="AB431" s="27">
        <f>IF(ISNUMBER($F431),$A431&amp;"|"&amp;$F431,"")</f>
        <v/>
      </c>
      <c r="AC431" s="27">
        <f>IF(ISNUMBER($P431),COUNTIFS($A$14:$A$1213,$A431,$P$14:$P$1213,"&gt;"&amp;$P431)+(COUNTIFS($A$14:$A$1213,$A431,$P$14:$P$1213,"="&amp;$P431)+1)/2,"")</f>
        <v/>
      </c>
      <c r="AD431" s="27">
        <f>IF(ISNUMBER($Q431),COUNTIFS($A$14:$A$1213,$A431,$Q$14:$Q$1213,"&gt;"&amp;$Q431)+(COUNTIFS($A$14:$A$1213,$A431,$Q$14:$Q$1213,"="&amp;$Q431)+1)/2,"")</f>
        <v/>
      </c>
      <c r="AE431" s="27">
        <f>IF(ISNUMBER($R431),COUNTIFS($A$14:$A$1213,$A431,$R$14:$R$1213,"&gt;"&amp;$R431)+(COUNTIFS($A$14:$A$1213,$A431,$R$14:$R$1213,"="&amp;$R431)+1)/2,"")</f>
        <v/>
      </c>
      <c r="AF431" s="27">
        <f>IF(ISNUMBER($S431),COUNTIFS($A$14:$A$1213,$A431,$S$14:$S$1213,"&gt;"&amp;$S431)+(COUNTIFS($A$14:$A$1213,$A431,$S$14:$S$1213,"="&amp;$S431)+1)/2,"")</f>
        <v/>
      </c>
      <c r="AG431" s="27">
        <f>IF(ISNUMBER($T431),COUNTIFS($A$14:$A$1213,$A431,$T$14:$T$1213,"&gt;"&amp;$T431)+(COUNTIFS($A$14:$A$1213,$A431,$T$14:$T$1213,"="&amp;$T431)+1)/2,"")</f>
        <v/>
      </c>
      <c r="AH431" s="27">
        <f>IF(COUNT($AC431:$AG431)&lt;2,"",IF(MAX($AC431:$AG431)=MIN($AC431:$AG431),0,1))</f>
        <v/>
      </c>
      <c r="AI431" s="27">
        <f>IF($A431="","",IF(COUNTIF($A$14:$A431,$A431)=1,COUNTIF($AI$13:AI430,"&gt;0")+1,""))</f>
        <v/>
      </c>
      <c r="AO431" s="27">
        <f>IF($A431="","",IF(AND(COUNTIFS($A$14:$A$1213,$A431,$F$14:$F$1213,"&gt;=0")=2,IFERROR(INDEX($M$14:$M$313,MATCH($A431,$H$14:$H$313,0)),"Yes")&lt;&gt;"Yes"),1,0))</f>
        <v/>
      </c>
    </row>
    <row r="432">
      <c r="A432" s="19" t="n"/>
      <c r="B432" s="20" t="n"/>
      <c r="C432" s="21">
        <f>IFERROR(AVERAGE(P432:T432),"")</f>
        <v/>
      </c>
      <c r="D432" s="29" t="n"/>
      <c r="E432" s="29" t="n"/>
      <c r="F432" s="30">
        <f>IF(AND(ISNUMBER($D432),ISNUMBER($E432),$E432&gt;0,$D432&lt;=$E432),$D432/$E432,"")</f>
        <v/>
      </c>
      <c r="P432" s="26" t="n"/>
      <c r="Q432" s="26" t="n"/>
      <c r="R432" s="26" t="n"/>
      <c r="S432" s="26" t="n"/>
      <c r="T432" s="26" t="n"/>
      <c r="V432" s="27">
        <f>IF(ISNUMBER($C432),COUNTIFS($A$14:$A$1213,$A432,$C$14:$C$1213,"&gt;"&amp;$C432)+(COUNTIFS($A$14:$A$1213,$A432,$C$14:$C$1213,"="&amp;$C432)+1)/2,"")</f>
        <v/>
      </c>
      <c r="W432" s="27">
        <f>IF(ISNUMBER($F432),COUNTIFS($A$14:$A$1213,$A432,$F$14:$F$1213,"&gt;"&amp;$F432)+(COUNTIFS($A$14:$A$1213,$A432,$F$14:$F$1213,"="&amp;$F432)+1)/2,"")</f>
        <v/>
      </c>
      <c r="X432" s="27">
        <f>IF(OR(NOT(ISNUMBER($V432)),$AO432=1),"",$V432-(COUNTIFS($A$14:$A$1213,$A432,$C$14:$C$1213,"&gt;=0")+1)/2)</f>
        <v/>
      </c>
      <c r="Y432" s="27">
        <f>IF(OR(NOT(ISNUMBER($W432)),$AO432=1),"",$W432-(COUNTIFS($A$14:$A$1213,$A432,$F$14:$F$1213,"&gt;=0")+1)/2)</f>
        <v/>
      </c>
      <c r="Z432" s="27">
        <f>IF(ISNUMBER($V432),$A432&amp;"|"&amp;$V432,"")</f>
        <v/>
      </c>
      <c r="AA432" s="27">
        <f>IF(ISNUMBER($W432),$A432&amp;"|"&amp;$W432,"")</f>
        <v/>
      </c>
      <c r="AB432" s="27">
        <f>IF(ISNUMBER($F432),$A432&amp;"|"&amp;$F432,"")</f>
        <v/>
      </c>
      <c r="AC432" s="27">
        <f>IF(ISNUMBER($P432),COUNTIFS($A$14:$A$1213,$A432,$P$14:$P$1213,"&gt;"&amp;$P432)+(COUNTIFS($A$14:$A$1213,$A432,$P$14:$P$1213,"="&amp;$P432)+1)/2,"")</f>
        <v/>
      </c>
      <c r="AD432" s="27">
        <f>IF(ISNUMBER($Q432),COUNTIFS($A$14:$A$1213,$A432,$Q$14:$Q$1213,"&gt;"&amp;$Q432)+(COUNTIFS($A$14:$A$1213,$A432,$Q$14:$Q$1213,"="&amp;$Q432)+1)/2,"")</f>
        <v/>
      </c>
      <c r="AE432" s="27">
        <f>IF(ISNUMBER($R432),COUNTIFS($A$14:$A$1213,$A432,$R$14:$R$1213,"&gt;"&amp;$R432)+(COUNTIFS($A$14:$A$1213,$A432,$R$14:$R$1213,"="&amp;$R432)+1)/2,"")</f>
        <v/>
      </c>
      <c r="AF432" s="27">
        <f>IF(ISNUMBER($S432),COUNTIFS($A$14:$A$1213,$A432,$S$14:$S$1213,"&gt;"&amp;$S432)+(COUNTIFS($A$14:$A$1213,$A432,$S$14:$S$1213,"="&amp;$S432)+1)/2,"")</f>
        <v/>
      </c>
      <c r="AG432" s="27">
        <f>IF(ISNUMBER($T432),COUNTIFS($A$14:$A$1213,$A432,$T$14:$T$1213,"&gt;"&amp;$T432)+(COUNTIFS($A$14:$A$1213,$A432,$T$14:$T$1213,"="&amp;$T432)+1)/2,"")</f>
        <v/>
      </c>
      <c r="AH432" s="27">
        <f>IF(COUNT($AC432:$AG432)&lt;2,"",IF(MAX($AC432:$AG432)=MIN($AC432:$AG432),0,1))</f>
        <v/>
      </c>
      <c r="AI432" s="27">
        <f>IF($A432="","",IF(COUNTIF($A$14:$A432,$A432)=1,COUNTIF($AI$13:AI431,"&gt;0")+1,""))</f>
        <v/>
      </c>
      <c r="AO432" s="27">
        <f>IF($A432="","",IF(AND(COUNTIFS($A$14:$A$1213,$A432,$F$14:$F$1213,"&gt;=0")=2,IFERROR(INDEX($M$14:$M$313,MATCH($A432,$H$14:$H$313,0)),"Yes")&lt;&gt;"Yes"),1,0))</f>
        <v/>
      </c>
    </row>
    <row r="433">
      <c r="A433" s="19" t="n"/>
      <c r="B433" s="20" t="n"/>
      <c r="C433" s="21">
        <f>IFERROR(AVERAGE(P433:T433),"")</f>
        <v/>
      </c>
      <c r="D433" s="29" t="n"/>
      <c r="E433" s="29" t="n"/>
      <c r="F433" s="30">
        <f>IF(AND(ISNUMBER($D433),ISNUMBER($E433),$E433&gt;0,$D433&lt;=$E433),$D433/$E433,"")</f>
        <v/>
      </c>
      <c r="P433" s="26" t="n"/>
      <c r="Q433" s="26" t="n"/>
      <c r="R433" s="26" t="n"/>
      <c r="S433" s="26" t="n"/>
      <c r="T433" s="26" t="n"/>
      <c r="V433" s="27">
        <f>IF(ISNUMBER($C433),COUNTIFS($A$14:$A$1213,$A433,$C$14:$C$1213,"&gt;"&amp;$C433)+(COUNTIFS($A$14:$A$1213,$A433,$C$14:$C$1213,"="&amp;$C433)+1)/2,"")</f>
        <v/>
      </c>
      <c r="W433" s="27">
        <f>IF(ISNUMBER($F433),COUNTIFS($A$14:$A$1213,$A433,$F$14:$F$1213,"&gt;"&amp;$F433)+(COUNTIFS($A$14:$A$1213,$A433,$F$14:$F$1213,"="&amp;$F433)+1)/2,"")</f>
        <v/>
      </c>
      <c r="X433" s="27">
        <f>IF(OR(NOT(ISNUMBER($V433)),$AO433=1),"",$V433-(COUNTIFS($A$14:$A$1213,$A433,$C$14:$C$1213,"&gt;=0")+1)/2)</f>
        <v/>
      </c>
      <c r="Y433" s="27">
        <f>IF(OR(NOT(ISNUMBER($W433)),$AO433=1),"",$W433-(COUNTIFS($A$14:$A$1213,$A433,$F$14:$F$1213,"&gt;=0")+1)/2)</f>
        <v/>
      </c>
      <c r="Z433" s="27">
        <f>IF(ISNUMBER($V433),$A433&amp;"|"&amp;$V433,"")</f>
        <v/>
      </c>
      <c r="AA433" s="27">
        <f>IF(ISNUMBER($W433),$A433&amp;"|"&amp;$W433,"")</f>
        <v/>
      </c>
      <c r="AB433" s="27">
        <f>IF(ISNUMBER($F433),$A433&amp;"|"&amp;$F433,"")</f>
        <v/>
      </c>
      <c r="AC433" s="27">
        <f>IF(ISNUMBER($P433),COUNTIFS($A$14:$A$1213,$A433,$P$14:$P$1213,"&gt;"&amp;$P433)+(COUNTIFS($A$14:$A$1213,$A433,$P$14:$P$1213,"="&amp;$P433)+1)/2,"")</f>
        <v/>
      </c>
      <c r="AD433" s="27">
        <f>IF(ISNUMBER($Q433),COUNTIFS($A$14:$A$1213,$A433,$Q$14:$Q$1213,"&gt;"&amp;$Q433)+(COUNTIFS($A$14:$A$1213,$A433,$Q$14:$Q$1213,"="&amp;$Q433)+1)/2,"")</f>
        <v/>
      </c>
      <c r="AE433" s="27">
        <f>IF(ISNUMBER($R433),COUNTIFS($A$14:$A$1213,$A433,$R$14:$R$1213,"&gt;"&amp;$R433)+(COUNTIFS($A$14:$A$1213,$A433,$R$14:$R$1213,"="&amp;$R433)+1)/2,"")</f>
        <v/>
      </c>
      <c r="AF433" s="27">
        <f>IF(ISNUMBER($S433),COUNTIFS($A$14:$A$1213,$A433,$S$14:$S$1213,"&gt;"&amp;$S433)+(COUNTIFS($A$14:$A$1213,$A433,$S$14:$S$1213,"="&amp;$S433)+1)/2,"")</f>
        <v/>
      </c>
      <c r="AG433" s="27">
        <f>IF(ISNUMBER($T433),COUNTIFS($A$14:$A$1213,$A433,$T$14:$T$1213,"&gt;"&amp;$T433)+(COUNTIFS($A$14:$A$1213,$A433,$T$14:$T$1213,"="&amp;$T433)+1)/2,"")</f>
        <v/>
      </c>
      <c r="AH433" s="27">
        <f>IF(COUNT($AC433:$AG433)&lt;2,"",IF(MAX($AC433:$AG433)=MIN($AC433:$AG433),0,1))</f>
        <v/>
      </c>
      <c r="AI433" s="27">
        <f>IF($A433="","",IF(COUNTIF($A$14:$A433,$A433)=1,COUNTIF($AI$13:AI432,"&gt;0")+1,""))</f>
        <v/>
      </c>
      <c r="AO433" s="27">
        <f>IF($A433="","",IF(AND(COUNTIFS($A$14:$A$1213,$A433,$F$14:$F$1213,"&gt;=0")=2,IFERROR(INDEX($M$14:$M$313,MATCH($A433,$H$14:$H$313,0)),"Yes")&lt;&gt;"Yes"),1,0))</f>
        <v/>
      </c>
    </row>
    <row r="434">
      <c r="A434" s="19" t="n"/>
      <c r="B434" s="20" t="n"/>
      <c r="C434" s="21">
        <f>IFERROR(AVERAGE(P434:T434),"")</f>
        <v/>
      </c>
      <c r="D434" s="29" t="n"/>
      <c r="E434" s="29" t="n"/>
      <c r="F434" s="30">
        <f>IF(AND(ISNUMBER($D434),ISNUMBER($E434),$E434&gt;0,$D434&lt;=$E434),$D434/$E434,"")</f>
        <v/>
      </c>
      <c r="P434" s="26" t="n"/>
      <c r="Q434" s="26" t="n"/>
      <c r="R434" s="26" t="n"/>
      <c r="S434" s="26" t="n"/>
      <c r="T434" s="26" t="n"/>
      <c r="V434" s="27">
        <f>IF(ISNUMBER($C434),COUNTIFS($A$14:$A$1213,$A434,$C$14:$C$1213,"&gt;"&amp;$C434)+(COUNTIFS($A$14:$A$1213,$A434,$C$14:$C$1213,"="&amp;$C434)+1)/2,"")</f>
        <v/>
      </c>
      <c r="W434" s="27">
        <f>IF(ISNUMBER($F434),COUNTIFS($A$14:$A$1213,$A434,$F$14:$F$1213,"&gt;"&amp;$F434)+(COUNTIFS($A$14:$A$1213,$A434,$F$14:$F$1213,"="&amp;$F434)+1)/2,"")</f>
        <v/>
      </c>
      <c r="X434" s="27">
        <f>IF(OR(NOT(ISNUMBER($V434)),$AO434=1),"",$V434-(COUNTIFS($A$14:$A$1213,$A434,$C$14:$C$1213,"&gt;=0")+1)/2)</f>
        <v/>
      </c>
      <c r="Y434" s="27">
        <f>IF(OR(NOT(ISNUMBER($W434)),$AO434=1),"",$W434-(COUNTIFS($A$14:$A$1213,$A434,$F$14:$F$1213,"&gt;=0")+1)/2)</f>
        <v/>
      </c>
      <c r="Z434" s="27">
        <f>IF(ISNUMBER($V434),$A434&amp;"|"&amp;$V434,"")</f>
        <v/>
      </c>
      <c r="AA434" s="27">
        <f>IF(ISNUMBER($W434),$A434&amp;"|"&amp;$W434,"")</f>
        <v/>
      </c>
      <c r="AB434" s="27">
        <f>IF(ISNUMBER($F434),$A434&amp;"|"&amp;$F434,"")</f>
        <v/>
      </c>
      <c r="AC434" s="27">
        <f>IF(ISNUMBER($P434),COUNTIFS($A$14:$A$1213,$A434,$P$14:$P$1213,"&gt;"&amp;$P434)+(COUNTIFS($A$14:$A$1213,$A434,$P$14:$P$1213,"="&amp;$P434)+1)/2,"")</f>
        <v/>
      </c>
      <c r="AD434" s="27">
        <f>IF(ISNUMBER($Q434),COUNTIFS($A$14:$A$1213,$A434,$Q$14:$Q$1213,"&gt;"&amp;$Q434)+(COUNTIFS($A$14:$A$1213,$A434,$Q$14:$Q$1213,"="&amp;$Q434)+1)/2,"")</f>
        <v/>
      </c>
      <c r="AE434" s="27">
        <f>IF(ISNUMBER($R434),COUNTIFS($A$14:$A$1213,$A434,$R$14:$R$1213,"&gt;"&amp;$R434)+(COUNTIFS($A$14:$A$1213,$A434,$R$14:$R$1213,"="&amp;$R434)+1)/2,"")</f>
        <v/>
      </c>
      <c r="AF434" s="27">
        <f>IF(ISNUMBER($S434),COUNTIFS($A$14:$A$1213,$A434,$S$14:$S$1213,"&gt;"&amp;$S434)+(COUNTIFS($A$14:$A$1213,$A434,$S$14:$S$1213,"="&amp;$S434)+1)/2,"")</f>
        <v/>
      </c>
      <c r="AG434" s="27">
        <f>IF(ISNUMBER($T434),COUNTIFS($A$14:$A$1213,$A434,$T$14:$T$1213,"&gt;"&amp;$T434)+(COUNTIFS($A$14:$A$1213,$A434,$T$14:$T$1213,"="&amp;$T434)+1)/2,"")</f>
        <v/>
      </c>
      <c r="AH434" s="27">
        <f>IF(COUNT($AC434:$AG434)&lt;2,"",IF(MAX($AC434:$AG434)=MIN($AC434:$AG434),0,1))</f>
        <v/>
      </c>
      <c r="AI434" s="27">
        <f>IF($A434="","",IF(COUNTIF($A$14:$A434,$A434)=1,COUNTIF($AI$13:AI433,"&gt;0")+1,""))</f>
        <v/>
      </c>
      <c r="AO434" s="27">
        <f>IF($A434="","",IF(AND(COUNTIFS($A$14:$A$1213,$A434,$F$14:$F$1213,"&gt;=0")=2,IFERROR(INDEX($M$14:$M$313,MATCH($A434,$H$14:$H$313,0)),"Yes")&lt;&gt;"Yes"),1,0))</f>
        <v/>
      </c>
    </row>
    <row r="435">
      <c r="A435" s="19" t="n"/>
      <c r="B435" s="20" t="n"/>
      <c r="C435" s="21">
        <f>IFERROR(AVERAGE(P435:T435),"")</f>
        <v/>
      </c>
      <c r="D435" s="29" t="n"/>
      <c r="E435" s="29" t="n"/>
      <c r="F435" s="30">
        <f>IF(AND(ISNUMBER($D435),ISNUMBER($E435),$E435&gt;0,$D435&lt;=$E435),$D435/$E435,"")</f>
        <v/>
      </c>
      <c r="P435" s="26" t="n"/>
      <c r="Q435" s="26" t="n"/>
      <c r="R435" s="26" t="n"/>
      <c r="S435" s="26" t="n"/>
      <c r="T435" s="26" t="n"/>
      <c r="V435" s="27">
        <f>IF(ISNUMBER($C435),COUNTIFS($A$14:$A$1213,$A435,$C$14:$C$1213,"&gt;"&amp;$C435)+(COUNTIFS($A$14:$A$1213,$A435,$C$14:$C$1213,"="&amp;$C435)+1)/2,"")</f>
        <v/>
      </c>
      <c r="W435" s="27">
        <f>IF(ISNUMBER($F435),COUNTIFS($A$14:$A$1213,$A435,$F$14:$F$1213,"&gt;"&amp;$F435)+(COUNTIFS($A$14:$A$1213,$A435,$F$14:$F$1213,"="&amp;$F435)+1)/2,"")</f>
        <v/>
      </c>
      <c r="X435" s="27">
        <f>IF(OR(NOT(ISNUMBER($V435)),$AO435=1),"",$V435-(COUNTIFS($A$14:$A$1213,$A435,$C$14:$C$1213,"&gt;=0")+1)/2)</f>
        <v/>
      </c>
      <c r="Y435" s="27">
        <f>IF(OR(NOT(ISNUMBER($W435)),$AO435=1),"",$W435-(COUNTIFS($A$14:$A$1213,$A435,$F$14:$F$1213,"&gt;=0")+1)/2)</f>
        <v/>
      </c>
      <c r="Z435" s="27">
        <f>IF(ISNUMBER($V435),$A435&amp;"|"&amp;$V435,"")</f>
        <v/>
      </c>
      <c r="AA435" s="27">
        <f>IF(ISNUMBER($W435),$A435&amp;"|"&amp;$W435,"")</f>
        <v/>
      </c>
      <c r="AB435" s="27">
        <f>IF(ISNUMBER($F435),$A435&amp;"|"&amp;$F435,"")</f>
        <v/>
      </c>
      <c r="AC435" s="27">
        <f>IF(ISNUMBER($P435),COUNTIFS($A$14:$A$1213,$A435,$P$14:$P$1213,"&gt;"&amp;$P435)+(COUNTIFS($A$14:$A$1213,$A435,$P$14:$P$1213,"="&amp;$P435)+1)/2,"")</f>
        <v/>
      </c>
      <c r="AD435" s="27">
        <f>IF(ISNUMBER($Q435),COUNTIFS($A$14:$A$1213,$A435,$Q$14:$Q$1213,"&gt;"&amp;$Q435)+(COUNTIFS($A$14:$A$1213,$A435,$Q$14:$Q$1213,"="&amp;$Q435)+1)/2,"")</f>
        <v/>
      </c>
      <c r="AE435" s="27">
        <f>IF(ISNUMBER($R435),COUNTIFS($A$14:$A$1213,$A435,$R$14:$R$1213,"&gt;"&amp;$R435)+(COUNTIFS($A$14:$A$1213,$A435,$R$14:$R$1213,"="&amp;$R435)+1)/2,"")</f>
        <v/>
      </c>
      <c r="AF435" s="27">
        <f>IF(ISNUMBER($S435),COUNTIFS($A$14:$A$1213,$A435,$S$14:$S$1213,"&gt;"&amp;$S435)+(COUNTIFS($A$14:$A$1213,$A435,$S$14:$S$1213,"="&amp;$S435)+1)/2,"")</f>
        <v/>
      </c>
      <c r="AG435" s="27">
        <f>IF(ISNUMBER($T435),COUNTIFS($A$14:$A$1213,$A435,$T$14:$T$1213,"&gt;"&amp;$T435)+(COUNTIFS($A$14:$A$1213,$A435,$T$14:$T$1213,"="&amp;$T435)+1)/2,"")</f>
        <v/>
      </c>
      <c r="AH435" s="27">
        <f>IF(COUNT($AC435:$AG435)&lt;2,"",IF(MAX($AC435:$AG435)=MIN($AC435:$AG435),0,1))</f>
        <v/>
      </c>
      <c r="AI435" s="27">
        <f>IF($A435="","",IF(COUNTIF($A$14:$A435,$A435)=1,COUNTIF($AI$13:AI434,"&gt;0")+1,""))</f>
        <v/>
      </c>
      <c r="AO435" s="27">
        <f>IF($A435="","",IF(AND(COUNTIFS($A$14:$A$1213,$A435,$F$14:$F$1213,"&gt;=0")=2,IFERROR(INDEX($M$14:$M$313,MATCH($A435,$H$14:$H$313,0)),"Yes")&lt;&gt;"Yes"),1,0))</f>
        <v/>
      </c>
    </row>
    <row r="436">
      <c r="A436" s="19" t="n"/>
      <c r="B436" s="20" t="n"/>
      <c r="C436" s="21">
        <f>IFERROR(AVERAGE(P436:T436),"")</f>
        <v/>
      </c>
      <c r="D436" s="29" t="n"/>
      <c r="E436" s="29" t="n"/>
      <c r="F436" s="30">
        <f>IF(AND(ISNUMBER($D436),ISNUMBER($E436),$E436&gt;0,$D436&lt;=$E436),$D436/$E436,"")</f>
        <v/>
      </c>
      <c r="P436" s="26" t="n"/>
      <c r="Q436" s="26" t="n"/>
      <c r="R436" s="26" t="n"/>
      <c r="S436" s="26" t="n"/>
      <c r="T436" s="26" t="n"/>
      <c r="V436" s="27">
        <f>IF(ISNUMBER($C436),COUNTIFS($A$14:$A$1213,$A436,$C$14:$C$1213,"&gt;"&amp;$C436)+(COUNTIFS($A$14:$A$1213,$A436,$C$14:$C$1213,"="&amp;$C436)+1)/2,"")</f>
        <v/>
      </c>
      <c r="W436" s="27">
        <f>IF(ISNUMBER($F436),COUNTIFS($A$14:$A$1213,$A436,$F$14:$F$1213,"&gt;"&amp;$F436)+(COUNTIFS($A$14:$A$1213,$A436,$F$14:$F$1213,"="&amp;$F436)+1)/2,"")</f>
        <v/>
      </c>
      <c r="X436" s="27">
        <f>IF(OR(NOT(ISNUMBER($V436)),$AO436=1),"",$V436-(COUNTIFS($A$14:$A$1213,$A436,$C$14:$C$1213,"&gt;=0")+1)/2)</f>
        <v/>
      </c>
      <c r="Y436" s="27">
        <f>IF(OR(NOT(ISNUMBER($W436)),$AO436=1),"",$W436-(COUNTIFS($A$14:$A$1213,$A436,$F$14:$F$1213,"&gt;=0")+1)/2)</f>
        <v/>
      </c>
      <c r="Z436" s="27">
        <f>IF(ISNUMBER($V436),$A436&amp;"|"&amp;$V436,"")</f>
        <v/>
      </c>
      <c r="AA436" s="27">
        <f>IF(ISNUMBER($W436),$A436&amp;"|"&amp;$W436,"")</f>
        <v/>
      </c>
      <c r="AB436" s="27">
        <f>IF(ISNUMBER($F436),$A436&amp;"|"&amp;$F436,"")</f>
        <v/>
      </c>
      <c r="AC436" s="27">
        <f>IF(ISNUMBER($P436),COUNTIFS($A$14:$A$1213,$A436,$P$14:$P$1213,"&gt;"&amp;$P436)+(COUNTIFS($A$14:$A$1213,$A436,$P$14:$P$1213,"="&amp;$P436)+1)/2,"")</f>
        <v/>
      </c>
      <c r="AD436" s="27">
        <f>IF(ISNUMBER($Q436),COUNTIFS($A$14:$A$1213,$A436,$Q$14:$Q$1213,"&gt;"&amp;$Q436)+(COUNTIFS($A$14:$A$1213,$A436,$Q$14:$Q$1213,"="&amp;$Q436)+1)/2,"")</f>
        <v/>
      </c>
      <c r="AE436" s="27">
        <f>IF(ISNUMBER($R436),COUNTIFS($A$14:$A$1213,$A436,$R$14:$R$1213,"&gt;"&amp;$R436)+(COUNTIFS($A$14:$A$1213,$A436,$R$14:$R$1213,"="&amp;$R436)+1)/2,"")</f>
        <v/>
      </c>
      <c r="AF436" s="27">
        <f>IF(ISNUMBER($S436),COUNTIFS($A$14:$A$1213,$A436,$S$14:$S$1213,"&gt;"&amp;$S436)+(COUNTIFS($A$14:$A$1213,$A436,$S$14:$S$1213,"="&amp;$S436)+1)/2,"")</f>
        <v/>
      </c>
      <c r="AG436" s="27">
        <f>IF(ISNUMBER($T436),COUNTIFS($A$14:$A$1213,$A436,$T$14:$T$1213,"&gt;"&amp;$T436)+(COUNTIFS($A$14:$A$1213,$A436,$T$14:$T$1213,"="&amp;$T436)+1)/2,"")</f>
        <v/>
      </c>
      <c r="AH436" s="27">
        <f>IF(COUNT($AC436:$AG436)&lt;2,"",IF(MAX($AC436:$AG436)=MIN($AC436:$AG436),0,1))</f>
        <v/>
      </c>
      <c r="AI436" s="27">
        <f>IF($A436="","",IF(COUNTIF($A$14:$A436,$A436)=1,COUNTIF($AI$13:AI435,"&gt;0")+1,""))</f>
        <v/>
      </c>
      <c r="AO436" s="27">
        <f>IF($A436="","",IF(AND(COUNTIFS($A$14:$A$1213,$A436,$F$14:$F$1213,"&gt;=0")=2,IFERROR(INDEX($M$14:$M$313,MATCH($A436,$H$14:$H$313,0)),"Yes")&lt;&gt;"Yes"),1,0))</f>
        <v/>
      </c>
    </row>
    <row r="437">
      <c r="A437" s="19" t="n"/>
      <c r="B437" s="20" t="n"/>
      <c r="C437" s="21">
        <f>IFERROR(AVERAGE(P437:T437),"")</f>
        <v/>
      </c>
      <c r="D437" s="29" t="n"/>
      <c r="E437" s="29" t="n"/>
      <c r="F437" s="30">
        <f>IF(AND(ISNUMBER($D437),ISNUMBER($E437),$E437&gt;0,$D437&lt;=$E437),$D437/$E437,"")</f>
        <v/>
      </c>
      <c r="P437" s="26" t="n"/>
      <c r="Q437" s="26" t="n"/>
      <c r="R437" s="26" t="n"/>
      <c r="S437" s="26" t="n"/>
      <c r="T437" s="26" t="n"/>
      <c r="V437" s="27">
        <f>IF(ISNUMBER($C437),COUNTIFS($A$14:$A$1213,$A437,$C$14:$C$1213,"&gt;"&amp;$C437)+(COUNTIFS($A$14:$A$1213,$A437,$C$14:$C$1213,"="&amp;$C437)+1)/2,"")</f>
        <v/>
      </c>
      <c r="W437" s="27">
        <f>IF(ISNUMBER($F437),COUNTIFS($A$14:$A$1213,$A437,$F$14:$F$1213,"&gt;"&amp;$F437)+(COUNTIFS($A$14:$A$1213,$A437,$F$14:$F$1213,"="&amp;$F437)+1)/2,"")</f>
        <v/>
      </c>
      <c r="X437" s="27">
        <f>IF(OR(NOT(ISNUMBER($V437)),$AO437=1),"",$V437-(COUNTIFS($A$14:$A$1213,$A437,$C$14:$C$1213,"&gt;=0")+1)/2)</f>
        <v/>
      </c>
      <c r="Y437" s="27">
        <f>IF(OR(NOT(ISNUMBER($W437)),$AO437=1),"",$W437-(COUNTIFS($A$14:$A$1213,$A437,$F$14:$F$1213,"&gt;=0")+1)/2)</f>
        <v/>
      </c>
      <c r="Z437" s="27">
        <f>IF(ISNUMBER($V437),$A437&amp;"|"&amp;$V437,"")</f>
        <v/>
      </c>
      <c r="AA437" s="27">
        <f>IF(ISNUMBER($W437),$A437&amp;"|"&amp;$W437,"")</f>
        <v/>
      </c>
      <c r="AB437" s="27">
        <f>IF(ISNUMBER($F437),$A437&amp;"|"&amp;$F437,"")</f>
        <v/>
      </c>
      <c r="AC437" s="27">
        <f>IF(ISNUMBER($P437),COUNTIFS($A$14:$A$1213,$A437,$P$14:$P$1213,"&gt;"&amp;$P437)+(COUNTIFS($A$14:$A$1213,$A437,$P$14:$P$1213,"="&amp;$P437)+1)/2,"")</f>
        <v/>
      </c>
      <c r="AD437" s="27">
        <f>IF(ISNUMBER($Q437),COUNTIFS($A$14:$A$1213,$A437,$Q$14:$Q$1213,"&gt;"&amp;$Q437)+(COUNTIFS($A$14:$A$1213,$A437,$Q$14:$Q$1213,"="&amp;$Q437)+1)/2,"")</f>
        <v/>
      </c>
      <c r="AE437" s="27">
        <f>IF(ISNUMBER($R437),COUNTIFS($A$14:$A$1213,$A437,$R$14:$R$1213,"&gt;"&amp;$R437)+(COUNTIFS($A$14:$A$1213,$A437,$R$14:$R$1213,"="&amp;$R437)+1)/2,"")</f>
        <v/>
      </c>
      <c r="AF437" s="27">
        <f>IF(ISNUMBER($S437),COUNTIFS($A$14:$A$1213,$A437,$S$14:$S$1213,"&gt;"&amp;$S437)+(COUNTIFS($A$14:$A$1213,$A437,$S$14:$S$1213,"="&amp;$S437)+1)/2,"")</f>
        <v/>
      </c>
      <c r="AG437" s="27">
        <f>IF(ISNUMBER($T437),COUNTIFS($A$14:$A$1213,$A437,$T$14:$T$1213,"&gt;"&amp;$T437)+(COUNTIFS($A$14:$A$1213,$A437,$T$14:$T$1213,"="&amp;$T437)+1)/2,"")</f>
        <v/>
      </c>
      <c r="AH437" s="27">
        <f>IF(COUNT($AC437:$AG437)&lt;2,"",IF(MAX($AC437:$AG437)=MIN($AC437:$AG437),0,1))</f>
        <v/>
      </c>
      <c r="AI437" s="27">
        <f>IF($A437="","",IF(COUNTIF($A$14:$A437,$A437)=1,COUNTIF($AI$13:AI436,"&gt;0")+1,""))</f>
        <v/>
      </c>
      <c r="AO437" s="27">
        <f>IF($A437="","",IF(AND(COUNTIFS($A$14:$A$1213,$A437,$F$14:$F$1213,"&gt;=0")=2,IFERROR(INDEX($M$14:$M$313,MATCH($A437,$H$14:$H$313,0)),"Yes")&lt;&gt;"Yes"),1,0))</f>
        <v/>
      </c>
    </row>
    <row r="438">
      <c r="A438" s="19" t="n"/>
      <c r="B438" s="20" t="n"/>
      <c r="C438" s="21">
        <f>IFERROR(AVERAGE(P438:T438),"")</f>
        <v/>
      </c>
      <c r="D438" s="29" t="n"/>
      <c r="E438" s="29" t="n"/>
      <c r="F438" s="30">
        <f>IF(AND(ISNUMBER($D438),ISNUMBER($E438),$E438&gt;0,$D438&lt;=$E438),$D438/$E438,"")</f>
        <v/>
      </c>
      <c r="P438" s="26" t="n"/>
      <c r="Q438" s="26" t="n"/>
      <c r="R438" s="26" t="n"/>
      <c r="S438" s="26" t="n"/>
      <c r="T438" s="26" t="n"/>
      <c r="V438" s="27">
        <f>IF(ISNUMBER($C438),COUNTIFS($A$14:$A$1213,$A438,$C$14:$C$1213,"&gt;"&amp;$C438)+(COUNTIFS($A$14:$A$1213,$A438,$C$14:$C$1213,"="&amp;$C438)+1)/2,"")</f>
        <v/>
      </c>
      <c r="W438" s="27">
        <f>IF(ISNUMBER($F438),COUNTIFS($A$14:$A$1213,$A438,$F$14:$F$1213,"&gt;"&amp;$F438)+(COUNTIFS($A$14:$A$1213,$A438,$F$14:$F$1213,"="&amp;$F438)+1)/2,"")</f>
        <v/>
      </c>
      <c r="X438" s="27">
        <f>IF(OR(NOT(ISNUMBER($V438)),$AO438=1),"",$V438-(COUNTIFS($A$14:$A$1213,$A438,$C$14:$C$1213,"&gt;=0")+1)/2)</f>
        <v/>
      </c>
      <c r="Y438" s="27">
        <f>IF(OR(NOT(ISNUMBER($W438)),$AO438=1),"",$W438-(COUNTIFS($A$14:$A$1213,$A438,$F$14:$F$1213,"&gt;=0")+1)/2)</f>
        <v/>
      </c>
      <c r="Z438" s="27">
        <f>IF(ISNUMBER($V438),$A438&amp;"|"&amp;$V438,"")</f>
        <v/>
      </c>
      <c r="AA438" s="27">
        <f>IF(ISNUMBER($W438),$A438&amp;"|"&amp;$W438,"")</f>
        <v/>
      </c>
      <c r="AB438" s="27">
        <f>IF(ISNUMBER($F438),$A438&amp;"|"&amp;$F438,"")</f>
        <v/>
      </c>
      <c r="AC438" s="27">
        <f>IF(ISNUMBER($P438),COUNTIFS($A$14:$A$1213,$A438,$P$14:$P$1213,"&gt;"&amp;$P438)+(COUNTIFS($A$14:$A$1213,$A438,$P$14:$P$1213,"="&amp;$P438)+1)/2,"")</f>
        <v/>
      </c>
      <c r="AD438" s="27">
        <f>IF(ISNUMBER($Q438),COUNTIFS($A$14:$A$1213,$A438,$Q$14:$Q$1213,"&gt;"&amp;$Q438)+(COUNTIFS($A$14:$A$1213,$A438,$Q$14:$Q$1213,"="&amp;$Q438)+1)/2,"")</f>
        <v/>
      </c>
      <c r="AE438" s="27">
        <f>IF(ISNUMBER($R438),COUNTIFS($A$14:$A$1213,$A438,$R$14:$R$1213,"&gt;"&amp;$R438)+(COUNTIFS($A$14:$A$1213,$A438,$R$14:$R$1213,"="&amp;$R438)+1)/2,"")</f>
        <v/>
      </c>
      <c r="AF438" s="27">
        <f>IF(ISNUMBER($S438),COUNTIFS($A$14:$A$1213,$A438,$S$14:$S$1213,"&gt;"&amp;$S438)+(COUNTIFS($A$14:$A$1213,$A438,$S$14:$S$1213,"="&amp;$S438)+1)/2,"")</f>
        <v/>
      </c>
      <c r="AG438" s="27">
        <f>IF(ISNUMBER($T438),COUNTIFS($A$14:$A$1213,$A438,$T$14:$T$1213,"&gt;"&amp;$T438)+(COUNTIFS($A$14:$A$1213,$A438,$T$14:$T$1213,"="&amp;$T438)+1)/2,"")</f>
        <v/>
      </c>
      <c r="AH438" s="27">
        <f>IF(COUNT($AC438:$AG438)&lt;2,"",IF(MAX($AC438:$AG438)=MIN($AC438:$AG438),0,1))</f>
        <v/>
      </c>
      <c r="AI438" s="27">
        <f>IF($A438="","",IF(COUNTIF($A$14:$A438,$A438)=1,COUNTIF($AI$13:AI437,"&gt;0")+1,""))</f>
        <v/>
      </c>
      <c r="AO438" s="27">
        <f>IF($A438="","",IF(AND(COUNTIFS($A$14:$A$1213,$A438,$F$14:$F$1213,"&gt;=0")=2,IFERROR(INDEX($M$14:$M$313,MATCH($A438,$H$14:$H$313,0)),"Yes")&lt;&gt;"Yes"),1,0))</f>
        <v/>
      </c>
    </row>
    <row r="439">
      <c r="A439" s="19" t="n"/>
      <c r="B439" s="20" t="n"/>
      <c r="C439" s="21">
        <f>IFERROR(AVERAGE(P439:T439),"")</f>
        <v/>
      </c>
      <c r="D439" s="29" t="n"/>
      <c r="E439" s="29" t="n"/>
      <c r="F439" s="30">
        <f>IF(AND(ISNUMBER($D439),ISNUMBER($E439),$E439&gt;0,$D439&lt;=$E439),$D439/$E439,"")</f>
        <v/>
      </c>
      <c r="P439" s="26" t="n"/>
      <c r="Q439" s="26" t="n"/>
      <c r="R439" s="26" t="n"/>
      <c r="S439" s="26" t="n"/>
      <c r="T439" s="26" t="n"/>
      <c r="V439" s="27">
        <f>IF(ISNUMBER($C439),COUNTIFS($A$14:$A$1213,$A439,$C$14:$C$1213,"&gt;"&amp;$C439)+(COUNTIFS($A$14:$A$1213,$A439,$C$14:$C$1213,"="&amp;$C439)+1)/2,"")</f>
        <v/>
      </c>
      <c r="W439" s="27">
        <f>IF(ISNUMBER($F439),COUNTIFS($A$14:$A$1213,$A439,$F$14:$F$1213,"&gt;"&amp;$F439)+(COUNTIFS($A$14:$A$1213,$A439,$F$14:$F$1213,"="&amp;$F439)+1)/2,"")</f>
        <v/>
      </c>
      <c r="X439" s="27">
        <f>IF(OR(NOT(ISNUMBER($V439)),$AO439=1),"",$V439-(COUNTIFS($A$14:$A$1213,$A439,$C$14:$C$1213,"&gt;=0")+1)/2)</f>
        <v/>
      </c>
      <c r="Y439" s="27">
        <f>IF(OR(NOT(ISNUMBER($W439)),$AO439=1),"",$W439-(COUNTIFS($A$14:$A$1213,$A439,$F$14:$F$1213,"&gt;=0")+1)/2)</f>
        <v/>
      </c>
      <c r="Z439" s="27">
        <f>IF(ISNUMBER($V439),$A439&amp;"|"&amp;$V439,"")</f>
        <v/>
      </c>
      <c r="AA439" s="27">
        <f>IF(ISNUMBER($W439),$A439&amp;"|"&amp;$W439,"")</f>
        <v/>
      </c>
      <c r="AB439" s="27">
        <f>IF(ISNUMBER($F439),$A439&amp;"|"&amp;$F439,"")</f>
        <v/>
      </c>
      <c r="AC439" s="27">
        <f>IF(ISNUMBER($P439),COUNTIFS($A$14:$A$1213,$A439,$P$14:$P$1213,"&gt;"&amp;$P439)+(COUNTIFS($A$14:$A$1213,$A439,$P$14:$P$1213,"="&amp;$P439)+1)/2,"")</f>
        <v/>
      </c>
      <c r="AD439" s="27">
        <f>IF(ISNUMBER($Q439),COUNTIFS($A$14:$A$1213,$A439,$Q$14:$Q$1213,"&gt;"&amp;$Q439)+(COUNTIFS($A$14:$A$1213,$A439,$Q$14:$Q$1213,"="&amp;$Q439)+1)/2,"")</f>
        <v/>
      </c>
      <c r="AE439" s="27">
        <f>IF(ISNUMBER($R439),COUNTIFS($A$14:$A$1213,$A439,$R$14:$R$1213,"&gt;"&amp;$R439)+(COUNTIFS($A$14:$A$1213,$A439,$R$14:$R$1213,"="&amp;$R439)+1)/2,"")</f>
        <v/>
      </c>
      <c r="AF439" s="27">
        <f>IF(ISNUMBER($S439),COUNTIFS($A$14:$A$1213,$A439,$S$14:$S$1213,"&gt;"&amp;$S439)+(COUNTIFS($A$14:$A$1213,$A439,$S$14:$S$1213,"="&amp;$S439)+1)/2,"")</f>
        <v/>
      </c>
      <c r="AG439" s="27">
        <f>IF(ISNUMBER($T439),COUNTIFS($A$14:$A$1213,$A439,$T$14:$T$1213,"&gt;"&amp;$T439)+(COUNTIFS($A$14:$A$1213,$A439,$T$14:$T$1213,"="&amp;$T439)+1)/2,"")</f>
        <v/>
      </c>
      <c r="AH439" s="27">
        <f>IF(COUNT($AC439:$AG439)&lt;2,"",IF(MAX($AC439:$AG439)=MIN($AC439:$AG439),0,1))</f>
        <v/>
      </c>
      <c r="AI439" s="27">
        <f>IF($A439="","",IF(COUNTIF($A$14:$A439,$A439)=1,COUNTIF($AI$13:AI438,"&gt;0")+1,""))</f>
        <v/>
      </c>
      <c r="AO439" s="27">
        <f>IF($A439="","",IF(AND(COUNTIFS($A$14:$A$1213,$A439,$F$14:$F$1213,"&gt;=0")=2,IFERROR(INDEX($M$14:$M$313,MATCH($A439,$H$14:$H$313,0)),"Yes")&lt;&gt;"Yes"),1,0))</f>
        <v/>
      </c>
    </row>
    <row r="440">
      <c r="A440" s="19" t="n"/>
      <c r="B440" s="20" t="n"/>
      <c r="C440" s="21">
        <f>IFERROR(AVERAGE(P440:T440),"")</f>
        <v/>
      </c>
      <c r="D440" s="29" t="n"/>
      <c r="E440" s="29" t="n"/>
      <c r="F440" s="30">
        <f>IF(AND(ISNUMBER($D440),ISNUMBER($E440),$E440&gt;0,$D440&lt;=$E440),$D440/$E440,"")</f>
        <v/>
      </c>
      <c r="P440" s="26" t="n"/>
      <c r="Q440" s="26" t="n"/>
      <c r="R440" s="26" t="n"/>
      <c r="S440" s="26" t="n"/>
      <c r="T440" s="26" t="n"/>
      <c r="V440" s="27">
        <f>IF(ISNUMBER($C440),COUNTIFS($A$14:$A$1213,$A440,$C$14:$C$1213,"&gt;"&amp;$C440)+(COUNTIFS($A$14:$A$1213,$A440,$C$14:$C$1213,"="&amp;$C440)+1)/2,"")</f>
        <v/>
      </c>
      <c r="W440" s="27">
        <f>IF(ISNUMBER($F440),COUNTIFS($A$14:$A$1213,$A440,$F$14:$F$1213,"&gt;"&amp;$F440)+(COUNTIFS($A$14:$A$1213,$A440,$F$14:$F$1213,"="&amp;$F440)+1)/2,"")</f>
        <v/>
      </c>
      <c r="X440" s="27">
        <f>IF(OR(NOT(ISNUMBER($V440)),$AO440=1),"",$V440-(COUNTIFS($A$14:$A$1213,$A440,$C$14:$C$1213,"&gt;=0")+1)/2)</f>
        <v/>
      </c>
      <c r="Y440" s="27">
        <f>IF(OR(NOT(ISNUMBER($W440)),$AO440=1),"",$W440-(COUNTIFS($A$14:$A$1213,$A440,$F$14:$F$1213,"&gt;=0")+1)/2)</f>
        <v/>
      </c>
      <c r="Z440" s="27">
        <f>IF(ISNUMBER($V440),$A440&amp;"|"&amp;$V440,"")</f>
        <v/>
      </c>
      <c r="AA440" s="27">
        <f>IF(ISNUMBER($W440),$A440&amp;"|"&amp;$W440,"")</f>
        <v/>
      </c>
      <c r="AB440" s="27">
        <f>IF(ISNUMBER($F440),$A440&amp;"|"&amp;$F440,"")</f>
        <v/>
      </c>
      <c r="AC440" s="27">
        <f>IF(ISNUMBER($P440),COUNTIFS($A$14:$A$1213,$A440,$P$14:$P$1213,"&gt;"&amp;$P440)+(COUNTIFS($A$14:$A$1213,$A440,$P$14:$P$1213,"="&amp;$P440)+1)/2,"")</f>
        <v/>
      </c>
      <c r="AD440" s="27">
        <f>IF(ISNUMBER($Q440),COUNTIFS($A$14:$A$1213,$A440,$Q$14:$Q$1213,"&gt;"&amp;$Q440)+(COUNTIFS($A$14:$A$1213,$A440,$Q$14:$Q$1213,"="&amp;$Q440)+1)/2,"")</f>
        <v/>
      </c>
      <c r="AE440" s="27">
        <f>IF(ISNUMBER($R440),COUNTIFS($A$14:$A$1213,$A440,$R$14:$R$1213,"&gt;"&amp;$R440)+(COUNTIFS($A$14:$A$1213,$A440,$R$14:$R$1213,"="&amp;$R440)+1)/2,"")</f>
        <v/>
      </c>
      <c r="AF440" s="27">
        <f>IF(ISNUMBER($S440),COUNTIFS($A$14:$A$1213,$A440,$S$14:$S$1213,"&gt;"&amp;$S440)+(COUNTIFS($A$14:$A$1213,$A440,$S$14:$S$1213,"="&amp;$S440)+1)/2,"")</f>
        <v/>
      </c>
      <c r="AG440" s="27">
        <f>IF(ISNUMBER($T440),COUNTIFS($A$14:$A$1213,$A440,$T$14:$T$1213,"&gt;"&amp;$T440)+(COUNTIFS($A$14:$A$1213,$A440,$T$14:$T$1213,"="&amp;$T440)+1)/2,"")</f>
        <v/>
      </c>
      <c r="AH440" s="27">
        <f>IF(COUNT($AC440:$AG440)&lt;2,"",IF(MAX($AC440:$AG440)=MIN($AC440:$AG440),0,1))</f>
        <v/>
      </c>
      <c r="AI440" s="27">
        <f>IF($A440="","",IF(COUNTIF($A$14:$A440,$A440)=1,COUNTIF($AI$13:AI439,"&gt;0")+1,""))</f>
        <v/>
      </c>
      <c r="AO440" s="27">
        <f>IF($A440="","",IF(AND(COUNTIFS($A$14:$A$1213,$A440,$F$14:$F$1213,"&gt;=0")=2,IFERROR(INDEX($M$14:$M$313,MATCH($A440,$H$14:$H$313,0)),"Yes")&lt;&gt;"Yes"),1,0))</f>
        <v/>
      </c>
    </row>
    <row r="441">
      <c r="A441" s="19" t="n"/>
      <c r="B441" s="20" t="n"/>
      <c r="C441" s="21">
        <f>IFERROR(AVERAGE(P441:T441),"")</f>
        <v/>
      </c>
      <c r="D441" s="29" t="n"/>
      <c r="E441" s="29" t="n"/>
      <c r="F441" s="30">
        <f>IF(AND(ISNUMBER($D441),ISNUMBER($E441),$E441&gt;0,$D441&lt;=$E441),$D441/$E441,"")</f>
        <v/>
      </c>
      <c r="P441" s="26" t="n"/>
      <c r="Q441" s="26" t="n"/>
      <c r="R441" s="26" t="n"/>
      <c r="S441" s="26" t="n"/>
      <c r="T441" s="26" t="n"/>
      <c r="V441" s="27">
        <f>IF(ISNUMBER($C441),COUNTIFS($A$14:$A$1213,$A441,$C$14:$C$1213,"&gt;"&amp;$C441)+(COUNTIFS($A$14:$A$1213,$A441,$C$14:$C$1213,"="&amp;$C441)+1)/2,"")</f>
        <v/>
      </c>
      <c r="W441" s="27">
        <f>IF(ISNUMBER($F441),COUNTIFS($A$14:$A$1213,$A441,$F$14:$F$1213,"&gt;"&amp;$F441)+(COUNTIFS($A$14:$A$1213,$A441,$F$14:$F$1213,"="&amp;$F441)+1)/2,"")</f>
        <v/>
      </c>
      <c r="X441" s="27">
        <f>IF(OR(NOT(ISNUMBER($V441)),$AO441=1),"",$V441-(COUNTIFS($A$14:$A$1213,$A441,$C$14:$C$1213,"&gt;=0")+1)/2)</f>
        <v/>
      </c>
      <c r="Y441" s="27">
        <f>IF(OR(NOT(ISNUMBER($W441)),$AO441=1),"",$W441-(COUNTIFS($A$14:$A$1213,$A441,$F$14:$F$1213,"&gt;=0")+1)/2)</f>
        <v/>
      </c>
      <c r="Z441" s="27">
        <f>IF(ISNUMBER($V441),$A441&amp;"|"&amp;$V441,"")</f>
        <v/>
      </c>
      <c r="AA441" s="27">
        <f>IF(ISNUMBER($W441),$A441&amp;"|"&amp;$W441,"")</f>
        <v/>
      </c>
      <c r="AB441" s="27">
        <f>IF(ISNUMBER($F441),$A441&amp;"|"&amp;$F441,"")</f>
        <v/>
      </c>
      <c r="AC441" s="27">
        <f>IF(ISNUMBER($P441),COUNTIFS($A$14:$A$1213,$A441,$P$14:$P$1213,"&gt;"&amp;$P441)+(COUNTIFS($A$14:$A$1213,$A441,$P$14:$P$1213,"="&amp;$P441)+1)/2,"")</f>
        <v/>
      </c>
      <c r="AD441" s="27">
        <f>IF(ISNUMBER($Q441),COUNTIFS($A$14:$A$1213,$A441,$Q$14:$Q$1213,"&gt;"&amp;$Q441)+(COUNTIFS($A$14:$A$1213,$A441,$Q$14:$Q$1213,"="&amp;$Q441)+1)/2,"")</f>
        <v/>
      </c>
      <c r="AE441" s="27">
        <f>IF(ISNUMBER($R441),COUNTIFS($A$14:$A$1213,$A441,$R$14:$R$1213,"&gt;"&amp;$R441)+(COUNTIFS($A$14:$A$1213,$A441,$R$14:$R$1213,"="&amp;$R441)+1)/2,"")</f>
        <v/>
      </c>
      <c r="AF441" s="27">
        <f>IF(ISNUMBER($S441),COUNTIFS($A$14:$A$1213,$A441,$S$14:$S$1213,"&gt;"&amp;$S441)+(COUNTIFS($A$14:$A$1213,$A441,$S$14:$S$1213,"="&amp;$S441)+1)/2,"")</f>
        <v/>
      </c>
      <c r="AG441" s="27">
        <f>IF(ISNUMBER($T441),COUNTIFS($A$14:$A$1213,$A441,$T$14:$T$1213,"&gt;"&amp;$T441)+(COUNTIFS($A$14:$A$1213,$A441,$T$14:$T$1213,"="&amp;$T441)+1)/2,"")</f>
        <v/>
      </c>
      <c r="AH441" s="27">
        <f>IF(COUNT($AC441:$AG441)&lt;2,"",IF(MAX($AC441:$AG441)=MIN($AC441:$AG441),0,1))</f>
        <v/>
      </c>
      <c r="AI441" s="27">
        <f>IF($A441="","",IF(COUNTIF($A$14:$A441,$A441)=1,COUNTIF($AI$13:AI440,"&gt;0")+1,""))</f>
        <v/>
      </c>
      <c r="AO441" s="27">
        <f>IF($A441="","",IF(AND(COUNTIFS($A$14:$A$1213,$A441,$F$14:$F$1213,"&gt;=0")=2,IFERROR(INDEX($M$14:$M$313,MATCH($A441,$H$14:$H$313,0)),"Yes")&lt;&gt;"Yes"),1,0))</f>
        <v/>
      </c>
    </row>
    <row r="442">
      <c r="A442" s="19" t="n"/>
      <c r="B442" s="20" t="n"/>
      <c r="C442" s="21">
        <f>IFERROR(AVERAGE(P442:T442),"")</f>
        <v/>
      </c>
      <c r="D442" s="29" t="n"/>
      <c r="E442" s="29" t="n"/>
      <c r="F442" s="30">
        <f>IF(AND(ISNUMBER($D442),ISNUMBER($E442),$E442&gt;0,$D442&lt;=$E442),$D442/$E442,"")</f>
        <v/>
      </c>
      <c r="P442" s="26" t="n"/>
      <c r="Q442" s="26" t="n"/>
      <c r="R442" s="26" t="n"/>
      <c r="S442" s="26" t="n"/>
      <c r="T442" s="26" t="n"/>
      <c r="V442" s="27">
        <f>IF(ISNUMBER($C442),COUNTIFS($A$14:$A$1213,$A442,$C$14:$C$1213,"&gt;"&amp;$C442)+(COUNTIFS($A$14:$A$1213,$A442,$C$14:$C$1213,"="&amp;$C442)+1)/2,"")</f>
        <v/>
      </c>
      <c r="W442" s="27">
        <f>IF(ISNUMBER($F442),COUNTIFS($A$14:$A$1213,$A442,$F$14:$F$1213,"&gt;"&amp;$F442)+(COUNTIFS($A$14:$A$1213,$A442,$F$14:$F$1213,"="&amp;$F442)+1)/2,"")</f>
        <v/>
      </c>
      <c r="X442" s="27">
        <f>IF(OR(NOT(ISNUMBER($V442)),$AO442=1),"",$V442-(COUNTIFS($A$14:$A$1213,$A442,$C$14:$C$1213,"&gt;=0")+1)/2)</f>
        <v/>
      </c>
      <c r="Y442" s="27">
        <f>IF(OR(NOT(ISNUMBER($W442)),$AO442=1),"",$W442-(COUNTIFS($A$14:$A$1213,$A442,$F$14:$F$1213,"&gt;=0")+1)/2)</f>
        <v/>
      </c>
      <c r="Z442" s="27">
        <f>IF(ISNUMBER($V442),$A442&amp;"|"&amp;$V442,"")</f>
        <v/>
      </c>
      <c r="AA442" s="27">
        <f>IF(ISNUMBER($W442),$A442&amp;"|"&amp;$W442,"")</f>
        <v/>
      </c>
      <c r="AB442" s="27">
        <f>IF(ISNUMBER($F442),$A442&amp;"|"&amp;$F442,"")</f>
        <v/>
      </c>
      <c r="AC442" s="27">
        <f>IF(ISNUMBER($P442),COUNTIFS($A$14:$A$1213,$A442,$P$14:$P$1213,"&gt;"&amp;$P442)+(COUNTIFS($A$14:$A$1213,$A442,$P$14:$P$1213,"="&amp;$P442)+1)/2,"")</f>
        <v/>
      </c>
      <c r="AD442" s="27">
        <f>IF(ISNUMBER($Q442),COUNTIFS($A$14:$A$1213,$A442,$Q$14:$Q$1213,"&gt;"&amp;$Q442)+(COUNTIFS($A$14:$A$1213,$A442,$Q$14:$Q$1213,"="&amp;$Q442)+1)/2,"")</f>
        <v/>
      </c>
      <c r="AE442" s="27">
        <f>IF(ISNUMBER($R442),COUNTIFS($A$14:$A$1213,$A442,$R$14:$R$1213,"&gt;"&amp;$R442)+(COUNTIFS($A$14:$A$1213,$A442,$R$14:$R$1213,"="&amp;$R442)+1)/2,"")</f>
        <v/>
      </c>
      <c r="AF442" s="27">
        <f>IF(ISNUMBER($S442),COUNTIFS($A$14:$A$1213,$A442,$S$14:$S$1213,"&gt;"&amp;$S442)+(COUNTIFS($A$14:$A$1213,$A442,$S$14:$S$1213,"="&amp;$S442)+1)/2,"")</f>
        <v/>
      </c>
      <c r="AG442" s="27">
        <f>IF(ISNUMBER($T442),COUNTIFS($A$14:$A$1213,$A442,$T$14:$T$1213,"&gt;"&amp;$T442)+(COUNTIFS($A$14:$A$1213,$A442,$T$14:$T$1213,"="&amp;$T442)+1)/2,"")</f>
        <v/>
      </c>
      <c r="AH442" s="27">
        <f>IF(COUNT($AC442:$AG442)&lt;2,"",IF(MAX($AC442:$AG442)=MIN($AC442:$AG442),0,1))</f>
        <v/>
      </c>
      <c r="AI442" s="27">
        <f>IF($A442="","",IF(COUNTIF($A$14:$A442,$A442)=1,COUNTIF($AI$13:AI441,"&gt;0")+1,""))</f>
        <v/>
      </c>
      <c r="AO442" s="27">
        <f>IF($A442="","",IF(AND(COUNTIFS($A$14:$A$1213,$A442,$F$14:$F$1213,"&gt;=0")=2,IFERROR(INDEX($M$14:$M$313,MATCH($A442,$H$14:$H$313,0)),"Yes")&lt;&gt;"Yes"),1,0))</f>
        <v/>
      </c>
    </row>
    <row r="443">
      <c r="A443" s="19" t="n"/>
      <c r="B443" s="20" t="n"/>
      <c r="C443" s="21">
        <f>IFERROR(AVERAGE(P443:T443),"")</f>
        <v/>
      </c>
      <c r="D443" s="29" t="n"/>
      <c r="E443" s="29" t="n"/>
      <c r="F443" s="30">
        <f>IF(AND(ISNUMBER($D443),ISNUMBER($E443),$E443&gt;0,$D443&lt;=$E443),$D443/$E443,"")</f>
        <v/>
      </c>
      <c r="P443" s="26" t="n"/>
      <c r="Q443" s="26" t="n"/>
      <c r="R443" s="26" t="n"/>
      <c r="S443" s="26" t="n"/>
      <c r="T443" s="26" t="n"/>
      <c r="V443" s="27">
        <f>IF(ISNUMBER($C443),COUNTIFS($A$14:$A$1213,$A443,$C$14:$C$1213,"&gt;"&amp;$C443)+(COUNTIFS($A$14:$A$1213,$A443,$C$14:$C$1213,"="&amp;$C443)+1)/2,"")</f>
        <v/>
      </c>
      <c r="W443" s="27">
        <f>IF(ISNUMBER($F443),COUNTIFS($A$14:$A$1213,$A443,$F$14:$F$1213,"&gt;"&amp;$F443)+(COUNTIFS($A$14:$A$1213,$A443,$F$14:$F$1213,"="&amp;$F443)+1)/2,"")</f>
        <v/>
      </c>
      <c r="X443" s="27">
        <f>IF(OR(NOT(ISNUMBER($V443)),$AO443=1),"",$V443-(COUNTIFS($A$14:$A$1213,$A443,$C$14:$C$1213,"&gt;=0")+1)/2)</f>
        <v/>
      </c>
      <c r="Y443" s="27">
        <f>IF(OR(NOT(ISNUMBER($W443)),$AO443=1),"",$W443-(COUNTIFS($A$14:$A$1213,$A443,$F$14:$F$1213,"&gt;=0")+1)/2)</f>
        <v/>
      </c>
      <c r="Z443" s="27">
        <f>IF(ISNUMBER($V443),$A443&amp;"|"&amp;$V443,"")</f>
        <v/>
      </c>
      <c r="AA443" s="27">
        <f>IF(ISNUMBER($W443),$A443&amp;"|"&amp;$W443,"")</f>
        <v/>
      </c>
      <c r="AB443" s="27">
        <f>IF(ISNUMBER($F443),$A443&amp;"|"&amp;$F443,"")</f>
        <v/>
      </c>
      <c r="AC443" s="27">
        <f>IF(ISNUMBER($P443),COUNTIFS($A$14:$A$1213,$A443,$P$14:$P$1213,"&gt;"&amp;$P443)+(COUNTIFS($A$14:$A$1213,$A443,$P$14:$P$1213,"="&amp;$P443)+1)/2,"")</f>
        <v/>
      </c>
      <c r="AD443" s="27">
        <f>IF(ISNUMBER($Q443),COUNTIFS($A$14:$A$1213,$A443,$Q$14:$Q$1213,"&gt;"&amp;$Q443)+(COUNTIFS($A$14:$A$1213,$A443,$Q$14:$Q$1213,"="&amp;$Q443)+1)/2,"")</f>
        <v/>
      </c>
      <c r="AE443" s="27">
        <f>IF(ISNUMBER($R443),COUNTIFS($A$14:$A$1213,$A443,$R$14:$R$1213,"&gt;"&amp;$R443)+(COUNTIFS($A$14:$A$1213,$A443,$R$14:$R$1213,"="&amp;$R443)+1)/2,"")</f>
        <v/>
      </c>
      <c r="AF443" s="27">
        <f>IF(ISNUMBER($S443),COUNTIFS($A$14:$A$1213,$A443,$S$14:$S$1213,"&gt;"&amp;$S443)+(COUNTIFS($A$14:$A$1213,$A443,$S$14:$S$1213,"="&amp;$S443)+1)/2,"")</f>
        <v/>
      </c>
      <c r="AG443" s="27">
        <f>IF(ISNUMBER($T443),COUNTIFS($A$14:$A$1213,$A443,$T$14:$T$1213,"&gt;"&amp;$T443)+(COUNTIFS($A$14:$A$1213,$A443,$T$14:$T$1213,"="&amp;$T443)+1)/2,"")</f>
        <v/>
      </c>
      <c r="AH443" s="27">
        <f>IF(COUNT($AC443:$AG443)&lt;2,"",IF(MAX($AC443:$AG443)=MIN($AC443:$AG443),0,1))</f>
        <v/>
      </c>
      <c r="AI443" s="27">
        <f>IF($A443="","",IF(COUNTIF($A$14:$A443,$A443)=1,COUNTIF($AI$13:AI442,"&gt;0")+1,""))</f>
        <v/>
      </c>
      <c r="AO443" s="27">
        <f>IF($A443="","",IF(AND(COUNTIFS($A$14:$A$1213,$A443,$F$14:$F$1213,"&gt;=0")=2,IFERROR(INDEX($M$14:$M$313,MATCH($A443,$H$14:$H$313,0)),"Yes")&lt;&gt;"Yes"),1,0))</f>
        <v/>
      </c>
    </row>
    <row r="444">
      <c r="A444" s="19" t="n"/>
      <c r="B444" s="20" t="n"/>
      <c r="C444" s="21">
        <f>IFERROR(AVERAGE(P444:T444),"")</f>
        <v/>
      </c>
      <c r="D444" s="29" t="n"/>
      <c r="E444" s="29" t="n"/>
      <c r="F444" s="30">
        <f>IF(AND(ISNUMBER($D444),ISNUMBER($E444),$E444&gt;0,$D444&lt;=$E444),$D444/$E444,"")</f>
        <v/>
      </c>
      <c r="P444" s="26" t="n"/>
      <c r="Q444" s="26" t="n"/>
      <c r="R444" s="26" t="n"/>
      <c r="S444" s="26" t="n"/>
      <c r="T444" s="26" t="n"/>
      <c r="V444" s="27">
        <f>IF(ISNUMBER($C444),COUNTIFS($A$14:$A$1213,$A444,$C$14:$C$1213,"&gt;"&amp;$C444)+(COUNTIFS($A$14:$A$1213,$A444,$C$14:$C$1213,"="&amp;$C444)+1)/2,"")</f>
        <v/>
      </c>
      <c r="W444" s="27">
        <f>IF(ISNUMBER($F444),COUNTIFS($A$14:$A$1213,$A444,$F$14:$F$1213,"&gt;"&amp;$F444)+(COUNTIFS($A$14:$A$1213,$A444,$F$14:$F$1213,"="&amp;$F444)+1)/2,"")</f>
        <v/>
      </c>
      <c r="X444" s="27">
        <f>IF(OR(NOT(ISNUMBER($V444)),$AO444=1),"",$V444-(COUNTIFS($A$14:$A$1213,$A444,$C$14:$C$1213,"&gt;=0")+1)/2)</f>
        <v/>
      </c>
      <c r="Y444" s="27">
        <f>IF(OR(NOT(ISNUMBER($W444)),$AO444=1),"",$W444-(COUNTIFS($A$14:$A$1213,$A444,$F$14:$F$1213,"&gt;=0")+1)/2)</f>
        <v/>
      </c>
      <c r="Z444" s="27">
        <f>IF(ISNUMBER($V444),$A444&amp;"|"&amp;$V444,"")</f>
        <v/>
      </c>
      <c r="AA444" s="27">
        <f>IF(ISNUMBER($W444),$A444&amp;"|"&amp;$W444,"")</f>
        <v/>
      </c>
      <c r="AB444" s="27">
        <f>IF(ISNUMBER($F444),$A444&amp;"|"&amp;$F444,"")</f>
        <v/>
      </c>
      <c r="AC444" s="27">
        <f>IF(ISNUMBER($P444),COUNTIFS($A$14:$A$1213,$A444,$P$14:$P$1213,"&gt;"&amp;$P444)+(COUNTIFS($A$14:$A$1213,$A444,$P$14:$P$1213,"="&amp;$P444)+1)/2,"")</f>
        <v/>
      </c>
      <c r="AD444" s="27">
        <f>IF(ISNUMBER($Q444),COUNTIFS($A$14:$A$1213,$A444,$Q$14:$Q$1213,"&gt;"&amp;$Q444)+(COUNTIFS($A$14:$A$1213,$A444,$Q$14:$Q$1213,"="&amp;$Q444)+1)/2,"")</f>
        <v/>
      </c>
      <c r="AE444" s="27">
        <f>IF(ISNUMBER($R444),COUNTIFS($A$14:$A$1213,$A444,$R$14:$R$1213,"&gt;"&amp;$R444)+(COUNTIFS($A$14:$A$1213,$A444,$R$14:$R$1213,"="&amp;$R444)+1)/2,"")</f>
        <v/>
      </c>
      <c r="AF444" s="27">
        <f>IF(ISNUMBER($S444),COUNTIFS($A$14:$A$1213,$A444,$S$14:$S$1213,"&gt;"&amp;$S444)+(COUNTIFS($A$14:$A$1213,$A444,$S$14:$S$1213,"="&amp;$S444)+1)/2,"")</f>
        <v/>
      </c>
      <c r="AG444" s="27">
        <f>IF(ISNUMBER($T444),COUNTIFS($A$14:$A$1213,$A444,$T$14:$T$1213,"&gt;"&amp;$T444)+(COUNTIFS($A$14:$A$1213,$A444,$T$14:$T$1213,"="&amp;$T444)+1)/2,"")</f>
        <v/>
      </c>
      <c r="AH444" s="27">
        <f>IF(COUNT($AC444:$AG444)&lt;2,"",IF(MAX($AC444:$AG444)=MIN($AC444:$AG444),0,1))</f>
        <v/>
      </c>
      <c r="AI444" s="27">
        <f>IF($A444="","",IF(COUNTIF($A$14:$A444,$A444)=1,COUNTIF($AI$13:AI443,"&gt;0")+1,""))</f>
        <v/>
      </c>
      <c r="AO444" s="27">
        <f>IF($A444="","",IF(AND(COUNTIFS($A$14:$A$1213,$A444,$F$14:$F$1213,"&gt;=0")=2,IFERROR(INDEX($M$14:$M$313,MATCH($A444,$H$14:$H$313,0)),"Yes")&lt;&gt;"Yes"),1,0))</f>
        <v/>
      </c>
    </row>
    <row r="445">
      <c r="A445" s="19" t="n"/>
      <c r="B445" s="20" t="n"/>
      <c r="C445" s="21">
        <f>IFERROR(AVERAGE(P445:T445),"")</f>
        <v/>
      </c>
      <c r="D445" s="29" t="n"/>
      <c r="E445" s="29" t="n"/>
      <c r="F445" s="30">
        <f>IF(AND(ISNUMBER($D445),ISNUMBER($E445),$E445&gt;0,$D445&lt;=$E445),$D445/$E445,"")</f>
        <v/>
      </c>
      <c r="P445" s="26" t="n"/>
      <c r="Q445" s="26" t="n"/>
      <c r="R445" s="26" t="n"/>
      <c r="S445" s="26" t="n"/>
      <c r="T445" s="26" t="n"/>
      <c r="V445" s="27">
        <f>IF(ISNUMBER($C445),COUNTIFS($A$14:$A$1213,$A445,$C$14:$C$1213,"&gt;"&amp;$C445)+(COUNTIFS($A$14:$A$1213,$A445,$C$14:$C$1213,"="&amp;$C445)+1)/2,"")</f>
        <v/>
      </c>
      <c r="W445" s="27">
        <f>IF(ISNUMBER($F445),COUNTIFS($A$14:$A$1213,$A445,$F$14:$F$1213,"&gt;"&amp;$F445)+(COUNTIFS($A$14:$A$1213,$A445,$F$14:$F$1213,"="&amp;$F445)+1)/2,"")</f>
        <v/>
      </c>
      <c r="X445" s="27">
        <f>IF(OR(NOT(ISNUMBER($V445)),$AO445=1),"",$V445-(COUNTIFS($A$14:$A$1213,$A445,$C$14:$C$1213,"&gt;=0")+1)/2)</f>
        <v/>
      </c>
      <c r="Y445" s="27">
        <f>IF(OR(NOT(ISNUMBER($W445)),$AO445=1),"",$W445-(COUNTIFS($A$14:$A$1213,$A445,$F$14:$F$1213,"&gt;=0")+1)/2)</f>
        <v/>
      </c>
      <c r="Z445" s="27">
        <f>IF(ISNUMBER($V445),$A445&amp;"|"&amp;$V445,"")</f>
        <v/>
      </c>
      <c r="AA445" s="27">
        <f>IF(ISNUMBER($W445),$A445&amp;"|"&amp;$W445,"")</f>
        <v/>
      </c>
      <c r="AB445" s="27">
        <f>IF(ISNUMBER($F445),$A445&amp;"|"&amp;$F445,"")</f>
        <v/>
      </c>
      <c r="AC445" s="27">
        <f>IF(ISNUMBER($P445),COUNTIFS($A$14:$A$1213,$A445,$P$14:$P$1213,"&gt;"&amp;$P445)+(COUNTIFS($A$14:$A$1213,$A445,$P$14:$P$1213,"="&amp;$P445)+1)/2,"")</f>
        <v/>
      </c>
      <c r="AD445" s="27">
        <f>IF(ISNUMBER($Q445),COUNTIFS($A$14:$A$1213,$A445,$Q$14:$Q$1213,"&gt;"&amp;$Q445)+(COUNTIFS($A$14:$A$1213,$A445,$Q$14:$Q$1213,"="&amp;$Q445)+1)/2,"")</f>
        <v/>
      </c>
      <c r="AE445" s="27">
        <f>IF(ISNUMBER($R445),COUNTIFS($A$14:$A$1213,$A445,$R$14:$R$1213,"&gt;"&amp;$R445)+(COUNTIFS($A$14:$A$1213,$A445,$R$14:$R$1213,"="&amp;$R445)+1)/2,"")</f>
        <v/>
      </c>
      <c r="AF445" s="27">
        <f>IF(ISNUMBER($S445),COUNTIFS($A$14:$A$1213,$A445,$S$14:$S$1213,"&gt;"&amp;$S445)+(COUNTIFS($A$14:$A$1213,$A445,$S$14:$S$1213,"="&amp;$S445)+1)/2,"")</f>
        <v/>
      </c>
      <c r="AG445" s="27">
        <f>IF(ISNUMBER($T445),COUNTIFS($A$14:$A$1213,$A445,$T$14:$T$1213,"&gt;"&amp;$T445)+(COUNTIFS($A$14:$A$1213,$A445,$T$14:$T$1213,"="&amp;$T445)+1)/2,"")</f>
        <v/>
      </c>
      <c r="AH445" s="27">
        <f>IF(COUNT($AC445:$AG445)&lt;2,"",IF(MAX($AC445:$AG445)=MIN($AC445:$AG445),0,1))</f>
        <v/>
      </c>
      <c r="AI445" s="27">
        <f>IF($A445="","",IF(COUNTIF($A$14:$A445,$A445)=1,COUNTIF($AI$13:AI444,"&gt;0")+1,""))</f>
        <v/>
      </c>
      <c r="AO445" s="27">
        <f>IF($A445="","",IF(AND(COUNTIFS($A$14:$A$1213,$A445,$F$14:$F$1213,"&gt;=0")=2,IFERROR(INDEX($M$14:$M$313,MATCH($A445,$H$14:$H$313,0)),"Yes")&lt;&gt;"Yes"),1,0))</f>
        <v/>
      </c>
    </row>
    <row r="446">
      <c r="A446" s="19" t="n"/>
      <c r="B446" s="20" t="n"/>
      <c r="C446" s="21">
        <f>IFERROR(AVERAGE(P446:T446),"")</f>
        <v/>
      </c>
      <c r="D446" s="29" t="n"/>
      <c r="E446" s="29" t="n"/>
      <c r="F446" s="30">
        <f>IF(AND(ISNUMBER($D446),ISNUMBER($E446),$E446&gt;0,$D446&lt;=$E446),$D446/$E446,"")</f>
        <v/>
      </c>
      <c r="P446" s="26" t="n"/>
      <c r="Q446" s="26" t="n"/>
      <c r="R446" s="26" t="n"/>
      <c r="S446" s="26" t="n"/>
      <c r="T446" s="26" t="n"/>
      <c r="V446" s="27">
        <f>IF(ISNUMBER($C446),COUNTIFS($A$14:$A$1213,$A446,$C$14:$C$1213,"&gt;"&amp;$C446)+(COUNTIFS($A$14:$A$1213,$A446,$C$14:$C$1213,"="&amp;$C446)+1)/2,"")</f>
        <v/>
      </c>
      <c r="W446" s="27">
        <f>IF(ISNUMBER($F446),COUNTIFS($A$14:$A$1213,$A446,$F$14:$F$1213,"&gt;"&amp;$F446)+(COUNTIFS($A$14:$A$1213,$A446,$F$14:$F$1213,"="&amp;$F446)+1)/2,"")</f>
        <v/>
      </c>
      <c r="X446" s="27">
        <f>IF(OR(NOT(ISNUMBER($V446)),$AO446=1),"",$V446-(COUNTIFS($A$14:$A$1213,$A446,$C$14:$C$1213,"&gt;=0")+1)/2)</f>
        <v/>
      </c>
      <c r="Y446" s="27">
        <f>IF(OR(NOT(ISNUMBER($W446)),$AO446=1),"",$W446-(COUNTIFS($A$14:$A$1213,$A446,$F$14:$F$1213,"&gt;=0")+1)/2)</f>
        <v/>
      </c>
      <c r="Z446" s="27">
        <f>IF(ISNUMBER($V446),$A446&amp;"|"&amp;$V446,"")</f>
        <v/>
      </c>
      <c r="AA446" s="27">
        <f>IF(ISNUMBER($W446),$A446&amp;"|"&amp;$W446,"")</f>
        <v/>
      </c>
      <c r="AB446" s="27">
        <f>IF(ISNUMBER($F446),$A446&amp;"|"&amp;$F446,"")</f>
        <v/>
      </c>
      <c r="AC446" s="27">
        <f>IF(ISNUMBER($P446),COUNTIFS($A$14:$A$1213,$A446,$P$14:$P$1213,"&gt;"&amp;$P446)+(COUNTIFS($A$14:$A$1213,$A446,$P$14:$P$1213,"="&amp;$P446)+1)/2,"")</f>
        <v/>
      </c>
      <c r="AD446" s="27">
        <f>IF(ISNUMBER($Q446),COUNTIFS($A$14:$A$1213,$A446,$Q$14:$Q$1213,"&gt;"&amp;$Q446)+(COUNTIFS($A$14:$A$1213,$A446,$Q$14:$Q$1213,"="&amp;$Q446)+1)/2,"")</f>
        <v/>
      </c>
      <c r="AE446" s="27">
        <f>IF(ISNUMBER($R446),COUNTIFS($A$14:$A$1213,$A446,$R$14:$R$1213,"&gt;"&amp;$R446)+(COUNTIFS($A$14:$A$1213,$A446,$R$14:$R$1213,"="&amp;$R446)+1)/2,"")</f>
        <v/>
      </c>
      <c r="AF446" s="27">
        <f>IF(ISNUMBER($S446),COUNTIFS($A$14:$A$1213,$A446,$S$14:$S$1213,"&gt;"&amp;$S446)+(COUNTIFS($A$14:$A$1213,$A446,$S$14:$S$1213,"="&amp;$S446)+1)/2,"")</f>
        <v/>
      </c>
      <c r="AG446" s="27">
        <f>IF(ISNUMBER($T446),COUNTIFS($A$14:$A$1213,$A446,$T$14:$T$1213,"&gt;"&amp;$T446)+(COUNTIFS($A$14:$A$1213,$A446,$T$14:$T$1213,"="&amp;$T446)+1)/2,"")</f>
        <v/>
      </c>
      <c r="AH446" s="27">
        <f>IF(COUNT($AC446:$AG446)&lt;2,"",IF(MAX($AC446:$AG446)=MIN($AC446:$AG446),0,1))</f>
        <v/>
      </c>
      <c r="AI446" s="27">
        <f>IF($A446="","",IF(COUNTIF($A$14:$A446,$A446)=1,COUNTIF($AI$13:AI445,"&gt;0")+1,""))</f>
        <v/>
      </c>
      <c r="AO446" s="27">
        <f>IF($A446="","",IF(AND(COUNTIFS($A$14:$A$1213,$A446,$F$14:$F$1213,"&gt;=0")=2,IFERROR(INDEX($M$14:$M$313,MATCH($A446,$H$14:$H$313,0)),"Yes")&lt;&gt;"Yes"),1,0))</f>
        <v/>
      </c>
    </row>
    <row r="447">
      <c r="A447" s="19" t="n"/>
      <c r="B447" s="20" t="n"/>
      <c r="C447" s="21">
        <f>IFERROR(AVERAGE(P447:T447),"")</f>
        <v/>
      </c>
      <c r="D447" s="29" t="n"/>
      <c r="E447" s="29" t="n"/>
      <c r="F447" s="30">
        <f>IF(AND(ISNUMBER($D447),ISNUMBER($E447),$E447&gt;0,$D447&lt;=$E447),$D447/$E447,"")</f>
        <v/>
      </c>
      <c r="P447" s="26" t="n"/>
      <c r="Q447" s="26" t="n"/>
      <c r="R447" s="26" t="n"/>
      <c r="S447" s="26" t="n"/>
      <c r="T447" s="26" t="n"/>
      <c r="V447" s="27">
        <f>IF(ISNUMBER($C447),COUNTIFS($A$14:$A$1213,$A447,$C$14:$C$1213,"&gt;"&amp;$C447)+(COUNTIFS($A$14:$A$1213,$A447,$C$14:$C$1213,"="&amp;$C447)+1)/2,"")</f>
        <v/>
      </c>
      <c r="W447" s="27">
        <f>IF(ISNUMBER($F447),COUNTIFS($A$14:$A$1213,$A447,$F$14:$F$1213,"&gt;"&amp;$F447)+(COUNTIFS($A$14:$A$1213,$A447,$F$14:$F$1213,"="&amp;$F447)+1)/2,"")</f>
        <v/>
      </c>
      <c r="X447" s="27">
        <f>IF(OR(NOT(ISNUMBER($V447)),$AO447=1),"",$V447-(COUNTIFS($A$14:$A$1213,$A447,$C$14:$C$1213,"&gt;=0")+1)/2)</f>
        <v/>
      </c>
      <c r="Y447" s="27">
        <f>IF(OR(NOT(ISNUMBER($W447)),$AO447=1),"",$W447-(COUNTIFS($A$14:$A$1213,$A447,$F$14:$F$1213,"&gt;=0")+1)/2)</f>
        <v/>
      </c>
      <c r="Z447" s="27">
        <f>IF(ISNUMBER($V447),$A447&amp;"|"&amp;$V447,"")</f>
        <v/>
      </c>
      <c r="AA447" s="27">
        <f>IF(ISNUMBER($W447),$A447&amp;"|"&amp;$W447,"")</f>
        <v/>
      </c>
      <c r="AB447" s="27">
        <f>IF(ISNUMBER($F447),$A447&amp;"|"&amp;$F447,"")</f>
        <v/>
      </c>
      <c r="AC447" s="27">
        <f>IF(ISNUMBER($P447),COUNTIFS($A$14:$A$1213,$A447,$P$14:$P$1213,"&gt;"&amp;$P447)+(COUNTIFS($A$14:$A$1213,$A447,$P$14:$P$1213,"="&amp;$P447)+1)/2,"")</f>
        <v/>
      </c>
      <c r="AD447" s="27">
        <f>IF(ISNUMBER($Q447),COUNTIFS($A$14:$A$1213,$A447,$Q$14:$Q$1213,"&gt;"&amp;$Q447)+(COUNTIFS($A$14:$A$1213,$A447,$Q$14:$Q$1213,"="&amp;$Q447)+1)/2,"")</f>
        <v/>
      </c>
      <c r="AE447" s="27">
        <f>IF(ISNUMBER($R447),COUNTIFS($A$14:$A$1213,$A447,$R$14:$R$1213,"&gt;"&amp;$R447)+(COUNTIFS($A$14:$A$1213,$A447,$R$14:$R$1213,"="&amp;$R447)+1)/2,"")</f>
        <v/>
      </c>
      <c r="AF447" s="27">
        <f>IF(ISNUMBER($S447),COUNTIFS($A$14:$A$1213,$A447,$S$14:$S$1213,"&gt;"&amp;$S447)+(COUNTIFS($A$14:$A$1213,$A447,$S$14:$S$1213,"="&amp;$S447)+1)/2,"")</f>
        <v/>
      </c>
      <c r="AG447" s="27">
        <f>IF(ISNUMBER($T447),COUNTIFS($A$14:$A$1213,$A447,$T$14:$T$1213,"&gt;"&amp;$T447)+(COUNTIFS($A$14:$A$1213,$A447,$T$14:$T$1213,"="&amp;$T447)+1)/2,"")</f>
        <v/>
      </c>
      <c r="AH447" s="27">
        <f>IF(COUNT($AC447:$AG447)&lt;2,"",IF(MAX($AC447:$AG447)=MIN($AC447:$AG447),0,1))</f>
        <v/>
      </c>
      <c r="AI447" s="27">
        <f>IF($A447="","",IF(COUNTIF($A$14:$A447,$A447)=1,COUNTIF($AI$13:AI446,"&gt;0")+1,""))</f>
        <v/>
      </c>
      <c r="AO447" s="27">
        <f>IF($A447="","",IF(AND(COUNTIFS($A$14:$A$1213,$A447,$F$14:$F$1213,"&gt;=0")=2,IFERROR(INDEX($M$14:$M$313,MATCH($A447,$H$14:$H$313,0)),"Yes")&lt;&gt;"Yes"),1,0))</f>
        <v/>
      </c>
    </row>
    <row r="448">
      <c r="A448" s="19" t="n"/>
      <c r="B448" s="20" t="n"/>
      <c r="C448" s="21">
        <f>IFERROR(AVERAGE(P448:T448),"")</f>
        <v/>
      </c>
      <c r="D448" s="29" t="n"/>
      <c r="E448" s="29" t="n"/>
      <c r="F448" s="30">
        <f>IF(AND(ISNUMBER($D448),ISNUMBER($E448),$E448&gt;0,$D448&lt;=$E448),$D448/$E448,"")</f>
        <v/>
      </c>
      <c r="P448" s="26" t="n"/>
      <c r="Q448" s="26" t="n"/>
      <c r="R448" s="26" t="n"/>
      <c r="S448" s="26" t="n"/>
      <c r="T448" s="26" t="n"/>
      <c r="V448" s="27">
        <f>IF(ISNUMBER($C448),COUNTIFS($A$14:$A$1213,$A448,$C$14:$C$1213,"&gt;"&amp;$C448)+(COUNTIFS($A$14:$A$1213,$A448,$C$14:$C$1213,"="&amp;$C448)+1)/2,"")</f>
        <v/>
      </c>
      <c r="W448" s="27">
        <f>IF(ISNUMBER($F448),COUNTIFS($A$14:$A$1213,$A448,$F$14:$F$1213,"&gt;"&amp;$F448)+(COUNTIFS($A$14:$A$1213,$A448,$F$14:$F$1213,"="&amp;$F448)+1)/2,"")</f>
        <v/>
      </c>
      <c r="X448" s="27">
        <f>IF(OR(NOT(ISNUMBER($V448)),$AO448=1),"",$V448-(COUNTIFS($A$14:$A$1213,$A448,$C$14:$C$1213,"&gt;=0")+1)/2)</f>
        <v/>
      </c>
      <c r="Y448" s="27">
        <f>IF(OR(NOT(ISNUMBER($W448)),$AO448=1),"",$W448-(COUNTIFS($A$14:$A$1213,$A448,$F$14:$F$1213,"&gt;=0")+1)/2)</f>
        <v/>
      </c>
      <c r="Z448" s="27">
        <f>IF(ISNUMBER($V448),$A448&amp;"|"&amp;$V448,"")</f>
        <v/>
      </c>
      <c r="AA448" s="27">
        <f>IF(ISNUMBER($W448),$A448&amp;"|"&amp;$W448,"")</f>
        <v/>
      </c>
      <c r="AB448" s="27">
        <f>IF(ISNUMBER($F448),$A448&amp;"|"&amp;$F448,"")</f>
        <v/>
      </c>
      <c r="AC448" s="27">
        <f>IF(ISNUMBER($P448),COUNTIFS($A$14:$A$1213,$A448,$P$14:$P$1213,"&gt;"&amp;$P448)+(COUNTIFS($A$14:$A$1213,$A448,$P$14:$P$1213,"="&amp;$P448)+1)/2,"")</f>
        <v/>
      </c>
      <c r="AD448" s="27">
        <f>IF(ISNUMBER($Q448),COUNTIFS($A$14:$A$1213,$A448,$Q$14:$Q$1213,"&gt;"&amp;$Q448)+(COUNTIFS($A$14:$A$1213,$A448,$Q$14:$Q$1213,"="&amp;$Q448)+1)/2,"")</f>
        <v/>
      </c>
      <c r="AE448" s="27">
        <f>IF(ISNUMBER($R448),COUNTIFS($A$14:$A$1213,$A448,$R$14:$R$1213,"&gt;"&amp;$R448)+(COUNTIFS($A$14:$A$1213,$A448,$R$14:$R$1213,"="&amp;$R448)+1)/2,"")</f>
        <v/>
      </c>
      <c r="AF448" s="27">
        <f>IF(ISNUMBER($S448),COUNTIFS($A$14:$A$1213,$A448,$S$14:$S$1213,"&gt;"&amp;$S448)+(COUNTIFS($A$14:$A$1213,$A448,$S$14:$S$1213,"="&amp;$S448)+1)/2,"")</f>
        <v/>
      </c>
      <c r="AG448" s="27">
        <f>IF(ISNUMBER($T448),COUNTIFS($A$14:$A$1213,$A448,$T$14:$T$1213,"&gt;"&amp;$T448)+(COUNTIFS($A$14:$A$1213,$A448,$T$14:$T$1213,"="&amp;$T448)+1)/2,"")</f>
        <v/>
      </c>
      <c r="AH448" s="27">
        <f>IF(COUNT($AC448:$AG448)&lt;2,"",IF(MAX($AC448:$AG448)=MIN($AC448:$AG448),0,1))</f>
        <v/>
      </c>
      <c r="AI448" s="27">
        <f>IF($A448="","",IF(COUNTIF($A$14:$A448,$A448)=1,COUNTIF($AI$13:AI447,"&gt;0")+1,""))</f>
        <v/>
      </c>
      <c r="AO448" s="27">
        <f>IF($A448="","",IF(AND(COUNTIFS($A$14:$A$1213,$A448,$F$14:$F$1213,"&gt;=0")=2,IFERROR(INDEX($M$14:$M$313,MATCH($A448,$H$14:$H$313,0)),"Yes")&lt;&gt;"Yes"),1,0))</f>
        <v/>
      </c>
    </row>
    <row r="449">
      <c r="A449" s="19" t="n"/>
      <c r="B449" s="20" t="n"/>
      <c r="C449" s="21">
        <f>IFERROR(AVERAGE(P449:T449),"")</f>
        <v/>
      </c>
      <c r="D449" s="29" t="n"/>
      <c r="E449" s="29" t="n"/>
      <c r="F449" s="30">
        <f>IF(AND(ISNUMBER($D449),ISNUMBER($E449),$E449&gt;0,$D449&lt;=$E449),$D449/$E449,"")</f>
        <v/>
      </c>
      <c r="P449" s="26" t="n"/>
      <c r="Q449" s="26" t="n"/>
      <c r="R449" s="26" t="n"/>
      <c r="S449" s="26" t="n"/>
      <c r="T449" s="26" t="n"/>
      <c r="V449" s="27">
        <f>IF(ISNUMBER($C449),COUNTIFS($A$14:$A$1213,$A449,$C$14:$C$1213,"&gt;"&amp;$C449)+(COUNTIFS($A$14:$A$1213,$A449,$C$14:$C$1213,"="&amp;$C449)+1)/2,"")</f>
        <v/>
      </c>
      <c r="W449" s="27">
        <f>IF(ISNUMBER($F449),COUNTIFS($A$14:$A$1213,$A449,$F$14:$F$1213,"&gt;"&amp;$F449)+(COUNTIFS($A$14:$A$1213,$A449,$F$14:$F$1213,"="&amp;$F449)+1)/2,"")</f>
        <v/>
      </c>
      <c r="X449" s="27">
        <f>IF(OR(NOT(ISNUMBER($V449)),$AO449=1),"",$V449-(COUNTIFS($A$14:$A$1213,$A449,$C$14:$C$1213,"&gt;=0")+1)/2)</f>
        <v/>
      </c>
      <c r="Y449" s="27">
        <f>IF(OR(NOT(ISNUMBER($W449)),$AO449=1),"",$W449-(COUNTIFS($A$14:$A$1213,$A449,$F$14:$F$1213,"&gt;=0")+1)/2)</f>
        <v/>
      </c>
      <c r="Z449" s="27">
        <f>IF(ISNUMBER($V449),$A449&amp;"|"&amp;$V449,"")</f>
        <v/>
      </c>
      <c r="AA449" s="27">
        <f>IF(ISNUMBER($W449),$A449&amp;"|"&amp;$W449,"")</f>
        <v/>
      </c>
      <c r="AB449" s="27">
        <f>IF(ISNUMBER($F449),$A449&amp;"|"&amp;$F449,"")</f>
        <v/>
      </c>
      <c r="AC449" s="27">
        <f>IF(ISNUMBER($P449),COUNTIFS($A$14:$A$1213,$A449,$P$14:$P$1213,"&gt;"&amp;$P449)+(COUNTIFS($A$14:$A$1213,$A449,$P$14:$P$1213,"="&amp;$P449)+1)/2,"")</f>
        <v/>
      </c>
      <c r="AD449" s="27">
        <f>IF(ISNUMBER($Q449),COUNTIFS($A$14:$A$1213,$A449,$Q$14:$Q$1213,"&gt;"&amp;$Q449)+(COUNTIFS($A$14:$A$1213,$A449,$Q$14:$Q$1213,"="&amp;$Q449)+1)/2,"")</f>
        <v/>
      </c>
      <c r="AE449" s="27">
        <f>IF(ISNUMBER($R449),COUNTIFS($A$14:$A$1213,$A449,$R$14:$R$1213,"&gt;"&amp;$R449)+(COUNTIFS($A$14:$A$1213,$A449,$R$14:$R$1213,"="&amp;$R449)+1)/2,"")</f>
        <v/>
      </c>
      <c r="AF449" s="27">
        <f>IF(ISNUMBER($S449),COUNTIFS($A$14:$A$1213,$A449,$S$14:$S$1213,"&gt;"&amp;$S449)+(COUNTIFS($A$14:$A$1213,$A449,$S$14:$S$1213,"="&amp;$S449)+1)/2,"")</f>
        <v/>
      </c>
      <c r="AG449" s="27">
        <f>IF(ISNUMBER($T449),COUNTIFS($A$14:$A$1213,$A449,$T$14:$T$1213,"&gt;"&amp;$T449)+(COUNTIFS($A$14:$A$1213,$A449,$T$14:$T$1213,"="&amp;$T449)+1)/2,"")</f>
        <v/>
      </c>
      <c r="AH449" s="27">
        <f>IF(COUNT($AC449:$AG449)&lt;2,"",IF(MAX($AC449:$AG449)=MIN($AC449:$AG449),0,1))</f>
        <v/>
      </c>
      <c r="AI449" s="27">
        <f>IF($A449="","",IF(COUNTIF($A$14:$A449,$A449)=1,COUNTIF($AI$13:AI448,"&gt;0")+1,""))</f>
        <v/>
      </c>
      <c r="AO449" s="27">
        <f>IF($A449="","",IF(AND(COUNTIFS($A$14:$A$1213,$A449,$F$14:$F$1213,"&gt;=0")=2,IFERROR(INDEX($M$14:$M$313,MATCH($A449,$H$14:$H$313,0)),"Yes")&lt;&gt;"Yes"),1,0))</f>
        <v/>
      </c>
    </row>
    <row r="450">
      <c r="A450" s="19" t="n"/>
      <c r="B450" s="20" t="n"/>
      <c r="C450" s="21">
        <f>IFERROR(AVERAGE(P450:T450),"")</f>
        <v/>
      </c>
      <c r="D450" s="29" t="n"/>
      <c r="E450" s="29" t="n"/>
      <c r="F450" s="30">
        <f>IF(AND(ISNUMBER($D450),ISNUMBER($E450),$E450&gt;0,$D450&lt;=$E450),$D450/$E450,"")</f>
        <v/>
      </c>
      <c r="P450" s="26" t="n"/>
      <c r="Q450" s="26" t="n"/>
      <c r="R450" s="26" t="n"/>
      <c r="S450" s="26" t="n"/>
      <c r="T450" s="26" t="n"/>
      <c r="V450" s="27">
        <f>IF(ISNUMBER($C450),COUNTIFS($A$14:$A$1213,$A450,$C$14:$C$1213,"&gt;"&amp;$C450)+(COUNTIFS($A$14:$A$1213,$A450,$C$14:$C$1213,"="&amp;$C450)+1)/2,"")</f>
        <v/>
      </c>
      <c r="W450" s="27">
        <f>IF(ISNUMBER($F450),COUNTIFS($A$14:$A$1213,$A450,$F$14:$F$1213,"&gt;"&amp;$F450)+(COUNTIFS($A$14:$A$1213,$A450,$F$14:$F$1213,"="&amp;$F450)+1)/2,"")</f>
        <v/>
      </c>
      <c r="X450" s="27">
        <f>IF(OR(NOT(ISNUMBER($V450)),$AO450=1),"",$V450-(COUNTIFS($A$14:$A$1213,$A450,$C$14:$C$1213,"&gt;=0")+1)/2)</f>
        <v/>
      </c>
      <c r="Y450" s="27">
        <f>IF(OR(NOT(ISNUMBER($W450)),$AO450=1),"",$W450-(COUNTIFS($A$14:$A$1213,$A450,$F$14:$F$1213,"&gt;=0")+1)/2)</f>
        <v/>
      </c>
      <c r="Z450" s="27">
        <f>IF(ISNUMBER($V450),$A450&amp;"|"&amp;$V450,"")</f>
        <v/>
      </c>
      <c r="AA450" s="27">
        <f>IF(ISNUMBER($W450),$A450&amp;"|"&amp;$W450,"")</f>
        <v/>
      </c>
      <c r="AB450" s="27">
        <f>IF(ISNUMBER($F450),$A450&amp;"|"&amp;$F450,"")</f>
        <v/>
      </c>
      <c r="AC450" s="27">
        <f>IF(ISNUMBER($P450),COUNTIFS($A$14:$A$1213,$A450,$P$14:$P$1213,"&gt;"&amp;$P450)+(COUNTIFS($A$14:$A$1213,$A450,$P$14:$P$1213,"="&amp;$P450)+1)/2,"")</f>
        <v/>
      </c>
      <c r="AD450" s="27">
        <f>IF(ISNUMBER($Q450),COUNTIFS($A$14:$A$1213,$A450,$Q$14:$Q$1213,"&gt;"&amp;$Q450)+(COUNTIFS($A$14:$A$1213,$A450,$Q$14:$Q$1213,"="&amp;$Q450)+1)/2,"")</f>
        <v/>
      </c>
      <c r="AE450" s="27">
        <f>IF(ISNUMBER($R450),COUNTIFS($A$14:$A$1213,$A450,$R$14:$R$1213,"&gt;"&amp;$R450)+(COUNTIFS($A$14:$A$1213,$A450,$R$14:$R$1213,"="&amp;$R450)+1)/2,"")</f>
        <v/>
      </c>
      <c r="AF450" s="27">
        <f>IF(ISNUMBER($S450),COUNTIFS($A$14:$A$1213,$A450,$S$14:$S$1213,"&gt;"&amp;$S450)+(COUNTIFS($A$14:$A$1213,$A450,$S$14:$S$1213,"="&amp;$S450)+1)/2,"")</f>
        <v/>
      </c>
      <c r="AG450" s="27">
        <f>IF(ISNUMBER($T450),COUNTIFS($A$14:$A$1213,$A450,$T$14:$T$1213,"&gt;"&amp;$T450)+(COUNTIFS($A$14:$A$1213,$A450,$T$14:$T$1213,"="&amp;$T450)+1)/2,"")</f>
        <v/>
      </c>
      <c r="AH450" s="27">
        <f>IF(COUNT($AC450:$AG450)&lt;2,"",IF(MAX($AC450:$AG450)=MIN($AC450:$AG450),0,1))</f>
        <v/>
      </c>
      <c r="AI450" s="27">
        <f>IF($A450="","",IF(COUNTIF($A$14:$A450,$A450)=1,COUNTIF($AI$13:AI449,"&gt;0")+1,""))</f>
        <v/>
      </c>
      <c r="AO450" s="27">
        <f>IF($A450="","",IF(AND(COUNTIFS($A$14:$A$1213,$A450,$F$14:$F$1213,"&gt;=0")=2,IFERROR(INDEX($M$14:$M$313,MATCH($A450,$H$14:$H$313,0)),"Yes")&lt;&gt;"Yes"),1,0))</f>
        <v/>
      </c>
    </row>
    <row r="451">
      <c r="A451" s="19" t="n"/>
      <c r="B451" s="20" t="n"/>
      <c r="C451" s="21">
        <f>IFERROR(AVERAGE(P451:T451),"")</f>
        <v/>
      </c>
      <c r="D451" s="29" t="n"/>
      <c r="E451" s="29" t="n"/>
      <c r="F451" s="30">
        <f>IF(AND(ISNUMBER($D451),ISNUMBER($E451),$E451&gt;0,$D451&lt;=$E451),$D451/$E451,"")</f>
        <v/>
      </c>
      <c r="P451" s="26" t="n"/>
      <c r="Q451" s="26" t="n"/>
      <c r="R451" s="26" t="n"/>
      <c r="S451" s="26" t="n"/>
      <c r="T451" s="26" t="n"/>
      <c r="V451" s="27">
        <f>IF(ISNUMBER($C451),COUNTIFS($A$14:$A$1213,$A451,$C$14:$C$1213,"&gt;"&amp;$C451)+(COUNTIFS($A$14:$A$1213,$A451,$C$14:$C$1213,"="&amp;$C451)+1)/2,"")</f>
        <v/>
      </c>
      <c r="W451" s="27">
        <f>IF(ISNUMBER($F451),COUNTIFS($A$14:$A$1213,$A451,$F$14:$F$1213,"&gt;"&amp;$F451)+(COUNTIFS($A$14:$A$1213,$A451,$F$14:$F$1213,"="&amp;$F451)+1)/2,"")</f>
        <v/>
      </c>
      <c r="X451" s="27">
        <f>IF(OR(NOT(ISNUMBER($V451)),$AO451=1),"",$V451-(COUNTIFS($A$14:$A$1213,$A451,$C$14:$C$1213,"&gt;=0")+1)/2)</f>
        <v/>
      </c>
      <c r="Y451" s="27">
        <f>IF(OR(NOT(ISNUMBER($W451)),$AO451=1),"",$W451-(COUNTIFS($A$14:$A$1213,$A451,$F$14:$F$1213,"&gt;=0")+1)/2)</f>
        <v/>
      </c>
      <c r="Z451" s="27">
        <f>IF(ISNUMBER($V451),$A451&amp;"|"&amp;$V451,"")</f>
        <v/>
      </c>
      <c r="AA451" s="27">
        <f>IF(ISNUMBER($W451),$A451&amp;"|"&amp;$W451,"")</f>
        <v/>
      </c>
      <c r="AB451" s="27">
        <f>IF(ISNUMBER($F451),$A451&amp;"|"&amp;$F451,"")</f>
        <v/>
      </c>
      <c r="AC451" s="27">
        <f>IF(ISNUMBER($P451),COUNTIFS($A$14:$A$1213,$A451,$P$14:$P$1213,"&gt;"&amp;$P451)+(COUNTIFS($A$14:$A$1213,$A451,$P$14:$P$1213,"="&amp;$P451)+1)/2,"")</f>
        <v/>
      </c>
      <c r="AD451" s="27">
        <f>IF(ISNUMBER($Q451),COUNTIFS($A$14:$A$1213,$A451,$Q$14:$Q$1213,"&gt;"&amp;$Q451)+(COUNTIFS($A$14:$A$1213,$A451,$Q$14:$Q$1213,"="&amp;$Q451)+1)/2,"")</f>
        <v/>
      </c>
      <c r="AE451" s="27">
        <f>IF(ISNUMBER($R451),COUNTIFS($A$14:$A$1213,$A451,$R$14:$R$1213,"&gt;"&amp;$R451)+(COUNTIFS($A$14:$A$1213,$A451,$R$14:$R$1213,"="&amp;$R451)+1)/2,"")</f>
        <v/>
      </c>
      <c r="AF451" s="27">
        <f>IF(ISNUMBER($S451),COUNTIFS($A$14:$A$1213,$A451,$S$14:$S$1213,"&gt;"&amp;$S451)+(COUNTIFS($A$14:$A$1213,$A451,$S$14:$S$1213,"="&amp;$S451)+1)/2,"")</f>
        <v/>
      </c>
      <c r="AG451" s="27">
        <f>IF(ISNUMBER($T451),COUNTIFS($A$14:$A$1213,$A451,$T$14:$T$1213,"&gt;"&amp;$T451)+(COUNTIFS($A$14:$A$1213,$A451,$T$14:$T$1213,"="&amp;$T451)+1)/2,"")</f>
        <v/>
      </c>
      <c r="AH451" s="27">
        <f>IF(COUNT($AC451:$AG451)&lt;2,"",IF(MAX($AC451:$AG451)=MIN($AC451:$AG451),0,1))</f>
        <v/>
      </c>
      <c r="AI451" s="27">
        <f>IF($A451="","",IF(COUNTIF($A$14:$A451,$A451)=1,COUNTIF($AI$13:AI450,"&gt;0")+1,""))</f>
        <v/>
      </c>
      <c r="AO451" s="27">
        <f>IF($A451="","",IF(AND(COUNTIFS($A$14:$A$1213,$A451,$F$14:$F$1213,"&gt;=0")=2,IFERROR(INDEX($M$14:$M$313,MATCH($A451,$H$14:$H$313,0)),"Yes")&lt;&gt;"Yes"),1,0))</f>
        <v/>
      </c>
    </row>
    <row r="452">
      <c r="A452" s="19" t="n"/>
      <c r="B452" s="20" t="n"/>
      <c r="C452" s="21">
        <f>IFERROR(AVERAGE(P452:T452),"")</f>
        <v/>
      </c>
      <c r="D452" s="29" t="n"/>
      <c r="E452" s="29" t="n"/>
      <c r="F452" s="30">
        <f>IF(AND(ISNUMBER($D452),ISNUMBER($E452),$E452&gt;0,$D452&lt;=$E452),$D452/$E452,"")</f>
        <v/>
      </c>
      <c r="P452" s="26" t="n"/>
      <c r="Q452" s="26" t="n"/>
      <c r="R452" s="26" t="n"/>
      <c r="S452" s="26" t="n"/>
      <c r="T452" s="26" t="n"/>
      <c r="V452" s="27">
        <f>IF(ISNUMBER($C452),COUNTIFS($A$14:$A$1213,$A452,$C$14:$C$1213,"&gt;"&amp;$C452)+(COUNTIFS($A$14:$A$1213,$A452,$C$14:$C$1213,"="&amp;$C452)+1)/2,"")</f>
        <v/>
      </c>
      <c r="W452" s="27">
        <f>IF(ISNUMBER($F452),COUNTIFS($A$14:$A$1213,$A452,$F$14:$F$1213,"&gt;"&amp;$F452)+(COUNTIFS($A$14:$A$1213,$A452,$F$14:$F$1213,"="&amp;$F452)+1)/2,"")</f>
        <v/>
      </c>
      <c r="X452" s="27">
        <f>IF(OR(NOT(ISNUMBER($V452)),$AO452=1),"",$V452-(COUNTIFS($A$14:$A$1213,$A452,$C$14:$C$1213,"&gt;=0")+1)/2)</f>
        <v/>
      </c>
      <c r="Y452" s="27">
        <f>IF(OR(NOT(ISNUMBER($W452)),$AO452=1),"",$W452-(COUNTIFS($A$14:$A$1213,$A452,$F$14:$F$1213,"&gt;=0")+1)/2)</f>
        <v/>
      </c>
      <c r="Z452" s="27">
        <f>IF(ISNUMBER($V452),$A452&amp;"|"&amp;$V452,"")</f>
        <v/>
      </c>
      <c r="AA452" s="27">
        <f>IF(ISNUMBER($W452),$A452&amp;"|"&amp;$W452,"")</f>
        <v/>
      </c>
      <c r="AB452" s="27">
        <f>IF(ISNUMBER($F452),$A452&amp;"|"&amp;$F452,"")</f>
        <v/>
      </c>
      <c r="AC452" s="27">
        <f>IF(ISNUMBER($P452),COUNTIFS($A$14:$A$1213,$A452,$P$14:$P$1213,"&gt;"&amp;$P452)+(COUNTIFS($A$14:$A$1213,$A452,$P$14:$P$1213,"="&amp;$P452)+1)/2,"")</f>
        <v/>
      </c>
      <c r="AD452" s="27">
        <f>IF(ISNUMBER($Q452),COUNTIFS($A$14:$A$1213,$A452,$Q$14:$Q$1213,"&gt;"&amp;$Q452)+(COUNTIFS($A$14:$A$1213,$A452,$Q$14:$Q$1213,"="&amp;$Q452)+1)/2,"")</f>
        <v/>
      </c>
      <c r="AE452" s="27">
        <f>IF(ISNUMBER($R452),COUNTIFS($A$14:$A$1213,$A452,$R$14:$R$1213,"&gt;"&amp;$R452)+(COUNTIFS($A$14:$A$1213,$A452,$R$14:$R$1213,"="&amp;$R452)+1)/2,"")</f>
        <v/>
      </c>
      <c r="AF452" s="27">
        <f>IF(ISNUMBER($S452),COUNTIFS($A$14:$A$1213,$A452,$S$14:$S$1213,"&gt;"&amp;$S452)+(COUNTIFS($A$14:$A$1213,$A452,$S$14:$S$1213,"="&amp;$S452)+1)/2,"")</f>
        <v/>
      </c>
      <c r="AG452" s="27">
        <f>IF(ISNUMBER($T452),COUNTIFS($A$14:$A$1213,$A452,$T$14:$T$1213,"&gt;"&amp;$T452)+(COUNTIFS($A$14:$A$1213,$A452,$T$14:$T$1213,"="&amp;$T452)+1)/2,"")</f>
        <v/>
      </c>
      <c r="AH452" s="27">
        <f>IF(COUNT($AC452:$AG452)&lt;2,"",IF(MAX($AC452:$AG452)=MIN($AC452:$AG452),0,1))</f>
        <v/>
      </c>
      <c r="AI452" s="27">
        <f>IF($A452="","",IF(COUNTIF($A$14:$A452,$A452)=1,COUNTIF($AI$13:AI451,"&gt;0")+1,""))</f>
        <v/>
      </c>
      <c r="AO452" s="27">
        <f>IF($A452="","",IF(AND(COUNTIFS($A$14:$A$1213,$A452,$F$14:$F$1213,"&gt;=0")=2,IFERROR(INDEX($M$14:$M$313,MATCH($A452,$H$14:$H$313,0)),"Yes")&lt;&gt;"Yes"),1,0))</f>
        <v/>
      </c>
    </row>
    <row r="453">
      <c r="A453" s="19" t="n"/>
      <c r="B453" s="20" t="n"/>
      <c r="C453" s="21">
        <f>IFERROR(AVERAGE(P453:T453),"")</f>
        <v/>
      </c>
      <c r="D453" s="29" t="n"/>
      <c r="E453" s="29" t="n"/>
      <c r="F453" s="30">
        <f>IF(AND(ISNUMBER($D453),ISNUMBER($E453),$E453&gt;0,$D453&lt;=$E453),$D453/$E453,"")</f>
        <v/>
      </c>
      <c r="P453" s="26" t="n"/>
      <c r="Q453" s="26" t="n"/>
      <c r="R453" s="26" t="n"/>
      <c r="S453" s="26" t="n"/>
      <c r="T453" s="26" t="n"/>
      <c r="V453" s="27">
        <f>IF(ISNUMBER($C453),COUNTIFS($A$14:$A$1213,$A453,$C$14:$C$1213,"&gt;"&amp;$C453)+(COUNTIFS($A$14:$A$1213,$A453,$C$14:$C$1213,"="&amp;$C453)+1)/2,"")</f>
        <v/>
      </c>
      <c r="W453" s="27">
        <f>IF(ISNUMBER($F453),COUNTIFS($A$14:$A$1213,$A453,$F$14:$F$1213,"&gt;"&amp;$F453)+(COUNTIFS($A$14:$A$1213,$A453,$F$14:$F$1213,"="&amp;$F453)+1)/2,"")</f>
        <v/>
      </c>
      <c r="X453" s="27">
        <f>IF(OR(NOT(ISNUMBER($V453)),$AO453=1),"",$V453-(COUNTIFS($A$14:$A$1213,$A453,$C$14:$C$1213,"&gt;=0")+1)/2)</f>
        <v/>
      </c>
      <c r="Y453" s="27">
        <f>IF(OR(NOT(ISNUMBER($W453)),$AO453=1),"",$W453-(COUNTIFS($A$14:$A$1213,$A453,$F$14:$F$1213,"&gt;=0")+1)/2)</f>
        <v/>
      </c>
      <c r="Z453" s="27">
        <f>IF(ISNUMBER($V453),$A453&amp;"|"&amp;$V453,"")</f>
        <v/>
      </c>
      <c r="AA453" s="27">
        <f>IF(ISNUMBER($W453),$A453&amp;"|"&amp;$W453,"")</f>
        <v/>
      </c>
      <c r="AB453" s="27">
        <f>IF(ISNUMBER($F453),$A453&amp;"|"&amp;$F453,"")</f>
        <v/>
      </c>
      <c r="AC453" s="27">
        <f>IF(ISNUMBER($P453),COUNTIFS($A$14:$A$1213,$A453,$P$14:$P$1213,"&gt;"&amp;$P453)+(COUNTIFS($A$14:$A$1213,$A453,$P$14:$P$1213,"="&amp;$P453)+1)/2,"")</f>
        <v/>
      </c>
      <c r="AD453" s="27">
        <f>IF(ISNUMBER($Q453),COUNTIFS($A$14:$A$1213,$A453,$Q$14:$Q$1213,"&gt;"&amp;$Q453)+(COUNTIFS($A$14:$A$1213,$A453,$Q$14:$Q$1213,"="&amp;$Q453)+1)/2,"")</f>
        <v/>
      </c>
      <c r="AE453" s="27">
        <f>IF(ISNUMBER($R453),COUNTIFS($A$14:$A$1213,$A453,$R$14:$R$1213,"&gt;"&amp;$R453)+(COUNTIFS($A$14:$A$1213,$A453,$R$14:$R$1213,"="&amp;$R453)+1)/2,"")</f>
        <v/>
      </c>
      <c r="AF453" s="27">
        <f>IF(ISNUMBER($S453),COUNTIFS($A$14:$A$1213,$A453,$S$14:$S$1213,"&gt;"&amp;$S453)+(COUNTIFS($A$14:$A$1213,$A453,$S$14:$S$1213,"="&amp;$S453)+1)/2,"")</f>
        <v/>
      </c>
      <c r="AG453" s="27">
        <f>IF(ISNUMBER($T453),COUNTIFS($A$14:$A$1213,$A453,$T$14:$T$1213,"&gt;"&amp;$T453)+(COUNTIFS($A$14:$A$1213,$A453,$T$14:$T$1213,"="&amp;$T453)+1)/2,"")</f>
        <v/>
      </c>
      <c r="AH453" s="27">
        <f>IF(COUNT($AC453:$AG453)&lt;2,"",IF(MAX($AC453:$AG453)=MIN($AC453:$AG453),0,1))</f>
        <v/>
      </c>
      <c r="AI453" s="27">
        <f>IF($A453="","",IF(COUNTIF($A$14:$A453,$A453)=1,COUNTIF($AI$13:AI452,"&gt;0")+1,""))</f>
        <v/>
      </c>
      <c r="AO453" s="27">
        <f>IF($A453="","",IF(AND(COUNTIFS($A$14:$A$1213,$A453,$F$14:$F$1213,"&gt;=0")=2,IFERROR(INDEX($M$14:$M$313,MATCH($A453,$H$14:$H$313,0)),"Yes")&lt;&gt;"Yes"),1,0))</f>
        <v/>
      </c>
    </row>
    <row r="454">
      <c r="A454" s="19" t="n"/>
      <c r="B454" s="20" t="n"/>
      <c r="C454" s="21">
        <f>IFERROR(AVERAGE(P454:T454),"")</f>
        <v/>
      </c>
      <c r="D454" s="29" t="n"/>
      <c r="E454" s="29" t="n"/>
      <c r="F454" s="30">
        <f>IF(AND(ISNUMBER($D454),ISNUMBER($E454),$E454&gt;0,$D454&lt;=$E454),$D454/$E454,"")</f>
        <v/>
      </c>
      <c r="P454" s="26" t="n"/>
      <c r="Q454" s="26" t="n"/>
      <c r="R454" s="26" t="n"/>
      <c r="S454" s="26" t="n"/>
      <c r="T454" s="26" t="n"/>
      <c r="V454" s="27">
        <f>IF(ISNUMBER($C454),COUNTIFS($A$14:$A$1213,$A454,$C$14:$C$1213,"&gt;"&amp;$C454)+(COUNTIFS($A$14:$A$1213,$A454,$C$14:$C$1213,"="&amp;$C454)+1)/2,"")</f>
        <v/>
      </c>
      <c r="W454" s="27">
        <f>IF(ISNUMBER($F454),COUNTIFS($A$14:$A$1213,$A454,$F$14:$F$1213,"&gt;"&amp;$F454)+(COUNTIFS($A$14:$A$1213,$A454,$F$14:$F$1213,"="&amp;$F454)+1)/2,"")</f>
        <v/>
      </c>
      <c r="X454" s="27">
        <f>IF(OR(NOT(ISNUMBER($V454)),$AO454=1),"",$V454-(COUNTIFS($A$14:$A$1213,$A454,$C$14:$C$1213,"&gt;=0")+1)/2)</f>
        <v/>
      </c>
      <c r="Y454" s="27">
        <f>IF(OR(NOT(ISNUMBER($W454)),$AO454=1),"",$W454-(COUNTIFS($A$14:$A$1213,$A454,$F$14:$F$1213,"&gt;=0")+1)/2)</f>
        <v/>
      </c>
      <c r="Z454" s="27">
        <f>IF(ISNUMBER($V454),$A454&amp;"|"&amp;$V454,"")</f>
        <v/>
      </c>
      <c r="AA454" s="27">
        <f>IF(ISNUMBER($W454),$A454&amp;"|"&amp;$W454,"")</f>
        <v/>
      </c>
      <c r="AB454" s="27">
        <f>IF(ISNUMBER($F454),$A454&amp;"|"&amp;$F454,"")</f>
        <v/>
      </c>
      <c r="AC454" s="27">
        <f>IF(ISNUMBER($P454),COUNTIFS($A$14:$A$1213,$A454,$P$14:$P$1213,"&gt;"&amp;$P454)+(COUNTIFS($A$14:$A$1213,$A454,$P$14:$P$1213,"="&amp;$P454)+1)/2,"")</f>
        <v/>
      </c>
      <c r="AD454" s="27">
        <f>IF(ISNUMBER($Q454),COUNTIFS($A$14:$A$1213,$A454,$Q$14:$Q$1213,"&gt;"&amp;$Q454)+(COUNTIFS($A$14:$A$1213,$A454,$Q$14:$Q$1213,"="&amp;$Q454)+1)/2,"")</f>
        <v/>
      </c>
      <c r="AE454" s="27">
        <f>IF(ISNUMBER($R454),COUNTIFS($A$14:$A$1213,$A454,$R$14:$R$1213,"&gt;"&amp;$R454)+(COUNTIFS($A$14:$A$1213,$A454,$R$14:$R$1213,"="&amp;$R454)+1)/2,"")</f>
        <v/>
      </c>
      <c r="AF454" s="27">
        <f>IF(ISNUMBER($S454),COUNTIFS($A$14:$A$1213,$A454,$S$14:$S$1213,"&gt;"&amp;$S454)+(COUNTIFS($A$14:$A$1213,$A454,$S$14:$S$1213,"="&amp;$S454)+1)/2,"")</f>
        <v/>
      </c>
      <c r="AG454" s="27">
        <f>IF(ISNUMBER($T454),COUNTIFS($A$14:$A$1213,$A454,$T$14:$T$1213,"&gt;"&amp;$T454)+(COUNTIFS($A$14:$A$1213,$A454,$T$14:$T$1213,"="&amp;$T454)+1)/2,"")</f>
        <v/>
      </c>
      <c r="AH454" s="27">
        <f>IF(COUNT($AC454:$AG454)&lt;2,"",IF(MAX($AC454:$AG454)=MIN($AC454:$AG454),0,1))</f>
        <v/>
      </c>
      <c r="AI454" s="27">
        <f>IF($A454="","",IF(COUNTIF($A$14:$A454,$A454)=1,COUNTIF($AI$13:AI453,"&gt;0")+1,""))</f>
        <v/>
      </c>
      <c r="AO454" s="27">
        <f>IF($A454="","",IF(AND(COUNTIFS($A$14:$A$1213,$A454,$F$14:$F$1213,"&gt;=0")=2,IFERROR(INDEX($M$14:$M$313,MATCH($A454,$H$14:$H$313,0)),"Yes")&lt;&gt;"Yes"),1,0))</f>
        <v/>
      </c>
    </row>
    <row r="455">
      <c r="A455" s="19" t="n"/>
      <c r="B455" s="20" t="n"/>
      <c r="C455" s="21">
        <f>IFERROR(AVERAGE(P455:T455),"")</f>
        <v/>
      </c>
      <c r="D455" s="29" t="n"/>
      <c r="E455" s="29" t="n"/>
      <c r="F455" s="30">
        <f>IF(AND(ISNUMBER($D455),ISNUMBER($E455),$E455&gt;0,$D455&lt;=$E455),$D455/$E455,"")</f>
        <v/>
      </c>
      <c r="P455" s="26" t="n"/>
      <c r="Q455" s="26" t="n"/>
      <c r="R455" s="26" t="n"/>
      <c r="S455" s="26" t="n"/>
      <c r="T455" s="26" t="n"/>
      <c r="V455" s="27">
        <f>IF(ISNUMBER($C455),COUNTIFS($A$14:$A$1213,$A455,$C$14:$C$1213,"&gt;"&amp;$C455)+(COUNTIFS($A$14:$A$1213,$A455,$C$14:$C$1213,"="&amp;$C455)+1)/2,"")</f>
        <v/>
      </c>
      <c r="W455" s="27">
        <f>IF(ISNUMBER($F455),COUNTIFS($A$14:$A$1213,$A455,$F$14:$F$1213,"&gt;"&amp;$F455)+(COUNTIFS($A$14:$A$1213,$A455,$F$14:$F$1213,"="&amp;$F455)+1)/2,"")</f>
        <v/>
      </c>
      <c r="X455" s="27">
        <f>IF(OR(NOT(ISNUMBER($V455)),$AO455=1),"",$V455-(COUNTIFS($A$14:$A$1213,$A455,$C$14:$C$1213,"&gt;=0")+1)/2)</f>
        <v/>
      </c>
      <c r="Y455" s="27">
        <f>IF(OR(NOT(ISNUMBER($W455)),$AO455=1),"",$W455-(COUNTIFS($A$14:$A$1213,$A455,$F$14:$F$1213,"&gt;=0")+1)/2)</f>
        <v/>
      </c>
      <c r="Z455" s="27">
        <f>IF(ISNUMBER($V455),$A455&amp;"|"&amp;$V455,"")</f>
        <v/>
      </c>
      <c r="AA455" s="27">
        <f>IF(ISNUMBER($W455),$A455&amp;"|"&amp;$W455,"")</f>
        <v/>
      </c>
      <c r="AB455" s="27">
        <f>IF(ISNUMBER($F455),$A455&amp;"|"&amp;$F455,"")</f>
        <v/>
      </c>
      <c r="AC455" s="27">
        <f>IF(ISNUMBER($P455),COUNTIFS($A$14:$A$1213,$A455,$P$14:$P$1213,"&gt;"&amp;$P455)+(COUNTIFS($A$14:$A$1213,$A455,$P$14:$P$1213,"="&amp;$P455)+1)/2,"")</f>
        <v/>
      </c>
      <c r="AD455" s="27">
        <f>IF(ISNUMBER($Q455),COUNTIFS($A$14:$A$1213,$A455,$Q$14:$Q$1213,"&gt;"&amp;$Q455)+(COUNTIFS($A$14:$A$1213,$A455,$Q$14:$Q$1213,"="&amp;$Q455)+1)/2,"")</f>
        <v/>
      </c>
      <c r="AE455" s="27">
        <f>IF(ISNUMBER($R455),COUNTIFS($A$14:$A$1213,$A455,$R$14:$R$1213,"&gt;"&amp;$R455)+(COUNTIFS($A$14:$A$1213,$A455,$R$14:$R$1213,"="&amp;$R455)+1)/2,"")</f>
        <v/>
      </c>
      <c r="AF455" s="27">
        <f>IF(ISNUMBER($S455),COUNTIFS($A$14:$A$1213,$A455,$S$14:$S$1213,"&gt;"&amp;$S455)+(COUNTIFS($A$14:$A$1213,$A455,$S$14:$S$1213,"="&amp;$S455)+1)/2,"")</f>
        <v/>
      </c>
      <c r="AG455" s="27">
        <f>IF(ISNUMBER($T455),COUNTIFS($A$14:$A$1213,$A455,$T$14:$T$1213,"&gt;"&amp;$T455)+(COUNTIFS($A$14:$A$1213,$A455,$T$14:$T$1213,"="&amp;$T455)+1)/2,"")</f>
        <v/>
      </c>
      <c r="AH455" s="27">
        <f>IF(COUNT($AC455:$AG455)&lt;2,"",IF(MAX($AC455:$AG455)=MIN($AC455:$AG455),0,1))</f>
        <v/>
      </c>
      <c r="AI455" s="27">
        <f>IF($A455="","",IF(COUNTIF($A$14:$A455,$A455)=1,COUNTIF($AI$13:AI454,"&gt;0")+1,""))</f>
        <v/>
      </c>
      <c r="AO455" s="27">
        <f>IF($A455="","",IF(AND(COUNTIFS($A$14:$A$1213,$A455,$F$14:$F$1213,"&gt;=0")=2,IFERROR(INDEX($M$14:$M$313,MATCH($A455,$H$14:$H$313,0)),"Yes")&lt;&gt;"Yes"),1,0))</f>
        <v/>
      </c>
    </row>
    <row r="456">
      <c r="A456" s="19" t="n"/>
      <c r="B456" s="20" t="n"/>
      <c r="C456" s="21">
        <f>IFERROR(AVERAGE(P456:T456),"")</f>
        <v/>
      </c>
      <c r="D456" s="29" t="n"/>
      <c r="E456" s="29" t="n"/>
      <c r="F456" s="30">
        <f>IF(AND(ISNUMBER($D456),ISNUMBER($E456),$E456&gt;0,$D456&lt;=$E456),$D456/$E456,"")</f>
        <v/>
      </c>
      <c r="P456" s="26" t="n"/>
      <c r="Q456" s="26" t="n"/>
      <c r="R456" s="26" t="n"/>
      <c r="S456" s="26" t="n"/>
      <c r="T456" s="26" t="n"/>
      <c r="V456" s="27">
        <f>IF(ISNUMBER($C456),COUNTIFS($A$14:$A$1213,$A456,$C$14:$C$1213,"&gt;"&amp;$C456)+(COUNTIFS($A$14:$A$1213,$A456,$C$14:$C$1213,"="&amp;$C456)+1)/2,"")</f>
        <v/>
      </c>
      <c r="W456" s="27">
        <f>IF(ISNUMBER($F456),COUNTIFS($A$14:$A$1213,$A456,$F$14:$F$1213,"&gt;"&amp;$F456)+(COUNTIFS($A$14:$A$1213,$A456,$F$14:$F$1213,"="&amp;$F456)+1)/2,"")</f>
        <v/>
      </c>
      <c r="X456" s="27">
        <f>IF(OR(NOT(ISNUMBER($V456)),$AO456=1),"",$V456-(COUNTIFS($A$14:$A$1213,$A456,$C$14:$C$1213,"&gt;=0")+1)/2)</f>
        <v/>
      </c>
      <c r="Y456" s="27">
        <f>IF(OR(NOT(ISNUMBER($W456)),$AO456=1),"",$W456-(COUNTIFS($A$14:$A$1213,$A456,$F$14:$F$1213,"&gt;=0")+1)/2)</f>
        <v/>
      </c>
      <c r="Z456" s="27">
        <f>IF(ISNUMBER($V456),$A456&amp;"|"&amp;$V456,"")</f>
        <v/>
      </c>
      <c r="AA456" s="27">
        <f>IF(ISNUMBER($W456),$A456&amp;"|"&amp;$W456,"")</f>
        <v/>
      </c>
      <c r="AB456" s="27">
        <f>IF(ISNUMBER($F456),$A456&amp;"|"&amp;$F456,"")</f>
        <v/>
      </c>
      <c r="AC456" s="27">
        <f>IF(ISNUMBER($P456),COUNTIFS($A$14:$A$1213,$A456,$P$14:$P$1213,"&gt;"&amp;$P456)+(COUNTIFS($A$14:$A$1213,$A456,$P$14:$P$1213,"="&amp;$P456)+1)/2,"")</f>
        <v/>
      </c>
      <c r="AD456" s="27">
        <f>IF(ISNUMBER($Q456),COUNTIFS($A$14:$A$1213,$A456,$Q$14:$Q$1213,"&gt;"&amp;$Q456)+(COUNTIFS($A$14:$A$1213,$A456,$Q$14:$Q$1213,"="&amp;$Q456)+1)/2,"")</f>
        <v/>
      </c>
      <c r="AE456" s="27">
        <f>IF(ISNUMBER($R456),COUNTIFS($A$14:$A$1213,$A456,$R$14:$R$1213,"&gt;"&amp;$R456)+(COUNTIFS($A$14:$A$1213,$A456,$R$14:$R$1213,"="&amp;$R456)+1)/2,"")</f>
        <v/>
      </c>
      <c r="AF456" s="27">
        <f>IF(ISNUMBER($S456),COUNTIFS($A$14:$A$1213,$A456,$S$14:$S$1213,"&gt;"&amp;$S456)+(COUNTIFS($A$14:$A$1213,$A456,$S$14:$S$1213,"="&amp;$S456)+1)/2,"")</f>
        <v/>
      </c>
      <c r="AG456" s="27">
        <f>IF(ISNUMBER($T456),COUNTIFS($A$14:$A$1213,$A456,$T$14:$T$1213,"&gt;"&amp;$T456)+(COUNTIFS($A$14:$A$1213,$A456,$T$14:$T$1213,"="&amp;$T456)+1)/2,"")</f>
        <v/>
      </c>
      <c r="AH456" s="27">
        <f>IF(COUNT($AC456:$AG456)&lt;2,"",IF(MAX($AC456:$AG456)=MIN($AC456:$AG456),0,1))</f>
        <v/>
      </c>
      <c r="AI456" s="27">
        <f>IF($A456="","",IF(COUNTIF($A$14:$A456,$A456)=1,COUNTIF($AI$13:AI455,"&gt;0")+1,""))</f>
        <v/>
      </c>
      <c r="AO456" s="27">
        <f>IF($A456="","",IF(AND(COUNTIFS($A$14:$A$1213,$A456,$F$14:$F$1213,"&gt;=0")=2,IFERROR(INDEX($M$14:$M$313,MATCH($A456,$H$14:$H$313,0)),"Yes")&lt;&gt;"Yes"),1,0))</f>
        <v/>
      </c>
    </row>
    <row r="457">
      <c r="A457" s="19" t="n"/>
      <c r="B457" s="20" t="n"/>
      <c r="C457" s="21">
        <f>IFERROR(AVERAGE(P457:T457),"")</f>
        <v/>
      </c>
      <c r="D457" s="29" t="n"/>
      <c r="E457" s="29" t="n"/>
      <c r="F457" s="30">
        <f>IF(AND(ISNUMBER($D457),ISNUMBER($E457),$E457&gt;0,$D457&lt;=$E457),$D457/$E457,"")</f>
        <v/>
      </c>
      <c r="P457" s="26" t="n"/>
      <c r="Q457" s="26" t="n"/>
      <c r="R457" s="26" t="n"/>
      <c r="S457" s="26" t="n"/>
      <c r="T457" s="26" t="n"/>
      <c r="V457" s="27">
        <f>IF(ISNUMBER($C457),COUNTIFS($A$14:$A$1213,$A457,$C$14:$C$1213,"&gt;"&amp;$C457)+(COUNTIFS($A$14:$A$1213,$A457,$C$14:$C$1213,"="&amp;$C457)+1)/2,"")</f>
        <v/>
      </c>
      <c r="W457" s="27">
        <f>IF(ISNUMBER($F457),COUNTIFS($A$14:$A$1213,$A457,$F$14:$F$1213,"&gt;"&amp;$F457)+(COUNTIFS($A$14:$A$1213,$A457,$F$14:$F$1213,"="&amp;$F457)+1)/2,"")</f>
        <v/>
      </c>
      <c r="X457" s="27">
        <f>IF(OR(NOT(ISNUMBER($V457)),$AO457=1),"",$V457-(COUNTIFS($A$14:$A$1213,$A457,$C$14:$C$1213,"&gt;=0")+1)/2)</f>
        <v/>
      </c>
      <c r="Y457" s="27">
        <f>IF(OR(NOT(ISNUMBER($W457)),$AO457=1),"",$W457-(COUNTIFS($A$14:$A$1213,$A457,$F$14:$F$1213,"&gt;=0")+1)/2)</f>
        <v/>
      </c>
      <c r="Z457" s="27">
        <f>IF(ISNUMBER($V457),$A457&amp;"|"&amp;$V457,"")</f>
        <v/>
      </c>
      <c r="AA457" s="27">
        <f>IF(ISNUMBER($W457),$A457&amp;"|"&amp;$W457,"")</f>
        <v/>
      </c>
      <c r="AB457" s="27">
        <f>IF(ISNUMBER($F457),$A457&amp;"|"&amp;$F457,"")</f>
        <v/>
      </c>
      <c r="AC457" s="27">
        <f>IF(ISNUMBER($P457),COUNTIFS($A$14:$A$1213,$A457,$P$14:$P$1213,"&gt;"&amp;$P457)+(COUNTIFS($A$14:$A$1213,$A457,$P$14:$P$1213,"="&amp;$P457)+1)/2,"")</f>
        <v/>
      </c>
      <c r="AD457" s="27">
        <f>IF(ISNUMBER($Q457),COUNTIFS($A$14:$A$1213,$A457,$Q$14:$Q$1213,"&gt;"&amp;$Q457)+(COUNTIFS($A$14:$A$1213,$A457,$Q$14:$Q$1213,"="&amp;$Q457)+1)/2,"")</f>
        <v/>
      </c>
      <c r="AE457" s="27">
        <f>IF(ISNUMBER($R457),COUNTIFS($A$14:$A$1213,$A457,$R$14:$R$1213,"&gt;"&amp;$R457)+(COUNTIFS($A$14:$A$1213,$A457,$R$14:$R$1213,"="&amp;$R457)+1)/2,"")</f>
        <v/>
      </c>
      <c r="AF457" s="27">
        <f>IF(ISNUMBER($S457),COUNTIFS($A$14:$A$1213,$A457,$S$14:$S$1213,"&gt;"&amp;$S457)+(COUNTIFS($A$14:$A$1213,$A457,$S$14:$S$1213,"="&amp;$S457)+1)/2,"")</f>
        <v/>
      </c>
      <c r="AG457" s="27">
        <f>IF(ISNUMBER($T457),COUNTIFS($A$14:$A$1213,$A457,$T$14:$T$1213,"&gt;"&amp;$T457)+(COUNTIFS($A$14:$A$1213,$A457,$T$14:$T$1213,"="&amp;$T457)+1)/2,"")</f>
        <v/>
      </c>
      <c r="AH457" s="27">
        <f>IF(COUNT($AC457:$AG457)&lt;2,"",IF(MAX($AC457:$AG457)=MIN($AC457:$AG457),0,1))</f>
        <v/>
      </c>
      <c r="AI457" s="27">
        <f>IF($A457="","",IF(COUNTIF($A$14:$A457,$A457)=1,COUNTIF($AI$13:AI456,"&gt;0")+1,""))</f>
        <v/>
      </c>
      <c r="AO457" s="27">
        <f>IF($A457="","",IF(AND(COUNTIFS($A$14:$A$1213,$A457,$F$14:$F$1213,"&gt;=0")=2,IFERROR(INDEX($M$14:$M$313,MATCH($A457,$H$14:$H$313,0)),"Yes")&lt;&gt;"Yes"),1,0))</f>
        <v/>
      </c>
    </row>
    <row r="458">
      <c r="A458" s="19" t="n"/>
      <c r="B458" s="20" t="n"/>
      <c r="C458" s="21">
        <f>IFERROR(AVERAGE(P458:T458),"")</f>
        <v/>
      </c>
      <c r="D458" s="29" t="n"/>
      <c r="E458" s="29" t="n"/>
      <c r="F458" s="30">
        <f>IF(AND(ISNUMBER($D458),ISNUMBER($E458),$E458&gt;0,$D458&lt;=$E458),$D458/$E458,"")</f>
        <v/>
      </c>
      <c r="P458" s="26" t="n"/>
      <c r="Q458" s="26" t="n"/>
      <c r="R458" s="26" t="n"/>
      <c r="S458" s="26" t="n"/>
      <c r="T458" s="26" t="n"/>
      <c r="V458" s="27">
        <f>IF(ISNUMBER($C458),COUNTIFS($A$14:$A$1213,$A458,$C$14:$C$1213,"&gt;"&amp;$C458)+(COUNTIFS($A$14:$A$1213,$A458,$C$14:$C$1213,"="&amp;$C458)+1)/2,"")</f>
        <v/>
      </c>
      <c r="W458" s="27">
        <f>IF(ISNUMBER($F458),COUNTIFS($A$14:$A$1213,$A458,$F$14:$F$1213,"&gt;"&amp;$F458)+(COUNTIFS($A$14:$A$1213,$A458,$F$14:$F$1213,"="&amp;$F458)+1)/2,"")</f>
        <v/>
      </c>
      <c r="X458" s="27">
        <f>IF(OR(NOT(ISNUMBER($V458)),$AO458=1),"",$V458-(COUNTIFS($A$14:$A$1213,$A458,$C$14:$C$1213,"&gt;=0")+1)/2)</f>
        <v/>
      </c>
      <c r="Y458" s="27">
        <f>IF(OR(NOT(ISNUMBER($W458)),$AO458=1),"",$W458-(COUNTIFS($A$14:$A$1213,$A458,$F$14:$F$1213,"&gt;=0")+1)/2)</f>
        <v/>
      </c>
      <c r="Z458" s="27">
        <f>IF(ISNUMBER($V458),$A458&amp;"|"&amp;$V458,"")</f>
        <v/>
      </c>
      <c r="AA458" s="27">
        <f>IF(ISNUMBER($W458),$A458&amp;"|"&amp;$W458,"")</f>
        <v/>
      </c>
      <c r="AB458" s="27">
        <f>IF(ISNUMBER($F458),$A458&amp;"|"&amp;$F458,"")</f>
        <v/>
      </c>
      <c r="AC458" s="27">
        <f>IF(ISNUMBER($P458),COUNTIFS($A$14:$A$1213,$A458,$P$14:$P$1213,"&gt;"&amp;$P458)+(COUNTIFS($A$14:$A$1213,$A458,$P$14:$P$1213,"="&amp;$P458)+1)/2,"")</f>
        <v/>
      </c>
      <c r="AD458" s="27">
        <f>IF(ISNUMBER($Q458),COUNTIFS($A$14:$A$1213,$A458,$Q$14:$Q$1213,"&gt;"&amp;$Q458)+(COUNTIFS($A$14:$A$1213,$A458,$Q$14:$Q$1213,"="&amp;$Q458)+1)/2,"")</f>
        <v/>
      </c>
      <c r="AE458" s="27">
        <f>IF(ISNUMBER($R458),COUNTIFS($A$14:$A$1213,$A458,$R$14:$R$1213,"&gt;"&amp;$R458)+(COUNTIFS($A$14:$A$1213,$A458,$R$14:$R$1213,"="&amp;$R458)+1)/2,"")</f>
        <v/>
      </c>
      <c r="AF458" s="27">
        <f>IF(ISNUMBER($S458),COUNTIFS($A$14:$A$1213,$A458,$S$14:$S$1213,"&gt;"&amp;$S458)+(COUNTIFS($A$14:$A$1213,$A458,$S$14:$S$1213,"="&amp;$S458)+1)/2,"")</f>
        <v/>
      </c>
      <c r="AG458" s="27">
        <f>IF(ISNUMBER($T458),COUNTIFS($A$14:$A$1213,$A458,$T$14:$T$1213,"&gt;"&amp;$T458)+(COUNTIFS($A$14:$A$1213,$A458,$T$14:$T$1213,"="&amp;$T458)+1)/2,"")</f>
        <v/>
      </c>
      <c r="AH458" s="27">
        <f>IF(COUNT($AC458:$AG458)&lt;2,"",IF(MAX($AC458:$AG458)=MIN($AC458:$AG458),0,1))</f>
        <v/>
      </c>
      <c r="AI458" s="27">
        <f>IF($A458="","",IF(COUNTIF($A$14:$A458,$A458)=1,COUNTIF($AI$13:AI457,"&gt;0")+1,""))</f>
        <v/>
      </c>
      <c r="AO458" s="27">
        <f>IF($A458="","",IF(AND(COUNTIFS($A$14:$A$1213,$A458,$F$14:$F$1213,"&gt;=0")=2,IFERROR(INDEX($M$14:$M$313,MATCH($A458,$H$14:$H$313,0)),"Yes")&lt;&gt;"Yes"),1,0))</f>
        <v/>
      </c>
    </row>
    <row r="459">
      <c r="A459" s="19" t="n"/>
      <c r="B459" s="20" t="n"/>
      <c r="C459" s="21">
        <f>IFERROR(AVERAGE(P459:T459),"")</f>
        <v/>
      </c>
      <c r="D459" s="29" t="n"/>
      <c r="E459" s="29" t="n"/>
      <c r="F459" s="30">
        <f>IF(AND(ISNUMBER($D459),ISNUMBER($E459),$E459&gt;0,$D459&lt;=$E459),$D459/$E459,"")</f>
        <v/>
      </c>
      <c r="P459" s="26" t="n"/>
      <c r="Q459" s="26" t="n"/>
      <c r="R459" s="26" t="n"/>
      <c r="S459" s="26" t="n"/>
      <c r="T459" s="26" t="n"/>
      <c r="V459" s="27">
        <f>IF(ISNUMBER($C459),COUNTIFS($A$14:$A$1213,$A459,$C$14:$C$1213,"&gt;"&amp;$C459)+(COUNTIFS($A$14:$A$1213,$A459,$C$14:$C$1213,"="&amp;$C459)+1)/2,"")</f>
        <v/>
      </c>
      <c r="W459" s="27">
        <f>IF(ISNUMBER($F459),COUNTIFS($A$14:$A$1213,$A459,$F$14:$F$1213,"&gt;"&amp;$F459)+(COUNTIFS($A$14:$A$1213,$A459,$F$14:$F$1213,"="&amp;$F459)+1)/2,"")</f>
        <v/>
      </c>
      <c r="X459" s="27">
        <f>IF(OR(NOT(ISNUMBER($V459)),$AO459=1),"",$V459-(COUNTIFS($A$14:$A$1213,$A459,$C$14:$C$1213,"&gt;=0")+1)/2)</f>
        <v/>
      </c>
      <c r="Y459" s="27">
        <f>IF(OR(NOT(ISNUMBER($W459)),$AO459=1),"",$W459-(COUNTIFS($A$14:$A$1213,$A459,$F$14:$F$1213,"&gt;=0")+1)/2)</f>
        <v/>
      </c>
      <c r="Z459" s="27">
        <f>IF(ISNUMBER($V459),$A459&amp;"|"&amp;$V459,"")</f>
        <v/>
      </c>
      <c r="AA459" s="27">
        <f>IF(ISNUMBER($W459),$A459&amp;"|"&amp;$W459,"")</f>
        <v/>
      </c>
      <c r="AB459" s="27">
        <f>IF(ISNUMBER($F459),$A459&amp;"|"&amp;$F459,"")</f>
        <v/>
      </c>
      <c r="AC459" s="27">
        <f>IF(ISNUMBER($P459),COUNTIFS($A$14:$A$1213,$A459,$P$14:$P$1213,"&gt;"&amp;$P459)+(COUNTIFS($A$14:$A$1213,$A459,$P$14:$P$1213,"="&amp;$P459)+1)/2,"")</f>
        <v/>
      </c>
      <c r="AD459" s="27">
        <f>IF(ISNUMBER($Q459),COUNTIFS($A$14:$A$1213,$A459,$Q$14:$Q$1213,"&gt;"&amp;$Q459)+(COUNTIFS($A$14:$A$1213,$A459,$Q$14:$Q$1213,"="&amp;$Q459)+1)/2,"")</f>
        <v/>
      </c>
      <c r="AE459" s="27">
        <f>IF(ISNUMBER($R459),COUNTIFS($A$14:$A$1213,$A459,$R$14:$R$1213,"&gt;"&amp;$R459)+(COUNTIFS($A$14:$A$1213,$A459,$R$14:$R$1213,"="&amp;$R459)+1)/2,"")</f>
        <v/>
      </c>
      <c r="AF459" s="27">
        <f>IF(ISNUMBER($S459),COUNTIFS($A$14:$A$1213,$A459,$S$14:$S$1213,"&gt;"&amp;$S459)+(COUNTIFS($A$14:$A$1213,$A459,$S$14:$S$1213,"="&amp;$S459)+1)/2,"")</f>
        <v/>
      </c>
      <c r="AG459" s="27">
        <f>IF(ISNUMBER($T459),COUNTIFS($A$14:$A$1213,$A459,$T$14:$T$1213,"&gt;"&amp;$T459)+(COUNTIFS($A$14:$A$1213,$A459,$T$14:$T$1213,"="&amp;$T459)+1)/2,"")</f>
        <v/>
      </c>
      <c r="AH459" s="27">
        <f>IF(COUNT($AC459:$AG459)&lt;2,"",IF(MAX($AC459:$AG459)=MIN($AC459:$AG459),0,1))</f>
        <v/>
      </c>
      <c r="AI459" s="27">
        <f>IF($A459="","",IF(COUNTIF($A$14:$A459,$A459)=1,COUNTIF($AI$13:AI458,"&gt;0")+1,""))</f>
        <v/>
      </c>
      <c r="AO459" s="27">
        <f>IF($A459="","",IF(AND(COUNTIFS($A$14:$A$1213,$A459,$F$14:$F$1213,"&gt;=0")=2,IFERROR(INDEX($M$14:$M$313,MATCH($A459,$H$14:$H$313,0)),"Yes")&lt;&gt;"Yes"),1,0))</f>
        <v/>
      </c>
    </row>
    <row r="460">
      <c r="A460" s="19" t="n"/>
      <c r="B460" s="20" t="n"/>
      <c r="C460" s="21">
        <f>IFERROR(AVERAGE(P460:T460),"")</f>
        <v/>
      </c>
      <c r="D460" s="29" t="n"/>
      <c r="E460" s="29" t="n"/>
      <c r="F460" s="30">
        <f>IF(AND(ISNUMBER($D460),ISNUMBER($E460),$E460&gt;0,$D460&lt;=$E460),$D460/$E460,"")</f>
        <v/>
      </c>
      <c r="P460" s="26" t="n"/>
      <c r="Q460" s="26" t="n"/>
      <c r="R460" s="26" t="n"/>
      <c r="S460" s="26" t="n"/>
      <c r="T460" s="26" t="n"/>
      <c r="V460" s="27">
        <f>IF(ISNUMBER($C460),COUNTIFS($A$14:$A$1213,$A460,$C$14:$C$1213,"&gt;"&amp;$C460)+(COUNTIFS($A$14:$A$1213,$A460,$C$14:$C$1213,"="&amp;$C460)+1)/2,"")</f>
        <v/>
      </c>
      <c r="W460" s="27">
        <f>IF(ISNUMBER($F460),COUNTIFS($A$14:$A$1213,$A460,$F$14:$F$1213,"&gt;"&amp;$F460)+(COUNTIFS($A$14:$A$1213,$A460,$F$14:$F$1213,"="&amp;$F460)+1)/2,"")</f>
        <v/>
      </c>
      <c r="X460" s="27">
        <f>IF(OR(NOT(ISNUMBER($V460)),$AO460=1),"",$V460-(COUNTIFS($A$14:$A$1213,$A460,$C$14:$C$1213,"&gt;=0")+1)/2)</f>
        <v/>
      </c>
      <c r="Y460" s="27">
        <f>IF(OR(NOT(ISNUMBER($W460)),$AO460=1),"",$W460-(COUNTIFS($A$14:$A$1213,$A460,$F$14:$F$1213,"&gt;=0")+1)/2)</f>
        <v/>
      </c>
      <c r="Z460" s="27">
        <f>IF(ISNUMBER($V460),$A460&amp;"|"&amp;$V460,"")</f>
        <v/>
      </c>
      <c r="AA460" s="27">
        <f>IF(ISNUMBER($W460),$A460&amp;"|"&amp;$W460,"")</f>
        <v/>
      </c>
      <c r="AB460" s="27">
        <f>IF(ISNUMBER($F460),$A460&amp;"|"&amp;$F460,"")</f>
        <v/>
      </c>
      <c r="AC460" s="27">
        <f>IF(ISNUMBER($P460),COUNTIFS($A$14:$A$1213,$A460,$P$14:$P$1213,"&gt;"&amp;$P460)+(COUNTIFS($A$14:$A$1213,$A460,$P$14:$P$1213,"="&amp;$P460)+1)/2,"")</f>
        <v/>
      </c>
      <c r="AD460" s="27">
        <f>IF(ISNUMBER($Q460),COUNTIFS($A$14:$A$1213,$A460,$Q$14:$Q$1213,"&gt;"&amp;$Q460)+(COUNTIFS($A$14:$A$1213,$A460,$Q$14:$Q$1213,"="&amp;$Q460)+1)/2,"")</f>
        <v/>
      </c>
      <c r="AE460" s="27">
        <f>IF(ISNUMBER($R460),COUNTIFS($A$14:$A$1213,$A460,$R$14:$R$1213,"&gt;"&amp;$R460)+(COUNTIFS($A$14:$A$1213,$A460,$R$14:$R$1213,"="&amp;$R460)+1)/2,"")</f>
        <v/>
      </c>
      <c r="AF460" s="27">
        <f>IF(ISNUMBER($S460),COUNTIFS($A$14:$A$1213,$A460,$S$14:$S$1213,"&gt;"&amp;$S460)+(COUNTIFS($A$14:$A$1213,$A460,$S$14:$S$1213,"="&amp;$S460)+1)/2,"")</f>
        <v/>
      </c>
      <c r="AG460" s="27">
        <f>IF(ISNUMBER($T460),COUNTIFS($A$14:$A$1213,$A460,$T$14:$T$1213,"&gt;"&amp;$T460)+(COUNTIFS($A$14:$A$1213,$A460,$T$14:$T$1213,"="&amp;$T460)+1)/2,"")</f>
        <v/>
      </c>
      <c r="AH460" s="27">
        <f>IF(COUNT($AC460:$AG460)&lt;2,"",IF(MAX($AC460:$AG460)=MIN($AC460:$AG460),0,1))</f>
        <v/>
      </c>
      <c r="AI460" s="27">
        <f>IF($A460="","",IF(COUNTIF($A$14:$A460,$A460)=1,COUNTIF($AI$13:AI459,"&gt;0")+1,""))</f>
        <v/>
      </c>
      <c r="AO460" s="27">
        <f>IF($A460="","",IF(AND(COUNTIFS($A$14:$A$1213,$A460,$F$14:$F$1213,"&gt;=0")=2,IFERROR(INDEX($M$14:$M$313,MATCH($A460,$H$14:$H$313,0)),"Yes")&lt;&gt;"Yes"),1,0))</f>
        <v/>
      </c>
    </row>
    <row r="461">
      <c r="A461" s="19" t="n"/>
      <c r="B461" s="20" t="n"/>
      <c r="C461" s="21">
        <f>IFERROR(AVERAGE(P461:T461),"")</f>
        <v/>
      </c>
      <c r="D461" s="29" t="n"/>
      <c r="E461" s="29" t="n"/>
      <c r="F461" s="30">
        <f>IF(AND(ISNUMBER($D461),ISNUMBER($E461),$E461&gt;0,$D461&lt;=$E461),$D461/$E461,"")</f>
        <v/>
      </c>
      <c r="P461" s="26" t="n"/>
      <c r="Q461" s="26" t="n"/>
      <c r="R461" s="26" t="n"/>
      <c r="S461" s="26" t="n"/>
      <c r="T461" s="26" t="n"/>
      <c r="V461" s="27">
        <f>IF(ISNUMBER($C461),COUNTIFS($A$14:$A$1213,$A461,$C$14:$C$1213,"&gt;"&amp;$C461)+(COUNTIFS($A$14:$A$1213,$A461,$C$14:$C$1213,"="&amp;$C461)+1)/2,"")</f>
        <v/>
      </c>
      <c r="W461" s="27">
        <f>IF(ISNUMBER($F461),COUNTIFS($A$14:$A$1213,$A461,$F$14:$F$1213,"&gt;"&amp;$F461)+(COUNTIFS($A$14:$A$1213,$A461,$F$14:$F$1213,"="&amp;$F461)+1)/2,"")</f>
        <v/>
      </c>
      <c r="X461" s="27">
        <f>IF(OR(NOT(ISNUMBER($V461)),$AO461=1),"",$V461-(COUNTIFS($A$14:$A$1213,$A461,$C$14:$C$1213,"&gt;=0")+1)/2)</f>
        <v/>
      </c>
      <c r="Y461" s="27">
        <f>IF(OR(NOT(ISNUMBER($W461)),$AO461=1),"",$W461-(COUNTIFS($A$14:$A$1213,$A461,$F$14:$F$1213,"&gt;=0")+1)/2)</f>
        <v/>
      </c>
      <c r="Z461" s="27">
        <f>IF(ISNUMBER($V461),$A461&amp;"|"&amp;$V461,"")</f>
        <v/>
      </c>
      <c r="AA461" s="27">
        <f>IF(ISNUMBER($W461),$A461&amp;"|"&amp;$W461,"")</f>
        <v/>
      </c>
      <c r="AB461" s="27">
        <f>IF(ISNUMBER($F461),$A461&amp;"|"&amp;$F461,"")</f>
        <v/>
      </c>
      <c r="AC461" s="27">
        <f>IF(ISNUMBER($P461),COUNTIFS($A$14:$A$1213,$A461,$P$14:$P$1213,"&gt;"&amp;$P461)+(COUNTIFS($A$14:$A$1213,$A461,$P$14:$P$1213,"="&amp;$P461)+1)/2,"")</f>
        <v/>
      </c>
      <c r="AD461" s="27">
        <f>IF(ISNUMBER($Q461),COUNTIFS($A$14:$A$1213,$A461,$Q$14:$Q$1213,"&gt;"&amp;$Q461)+(COUNTIFS($A$14:$A$1213,$A461,$Q$14:$Q$1213,"="&amp;$Q461)+1)/2,"")</f>
        <v/>
      </c>
      <c r="AE461" s="27">
        <f>IF(ISNUMBER($R461),COUNTIFS($A$14:$A$1213,$A461,$R$14:$R$1213,"&gt;"&amp;$R461)+(COUNTIFS($A$14:$A$1213,$A461,$R$14:$R$1213,"="&amp;$R461)+1)/2,"")</f>
        <v/>
      </c>
      <c r="AF461" s="27">
        <f>IF(ISNUMBER($S461),COUNTIFS($A$14:$A$1213,$A461,$S$14:$S$1213,"&gt;"&amp;$S461)+(COUNTIFS($A$14:$A$1213,$A461,$S$14:$S$1213,"="&amp;$S461)+1)/2,"")</f>
        <v/>
      </c>
      <c r="AG461" s="27">
        <f>IF(ISNUMBER($T461),COUNTIFS($A$14:$A$1213,$A461,$T$14:$T$1213,"&gt;"&amp;$T461)+(COUNTIFS($A$14:$A$1213,$A461,$T$14:$T$1213,"="&amp;$T461)+1)/2,"")</f>
        <v/>
      </c>
      <c r="AH461" s="27">
        <f>IF(COUNT($AC461:$AG461)&lt;2,"",IF(MAX($AC461:$AG461)=MIN($AC461:$AG461),0,1))</f>
        <v/>
      </c>
      <c r="AI461" s="27">
        <f>IF($A461="","",IF(COUNTIF($A$14:$A461,$A461)=1,COUNTIF($AI$13:AI460,"&gt;0")+1,""))</f>
        <v/>
      </c>
      <c r="AO461" s="27">
        <f>IF($A461="","",IF(AND(COUNTIFS($A$14:$A$1213,$A461,$F$14:$F$1213,"&gt;=0")=2,IFERROR(INDEX($M$14:$M$313,MATCH($A461,$H$14:$H$313,0)),"Yes")&lt;&gt;"Yes"),1,0))</f>
        <v/>
      </c>
    </row>
    <row r="462">
      <c r="A462" s="19" t="n"/>
      <c r="B462" s="20" t="n"/>
      <c r="C462" s="21">
        <f>IFERROR(AVERAGE(P462:T462),"")</f>
        <v/>
      </c>
      <c r="D462" s="29" t="n"/>
      <c r="E462" s="29" t="n"/>
      <c r="F462" s="30">
        <f>IF(AND(ISNUMBER($D462),ISNUMBER($E462),$E462&gt;0,$D462&lt;=$E462),$D462/$E462,"")</f>
        <v/>
      </c>
      <c r="P462" s="26" t="n"/>
      <c r="Q462" s="26" t="n"/>
      <c r="R462" s="26" t="n"/>
      <c r="S462" s="26" t="n"/>
      <c r="T462" s="26" t="n"/>
      <c r="V462" s="27">
        <f>IF(ISNUMBER($C462),COUNTIFS($A$14:$A$1213,$A462,$C$14:$C$1213,"&gt;"&amp;$C462)+(COUNTIFS($A$14:$A$1213,$A462,$C$14:$C$1213,"="&amp;$C462)+1)/2,"")</f>
        <v/>
      </c>
      <c r="W462" s="27">
        <f>IF(ISNUMBER($F462),COUNTIFS($A$14:$A$1213,$A462,$F$14:$F$1213,"&gt;"&amp;$F462)+(COUNTIFS($A$14:$A$1213,$A462,$F$14:$F$1213,"="&amp;$F462)+1)/2,"")</f>
        <v/>
      </c>
      <c r="X462" s="27">
        <f>IF(OR(NOT(ISNUMBER($V462)),$AO462=1),"",$V462-(COUNTIFS($A$14:$A$1213,$A462,$C$14:$C$1213,"&gt;=0")+1)/2)</f>
        <v/>
      </c>
      <c r="Y462" s="27">
        <f>IF(OR(NOT(ISNUMBER($W462)),$AO462=1),"",$W462-(COUNTIFS($A$14:$A$1213,$A462,$F$14:$F$1213,"&gt;=0")+1)/2)</f>
        <v/>
      </c>
      <c r="Z462" s="27">
        <f>IF(ISNUMBER($V462),$A462&amp;"|"&amp;$V462,"")</f>
        <v/>
      </c>
      <c r="AA462" s="27">
        <f>IF(ISNUMBER($W462),$A462&amp;"|"&amp;$W462,"")</f>
        <v/>
      </c>
      <c r="AB462" s="27">
        <f>IF(ISNUMBER($F462),$A462&amp;"|"&amp;$F462,"")</f>
        <v/>
      </c>
      <c r="AC462" s="27">
        <f>IF(ISNUMBER($P462),COUNTIFS($A$14:$A$1213,$A462,$P$14:$P$1213,"&gt;"&amp;$P462)+(COUNTIFS($A$14:$A$1213,$A462,$P$14:$P$1213,"="&amp;$P462)+1)/2,"")</f>
        <v/>
      </c>
      <c r="AD462" s="27">
        <f>IF(ISNUMBER($Q462),COUNTIFS($A$14:$A$1213,$A462,$Q$14:$Q$1213,"&gt;"&amp;$Q462)+(COUNTIFS($A$14:$A$1213,$A462,$Q$14:$Q$1213,"="&amp;$Q462)+1)/2,"")</f>
        <v/>
      </c>
      <c r="AE462" s="27">
        <f>IF(ISNUMBER($R462),COUNTIFS($A$14:$A$1213,$A462,$R$14:$R$1213,"&gt;"&amp;$R462)+(COUNTIFS($A$14:$A$1213,$A462,$R$14:$R$1213,"="&amp;$R462)+1)/2,"")</f>
        <v/>
      </c>
      <c r="AF462" s="27">
        <f>IF(ISNUMBER($S462),COUNTIFS($A$14:$A$1213,$A462,$S$14:$S$1213,"&gt;"&amp;$S462)+(COUNTIFS($A$14:$A$1213,$A462,$S$14:$S$1213,"="&amp;$S462)+1)/2,"")</f>
        <v/>
      </c>
      <c r="AG462" s="27">
        <f>IF(ISNUMBER($T462),COUNTIFS($A$14:$A$1213,$A462,$T$14:$T$1213,"&gt;"&amp;$T462)+(COUNTIFS($A$14:$A$1213,$A462,$T$14:$T$1213,"="&amp;$T462)+1)/2,"")</f>
        <v/>
      </c>
      <c r="AH462" s="27">
        <f>IF(COUNT($AC462:$AG462)&lt;2,"",IF(MAX($AC462:$AG462)=MIN($AC462:$AG462),0,1))</f>
        <v/>
      </c>
      <c r="AI462" s="27">
        <f>IF($A462="","",IF(COUNTIF($A$14:$A462,$A462)=1,COUNTIF($AI$13:AI461,"&gt;0")+1,""))</f>
        <v/>
      </c>
      <c r="AO462" s="27">
        <f>IF($A462="","",IF(AND(COUNTIFS($A$14:$A$1213,$A462,$F$14:$F$1213,"&gt;=0")=2,IFERROR(INDEX($M$14:$M$313,MATCH($A462,$H$14:$H$313,0)),"Yes")&lt;&gt;"Yes"),1,0))</f>
        <v/>
      </c>
    </row>
    <row r="463">
      <c r="A463" s="19" t="n"/>
      <c r="B463" s="20" t="n"/>
      <c r="C463" s="21">
        <f>IFERROR(AVERAGE(P463:T463),"")</f>
        <v/>
      </c>
      <c r="D463" s="29" t="n"/>
      <c r="E463" s="29" t="n"/>
      <c r="F463" s="30">
        <f>IF(AND(ISNUMBER($D463),ISNUMBER($E463),$E463&gt;0,$D463&lt;=$E463),$D463/$E463,"")</f>
        <v/>
      </c>
      <c r="P463" s="26" t="n"/>
      <c r="Q463" s="26" t="n"/>
      <c r="R463" s="26" t="n"/>
      <c r="S463" s="26" t="n"/>
      <c r="T463" s="26" t="n"/>
      <c r="V463" s="27">
        <f>IF(ISNUMBER($C463),COUNTIFS($A$14:$A$1213,$A463,$C$14:$C$1213,"&gt;"&amp;$C463)+(COUNTIFS($A$14:$A$1213,$A463,$C$14:$C$1213,"="&amp;$C463)+1)/2,"")</f>
        <v/>
      </c>
      <c r="W463" s="27">
        <f>IF(ISNUMBER($F463),COUNTIFS($A$14:$A$1213,$A463,$F$14:$F$1213,"&gt;"&amp;$F463)+(COUNTIFS($A$14:$A$1213,$A463,$F$14:$F$1213,"="&amp;$F463)+1)/2,"")</f>
        <v/>
      </c>
      <c r="X463" s="27">
        <f>IF(OR(NOT(ISNUMBER($V463)),$AO463=1),"",$V463-(COUNTIFS($A$14:$A$1213,$A463,$C$14:$C$1213,"&gt;=0")+1)/2)</f>
        <v/>
      </c>
      <c r="Y463" s="27">
        <f>IF(OR(NOT(ISNUMBER($W463)),$AO463=1),"",$W463-(COUNTIFS($A$14:$A$1213,$A463,$F$14:$F$1213,"&gt;=0")+1)/2)</f>
        <v/>
      </c>
      <c r="Z463" s="27">
        <f>IF(ISNUMBER($V463),$A463&amp;"|"&amp;$V463,"")</f>
        <v/>
      </c>
      <c r="AA463" s="27">
        <f>IF(ISNUMBER($W463),$A463&amp;"|"&amp;$W463,"")</f>
        <v/>
      </c>
      <c r="AB463" s="27">
        <f>IF(ISNUMBER($F463),$A463&amp;"|"&amp;$F463,"")</f>
        <v/>
      </c>
      <c r="AC463" s="27">
        <f>IF(ISNUMBER($P463),COUNTIFS($A$14:$A$1213,$A463,$P$14:$P$1213,"&gt;"&amp;$P463)+(COUNTIFS($A$14:$A$1213,$A463,$P$14:$P$1213,"="&amp;$P463)+1)/2,"")</f>
        <v/>
      </c>
      <c r="AD463" s="27">
        <f>IF(ISNUMBER($Q463),COUNTIFS($A$14:$A$1213,$A463,$Q$14:$Q$1213,"&gt;"&amp;$Q463)+(COUNTIFS($A$14:$A$1213,$A463,$Q$14:$Q$1213,"="&amp;$Q463)+1)/2,"")</f>
        <v/>
      </c>
      <c r="AE463" s="27">
        <f>IF(ISNUMBER($R463),COUNTIFS($A$14:$A$1213,$A463,$R$14:$R$1213,"&gt;"&amp;$R463)+(COUNTIFS($A$14:$A$1213,$A463,$R$14:$R$1213,"="&amp;$R463)+1)/2,"")</f>
        <v/>
      </c>
      <c r="AF463" s="27">
        <f>IF(ISNUMBER($S463),COUNTIFS($A$14:$A$1213,$A463,$S$14:$S$1213,"&gt;"&amp;$S463)+(COUNTIFS($A$14:$A$1213,$A463,$S$14:$S$1213,"="&amp;$S463)+1)/2,"")</f>
        <v/>
      </c>
      <c r="AG463" s="27">
        <f>IF(ISNUMBER($T463),COUNTIFS($A$14:$A$1213,$A463,$T$14:$T$1213,"&gt;"&amp;$T463)+(COUNTIFS($A$14:$A$1213,$A463,$T$14:$T$1213,"="&amp;$T463)+1)/2,"")</f>
        <v/>
      </c>
      <c r="AH463" s="27">
        <f>IF(COUNT($AC463:$AG463)&lt;2,"",IF(MAX($AC463:$AG463)=MIN($AC463:$AG463),0,1))</f>
        <v/>
      </c>
      <c r="AI463" s="27">
        <f>IF($A463="","",IF(COUNTIF($A$14:$A463,$A463)=1,COUNTIF($AI$13:AI462,"&gt;0")+1,""))</f>
        <v/>
      </c>
      <c r="AO463" s="27">
        <f>IF($A463="","",IF(AND(COUNTIFS($A$14:$A$1213,$A463,$F$14:$F$1213,"&gt;=0")=2,IFERROR(INDEX($M$14:$M$313,MATCH($A463,$H$14:$H$313,0)),"Yes")&lt;&gt;"Yes"),1,0))</f>
        <v/>
      </c>
    </row>
    <row r="464">
      <c r="A464" s="19" t="n"/>
      <c r="B464" s="20" t="n"/>
      <c r="C464" s="21">
        <f>IFERROR(AVERAGE(P464:T464),"")</f>
        <v/>
      </c>
      <c r="D464" s="29" t="n"/>
      <c r="E464" s="29" t="n"/>
      <c r="F464" s="30">
        <f>IF(AND(ISNUMBER($D464),ISNUMBER($E464),$E464&gt;0,$D464&lt;=$E464),$D464/$E464,"")</f>
        <v/>
      </c>
      <c r="P464" s="26" t="n"/>
      <c r="Q464" s="26" t="n"/>
      <c r="R464" s="26" t="n"/>
      <c r="S464" s="26" t="n"/>
      <c r="T464" s="26" t="n"/>
      <c r="V464" s="27">
        <f>IF(ISNUMBER($C464),COUNTIFS($A$14:$A$1213,$A464,$C$14:$C$1213,"&gt;"&amp;$C464)+(COUNTIFS($A$14:$A$1213,$A464,$C$14:$C$1213,"="&amp;$C464)+1)/2,"")</f>
        <v/>
      </c>
      <c r="W464" s="27">
        <f>IF(ISNUMBER($F464),COUNTIFS($A$14:$A$1213,$A464,$F$14:$F$1213,"&gt;"&amp;$F464)+(COUNTIFS($A$14:$A$1213,$A464,$F$14:$F$1213,"="&amp;$F464)+1)/2,"")</f>
        <v/>
      </c>
      <c r="X464" s="27">
        <f>IF(OR(NOT(ISNUMBER($V464)),$AO464=1),"",$V464-(COUNTIFS($A$14:$A$1213,$A464,$C$14:$C$1213,"&gt;=0")+1)/2)</f>
        <v/>
      </c>
      <c r="Y464" s="27">
        <f>IF(OR(NOT(ISNUMBER($W464)),$AO464=1),"",$W464-(COUNTIFS($A$14:$A$1213,$A464,$F$14:$F$1213,"&gt;=0")+1)/2)</f>
        <v/>
      </c>
      <c r="Z464" s="27">
        <f>IF(ISNUMBER($V464),$A464&amp;"|"&amp;$V464,"")</f>
        <v/>
      </c>
      <c r="AA464" s="27">
        <f>IF(ISNUMBER($W464),$A464&amp;"|"&amp;$W464,"")</f>
        <v/>
      </c>
      <c r="AB464" s="27">
        <f>IF(ISNUMBER($F464),$A464&amp;"|"&amp;$F464,"")</f>
        <v/>
      </c>
      <c r="AC464" s="27">
        <f>IF(ISNUMBER($P464),COUNTIFS($A$14:$A$1213,$A464,$P$14:$P$1213,"&gt;"&amp;$P464)+(COUNTIFS($A$14:$A$1213,$A464,$P$14:$P$1213,"="&amp;$P464)+1)/2,"")</f>
        <v/>
      </c>
      <c r="AD464" s="27">
        <f>IF(ISNUMBER($Q464),COUNTIFS($A$14:$A$1213,$A464,$Q$14:$Q$1213,"&gt;"&amp;$Q464)+(COUNTIFS($A$14:$A$1213,$A464,$Q$14:$Q$1213,"="&amp;$Q464)+1)/2,"")</f>
        <v/>
      </c>
      <c r="AE464" s="27">
        <f>IF(ISNUMBER($R464),COUNTIFS($A$14:$A$1213,$A464,$R$14:$R$1213,"&gt;"&amp;$R464)+(COUNTIFS($A$14:$A$1213,$A464,$R$14:$R$1213,"="&amp;$R464)+1)/2,"")</f>
        <v/>
      </c>
      <c r="AF464" s="27">
        <f>IF(ISNUMBER($S464),COUNTIFS($A$14:$A$1213,$A464,$S$14:$S$1213,"&gt;"&amp;$S464)+(COUNTIFS($A$14:$A$1213,$A464,$S$14:$S$1213,"="&amp;$S464)+1)/2,"")</f>
        <v/>
      </c>
      <c r="AG464" s="27">
        <f>IF(ISNUMBER($T464),COUNTIFS($A$14:$A$1213,$A464,$T$14:$T$1213,"&gt;"&amp;$T464)+(COUNTIFS($A$14:$A$1213,$A464,$T$14:$T$1213,"="&amp;$T464)+1)/2,"")</f>
        <v/>
      </c>
      <c r="AH464" s="27">
        <f>IF(COUNT($AC464:$AG464)&lt;2,"",IF(MAX($AC464:$AG464)=MIN($AC464:$AG464),0,1))</f>
        <v/>
      </c>
      <c r="AI464" s="27">
        <f>IF($A464="","",IF(COUNTIF($A$14:$A464,$A464)=1,COUNTIF($AI$13:AI463,"&gt;0")+1,""))</f>
        <v/>
      </c>
      <c r="AO464" s="27">
        <f>IF($A464="","",IF(AND(COUNTIFS($A$14:$A$1213,$A464,$F$14:$F$1213,"&gt;=0")=2,IFERROR(INDEX($M$14:$M$313,MATCH($A464,$H$14:$H$313,0)),"Yes")&lt;&gt;"Yes"),1,0))</f>
        <v/>
      </c>
    </row>
    <row r="465">
      <c r="A465" s="19" t="n"/>
      <c r="B465" s="20" t="n"/>
      <c r="C465" s="21">
        <f>IFERROR(AVERAGE(P465:T465),"")</f>
        <v/>
      </c>
      <c r="D465" s="29" t="n"/>
      <c r="E465" s="29" t="n"/>
      <c r="F465" s="30">
        <f>IF(AND(ISNUMBER($D465),ISNUMBER($E465),$E465&gt;0,$D465&lt;=$E465),$D465/$E465,"")</f>
        <v/>
      </c>
      <c r="P465" s="26" t="n"/>
      <c r="Q465" s="26" t="n"/>
      <c r="R465" s="26" t="n"/>
      <c r="S465" s="26" t="n"/>
      <c r="T465" s="26" t="n"/>
      <c r="V465" s="27">
        <f>IF(ISNUMBER($C465),COUNTIFS($A$14:$A$1213,$A465,$C$14:$C$1213,"&gt;"&amp;$C465)+(COUNTIFS($A$14:$A$1213,$A465,$C$14:$C$1213,"="&amp;$C465)+1)/2,"")</f>
        <v/>
      </c>
      <c r="W465" s="27">
        <f>IF(ISNUMBER($F465),COUNTIFS($A$14:$A$1213,$A465,$F$14:$F$1213,"&gt;"&amp;$F465)+(COUNTIFS($A$14:$A$1213,$A465,$F$14:$F$1213,"="&amp;$F465)+1)/2,"")</f>
        <v/>
      </c>
      <c r="X465" s="27">
        <f>IF(OR(NOT(ISNUMBER($V465)),$AO465=1),"",$V465-(COUNTIFS($A$14:$A$1213,$A465,$C$14:$C$1213,"&gt;=0")+1)/2)</f>
        <v/>
      </c>
      <c r="Y465" s="27">
        <f>IF(OR(NOT(ISNUMBER($W465)),$AO465=1),"",$W465-(COUNTIFS($A$14:$A$1213,$A465,$F$14:$F$1213,"&gt;=0")+1)/2)</f>
        <v/>
      </c>
      <c r="Z465" s="27">
        <f>IF(ISNUMBER($V465),$A465&amp;"|"&amp;$V465,"")</f>
        <v/>
      </c>
      <c r="AA465" s="27">
        <f>IF(ISNUMBER($W465),$A465&amp;"|"&amp;$W465,"")</f>
        <v/>
      </c>
      <c r="AB465" s="27">
        <f>IF(ISNUMBER($F465),$A465&amp;"|"&amp;$F465,"")</f>
        <v/>
      </c>
      <c r="AC465" s="27">
        <f>IF(ISNUMBER($P465),COUNTIFS($A$14:$A$1213,$A465,$P$14:$P$1213,"&gt;"&amp;$P465)+(COUNTIFS($A$14:$A$1213,$A465,$P$14:$P$1213,"="&amp;$P465)+1)/2,"")</f>
        <v/>
      </c>
      <c r="AD465" s="27">
        <f>IF(ISNUMBER($Q465),COUNTIFS($A$14:$A$1213,$A465,$Q$14:$Q$1213,"&gt;"&amp;$Q465)+(COUNTIFS($A$14:$A$1213,$A465,$Q$14:$Q$1213,"="&amp;$Q465)+1)/2,"")</f>
        <v/>
      </c>
      <c r="AE465" s="27">
        <f>IF(ISNUMBER($R465),COUNTIFS($A$14:$A$1213,$A465,$R$14:$R$1213,"&gt;"&amp;$R465)+(COUNTIFS($A$14:$A$1213,$A465,$R$14:$R$1213,"="&amp;$R465)+1)/2,"")</f>
        <v/>
      </c>
      <c r="AF465" s="27">
        <f>IF(ISNUMBER($S465),COUNTIFS($A$14:$A$1213,$A465,$S$14:$S$1213,"&gt;"&amp;$S465)+(COUNTIFS($A$14:$A$1213,$A465,$S$14:$S$1213,"="&amp;$S465)+1)/2,"")</f>
        <v/>
      </c>
      <c r="AG465" s="27">
        <f>IF(ISNUMBER($T465),COUNTIFS($A$14:$A$1213,$A465,$T$14:$T$1213,"&gt;"&amp;$T465)+(COUNTIFS($A$14:$A$1213,$A465,$T$14:$T$1213,"="&amp;$T465)+1)/2,"")</f>
        <v/>
      </c>
      <c r="AH465" s="27">
        <f>IF(COUNT($AC465:$AG465)&lt;2,"",IF(MAX($AC465:$AG465)=MIN($AC465:$AG465),0,1))</f>
        <v/>
      </c>
      <c r="AI465" s="27">
        <f>IF($A465="","",IF(COUNTIF($A$14:$A465,$A465)=1,COUNTIF($AI$13:AI464,"&gt;0")+1,""))</f>
        <v/>
      </c>
      <c r="AO465" s="27">
        <f>IF($A465="","",IF(AND(COUNTIFS($A$14:$A$1213,$A465,$F$14:$F$1213,"&gt;=0")=2,IFERROR(INDEX($M$14:$M$313,MATCH($A465,$H$14:$H$313,0)),"Yes")&lt;&gt;"Yes"),1,0))</f>
        <v/>
      </c>
    </row>
    <row r="466">
      <c r="A466" s="19" t="n"/>
      <c r="B466" s="20" t="n"/>
      <c r="C466" s="21">
        <f>IFERROR(AVERAGE(P466:T466),"")</f>
        <v/>
      </c>
      <c r="D466" s="29" t="n"/>
      <c r="E466" s="29" t="n"/>
      <c r="F466" s="30">
        <f>IF(AND(ISNUMBER($D466),ISNUMBER($E466),$E466&gt;0,$D466&lt;=$E466),$D466/$E466,"")</f>
        <v/>
      </c>
      <c r="P466" s="26" t="n"/>
      <c r="Q466" s="26" t="n"/>
      <c r="R466" s="26" t="n"/>
      <c r="S466" s="26" t="n"/>
      <c r="T466" s="26" t="n"/>
      <c r="V466" s="27">
        <f>IF(ISNUMBER($C466),COUNTIFS($A$14:$A$1213,$A466,$C$14:$C$1213,"&gt;"&amp;$C466)+(COUNTIFS($A$14:$A$1213,$A466,$C$14:$C$1213,"="&amp;$C466)+1)/2,"")</f>
        <v/>
      </c>
      <c r="W466" s="27">
        <f>IF(ISNUMBER($F466),COUNTIFS($A$14:$A$1213,$A466,$F$14:$F$1213,"&gt;"&amp;$F466)+(COUNTIFS($A$14:$A$1213,$A466,$F$14:$F$1213,"="&amp;$F466)+1)/2,"")</f>
        <v/>
      </c>
      <c r="X466" s="27">
        <f>IF(OR(NOT(ISNUMBER($V466)),$AO466=1),"",$V466-(COUNTIFS($A$14:$A$1213,$A466,$C$14:$C$1213,"&gt;=0")+1)/2)</f>
        <v/>
      </c>
      <c r="Y466" s="27">
        <f>IF(OR(NOT(ISNUMBER($W466)),$AO466=1),"",$W466-(COUNTIFS($A$14:$A$1213,$A466,$F$14:$F$1213,"&gt;=0")+1)/2)</f>
        <v/>
      </c>
      <c r="Z466" s="27">
        <f>IF(ISNUMBER($V466),$A466&amp;"|"&amp;$V466,"")</f>
        <v/>
      </c>
      <c r="AA466" s="27">
        <f>IF(ISNUMBER($W466),$A466&amp;"|"&amp;$W466,"")</f>
        <v/>
      </c>
      <c r="AB466" s="27">
        <f>IF(ISNUMBER($F466),$A466&amp;"|"&amp;$F466,"")</f>
        <v/>
      </c>
      <c r="AC466" s="27">
        <f>IF(ISNUMBER($P466),COUNTIFS($A$14:$A$1213,$A466,$P$14:$P$1213,"&gt;"&amp;$P466)+(COUNTIFS($A$14:$A$1213,$A466,$P$14:$P$1213,"="&amp;$P466)+1)/2,"")</f>
        <v/>
      </c>
      <c r="AD466" s="27">
        <f>IF(ISNUMBER($Q466),COUNTIFS($A$14:$A$1213,$A466,$Q$14:$Q$1213,"&gt;"&amp;$Q466)+(COUNTIFS($A$14:$A$1213,$A466,$Q$14:$Q$1213,"="&amp;$Q466)+1)/2,"")</f>
        <v/>
      </c>
      <c r="AE466" s="27">
        <f>IF(ISNUMBER($R466),COUNTIFS($A$14:$A$1213,$A466,$R$14:$R$1213,"&gt;"&amp;$R466)+(COUNTIFS($A$14:$A$1213,$A466,$R$14:$R$1213,"="&amp;$R466)+1)/2,"")</f>
        <v/>
      </c>
      <c r="AF466" s="27">
        <f>IF(ISNUMBER($S466),COUNTIFS($A$14:$A$1213,$A466,$S$14:$S$1213,"&gt;"&amp;$S466)+(COUNTIFS($A$14:$A$1213,$A466,$S$14:$S$1213,"="&amp;$S466)+1)/2,"")</f>
        <v/>
      </c>
      <c r="AG466" s="27">
        <f>IF(ISNUMBER($T466),COUNTIFS($A$14:$A$1213,$A466,$T$14:$T$1213,"&gt;"&amp;$T466)+(COUNTIFS($A$14:$A$1213,$A466,$T$14:$T$1213,"="&amp;$T466)+1)/2,"")</f>
        <v/>
      </c>
      <c r="AH466" s="27">
        <f>IF(COUNT($AC466:$AG466)&lt;2,"",IF(MAX($AC466:$AG466)=MIN($AC466:$AG466),0,1))</f>
        <v/>
      </c>
      <c r="AI466" s="27">
        <f>IF($A466="","",IF(COUNTIF($A$14:$A466,$A466)=1,COUNTIF($AI$13:AI465,"&gt;0")+1,""))</f>
        <v/>
      </c>
      <c r="AO466" s="27">
        <f>IF($A466="","",IF(AND(COUNTIFS($A$14:$A$1213,$A466,$F$14:$F$1213,"&gt;=0")=2,IFERROR(INDEX($M$14:$M$313,MATCH($A466,$H$14:$H$313,0)),"Yes")&lt;&gt;"Yes"),1,0))</f>
        <v/>
      </c>
    </row>
    <row r="467">
      <c r="A467" s="19" t="n"/>
      <c r="B467" s="20" t="n"/>
      <c r="C467" s="21">
        <f>IFERROR(AVERAGE(P467:T467),"")</f>
        <v/>
      </c>
      <c r="D467" s="29" t="n"/>
      <c r="E467" s="29" t="n"/>
      <c r="F467" s="30">
        <f>IF(AND(ISNUMBER($D467),ISNUMBER($E467),$E467&gt;0,$D467&lt;=$E467),$D467/$E467,"")</f>
        <v/>
      </c>
      <c r="P467" s="26" t="n"/>
      <c r="Q467" s="26" t="n"/>
      <c r="R467" s="26" t="n"/>
      <c r="S467" s="26" t="n"/>
      <c r="T467" s="26" t="n"/>
      <c r="V467" s="27">
        <f>IF(ISNUMBER($C467),COUNTIFS($A$14:$A$1213,$A467,$C$14:$C$1213,"&gt;"&amp;$C467)+(COUNTIFS($A$14:$A$1213,$A467,$C$14:$C$1213,"="&amp;$C467)+1)/2,"")</f>
        <v/>
      </c>
      <c r="W467" s="27">
        <f>IF(ISNUMBER($F467),COUNTIFS($A$14:$A$1213,$A467,$F$14:$F$1213,"&gt;"&amp;$F467)+(COUNTIFS($A$14:$A$1213,$A467,$F$14:$F$1213,"="&amp;$F467)+1)/2,"")</f>
        <v/>
      </c>
      <c r="X467" s="27">
        <f>IF(OR(NOT(ISNUMBER($V467)),$AO467=1),"",$V467-(COUNTIFS($A$14:$A$1213,$A467,$C$14:$C$1213,"&gt;=0")+1)/2)</f>
        <v/>
      </c>
      <c r="Y467" s="27">
        <f>IF(OR(NOT(ISNUMBER($W467)),$AO467=1),"",$W467-(COUNTIFS($A$14:$A$1213,$A467,$F$14:$F$1213,"&gt;=0")+1)/2)</f>
        <v/>
      </c>
      <c r="Z467" s="27">
        <f>IF(ISNUMBER($V467),$A467&amp;"|"&amp;$V467,"")</f>
        <v/>
      </c>
      <c r="AA467" s="27">
        <f>IF(ISNUMBER($W467),$A467&amp;"|"&amp;$W467,"")</f>
        <v/>
      </c>
      <c r="AB467" s="27">
        <f>IF(ISNUMBER($F467),$A467&amp;"|"&amp;$F467,"")</f>
        <v/>
      </c>
      <c r="AC467" s="27">
        <f>IF(ISNUMBER($P467),COUNTIFS($A$14:$A$1213,$A467,$P$14:$P$1213,"&gt;"&amp;$P467)+(COUNTIFS($A$14:$A$1213,$A467,$P$14:$P$1213,"="&amp;$P467)+1)/2,"")</f>
        <v/>
      </c>
      <c r="AD467" s="27">
        <f>IF(ISNUMBER($Q467),COUNTIFS($A$14:$A$1213,$A467,$Q$14:$Q$1213,"&gt;"&amp;$Q467)+(COUNTIFS($A$14:$A$1213,$A467,$Q$14:$Q$1213,"="&amp;$Q467)+1)/2,"")</f>
        <v/>
      </c>
      <c r="AE467" s="27">
        <f>IF(ISNUMBER($R467),COUNTIFS($A$14:$A$1213,$A467,$R$14:$R$1213,"&gt;"&amp;$R467)+(COUNTIFS($A$14:$A$1213,$A467,$R$14:$R$1213,"="&amp;$R467)+1)/2,"")</f>
        <v/>
      </c>
      <c r="AF467" s="27">
        <f>IF(ISNUMBER($S467),COUNTIFS($A$14:$A$1213,$A467,$S$14:$S$1213,"&gt;"&amp;$S467)+(COUNTIFS($A$14:$A$1213,$A467,$S$14:$S$1213,"="&amp;$S467)+1)/2,"")</f>
        <v/>
      </c>
      <c r="AG467" s="27">
        <f>IF(ISNUMBER($T467),COUNTIFS($A$14:$A$1213,$A467,$T$14:$T$1213,"&gt;"&amp;$T467)+(COUNTIFS($A$14:$A$1213,$A467,$T$14:$T$1213,"="&amp;$T467)+1)/2,"")</f>
        <v/>
      </c>
      <c r="AH467" s="27">
        <f>IF(COUNT($AC467:$AG467)&lt;2,"",IF(MAX($AC467:$AG467)=MIN($AC467:$AG467),0,1))</f>
        <v/>
      </c>
      <c r="AI467" s="27">
        <f>IF($A467="","",IF(COUNTIF($A$14:$A467,$A467)=1,COUNTIF($AI$13:AI466,"&gt;0")+1,""))</f>
        <v/>
      </c>
      <c r="AO467" s="27">
        <f>IF($A467="","",IF(AND(COUNTIFS($A$14:$A$1213,$A467,$F$14:$F$1213,"&gt;=0")=2,IFERROR(INDEX($M$14:$M$313,MATCH($A467,$H$14:$H$313,0)),"Yes")&lt;&gt;"Yes"),1,0))</f>
        <v/>
      </c>
    </row>
    <row r="468">
      <c r="A468" s="19" t="n"/>
      <c r="B468" s="20" t="n"/>
      <c r="C468" s="21">
        <f>IFERROR(AVERAGE(P468:T468),"")</f>
        <v/>
      </c>
      <c r="D468" s="29" t="n"/>
      <c r="E468" s="29" t="n"/>
      <c r="F468" s="30">
        <f>IF(AND(ISNUMBER($D468),ISNUMBER($E468),$E468&gt;0,$D468&lt;=$E468),$D468/$E468,"")</f>
        <v/>
      </c>
      <c r="P468" s="26" t="n"/>
      <c r="Q468" s="26" t="n"/>
      <c r="R468" s="26" t="n"/>
      <c r="S468" s="26" t="n"/>
      <c r="T468" s="26" t="n"/>
      <c r="V468" s="27">
        <f>IF(ISNUMBER($C468),COUNTIFS($A$14:$A$1213,$A468,$C$14:$C$1213,"&gt;"&amp;$C468)+(COUNTIFS($A$14:$A$1213,$A468,$C$14:$C$1213,"="&amp;$C468)+1)/2,"")</f>
        <v/>
      </c>
      <c r="W468" s="27">
        <f>IF(ISNUMBER($F468),COUNTIFS($A$14:$A$1213,$A468,$F$14:$F$1213,"&gt;"&amp;$F468)+(COUNTIFS($A$14:$A$1213,$A468,$F$14:$F$1213,"="&amp;$F468)+1)/2,"")</f>
        <v/>
      </c>
      <c r="X468" s="27">
        <f>IF(OR(NOT(ISNUMBER($V468)),$AO468=1),"",$V468-(COUNTIFS($A$14:$A$1213,$A468,$C$14:$C$1213,"&gt;=0")+1)/2)</f>
        <v/>
      </c>
      <c r="Y468" s="27">
        <f>IF(OR(NOT(ISNUMBER($W468)),$AO468=1),"",$W468-(COUNTIFS($A$14:$A$1213,$A468,$F$14:$F$1213,"&gt;=0")+1)/2)</f>
        <v/>
      </c>
      <c r="Z468" s="27">
        <f>IF(ISNUMBER($V468),$A468&amp;"|"&amp;$V468,"")</f>
        <v/>
      </c>
      <c r="AA468" s="27">
        <f>IF(ISNUMBER($W468),$A468&amp;"|"&amp;$W468,"")</f>
        <v/>
      </c>
      <c r="AB468" s="27">
        <f>IF(ISNUMBER($F468),$A468&amp;"|"&amp;$F468,"")</f>
        <v/>
      </c>
      <c r="AC468" s="27">
        <f>IF(ISNUMBER($P468),COUNTIFS($A$14:$A$1213,$A468,$P$14:$P$1213,"&gt;"&amp;$P468)+(COUNTIFS($A$14:$A$1213,$A468,$P$14:$P$1213,"="&amp;$P468)+1)/2,"")</f>
        <v/>
      </c>
      <c r="AD468" s="27">
        <f>IF(ISNUMBER($Q468),COUNTIFS($A$14:$A$1213,$A468,$Q$14:$Q$1213,"&gt;"&amp;$Q468)+(COUNTIFS($A$14:$A$1213,$A468,$Q$14:$Q$1213,"="&amp;$Q468)+1)/2,"")</f>
        <v/>
      </c>
      <c r="AE468" s="27">
        <f>IF(ISNUMBER($R468),COUNTIFS($A$14:$A$1213,$A468,$R$14:$R$1213,"&gt;"&amp;$R468)+(COUNTIFS($A$14:$A$1213,$A468,$R$14:$R$1213,"="&amp;$R468)+1)/2,"")</f>
        <v/>
      </c>
      <c r="AF468" s="27">
        <f>IF(ISNUMBER($S468),COUNTIFS($A$14:$A$1213,$A468,$S$14:$S$1213,"&gt;"&amp;$S468)+(COUNTIFS($A$14:$A$1213,$A468,$S$14:$S$1213,"="&amp;$S468)+1)/2,"")</f>
        <v/>
      </c>
      <c r="AG468" s="27">
        <f>IF(ISNUMBER($T468),COUNTIFS($A$14:$A$1213,$A468,$T$14:$T$1213,"&gt;"&amp;$T468)+(COUNTIFS($A$14:$A$1213,$A468,$T$14:$T$1213,"="&amp;$T468)+1)/2,"")</f>
        <v/>
      </c>
      <c r="AH468" s="27">
        <f>IF(COUNT($AC468:$AG468)&lt;2,"",IF(MAX($AC468:$AG468)=MIN($AC468:$AG468),0,1))</f>
        <v/>
      </c>
      <c r="AI468" s="27">
        <f>IF($A468="","",IF(COUNTIF($A$14:$A468,$A468)=1,COUNTIF($AI$13:AI467,"&gt;0")+1,""))</f>
        <v/>
      </c>
      <c r="AO468" s="27">
        <f>IF($A468="","",IF(AND(COUNTIFS($A$14:$A$1213,$A468,$F$14:$F$1213,"&gt;=0")=2,IFERROR(INDEX($M$14:$M$313,MATCH($A468,$H$14:$H$313,0)),"Yes")&lt;&gt;"Yes"),1,0))</f>
        <v/>
      </c>
    </row>
    <row r="469">
      <c r="A469" s="19" t="n"/>
      <c r="B469" s="20" t="n"/>
      <c r="C469" s="21">
        <f>IFERROR(AVERAGE(P469:T469),"")</f>
        <v/>
      </c>
      <c r="D469" s="29" t="n"/>
      <c r="E469" s="29" t="n"/>
      <c r="F469" s="30">
        <f>IF(AND(ISNUMBER($D469),ISNUMBER($E469),$E469&gt;0,$D469&lt;=$E469),$D469/$E469,"")</f>
        <v/>
      </c>
      <c r="P469" s="26" t="n"/>
      <c r="Q469" s="26" t="n"/>
      <c r="R469" s="26" t="n"/>
      <c r="S469" s="26" t="n"/>
      <c r="T469" s="26" t="n"/>
      <c r="V469" s="27">
        <f>IF(ISNUMBER($C469),COUNTIFS($A$14:$A$1213,$A469,$C$14:$C$1213,"&gt;"&amp;$C469)+(COUNTIFS($A$14:$A$1213,$A469,$C$14:$C$1213,"="&amp;$C469)+1)/2,"")</f>
        <v/>
      </c>
      <c r="W469" s="27">
        <f>IF(ISNUMBER($F469),COUNTIFS($A$14:$A$1213,$A469,$F$14:$F$1213,"&gt;"&amp;$F469)+(COUNTIFS($A$14:$A$1213,$A469,$F$14:$F$1213,"="&amp;$F469)+1)/2,"")</f>
        <v/>
      </c>
      <c r="X469" s="27">
        <f>IF(OR(NOT(ISNUMBER($V469)),$AO469=1),"",$V469-(COUNTIFS($A$14:$A$1213,$A469,$C$14:$C$1213,"&gt;=0")+1)/2)</f>
        <v/>
      </c>
      <c r="Y469" s="27">
        <f>IF(OR(NOT(ISNUMBER($W469)),$AO469=1),"",$W469-(COUNTIFS($A$14:$A$1213,$A469,$F$14:$F$1213,"&gt;=0")+1)/2)</f>
        <v/>
      </c>
      <c r="Z469" s="27">
        <f>IF(ISNUMBER($V469),$A469&amp;"|"&amp;$V469,"")</f>
        <v/>
      </c>
      <c r="AA469" s="27">
        <f>IF(ISNUMBER($W469),$A469&amp;"|"&amp;$W469,"")</f>
        <v/>
      </c>
      <c r="AB469" s="27">
        <f>IF(ISNUMBER($F469),$A469&amp;"|"&amp;$F469,"")</f>
        <v/>
      </c>
      <c r="AC469" s="27">
        <f>IF(ISNUMBER($P469),COUNTIFS($A$14:$A$1213,$A469,$P$14:$P$1213,"&gt;"&amp;$P469)+(COUNTIFS($A$14:$A$1213,$A469,$P$14:$P$1213,"="&amp;$P469)+1)/2,"")</f>
        <v/>
      </c>
      <c r="AD469" s="27">
        <f>IF(ISNUMBER($Q469),COUNTIFS($A$14:$A$1213,$A469,$Q$14:$Q$1213,"&gt;"&amp;$Q469)+(COUNTIFS($A$14:$A$1213,$A469,$Q$14:$Q$1213,"="&amp;$Q469)+1)/2,"")</f>
        <v/>
      </c>
      <c r="AE469" s="27">
        <f>IF(ISNUMBER($R469),COUNTIFS($A$14:$A$1213,$A469,$R$14:$R$1213,"&gt;"&amp;$R469)+(COUNTIFS($A$14:$A$1213,$A469,$R$14:$R$1213,"="&amp;$R469)+1)/2,"")</f>
        <v/>
      </c>
      <c r="AF469" s="27">
        <f>IF(ISNUMBER($S469),COUNTIFS($A$14:$A$1213,$A469,$S$14:$S$1213,"&gt;"&amp;$S469)+(COUNTIFS($A$14:$A$1213,$A469,$S$14:$S$1213,"="&amp;$S469)+1)/2,"")</f>
        <v/>
      </c>
      <c r="AG469" s="27">
        <f>IF(ISNUMBER($T469),COUNTIFS($A$14:$A$1213,$A469,$T$14:$T$1213,"&gt;"&amp;$T469)+(COUNTIFS($A$14:$A$1213,$A469,$T$14:$T$1213,"="&amp;$T469)+1)/2,"")</f>
        <v/>
      </c>
      <c r="AH469" s="27">
        <f>IF(COUNT($AC469:$AG469)&lt;2,"",IF(MAX($AC469:$AG469)=MIN($AC469:$AG469),0,1))</f>
        <v/>
      </c>
      <c r="AI469" s="27">
        <f>IF($A469="","",IF(COUNTIF($A$14:$A469,$A469)=1,COUNTIF($AI$13:AI468,"&gt;0")+1,""))</f>
        <v/>
      </c>
      <c r="AO469" s="27">
        <f>IF($A469="","",IF(AND(COUNTIFS($A$14:$A$1213,$A469,$F$14:$F$1213,"&gt;=0")=2,IFERROR(INDEX($M$14:$M$313,MATCH($A469,$H$14:$H$313,0)),"Yes")&lt;&gt;"Yes"),1,0))</f>
        <v/>
      </c>
    </row>
    <row r="470">
      <c r="A470" s="19" t="n"/>
      <c r="B470" s="20" t="n"/>
      <c r="C470" s="21">
        <f>IFERROR(AVERAGE(P470:T470),"")</f>
        <v/>
      </c>
      <c r="D470" s="29" t="n"/>
      <c r="E470" s="29" t="n"/>
      <c r="F470" s="30">
        <f>IF(AND(ISNUMBER($D470),ISNUMBER($E470),$E470&gt;0,$D470&lt;=$E470),$D470/$E470,"")</f>
        <v/>
      </c>
      <c r="P470" s="26" t="n"/>
      <c r="Q470" s="26" t="n"/>
      <c r="R470" s="26" t="n"/>
      <c r="S470" s="26" t="n"/>
      <c r="T470" s="26" t="n"/>
      <c r="V470" s="27">
        <f>IF(ISNUMBER($C470),COUNTIFS($A$14:$A$1213,$A470,$C$14:$C$1213,"&gt;"&amp;$C470)+(COUNTIFS($A$14:$A$1213,$A470,$C$14:$C$1213,"="&amp;$C470)+1)/2,"")</f>
        <v/>
      </c>
      <c r="W470" s="27">
        <f>IF(ISNUMBER($F470),COUNTIFS($A$14:$A$1213,$A470,$F$14:$F$1213,"&gt;"&amp;$F470)+(COUNTIFS($A$14:$A$1213,$A470,$F$14:$F$1213,"="&amp;$F470)+1)/2,"")</f>
        <v/>
      </c>
      <c r="X470" s="27">
        <f>IF(OR(NOT(ISNUMBER($V470)),$AO470=1),"",$V470-(COUNTIFS($A$14:$A$1213,$A470,$C$14:$C$1213,"&gt;=0")+1)/2)</f>
        <v/>
      </c>
      <c r="Y470" s="27">
        <f>IF(OR(NOT(ISNUMBER($W470)),$AO470=1),"",$W470-(COUNTIFS($A$14:$A$1213,$A470,$F$14:$F$1213,"&gt;=0")+1)/2)</f>
        <v/>
      </c>
      <c r="Z470" s="27">
        <f>IF(ISNUMBER($V470),$A470&amp;"|"&amp;$V470,"")</f>
        <v/>
      </c>
      <c r="AA470" s="27">
        <f>IF(ISNUMBER($W470),$A470&amp;"|"&amp;$W470,"")</f>
        <v/>
      </c>
      <c r="AB470" s="27">
        <f>IF(ISNUMBER($F470),$A470&amp;"|"&amp;$F470,"")</f>
        <v/>
      </c>
      <c r="AC470" s="27">
        <f>IF(ISNUMBER($P470),COUNTIFS($A$14:$A$1213,$A470,$P$14:$P$1213,"&gt;"&amp;$P470)+(COUNTIFS($A$14:$A$1213,$A470,$P$14:$P$1213,"="&amp;$P470)+1)/2,"")</f>
        <v/>
      </c>
      <c r="AD470" s="27">
        <f>IF(ISNUMBER($Q470),COUNTIFS($A$14:$A$1213,$A470,$Q$14:$Q$1213,"&gt;"&amp;$Q470)+(COUNTIFS($A$14:$A$1213,$A470,$Q$14:$Q$1213,"="&amp;$Q470)+1)/2,"")</f>
        <v/>
      </c>
      <c r="AE470" s="27">
        <f>IF(ISNUMBER($R470),COUNTIFS($A$14:$A$1213,$A470,$R$14:$R$1213,"&gt;"&amp;$R470)+(COUNTIFS($A$14:$A$1213,$A470,$R$14:$R$1213,"="&amp;$R470)+1)/2,"")</f>
        <v/>
      </c>
      <c r="AF470" s="27">
        <f>IF(ISNUMBER($S470),COUNTIFS($A$14:$A$1213,$A470,$S$14:$S$1213,"&gt;"&amp;$S470)+(COUNTIFS($A$14:$A$1213,$A470,$S$14:$S$1213,"="&amp;$S470)+1)/2,"")</f>
        <v/>
      </c>
      <c r="AG470" s="27">
        <f>IF(ISNUMBER($T470),COUNTIFS($A$14:$A$1213,$A470,$T$14:$T$1213,"&gt;"&amp;$T470)+(COUNTIFS($A$14:$A$1213,$A470,$T$14:$T$1213,"="&amp;$T470)+1)/2,"")</f>
        <v/>
      </c>
      <c r="AH470" s="27">
        <f>IF(COUNT($AC470:$AG470)&lt;2,"",IF(MAX($AC470:$AG470)=MIN($AC470:$AG470),0,1))</f>
        <v/>
      </c>
      <c r="AI470" s="27">
        <f>IF($A470="","",IF(COUNTIF($A$14:$A470,$A470)=1,COUNTIF($AI$13:AI469,"&gt;0")+1,""))</f>
        <v/>
      </c>
      <c r="AO470" s="27">
        <f>IF($A470="","",IF(AND(COUNTIFS($A$14:$A$1213,$A470,$F$14:$F$1213,"&gt;=0")=2,IFERROR(INDEX($M$14:$M$313,MATCH($A470,$H$14:$H$313,0)),"Yes")&lt;&gt;"Yes"),1,0))</f>
        <v/>
      </c>
    </row>
    <row r="471">
      <c r="A471" s="19" t="n"/>
      <c r="B471" s="20" t="n"/>
      <c r="C471" s="21">
        <f>IFERROR(AVERAGE(P471:T471),"")</f>
        <v/>
      </c>
      <c r="D471" s="29" t="n"/>
      <c r="E471" s="29" t="n"/>
      <c r="F471" s="30">
        <f>IF(AND(ISNUMBER($D471),ISNUMBER($E471),$E471&gt;0,$D471&lt;=$E471),$D471/$E471,"")</f>
        <v/>
      </c>
      <c r="P471" s="26" t="n"/>
      <c r="Q471" s="26" t="n"/>
      <c r="R471" s="26" t="n"/>
      <c r="S471" s="26" t="n"/>
      <c r="T471" s="26" t="n"/>
      <c r="V471" s="27">
        <f>IF(ISNUMBER($C471),COUNTIFS($A$14:$A$1213,$A471,$C$14:$C$1213,"&gt;"&amp;$C471)+(COUNTIFS($A$14:$A$1213,$A471,$C$14:$C$1213,"="&amp;$C471)+1)/2,"")</f>
        <v/>
      </c>
      <c r="W471" s="27">
        <f>IF(ISNUMBER($F471),COUNTIFS($A$14:$A$1213,$A471,$F$14:$F$1213,"&gt;"&amp;$F471)+(COUNTIFS($A$14:$A$1213,$A471,$F$14:$F$1213,"="&amp;$F471)+1)/2,"")</f>
        <v/>
      </c>
      <c r="X471" s="27">
        <f>IF(OR(NOT(ISNUMBER($V471)),$AO471=1),"",$V471-(COUNTIFS($A$14:$A$1213,$A471,$C$14:$C$1213,"&gt;=0")+1)/2)</f>
        <v/>
      </c>
      <c r="Y471" s="27">
        <f>IF(OR(NOT(ISNUMBER($W471)),$AO471=1),"",$W471-(COUNTIFS($A$14:$A$1213,$A471,$F$14:$F$1213,"&gt;=0")+1)/2)</f>
        <v/>
      </c>
      <c r="Z471" s="27">
        <f>IF(ISNUMBER($V471),$A471&amp;"|"&amp;$V471,"")</f>
        <v/>
      </c>
      <c r="AA471" s="27">
        <f>IF(ISNUMBER($W471),$A471&amp;"|"&amp;$W471,"")</f>
        <v/>
      </c>
      <c r="AB471" s="27">
        <f>IF(ISNUMBER($F471),$A471&amp;"|"&amp;$F471,"")</f>
        <v/>
      </c>
      <c r="AC471" s="27">
        <f>IF(ISNUMBER($P471),COUNTIFS($A$14:$A$1213,$A471,$P$14:$P$1213,"&gt;"&amp;$P471)+(COUNTIFS($A$14:$A$1213,$A471,$P$14:$P$1213,"="&amp;$P471)+1)/2,"")</f>
        <v/>
      </c>
      <c r="AD471" s="27">
        <f>IF(ISNUMBER($Q471),COUNTIFS($A$14:$A$1213,$A471,$Q$14:$Q$1213,"&gt;"&amp;$Q471)+(COUNTIFS($A$14:$A$1213,$A471,$Q$14:$Q$1213,"="&amp;$Q471)+1)/2,"")</f>
        <v/>
      </c>
      <c r="AE471" s="27">
        <f>IF(ISNUMBER($R471),COUNTIFS($A$14:$A$1213,$A471,$R$14:$R$1213,"&gt;"&amp;$R471)+(COUNTIFS($A$14:$A$1213,$A471,$R$14:$R$1213,"="&amp;$R471)+1)/2,"")</f>
        <v/>
      </c>
      <c r="AF471" s="27">
        <f>IF(ISNUMBER($S471),COUNTIFS($A$14:$A$1213,$A471,$S$14:$S$1213,"&gt;"&amp;$S471)+(COUNTIFS($A$14:$A$1213,$A471,$S$14:$S$1213,"="&amp;$S471)+1)/2,"")</f>
        <v/>
      </c>
      <c r="AG471" s="27">
        <f>IF(ISNUMBER($T471),COUNTIFS($A$14:$A$1213,$A471,$T$14:$T$1213,"&gt;"&amp;$T471)+(COUNTIFS($A$14:$A$1213,$A471,$T$14:$T$1213,"="&amp;$T471)+1)/2,"")</f>
        <v/>
      </c>
      <c r="AH471" s="27">
        <f>IF(COUNT($AC471:$AG471)&lt;2,"",IF(MAX($AC471:$AG471)=MIN($AC471:$AG471),0,1))</f>
        <v/>
      </c>
      <c r="AI471" s="27">
        <f>IF($A471="","",IF(COUNTIF($A$14:$A471,$A471)=1,COUNTIF($AI$13:AI470,"&gt;0")+1,""))</f>
        <v/>
      </c>
      <c r="AO471" s="27">
        <f>IF($A471="","",IF(AND(COUNTIFS($A$14:$A$1213,$A471,$F$14:$F$1213,"&gt;=0")=2,IFERROR(INDEX($M$14:$M$313,MATCH($A471,$H$14:$H$313,0)),"Yes")&lt;&gt;"Yes"),1,0))</f>
        <v/>
      </c>
    </row>
    <row r="472">
      <c r="A472" s="19" t="n"/>
      <c r="B472" s="20" t="n"/>
      <c r="C472" s="21">
        <f>IFERROR(AVERAGE(P472:T472),"")</f>
        <v/>
      </c>
      <c r="D472" s="29" t="n"/>
      <c r="E472" s="29" t="n"/>
      <c r="F472" s="30">
        <f>IF(AND(ISNUMBER($D472),ISNUMBER($E472),$E472&gt;0,$D472&lt;=$E472),$D472/$E472,"")</f>
        <v/>
      </c>
      <c r="P472" s="26" t="n"/>
      <c r="Q472" s="26" t="n"/>
      <c r="R472" s="26" t="n"/>
      <c r="S472" s="26" t="n"/>
      <c r="T472" s="26" t="n"/>
      <c r="V472" s="27">
        <f>IF(ISNUMBER($C472),COUNTIFS($A$14:$A$1213,$A472,$C$14:$C$1213,"&gt;"&amp;$C472)+(COUNTIFS($A$14:$A$1213,$A472,$C$14:$C$1213,"="&amp;$C472)+1)/2,"")</f>
        <v/>
      </c>
      <c r="W472" s="27">
        <f>IF(ISNUMBER($F472),COUNTIFS($A$14:$A$1213,$A472,$F$14:$F$1213,"&gt;"&amp;$F472)+(COUNTIFS($A$14:$A$1213,$A472,$F$14:$F$1213,"="&amp;$F472)+1)/2,"")</f>
        <v/>
      </c>
      <c r="X472" s="27">
        <f>IF(OR(NOT(ISNUMBER($V472)),$AO472=1),"",$V472-(COUNTIFS($A$14:$A$1213,$A472,$C$14:$C$1213,"&gt;=0")+1)/2)</f>
        <v/>
      </c>
      <c r="Y472" s="27">
        <f>IF(OR(NOT(ISNUMBER($W472)),$AO472=1),"",$W472-(COUNTIFS($A$14:$A$1213,$A472,$F$14:$F$1213,"&gt;=0")+1)/2)</f>
        <v/>
      </c>
      <c r="Z472" s="27">
        <f>IF(ISNUMBER($V472),$A472&amp;"|"&amp;$V472,"")</f>
        <v/>
      </c>
      <c r="AA472" s="27">
        <f>IF(ISNUMBER($W472),$A472&amp;"|"&amp;$W472,"")</f>
        <v/>
      </c>
      <c r="AB472" s="27">
        <f>IF(ISNUMBER($F472),$A472&amp;"|"&amp;$F472,"")</f>
        <v/>
      </c>
      <c r="AC472" s="27">
        <f>IF(ISNUMBER($P472),COUNTIFS($A$14:$A$1213,$A472,$P$14:$P$1213,"&gt;"&amp;$P472)+(COUNTIFS($A$14:$A$1213,$A472,$P$14:$P$1213,"="&amp;$P472)+1)/2,"")</f>
        <v/>
      </c>
      <c r="AD472" s="27">
        <f>IF(ISNUMBER($Q472),COUNTIFS($A$14:$A$1213,$A472,$Q$14:$Q$1213,"&gt;"&amp;$Q472)+(COUNTIFS($A$14:$A$1213,$A472,$Q$14:$Q$1213,"="&amp;$Q472)+1)/2,"")</f>
        <v/>
      </c>
      <c r="AE472" s="27">
        <f>IF(ISNUMBER($R472),COUNTIFS($A$14:$A$1213,$A472,$R$14:$R$1213,"&gt;"&amp;$R472)+(COUNTIFS($A$14:$A$1213,$A472,$R$14:$R$1213,"="&amp;$R472)+1)/2,"")</f>
        <v/>
      </c>
      <c r="AF472" s="27">
        <f>IF(ISNUMBER($S472),COUNTIFS($A$14:$A$1213,$A472,$S$14:$S$1213,"&gt;"&amp;$S472)+(COUNTIFS($A$14:$A$1213,$A472,$S$14:$S$1213,"="&amp;$S472)+1)/2,"")</f>
        <v/>
      </c>
      <c r="AG472" s="27">
        <f>IF(ISNUMBER($T472),COUNTIFS($A$14:$A$1213,$A472,$T$14:$T$1213,"&gt;"&amp;$T472)+(COUNTIFS($A$14:$A$1213,$A472,$T$14:$T$1213,"="&amp;$T472)+1)/2,"")</f>
        <v/>
      </c>
      <c r="AH472" s="27">
        <f>IF(COUNT($AC472:$AG472)&lt;2,"",IF(MAX($AC472:$AG472)=MIN($AC472:$AG472),0,1))</f>
        <v/>
      </c>
      <c r="AI472" s="27">
        <f>IF($A472="","",IF(COUNTIF($A$14:$A472,$A472)=1,COUNTIF($AI$13:AI471,"&gt;0")+1,""))</f>
        <v/>
      </c>
      <c r="AO472" s="27">
        <f>IF($A472="","",IF(AND(COUNTIFS($A$14:$A$1213,$A472,$F$14:$F$1213,"&gt;=0")=2,IFERROR(INDEX($M$14:$M$313,MATCH($A472,$H$14:$H$313,0)),"Yes")&lt;&gt;"Yes"),1,0))</f>
        <v/>
      </c>
    </row>
    <row r="473">
      <c r="A473" s="19" t="n"/>
      <c r="B473" s="20" t="n"/>
      <c r="C473" s="21">
        <f>IFERROR(AVERAGE(P473:T473),"")</f>
        <v/>
      </c>
      <c r="D473" s="29" t="n"/>
      <c r="E473" s="29" t="n"/>
      <c r="F473" s="30">
        <f>IF(AND(ISNUMBER($D473),ISNUMBER($E473),$E473&gt;0,$D473&lt;=$E473),$D473/$E473,"")</f>
        <v/>
      </c>
      <c r="P473" s="26" t="n"/>
      <c r="Q473" s="26" t="n"/>
      <c r="R473" s="26" t="n"/>
      <c r="S473" s="26" t="n"/>
      <c r="T473" s="26" t="n"/>
      <c r="V473" s="27">
        <f>IF(ISNUMBER($C473),COUNTIFS($A$14:$A$1213,$A473,$C$14:$C$1213,"&gt;"&amp;$C473)+(COUNTIFS($A$14:$A$1213,$A473,$C$14:$C$1213,"="&amp;$C473)+1)/2,"")</f>
        <v/>
      </c>
      <c r="W473" s="27">
        <f>IF(ISNUMBER($F473),COUNTIFS($A$14:$A$1213,$A473,$F$14:$F$1213,"&gt;"&amp;$F473)+(COUNTIFS($A$14:$A$1213,$A473,$F$14:$F$1213,"="&amp;$F473)+1)/2,"")</f>
        <v/>
      </c>
      <c r="X473" s="27">
        <f>IF(OR(NOT(ISNUMBER($V473)),$AO473=1),"",$V473-(COUNTIFS($A$14:$A$1213,$A473,$C$14:$C$1213,"&gt;=0")+1)/2)</f>
        <v/>
      </c>
      <c r="Y473" s="27">
        <f>IF(OR(NOT(ISNUMBER($W473)),$AO473=1),"",$W473-(COUNTIFS($A$14:$A$1213,$A473,$F$14:$F$1213,"&gt;=0")+1)/2)</f>
        <v/>
      </c>
      <c r="Z473" s="27">
        <f>IF(ISNUMBER($V473),$A473&amp;"|"&amp;$V473,"")</f>
        <v/>
      </c>
      <c r="AA473" s="27">
        <f>IF(ISNUMBER($W473),$A473&amp;"|"&amp;$W473,"")</f>
        <v/>
      </c>
      <c r="AB473" s="27">
        <f>IF(ISNUMBER($F473),$A473&amp;"|"&amp;$F473,"")</f>
        <v/>
      </c>
      <c r="AC473" s="27">
        <f>IF(ISNUMBER($P473),COUNTIFS($A$14:$A$1213,$A473,$P$14:$P$1213,"&gt;"&amp;$P473)+(COUNTIFS($A$14:$A$1213,$A473,$P$14:$P$1213,"="&amp;$P473)+1)/2,"")</f>
        <v/>
      </c>
      <c r="AD473" s="27">
        <f>IF(ISNUMBER($Q473),COUNTIFS($A$14:$A$1213,$A473,$Q$14:$Q$1213,"&gt;"&amp;$Q473)+(COUNTIFS($A$14:$A$1213,$A473,$Q$14:$Q$1213,"="&amp;$Q473)+1)/2,"")</f>
        <v/>
      </c>
      <c r="AE473" s="27">
        <f>IF(ISNUMBER($R473),COUNTIFS($A$14:$A$1213,$A473,$R$14:$R$1213,"&gt;"&amp;$R473)+(COUNTIFS($A$14:$A$1213,$A473,$R$14:$R$1213,"="&amp;$R473)+1)/2,"")</f>
        <v/>
      </c>
      <c r="AF473" s="27">
        <f>IF(ISNUMBER($S473),COUNTIFS($A$14:$A$1213,$A473,$S$14:$S$1213,"&gt;"&amp;$S473)+(COUNTIFS($A$14:$A$1213,$A473,$S$14:$S$1213,"="&amp;$S473)+1)/2,"")</f>
        <v/>
      </c>
      <c r="AG473" s="27">
        <f>IF(ISNUMBER($T473),COUNTIFS($A$14:$A$1213,$A473,$T$14:$T$1213,"&gt;"&amp;$T473)+(COUNTIFS($A$14:$A$1213,$A473,$T$14:$T$1213,"="&amp;$T473)+1)/2,"")</f>
        <v/>
      </c>
      <c r="AH473" s="27">
        <f>IF(COUNT($AC473:$AG473)&lt;2,"",IF(MAX($AC473:$AG473)=MIN($AC473:$AG473),0,1))</f>
        <v/>
      </c>
      <c r="AI473" s="27">
        <f>IF($A473="","",IF(COUNTIF($A$14:$A473,$A473)=1,COUNTIF($AI$13:AI472,"&gt;0")+1,""))</f>
        <v/>
      </c>
      <c r="AO473" s="27">
        <f>IF($A473="","",IF(AND(COUNTIFS($A$14:$A$1213,$A473,$F$14:$F$1213,"&gt;=0")=2,IFERROR(INDEX($M$14:$M$313,MATCH($A473,$H$14:$H$313,0)),"Yes")&lt;&gt;"Yes"),1,0))</f>
        <v/>
      </c>
    </row>
    <row r="474">
      <c r="A474" s="19" t="n"/>
      <c r="B474" s="20" t="n"/>
      <c r="C474" s="21">
        <f>IFERROR(AVERAGE(P474:T474),"")</f>
        <v/>
      </c>
      <c r="D474" s="29" t="n"/>
      <c r="E474" s="29" t="n"/>
      <c r="F474" s="30">
        <f>IF(AND(ISNUMBER($D474),ISNUMBER($E474),$E474&gt;0,$D474&lt;=$E474),$D474/$E474,"")</f>
        <v/>
      </c>
      <c r="P474" s="26" t="n"/>
      <c r="Q474" s="26" t="n"/>
      <c r="R474" s="26" t="n"/>
      <c r="S474" s="26" t="n"/>
      <c r="T474" s="26" t="n"/>
      <c r="V474" s="27">
        <f>IF(ISNUMBER($C474),COUNTIFS($A$14:$A$1213,$A474,$C$14:$C$1213,"&gt;"&amp;$C474)+(COUNTIFS($A$14:$A$1213,$A474,$C$14:$C$1213,"="&amp;$C474)+1)/2,"")</f>
        <v/>
      </c>
      <c r="W474" s="27">
        <f>IF(ISNUMBER($F474),COUNTIFS($A$14:$A$1213,$A474,$F$14:$F$1213,"&gt;"&amp;$F474)+(COUNTIFS($A$14:$A$1213,$A474,$F$14:$F$1213,"="&amp;$F474)+1)/2,"")</f>
        <v/>
      </c>
      <c r="X474" s="27">
        <f>IF(OR(NOT(ISNUMBER($V474)),$AO474=1),"",$V474-(COUNTIFS($A$14:$A$1213,$A474,$C$14:$C$1213,"&gt;=0")+1)/2)</f>
        <v/>
      </c>
      <c r="Y474" s="27">
        <f>IF(OR(NOT(ISNUMBER($W474)),$AO474=1),"",$W474-(COUNTIFS($A$14:$A$1213,$A474,$F$14:$F$1213,"&gt;=0")+1)/2)</f>
        <v/>
      </c>
      <c r="Z474" s="27">
        <f>IF(ISNUMBER($V474),$A474&amp;"|"&amp;$V474,"")</f>
        <v/>
      </c>
      <c r="AA474" s="27">
        <f>IF(ISNUMBER($W474),$A474&amp;"|"&amp;$W474,"")</f>
        <v/>
      </c>
      <c r="AB474" s="27">
        <f>IF(ISNUMBER($F474),$A474&amp;"|"&amp;$F474,"")</f>
        <v/>
      </c>
      <c r="AC474" s="27">
        <f>IF(ISNUMBER($P474),COUNTIFS($A$14:$A$1213,$A474,$P$14:$P$1213,"&gt;"&amp;$P474)+(COUNTIFS($A$14:$A$1213,$A474,$P$14:$P$1213,"="&amp;$P474)+1)/2,"")</f>
        <v/>
      </c>
      <c r="AD474" s="27">
        <f>IF(ISNUMBER($Q474),COUNTIFS($A$14:$A$1213,$A474,$Q$14:$Q$1213,"&gt;"&amp;$Q474)+(COUNTIFS($A$14:$A$1213,$A474,$Q$14:$Q$1213,"="&amp;$Q474)+1)/2,"")</f>
        <v/>
      </c>
      <c r="AE474" s="27">
        <f>IF(ISNUMBER($R474),COUNTIFS($A$14:$A$1213,$A474,$R$14:$R$1213,"&gt;"&amp;$R474)+(COUNTIFS($A$14:$A$1213,$A474,$R$14:$R$1213,"="&amp;$R474)+1)/2,"")</f>
        <v/>
      </c>
      <c r="AF474" s="27">
        <f>IF(ISNUMBER($S474),COUNTIFS($A$14:$A$1213,$A474,$S$14:$S$1213,"&gt;"&amp;$S474)+(COUNTIFS($A$14:$A$1213,$A474,$S$14:$S$1213,"="&amp;$S474)+1)/2,"")</f>
        <v/>
      </c>
      <c r="AG474" s="27">
        <f>IF(ISNUMBER($T474),COUNTIFS($A$14:$A$1213,$A474,$T$14:$T$1213,"&gt;"&amp;$T474)+(COUNTIFS($A$14:$A$1213,$A474,$T$14:$T$1213,"="&amp;$T474)+1)/2,"")</f>
        <v/>
      </c>
      <c r="AH474" s="27">
        <f>IF(COUNT($AC474:$AG474)&lt;2,"",IF(MAX($AC474:$AG474)=MIN($AC474:$AG474),0,1))</f>
        <v/>
      </c>
      <c r="AI474" s="27">
        <f>IF($A474="","",IF(COUNTIF($A$14:$A474,$A474)=1,COUNTIF($AI$13:AI473,"&gt;0")+1,""))</f>
        <v/>
      </c>
      <c r="AO474" s="27">
        <f>IF($A474="","",IF(AND(COUNTIFS($A$14:$A$1213,$A474,$F$14:$F$1213,"&gt;=0")=2,IFERROR(INDEX($M$14:$M$313,MATCH($A474,$H$14:$H$313,0)),"Yes")&lt;&gt;"Yes"),1,0))</f>
        <v/>
      </c>
    </row>
    <row r="475">
      <c r="A475" s="19" t="n"/>
      <c r="B475" s="20" t="n"/>
      <c r="C475" s="21">
        <f>IFERROR(AVERAGE(P475:T475),"")</f>
        <v/>
      </c>
      <c r="D475" s="29" t="n"/>
      <c r="E475" s="29" t="n"/>
      <c r="F475" s="30">
        <f>IF(AND(ISNUMBER($D475),ISNUMBER($E475),$E475&gt;0,$D475&lt;=$E475),$D475/$E475,"")</f>
        <v/>
      </c>
      <c r="P475" s="26" t="n"/>
      <c r="Q475" s="26" t="n"/>
      <c r="R475" s="26" t="n"/>
      <c r="S475" s="26" t="n"/>
      <c r="T475" s="26" t="n"/>
      <c r="V475" s="27">
        <f>IF(ISNUMBER($C475),COUNTIFS($A$14:$A$1213,$A475,$C$14:$C$1213,"&gt;"&amp;$C475)+(COUNTIFS($A$14:$A$1213,$A475,$C$14:$C$1213,"="&amp;$C475)+1)/2,"")</f>
        <v/>
      </c>
      <c r="W475" s="27">
        <f>IF(ISNUMBER($F475),COUNTIFS($A$14:$A$1213,$A475,$F$14:$F$1213,"&gt;"&amp;$F475)+(COUNTIFS($A$14:$A$1213,$A475,$F$14:$F$1213,"="&amp;$F475)+1)/2,"")</f>
        <v/>
      </c>
      <c r="X475" s="27">
        <f>IF(OR(NOT(ISNUMBER($V475)),$AO475=1),"",$V475-(COUNTIFS($A$14:$A$1213,$A475,$C$14:$C$1213,"&gt;=0")+1)/2)</f>
        <v/>
      </c>
      <c r="Y475" s="27">
        <f>IF(OR(NOT(ISNUMBER($W475)),$AO475=1),"",$W475-(COUNTIFS($A$14:$A$1213,$A475,$F$14:$F$1213,"&gt;=0")+1)/2)</f>
        <v/>
      </c>
      <c r="Z475" s="27">
        <f>IF(ISNUMBER($V475),$A475&amp;"|"&amp;$V475,"")</f>
        <v/>
      </c>
      <c r="AA475" s="27">
        <f>IF(ISNUMBER($W475),$A475&amp;"|"&amp;$W475,"")</f>
        <v/>
      </c>
      <c r="AB475" s="27">
        <f>IF(ISNUMBER($F475),$A475&amp;"|"&amp;$F475,"")</f>
        <v/>
      </c>
      <c r="AC475" s="27">
        <f>IF(ISNUMBER($P475),COUNTIFS($A$14:$A$1213,$A475,$P$14:$P$1213,"&gt;"&amp;$P475)+(COUNTIFS($A$14:$A$1213,$A475,$P$14:$P$1213,"="&amp;$P475)+1)/2,"")</f>
        <v/>
      </c>
      <c r="AD475" s="27">
        <f>IF(ISNUMBER($Q475),COUNTIFS($A$14:$A$1213,$A475,$Q$14:$Q$1213,"&gt;"&amp;$Q475)+(COUNTIFS($A$14:$A$1213,$A475,$Q$14:$Q$1213,"="&amp;$Q475)+1)/2,"")</f>
        <v/>
      </c>
      <c r="AE475" s="27">
        <f>IF(ISNUMBER($R475),COUNTIFS($A$14:$A$1213,$A475,$R$14:$R$1213,"&gt;"&amp;$R475)+(COUNTIFS($A$14:$A$1213,$A475,$R$14:$R$1213,"="&amp;$R475)+1)/2,"")</f>
        <v/>
      </c>
      <c r="AF475" s="27">
        <f>IF(ISNUMBER($S475),COUNTIFS($A$14:$A$1213,$A475,$S$14:$S$1213,"&gt;"&amp;$S475)+(COUNTIFS($A$14:$A$1213,$A475,$S$14:$S$1213,"="&amp;$S475)+1)/2,"")</f>
        <v/>
      </c>
      <c r="AG475" s="27">
        <f>IF(ISNUMBER($T475),COUNTIFS($A$14:$A$1213,$A475,$T$14:$T$1213,"&gt;"&amp;$T475)+(COUNTIFS($A$14:$A$1213,$A475,$T$14:$T$1213,"="&amp;$T475)+1)/2,"")</f>
        <v/>
      </c>
      <c r="AH475" s="27">
        <f>IF(COUNT($AC475:$AG475)&lt;2,"",IF(MAX($AC475:$AG475)=MIN($AC475:$AG475),0,1))</f>
        <v/>
      </c>
      <c r="AI475" s="27">
        <f>IF($A475="","",IF(COUNTIF($A$14:$A475,$A475)=1,COUNTIF($AI$13:AI474,"&gt;0")+1,""))</f>
        <v/>
      </c>
      <c r="AO475" s="27">
        <f>IF($A475="","",IF(AND(COUNTIFS($A$14:$A$1213,$A475,$F$14:$F$1213,"&gt;=0")=2,IFERROR(INDEX($M$14:$M$313,MATCH($A475,$H$14:$H$313,0)),"Yes")&lt;&gt;"Yes"),1,0))</f>
        <v/>
      </c>
    </row>
    <row r="476">
      <c r="A476" s="19" t="n"/>
      <c r="B476" s="20" t="n"/>
      <c r="C476" s="21">
        <f>IFERROR(AVERAGE(P476:T476),"")</f>
        <v/>
      </c>
      <c r="D476" s="29" t="n"/>
      <c r="E476" s="29" t="n"/>
      <c r="F476" s="30">
        <f>IF(AND(ISNUMBER($D476),ISNUMBER($E476),$E476&gt;0,$D476&lt;=$E476),$D476/$E476,"")</f>
        <v/>
      </c>
      <c r="P476" s="26" t="n"/>
      <c r="Q476" s="26" t="n"/>
      <c r="R476" s="26" t="n"/>
      <c r="S476" s="26" t="n"/>
      <c r="T476" s="26" t="n"/>
      <c r="V476" s="27">
        <f>IF(ISNUMBER($C476),COUNTIFS($A$14:$A$1213,$A476,$C$14:$C$1213,"&gt;"&amp;$C476)+(COUNTIFS($A$14:$A$1213,$A476,$C$14:$C$1213,"="&amp;$C476)+1)/2,"")</f>
        <v/>
      </c>
      <c r="W476" s="27">
        <f>IF(ISNUMBER($F476),COUNTIFS($A$14:$A$1213,$A476,$F$14:$F$1213,"&gt;"&amp;$F476)+(COUNTIFS($A$14:$A$1213,$A476,$F$14:$F$1213,"="&amp;$F476)+1)/2,"")</f>
        <v/>
      </c>
      <c r="X476" s="27">
        <f>IF(OR(NOT(ISNUMBER($V476)),$AO476=1),"",$V476-(COUNTIFS($A$14:$A$1213,$A476,$C$14:$C$1213,"&gt;=0")+1)/2)</f>
        <v/>
      </c>
      <c r="Y476" s="27">
        <f>IF(OR(NOT(ISNUMBER($W476)),$AO476=1),"",$W476-(COUNTIFS($A$14:$A$1213,$A476,$F$14:$F$1213,"&gt;=0")+1)/2)</f>
        <v/>
      </c>
      <c r="Z476" s="27">
        <f>IF(ISNUMBER($V476),$A476&amp;"|"&amp;$V476,"")</f>
        <v/>
      </c>
      <c r="AA476" s="27">
        <f>IF(ISNUMBER($W476),$A476&amp;"|"&amp;$W476,"")</f>
        <v/>
      </c>
      <c r="AB476" s="27">
        <f>IF(ISNUMBER($F476),$A476&amp;"|"&amp;$F476,"")</f>
        <v/>
      </c>
      <c r="AC476" s="27">
        <f>IF(ISNUMBER($P476),COUNTIFS($A$14:$A$1213,$A476,$P$14:$P$1213,"&gt;"&amp;$P476)+(COUNTIFS($A$14:$A$1213,$A476,$P$14:$P$1213,"="&amp;$P476)+1)/2,"")</f>
        <v/>
      </c>
      <c r="AD476" s="27">
        <f>IF(ISNUMBER($Q476),COUNTIFS($A$14:$A$1213,$A476,$Q$14:$Q$1213,"&gt;"&amp;$Q476)+(COUNTIFS($A$14:$A$1213,$A476,$Q$14:$Q$1213,"="&amp;$Q476)+1)/2,"")</f>
        <v/>
      </c>
      <c r="AE476" s="27">
        <f>IF(ISNUMBER($R476),COUNTIFS($A$14:$A$1213,$A476,$R$14:$R$1213,"&gt;"&amp;$R476)+(COUNTIFS($A$14:$A$1213,$A476,$R$14:$R$1213,"="&amp;$R476)+1)/2,"")</f>
        <v/>
      </c>
      <c r="AF476" s="27">
        <f>IF(ISNUMBER($S476),COUNTIFS($A$14:$A$1213,$A476,$S$14:$S$1213,"&gt;"&amp;$S476)+(COUNTIFS($A$14:$A$1213,$A476,$S$14:$S$1213,"="&amp;$S476)+1)/2,"")</f>
        <v/>
      </c>
      <c r="AG476" s="27">
        <f>IF(ISNUMBER($T476),COUNTIFS($A$14:$A$1213,$A476,$T$14:$T$1213,"&gt;"&amp;$T476)+(COUNTIFS($A$14:$A$1213,$A476,$T$14:$T$1213,"="&amp;$T476)+1)/2,"")</f>
        <v/>
      </c>
      <c r="AH476" s="27">
        <f>IF(COUNT($AC476:$AG476)&lt;2,"",IF(MAX($AC476:$AG476)=MIN($AC476:$AG476),0,1))</f>
        <v/>
      </c>
      <c r="AI476" s="27">
        <f>IF($A476="","",IF(COUNTIF($A$14:$A476,$A476)=1,COUNTIF($AI$13:AI475,"&gt;0")+1,""))</f>
        <v/>
      </c>
      <c r="AO476" s="27">
        <f>IF($A476="","",IF(AND(COUNTIFS($A$14:$A$1213,$A476,$F$14:$F$1213,"&gt;=0")=2,IFERROR(INDEX($M$14:$M$313,MATCH($A476,$H$14:$H$313,0)),"Yes")&lt;&gt;"Yes"),1,0))</f>
        <v/>
      </c>
    </row>
    <row r="477">
      <c r="A477" s="19" t="n"/>
      <c r="B477" s="20" t="n"/>
      <c r="C477" s="21">
        <f>IFERROR(AVERAGE(P477:T477),"")</f>
        <v/>
      </c>
      <c r="D477" s="29" t="n"/>
      <c r="E477" s="29" t="n"/>
      <c r="F477" s="30">
        <f>IF(AND(ISNUMBER($D477),ISNUMBER($E477),$E477&gt;0,$D477&lt;=$E477),$D477/$E477,"")</f>
        <v/>
      </c>
      <c r="P477" s="26" t="n"/>
      <c r="Q477" s="26" t="n"/>
      <c r="R477" s="26" t="n"/>
      <c r="S477" s="26" t="n"/>
      <c r="T477" s="26" t="n"/>
      <c r="V477" s="27">
        <f>IF(ISNUMBER($C477),COUNTIFS($A$14:$A$1213,$A477,$C$14:$C$1213,"&gt;"&amp;$C477)+(COUNTIFS($A$14:$A$1213,$A477,$C$14:$C$1213,"="&amp;$C477)+1)/2,"")</f>
        <v/>
      </c>
      <c r="W477" s="27">
        <f>IF(ISNUMBER($F477),COUNTIFS($A$14:$A$1213,$A477,$F$14:$F$1213,"&gt;"&amp;$F477)+(COUNTIFS($A$14:$A$1213,$A477,$F$14:$F$1213,"="&amp;$F477)+1)/2,"")</f>
        <v/>
      </c>
      <c r="X477" s="27">
        <f>IF(OR(NOT(ISNUMBER($V477)),$AO477=1),"",$V477-(COUNTIFS($A$14:$A$1213,$A477,$C$14:$C$1213,"&gt;=0")+1)/2)</f>
        <v/>
      </c>
      <c r="Y477" s="27">
        <f>IF(OR(NOT(ISNUMBER($W477)),$AO477=1),"",$W477-(COUNTIFS($A$14:$A$1213,$A477,$F$14:$F$1213,"&gt;=0")+1)/2)</f>
        <v/>
      </c>
      <c r="Z477" s="27">
        <f>IF(ISNUMBER($V477),$A477&amp;"|"&amp;$V477,"")</f>
        <v/>
      </c>
      <c r="AA477" s="27">
        <f>IF(ISNUMBER($W477),$A477&amp;"|"&amp;$W477,"")</f>
        <v/>
      </c>
      <c r="AB477" s="27">
        <f>IF(ISNUMBER($F477),$A477&amp;"|"&amp;$F477,"")</f>
        <v/>
      </c>
      <c r="AC477" s="27">
        <f>IF(ISNUMBER($P477),COUNTIFS($A$14:$A$1213,$A477,$P$14:$P$1213,"&gt;"&amp;$P477)+(COUNTIFS($A$14:$A$1213,$A477,$P$14:$P$1213,"="&amp;$P477)+1)/2,"")</f>
        <v/>
      </c>
      <c r="AD477" s="27">
        <f>IF(ISNUMBER($Q477),COUNTIFS($A$14:$A$1213,$A477,$Q$14:$Q$1213,"&gt;"&amp;$Q477)+(COUNTIFS($A$14:$A$1213,$A477,$Q$14:$Q$1213,"="&amp;$Q477)+1)/2,"")</f>
        <v/>
      </c>
      <c r="AE477" s="27">
        <f>IF(ISNUMBER($R477),COUNTIFS($A$14:$A$1213,$A477,$R$14:$R$1213,"&gt;"&amp;$R477)+(COUNTIFS($A$14:$A$1213,$A477,$R$14:$R$1213,"="&amp;$R477)+1)/2,"")</f>
        <v/>
      </c>
      <c r="AF477" s="27">
        <f>IF(ISNUMBER($S477),COUNTIFS($A$14:$A$1213,$A477,$S$14:$S$1213,"&gt;"&amp;$S477)+(COUNTIFS($A$14:$A$1213,$A477,$S$14:$S$1213,"="&amp;$S477)+1)/2,"")</f>
        <v/>
      </c>
      <c r="AG477" s="27">
        <f>IF(ISNUMBER($T477),COUNTIFS($A$14:$A$1213,$A477,$T$14:$T$1213,"&gt;"&amp;$T477)+(COUNTIFS($A$14:$A$1213,$A477,$T$14:$T$1213,"="&amp;$T477)+1)/2,"")</f>
        <v/>
      </c>
      <c r="AH477" s="27">
        <f>IF(COUNT($AC477:$AG477)&lt;2,"",IF(MAX($AC477:$AG477)=MIN($AC477:$AG477),0,1))</f>
        <v/>
      </c>
      <c r="AI477" s="27">
        <f>IF($A477="","",IF(COUNTIF($A$14:$A477,$A477)=1,COUNTIF($AI$13:AI476,"&gt;0")+1,""))</f>
        <v/>
      </c>
      <c r="AO477" s="27">
        <f>IF($A477="","",IF(AND(COUNTIFS($A$14:$A$1213,$A477,$F$14:$F$1213,"&gt;=0")=2,IFERROR(INDEX($M$14:$M$313,MATCH($A477,$H$14:$H$313,0)),"Yes")&lt;&gt;"Yes"),1,0))</f>
        <v/>
      </c>
    </row>
    <row r="478">
      <c r="A478" s="19" t="n"/>
      <c r="B478" s="20" t="n"/>
      <c r="C478" s="21">
        <f>IFERROR(AVERAGE(P478:T478),"")</f>
        <v/>
      </c>
      <c r="D478" s="29" t="n"/>
      <c r="E478" s="29" t="n"/>
      <c r="F478" s="30">
        <f>IF(AND(ISNUMBER($D478),ISNUMBER($E478),$E478&gt;0,$D478&lt;=$E478),$D478/$E478,"")</f>
        <v/>
      </c>
      <c r="P478" s="26" t="n"/>
      <c r="Q478" s="26" t="n"/>
      <c r="R478" s="26" t="n"/>
      <c r="S478" s="26" t="n"/>
      <c r="T478" s="26" t="n"/>
      <c r="V478" s="27">
        <f>IF(ISNUMBER($C478),COUNTIFS($A$14:$A$1213,$A478,$C$14:$C$1213,"&gt;"&amp;$C478)+(COUNTIFS($A$14:$A$1213,$A478,$C$14:$C$1213,"="&amp;$C478)+1)/2,"")</f>
        <v/>
      </c>
      <c r="W478" s="27">
        <f>IF(ISNUMBER($F478),COUNTIFS($A$14:$A$1213,$A478,$F$14:$F$1213,"&gt;"&amp;$F478)+(COUNTIFS($A$14:$A$1213,$A478,$F$14:$F$1213,"="&amp;$F478)+1)/2,"")</f>
        <v/>
      </c>
      <c r="X478" s="27">
        <f>IF(OR(NOT(ISNUMBER($V478)),$AO478=1),"",$V478-(COUNTIFS($A$14:$A$1213,$A478,$C$14:$C$1213,"&gt;=0")+1)/2)</f>
        <v/>
      </c>
      <c r="Y478" s="27">
        <f>IF(OR(NOT(ISNUMBER($W478)),$AO478=1),"",$W478-(COUNTIFS($A$14:$A$1213,$A478,$F$14:$F$1213,"&gt;=0")+1)/2)</f>
        <v/>
      </c>
      <c r="Z478" s="27">
        <f>IF(ISNUMBER($V478),$A478&amp;"|"&amp;$V478,"")</f>
        <v/>
      </c>
      <c r="AA478" s="27">
        <f>IF(ISNUMBER($W478),$A478&amp;"|"&amp;$W478,"")</f>
        <v/>
      </c>
      <c r="AB478" s="27">
        <f>IF(ISNUMBER($F478),$A478&amp;"|"&amp;$F478,"")</f>
        <v/>
      </c>
      <c r="AC478" s="27">
        <f>IF(ISNUMBER($P478),COUNTIFS($A$14:$A$1213,$A478,$P$14:$P$1213,"&gt;"&amp;$P478)+(COUNTIFS($A$14:$A$1213,$A478,$P$14:$P$1213,"="&amp;$P478)+1)/2,"")</f>
        <v/>
      </c>
      <c r="AD478" s="27">
        <f>IF(ISNUMBER($Q478),COUNTIFS($A$14:$A$1213,$A478,$Q$14:$Q$1213,"&gt;"&amp;$Q478)+(COUNTIFS($A$14:$A$1213,$A478,$Q$14:$Q$1213,"="&amp;$Q478)+1)/2,"")</f>
        <v/>
      </c>
      <c r="AE478" s="27">
        <f>IF(ISNUMBER($R478),COUNTIFS($A$14:$A$1213,$A478,$R$14:$R$1213,"&gt;"&amp;$R478)+(COUNTIFS($A$14:$A$1213,$A478,$R$14:$R$1213,"="&amp;$R478)+1)/2,"")</f>
        <v/>
      </c>
      <c r="AF478" s="27">
        <f>IF(ISNUMBER($S478),COUNTIFS($A$14:$A$1213,$A478,$S$14:$S$1213,"&gt;"&amp;$S478)+(COUNTIFS($A$14:$A$1213,$A478,$S$14:$S$1213,"="&amp;$S478)+1)/2,"")</f>
        <v/>
      </c>
      <c r="AG478" s="27">
        <f>IF(ISNUMBER($T478),COUNTIFS($A$14:$A$1213,$A478,$T$14:$T$1213,"&gt;"&amp;$T478)+(COUNTIFS($A$14:$A$1213,$A478,$T$14:$T$1213,"="&amp;$T478)+1)/2,"")</f>
        <v/>
      </c>
      <c r="AH478" s="27">
        <f>IF(COUNT($AC478:$AG478)&lt;2,"",IF(MAX($AC478:$AG478)=MIN($AC478:$AG478),0,1))</f>
        <v/>
      </c>
      <c r="AI478" s="27">
        <f>IF($A478="","",IF(COUNTIF($A$14:$A478,$A478)=1,COUNTIF($AI$13:AI477,"&gt;0")+1,""))</f>
        <v/>
      </c>
      <c r="AO478" s="27">
        <f>IF($A478="","",IF(AND(COUNTIFS($A$14:$A$1213,$A478,$F$14:$F$1213,"&gt;=0")=2,IFERROR(INDEX($M$14:$M$313,MATCH($A478,$H$14:$H$313,0)),"Yes")&lt;&gt;"Yes"),1,0))</f>
        <v/>
      </c>
    </row>
    <row r="479">
      <c r="A479" s="19" t="n"/>
      <c r="B479" s="20" t="n"/>
      <c r="C479" s="21">
        <f>IFERROR(AVERAGE(P479:T479),"")</f>
        <v/>
      </c>
      <c r="D479" s="29" t="n"/>
      <c r="E479" s="29" t="n"/>
      <c r="F479" s="30">
        <f>IF(AND(ISNUMBER($D479),ISNUMBER($E479),$E479&gt;0,$D479&lt;=$E479),$D479/$E479,"")</f>
        <v/>
      </c>
      <c r="P479" s="26" t="n"/>
      <c r="Q479" s="26" t="n"/>
      <c r="R479" s="26" t="n"/>
      <c r="S479" s="26" t="n"/>
      <c r="T479" s="26" t="n"/>
      <c r="V479" s="27">
        <f>IF(ISNUMBER($C479),COUNTIFS($A$14:$A$1213,$A479,$C$14:$C$1213,"&gt;"&amp;$C479)+(COUNTIFS($A$14:$A$1213,$A479,$C$14:$C$1213,"="&amp;$C479)+1)/2,"")</f>
        <v/>
      </c>
      <c r="W479" s="27">
        <f>IF(ISNUMBER($F479),COUNTIFS($A$14:$A$1213,$A479,$F$14:$F$1213,"&gt;"&amp;$F479)+(COUNTIFS($A$14:$A$1213,$A479,$F$14:$F$1213,"="&amp;$F479)+1)/2,"")</f>
        <v/>
      </c>
      <c r="X479" s="27">
        <f>IF(OR(NOT(ISNUMBER($V479)),$AO479=1),"",$V479-(COUNTIFS($A$14:$A$1213,$A479,$C$14:$C$1213,"&gt;=0")+1)/2)</f>
        <v/>
      </c>
      <c r="Y479" s="27">
        <f>IF(OR(NOT(ISNUMBER($W479)),$AO479=1),"",$W479-(COUNTIFS($A$14:$A$1213,$A479,$F$14:$F$1213,"&gt;=0")+1)/2)</f>
        <v/>
      </c>
      <c r="Z479" s="27">
        <f>IF(ISNUMBER($V479),$A479&amp;"|"&amp;$V479,"")</f>
        <v/>
      </c>
      <c r="AA479" s="27">
        <f>IF(ISNUMBER($W479),$A479&amp;"|"&amp;$W479,"")</f>
        <v/>
      </c>
      <c r="AB479" s="27">
        <f>IF(ISNUMBER($F479),$A479&amp;"|"&amp;$F479,"")</f>
        <v/>
      </c>
      <c r="AC479" s="27">
        <f>IF(ISNUMBER($P479),COUNTIFS($A$14:$A$1213,$A479,$P$14:$P$1213,"&gt;"&amp;$P479)+(COUNTIFS($A$14:$A$1213,$A479,$P$14:$P$1213,"="&amp;$P479)+1)/2,"")</f>
        <v/>
      </c>
      <c r="AD479" s="27">
        <f>IF(ISNUMBER($Q479),COUNTIFS($A$14:$A$1213,$A479,$Q$14:$Q$1213,"&gt;"&amp;$Q479)+(COUNTIFS($A$14:$A$1213,$A479,$Q$14:$Q$1213,"="&amp;$Q479)+1)/2,"")</f>
        <v/>
      </c>
      <c r="AE479" s="27">
        <f>IF(ISNUMBER($R479),COUNTIFS($A$14:$A$1213,$A479,$R$14:$R$1213,"&gt;"&amp;$R479)+(COUNTIFS($A$14:$A$1213,$A479,$R$14:$R$1213,"="&amp;$R479)+1)/2,"")</f>
        <v/>
      </c>
      <c r="AF479" s="27">
        <f>IF(ISNUMBER($S479),COUNTIFS($A$14:$A$1213,$A479,$S$14:$S$1213,"&gt;"&amp;$S479)+(COUNTIFS($A$14:$A$1213,$A479,$S$14:$S$1213,"="&amp;$S479)+1)/2,"")</f>
        <v/>
      </c>
      <c r="AG479" s="27">
        <f>IF(ISNUMBER($T479),COUNTIFS($A$14:$A$1213,$A479,$T$14:$T$1213,"&gt;"&amp;$T479)+(COUNTIFS($A$14:$A$1213,$A479,$T$14:$T$1213,"="&amp;$T479)+1)/2,"")</f>
        <v/>
      </c>
      <c r="AH479" s="27">
        <f>IF(COUNT($AC479:$AG479)&lt;2,"",IF(MAX($AC479:$AG479)=MIN($AC479:$AG479),0,1))</f>
        <v/>
      </c>
      <c r="AI479" s="27">
        <f>IF($A479="","",IF(COUNTIF($A$14:$A479,$A479)=1,COUNTIF($AI$13:AI478,"&gt;0")+1,""))</f>
        <v/>
      </c>
      <c r="AO479" s="27">
        <f>IF($A479="","",IF(AND(COUNTIFS($A$14:$A$1213,$A479,$F$14:$F$1213,"&gt;=0")=2,IFERROR(INDEX($M$14:$M$313,MATCH($A479,$H$14:$H$313,0)),"Yes")&lt;&gt;"Yes"),1,0))</f>
        <v/>
      </c>
    </row>
    <row r="480">
      <c r="A480" s="19" t="n"/>
      <c r="B480" s="20" t="n"/>
      <c r="C480" s="21">
        <f>IFERROR(AVERAGE(P480:T480),"")</f>
        <v/>
      </c>
      <c r="D480" s="29" t="n"/>
      <c r="E480" s="29" t="n"/>
      <c r="F480" s="30">
        <f>IF(AND(ISNUMBER($D480),ISNUMBER($E480),$E480&gt;0,$D480&lt;=$E480),$D480/$E480,"")</f>
        <v/>
      </c>
      <c r="P480" s="26" t="n"/>
      <c r="Q480" s="26" t="n"/>
      <c r="R480" s="26" t="n"/>
      <c r="S480" s="26" t="n"/>
      <c r="T480" s="26" t="n"/>
      <c r="V480" s="27">
        <f>IF(ISNUMBER($C480),COUNTIFS($A$14:$A$1213,$A480,$C$14:$C$1213,"&gt;"&amp;$C480)+(COUNTIFS($A$14:$A$1213,$A480,$C$14:$C$1213,"="&amp;$C480)+1)/2,"")</f>
        <v/>
      </c>
      <c r="W480" s="27">
        <f>IF(ISNUMBER($F480),COUNTIFS($A$14:$A$1213,$A480,$F$14:$F$1213,"&gt;"&amp;$F480)+(COUNTIFS($A$14:$A$1213,$A480,$F$14:$F$1213,"="&amp;$F480)+1)/2,"")</f>
        <v/>
      </c>
      <c r="X480" s="27">
        <f>IF(OR(NOT(ISNUMBER($V480)),$AO480=1),"",$V480-(COUNTIFS($A$14:$A$1213,$A480,$C$14:$C$1213,"&gt;=0")+1)/2)</f>
        <v/>
      </c>
      <c r="Y480" s="27">
        <f>IF(OR(NOT(ISNUMBER($W480)),$AO480=1),"",$W480-(COUNTIFS($A$14:$A$1213,$A480,$F$14:$F$1213,"&gt;=0")+1)/2)</f>
        <v/>
      </c>
      <c r="Z480" s="27">
        <f>IF(ISNUMBER($V480),$A480&amp;"|"&amp;$V480,"")</f>
        <v/>
      </c>
      <c r="AA480" s="27">
        <f>IF(ISNUMBER($W480),$A480&amp;"|"&amp;$W480,"")</f>
        <v/>
      </c>
      <c r="AB480" s="27">
        <f>IF(ISNUMBER($F480),$A480&amp;"|"&amp;$F480,"")</f>
        <v/>
      </c>
      <c r="AC480" s="27">
        <f>IF(ISNUMBER($P480),COUNTIFS($A$14:$A$1213,$A480,$P$14:$P$1213,"&gt;"&amp;$P480)+(COUNTIFS($A$14:$A$1213,$A480,$P$14:$P$1213,"="&amp;$P480)+1)/2,"")</f>
        <v/>
      </c>
      <c r="AD480" s="27">
        <f>IF(ISNUMBER($Q480),COUNTIFS($A$14:$A$1213,$A480,$Q$14:$Q$1213,"&gt;"&amp;$Q480)+(COUNTIFS($A$14:$A$1213,$A480,$Q$14:$Q$1213,"="&amp;$Q480)+1)/2,"")</f>
        <v/>
      </c>
      <c r="AE480" s="27">
        <f>IF(ISNUMBER($R480),COUNTIFS($A$14:$A$1213,$A480,$R$14:$R$1213,"&gt;"&amp;$R480)+(COUNTIFS($A$14:$A$1213,$A480,$R$14:$R$1213,"="&amp;$R480)+1)/2,"")</f>
        <v/>
      </c>
      <c r="AF480" s="27">
        <f>IF(ISNUMBER($S480),COUNTIFS($A$14:$A$1213,$A480,$S$14:$S$1213,"&gt;"&amp;$S480)+(COUNTIFS($A$14:$A$1213,$A480,$S$14:$S$1213,"="&amp;$S480)+1)/2,"")</f>
        <v/>
      </c>
      <c r="AG480" s="27">
        <f>IF(ISNUMBER($T480),COUNTIFS($A$14:$A$1213,$A480,$T$14:$T$1213,"&gt;"&amp;$T480)+(COUNTIFS($A$14:$A$1213,$A480,$T$14:$T$1213,"="&amp;$T480)+1)/2,"")</f>
        <v/>
      </c>
      <c r="AH480" s="27">
        <f>IF(COUNT($AC480:$AG480)&lt;2,"",IF(MAX($AC480:$AG480)=MIN($AC480:$AG480),0,1))</f>
        <v/>
      </c>
      <c r="AI480" s="27">
        <f>IF($A480="","",IF(COUNTIF($A$14:$A480,$A480)=1,COUNTIF($AI$13:AI479,"&gt;0")+1,""))</f>
        <v/>
      </c>
      <c r="AO480" s="27">
        <f>IF($A480="","",IF(AND(COUNTIFS($A$14:$A$1213,$A480,$F$14:$F$1213,"&gt;=0")=2,IFERROR(INDEX($M$14:$M$313,MATCH($A480,$H$14:$H$313,0)),"Yes")&lt;&gt;"Yes"),1,0))</f>
        <v/>
      </c>
    </row>
    <row r="481">
      <c r="A481" s="19" t="n"/>
      <c r="B481" s="20" t="n"/>
      <c r="C481" s="21">
        <f>IFERROR(AVERAGE(P481:T481),"")</f>
        <v/>
      </c>
      <c r="D481" s="29" t="n"/>
      <c r="E481" s="29" t="n"/>
      <c r="F481" s="30">
        <f>IF(AND(ISNUMBER($D481),ISNUMBER($E481),$E481&gt;0,$D481&lt;=$E481),$D481/$E481,"")</f>
        <v/>
      </c>
      <c r="P481" s="26" t="n"/>
      <c r="Q481" s="26" t="n"/>
      <c r="R481" s="26" t="n"/>
      <c r="S481" s="26" t="n"/>
      <c r="T481" s="26" t="n"/>
      <c r="V481" s="27">
        <f>IF(ISNUMBER($C481),COUNTIFS($A$14:$A$1213,$A481,$C$14:$C$1213,"&gt;"&amp;$C481)+(COUNTIFS($A$14:$A$1213,$A481,$C$14:$C$1213,"="&amp;$C481)+1)/2,"")</f>
        <v/>
      </c>
      <c r="W481" s="27">
        <f>IF(ISNUMBER($F481),COUNTIFS($A$14:$A$1213,$A481,$F$14:$F$1213,"&gt;"&amp;$F481)+(COUNTIFS($A$14:$A$1213,$A481,$F$14:$F$1213,"="&amp;$F481)+1)/2,"")</f>
        <v/>
      </c>
      <c r="X481" s="27">
        <f>IF(OR(NOT(ISNUMBER($V481)),$AO481=1),"",$V481-(COUNTIFS($A$14:$A$1213,$A481,$C$14:$C$1213,"&gt;=0")+1)/2)</f>
        <v/>
      </c>
      <c r="Y481" s="27">
        <f>IF(OR(NOT(ISNUMBER($W481)),$AO481=1),"",$W481-(COUNTIFS($A$14:$A$1213,$A481,$F$14:$F$1213,"&gt;=0")+1)/2)</f>
        <v/>
      </c>
      <c r="Z481" s="27">
        <f>IF(ISNUMBER($V481),$A481&amp;"|"&amp;$V481,"")</f>
        <v/>
      </c>
      <c r="AA481" s="27">
        <f>IF(ISNUMBER($W481),$A481&amp;"|"&amp;$W481,"")</f>
        <v/>
      </c>
      <c r="AB481" s="27">
        <f>IF(ISNUMBER($F481),$A481&amp;"|"&amp;$F481,"")</f>
        <v/>
      </c>
      <c r="AC481" s="27">
        <f>IF(ISNUMBER($P481),COUNTIFS($A$14:$A$1213,$A481,$P$14:$P$1213,"&gt;"&amp;$P481)+(COUNTIFS($A$14:$A$1213,$A481,$P$14:$P$1213,"="&amp;$P481)+1)/2,"")</f>
        <v/>
      </c>
      <c r="AD481" s="27">
        <f>IF(ISNUMBER($Q481),COUNTIFS($A$14:$A$1213,$A481,$Q$14:$Q$1213,"&gt;"&amp;$Q481)+(COUNTIFS($A$14:$A$1213,$A481,$Q$14:$Q$1213,"="&amp;$Q481)+1)/2,"")</f>
        <v/>
      </c>
      <c r="AE481" s="27">
        <f>IF(ISNUMBER($R481),COUNTIFS($A$14:$A$1213,$A481,$R$14:$R$1213,"&gt;"&amp;$R481)+(COUNTIFS($A$14:$A$1213,$A481,$R$14:$R$1213,"="&amp;$R481)+1)/2,"")</f>
        <v/>
      </c>
      <c r="AF481" s="27">
        <f>IF(ISNUMBER($S481),COUNTIFS($A$14:$A$1213,$A481,$S$14:$S$1213,"&gt;"&amp;$S481)+(COUNTIFS($A$14:$A$1213,$A481,$S$14:$S$1213,"="&amp;$S481)+1)/2,"")</f>
        <v/>
      </c>
      <c r="AG481" s="27">
        <f>IF(ISNUMBER($T481),COUNTIFS($A$14:$A$1213,$A481,$T$14:$T$1213,"&gt;"&amp;$T481)+(COUNTIFS($A$14:$A$1213,$A481,$T$14:$T$1213,"="&amp;$T481)+1)/2,"")</f>
        <v/>
      </c>
      <c r="AH481" s="27">
        <f>IF(COUNT($AC481:$AG481)&lt;2,"",IF(MAX($AC481:$AG481)=MIN($AC481:$AG481),0,1))</f>
        <v/>
      </c>
      <c r="AI481" s="27">
        <f>IF($A481="","",IF(COUNTIF($A$14:$A481,$A481)=1,COUNTIF($AI$13:AI480,"&gt;0")+1,""))</f>
        <v/>
      </c>
      <c r="AO481" s="27">
        <f>IF($A481="","",IF(AND(COUNTIFS($A$14:$A$1213,$A481,$F$14:$F$1213,"&gt;=0")=2,IFERROR(INDEX($M$14:$M$313,MATCH($A481,$H$14:$H$313,0)),"Yes")&lt;&gt;"Yes"),1,0))</f>
        <v/>
      </c>
    </row>
    <row r="482">
      <c r="A482" s="19" t="n"/>
      <c r="B482" s="20" t="n"/>
      <c r="C482" s="21">
        <f>IFERROR(AVERAGE(P482:T482),"")</f>
        <v/>
      </c>
      <c r="D482" s="29" t="n"/>
      <c r="E482" s="29" t="n"/>
      <c r="F482" s="30">
        <f>IF(AND(ISNUMBER($D482),ISNUMBER($E482),$E482&gt;0,$D482&lt;=$E482),$D482/$E482,"")</f>
        <v/>
      </c>
      <c r="P482" s="26" t="n"/>
      <c r="Q482" s="26" t="n"/>
      <c r="R482" s="26" t="n"/>
      <c r="S482" s="26" t="n"/>
      <c r="T482" s="26" t="n"/>
      <c r="V482" s="27">
        <f>IF(ISNUMBER($C482),COUNTIFS($A$14:$A$1213,$A482,$C$14:$C$1213,"&gt;"&amp;$C482)+(COUNTIFS($A$14:$A$1213,$A482,$C$14:$C$1213,"="&amp;$C482)+1)/2,"")</f>
        <v/>
      </c>
      <c r="W482" s="27">
        <f>IF(ISNUMBER($F482),COUNTIFS($A$14:$A$1213,$A482,$F$14:$F$1213,"&gt;"&amp;$F482)+(COUNTIFS($A$14:$A$1213,$A482,$F$14:$F$1213,"="&amp;$F482)+1)/2,"")</f>
        <v/>
      </c>
      <c r="X482" s="27">
        <f>IF(OR(NOT(ISNUMBER($V482)),$AO482=1),"",$V482-(COUNTIFS($A$14:$A$1213,$A482,$C$14:$C$1213,"&gt;=0")+1)/2)</f>
        <v/>
      </c>
      <c r="Y482" s="27">
        <f>IF(OR(NOT(ISNUMBER($W482)),$AO482=1),"",$W482-(COUNTIFS($A$14:$A$1213,$A482,$F$14:$F$1213,"&gt;=0")+1)/2)</f>
        <v/>
      </c>
      <c r="Z482" s="27">
        <f>IF(ISNUMBER($V482),$A482&amp;"|"&amp;$V482,"")</f>
        <v/>
      </c>
      <c r="AA482" s="27">
        <f>IF(ISNUMBER($W482),$A482&amp;"|"&amp;$W482,"")</f>
        <v/>
      </c>
      <c r="AB482" s="27">
        <f>IF(ISNUMBER($F482),$A482&amp;"|"&amp;$F482,"")</f>
        <v/>
      </c>
      <c r="AC482" s="27">
        <f>IF(ISNUMBER($P482),COUNTIFS($A$14:$A$1213,$A482,$P$14:$P$1213,"&gt;"&amp;$P482)+(COUNTIFS($A$14:$A$1213,$A482,$P$14:$P$1213,"="&amp;$P482)+1)/2,"")</f>
        <v/>
      </c>
      <c r="AD482" s="27">
        <f>IF(ISNUMBER($Q482),COUNTIFS($A$14:$A$1213,$A482,$Q$14:$Q$1213,"&gt;"&amp;$Q482)+(COUNTIFS($A$14:$A$1213,$A482,$Q$14:$Q$1213,"="&amp;$Q482)+1)/2,"")</f>
        <v/>
      </c>
      <c r="AE482" s="27">
        <f>IF(ISNUMBER($R482),COUNTIFS($A$14:$A$1213,$A482,$R$14:$R$1213,"&gt;"&amp;$R482)+(COUNTIFS($A$14:$A$1213,$A482,$R$14:$R$1213,"="&amp;$R482)+1)/2,"")</f>
        <v/>
      </c>
      <c r="AF482" s="27">
        <f>IF(ISNUMBER($S482),COUNTIFS($A$14:$A$1213,$A482,$S$14:$S$1213,"&gt;"&amp;$S482)+(COUNTIFS($A$14:$A$1213,$A482,$S$14:$S$1213,"="&amp;$S482)+1)/2,"")</f>
        <v/>
      </c>
      <c r="AG482" s="27">
        <f>IF(ISNUMBER($T482),COUNTIFS($A$14:$A$1213,$A482,$T$14:$T$1213,"&gt;"&amp;$T482)+(COUNTIFS($A$14:$A$1213,$A482,$T$14:$T$1213,"="&amp;$T482)+1)/2,"")</f>
        <v/>
      </c>
      <c r="AH482" s="27">
        <f>IF(COUNT($AC482:$AG482)&lt;2,"",IF(MAX($AC482:$AG482)=MIN($AC482:$AG482),0,1))</f>
        <v/>
      </c>
      <c r="AI482" s="27">
        <f>IF($A482="","",IF(COUNTIF($A$14:$A482,$A482)=1,COUNTIF($AI$13:AI481,"&gt;0")+1,""))</f>
        <v/>
      </c>
      <c r="AO482" s="27">
        <f>IF($A482="","",IF(AND(COUNTIFS($A$14:$A$1213,$A482,$F$14:$F$1213,"&gt;=0")=2,IFERROR(INDEX($M$14:$M$313,MATCH($A482,$H$14:$H$313,0)),"Yes")&lt;&gt;"Yes"),1,0))</f>
        <v/>
      </c>
    </row>
    <row r="483">
      <c r="A483" s="19" t="n"/>
      <c r="B483" s="20" t="n"/>
      <c r="C483" s="21">
        <f>IFERROR(AVERAGE(P483:T483),"")</f>
        <v/>
      </c>
      <c r="D483" s="29" t="n"/>
      <c r="E483" s="29" t="n"/>
      <c r="F483" s="30">
        <f>IF(AND(ISNUMBER($D483),ISNUMBER($E483),$E483&gt;0,$D483&lt;=$E483),$D483/$E483,"")</f>
        <v/>
      </c>
      <c r="P483" s="26" t="n"/>
      <c r="Q483" s="26" t="n"/>
      <c r="R483" s="26" t="n"/>
      <c r="S483" s="26" t="n"/>
      <c r="T483" s="26" t="n"/>
      <c r="V483" s="27">
        <f>IF(ISNUMBER($C483),COUNTIFS($A$14:$A$1213,$A483,$C$14:$C$1213,"&gt;"&amp;$C483)+(COUNTIFS($A$14:$A$1213,$A483,$C$14:$C$1213,"="&amp;$C483)+1)/2,"")</f>
        <v/>
      </c>
      <c r="W483" s="27">
        <f>IF(ISNUMBER($F483),COUNTIFS($A$14:$A$1213,$A483,$F$14:$F$1213,"&gt;"&amp;$F483)+(COUNTIFS($A$14:$A$1213,$A483,$F$14:$F$1213,"="&amp;$F483)+1)/2,"")</f>
        <v/>
      </c>
      <c r="X483" s="27">
        <f>IF(OR(NOT(ISNUMBER($V483)),$AO483=1),"",$V483-(COUNTIFS($A$14:$A$1213,$A483,$C$14:$C$1213,"&gt;=0")+1)/2)</f>
        <v/>
      </c>
      <c r="Y483" s="27">
        <f>IF(OR(NOT(ISNUMBER($W483)),$AO483=1),"",$W483-(COUNTIFS($A$14:$A$1213,$A483,$F$14:$F$1213,"&gt;=0")+1)/2)</f>
        <v/>
      </c>
      <c r="Z483" s="27">
        <f>IF(ISNUMBER($V483),$A483&amp;"|"&amp;$V483,"")</f>
        <v/>
      </c>
      <c r="AA483" s="27">
        <f>IF(ISNUMBER($W483),$A483&amp;"|"&amp;$W483,"")</f>
        <v/>
      </c>
      <c r="AB483" s="27">
        <f>IF(ISNUMBER($F483),$A483&amp;"|"&amp;$F483,"")</f>
        <v/>
      </c>
      <c r="AC483" s="27">
        <f>IF(ISNUMBER($P483),COUNTIFS($A$14:$A$1213,$A483,$P$14:$P$1213,"&gt;"&amp;$P483)+(COUNTIFS($A$14:$A$1213,$A483,$P$14:$P$1213,"="&amp;$P483)+1)/2,"")</f>
        <v/>
      </c>
      <c r="AD483" s="27">
        <f>IF(ISNUMBER($Q483),COUNTIFS($A$14:$A$1213,$A483,$Q$14:$Q$1213,"&gt;"&amp;$Q483)+(COUNTIFS($A$14:$A$1213,$A483,$Q$14:$Q$1213,"="&amp;$Q483)+1)/2,"")</f>
        <v/>
      </c>
      <c r="AE483" s="27">
        <f>IF(ISNUMBER($R483),COUNTIFS($A$14:$A$1213,$A483,$R$14:$R$1213,"&gt;"&amp;$R483)+(COUNTIFS($A$14:$A$1213,$A483,$R$14:$R$1213,"="&amp;$R483)+1)/2,"")</f>
        <v/>
      </c>
      <c r="AF483" s="27">
        <f>IF(ISNUMBER($S483),COUNTIFS($A$14:$A$1213,$A483,$S$14:$S$1213,"&gt;"&amp;$S483)+(COUNTIFS($A$14:$A$1213,$A483,$S$14:$S$1213,"="&amp;$S483)+1)/2,"")</f>
        <v/>
      </c>
      <c r="AG483" s="27">
        <f>IF(ISNUMBER($T483),COUNTIFS($A$14:$A$1213,$A483,$T$14:$T$1213,"&gt;"&amp;$T483)+(COUNTIFS($A$14:$A$1213,$A483,$T$14:$T$1213,"="&amp;$T483)+1)/2,"")</f>
        <v/>
      </c>
      <c r="AH483" s="27">
        <f>IF(COUNT($AC483:$AG483)&lt;2,"",IF(MAX($AC483:$AG483)=MIN($AC483:$AG483),0,1))</f>
        <v/>
      </c>
      <c r="AI483" s="27">
        <f>IF($A483="","",IF(COUNTIF($A$14:$A483,$A483)=1,COUNTIF($AI$13:AI482,"&gt;0")+1,""))</f>
        <v/>
      </c>
      <c r="AO483" s="27">
        <f>IF($A483="","",IF(AND(COUNTIFS($A$14:$A$1213,$A483,$F$14:$F$1213,"&gt;=0")=2,IFERROR(INDEX($M$14:$M$313,MATCH($A483,$H$14:$H$313,0)),"Yes")&lt;&gt;"Yes"),1,0))</f>
        <v/>
      </c>
    </row>
    <row r="484">
      <c r="A484" s="19" t="n"/>
      <c r="B484" s="20" t="n"/>
      <c r="C484" s="21">
        <f>IFERROR(AVERAGE(P484:T484),"")</f>
        <v/>
      </c>
      <c r="D484" s="29" t="n"/>
      <c r="E484" s="29" t="n"/>
      <c r="F484" s="30">
        <f>IF(AND(ISNUMBER($D484),ISNUMBER($E484),$E484&gt;0,$D484&lt;=$E484),$D484/$E484,"")</f>
        <v/>
      </c>
      <c r="P484" s="26" t="n"/>
      <c r="Q484" s="26" t="n"/>
      <c r="R484" s="26" t="n"/>
      <c r="S484" s="26" t="n"/>
      <c r="T484" s="26" t="n"/>
      <c r="V484" s="27">
        <f>IF(ISNUMBER($C484),COUNTIFS($A$14:$A$1213,$A484,$C$14:$C$1213,"&gt;"&amp;$C484)+(COUNTIFS($A$14:$A$1213,$A484,$C$14:$C$1213,"="&amp;$C484)+1)/2,"")</f>
        <v/>
      </c>
      <c r="W484" s="27">
        <f>IF(ISNUMBER($F484),COUNTIFS($A$14:$A$1213,$A484,$F$14:$F$1213,"&gt;"&amp;$F484)+(COUNTIFS($A$14:$A$1213,$A484,$F$14:$F$1213,"="&amp;$F484)+1)/2,"")</f>
        <v/>
      </c>
      <c r="X484" s="27">
        <f>IF(OR(NOT(ISNUMBER($V484)),$AO484=1),"",$V484-(COUNTIFS($A$14:$A$1213,$A484,$C$14:$C$1213,"&gt;=0")+1)/2)</f>
        <v/>
      </c>
      <c r="Y484" s="27">
        <f>IF(OR(NOT(ISNUMBER($W484)),$AO484=1),"",$W484-(COUNTIFS($A$14:$A$1213,$A484,$F$14:$F$1213,"&gt;=0")+1)/2)</f>
        <v/>
      </c>
      <c r="Z484" s="27">
        <f>IF(ISNUMBER($V484),$A484&amp;"|"&amp;$V484,"")</f>
        <v/>
      </c>
      <c r="AA484" s="27">
        <f>IF(ISNUMBER($W484),$A484&amp;"|"&amp;$W484,"")</f>
        <v/>
      </c>
      <c r="AB484" s="27">
        <f>IF(ISNUMBER($F484),$A484&amp;"|"&amp;$F484,"")</f>
        <v/>
      </c>
      <c r="AC484" s="27">
        <f>IF(ISNUMBER($P484),COUNTIFS($A$14:$A$1213,$A484,$P$14:$P$1213,"&gt;"&amp;$P484)+(COUNTIFS($A$14:$A$1213,$A484,$P$14:$P$1213,"="&amp;$P484)+1)/2,"")</f>
        <v/>
      </c>
      <c r="AD484" s="27">
        <f>IF(ISNUMBER($Q484),COUNTIFS($A$14:$A$1213,$A484,$Q$14:$Q$1213,"&gt;"&amp;$Q484)+(COUNTIFS($A$14:$A$1213,$A484,$Q$14:$Q$1213,"="&amp;$Q484)+1)/2,"")</f>
        <v/>
      </c>
      <c r="AE484" s="27">
        <f>IF(ISNUMBER($R484),COUNTIFS($A$14:$A$1213,$A484,$R$14:$R$1213,"&gt;"&amp;$R484)+(COUNTIFS($A$14:$A$1213,$A484,$R$14:$R$1213,"="&amp;$R484)+1)/2,"")</f>
        <v/>
      </c>
      <c r="AF484" s="27">
        <f>IF(ISNUMBER($S484),COUNTIFS($A$14:$A$1213,$A484,$S$14:$S$1213,"&gt;"&amp;$S484)+(COUNTIFS($A$14:$A$1213,$A484,$S$14:$S$1213,"="&amp;$S484)+1)/2,"")</f>
        <v/>
      </c>
      <c r="AG484" s="27">
        <f>IF(ISNUMBER($T484),COUNTIFS($A$14:$A$1213,$A484,$T$14:$T$1213,"&gt;"&amp;$T484)+(COUNTIFS($A$14:$A$1213,$A484,$T$14:$T$1213,"="&amp;$T484)+1)/2,"")</f>
        <v/>
      </c>
      <c r="AH484" s="27">
        <f>IF(COUNT($AC484:$AG484)&lt;2,"",IF(MAX($AC484:$AG484)=MIN($AC484:$AG484),0,1))</f>
        <v/>
      </c>
      <c r="AI484" s="27">
        <f>IF($A484="","",IF(COUNTIF($A$14:$A484,$A484)=1,COUNTIF($AI$13:AI483,"&gt;0")+1,""))</f>
        <v/>
      </c>
      <c r="AO484" s="27">
        <f>IF($A484="","",IF(AND(COUNTIFS($A$14:$A$1213,$A484,$F$14:$F$1213,"&gt;=0")=2,IFERROR(INDEX($M$14:$M$313,MATCH($A484,$H$14:$H$313,0)),"Yes")&lt;&gt;"Yes"),1,0))</f>
        <v/>
      </c>
    </row>
    <row r="485">
      <c r="A485" s="19" t="n"/>
      <c r="B485" s="20" t="n"/>
      <c r="C485" s="21">
        <f>IFERROR(AVERAGE(P485:T485),"")</f>
        <v/>
      </c>
      <c r="D485" s="29" t="n"/>
      <c r="E485" s="29" t="n"/>
      <c r="F485" s="30">
        <f>IF(AND(ISNUMBER($D485),ISNUMBER($E485),$E485&gt;0,$D485&lt;=$E485),$D485/$E485,"")</f>
        <v/>
      </c>
      <c r="P485" s="26" t="n"/>
      <c r="Q485" s="26" t="n"/>
      <c r="R485" s="26" t="n"/>
      <c r="S485" s="26" t="n"/>
      <c r="T485" s="26" t="n"/>
      <c r="V485" s="27">
        <f>IF(ISNUMBER($C485),COUNTIFS($A$14:$A$1213,$A485,$C$14:$C$1213,"&gt;"&amp;$C485)+(COUNTIFS($A$14:$A$1213,$A485,$C$14:$C$1213,"="&amp;$C485)+1)/2,"")</f>
        <v/>
      </c>
      <c r="W485" s="27">
        <f>IF(ISNUMBER($F485),COUNTIFS($A$14:$A$1213,$A485,$F$14:$F$1213,"&gt;"&amp;$F485)+(COUNTIFS($A$14:$A$1213,$A485,$F$14:$F$1213,"="&amp;$F485)+1)/2,"")</f>
        <v/>
      </c>
      <c r="X485" s="27">
        <f>IF(OR(NOT(ISNUMBER($V485)),$AO485=1),"",$V485-(COUNTIFS($A$14:$A$1213,$A485,$C$14:$C$1213,"&gt;=0")+1)/2)</f>
        <v/>
      </c>
      <c r="Y485" s="27">
        <f>IF(OR(NOT(ISNUMBER($W485)),$AO485=1),"",$W485-(COUNTIFS($A$14:$A$1213,$A485,$F$14:$F$1213,"&gt;=0")+1)/2)</f>
        <v/>
      </c>
      <c r="Z485" s="27">
        <f>IF(ISNUMBER($V485),$A485&amp;"|"&amp;$V485,"")</f>
        <v/>
      </c>
      <c r="AA485" s="27">
        <f>IF(ISNUMBER($W485),$A485&amp;"|"&amp;$W485,"")</f>
        <v/>
      </c>
      <c r="AB485" s="27">
        <f>IF(ISNUMBER($F485),$A485&amp;"|"&amp;$F485,"")</f>
        <v/>
      </c>
      <c r="AC485" s="27">
        <f>IF(ISNUMBER($P485),COUNTIFS($A$14:$A$1213,$A485,$P$14:$P$1213,"&gt;"&amp;$P485)+(COUNTIFS($A$14:$A$1213,$A485,$P$14:$P$1213,"="&amp;$P485)+1)/2,"")</f>
        <v/>
      </c>
      <c r="AD485" s="27">
        <f>IF(ISNUMBER($Q485),COUNTIFS($A$14:$A$1213,$A485,$Q$14:$Q$1213,"&gt;"&amp;$Q485)+(COUNTIFS($A$14:$A$1213,$A485,$Q$14:$Q$1213,"="&amp;$Q485)+1)/2,"")</f>
        <v/>
      </c>
      <c r="AE485" s="27">
        <f>IF(ISNUMBER($R485),COUNTIFS($A$14:$A$1213,$A485,$R$14:$R$1213,"&gt;"&amp;$R485)+(COUNTIFS($A$14:$A$1213,$A485,$R$14:$R$1213,"="&amp;$R485)+1)/2,"")</f>
        <v/>
      </c>
      <c r="AF485" s="27">
        <f>IF(ISNUMBER($S485),COUNTIFS($A$14:$A$1213,$A485,$S$14:$S$1213,"&gt;"&amp;$S485)+(COUNTIFS($A$14:$A$1213,$A485,$S$14:$S$1213,"="&amp;$S485)+1)/2,"")</f>
        <v/>
      </c>
      <c r="AG485" s="27">
        <f>IF(ISNUMBER($T485),COUNTIFS($A$14:$A$1213,$A485,$T$14:$T$1213,"&gt;"&amp;$T485)+(COUNTIFS($A$14:$A$1213,$A485,$T$14:$T$1213,"="&amp;$T485)+1)/2,"")</f>
        <v/>
      </c>
      <c r="AH485" s="27">
        <f>IF(COUNT($AC485:$AG485)&lt;2,"",IF(MAX($AC485:$AG485)=MIN($AC485:$AG485),0,1))</f>
        <v/>
      </c>
      <c r="AI485" s="27">
        <f>IF($A485="","",IF(COUNTIF($A$14:$A485,$A485)=1,COUNTIF($AI$13:AI484,"&gt;0")+1,""))</f>
        <v/>
      </c>
      <c r="AO485" s="27">
        <f>IF($A485="","",IF(AND(COUNTIFS($A$14:$A$1213,$A485,$F$14:$F$1213,"&gt;=0")=2,IFERROR(INDEX($M$14:$M$313,MATCH($A485,$H$14:$H$313,0)),"Yes")&lt;&gt;"Yes"),1,0))</f>
        <v/>
      </c>
    </row>
    <row r="486">
      <c r="A486" s="19" t="n"/>
      <c r="B486" s="20" t="n"/>
      <c r="C486" s="21">
        <f>IFERROR(AVERAGE(P486:T486),"")</f>
        <v/>
      </c>
      <c r="D486" s="29" t="n"/>
      <c r="E486" s="29" t="n"/>
      <c r="F486" s="30">
        <f>IF(AND(ISNUMBER($D486),ISNUMBER($E486),$E486&gt;0,$D486&lt;=$E486),$D486/$E486,"")</f>
        <v/>
      </c>
      <c r="P486" s="26" t="n"/>
      <c r="Q486" s="26" t="n"/>
      <c r="R486" s="26" t="n"/>
      <c r="S486" s="26" t="n"/>
      <c r="T486" s="26" t="n"/>
      <c r="V486" s="27">
        <f>IF(ISNUMBER($C486),COUNTIFS($A$14:$A$1213,$A486,$C$14:$C$1213,"&gt;"&amp;$C486)+(COUNTIFS($A$14:$A$1213,$A486,$C$14:$C$1213,"="&amp;$C486)+1)/2,"")</f>
        <v/>
      </c>
      <c r="W486" s="27">
        <f>IF(ISNUMBER($F486),COUNTIFS($A$14:$A$1213,$A486,$F$14:$F$1213,"&gt;"&amp;$F486)+(COUNTIFS($A$14:$A$1213,$A486,$F$14:$F$1213,"="&amp;$F486)+1)/2,"")</f>
        <v/>
      </c>
      <c r="X486" s="27">
        <f>IF(OR(NOT(ISNUMBER($V486)),$AO486=1),"",$V486-(COUNTIFS($A$14:$A$1213,$A486,$C$14:$C$1213,"&gt;=0")+1)/2)</f>
        <v/>
      </c>
      <c r="Y486" s="27">
        <f>IF(OR(NOT(ISNUMBER($W486)),$AO486=1),"",$W486-(COUNTIFS($A$14:$A$1213,$A486,$F$14:$F$1213,"&gt;=0")+1)/2)</f>
        <v/>
      </c>
      <c r="Z486" s="27">
        <f>IF(ISNUMBER($V486),$A486&amp;"|"&amp;$V486,"")</f>
        <v/>
      </c>
      <c r="AA486" s="27">
        <f>IF(ISNUMBER($W486),$A486&amp;"|"&amp;$W486,"")</f>
        <v/>
      </c>
      <c r="AB486" s="27">
        <f>IF(ISNUMBER($F486),$A486&amp;"|"&amp;$F486,"")</f>
        <v/>
      </c>
      <c r="AC486" s="27">
        <f>IF(ISNUMBER($P486),COUNTIFS($A$14:$A$1213,$A486,$P$14:$P$1213,"&gt;"&amp;$P486)+(COUNTIFS($A$14:$A$1213,$A486,$P$14:$P$1213,"="&amp;$P486)+1)/2,"")</f>
        <v/>
      </c>
      <c r="AD486" s="27">
        <f>IF(ISNUMBER($Q486),COUNTIFS($A$14:$A$1213,$A486,$Q$14:$Q$1213,"&gt;"&amp;$Q486)+(COUNTIFS($A$14:$A$1213,$A486,$Q$14:$Q$1213,"="&amp;$Q486)+1)/2,"")</f>
        <v/>
      </c>
      <c r="AE486" s="27">
        <f>IF(ISNUMBER($R486),COUNTIFS($A$14:$A$1213,$A486,$R$14:$R$1213,"&gt;"&amp;$R486)+(COUNTIFS($A$14:$A$1213,$A486,$R$14:$R$1213,"="&amp;$R486)+1)/2,"")</f>
        <v/>
      </c>
      <c r="AF486" s="27">
        <f>IF(ISNUMBER($S486),COUNTIFS($A$14:$A$1213,$A486,$S$14:$S$1213,"&gt;"&amp;$S486)+(COUNTIFS($A$14:$A$1213,$A486,$S$14:$S$1213,"="&amp;$S486)+1)/2,"")</f>
        <v/>
      </c>
      <c r="AG486" s="27">
        <f>IF(ISNUMBER($T486),COUNTIFS($A$14:$A$1213,$A486,$T$14:$T$1213,"&gt;"&amp;$T486)+(COUNTIFS($A$14:$A$1213,$A486,$T$14:$T$1213,"="&amp;$T486)+1)/2,"")</f>
        <v/>
      </c>
      <c r="AH486" s="27">
        <f>IF(COUNT($AC486:$AG486)&lt;2,"",IF(MAX($AC486:$AG486)=MIN($AC486:$AG486),0,1))</f>
        <v/>
      </c>
      <c r="AI486" s="27">
        <f>IF($A486="","",IF(COUNTIF($A$14:$A486,$A486)=1,COUNTIF($AI$13:AI485,"&gt;0")+1,""))</f>
        <v/>
      </c>
      <c r="AO486" s="27">
        <f>IF($A486="","",IF(AND(COUNTIFS($A$14:$A$1213,$A486,$F$14:$F$1213,"&gt;=0")=2,IFERROR(INDEX($M$14:$M$313,MATCH($A486,$H$14:$H$313,0)),"Yes")&lt;&gt;"Yes"),1,0))</f>
        <v/>
      </c>
    </row>
    <row r="487">
      <c r="A487" s="19" t="n"/>
      <c r="B487" s="20" t="n"/>
      <c r="C487" s="21">
        <f>IFERROR(AVERAGE(P487:T487),"")</f>
        <v/>
      </c>
      <c r="D487" s="29" t="n"/>
      <c r="E487" s="29" t="n"/>
      <c r="F487" s="30">
        <f>IF(AND(ISNUMBER($D487),ISNUMBER($E487),$E487&gt;0,$D487&lt;=$E487),$D487/$E487,"")</f>
        <v/>
      </c>
      <c r="P487" s="26" t="n"/>
      <c r="Q487" s="26" t="n"/>
      <c r="R487" s="26" t="n"/>
      <c r="S487" s="26" t="n"/>
      <c r="T487" s="26" t="n"/>
      <c r="V487" s="27">
        <f>IF(ISNUMBER($C487),COUNTIFS($A$14:$A$1213,$A487,$C$14:$C$1213,"&gt;"&amp;$C487)+(COUNTIFS($A$14:$A$1213,$A487,$C$14:$C$1213,"="&amp;$C487)+1)/2,"")</f>
        <v/>
      </c>
      <c r="W487" s="27">
        <f>IF(ISNUMBER($F487),COUNTIFS($A$14:$A$1213,$A487,$F$14:$F$1213,"&gt;"&amp;$F487)+(COUNTIFS($A$14:$A$1213,$A487,$F$14:$F$1213,"="&amp;$F487)+1)/2,"")</f>
        <v/>
      </c>
      <c r="X487" s="27">
        <f>IF(OR(NOT(ISNUMBER($V487)),$AO487=1),"",$V487-(COUNTIFS($A$14:$A$1213,$A487,$C$14:$C$1213,"&gt;=0")+1)/2)</f>
        <v/>
      </c>
      <c r="Y487" s="27">
        <f>IF(OR(NOT(ISNUMBER($W487)),$AO487=1),"",$W487-(COUNTIFS($A$14:$A$1213,$A487,$F$14:$F$1213,"&gt;=0")+1)/2)</f>
        <v/>
      </c>
      <c r="Z487" s="27">
        <f>IF(ISNUMBER($V487),$A487&amp;"|"&amp;$V487,"")</f>
        <v/>
      </c>
      <c r="AA487" s="27">
        <f>IF(ISNUMBER($W487),$A487&amp;"|"&amp;$W487,"")</f>
        <v/>
      </c>
      <c r="AB487" s="27">
        <f>IF(ISNUMBER($F487),$A487&amp;"|"&amp;$F487,"")</f>
        <v/>
      </c>
      <c r="AC487" s="27">
        <f>IF(ISNUMBER($P487),COUNTIFS($A$14:$A$1213,$A487,$P$14:$P$1213,"&gt;"&amp;$P487)+(COUNTIFS($A$14:$A$1213,$A487,$P$14:$P$1213,"="&amp;$P487)+1)/2,"")</f>
        <v/>
      </c>
      <c r="AD487" s="27">
        <f>IF(ISNUMBER($Q487),COUNTIFS($A$14:$A$1213,$A487,$Q$14:$Q$1213,"&gt;"&amp;$Q487)+(COUNTIFS($A$14:$A$1213,$A487,$Q$14:$Q$1213,"="&amp;$Q487)+1)/2,"")</f>
        <v/>
      </c>
      <c r="AE487" s="27">
        <f>IF(ISNUMBER($R487),COUNTIFS($A$14:$A$1213,$A487,$R$14:$R$1213,"&gt;"&amp;$R487)+(COUNTIFS($A$14:$A$1213,$A487,$R$14:$R$1213,"="&amp;$R487)+1)/2,"")</f>
        <v/>
      </c>
      <c r="AF487" s="27">
        <f>IF(ISNUMBER($S487),COUNTIFS($A$14:$A$1213,$A487,$S$14:$S$1213,"&gt;"&amp;$S487)+(COUNTIFS($A$14:$A$1213,$A487,$S$14:$S$1213,"="&amp;$S487)+1)/2,"")</f>
        <v/>
      </c>
      <c r="AG487" s="27">
        <f>IF(ISNUMBER($T487),COUNTIFS($A$14:$A$1213,$A487,$T$14:$T$1213,"&gt;"&amp;$T487)+(COUNTIFS($A$14:$A$1213,$A487,$T$14:$T$1213,"="&amp;$T487)+1)/2,"")</f>
        <v/>
      </c>
      <c r="AH487" s="27">
        <f>IF(COUNT($AC487:$AG487)&lt;2,"",IF(MAX($AC487:$AG487)=MIN($AC487:$AG487),0,1))</f>
        <v/>
      </c>
      <c r="AI487" s="27">
        <f>IF($A487="","",IF(COUNTIF($A$14:$A487,$A487)=1,COUNTIF($AI$13:AI486,"&gt;0")+1,""))</f>
        <v/>
      </c>
      <c r="AO487" s="27">
        <f>IF($A487="","",IF(AND(COUNTIFS($A$14:$A$1213,$A487,$F$14:$F$1213,"&gt;=0")=2,IFERROR(INDEX($M$14:$M$313,MATCH($A487,$H$14:$H$313,0)),"Yes")&lt;&gt;"Yes"),1,0))</f>
        <v/>
      </c>
    </row>
    <row r="488">
      <c r="A488" s="19" t="n"/>
      <c r="B488" s="20" t="n"/>
      <c r="C488" s="21">
        <f>IFERROR(AVERAGE(P488:T488),"")</f>
        <v/>
      </c>
      <c r="D488" s="29" t="n"/>
      <c r="E488" s="29" t="n"/>
      <c r="F488" s="30">
        <f>IF(AND(ISNUMBER($D488),ISNUMBER($E488),$E488&gt;0,$D488&lt;=$E488),$D488/$E488,"")</f>
        <v/>
      </c>
      <c r="P488" s="26" t="n"/>
      <c r="Q488" s="26" t="n"/>
      <c r="R488" s="26" t="n"/>
      <c r="S488" s="26" t="n"/>
      <c r="T488" s="26" t="n"/>
      <c r="V488" s="27">
        <f>IF(ISNUMBER($C488),COUNTIFS($A$14:$A$1213,$A488,$C$14:$C$1213,"&gt;"&amp;$C488)+(COUNTIFS($A$14:$A$1213,$A488,$C$14:$C$1213,"="&amp;$C488)+1)/2,"")</f>
        <v/>
      </c>
      <c r="W488" s="27">
        <f>IF(ISNUMBER($F488),COUNTIFS($A$14:$A$1213,$A488,$F$14:$F$1213,"&gt;"&amp;$F488)+(COUNTIFS($A$14:$A$1213,$A488,$F$14:$F$1213,"="&amp;$F488)+1)/2,"")</f>
        <v/>
      </c>
      <c r="X488" s="27">
        <f>IF(OR(NOT(ISNUMBER($V488)),$AO488=1),"",$V488-(COUNTIFS($A$14:$A$1213,$A488,$C$14:$C$1213,"&gt;=0")+1)/2)</f>
        <v/>
      </c>
      <c r="Y488" s="27">
        <f>IF(OR(NOT(ISNUMBER($W488)),$AO488=1),"",$W488-(COUNTIFS($A$14:$A$1213,$A488,$F$14:$F$1213,"&gt;=0")+1)/2)</f>
        <v/>
      </c>
      <c r="Z488" s="27">
        <f>IF(ISNUMBER($V488),$A488&amp;"|"&amp;$V488,"")</f>
        <v/>
      </c>
      <c r="AA488" s="27">
        <f>IF(ISNUMBER($W488),$A488&amp;"|"&amp;$W488,"")</f>
        <v/>
      </c>
      <c r="AB488" s="27">
        <f>IF(ISNUMBER($F488),$A488&amp;"|"&amp;$F488,"")</f>
        <v/>
      </c>
      <c r="AC488" s="27">
        <f>IF(ISNUMBER($P488),COUNTIFS($A$14:$A$1213,$A488,$P$14:$P$1213,"&gt;"&amp;$P488)+(COUNTIFS($A$14:$A$1213,$A488,$P$14:$P$1213,"="&amp;$P488)+1)/2,"")</f>
        <v/>
      </c>
      <c r="AD488" s="27">
        <f>IF(ISNUMBER($Q488),COUNTIFS($A$14:$A$1213,$A488,$Q$14:$Q$1213,"&gt;"&amp;$Q488)+(COUNTIFS($A$14:$A$1213,$A488,$Q$14:$Q$1213,"="&amp;$Q488)+1)/2,"")</f>
        <v/>
      </c>
      <c r="AE488" s="27">
        <f>IF(ISNUMBER($R488),COUNTIFS($A$14:$A$1213,$A488,$R$14:$R$1213,"&gt;"&amp;$R488)+(COUNTIFS($A$14:$A$1213,$A488,$R$14:$R$1213,"="&amp;$R488)+1)/2,"")</f>
        <v/>
      </c>
      <c r="AF488" s="27">
        <f>IF(ISNUMBER($S488),COUNTIFS($A$14:$A$1213,$A488,$S$14:$S$1213,"&gt;"&amp;$S488)+(COUNTIFS($A$14:$A$1213,$A488,$S$14:$S$1213,"="&amp;$S488)+1)/2,"")</f>
        <v/>
      </c>
      <c r="AG488" s="27">
        <f>IF(ISNUMBER($T488),COUNTIFS($A$14:$A$1213,$A488,$T$14:$T$1213,"&gt;"&amp;$T488)+(COUNTIFS($A$14:$A$1213,$A488,$T$14:$T$1213,"="&amp;$T488)+1)/2,"")</f>
        <v/>
      </c>
      <c r="AH488" s="27">
        <f>IF(COUNT($AC488:$AG488)&lt;2,"",IF(MAX($AC488:$AG488)=MIN($AC488:$AG488),0,1))</f>
        <v/>
      </c>
      <c r="AI488" s="27">
        <f>IF($A488="","",IF(COUNTIF($A$14:$A488,$A488)=1,COUNTIF($AI$13:AI487,"&gt;0")+1,""))</f>
        <v/>
      </c>
      <c r="AO488" s="27">
        <f>IF($A488="","",IF(AND(COUNTIFS($A$14:$A$1213,$A488,$F$14:$F$1213,"&gt;=0")=2,IFERROR(INDEX($M$14:$M$313,MATCH($A488,$H$14:$H$313,0)),"Yes")&lt;&gt;"Yes"),1,0))</f>
        <v/>
      </c>
    </row>
    <row r="489">
      <c r="A489" s="19" t="n"/>
      <c r="B489" s="20" t="n"/>
      <c r="C489" s="21">
        <f>IFERROR(AVERAGE(P489:T489),"")</f>
        <v/>
      </c>
      <c r="D489" s="29" t="n"/>
      <c r="E489" s="29" t="n"/>
      <c r="F489" s="30">
        <f>IF(AND(ISNUMBER($D489),ISNUMBER($E489),$E489&gt;0,$D489&lt;=$E489),$D489/$E489,"")</f>
        <v/>
      </c>
      <c r="P489" s="26" t="n"/>
      <c r="Q489" s="26" t="n"/>
      <c r="R489" s="26" t="n"/>
      <c r="S489" s="26" t="n"/>
      <c r="T489" s="26" t="n"/>
      <c r="V489" s="27">
        <f>IF(ISNUMBER($C489),COUNTIFS($A$14:$A$1213,$A489,$C$14:$C$1213,"&gt;"&amp;$C489)+(COUNTIFS($A$14:$A$1213,$A489,$C$14:$C$1213,"="&amp;$C489)+1)/2,"")</f>
        <v/>
      </c>
      <c r="W489" s="27">
        <f>IF(ISNUMBER($F489),COUNTIFS($A$14:$A$1213,$A489,$F$14:$F$1213,"&gt;"&amp;$F489)+(COUNTIFS($A$14:$A$1213,$A489,$F$14:$F$1213,"="&amp;$F489)+1)/2,"")</f>
        <v/>
      </c>
      <c r="X489" s="27">
        <f>IF(OR(NOT(ISNUMBER($V489)),$AO489=1),"",$V489-(COUNTIFS($A$14:$A$1213,$A489,$C$14:$C$1213,"&gt;=0")+1)/2)</f>
        <v/>
      </c>
      <c r="Y489" s="27">
        <f>IF(OR(NOT(ISNUMBER($W489)),$AO489=1),"",$W489-(COUNTIFS($A$14:$A$1213,$A489,$F$14:$F$1213,"&gt;=0")+1)/2)</f>
        <v/>
      </c>
      <c r="Z489" s="27">
        <f>IF(ISNUMBER($V489),$A489&amp;"|"&amp;$V489,"")</f>
        <v/>
      </c>
      <c r="AA489" s="27">
        <f>IF(ISNUMBER($W489),$A489&amp;"|"&amp;$W489,"")</f>
        <v/>
      </c>
      <c r="AB489" s="27">
        <f>IF(ISNUMBER($F489),$A489&amp;"|"&amp;$F489,"")</f>
        <v/>
      </c>
      <c r="AC489" s="27">
        <f>IF(ISNUMBER($P489),COUNTIFS($A$14:$A$1213,$A489,$P$14:$P$1213,"&gt;"&amp;$P489)+(COUNTIFS($A$14:$A$1213,$A489,$P$14:$P$1213,"="&amp;$P489)+1)/2,"")</f>
        <v/>
      </c>
      <c r="AD489" s="27">
        <f>IF(ISNUMBER($Q489),COUNTIFS($A$14:$A$1213,$A489,$Q$14:$Q$1213,"&gt;"&amp;$Q489)+(COUNTIFS($A$14:$A$1213,$A489,$Q$14:$Q$1213,"="&amp;$Q489)+1)/2,"")</f>
        <v/>
      </c>
      <c r="AE489" s="27">
        <f>IF(ISNUMBER($R489),COUNTIFS($A$14:$A$1213,$A489,$R$14:$R$1213,"&gt;"&amp;$R489)+(COUNTIFS($A$14:$A$1213,$A489,$R$14:$R$1213,"="&amp;$R489)+1)/2,"")</f>
        <v/>
      </c>
      <c r="AF489" s="27">
        <f>IF(ISNUMBER($S489),COUNTIFS($A$14:$A$1213,$A489,$S$14:$S$1213,"&gt;"&amp;$S489)+(COUNTIFS($A$14:$A$1213,$A489,$S$14:$S$1213,"="&amp;$S489)+1)/2,"")</f>
        <v/>
      </c>
      <c r="AG489" s="27">
        <f>IF(ISNUMBER($T489),COUNTIFS($A$14:$A$1213,$A489,$T$14:$T$1213,"&gt;"&amp;$T489)+(COUNTIFS($A$14:$A$1213,$A489,$T$14:$T$1213,"="&amp;$T489)+1)/2,"")</f>
        <v/>
      </c>
      <c r="AH489" s="27">
        <f>IF(COUNT($AC489:$AG489)&lt;2,"",IF(MAX($AC489:$AG489)=MIN($AC489:$AG489),0,1))</f>
        <v/>
      </c>
      <c r="AI489" s="27">
        <f>IF($A489="","",IF(COUNTIF($A$14:$A489,$A489)=1,COUNTIF($AI$13:AI488,"&gt;0")+1,""))</f>
        <v/>
      </c>
      <c r="AO489" s="27">
        <f>IF($A489="","",IF(AND(COUNTIFS($A$14:$A$1213,$A489,$F$14:$F$1213,"&gt;=0")=2,IFERROR(INDEX($M$14:$M$313,MATCH($A489,$H$14:$H$313,0)),"Yes")&lt;&gt;"Yes"),1,0))</f>
        <v/>
      </c>
    </row>
    <row r="490">
      <c r="A490" s="19" t="n"/>
      <c r="B490" s="20" t="n"/>
      <c r="C490" s="21">
        <f>IFERROR(AVERAGE(P490:T490),"")</f>
        <v/>
      </c>
      <c r="D490" s="29" t="n"/>
      <c r="E490" s="29" t="n"/>
      <c r="F490" s="30">
        <f>IF(AND(ISNUMBER($D490),ISNUMBER($E490),$E490&gt;0,$D490&lt;=$E490),$D490/$E490,"")</f>
        <v/>
      </c>
      <c r="P490" s="26" t="n"/>
      <c r="Q490" s="26" t="n"/>
      <c r="R490" s="26" t="n"/>
      <c r="S490" s="26" t="n"/>
      <c r="T490" s="26" t="n"/>
      <c r="V490" s="27">
        <f>IF(ISNUMBER($C490),COUNTIFS($A$14:$A$1213,$A490,$C$14:$C$1213,"&gt;"&amp;$C490)+(COUNTIFS($A$14:$A$1213,$A490,$C$14:$C$1213,"="&amp;$C490)+1)/2,"")</f>
        <v/>
      </c>
      <c r="W490" s="27">
        <f>IF(ISNUMBER($F490),COUNTIFS($A$14:$A$1213,$A490,$F$14:$F$1213,"&gt;"&amp;$F490)+(COUNTIFS($A$14:$A$1213,$A490,$F$14:$F$1213,"="&amp;$F490)+1)/2,"")</f>
        <v/>
      </c>
      <c r="X490" s="27">
        <f>IF(OR(NOT(ISNUMBER($V490)),$AO490=1),"",$V490-(COUNTIFS($A$14:$A$1213,$A490,$C$14:$C$1213,"&gt;=0")+1)/2)</f>
        <v/>
      </c>
      <c r="Y490" s="27">
        <f>IF(OR(NOT(ISNUMBER($W490)),$AO490=1),"",$W490-(COUNTIFS($A$14:$A$1213,$A490,$F$14:$F$1213,"&gt;=0")+1)/2)</f>
        <v/>
      </c>
      <c r="Z490" s="27">
        <f>IF(ISNUMBER($V490),$A490&amp;"|"&amp;$V490,"")</f>
        <v/>
      </c>
      <c r="AA490" s="27">
        <f>IF(ISNUMBER($W490),$A490&amp;"|"&amp;$W490,"")</f>
        <v/>
      </c>
      <c r="AB490" s="27">
        <f>IF(ISNUMBER($F490),$A490&amp;"|"&amp;$F490,"")</f>
        <v/>
      </c>
      <c r="AC490" s="27">
        <f>IF(ISNUMBER($P490),COUNTIFS($A$14:$A$1213,$A490,$P$14:$P$1213,"&gt;"&amp;$P490)+(COUNTIFS($A$14:$A$1213,$A490,$P$14:$P$1213,"="&amp;$P490)+1)/2,"")</f>
        <v/>
      </c>
      <c r="AD490" s="27">
        <f>IF(ISNUMBER($Q490),COUNTIFS($A$14:$A$1213,$A490,$Q$14:$Q$1213,"&gt;"&amp;$Q490)+(COUNTIFS($A$14:$A$1213,$A490,$Q$14:$Q$1213,"="&amp;$Q490)+1)/2,"")</f>
        <v/>
      </c>
      <c r="AE490" s="27">
        <f>IF(ISNUMBER($R490),COUNTIFS($A$14:$A$1213,$A490,$R$14:$R$1213,"&gt;"&amp;$R490)+(COUNTIFS($A$14:$A$1213,$A490,$R$14:$R$1213,"="&amp;$R490)+1)/2,"")</f>
        <v/>
      </c>
      <c r="AF490" s="27">
        <f>IF(ISNUMBER($S490),COUNTIFS($A$14:$A$1213,$A490,$S$14:$S$1213,"&gt;"&amp;$S490)+(COUNTIFS($A$14:$A$1213,$A490,$S$14:$S$1213,"="&amp;$S490)+1)/2,"")</f>
        <v/>
      </c>
      <c r="AG490" s="27">
        <f>IF(ISNUMBER($T490),COUNTIFS($A$14:$A$1213,$A490,$T$14:$T$1213,"&gt;"&amp;$T490)+(COUNTIFS($A$14:$A$1213,$A490,$T$14:$T$1213,"="&amp;$T490)+1)/2,"")</f>
        <v/>
      </c>
      <c r="AH490" s="27">
        <f>IF(COUNT($AC490:$AG490)&lt;2,"",IF(MAX($AC490:$AG490)=MIN($AC490:$AG490),0,1))</f>
        <v/>
      </c>
      <c r="AI490" s="27">
        <f>IF($A490="","",IF(COUNTIF($A$14:$A490,$A490)=1,COUNTIF($AI$13:AI489,"&gt;0")+1,""))</f>
        <v/>
      </c>
      <c r="AO490" s="27">
        <f>IF($A490="","",IF(AND(COUNTIFS($A$14:$A$1213,$A490,$F$14:$F$1213,"&gt;=0")=2,IFERROR(INDEX($M$14:$M$313,MATCH($A490,$H$14:$H$313,0)),"Yes")&lt;&gt;"Yes"),1,0))</f>
        <v/>
      </c>
    </row>
    <row r="491">
      <c r="A491" s="19" t="n"/>
      <c r="B491" s="20" t="n"/>
      <c r="C491" s="21">
        <f>IFERROR(AVERAGE(P491:T491),"")</f>
        <v/>
      </c>
      <c r="D491" s="29" t="n"/>
      <c r="E491" s="29" t="n"/>
      <c r="F491" s="30">
        <f>IF(AND(ISNUMBER($D491),ISNUMBER($E491),$E491&gt;0,$D491&lt;=$E491),$D491/$E491,"")</f>
        <v/>
      </c>
      <c r="P491" s="26" t="n"/>
      <c r="Q491" s="26" t="n"/>
      <c r="R491" s="26" t="n"/>
      <c r="S491" s="26" t="n"/>
      <c r="T491" s="26" t="n"/>
      <c r="V491" s="27">
        <f>IF(ISNUMBER($C491),COUNTIFS($A$14:$A$1213,$A491,$C$14:$C$1213,"&gt;"&amp;$C491)+(COUNTIFS($A$14:$A$1213,$A491,$C$14:$C$1213,"="&amp;$C491)+1)/2,"")</f>
        <v/>
      </c>
      <c r="W491" s="27">
        <f>IF(ISNUMBER($F491),COUNTIFS($A$14:$A$1213,$A491,$F$14:$F$1213,"&gt;"&amp;$F491)+(COUNTIFS($A$14:$A$1213,$A491,$F$14:$F$1213,"="&amp;$F491)+1)/2,"")</f>
        <v/>
      </c>
      <c r="X491" s="27">
        <f>IF(OR(NOT(ISNUMBER($V491)),$AO491=1),"",$V491-(COUNTIFS($A$14:$A$1213,$A491,$C$14:$C$1213,"&gt;=0")+1)/2)</f>
        <v/>
      </c>
      <c r="Y491" s="27">
        <f>IF(OR(NOT(ISNUMBER($W491)),$AO491=1),"",$W491-(COUNTIFS($A$14:$A$1213,$A491,$F$14:$F$1213,"&gt;=0")+1)/2)</f>
        <v/>
      </c>
      <c r="Z491" s="27">
        <f>IF(ISNUMBER($V491),$A491&amp;"|"&amp;$V491,"")</f>
        <v/>
      </c>
      <c r="AA491" s="27">
        <f>IF(ISNUMBER($W491),$A491&amp;"|"&amp;$W491,"")</f>
        <v/>
      </c>
      <c r="AB491" s="27">
        <f>IF(ISNUMBER($F491),$A491&amp;"|"&amp;$F491,"")</f>
        <v/>
      </c>
      <c r="AC491" s="27">
        <f>IF(ISNUMBER($P491),COUNTIFS($A$14:$A$1213,$A491,$P$14:$P$1213,"&gt;"&amp;$P491)+(COUNTIFS($A$14:$A$1213,$A491,$P$14:$P$1213,"="&amp;$P491)+1)/2,"")</f>
        <v/>
      </c>
      <c r="AD491" s="27">
        <f>IF(ISNUMBER($Q491),COUNTIFS($A$14:$A$1213,$A491,$Q$14:$Q$1213,"&gt;"&amp;$Q491)+(COUNTIFS($A$14:$A$1213,$A491,$Q$14:$Q$1213,"="&amp;$Q491)+1)/2,"")</f>
        <v/>
      </c>
      <c r="AE491" s="27">
        <f>IF(ISNUMBER($R491),COUNTIFS($A$14:$A$1213,$A491,$R$14:$R$1213,"&gt;"&amp;$R491)+(COUNTIFS($A$14:$A$1213,$A491,$R$14:$R$1213,"="&amp;$R491)+1)/2,"")</f>
        <v/>
      </c>
      <c r="AF491" s="27">
        <f>IF(ISNUMBER($S491),COUNTIFS($A$14:$A$1213,$A491,$S$14:$S$1213,"&gt;"&amp;$S491)+(COUNTIFS($A$14:$A$1213,$A491,$S$14:$S$1213,"="&amp;$S491)+1)/2,"")</f>
        <v/>
      </c>
      <c r="AG491" s="27">
        <f>IF(ISNUMBER($T491),COUNTIFS($A$14:$A$1213,$A491,$T$14:$T$1213,"&gt;"&amp;$T491)+(COUNTIFS($A$14:$A$1213,$A491,$T$14:$T$1213,"="&amp;$T491)+1)/2,"")</f>
        <v/>
      </c>
      <c r="AH491" s="27">
        <f>IF(COUNT($AC491:$AG491)&lt;2,"",IF(MAX($AC491:$AG491)=MIN($AC491:$AG491),0,1))</f>
        <v/>
      </c>
      <c r="AI491" s="27">
        <f>IF($A491="","",IF(COUNTIF($A$14:$A491,$A491)=1,COUNTIF($AI$13:AI490,"&gt;0")+1,""))</f>
        <v/>
      </c>
      <c r="AO491" s="27">
        <f>IF($A491="","",IF(AND(COUNTIFS($A$14:$A$1213,$A491,$F$14:$F$1213,"&gt;=0")=2,IFERROR(INDEX($M$14:$M$313,MATCH($A491,$H$14:$H$313,0)),"Yes")&lt;&gt;"Yes"),1,0))</f>
        <v/>
      </c>
    </row>
    <row r="492">
      <c r="A492" s="19" t="n"/>
      <c r="B492" s="20" t="n"/>
      <c r="C492" s="21">
        <f>IFERROR(AVERAGE(P492:T492),"")</f>
        <v/>
      </c>
      <c r="D492" s="29" t="n"/>
      <c r="E492" s="29" t="n"/>
      <c r="F492" s="30">
        <f>IF(AND(ISNUMBER($D492),ISNUMBER($E492),$E492&gt;0,$D492&lt;=$E492),$D492/$E492,"")</f>
        <v/>
      </c>
      <c r="P492" s="26" t="n"/>
      <c r="Q492" s="26" t="n"/>
      <c r="R492" s="26" t="n"/>
      <c r="S492" s="26" t="n"/>
      <c r="T492" s="26" t="n"/>
      <c r="V492" s="27">
        <f>IF(ISNUMBER($C492),COUNTIFS($A$14:$A$1213,$A492,$C$14:$C$1213,"&gt;"&amp;$C492)+(COUNTIFS($A$14:$A$1213,$A492,$C$14:$C$1213,"="&amp;$C492)+1)/2,"")</f>
        <v/>
      </c>
      <c r="W492" s="27">
        <f>IF(ISNUMBER($F492),COUNTIFS($A$14:$A$1213,$A492,$F$14:$F$1213,"&gt;"&amp;$F492)+(COUNTIFS($A$14:$A$1213,$A492,$F$14:$F$1213,"="&amp;$F492)+1)/2,"")</f>
        <v/>
      </c>
      <c r="X492" s="27">
        <f>IF(OR(NOT(ISNUMBER($V492)),$AO492=1),"",$V492-(COUNTIFS($A$14:$A$1213,$A492,$C$14:$C$1213,"&gt;=0")+1)/2)</f>
        <v/>
      </c>
      <c r="Y492" s="27">
        <f>IF(OR(NOT(ISNUMBER($W492)),$AO492=1),"",$W492-(COUNTIFS($A$14:$A$1213,$A492,$F$14:$F$1213,"&gt;=0")+1)/2)</f>
        <v/>
      </c>
      <c r="Z492" s="27">
        <f>IF(ISNUMBER($V492),$A492&amp;"|"&amp;$V492,"")</f>
        <v/>
      </c>
      <c r="AA492" s="27">
        <f>IF(ISNUMBER($W492),$A492&amp;"|"&amp;$W492,"")</f>
        <v/>
      </c>
      <c r="AB492" s="27">
        <f>IF(ISNUMBER($F492),$A492&amp;"|"&amp;$F492,"")</f>
        <v/>
      </c>
      <c r="AC492" s="27">
        <f>IF(ISNUMBER($P492),COUNTIFS($A$14:$A$1213,$A492,$P$14:$P$1213,"&gt;"&amp;$P492)+(COUNTIFS($A$14:$A$1213,$A492,$P$14:$P$1213,"="&amp;$P492)+1)/2,"")</f>
        <v/>
      </c>
      <c r="AD492" s="27">
        <f>IF(ISNUMBER($Q492),COUNTIFS($A$14:$A$1213,$A492,$Q$14:$Q$1213,"&gt;"&amp;$Q492)+(COUNTIFS($A$14:$A$1213,$A492,$Q$14:$Q$1213,"="&amp;$Q492)+1)/2,"")</f>
        <v/>
      </c>
      <c r="AE492" s="27">
        <f>IF(ISNUMBER($R492),COUNTIFS($A$14:$A$1213,$A492,$R$14:$R$1213,"&gt;"&amp;$R492)+(COUNTIFS($A$14:$A$1213,$A492,$R$14:$R$1213,"="&amp;$R492)+1)/2,"")</f>
        <v/>
      </c>
      <c r="AF492" s="27">
        <f>IF(ISNUMBER($S492),COUNTIFS($A$14:$A$1213,$A492,$S$14:$S$1213,"&gt;"&amp;$S492)+(COUNTIFS($A$14:$A$1213,$A492,$S$14:$S$1213,"="&amp;$S492)+1)/2,"")</f>
        <v/>
      </c>
      <c r="AG492" s="27">
        <f>IF(ISNUMBER($T492),COUNTIFS($A$14:$A$1213,$A492,$T$14:$T$1213,"&gt;"&amp;$T492)+(COUNTIFS($A$14:$A$1213,$A492,$T$14:$T$1213,"="&amp;$T492)+1)/2,"")</f>
        <v/>
      </c>
      <c r="AH492" s="27">
        <f>IF(COUNT($AC492:$AG492)&lt;2,"",IF(MAX($AC492:$AG492)=MIN($AC492:$AG492),0,1))</f>
        <v/>
      </c>
      <c r="AI492" s="27">
        <f>IF($A492="","",IF(COUNTIF($A$14:$A492,$A492)=1,COUNTIF($AI$13:AI491,"&gt;0")+1,""))</f>
        <v/>
      </c>
      <c r="AO492" s="27">
        <f>IF($A492="","",IF(AND(COUNTIFS($A$14:$A$1213,$A492,$F$14:$F$1213,"&gt;=0")=2,IFERROR(INDEX($M$14:$M$313,MATCH($A492,$H$14:$H$313,0)),"Yes")&lt;&gt;"Yes"),1,0))</f>
        <v/>
      </c>
    </row>
    <row r="493">
      <c r="A493" s="19" t="n"/>
      <c r="B493" s="20" t="n"/>
      <c r="C493" s="21">
        <f>IFERROR(AVERAGE(P493:T493),"")</f>
        <v/>
      </c>
      <c r="D493" s="29" t="n"/>
      <c r="E493" s="29" t="n"/>
      <c r="F493" s="30">
        <f>IF(AND(ISNUMBER($D493),ISNUMBER($E493),$E493&gt;0,$D493&lt;=$E493),$D493/$E493,"")</f>
        <v/>
      </c>
      <c r="P493" s="26" t="n"/>
      <c r="Q493" s="26" t="n"/>
      <c r="R493" s="26" t="n"/>
      <c r="S493" s="26" t="n"/>
      <c r="T493" s="26" t="n"/>
      <c r="V493" s="27">
        <f>IF(ISNUMBER($C493),COUNTIFS($A$14:$A$1213,$A493,$C$14:$C$1213,"&gt;"&amp;$C493)+(COUNTIFS($A$14:$A$1213,$A493,$C$14:$C$1213,"="&amp;$C493)+1)/2,"")</f>
        <v/>
      </c>
      <c r="W493" s="27">
        <f>IF(ISNUMBER($F493),COUNTIFS($A$14:$A$1213,$A493,$F$14:$F$1213,"&gt;"&amp;$F493)+(COUNTIFS($A$14:$A$1213,$A493,$F$14:$F$1213,"="&amp;$F493)+1)/2,"")</f>
        <v/>
      </c>
      <c r="X493" s="27">
        <f>IF(OR(NOT(ISNUMBER($V493)),$AO493=1),"",$V493-(COUNTIFS($A$14:$A$1213,$A493,$C$14:$C$1213,"&gt;=0")+1)/2)</f>
        <v/>
      </c>
      <c r="Y493" s="27">
        <f>IF(OR(NOT(ISNUMBER($W493)),$AO493=1),"",$W493-(COUNTIFS($A$14:$A$1213,$A493,$F$14:$F$1213,"&gt;=0")+1)/2)</f>
        <v/>
      </c>
      <c r="Z493" s="27">
        <f>IF(ISNUMBER($V493),$A493&amp;"|"&amp;$V493,"")</f>
        <v/>
      </c>
      <c r="AA493" s="27">
        <f>IF(ISNUMBER($W493),$A493&amp;"|"&amp;$W493,"")</f>
        <v/>
      </c>
      <c r="AB493" s="27">
        <f>IF(ISNUMBER($F493),$A493&amp;"|"&amp;$F493,"")</f>
        <v/>
      </c>
      <c r="AC493" s="27">
        <f>IF(ISNUMBER($P493),COUNTIFS($A$14:$A$1213,$A493,$P$14:$P$1213,"&gt;"&amp;$P493)+(COUNTIFS($A$14:$A$1213,$A493,$P$14:$P$1213,"="&amp;$P493)+1)/2,"")</f>
        <v/>
      </c>
      <c r="AD493" s="27">
        <f>IF(ISNUMBER($Q493),COUNTIFS($A$14:$A$1213,$A493,$Q$14:$Q$1213,"&gt;"&amp;$Q493)+(COUNTIFS($A$14:$A$1213,$A493,$Q$14:$Q$1213,"="&amp;$Q493)+1)/2,"")</f>
        <v/>
      </c>
      <c r="AE493" s="27">
        <f>IF(ISNUMBER($R493),COUNTIFS($A$14:$A$1213,$A493,$R$14:$R$1213,"&gt;"&amp;$R493)+(COUNTIFS($A$14:$A$1213,$A493,$R$14:$R$1213,"="&amp;$R493)+1)/2,"")</f>
        <v/>
      </c>
      <c r="AF493" s="27">
        <f>IF(ISNUMBER($S493),COUNTIFS($A$14:$A$1213,$A493,$S$14:$S$1213,"&gt;"&amp;$S493)+(COUNTIFS($A$14:$A$1213,$A493,$S$14:$S$1213,"="&amp;$S493)+1)/2,"")</f>
        <v/>
      </c>
      <c r="AG493" s="27">
        <f>IF(ISNUMBER($T493),COUNTIFS($A$14:$A$1213,$A493,$T$14:$T$1213,"&gt;"&amp;$T493)+(COUNTIFS($A$14:$A$1213,$A493,$T$14:$T$1213,"="&amp;$T493)+1)/2,"")</f>
        <v/>
      </c>
      <c r="AH493" s="27">
        <f>IF(COUNT($AC493:$AG493)&lt;2,"",IF(MAX($AC493:$AG493)=MIN($AC493:$AG493),0,1))</f>
        <v/>
      </c>
      <c r="AI493" s="27">
        <f>IF($A493="","",IF(COUNTIF($A$14:$A493,$A493)=1,COUNTIF($AI$13:AI492,"&gt;0")+1,""))</f>
        <v/>
      </c>
      <c r="AO493" s="27">
        <f>IF($A493="","",IF(AND(COUNTIFS($A$14:$A$1213,$A493,$F$14:$F$1213,"&gt;=0")=2,IFERROR(INDEX($M$14:$M$313,MATCH($A493,$H$14:$H$313,0)),"Yes")&lt;&gt;"Yes"),1,0))</f>
        <v/>
      </c>
    </row>
    <row r="494">
      <c r="A494" s="19" t="n"/>
      <c r="B494" s="20" t="n"/>
      <c r="C494" s="21">
        <f>IFERROR(AVERAGE(P494:T494),"")</f>
        <v/>
      </c>
      <c r="D494" s="29" t="n"/>
      <c r="E494" s="29" t="n"/>
      <c r="F494" s="30">
        <f>IF(AND(ISNUMBER($D494),ISNUMBER($E494),$E494&gt;0,$D494&lt;=$E494),$D494/$E494,"")</f>
        <v/>
      </c>
      <c r="P494" s="26" t="n"/>
      <c r="Q494" s="26" t="n"/>
      <c r="R494" s="26" t="n"/>
      <c r="S494" s="26" t="n"/>
      <c r="T494" s="26" t="n"/>
      <c r="V494" s="27">
        <f>IF(ISNUMBER($C494),COUNTIFS($A$14:$A$1213,$A494,$C$14:$C$1213,"&gt;"&amp;$C494)+(COUNTIFS($A$14:$A$1213,$A494,$C$14:$C$1213,"="&amp;$C494)+1)/2,"")</f>
        <v/>
      </c>
      <c r="W494" s="27">
        <f>IF(ISNUMBER($F494),COUNTIFS($A$14:$A$1213,$A494,$F$14:$F$1213,"&gt;"&amp;$F494)+(COUNTIFS($A$14:$A$1213,$A494,$F$14:$F$1213,"="&amp;$F494)+1)/2,"")</f>
        <v/>
      </c>
      <c r="X494" s="27">
        <f>IF(OR(NOT(ISNUMBER($V494)),$AO494=1),"",$V494-(COUNTIFS($A$14:$A$1213,$A494,$C$14:$C$1213,"&gt;=0")+1)/2)</f>
        <v/>
      </c>
      <c r="Y494" s="27">
        <f>IF(OR(NOT(ISNUMBER($W494)),$AO494=1),"",$W494-(COUNTIFS($A$14:$A$1213,$A494,$F$14:$F$1213,"&gt;=0")+1)/2)</f>
        <v/>
      </c>
      <c r="Z494" s="27">
        <f>IF(ISNUMBER($V494),$A494&amp;"|"&amp;$V494,"")</f>
        <v/>
      </c>
      <c r="AA494" s="27">
        <f>IF(ISNUMBER($W494),$A494&amp;"|"&amp;$W494,"")</f>
        <v/>
      </c>
      <c r="AB494" s="27">
        <f>IF(ISNUMBER($F494),$A494&amp;"|"&amp;$F494,"")</f>
        <v/>
      </c>
      <c r="AC494" s="27">
        <f>IF(ISNUMBER($P494),COUNTIFS($A$14:$A$1213,$A494,$P$14:$P$1213,"&gt;"&amp;$P494)+(COUNTIFS($A$14:$A$1213,$A494,$P$14:$P$1213,"="&amp;$P494)+1)/2,"")</f>
        <v/>
      </c>
      <c r="AD494" s="27">
        <f>IF(ISNUMBER($Q494),COUNTIFS($A$14:$A$1213,$A494,$Q$14:$Q$1213,"&gt;"&amp;$Q494)+(COUNTIFS($A$14:$A$1213,$A494,$Q$14:$Q$1213,"="&amp;$Q494)+1)/2,"")</f>
        <v/>
      </c>
      <c r="AE494" s="27">
        <f>IF(ISNUMBER($R494),COUNTIFS($A$14:$A$1213,$A494,$R$14:$R$1213,"&gt;"&amp;$R494)+(COUNTIFS($A$14:$A$1213,$A494,$R$14:$R$1213,"="&amp;$R494)+1)/2,"")</f>
        <v/>
      </c>
      <c r="AF494" s="27">
        <f>IF(ISNUMBER($S494),COUNTIFS($A$14:$A$1213,$A494,$S$14:$S$1213,"&gt;"&amp;$S494)+(COUNTIFS($A$14:$A$1213,$A494,$S$14:$S$1213,"="&amp;$S494)+1)/2,"")</f>
        <v/>
      </c>
      <c r="AG494" s="27">
        <f>IF(ISNUMBER($T494),COUNTIFS($A$14:$A$1213,$A494,$T$14:$T$1213,"&gt;"&amp;$T494)+(COUNTIFS($A$14:$A$1213,$A494,$T$14:$T$1213,"="&amp;$T494)+1)/2,"")</f>
        <v/>
      </c>
      <c r="AH494" s="27">
        <f>IF(COUNT($AC494:$AG494)&lt;2,"",IF(MAX($AC494:$AG494)=MIN($AC494:$AG494),0,1))</f>
        <v/>
      </c>
      <c r="AI494" s="27">
        <f>IF($A494="","",IF(COUNTIF($A$14:$A494,$A494)=1,COUNTIF($AI$13:AI493,"&gt;0")+1,""))</f>
        <v/>
      </c>
      <c r="AO494" s="27">
        <f>IF($A494="","",IF(AND(COUNTIFS($A$14:$A$1213,$A494,$F$14:$F$1213,"&gt;=0")=2,IFERROR(INDEX($M$14:$M$313,MATCH($A494,$H$14:$H$313,0)),"Yes")&lt;&gt;"Yes"),1,0))</f>
        <v/>
      </c>
    </row>
    <row r="495">
      <c r="A495" s="19" t="n"/>
      <c r="B495" s="20" t="n"/>
      <c r="C495" s="21">
        <f>IFERROR(AVERAGE(P495:T495),"")</f>
        <v/>
      </c>
      <c r="D495" s="29" t="n"/>
      <c r="E495" s="29" t="n"/>
      <c r="F495" s="30">
        <f>IF(AND(ISNUMBER($D495),ISNUMBER($E495),$E495&gt;0,$D495&lt;=$E495),$D495/$E495,"")</f>
        <v/>
      </c>
      <c r="P495" s="26" t="n"/>
      <c r="Q495" s="26" t="n"/>
      <c r="R495" s="26" t="n"/>
      <c r="S495" s="26" t="n"/>
      <c r="T495" s="26" t="n"/>
      <c r="V495" s="27">
        <f>IF(ISNUMBER($C495),COUNTIFS($A$14:$A$1213,$A495,$C$14:$C$1213,"&gt;"&amp;$C495)+(COUNTIFS($A$14:$A$1213,$A495,$C$14:$C$1213,"="&amp;$C495)+1)/2,"")</f>
        <v/>
      </c>
      <c r="W495" s="27">
        <f>IF(ISNUMBER($F495),COUNTIFS($A$14:$A$1213,$A495,$F$14:$F$1213,"&gt;"&amp;$F495)+(COUNTIFS($A$14:$A$1213,$A495,$F$14:$F$1213,"="&amp;$F495)+1)/2,"")</f>
        <v/>
      </c>
      <c r="X495" s="27">
        <f>IF(OR(NOT(ISNUMBER($V495)),$AO495=1),"",$V495-(COUNTIFS($A$14:$A$1213,$A495,$C$14:$C$1213,"&gt;=0")+1)/2)</f>
        <v/>
      </c>
      <c r="Y495" s="27">
        <f>IF(OR(NOT(ISNUMBER($W495)),$AO495=1),"",$W495-(COUNTIFS($A$14:$A$1213,$A495,$F$14:$F$1213,"&gt;=0")+1)/2)</f>
        <v/>
      </c>
      <c r="Z495" s="27">
        <f>IF(ISNUMBER($V495),$A495&amp;"|"&amp;$V495,"")</f>
        <v/>
      </c>
      <c r="AA495" s="27">
        <f>IF(ISNUMBER($W495),$A495&amp;"|"&amp;$W495,"")</f>
        <v/>
      </c>
      <c r="AB495" s="27">
        <f>IF(ISNUMBER($F495),$A495&amp;"|"&amp;$F495,"")</f>
        <v/>
      </c>
      <c r="AC495" s="27">
        <f>IF(ISNUMBER($P495),COUNTIFS($A$14:$A$1213,$A495,$P$14:$P$1213,"&gt;"&amp;$P495)+(COUNTIFS($A$14:$A$1213,$A495,$P$14:$P$1213,"="&amp;$P495)+1)/2,"")</f>
        <v/>
      </c>
      <c r="AD495" s="27">
        <f>IF(ISNUMBER($Q495),COUNTIFS($A$14:$A$1213,$A495,$Q$14:$Q$1213,"&gt;"&amp;$Q495)+(COUNTIFS($A$14:$A$1213,$A495,$Q$14:$Q$1213,"="&amp;$Q495)+1)/2,"")</f>
        <v/>
      </c>
      <c r="AE495" s="27">
        <f>IF(ISNUMBER($R495),COUNTIFS($A$14:$A$1213,$A495,$R$14:$R$1213,"&gt;"&amp;$R495)+(COUNTIFS($A$14:$A$1213,$A495,$R$14:$R$1213,"="&amp;$R495)+1)/2,"")</f>
        <v/>
      </c>
      <c r="AF495" s="27">
        <f>IF(ISNUMBER($S495),COUNTIFS($A$14:$A$1213,$A495,$S$14:$S$1213,"&gt;"&amp;$S495)+(COUNTIFS($A$14:$A$1213,$A495,$S$14:$S$1213,"="&amp;$S495)+1)/2,"")</f>
        <v/>
      </c>
      <c r="AG495" s="27">
        <f>IF(ISNUMBER($T495),COUNTIFS($A$14:$A$1213,$A495,$T$14:$T$1213,"&gt;"&amp;$T495)+(COUNTIFS($A$14:$A$1213,$A495,$T$14:$T$1213,"="&amp;$T495)+1)/2,"")</f>
        <v/>
      </c>
      <c r="AH495" s="27">
        <f>IF(COUNT($AC495:$AG495)&lt;2,"",IF(MAX($AC495:$AG495)=MIN($AC495:$AG495),0,1))</f>
        <v/>
      </c>
      <c r="AI495" s="27">
        <f>IF($A495="","",IF(COUNTIF($A$14:$A495,$A495)=1,COUNTIF($AI$13:AI494,"&gt;0")+1,""))</f>
        <v/>
      </c>
      <c r="AO495" s="27">
        <f>IF($A495="","",IF(AND(COUNTIFS($A$14:$A$1213,$A495,$F$14:$F$1213,"&gt;=0")=2,IFERROR(INDEX($M$14:$M$313,MATCH($A495,$H$14:$H$313,0)),"Yes")&lt;&gt;"Yes"),1,0))</f>
        <v/>
      </c>
    </row>
    <row r="496">
      <c r="A496" s="19" t="n"/>
      <c r="B496" s="20" t="n"/>
      <c r="C496" s="21">
        <f>IFERROR(AVERAGE(P496:T496),"")</f>
        <v/>
      </c>
      <c r="D496" s="29" t="n"/>
      <c r="E496" s="29" t="n"/>
      <c r="F496" s="30">
        <f>IF(AND(ISNUMBER($D496),ISNUMBER($E496),$E496&gt;0,$D496&lt;=$E496),$D496/$E496,"")</f>
        <v/>
      </c>
      <c r="P496" s="26" t="n"/>
      <c r="Q496" s="26" t="n"/>
      <c r="R496" s="26" t="n"/>
      <c r="S496" s="26" t="n"/>
      <c r="T496" s="26" t="n"/>
      <c r="V496" s="27">
        <f>IF(ISNUMBER($C496),COUNTIFS($A$14:$A$1213,$A496,$C$14:$C$1213,"&gt;"&amp;$C496)+(COUNTIFS($A$14:$A$1213,$A496,$C$14:$C$1213,"="&amp;$C496)+1)/2,"")</f>
        <v/>
      </c>
      <c r="W496" s="27">
        <f>IF(ISNUMBER($F496),COUNTIFS($A$14:$A$1213,$A496,$F$14:$F$1213,"&gt;"&amp;$F496)+(COUNTIFS($A$14:$A$1213,$A496,$F$14:$F$1213,"="&amp;$F496)+1)/2,"")</f>
        <v/>
      </c>
      <c r="X496" s="27">
        <f>IF(OR(NOT(ISNUMBER($V496)),$AO496=1),"",$V496-(COUNTIFS($A$14:$A$1213,$A496,$C$14:$C$1213,"&gt;=0")+1)/2)</f>
        <v/>
      </c>
      <c r="Y496" s="27">
        <f>IF(OR(NOT(ISNUMBER($W496)),$AO496=1),"",$W496-(COUNTIFS($A$14:$A$1213,$A496,$F$14:$F$1213,"&gt;=0")+1)/2)</f>
        <v/>
      </c>
      <c r="Z496" s="27">
        <f>IF(ISNUMBER($V496),$A496&amp;"|"&amp;$V496,"")</f>
        <v/>
      </c>
      <c r="AA496" s="27">
        <f>IF(ISNUMBER($W496),$A496&amp;"|"&amp;$W496,"")</f>
        <v/>
      </c>
      <c r="AB496" s="27">
        <f>IF(ISNUMBER($F496),$A496&amp;"|"&amp;$F496,"")</f>
        <v/>
      </c>
      <c r="AC496" s="27">
        <f>IF(ISNUMBER($P496),COUNTIFS($A$14:$A$1213,$A496,$P$14:$P$1213,"&gt;"&amp;$P496)+(COUNTIFS($A$14:$A$1213,$A496,$P$14:$P$1213,"="&amp;$P496)+1)/2,"")</f>
        <v/>
      </c>
      <c r="AD496" s="27">
        <f>IF(ISNUMBER($Q496),COUNTIFS($A$14:$A$1213,$A496,$Q$14:$Q$1213,"&gt;"&amp;$Q496)+(COUNTIFS($A$14:$A$1213,$A496,$Q$14:$Q$1213,"="&amp;$Q496)+1)/2,"")</f>
        <v/>
      </c>
      <c r="AE496" s="27">
        <f>IF(ISNUMBER($R496),COUNTIFS($A$14:$A$1213,$A496,$R$14:$R$1213,"&gt;"&amp;$R496)+(COUNTIFS($A$14:$A$1213,$A496,$R$14:$R$1213,"="&amp;$R496)+1)/2,"")</f>
        <v/>
      </c>
      <c r="AF496" s="27">
        <f>IF(ISNUMBER($S496),COUNTIFS($A$14:$A$1213,$A496,$S$14:$S$1213,"&gt;"&amp;$S496)+(COUNTIFS($A$14:$A$1213,$A496,$S$14:$S$1213,"="&amp;$S496)+1)/2,"")</f>
        <v/>
      </c>
      <c r="AG496" s="27">
        <f>IF(ISNUMBER($T496),COUNTIFS($A$14:$A$1213,$A496,$T$14:$T$1213,"&gt;"&amp;$T496)+(COUNTIFS($A$14:$A$1213,$A496,$T$14:$T$1213,"="&amp;$T496)+1)/2,"")</f>
        <v/>
      </c>
      <c r="AH496" s="27">
        <f>IF(COUNT($AC496:$AG496)&lt;2,"",IF(MAX($AC496:$AG496)=MIN($AC496:$AG496),0,1))</f>
        <v/>
      </c>
      <c r="AI496" s="27">
        <f>IF($A496="","",IF(COUNTIF($A$14:$A496,$A496)=1,COUNTIF($AI$13:AI495,"&gt;0")+1,""))</f>
        <v/>
      </c>
      <c r="AO496" s="27">
        <f>IF($A496="","",IF(AND(COUNTIFS($A$14:$A$1213,$A496,$F$14:$F$1213,"&gt;=0")=2,IFERROR(INDEX($M$14:$M$313,MATCH($A496,$H$14:$H$313,0)),"Yes")&lt;&gt;"Yes"),1,0))</f>
        <v/>
      </c>
    </row>
    <row r="497">
      <c r="A497" s="19" t="n"/>
      <c r="B497" s="20" t="n"/>
      <c r="C497" s="21">
        <f>IFERROR(AVERAGE(P497:T497),"")</f>
        <v/>
      </c>
      <c r="D497" s="29" t="n"/>
      <c r="E497" s="29" t="n"/>
      <c r="F497" s="30">
        <f>IF(AND(ISNUMBER($D497),ISNUMBER($E497),$E497&gt;0,$D497&lt;=$E497),$D497/$E497,"")</f>
        <v/>
      </c>
      <c r="P497" s="26" t="n"/>
      <c r="Q497" s="26" t="n"/>
      <c r="R497" s="26" t="n"/>
      <c r="S497" s="26" t="n"/>
      <c r="T497" s="26" t="n"/>
      <c r="V497" s="27">
        <f>IF(ISNUMBER($C497),COUNTIFS($A$14:$A$1213,$A497,$C$14:$C$1213,"&gt;"&amp;$C497)+(COUNTIFS($A$14:$A$1213,$A497,$C$14:$C$1213,"="&amp;$C497)+1)/2,"")</f>
        <v/>
      </c>
      <c r="W497" s="27">
        <f>IF(ISNUMBER($F497),COUNTIFS($A$14:$A$1213,$A497,$F$14:$F$1213,"&gt;"&amp;$F497)+(COUNTIFS($A$14:$A$1213,$A497,$F$14:$F$1213,"="&amp;$F497)+1)/2,"")</f>
        <v/>
      </c>
      <c r="X497" s="27">
        <f>IF(OR(NOT(ISNUMBER($V497)),$AO497=1),"",$V497-(COUNTIFS($A$14:$A$1213,$A497,$C$14:$C$1213,"&gt;=0")+1)/2)</f>
        <v/>
      </c>
      <c r="Y497" s="27">
        <f>IF(OR(NOT(ISNUMBER($W497)),$AO497=1),"",$W497-(COUNTIFS($A$14:$A$1213,$A497,$F$14:$F$1213,"&gt;=0")+1)/2)</f>
        <v/>
      </c>
      <c r="Z497" s="27">
        <f>IF(ISNUMBER($V497),$A497&amp;"|"&amp;$V497,"")</f>
        <v/>
      </c>
      <c r="AA497" s="27">
        <f>IF(ISNUMBER($W497),$A497&amp;"|"&amp;$W497,"")</f>
        <v/>
      </c>
      <c r="AB497" s="27">
        <f>IF(ISNUMBER($F497),$A497&amp;"|"&amp;$F497,"")</f>
        <v/>
      </c>
      <c r="AC497" s="27">
        <f>IF(ISNUMBER($P497),COUNTIFS($A$14:$A$1213,$A497,$P$14:$P$1213,"&gt;"&amp;$P497)+(COUNTIFS($A$14:$A$1213,$A497,$P$14:$P$1213,"="&amp;$P497)+1)/2,"")</f>
        <v/>
      </c>
      <c r="AD497" s="27">
        <f>IF(ISNUMBER($Q497),COUNTIFS($A$14:$A$1213,$A497,$Q$14:$Q$1213,"&gt;"&amp;$Q497)+(COUNTIFS($A$14:$A$1213,$A497,$Q$14:$Q$1213,"="&amp;$Q497)+1)/2,"")</f>
        <v/>
      </c>
      <c r="AE497" s="27">
        <f>IF(ISNUMBER($R497),COUNTIFS($A$14:$A$1213,$A497,$R$14:$R$1213,"&gt;"&amp;$R497)+(COUNTIFS($A$14:$A$1213,$A497,$R$14:$R$1213,"="&amp;$R497)+1)/2,"")</f>
        <v/>
      </c>
      <c r="AF497" s="27">
        <f>IF(ISNUMBER($S497),COUNTIFS($A$14:$A$1213,$A497,$S$14:$S$1213,"&gt;"&amp;$S497)+(COUNTIFS($A$14:$A$1213,$A497,$S$14:$S$1213,"="&amp;$S497)+1)/2,"")</f>
        <v/>
      </c>
      <c r="AG497" s="27">
        <f>IF(ISNUMBER($T497),COUNTIFS($A$14:$A$1213,$A497,$T$14:$T$1213,"&gt;"&amp;$T497)+(COUNTIFS($A$14:$A$1213,$A497,$T$14:$T$1213,"="&amp;$T497)+1)/2,"")</f>
        <v/>
      </c>
      <c r="AH497" s="27">
        <f>IF(COUNT($AC497:$AG497)&lt;2,"",IF(MAX($AC497:$AG497)=MIN($AC497:$AG497),0,1))</f>
        <v/>
      </c>
      <c r="AI497" s="27">
        <f>IF($A497="","",IF(COUNTIF($A$14:$A497,$A497)=1,COUNTIF($AI$13:AI496,"&gt;0")+1,""))</f>
        <v/>
      </c>
      <c r="AO497" s="27">
        <f>IF($A497="","",IF(AND(COUNTIFS($A$14:$A$1213,$A497,$F$14:$F$1213,"&gt;=0")=2,IFERROR(INDEX($M$14:$M$313,MATCH($A497,$H$14:$H$313,0)),"Yes")&lt;&gt;"Yes"),1,0))</f>
        <v/>
      </c>
    </row>
    <row r="498">
      <c r="A498" s="19" t="n"/>
      <c r="B498" s="20" t="n"/>
      <c r="C498" s="21">
        <f>IFERROR(AVERAGE(P498:T498),"")</f>
        <v/>
      </c>
      <c r="D498" s="29" t="n"/>
      <c r="E498" s="29" t="n"/>
      <c r="F498" s="30">
        <f>IF(AND(ISNUMBER($D498),ISNUMBER($E498),$E498&gt;0,$D498&lt;=$E498),$D498/$E498,"")</f>
        <v/>
      </c>
      <c r="P498" s="26" t="n"/>
      <c r="Q498" s="26" t="n"/>
      <c r="R498" s="26" t="n"/>
      <c r="S498" s="26" t="n"/>
      <c r="T498" s="26" t="n"/>
      <c r="V498" s="27">
        <f>IF(ISNUMBER($C498),COUNTIFS($A$14:$A$1213,$A498,$C$14:$C$1213,"&gt;"&amp;$C498)+(COUNTIFS($A$14:$A$1213,$A498,$C$14:$C$1213,"="&amp;$C498)+1)/2,"")</f>
        <v/>
      </c>
      <c r="W498" s="27">
        <f>IF(ISNUMBER($F498),COUNTIFS($A$14:$A$1213,$A498,$F$14:$F$1213,"&gt;"&amp;$F498)+(COUNTIFS($A$14:$A$1213,$A498,$F$14:$F$1213,"="&amp;$F498)+1)/2,"")</f>
        <v/>
      </c>
      <c r="X498" s="27">
        <f>IF(OR(NOT(ISNUMBER($V498)),$AO498=1),"",$V498-(COUNTIFS($A$14:$A$1213,$A498,$C$14:$C$1213,"&gt;=0")+1)/2)</f>
        <v/>
      </c>
      <c r="Y498" s="27">
        <f>IF(OR(NOT(ISNUMBER($W498)),$AO498=1),"",$W498-(COUNTIFS($A$14:$A$1213,$A498,$F$14:$F$1213,"&gt;=0")+1)/2)</f>
        <v/>
      </c>
      <c r="Z498" s="27">
        <f>IF(ISNUMBER($V498),$A498&amp;"|"&amp;$V498,"")</f>
        <v/>
      </c>
      <c r="AA498" s="27">
        <f>IF(ISNUMBER($W498),$A498&amp;"|"&amp;$W498,"")</f>
        <v/>
      </c>
      <c r="AB498" s="27">
        <f>IF(ISNUMBER($F498),$A498&amp;"|"&amp;$F498,"")</f>
        <v/>
      </c>
      <c r="AC498" s="27">
        <f>IF(ISNUMBER($P498),COUNTIFS($A$14:$A$1213,$A498,$P$14:$P$1213,"&gt;"&amp;$P498)+(COUNTIFS($A$14:$A$1213,$A498,$P$14:$P$1213,"="&amp;$P498)+1)/2,"")</f>
        <v/>
      </c>
      <c r="AD498" s="27">
        <f>IF(ISNUMBER($Q498),COUNTIFS($A$14:$A$1213,$A498,$Q$14:$Q$1213,"&gt;"&amp;$Q498)+(COUNTIFS($A$14:$A$1213,$A498,$Q$14:$Q$1213,"="&amp;$Q498)+1)/2,"")</f>
        <v/>
      </c>
      <c r="AE498" s="27">
        <f>IF(ISNUMBER($R498),COUNTIFS($A$14:$A$1213,$A498,$R$14:$R$1213,"&gt;"&amp;$R498)+(COUNTIFS($A$14:$A$1213,$A498,$R$14:$R$1213,"="&amp;$R498)+1)/2,"")</f>
        <v/>
      </c>
      <c r="AF498" s="27">
        <f>IF(ISNUMBER($S498),COUNTIFS($A$14:$A$1213,$A498,$S$14:$S$1213,"&gt;"&amp;$S498)+(COUNTIFS($A$14:$A$1213,$A498,$S$14:$S$1213,"="&amp;$S498)+1)/2,"")</f>
        <v/>
      </c>
      <c r="AG498" s="27">
        <f>IF(ISNUMBER($T498),COUNTIFS($A$14:$A$1213,$A498,$T$14:$T$1213,"&gt;"&amp;$T498)+(COUNTIFS($A$14:$A$1213,$A498,$T$14:$T$1213,"="&amp;$T498)+1)/2,"")</f>
        <v/>
      </c>
      <c r="AH498" s="27">
        <f>IF(COUNT($AC498:$AG498)&lt;2,"",IF(MAX($AC498:$AG498)=MIN($AC498:$AG498),0,1))</f>
        <v/>
      </c>
      <c r="AI498" s="27">
        <f>IF($A498="","",IF(COUNTIF($A$14:$A498,$A498)=1,COUNTIF($AI$13:AI497,"&gt;0")+1,""))</f>
        <v/>
      </c>
      <c r="AO498" s="27">
        <f>IF($A498="","",IF(AND(COUNTIFS($A$14:$A$1213,$A498,$F$14:$F$1213,"&gt;=0")=2,IFERROR(INDEX($M$14:$M$313,MATCH($A498,$H$14:$H$313,0)),"Yes")&lt;&gt;"Yes"),1,0))</f>
        <v/>
      </c>
    </row>
    <row r="499">
      <c r="A499" s="19" t="n"/>
      <c r="B499" s="20" t="n"/>
      <c r="C499" s="21">
        <f>IFERROR(AVERAGE(P499:T499),"")</f>
        <v/>
      </c>
      <c r="D499" s="29" t="n"/>
      <c r="E499" s="29" t="n"/>
      <c r="F499" s="30">
        <f>IF(AND(ISNUMBER($D499),ISNUMBER($E499),$E499&gt;0,$D499&lt;=$E499),$D499/$E499,"")</f>
        <v/>
      </c>
      <c r="P499" s="26" t="n"/>
      <c r="Q499" s="26" t="n"/>
      <c r="R499" s="26" t="n"/>
      <c r="S499" s="26" t="n"/>
      <c r="T499" s="26" t="n"/>
      <c r="V499" s="27">
        <f>IF(ISNUMBER($C499),COUNTIFS($A$14:$A$1213,$A499,$C$14:$C$1213,"&gt;"&amp;$C499)+(COUNTIFS($A$14:$A$1213,$A499,$C$14:$C$1213,"="&amp;$C499)+1)/2,"")</f>
        <v/>
      </c>
      <c r="W499" s="27">
        <f>IF(ISNUMBER($F499),COUNTIFS($A$14:$A$1213,$A499,$F$14:$F$1213,"&gt;"&amp;$F499)+(COUNTIFS($A$14:$A$1213,$A499,$F$14:$F$1213,"="&amp;$F499)+1)/2,"")</f>
        <v/>
      </c>
      <c r="X499" s="27">
        <f>IF(OR(NOT(ISNUMBER($V499)),$AO499=1),"",$V499-(COUNTIFS($A$14:$A$1213,$A499,$C$14:$C$1213,"&gt;=0")+1)/2)</f>
        <v/>
      </c>
      <c r="Y499" s="27">
        <f>IF(OR(NOT(ISNUMBER($W499)),$AO499=1),"",$W499-(COUNTIFS($A$14:$A$1213,$A499,$F$14:$F$1213,"&gt;=0")+1)/2)</f>
        <v/>
      </c>
      <c r="Z499" s="27">
        <f>IF(ISNUMBER($V499),$A499&amp;"|"&amp;$V499,"")</f>
        <v/>
      </c>
      <c r="AA499" s="27">
        <f>IF(ISNUMBER($W499),$A499&amp;"|"&amp;$W499,"")</f>
        <v/>
      </c>
      <c r="AB499" s="27">
        <f>IF(ISNUMBER($F499),$A499&amp;"|"&amp;$F499,"")</f>
        <v/>
      </c>
      <c r="AC499" s="27">
        <f>IF(ISNUMBER($P499),COUNTIFS($A$14:$A$1213,$A499,$P$14:$P$1213,"&gt;"&amp;$P499)+(COUNTIFS($A$14:$A$1213,$A499,$P$14:$P$1213,"="&amp;$P499)+1)/2,"")</f>
        <v/>
      </c>
      <c r="AD499" s="27">
        <f>IF(ISNUMBER($Q499),COUNTIFS($A$14:$A$1213,$A499,$Q$14:$Q$1213,"&gt;"&amp;$Q499)+(COUNTIFS($A$14:$A$1213,$A499,$Q$14:$Q$1213,"="&amp;$Q499)+1)/2,"")</f>
        <v/>
      </c>
      <c r="AE499" s="27">
        <f>IF(ISNUMBER($R499),COUNTIFS($A$14:$A$1213,$A499,$R$14:$R$1213,"&gt;"&amp;$R499)+(COUNTIFS($A$14:$A$1213,$A499,$R$14:$R$1213,"="&amp;$R499)+1)/2,"")</f>
        <v/>
      </c>
      <c r="AF499" s="27">
        <f>IF(ISNUMBER($S499),COUNTIFS($A$14:$A$1213,$A499,$S$14:$S$1213,"&gt;"&amp;$S499)+(COUNTIFS($A$14:$A$1213,$A499,$S$14:$S$1213,"="&amp;$S499)+1)/2,"")</f>
        <v/>
      </c>
      <c r="AG499" s="27">
        <f>IF(ISNUMBER($T499),COUNTIFS($A$14:$A$1213,$A499,$T$14:$T$1213,"&gt;"&amp;$T499)+(COUNTIFS($A$14:$A$1213,$A499,$T$14:$T$1213,"="&amp;$T499)+1)/2,"")</f>
        <v/>
      </c>
      <c r="AH499" s="27">
        <f>IF(COUNT($AC499:$AG499)&lt;2,"",IF(MAX($AC499:$AG499)=MIN($AC499:$AG499),0,1))</f>
        <v/>
      </c>
      <c r="AI499" s="27">
        <f>IF($A499="","",IF(COUNTIF($A$14:$A499,$A499)=1,COUNTIF($AI$13:AI498,"&gt;0")+1,""))</f>
        <v/>
      </c>
      <c r="AO499" s="27">
        <f>IF($A499="","",IF(AND(COUNTIFS($A$14:$A$1213,$A499,$F$14:$F$1213,"&gt;=0")=2,IFERROR(INDEX($M$14:$M$313,MATCH($A499,$H$14:$H$313,0)),"Yes")&lt;&gt;"Yes"),1,0))</f>
        <v/>
      </c>
    </row>
    <row r="500">
      <c r="A500" s="19" t="n"/>
      <c r="B500" s="20" t="n"/>
      <c r="C500" s="21">
        <f>IFERROR(AVERAGE(P500:T500),"")</f>
        <v/>
      </c>
      <c r="D500" s="29" t="n"/>
      <c r="E500" s="29" t="n"/>
      <c r="F500" s="30">
        <f>IF(AND(ISNUMBER($D500),ISNUMBER($E500),$E500&gt;0,$D500&lt;=$E500),$D500/$E500,"")</f>
        <v/>
      </c>
      <c r="P500" s="26" t="n"/>
      <c r="Q500" s="26" t="n"/>
      <c r="R500" s="26" t="n"/>
      <c r="S500" s="26" t="n"/>
      <c r="T500" s="26" t="n"/>
      <c r="V500" s="27">
        <f>IF(ISNUMBER($C500),COUNTIFS($A$14:$A$1213,$A500,$C$14:$C$1213,"&gt;"&amp;$C500)+(COUNTIFS($A$14:$A$1213,$A500,$C$14:$C$1213,"="&amp;$C500)+1)/2,"")</f>
        <v/>
      </c>
      <c r="W500" s="27">
        <f>IF(ISNUMBER($F500),COUNTIFS($A$14:$A$1213,$A500,$F$14:$F$1213,"&gt;"&amp;$F500)+(COUNTIFS($A$14:$A$1213,$A500,$F$14:$F$1213,"="&amp;$F500)+1)/2,"")</f>
        <v/>
      </c>
      <c r="X500" s="27">
        <f>IF(OR(NOT(ISNUMBER($V500)),$AO500=1),"",$V500-(COUNTIFS($A$14:$A$1213,$A500,$C$14:$C$1213,"&gt;=0")+1)/2)</f>
        <v/>
      </c>
      <c r="Y500" s="27">
        <f>IF(OR(NOT(ISNUMBER($W500)),$AO500=1),"",$W500-(COUNTIFS($A$14:$A$1213,$A500,$F$14:$F$1213,"&gt;=0")+1)/2)</f>
        <v/>
      </c>
      <c r="Z500" s="27">
        <f>IF(ISNUMBER($V500),$A500&amp;"|"&amp;$V500,"")</f>
        <v/>
      </c>
      <c r="AA500" s="27">
        <f>IF(ISNUMBER($W500),$A500&amp;"|"&amp;$W500,"")</f>
        <v/>
      </c>
      <c r="AB500" s="27">
        <f>IF(ISNUMBER($F500),$A500&amp;"|"&amp;$F500,"")</f>
        <v/>
      </c>
      <c r="AC500" s="27">
        <f>IF(ISNUMBER($P500),COUNTIFS($A$14:$A$1213,$A500,$P$14:$P$1213,"&gt;"&amp;$P500)+(COUNTIFS($A$14:$A$1213,$A500,$P$14:$P$1213,"="&amp;$P500)+1)/2,"")</f>
        <v/>
      </c>
      <c r="AD500" s="27">
        <f>IF(ISNUMBER($Q500),COUNTIFS($A$14:$A$1213,$A500,$Q$14:$Q$1213,"&gt;"&amp;$Q500)+(COUNTIFS($A$14:$A$1213,$A500,$Q$14:$Q$1213,"="&amp;$Q500)+1)/2,"")</f>
        <v/>
      </c>
      <c r="AE500" s="27">
        <f>IF(ISNUMBER($R500),COUNTIFS($A$14:$A$1213,$A500,$R$14:$R$1213,"&gt;"&amp;$R500)+(COUNTIFS($A$14:$A$1213,$A500,$R$14:$R$1213,"="&amp;$R500)+1)/2,"")</f>
        <v/>
      </c>
      <c r="AF500" s="27">
        <f>IF(ISNUMBER($S500),COUNTIFS($A$14:$A$1213,$A500,$S$14:$S$1213,"&gt;"&amp;$S500)+(COUNTIFS($A$14:$A$1213,$A500,$S$14:$S$1213,"="&amp;$S500)+1)/2,"")</f>
        <v/>
      </c>
      <c r="AG500" s="27">
        <f>IF(ISNUMBER($T500),COUNTIFS($A$14:$A$1213,$A500,$T$14:$T$1213,"&gt;"&amp;$T500)+(COUNTIFS($A$14:$A$1213,$A500,$T$14:$T$1213,"="&amp;$T500)+1)/2,"")</f>
        <v/>
      </c>
      <c r="AH500" s="27">
        <f>IF(COUNT($AC500:$AG500)&lt;2,"",IF(MAX($AC500:$AG500)=MIN($AC500:$AG500),0,1))</f>
        <v/>
      </c>
      <c r="AI500" s="27">
        <f>IF($A500="","",IF(COUNTIF($A$14:$A500,$A500)=1,COUNTIF($AI$13:AI499,"&gt;0")+1,""))</f>
        <v/>
      </c>
      <c r="AO500" s="27">
        <f>IF($A500="","",IF(AND(COUNTIFS($A$14:$A$1213,$A500,$F$14:$F$1213,"&gt;=0")=2,IFERROR(INDEX($M$14:$M$313,MATCH($A500,$H$14:$H$313,0)),"Yes")&lt;&gt;"Yes"),1,0))</f>
        <v/>
      </c>
    </row>
    <row r="501">
      <c r="A501" s="19" t="n"/>
      <c r="B501" s="20" t="n"/>
      <c r="C501" s="21">
        <f>IFERROR(AVERAGE(P501:T501),"")</f>
        <v/>
      </c>
      <c r="D501" s="29" t="n"/>
      <c r="E501" s="29" t="n"/>
      <c r="F501" s="30">
        <f>IF(AND(ISNUMBER($D501),ISNUMBER($E501),$E501&gt;0,$D501&lt;=$E501),$D501/$E501,"")</f>
        <v/>
      </c>
      <c r="P501" s="26" t="n"/>
      <c r="Q501" s="26" t="n"/>
      <c r="R501" s="26" t="n"/>
      <c r="S501" s="26" t="n"/>
      <c r="T501" s="26" t="n"/>
      <c r="V501" s="27">
        <f>IF(ISNUMBER($C501),COUNTIFS($A$14:$A$1213,$A501,$C$14:$C$1213,"&gt;"&amp;$C501)+(COUNTIFS($A$14:$A$1213,$A501,$C$14:$C$1213,"="&amp;$C501)+1)/2,"")</f>
        <v/>
      </c>
      <c r="W501" s="27">
        <f>IF(ISNUMBER($F501),COUNTIFS($A$14:$A$1213,$A501,$F$14:$F$1213,"&gt;"&amp;$F501)+(COUNTIFS($A$14:$A$1213,$A501,$F$14:$F$1213,"="&amp;$F501)+1)/2,"")</f>
        <v/>
      </c>
      <c r="X501" s="27">
        <f>IF(OR(NOT(ISNUMBER($V501)),$AO501=1),"",$V501-(COUNTIFS($A$14:$A$1213,$A501,$C$14:$C$1213,"&gt;=0")+1)/2)</f>
        <v/>
      </c>
      <c r="Y501" s="27">
        <f>IF(OR(NOT(ISNUMBER($W501)),$AO501=1),"",$W501-(COUNTIFS($A$14:$A$1213,$A501,$F$14:$F$1213,"&gt;=0")+1)/2)</f>
        <v/>
      </c>
      <c r="Z501" s="27">
        <f>IF(ISNUMBER($V501),$A501&amp;"|"&amp;$V501,"")</f>
        <v/>
      </c>
      <c r="AA501" s="27">
        <f>IF(ISNUMBER($W501),$A501&amp;"|"&amp;$W501,"")</f>
        <v/>
      </c>
      <c r="AB501" s="27">
        <f>IF(ISNUMBER($F501),$A501&amp;"|"&amp;$F501,"")</f>
        <v/>
      </c>
      <c r="AC501" s="27">
        <f>IF(ISNUMBER($P501),COUNTIFS($A$14:$A$1213,$A501,$P$14:$P$1213,"&gt;"&amp;$P501)+(COUNTIFS($A$14:$A$1213,$A501,$P$14:$P$1213,"="&amp;$P501)+1)/2,"")</f>
        <v/>
      </c>
      <c r="AD501" s="27">
        <f>IF(ISNUMBER($Q501),COUNTIFS($A$14:$A$1213,$A501,$Q$14:$Q$1213,"&gt;"&amp;$Q501)+(COUNTIFS($A$14:$A$1213,$A501,$Q$14:$Q$1213,"="&amp;$Q501)+1)/2,"")</f>
        <v/>
      </c>
      <c r="AE501" s="27">
        <f>IF(ISNUMBER($R501),COUNTIFS($A$14:$A$1213,$A501,$R$14:$R$1213,"&gt;"&amp;$R501)+(COUNTIFS($A$14:$A$1213,$A501,$R$14:$R$1213,"="&amp;$R501)+1)/2,"")</f>
        <v/>
      </c>
      <c r="AF501" s="27">
        <f>IF(ISNUMBER($S501),COUNTIFS($A$14:$A$1213,$A501,$S$14:$S$1213,"&gt;"&amp;$S501)+(COUNTIFS($A$14:$A$1213,$A501,$S$14:$S$1213,"="&amp;$S501)+1)/2,"")</f>
        <v/>
      </c>
      <c r="AG501" s="27">
        <f>IF(ISNUMBER($T501),COUNTIFS($A$14:$A$1213,$A501,$T$14:$T$1213,"&gt;"&amp;$T501)+(COUNTIFS($A$14:$A$1213,$A501,$T$14:$T$1213,"="&amp;$T501)+1)/2,"")</f>
        <v/>
      </c>
      <c r="AH501" s="27">
        <f>IF(COUNT($AC501:$AG501)&lt;2,"",IF(MAX($AC501:$AG501)=MIN($AC501:$AG501),0,1))</f>
        <v/>
      </c>
      <c r="AI501" s="27">
        <f>IF($A501="","",IF(COUNTIF($A$14:$A501,$A501)=1,COUNTIF($AI$13:AI500,"&gt;0")+1,""))</f>
        <v/>
      </c>
      <c r="AO501" s="27">
        <f>IF($A501="","",IF(AND(COUNTIFS($A$14:$A$1213,$A501,$F$14:$F$1213,"&gt;=0")=2,IFERROR(INDEX($M$14:$M$313,MATCH($A501,$H$14:$H$313,0)),"Yes")&lt;&gt;"Yes"),1,0))</f>
        <v/>
      </c>
    </row>
    <row r="502">
      <c r="A502" s="19" t="n"/>
      <c r="B502" s="20" t="n"/>
      <c r="C502" s="21">
        <f>IFERROR(AVERAGE(P502:T502),"")</f>
        <v/>
      </c>
      <c r="D502" s="29" t="n"/>
      <c r="E502" s="29" t="n"/>
      <c r="F502" s="30">
        <f>IF(AND(ISNUMBER($D502),ISNUMBER($E502),$E502&gt;0,$D502&lt;=$E502),$D502/$E502,"")</f>
        <v/>
      </c>
      <c r="P502" s="26" t="n"/>
      <c r="Q502" s="26" t="n"/>
      <c r="R502" s="26" t="n"/>
      <c r="S502" s="26" t="n"/>
      <c r="T502" s="26" t="n"/>
      <c r="V502" s="27">
        <f>IF(ISNUMBER($C502),COUNTIFS($A$14:$A$1213,$A502,$C$14:$C$1213,"&gt;"&amp;$C502)+(COUNTIFS($A$14:$A$1213,$A502,$C$14:$C$1213,"="&amp;$C502)+1)/2,"")</f>
        <v/>
      </c>
      <c r="W502" s="27">
        <f>IF(ISNUMBER($F502),COUNTIFS($A$14:$A$1213,$A502,$F$14:$F$1213,"&gt;"&amp;$F502)+(COUNTIFS($A$14:$A$1213,$A502,$F$14:$F$1213,"="&amp;$F502)+1)/2,"")</f>
        <v/>
      </c>
      <c r="X502" s="27">
        <f>IF(OR(NOT(ISNUMBER($V502)),$AO502=1),"",$V502-(COUNTIFS($A$14:$A$1213,$A502,$C$14:$C$1213,"&gt;=0")+1)/2)</f>
        <v/>
      </c>
      <c r="Y502" s="27">
        <f>IF(OR(NOT(ISNUMBER($W502)),$AO502=1),"",$W502-(COUNTIFS($A$14:$A$1213,$A502,$F$14:$F$1213,"&gt;=0")+1)/2)</f>
        <v/>
      </c>
      <c r="Z502" s="27">
        <f>IF(ISNUMBER($V502),$A502&amp;"|"&amp;$V502,"")</f>
        <v/>
      </c>
      <c r="AA502" s="27">
        <f>IF(ISNUMBER($W502),$A502&amp;"|"&amp;$W502,"")</f>
        <v/>
      </c>
      <c r="AB502" s="27">
        <f>IF(ISNUMBER($F502),$A502&amp;"|"&amp;$F502,"")</f>
        <v/>
      </c>
      <c r="AC502" s="27">
        <f>IF(ISNUMBER($P502),COUNTIFS($A$14:$A$1213,$A502,$P$14:$P$1213,"&gt;"&amp;$P502)+(COUNTIFS($A$14:$A$1213,$A502,$P$14:$P$1213,"="&amp;$P502)+1)/2,"")</f>
        <v/>
      </c>
      <c r="AD502" s="27">
        <f>IF(ISNUMBER($Q502),COUNTIFS($A$14:$A$1213,$A502,$Q$14:$Q$1213,"&gt;"&amp;$Q502)+(COUNTIFS($A$14:$A$1213,$A502,$Q$14:$Q$1213,"="&amp;$Q502)+1)/2,"")</f>
        <v/>
      </c>
      <c r="AE502" s="27">
        <f>IF(ISNUMBER($R502),COUNTIFS($A$14:$A$1213,$A502,$R$14:$R$1213,"&gt;"&amp;$R502)+(COUNTIFS($A$14:$A$1213,$A502,$R$14:$R$1213,"="&amp;$R502)+1)/2,"")</f>
        <v/>
      </c>
      <c r="AF502" s="27">
        <f>IF(ISNUMBER($S502),COUNTIFS($A$14:$A$1213,$A502,$S$14:$S$1213,"&gt;"&amp;$S502)+(COUNTIFS($A$14:$A$1213,$A502,$S$14:$S$1213,"="&amp;$S502)+1)/2,"")</f>
        <v/>
      </c>
      <c r="AG502" s="27">
        <f>IF(ISNUMBER($T502),COUNTIFS($A$14:$A$1213,$A502,$T$14:$T$1213,"&gt;"&amp;$T502)+(COUNTIFS($A$14:$A$1213,$A502,$T$14:$T$1213,"="&amp;$T502)+1)/2,"")</f>
        <v/>
      </c>
      <c r="AH502" s="27">
        <f>IF(COUNT($AC502:$AG502)&lt;2,"",IF(MAX($AC502:$AG502)=MIN($AC502:$AG502),0,1))</f>
        <v/>
      </c>
      <c r="AI502" s="27">
        <f>IF($A502="","",IF(COUNTIF($A$14:$A502,$A502)=1,COUNTIF($AI$13:AI501,"&gt;0")+1,""))</f>
        <v/>
      </c>
      <c r="AO502" s="27">
        <f>IF($A502="","",IF(AND(COUNTIFS($A$14:$A$1213,$A502,$F$14:$F$1213,"&gt;=0")=2,IFERROR(INDEX($M$14:$M$313,MATCH($A502,$H$14:$H$313,0)),"Yes")&lt;&gt;"Yes"),1,0))</f>
        <v/>
      </c>
    </row>
    <row r="503">
      <c r="A503" s="19" t="n"/>
      <c r="B503" s="20" t="n"/>
      <c r="C503" s="21">
        <f>IFERROR(AVERAGE(P503:T503),"")</f>
        <v/>
      </c>
      <c r="D503" s="29" t="n"/>
      <c r="E503" s="29" t="n"/>
      <c r="F503" s="30">
        <f>IF(AND(ISNUMBER($D503),ISNUMBER($E503),$E503&gt;0,$D503&lt;=$E503),$D503/$E503,"")</f>
        <v/>
      </c>
      <c r="P503" s="26" t="n"/>
      <c r="Q503" s="26" t="n"/>
      <c r="R503" s="26" t="n"/>
      <c r="S503" s="26" t="n"/>
      <c r="T503" s="26" t="n"/>
      <c r="V503" s="27">
        <f>IF(ISNUMBER($C503),COUNTIFS($A$14:$A$1213,$A503,$C$14:$C$1213,"&gt;"&amp;$C503)+(COUNTIFS($A$14:$A$1213,$A503,$C$14:$C$1213,"="&amp;$C503)+1)/2,"")</f>
        <v/>
      </c>
      <c r="W503" s="27">
        <f>IF(ISNUMBER($F503),COUNTIFS($A$14:$A$1213,$A503,$F$14:$F$1213,"&gt;"&amp;$F503)+(COUNTIFS($A$14:$A$1213,$A503,$F$14:$F$1213,"="&amp;$F503)+1)/2,"")</f>
        <v/>
      </c>
      <c r="X503" s="27">
        <f>IF(OR(NOT(ISNUMBER($V503)),$AO503=1),"",$V503-(COUNTIFS($A$14:$A$1213,$A503,$C$14:$C$1213,"&gt;=0")+1)/2)</f>
        <v/>
      </c>
      <c r="Y503" s="27">
        <f>IF(OR(NOT(ISNUMBER($W503)),$AO503=1),"",$W503-(COUNTIFS($A$14:$A$1213,$A503,$F$14:$F$1213,"&gt;=0")+1)/2)</f>
        <v/>
      </c>
      <c r="Z503" s="27">
        <f>IF(ISNUMBER($V503),$A503&amp;"|"&amp;$V503,"")</f>
        <v/>
      </c>
      <c r="AA503" s="27">
        <f>IF(ISNUMBER($W503),$A503&amp;"|"&amp;$W503,"")</f>
        <v/>
      </c>
      <c r="AB503" s="27">
        <f>IF(ISNUMBER($F503),$A503&amp;"|"&amp;$F503,"")</f>
        <v/>
      </c>
      <c r="AC503" s="27">
        <f>IF(ISNUMBER($P503),COUNTIFS($A$14:$A$1213,$A503,$P$14:$P$1213,"&gt;"&amp;$P503)+(COUNTIFS($A$14:$A$1213,$A503,$P$14:$P$1213,"="&amp;$P503)+1)/2,"")</f>
        <v/>
      </c>
      <c r="AD503" s="27">
        <f>IF(ISNUMBER($Q503),COUNTIFS($A$14:$A$1213,$A503,$Q$14:$Q$1213,"&gt;"&amp;$Q503)+(COUNTIFS($A$14:$A$1213,$A503,$Q$14:$Q$1213,"="&amp;$Q503)+1)/2,"")</f>
        <v/>
      </c>
      <c r="AE503" s="27">
        <f>IF(ISNUMBER($R503),COUNTIFS($A$14:$A$1213,$A503,$R$14:$R$1213,"&gt;"&amp;$R503)+(COUNTIFS($A$14:$A$1213,$A503,$R$14:$R$1213,"="&amp;$R503)+1)/2,"")</f>
        <v/>
      </c>
      <c r="AF503" s="27">
        <f>IF(ISNUMBER($S503),COUNTIFS($A$14:$A$1213,$A503,$S$14:$S$1213,"&gt;"&amp;$S503)+(COUNTIFS($A$14:$A$1213,$A503,$S$14:$S$1213,"="&amp;$S503)+1)/2,"")</f>
        <v/>
      </c>
      <c r="AG503" s="27">
        <f>IF(ISNUMBER($T503),COUNTIFS($A$14:$A$1213,$A503,$T$14:$T$1213,"&gt;"&amp;$T503)+(COUNTIFS($A$14:$A$1213,$A503,$T$14:$T$1213,"="&amp;$T503)+1)/2,"")</f>
        <v/>
      </c>
      <c r="AH503" s="27">
        <f>IF(COUNT($AC503:$AG503)&lt;2,"",IF(MAX($AC503:$AG503)=MIN($AC503:$AG503),0,1))</f>
        <v/>
      </c>
      <c r="AI503" s="27">
        <f>IF($A503="","",IF(COUNTIF($A$14:$A503,$A503)=1,COUNTIF($AI$13:AI502,"&gt;0")+1,""))</f>
        <v/>
      </c>
      <c r="AO503" s="27">
        <f>IF($A503="","",IF(AND(COUNTIFS($A$14:$A$1213,$A503,$F$14:$F$1213,"&gt;=0")=2,IFERROR(INDEX($M$14:$M$313,MATCH($A503,$H$14:$H$313,0)),"Yes")&lt;&gt;"Yes"),1,0))</f>
        <v/>
      </c>
    </row>
    <row r="504">
      <c r="A504" s="19" t="n"/>
      <c r="B504" s="20" t="n"/>
      <c r="C504" s="21">
        <f>IFERROR(AVERAGE(P504:T504),"")</f>
        <v/>
      </c>
      <c r="D504" s="29" t="n"/>
      <c r="E504" s="29" t="n"/>
      <c r="F504" s="30">
        <f>IF(AND(ISNUMBER($D504),ISNUMBER($E504),$E504&gt;0,$D504&lt;=$E504),$D504/$E504,"")</f>
        <v/>
      </c>
      <c r="P504" s="26" t="n"/>
      <c r="Q504" s="26" t="n"/>
      <c r="R504" s="26" t="n"/>
      <c r="S504" s="26" t="n"/>
      <c r="T504" s="26" t="n"/>
      <c r="V504" s="27">
        <f>IF(ISNUMBER($C504),COUNTIFS($A$14:$A$1213,$A504,$C$14:$C$1213,"&gt;"&amp;$C504)+(COUNTIFS($A$14:$A$1213,$A504,$C$14:$C$1213,"="&amp;$C504)+1)/2,"")</f>
        <v/>
      </c>
      <c r="W504" s="27">
        <f>IF(ISNUMBER($F504),COUNTIFS($A$14:$A$1213,$A504,$F$14:$F$1213,"&gt;"&amp;$F504)+(COUNTIFS($A$14:$A$1213,$A504,$F$14:$F$1213,"="&amp;$F504)+1)/2,"")</f>
        <v/>
      </c>
      <c r="X504" s="27">
        <f>IF(OR(NOT(ISNUMBER($V504)),$AO504=1),"",$V504-(COUNTIFS($A$14:$A$1213,$A504,$C$14:$C$1213,"&gt;=0")+1)/2)</f>
        <v/>
      </c>
      <c r="Y504" s="27">
        <f>IF(OR(NOT(ISNUMBER($W504)),$AO504=1),"",$W504-(COUNTIFS($A$14:$A$1213,$A504,$F$14:$F$1213,"&gt;=0")+1)/2)</f>
        <v/>
      </c>
      <c r="Z504" s="27">
        <f>IF(ISNUMBER($V504),$A504&amp;"|"&amp;$V504,"")</f>
        <v/>
      </c>
      <c r="AA504" s="27">
        <f>IF(ISNUMBER($W504),$A504&amp;"|"&amp;$W504,"")</f>
        <v/>
      </c>
      <c r="AB504" s="27">
        <f>IF(ISNUMBER($F504),$A504&amp;"|"&amp;$F504,"")</f>
        <v/>
      </c>
      <c r="AC504" s="27">
        <f>IF(ISNUMBER($P504),COUNTIFS($A$14:$A$1213,$A504,$P$14:$P$1213,"&gt;"&amp;$P504)+(COUNTIFS($A$14:$A$1213,$A504,$P$14:$P$1213,"="&amp;$P504)+1)/2,"")</f>
        <v/>
      </c>
      <c r="AD504" s="27">
        <f>IF(ISNUMBER($Q504),COUNTIFS($A$14:$A$1213,$A504,$Q$14:$Q$1213,"&gt;"&amp;$Q504)+(COUNTIFS($A$14:$A$1213,$A504,$Q$14:$Q$1213,"="&amp;$Q504)+1)/2,"")</f>
        <v/>
      </c>
      <c r="AE504" s="27">
        <f>IF(ISNUMBER($R504),COUNTIFS($A$14:$A$1213,$A504,$R$14:$R$1213,"&gt;"&amp;$R504)+(COUNTIFS($A$14:$A$1213,$A504,$R$14:$R$1213,"="&amp;$R504)+1)/2,"")</f>
        <v/>
      </c>
      <c r="AF504" s="27">
        <f>IF(ISNUMBER($S504),COUNTIFS($A$14:$A$1213,$A504,$S$14:$S$1213,"&gt;"&amp;$S504)+(COUNTIFS($A$14:$A$1213,$A504,$S$14:$S$1213,"="&amp;$S504)+1)/2,"")</f>
        <v/>
      </c>
      <c r="AG504" s="27">
        <f>IF(ISNUMBER($T504),COUNTIFS($A$14:$A$1213,$A504,$T$14:$T$1213,"&gt;"&amp;$T504)+(COUNTIFS($A$14:$A$1213,$A504,$T$14:$T$1213,"="&amp;$T504)+1)/2,"")</f>
        <v/>
      </c>
      <c r="AH504" s="27">
        <f>IF(COUNT($AC504:$AG504)&lt;2,"",IF(MAX($AC504:$AG504)=MIN($AC504:$AG504),0,1))</f>
        <v/>
      </c>
      <c r="AI504" s="27">
        <f>IF($A504="","",IF(COUNTIF($A$14:$A504,$A504)=1,COUNTIF($AI$13:AI503,"&gt;0")+1,""))</f>
        <v/>
      </c>
      <c r="AO504" s="27">
        <f>IF($A504="","",IF(AND(COUNTIFS($A$14:$A$1213,$A504,$F$14:$F$1213,"&gt;=0")=2,IFERROR(INDEX($M$14:$M$313,MATCH($A504,$H$14:$H$313,0)),"Yes")&lt;&gt;"Yes"),1,0))</f>
        <v/>
      </c>
    </row>
    <row r="505">
      <c r="A505" s="19" t="n"/>
      <c r="B505" s="20" t="n"/>
      <c r="C505" s="21">
        <f>IFERROR(AVERAGE(P505:T505),"")</f>
        <v/>
      </c>
      <c r="D505" s="29" t="n"/>
      <c r="E505" s="29" t="n"/>
      <c r="F505" s="30">
        <f>IF(AND(ISNUMBER($D505),ISNUMBER($E505),$E505&gt;0,$D505&lt;=$E505),$D505/$E505,"")</f>
        <v/>
      </c>
      <c r="P505" s="26" t="n"/>
      <c r="Q505" s="26" t="n"/>
      <c r="R505" s="26" t="n"/>
      <c r="S505" s="26" t="n"/>
      <c r="T505" s="26" t="n"/>
      <c r="V505" s="27">
        <f>IF(ISNUMBER($C505),COUNTIFS($A$14:$A$1213,$A505,$C$14:$C$1213,"&gt;"&amp;$C505)+(COUNTIFS($A$14:$A$1213,$A505,$C$14:$C$1213,"="&amp;$C505)+1)/2,"")</f>
        <v/>
      </c>
      <c r="W505" s="27">
        <f>IF(ISNUMBER($F505),COUNTIFS($A$14:$A$1213,$A505,$F$14:$F$1213,"&gt;"&amp;$F505)+(COUNTIFS($A$14:$A$1213,$A505,$F$14:$F$1213,"="&amp;$F505)+1)/2,"")</f>
        <v/>
      </c>
      <c r="X505" s="27">
        <f>IF(OR(NOT(ISNUMBER($V505)),$AO505=1),"",$V505-(COUNTIFS($A$14:$A$1213,$A505,$C$14:$C$1213,"&gt;=0")+1)/2)</f>
        <v/>
      </c>
      <c r="Y505" s="27">
        <f>IF(OR(NOT(ISNUMBER($W505)),$AO505=1),"",$W505-(COUNTIFS($A$14:$A$1213,$A505,$F$14:$F$1213,"&gt;=0")+1)/2)</f>
        <v/>
      </c>
      <c r="Z505" s="27">
        <f>IF(ISNUMBER($V505),$A505&amp;"|"&amp;$V505,"")</f>
        <v/>
      </c>
      <c r="AA505" s="27">
        <f>IF(ISNUMBER($W505),$A505&amp;"|"&amp;$W505,"")</f>
        <v/>
      </c>
      <c r="AB505" s="27">
        <f>IF(ISNUMBER($F505),$A505&amp;"|"&amp;$F505,"")</f>
        <v/>
      </c>
      <c r="AC505" s="27">
        <f>IF(ISNUMBER($P505),COUNTIFS($A$14:$A$1213,$A505,$P$14:$P$1213,"&gt;"&amp;$P505)+(COUNTIFS($A$14:$A$1213,$A505,$P$14:$P$1213,"="&amp;$P505)+1)/2,"")</f>
        <v/>
      </c>
      <c r="AD505" s="27">
        <f>IF(ISNUMBER($Q505),COUNTIFS($A$14:$A$1213,$A505,$Q$14:$Q$1213,"&gt;"&amp;$Q505)+(COUNTIFS($A$14:$A$1213,$A505,$Q$14:$Q$1213,"="&amp;$Q505)+1)/2,"")</f>
        <v/>
      </c>
      <c r="AE505" s="27">
        <f>IF(ISNUMBER($R505),COUNTIFS($A$14:$A$1213,$A505,$R$14:$R$1213,"&gt;"&amp;$R505)+(COUNTIFS($A$14:$A$1213,$A505,$R$14:$R$1213,"="&amp;$R505)+1)/2,"")</f>
        <v/>
      </c>
      <c r="AF505" s="27">
        <f>IF(ISNUMBER($S505),COUNTIFS($A$14:$A$1213,$A505,$S$14:$S$1213,"&gt;"&amp;$S505)+(COUNTIFS($A$14:$A$1213,$A505,$S$14:$S$1213,"="&amp;$S505)+1)/2,"")</f>
        <v/>
      </c>
      <c r="AG505" s="27">
        <f>IF(ISNUMBER($T505),COUNTIFS($A$14:$A$1213,$A505,$T$14:$T$1213,"&gt;"&amp;$T505)+(COUNTIFS($A$14:$A$1213,$A505,$T$14:$T$1213,"="&amp;$T505)+1)/2,"")</f>
        <v/>
      </c>
      <c r="AH505" s="27">
        <f>IF(COUNT($AC505:$AG505)&lt;2,"",IF(MAX($AC505:$AG505)=MIN($AC505:$AG505),0,1))</f>
        <v/>
      </c>
      <c r="AI505" s="27">
        <f>IF($A505="","",IF(COUNTIF($A$14:$A505,$A505)=1,COUNTIF($AI$13:AI504,"&gt;0")+1,""))</f>
        <v/>
      </c>
      <c r="AO505" s="27">
        <f>IF($A505="","",IF(AND(COUNTIFS($A$14:$A$1213,$A505,$F$14:$F$1213,"&gt;=0")=2,IFERROR(INDEX($M$14:$M$313,MATCH($A505,$H$14:$H$313,0)),"Yes")&lt;&gt;"Yes"),1,0))</f>
        <v/>
      </c>
    </row>
    <row r="506">
      <c r="A506" s="19" t="n"/>
      <c r="B506" s="20" t="n"/>
      <c r="C506" s="21">
        <f>IFERROR(AVERAGE(P506:T506),"")</f>
        <v/>
      </c>
      <c r="D506" s="29" t="n"/>
      <c r="E506" s="29" t="n"/>
      <c r="F506" s="30">
        <f>IF(AND(ISNUMBER($D506),ISNUMBER($E506),$E506&gt;0,$D506&lt;=$E506),$D506/$E506,"")</f>
        <v/>
      </c>
      <c r="P506" s="26" t="n"/>
      <c r="Q506" s="26" t="n"/>
      <c r="R506" s="26" t="n"/>
      <c r="S506" s="26" t="n"/>
      <c r="T506" s="26" t="n"/>
      <c r="V506" s="27">
        <f>IF(ISNUMBER($C506),COUNTIFS($A$14:$A$1213,$A506,$C$14:$C$1213,"&gt;"&amp;$C506)+(COUNTIFS($A$14:$A$1213,$A506,$C$14:$C$1213,"="&amp;$C506)+1)/2,"")</f>
        <v/>
      </c>
      <c r="W506" s="27">
        <f>IF(ISNUMBER($F506),COUNTIFS($A$14:$A$1213,$A506,$F$14:$F$1213,"&gt;"&amp;$F506)+(COUNTIFS($A$14:$A$1213,$A506,$F$14:$F$1213,"="&amp;$F506)+1)/2,"")</f>
        <v/>
      </c>
      <c r="X506" s="27">
        <f>IF(OR(NOT(ISNUMBER($V506)),$AO506=1),"",$V506-(COUNTIFS($A$14:$A$1213,$A506,$C$14:$C$1213,"&gt;=0")+1)/2)</f>
        <v/>
      </c>
      <c r="Y506" s="27">
        <f>IF(OR(NOT(ISNUMBER($W506)),$AO506=1),"",$W506-(COUNTIFS($A$14:$A$1213,$A506,$F$14:$F$1213,"&gt;=0")+1)/2)</f>
        <v/>
      </c>
      <c r="Z506" s="27">
        <f>IF(ISNUMBER($V506),$A506&amp;"|"&amp;$V506,"")</f>
        <v/>
      </c>
      <c r="AA506" s="27">
        <f>IF(ISNUMBER($W506),$A506&amp;"|"&amp;$W506,"")</f>
        <v/>
      </c>
      <c r="AB506" s="27">
        <f>IF(ISNUMBER($F506),$A506&amp;"|"&amp;$F506,"")</f>
        <v/>
      </c>
      <c r="AC506" s="27">
        <f>IF(ISNUMBER($P506),COUNTIFS($A$14:$A$1213,$A506,$P$14:$P$1213,"&gt;"&amp;$P506)+(COUNTIFS($A$14:$A$1213,$A506,$P$14:$P$1213,"="&amp;$P506)+1)/2,"")</f>
        <v/>
      </c>
      <c r="AD506" s="27">
        <f>IF(ISNUMBER($Q506),COUNTIFS($A$14:$A$1213,$A506,$Q$14:$Q$1213,"&gt;"&amp;$Q506)+(COUNTIFS($A$14:$A$1213,$A506,$Q$14:$Q$1213,"="&amp;$Q506)+1)/2,"")</f>
        <v/>
      </c>
      <c r="AE506" s="27">
        <f>IF(ISNUMBER($R506),COUNTIFS($A$14:$A$1213,$A506,$R$14:$R$1213,"&gt;"&amp;$R506)+(COUNTIFS($A$14:$A$1213,$A506,$R$14:$R$1213,"="&amp;$R506)+1)/2,"")</f>
        <v/>
      </c>
      <c r="AF506" s="27">
        <f>IF(ISNUMBER($S506),COUNTIFS($A$14:$A$1213,$A506,$S$14:$S$1213,"&gt;"&amp;$S506)+(COUNTIFS($A$14:$A$1213,$A506,$S$14:$S$1213,"="&amp;$S506)+1)/2,"")</f>
        <v/>
      </c>
      <c r="AG506" s="27">
        <f>IF(ISNUMBER($T506),COUNTIFS($A$14:$A$1213,$A506,$T$14:$T$1213,"&gt;"&amp;$T506)+(COUNTIFS($A$14:$A$1213,$A506,$T$14:$T$1213,"="&amp;$T506)+1)/2,"")</f>
        <v/>
      </c>
      <c r="AH506" s="27">
        <f>IF(COUNT($AC506:$AG506)&lt;2,"",IF(MAX($AC506:$AG506)=MIN($AC506:$AG506),0,1))</f>
        <v/>
      </c>
      <c r="AI506" s="27">
        <f>IF($A506="","",IF(COUNTIF($A$14:$A506,$A506)=1,COUNTIF($AI$13:AI505,"&gt;0")+1,""))</f>
        <v/>
      </c>
      <c r="AO506" s="27">
        <f>IF($A506="","",IF(AND(COUNTIFS($A$14:$A$1213,$A506,$F$14:$F$1213,"&gt;=0")=2,IFERROR(INDEX($M$14:$M$313,MATCH($A506,$H$14:$H$313,0)),"Yes")&lt;&gt;"Yes"),1,0))</f>
        <v/>
      </c>
    </row>
    <row r="507">
      <c r="A507" s="19" t="n"/>
      <c r="B507" s="20" t="n"/>
      <c r="C507" s="21">
        <f>IFERROR(AVERAGE(P507:T507),"")</f>
        <v/>
      </c>
      <c r="D507" s="29" t="n"/>
      <c r="E507" s="29" t="n"/>
      <c r="F507" s="30">
        <f>IF(AND(ISNUMBER($D507),ISNUMBER($E507),$E507&gt;0,$D507&lt;=$E507),$D507/$E507,"")</f>
        <v/>
      </c>
      <c r="P507" s="26" t="n"/>
      <c r="Q507" s="26" t="n"/>
      <c r="R507" s="26" t="n"/>
      <c r="S507" s="26" t="n"/>
      <c r="T507" s="26" t="n"/>
      <c r="V507" s="27">
        <f>IF(ISNUMBER($C507),COUNTIFS($A$14:$A$1213,$A507,$C$14:$C$1213,"&gt;"&amp;$C507)+(COUNTIFS($A$14:$A$1213,$A507,$C$14:$C$1213,"="&amp;$C507)+1)/2,"")</f>
        <v/>
      </c>
      <c r="W507" s="27">
        <f>IF(ISNUMBER($F507),COUNTIFS($A$14:$A$1213,$A507,$F$14:$F$1213,"&gt;"&amp;$F507)+(COUNTIFS($A$14:$A$1213,$A507,$F$14:$F$1213,"="&amp;$F507)+1)/2,"")</f>
        <v/>
      </c>
      <c r="X507" s="27">
        <f>IF(OR(NOT(ISNUMBER($V507)),$AO507=1),"",$V507-(COUNTIFS($A$14:$A$1213,$A507,$C$14:$C$1213,"&gt;=0")+1)/2)</f>
        <v/>
      </c>
      <c r="Y507" s="27">
        <f>IF(OR(NOT(ISNUMBER($W507)),$AO507=1),"",$W507-(COUNTIFS($A$14:$A$1213,$A507,$F$14:$F$1213,"&gt;=0")+1)/2)</f>
        <v/>
      </c>
      <c r="Z507" s="27">
        <f>IF(ISNUMBER($V507),$A507&amp;"|"&amp;$V507,"")</f>
        <v/>
      </c>
      <c r="AA507" s="27">
        <f>IF(ISNUMBER($W507),$A507&amp;"|"&amp;$W507,"")</f>
        <v/>
      </c>
      <c r="AB507" s="27">
        <f>IF(ISNUMBER($F507),$A507&amp;"|"&amp;$F507,"")</f>
        <v/>
      </c>
      <c r="AC507" s="27">
        <f>IF(ISNUMBER($P507),COUNTIFS($A$14:$A$1213,$A507,$P$14:$P$1213,"&gt;"&amp;$P507)+(COUNTIFS($A$14:$A$1213,$A507,$P$14:$P$1213,"="&amp;$P507)+1)/2,"")</f>
        <v/>
      </c>
      <c r="AD507" s="27">
        <f>IF(ISNUMBER($Q507),COUNTIFS($A$14:$A$1213,$A507,$Q$14:$Q$1213,"&gt;"&amp;$Q507)+(COUNTIFS($A$14:$A$1213,$A507,$Q$14:$Q$1213,"="&amp;$Q507)+1)/2,"")</f>
        <v/>
      </c>
      <c r="AE507" s="27">
        <f>IF(ISNUMBER($R507),COUNTIFS($A$14:$A$1213,$A507,$R$14:$R$1213,"&gt;"&amp;$R507)+(COUNTIFS($A$14:$A$1213,$A507,$R$14:$R$1213,"="&amp;$R507)+1)/2,"")</f>
        <v/>
      </c>
      <c r="AF507" s="27">
        <f>IF(ISNUMBER($S507),COUNTIFS($A$14:$A$1213,$A507,$S$14:$S$1213,"&gt;"&amp;$S507)+(COUNTIFS($A$14:$A$1213,$A507,$S$14:$S$1213,"="&amp;$S507)+1)/2,"")</f>
        <v/>
      </c>
      <c r="AG507" s="27">
        <f>IF(ISNUMBER($T507),COUNTIFS($A$14:$A$1213,$A507,$T$14:$T$1213,"&gt;"&amp;$T507)+(COUNTIFS($A$14:$A$1213,$A507,$T$14:$T$1213,"="&amp;$T507)+1)/2,"")</f>
        <v/>
      </c>
      <c r="AH507" s="27">
        <f>IF(COUNT($AC507:$AG507)&lt;2,"",IF(MAX($AC507:$AG507)=MIN($AC507:$AG507),0,1))</f>
        <v/>
      </c>
      <c r="AI507" s="27">
        <f>IF($A507="","",IF(COUNTIF($A$14:$A507,$A507)=1,COUNTIF($AI$13:AI506,"&gt;0")+1,""))</f>
        <v/>
      </c>
      <c r="AO507" s="27">
        <f>IF($A507="","",IF(AND(COUNTIFS($A$14:$A$1213,$A507,$F$14:$F$1213,"&gt;=0")=2,IFERROR(INDEX($M$14:$M$313,MATCH($A507,$H$14:$H$313,0)),"Yes")&lt;&gt;"Yes"),1,0))</f>
        <v/>
      </c>
    </row>
    <row r="508">
      <c r="A508" s="19" t="n"/>
      <c r="B508" s="20" t="n"/>
      <c r="C508" s="21">
        <f>IFERROR(AVERAGE(P508:T508),"")</f>
        <v/>
      </c>
      <c r="D508" s="29" t="n"/>
      <c r="E508" s="29" t="n"/>
      <c r="F508" s="30">
        <f>IF(AND(ISNUMBER($D508),ISNUMBER($E508),$E508&gt;0,$D508&lt;=$E508),$D508/$E508,"")</f>
        <v/>
      </c>
      <c r="P508" s="26" t="n"/>
      <c r="Q508" s="26" t="n"/>
      <c r="R508" s="26" t="n"/>
      <c r="S508" s="26" t="n"/>
      <c r="T508" s="26" t="n"/>
      <c r="V508" s="27">
        <f>IF(ISNUMBER($C508),COUNTIFS($A$14:$A$1213,$A508,$C$14:$C$1213,"&gt;"&amp;$C508)+(COUNTIFS($A$14:$A$1213,$A508,$C$14:$C$1213,"="&amp;$C508)+1)/2,"")</f>
        <v/>
      </c>
      <c r="W508" s="27">
        <f>IF(ISNUMBER($F508),COUNTIFS($A$14:$A$1213,$A508,$F$14:$F$1213,"&gt;"&amp;$F508)+(COUNTIFS($A$14:$A$1213,$A508,$F$14:$F$1213,"="&amp;$F508)+1)/2,"")</f>
        <v/>
      </c>
      <c r="X508" s="27">
        <f>IF(OR(NOT(ISNUMBER($V508)),$AO508=1),"",$V508-(COUNTIFS($A$14:$A$1213,$A508,$C$14:$C$1213,"&gt;=0")+1)/2)</f>
        <v/>
      </c>
      <c r="Y508" s="27">
        <f>IF(OR(NOT(ISNUMBER($W508)),$AO508=1),"",$W508-(COUNTIFS($A$14:$A$1213,$A508,$F$14:$F$1213,"&gt;=0")+1)/2)</f>
        <v/>
      </c>
      <c r="Z508" s="27">
        <f>IF(ISNUMBER($V508),$A508&amp;"|"&amp;$V508,"")</f>
        <v/>
      </c>
      <c r="AA508" s="27">
        <f>IF(ISNUMBER($W508),$A508&amp;"|"&amp;$W508,"")</f>
        <v/>
      </c>
      <c r="AB508" s="27">
        <f>IF(ISNUMBER($F508),$A508&amp;"|"&amp;$F508,"")</f>
        <v/>
      </c>
      <c r="AC508" s="27">
        <f>IF(ISNUMBER($P508),COUNTIFS($A$14:$A$1213,$A508,$P$14:$P$1213,"&gt;"&amp;$P508)+(COUNTIFS($A$14:$A$1213,$A508,$P$14:$P$1213,"="&amp;$P508)+1)/2,"")</f>
        <v/>
      </c>
      <c r="AD508" s="27">
        <f>IF(ISNUMBER($Q508),COUNTIFS($A$14:$A$1213,$A508,$Q$14:$Q$1213,"&gt;"&amp;$Q508)+(COUNTIFS($A$14:$A$1213,$A508,$Q$14:$Q$1213,"="&amp;$Q508)+1)/2,"")</f>
        <v/>
      </c>
      <c r="AE508" s="27">
        <f>IF(ISNUMBER($R508),COUNTIFS($A$14:$A$1213,$A508,$R$14:$R$1213,"&gt;"&amp;$R508)+(COUNTIFS($A$14:$A$1213,$A508,$R$14:$R$1213,"="&amp;$R508)+1)/2,"")</f>
        <v/>
      </c>
      <c r="AF508" s="27">
        <f>IF(ISNUMBER($S508),COUNTIFS($A$14:$A$1213,$A508,$S$14:$S$1213,"&gt;"&amp;$S508)+(COUNTIFS($A$14:$A$1213,$A508,$S$14:$S$1213,"="&amp;$S508)+1)/2,"")</f>
        <v/>
      </c>
      <c r="AG508" s="27">
        <f>IF(ISNUMBER($T508),COUNTIFS($A$14:$A$1213,$A508,$T$14:$T$1213,"&gt;"&amp;$T508)+(COUNTIFS($A$14:$A$1213,$A508,$T$14:$T$1213,"="&amp;$T508)+1)/2,"")</f>
        <v/>
      </c>
      <c r="AH508" s="27">
        <f>IF(COUNT($AC508:$AG508)&lt;2,"",IF(MAX($AC508:$AG508)=MIN($AC508:$AG508),0,1))</f>
        <v/>
      </c>
      <c r="AI508" s="27">
        <f>IF($A508="","",IF(COUNTIF($A$14:$A508,$A508)=1,COUNTIF($AI$13:AI507,"&gt;0")+1,""))</f>
        <v/>
      </c>
      <c r="AO508" s="27">
        <f>IF($A508="","",IF(AND(COUNTIFS($A$14:$A$1213,$A508,$F$14:$F$1213,"&gt;=0")=2,IFERROR(INDEX($M$14:$M$313,MATCH($A508,$H$14:$H$313,0)),"Yes")&lt;&gt;"Yes"),1,0))</f>
        <v/>
      </c>
    </row>
    <row r="509">
      <c r="A509" s="19" t="n"/>
      <c r="B509" s="20" t="n"/>
      <c r="C509" s="21">
        <f>IFERROR(AVERAGE(P509:T509),"")</f>
        <v/>
      </c>
      <c r="D509" s="29" t="n"/>
      <c r="E509" s="29" t="n"/>
      <c r="F509" s="30">
        <f>IF(AND(ISNUMBER($D509),ISNUMBER($E509),$E509&gt;0,$D509&lt;=$E509),$D509/$E509,"")</f>
        <v/>
      </c>
      <c r="P509" s="26" t="n"/>
      <c r="Q509" s="26" t="n"/>
      <c r="R509" s="26" t="n"/>
      <c r="S509" s="26" t="n"/>
      <c r="T509" s="26" t="n"/>
      <c r="V509" s="27">
        <f>IF(ISNUMBER($C509),COUNTIFS($A$14:$A$1213,$A509,$C$14:$C$1213,"&gt;"&amp;$C509)+(COUNTIFS($A$14:$A$1213,$A509,$C$14:$C$1213,"="&amp;$C509)+1)/2,"")</f>
        <v/>
      </c>
      <c r="W509" s="27">
        <f>IF(ISNUMBER($F509),COUNTIFS($A$14:$A$1213,$A509,$F$14:$F$1213,"&gt;"&amp;$F509)+(COUNTIFS($A$14:$A$1213,$A509,$F$14:$F$1213,"="&amp;$F509)+1)/2,"")</f>
        <v/>
      </c>
      <c r="X509" s="27">
        <f>IF(OR(NOT(ISNUMBER($V509)),$AO509=1),"",$V509-(COUNTIFS($A$14:$A$1213,$A509,$C$14:$C$1213,"&gt;=0")+1)/2)</f>
        <v/>
      </c>
      <c r="Y509" s="27">
        <f>IF(OR(NOT(ISNUMBER($W509)),$AO509=1),"",$W509-(COUNTIFS($A$14:$A$1213,$A509,$F$14:$F$1213,"&gt;=0")+1)/2)</f>
        <v/>
      </c>
      <c r="Z509" s="27">
        <f>IF(ISNUMBER($V509),$A509&amp;"|"&amp;$V509,"")</f>
        <v/>
      </c>
      <c r="AA509" s="27">
        <f>IF(ISNUMBER($W509),$A509&amp;"|"&amp;$W509,"")</f>
        <v/>
      </c>
      <c r="AB509" s="27">
        <f>IF(ISNUMBER($F509),$A509&amp;"|"&amp;$F509,"")</f>
        <v/>
      </c>
      <c r="AC509" s="27">
        <f>IF(ISNUMBER($P509),COUNTIFS($A$14:$A$1213,$A509,$P$14:$P$1213,"&gt;"&amp;$P509)+(COUNTIFS($A$14:$A$1213,$A509,$P$14:$P$1213,"="&amp;$P509)+1)/2,"")</f>
        <v/>
      </c>
      <c r="AD509" s="27">
        <f>IF(ISNUMBER($Q509),COUNTIFS($A$14:$A$1213,$A509,$Q$14:$Q$1213,"&gt;"&amp;$Q509)+(COUNTIFS($A$14:$A$1213,$A509,$Q$14:$Q$1213,"="&amp;$Q509)+1)/2,"")</f>
        <v/>
      </c>
      <c r="AE509" s="27">
        <f>IF(ISNUMBER($R509),COUNTIFS($A$14:$A$1213,$A509,$R$14:$R$1213,"&gt;"&amp;$R509)+(COUNTIFS($A$14:$A$1213,$A509,$R$14:$R$1213,"="&amp;$R509)+1)/2,"")</f>
        <v/>
      </c>
      <c r="AF509" s="27">
        <f>IF(ISNUMBER($S509),COUNTIFS($A$14:$A$1213,$A509,$S$14:$S$1213,"&gt;"&amp;$S509)+(COUNTIFS($A$14:$A$1213,$A509,$S$14:$S$1213,"="&amp;$S509)+1)/2,"")</f>
        <v/>
      </c>
      <c r="AG509" s="27">
        <f>IF(ISNUMBER($T509),COUNTIFS($A$14:$A$1213,$A509,$T$14:$T$1213,"&gt;"&amp;$T509)+(COUNTIFS($A$14:$A$1213,$A509,$T$14:$T$1213,"="&amp;$T509)+1)/2,"")</f>
        <v/>
      </c>
      <c r="AH509" s="27">
        <f>IF(COUNT($AC509:$AG509)&lt;2,"",IF(MAX($AC509:$AG509)=MIN($AC509:$AG509),0,1))</f>
        <v/>
      </c>
      <c r="AI509" s="27">
        <f>IF($A509="","",IF(COUNTIF($A$14:$A509,$A509)=1,COUNTIF($AI$13:AI508,"&gt;0")+1,""))</f>
        <v/>
      </c>
      <c r="AO509" s="27">
        <f>IF($A509="","",IF(AND(COUNTIFS($A$14:$A$1213,$A509,$F$14:$F$1213,"&gt;=0")=2,IFERROR(INDEX($M$14:$M$313,MATCH($A509,$H$14:$H$313,0)),"Yes")&lt;&gt;"Yes"),1,0))</f>
        <v/>
      </c>
    </row>
    <row r="510">
      <c r="A510" s="19" t="n"/>
      <c r="B510" s="20" t="n"/>
      <c r="C510" s="21">
        <f>IFERROR(AVERAGE(P510:T510),"")</f>
        <v/>
      </c>
      <c r="D510" s="29" t="n"/>
      <c r="E510" s="29" t="n"/>
      <c r="F510" s="30">
        <f>IF(AND(ISNUMBER($D510),ISNUMBER($E510),$E510&gt;0,$D510&lt;=$E510),$D510/$E510,"")</f>
        <v/>
      </c>
      <c r="P510" s="26" t="n"/>
      <c r="Q510" s="26" t="n"/>
      <c r="R510" s="26" t="n"/>
      <c r="S510" s="26" t="n"/>
      <c r="T510" s="26" t="n"/>
      <c r="V510" s="27">
        <f>IF(ISNUMBER($C510),COUNTIFS($A$14:$A$1213,$A510,$C$14:$C$1213,"&gt;"&amp;$C510)+(COUNTIFS($A$14:$A$1213,$A510,$C$14:$C$1213,"="&amp;$C510)+1)/2,"")</f>
        <v/>
      </c>
      <c r="W510" s="27">
        <f>IF(ISNUMBER($F510),COUNTIFS($A$14:$A$1213,$A510,$F$14:$F$1213,"&gt;"&amp;$F510)+(COUNTIFS($A$14:$A$1213,$A510,$F$14:$F$1213,"="&amp;$F510)+1)/2,"")</f>
        <v/>
      </c>
      <c r="X510" s="27">
        <f>IF(OR(NOT(ISNUMBER($V510)),$AO510=1),"",$V510-(COUNTIFS($A$14:$A$1213,$A510,$C$14:$C$1213,"&gt;=0")+1)/2)</f>
        <v/>
      </c>
      <c r="Y510" s="27">
        <f>IF(OR(NOT(ISNUMBER($W510)),$AO510=1),"",$W510-(COUNTIFS($A$14:$A$1213,$A510,$F$14:$F$1213,"&gt;=0")+1)/2)</f>
        <v/>
      </c>
      <c r="Z510" s="27">
        <f>IF(ISNUMBER($V510),$A510&amp;"|"&amp;$V510,"")</f>
        <v/>
      </c>
      <c r="AA510" s="27">
        <f>IF(ISNUMBER($W510),$A510&amp;"|"&amp;$W510,"")</f>
        <v/>
      </c>
      <c r="AB510" s="27">
        <f>IF(ISNUMBER($F510),$A510&amp;"|"&amp;$F510,"")</f>
        <v/>
      </c>
      <c r="AC510" s="27">
        <f>IF(ISNUMBER($P510),COUNTIFS($A$14:$A$1213,$A510,$P$14:$P$1213,"&gt;"&amp;$P510)+(COUNTIFS($A$14:$A$1213,$A510,$P$14:$P$1213,"="&amp;$P510)+1)/2,"")</f>
        <v/>
      </c>
      <c r="AD510" s="27">
        <f>IF(ISNUMBER($Q510),COUNTIFS($A$14:$A$1213,$A510,$Q$14:$Q$1213,"&gt;"&amp;$Q510)+(COUNTIFS($A$14:$A$1213,$A510,$Q$14:$Q$1213,"="&amp;$Q510)+1)/2,"")</f>
        <v/>
      </c>
      <c r="AE510" s="27">
        <f>IF(ISNUMBER($R510),COUNTIFS($A$14:$A$1213,$A510,$R$14:$R$1213,"&gt;"&amp;$R510)+(COUNTIFS($A$14:$A$1213,$A510,$R$14:$R$1213,"="&amp;$R510)+1)/2,"")</f>
        <v/>
      </c>
      <c r="AF510" s="27">
        <f>IF(ISNUMBER($S510),COUNTIFS($A$14:$A$1213,$A510,$S$14:$S$1213,"&gt;"&amp;$S510)+(COUNTIFS($A$14:$A$1213,$A510,$S$14:$S$1213,"="&amp;$S510)+1)/2,"")</f>
        <v/>
      </c>
      <c r="AG510" s="27">
        <f>IF(ISNUMBER($T510),COUNTIFS($A$14:$A$1213,$A510,$T$14:$T$1213,"&gt;"&amp;$T510)+(COUNTIFS($A$14:$A$1213,$A510,$T$14:$T$1213,"="&amp;$T510)+1)/2,"")</f>
        <v/>
      </c>
      <c r="AH510" s="27">
        <f>IF(COUNT($AC510:$AG510)&lt;2,"",IF(MAX($AC510:$AG510)=MIN($AC510:$AG510),0,1))</f>
        <v/>
      </c>
      <c r="AI510" s="27">
        <f>IF($A510="","",IF(COUNTIF($A$14:$A510,$A510)=1,COUNTIF($AI$13:AI509,"&gt;0")+1,""))</f>
        <v/>
      </c>
      <c r="AO510" s="27">
        <f>IF($A510="","",IF(AND(COUNTIFS($A$14:$A$1213,$A510,$F$14:$F$1213,"&gt;=0")=2,IFERROR(INDEX($M$14:$M$313,MATCH($A510,$H$14:$H$313,0)),"Yes")&lt;&gt;"Yes"),1,0))</f>
        <v/>
      </c>
    </row>
    <row r="511">
      <c r="A511" s="19" t="n"/>
      <c r="B511" s="20" t="n"/>
      <c r="C511" s="21">
        <f>IFERROR(AVERAGE(P511:T511),"")</f>
        <v/>
      </c>
      <c r="D511" s="29" t="n"/>
      <c r="E511" s="29" t="n"/>
      <c r="F511" s="30">
        <f>IF(AND(ISNUMBER($D511),ISNUMBER($E511),$E511&gt;0,$D511&lt;=$E511),$D511/$E511,"")</f>
        <v/>
      </c>
      <c r="P511" s="26" t="n"/>
      <c r="Q511" s="26" t="n"/>
      <c r="R511" s="26" t="n"/>
      <c r="S511" s="26" t="n"/>
      <c r="T511" s="26" t="n"/>
      <c r="V511" s="27">
        <f>IF(ISNUMBER($C511),COUNTIFS($A$14:$A$1213,$A511,$C$14:$C$1213,"&gt;"&amp;$C511)+(COUNTIFS($A$14:$A$1213,$A511,$C$14:$C$1213,"="&amp;$C511)+1)/2,"")</f>
        <v/>
      </c>
      <c r="W511" s="27">
        <f>IF(ISNUMBER($F511),COUNTIFS($A$14:$A$1213,$A511,$F$14:$F$1213,"&gt;"&amp;$F511)+(COUNTIFS($A$14:$A$1213,$A511,$F$14:$F$1213,"="&amp;$F511)+1)/2,"")</f>
        <v/>
      </c>
      <c r="X511" s="27">
        <f>IF(OR(NOT(ISNUMBER($V511)),$AO511=1),"",$V511-(COUNTIFS($A$14:$A$1213,$A511,$C$14:$C$1213,"&gt;=0")+1)/2)</f>
        <v/>
      </c>
      <c r="Y511" s="27">
        <f>IF(OR(NOT(ISNUMBER($W511)),$AO511=1),"",$W511-(COUNTIFS($A$14:$A$1213,$A511,$F$14:$F$1213,"&gt;=0")+1)/2)</f>
        <v/>
      </c>
      <c r="Z511" s="27">
        <f>IF(ISNUMBER($V511),$A511&amp;"|"&amp;$V511,"")</f>
        <v/>
      </c>
      <c r="AA511" s="27">
        <f>IF(ISNUMBER($W511),$A511&amp;"|"&amp;$W511,"")</f>
        <v/>
      </c>
      <c r="AB511" s="27">
        <f>IF(ISNUMBER($F511),$A511&amp;"|"&amp;$F511,"")</f>
        <v/>
      </c>
      <c r="AC511" s="27">
        <f>IF(ISNUMBER($P511),COUNTIFS($A$14:$A$1213,$A511,$P$14:$P$1213,"&gt;"&amp;$P511)+(COUNTIFS($A$14:$A$1213,$A511,$P$14:$P$1213,"="&amp;$P511)+1)/2,"")</f>
        <v/>
      </c>
      <c r="AD511" s="27">
        <f>IF(ISNUMBER($Q511),COUNTIFS($A$14:$A$1213,$A511,$Q$14:$Q$1213,"&gt;"&amp;$Q511)+(COUNTIFS($A$14:$A$1213,$A511,$Q$14:$Q$1213,"="&amp;$Q511)+1)/2,"")</f>
        <v/>
      </c>
      <c r="AE511" s="27">
        <f>IF(ISNUMBER($R511),COUNTIFS($A$14:$A$1213,$A511,$R$14:$R$1213,"&gt;"&amp;$R511)+(COUNTIFS($A$14:$A$1213,$A511,$R$14:$R$1213,"="&amp;$R511)+1)/2,"")</f>
        <v/>
      </c>
      <c r="AF511" s="27">
        <f>IF(ISNUMBER($S511),COUNTIFS($A$14:$A$1213,$A511,$S$14:$S$1213,"&gt;"&amp;$S511)+(COUNTIFS($A$14:$A$1213,$A511,$S$14:$S$1213,"="&amp;$S511)+1)/2,"")</f>
        <v/>
      </c>
      <c r="AG511" s="27">
        <f>IF(ISNUMBER($T511),COUNTIFS($A$14:$A$1213,$A511,$T$14:$T$1213,"&gt;"&amp;$T511)+(COUNTIFS($A$14:$A$1213,$A511,$T$14:$T$1213,"="&amp;$T511)+1)/2,"")</f>
        <v/>
      </c>
      <c r="AH511" s="27">
        <f>IF(COUNT($AC511:$AG511)&lt;2,"",IF(MAX($AC511:$AG511)=MIN($AC511:$AG511),0,1))</f>
        <v/>
      </c>
      <c r="AI511" s="27">
        <f>IF($A511="","",IF(COUNTIF($A$14:$A511,$A511)=1,COUNTIF($AI$13:AI510,"&gt;0")+1,""))</f>
        <v/>
      </c>
      <c r="AO511" s="27">
        <f>IF($A511="","",IF(AND(COUNTIFS($A$14:$A$1213,$A511,$F$14:$F$1213,"&gt;=0")=2,IFERROR(INDEX($M$14:$M$313,MATCH($A511,$H$14:$H$313,0)),"Yes")&lt;&gt;"Yes"),1,0))</f>
        <v/>
      </c>
    </row>
    <row r="512">
      <c r="A512" s="19" t="n"/>
      <c r="B512" s="20" t="n"/>
      <c r="C512" s="21">
        <f>IFERROR(AVERAGE(P512:T512),"")</f>
        <v/>
      </c>
      <c r="D512" s="29" t="n"/>
      <c r="E512" s="29" t="n"/>
      <c r="F512" s="30">
        <f>IF(AND(ISNUMBER($D512),ISNUMBER($E512),$E512&gt;0,$D512&lt;=$E512),$D512/$E512,"")</f>
        <v/>
      </c>
      <c r="P512" s="26" t="n"/>
      <c r="Q512" s="26" t="n"/>
      <c r="R512" s="26" t="n"/>
      <c r="S512" s="26" t="n"/>
      <c r="T512" s="26" t="n"/>
      <c r="V512" s="27">
        <f>IF(ISNUMBER($C512),COUNTIFS($A$14:$A$1213,$A512,$C$14:$C$1213,"&gt;"&amp;$C512)+(COUNTIFS($A$14:$A$1213,$A512,$C$14:$C$1213,"="&amp;$C512)+1)/2,"")</f>
        <v/>
      </c>
      <c r="W512" s="27">
        <f>IF(ISNUMBER($F512),COUNTIFS($A$14:$A$1213,$A512,$F$14:$F$1213,"&gt;"&amp;$F512)+(COUNTIFS($A$14:$A$1213,$A512,$F$14:$F$1213,"="&amp;$F512)+1)/2,"")</f>
        <v/>
      </c>
      <c r="X512" s="27">
        <f>IF(OR(NOT(ISNUMBER($V512)),$AO512=1),"",$V512-(COUNTIFS($A$14:$A$1213,$A512,$C$14:$C$1213,"&gt;=0")+1)/2)</f>
        <v/>
      </c>
      <c r="Y512" s="27">
        <f>IF(OR(NOT(ISNUMBER($W512)),$AO512=1),"",$W512-(COUNTIFS($A$14:$A$1213,$A512,$F$14:$F$1213,"&gt;=0")+1)/2)</f>
        <v/>
      </c>
      <c r="Z512" s="27">
        <f>IF(ISNUMBER($V512),$A512&amp;"|"&amp;$V512,"")</f>
        <v/>
      </c>
      <c r="AA512" s="27">
        <f>IF(ISNUMBER($W512),$A512&amp;"|"&amp;$W512,"")</f>
        <v/>
      </c>
      <c r="AB512" s="27">
        <f>IF(ISNUMBER($F512),$A512&amp;"|"&amp;$F512,"")</f>
        <v/>
      </c>
      <c r="AC512" s="27">
        <f>IF(ISNUMBER($P512),COUNTIFS($A$14:$A$1213,$A512,$P$14:$P$1213,"&gt;"&amp;$P512)+(COUNTIFS($A$14:$A$1213,$A512,$P$14:$P$1213,"="&amp;$P512)+1)/2,"")</f>
        <v/>
      </c>
      <c r="AD512" s="27">
        <f>IF(ISNUMBER($Q512),COUNTIFS($A$14:$A$1213,$A512,$Q$14:$Q$1213,"&gt;"&amp;$Q512)+(COUNTIFS($A$14:$A$1213,$A512,$Q$14:$Q$1213,"="&amp;$Q512)+1)/2,"")</f>
        <v/>
      </c>
      <c r="AE512" s="27">
        <f>IF(ISNUMBER($R512),COUNTIFS($A$14:$A$1213,$A512,$R$14:$R$1213,"&gt;"&amp;$R512)+(COUNTIFS($A$14:$A$1213,$A512,$R$14:$R$1213,"="&amp;$R512)+1)/2,"")</f>
        <v/>
      </c>
      <c r="AF512" s="27">
        <f>IF(ISNUMBER($S512),COUNTIFS($A$14:$A$1213,$A512,$S$14:$S$1213,"&gt;"&amp;$S512)+(COUNTIFS($A$14:$A$1213,$A512,$S$14:$S$1213,"="&amp;$S512)+1)/2,"")</f>
        <v/>
      </c>
      <c r="AG512" s="27">
        <f>IF(ISNUMBER($T512),COUNTIFS($A$14:$A$1213,$A512,$T$14:$T$1213,"&gt;"&amp;$T512)+(COUNTIFS($A$14:$A$1213,$A512,$T$14:$T$1213,"="&amp;$T512)+1)/2,"")</f>
        <v/>
      </c>
      <c r="AH512" s="27">
        <f>IF(COUNT($AC512:$AG512)&lt;2,"",IF(MAX($AC512:$AG512)=MIN($AC512:$AG512),0,1))</f>
        <v/>
      </c>
      <c r="AI512" s="27">
        <f>IF($A512="","",IF(COUNTIF($A$14:$A512,$A512)=1,COUNTIF($AI$13:AI511,"&gt;0")+1,""))</f>
        <v/>
      </c>
      <c r="AO512" s="27">
        <f>IF($A512="","",IF(AND(COUNTIFS($A$14:$A$1213,$A512,$F$14:$F$1213,"&gt;=0")=2,IFERROR(INDEX($M$14:$M$313,MATCH($A512,$H$14:$H$313,0)),"Yes")&lt;&gt;"Yes"),1,0))</f>
        <v/>
      </c>
    </row>
    <row r="513">
      <c r="A513" s="19" t="n"/>
      <c r="B513" s="20" t="n"/>
      <c r="C513" s="21">
        <f>IFERROR(AVERAGE(P513:T513),"")</f>
        <v/>
      </c>
      <c r="D513" s="29" t="n"/>
      <c r="E513" s="29" t="n"/>
      <c r="F513" s="30">
        <f>IF(AND(ISNUMBER($D513),ISNUMBER($E513),$E513&gt;0,$D513&lt;=$E513),$D513/$E513,"")</f>
        <v/>
      </c>
      <c r="P513" s="26" t="n"/>
      <c r="Q513" s="26" t="n"/>
      <c r="R513" s="26" t="n"/>
      <c r="S513" s="26" t="n"/>
      <c r="T513" s="26" t="n"/>
      <c r="V513" s="27">
        <f>IF(ISNUMBER($C513),COUNTIFS($A$14:$A$1213,$A513,$C$14:$C$1213,"&gt;"&amp;$C513)+(COUNTIFS($A$14:$A$1213,$A513,$C$14:$C$1213,"="&amp;$C513)+1)/2,"")</f>
        <v/>
      </c>
      <c r="W513" s="27">
        <f>IF(ISNUMBER($F513),COUNTIFS($A$14:$A$1213,$A513,$F$14:$F$1213,"&gt;"&amp;$F513)+(COUNTIFS($A$14:$A$1213,$A513,$F$14:$F$1213,"="&amp;$F513)+1)/2,"")</f>
        <v/>
      </c>
      <c r="X513" s="27">
        <f>IF(OR(NOT(ISNUMBER($V513)),$AO513=1),"",$V513-(COUNTIFS($A$14:$A$1213,$A513,$C$14:$C$1213,"&gt;=0")+1)/2)</f>
        <v/>
      </c>
      <c r="Y513" s="27">
        <f>IF(OR(NOT(ISNUMBER($W513)),$AO513=1),"",$W513-(COUNTIFS($A$14:$A$1213,$A513,$F$14:$F$1213,"&gt;=0")+1)/2)</f>
        <v/>
      </c>
      <c r="Z513" s="27">
        <f>IF(ISNUMBER($V513),$A513&amp;"|"&amp;$V513,"")</f>
        <v/>
      </c>
      <c r="AA513" s="27">
        <f>IF(ISNUMBER($W513),$A513&amp;"|"&amp;$W513,"")</f>
        <v/>
      </c>
      <c r="AB513" s="27">
        <f>IF(ISNUMBER($F513),$A513&amp;"|"&amp;$F513,"")</f>
        <v/>
      </c>
      <c r="AC513" s="27">
        <f>IF(ISNUMBER($P513),COUNTIFS($A$14:$A$1213,$A513,$P$14:$P$1213,"&gt;"&amp;$P513)+(COUNTIFS($A$14:$A$1213,$A513,$P$14:$P$1213,"="&amp;$P513)+1)/2,"")</f>
        <v/>
      </c>
      <c r="AD513" s="27">
        <f>IF(ISNUMBER($Q513),COUNTIFS($A$14:$A$1213,$A513,$Q$14:$Q$1213,"&gt;"&amp;$Q513)+(COUNTIFS($A$14:$A$1213,$A513,$Q$14:$Q$1213,"="&amp;$Q513)+1)/2,"")</f>
        <v/>
      </c>
      <c r="AE513" s="27">
        <f>IF(ISNUMBER($R513),COUNTIFS($A$14:$A$1213,$A513,$R$14:$R$1213,"&gt;"&amp;$R513)+(COUNTIFS($A$14:$A$1213,$A513,$R$14:$R$1213,"="&amp;$R513)+1)/2,"")</f>
        <v/>
      </c>
      <c r="AF513" s="27">
        <f>IF(ISNUMBER($S513),COUNTIFS($A$14:$A$1213,$A513,$S$14:$S$1213,"&gt;"&amp;$S513)+(COUNTIFS($A$14:$A$1213,$A513,$S$14:$S$1213,"="&amp;$S513)+1)/2,"")</f>
        <v/>
      </c>
      <c r="AG513" s="27">
        <f>IF(ISNUMBER($T513),COUNTIFS($A$14:$A$1213,$A513,$T$14:$T$1213,"&gt;"&amp;$T513)+(COUNTIFS($A$14:$A$1213,$A513,$T$14:$T$1213,"="&amp;$T513)+1)/2,"")</f>
        <v/>
      </c>
      <c r="AH513" s="27">
        <f>IF(COUNT($AC513:$AG513)&lt;2,"",IF(MAX($AC513:$AG513)=MIN($AC513:$AG513),0,1))</f>
        <v/>
      </c>
      <c r="AI513" s="27">
        <f>IF($A513="","",IF(COUNTIF($A$14:$A513,$A513)=1,COUNTIF($AI$13:AI512,"&gt;0")+1,""))</f>
        <v/>
      </c>
      <c r="AO513" s="27">
        <f>IF($A513="","",IF(AND(COUNTIFS($A$14:$A$1213,$A513,$F$14:$F$1213,"&gt;=0")=2,IFERROR(INDEX($M$14:$M$313,MATCH($A513,$H$14:$H$313,0)),"Yes")&lt;&gt;"Yes"),1,0))</f>
        <v/>
      </c>
    </row>
    <row r="514">
      <c r="A514" s="19" t="n"/>
      <c r="B514" s="20" t="n"/>
      <c r="C514" s="21">
        <f>IFERROR(AVERAGE(P514:T514),"")</f>
        <v/>
      </c>
      <c r="D514" s="29" t="n"/>
      <c r="E514" s="29" t="n"/>
      <c r="F514" s="30">
        <f>IF(AND(ISNUMBER($D514),ISNUMBER($E514),$E514&gt;0,$D514&lt;=$E514),$D514/$E514,"")</f>
        <v/>
      </c>
      <c r="P514" s="26" t="n"/>
      <c r="Q514" s="26" t="n"/>
      <c r="R514" s="26" t="n"/>
      <c r="S514" s="26" t="n"/>
      <c r="T514" s="26" t="n"/>
      <c r="V514" s="27">
        <f>IF(ISNUMBER($C514),COUNTIFS($A$14:$A$1213,$A514,$C$14:$C$1213,"&gt;"&amp;$C514)+(COUNTIFS($A$14:$A$1213,$A514,$C$14:$C$1213,"="&amp;$C514)+1)/2,"")</f>
        <v/>
      </c>
      <c r="W514" s="27">
        <f>IF(ISNUMBER($F514),COUNTIFS($A$14:$A$1213,$A514,$F$14:$F$1213,"&gt;"&amp;$F514)+(COUNTIFS($A$14:$A$1213,$A514,$F$14:$F$1213,"="&amp;$F514)+1)/2,"")</f>
        <v/>
      </c>
      <c r="X514" s="27">
        <f>IF(OR(NOT(ISNUMBER($V514)),$AO514=1),"",$V514-(COUNTIFS($A$14:$A$1213,$A514,$C$14:$C$1213,"&gt;=0")+1)/2)</f>
        <v/>
      </c>
      <c r="Y514" s="27">
        <f>IF(OR(NOT(ISNUMBER($W514)),$AO514=1),"",$W514-(COUNTIFS($A$14:$A$1213,$A514,$F$14:$F$1213,"&gt;=0")+1)/2)</f>
        <v/>
      </c>
      <c r="Z514" s="27">
        <f>IF(ISNUMBER($V514),$A514&amp;"|"&amp;$V514,"")</f>
        <v/>
      </c>
      <c r="AA514" s="27">
        <f>IF(ISNUMBER($W514),$A514&amp;"|"&amp;$W514,"")</f>
        <v/>
      </c>
      <c r="AB514" s="27">
        <f>IF(ISNUMBER($F514),$A514&amp;"|"&amp;$F514,"")</f>
        <v/>
      </c>
      <c r="AC514" s="27">
        <f>IF(ISNUMBER($P514),COUNTIFS($A$14:$A$1213,$A514,$P$14:$P$1213,"&gt;"&amp;$P514)+(COUNTIFS($A$14:$A$1213,$A514,$P$14:$P$1213,"="&amp;$P514)+1)/2,"")</f>
        <v/>
      </c>
      <c r="AD514" s="27">
        <f>IF(ISNUMBER($Q514),COUNTIFS($A$14:$A$1213,$A514,$Q$14:$Q$1213,"&gt;"&amp;$Q514)+(COUNTIFS($A$14:$A$1213,$A514,$Q$14:$Q$1213,"="&amp;$Q514)+1)/2,"")</f>
        <v/>
      </c>
      <c r="AE514" s="27">
        <f>IF(ISNUMBER($R514),COUNTIFS($A$14:$A$1213,$A514,$R$14:$R$1213,"&gt;"&amp;$R514)+(COUNTIFS($A$14:$A$1213,$A514,$R$14:$R$1213,"="&amp;$R514)+1)/2,"")</f>
        <v/>
      </c>
      <c r="AF514" s="27">
        <f>IF(ISNUMBER($S514),COUNTIFS($A$14:$A$1213,$A514,$S$14:$S$1213,"&gt;"&amp;$S514)+(COUNTIFS($A$14:$A$1213,$A514,$S$14:$S$1213,"="&amp;$S514)+1)/2,"")</f>
        <v/>
      </c>
      <c r="AG514" s="27">
        <f>IF(ISNUMBER($T514),COUNTIFS($A$14:$A$1213,$A514,$T$14:$T$1213,"&gt;"&amp;$T514)+(COUNTIFS($A$14:$A$1213,$A514,$T$14:$T$1213,"="&amp;$T514)+1)/2,"")</f>
        <v/>
      </c>
      <c r="AH514" s="27">
        <f>IF(COUNT($AC514:$AG514)&lt;2,"",IF(MAX($AC514:$AG514)=MIN($AC514:$AG514),0,1))</f>
        <v/>
      </c>
      <c r="AI514" s="27">
        <f>IF($A514="","",IF(COUNTIF($A$14:$A514,$A514)=1,COUNTIF($AI$13:AI513,"&gt;0")+1,""))</f>
        <v/>
      </c>
      <c r="AO514" s="27">
        <f>IF($A514="","",IF(AND(COUNTIFS($A$14:$A$1213,$A514,$F$14:$F$1213,"&gt;=0")=2,IFERROR(INDEX($M$14:$M$313,MATCH($A514,$H$14:$H$313,0)),"Yes")&lt;&gt;"Yes"),1,0))</f>
        <v/>
      </c>
    </row>
    <row r="515">
      <c r="A515" s="19" t="n"/>
      <c r="B515" s="20" t="n"/>
      <c r="C515" s="21">
        <f>IFERROR(AVERAGE(P515:T515),"")</f>
        <v/>
      </c>
      <c r="D515" s="29" t="n"/>
      <c r="E515" s="29" t="n"/>
      <c r="F515" s="30">
        <f>IF(AND(ISNUMBER($D515),ISNUMBER($E515),$E515&gt;0,$D515&lt;=$E515),$D515/$E515,"")</f>
        <v/>
      </c>
      <c r="P515" s="26" t="n"/>
      <c r="Q515" s="26" t="n"/>
      <c r="R515" s="26" t="n"/>
      <c r="S515" s="26" t="n"/>
      <c r="T515" s="26" t="n"/>
      <c r="V515" s="27">
        <f>IF(ISNUMBER($C515),COUNTIFS($A$14:$A$1213,$A515,$C$14:$C$1213,"&gt;"&amp;$C515)+(COUNTIFS($A$14:$A$1213,$A515,$C$14:$C$1213,"="&amp;$C515)+1)/2,"")</f>
        <v/>
      </c>
      <c r="W515" s="27">
        <f>IF(ISNUMBER($F515),COUNTIFS($A$14:$A$1213,$A515,$F$14:$F$1213,"&gt;"&amp;$F515)+(COUNTIFS($A$14:$A$1213,$A515,$F$14:$F$1213,"="&amp;$F515)+1)/2,"")</f>
        <v/>
      </c>
      <c r="X515" s="27">
        <f>IF(OR(NOT(ISNUMBER($V515)),$AO515=1),"",$V515-(COUNTIFS($A$14:$A$1213,$A515,$C$14:$C$1213,"&gt;=0")+1)/2)</f>
        <v/>
      </c>
      <c r="Y515" s="27">
        <f>IF(OR(NOT(ISNUMBER($W515)),$AO515=1),"",$W515-(COUNTIFS($A$14:$A$1213,$A515,$F$14:$F$1213,"&gt;=0")+1)/2)</f>
        <v/>
      </c>
      <c r="Z515" s="27">
        <f>IF(ISNUMBER($V515),$A515&amp;"|"&amp;$V515,"")</f>
        <v/>
      </c>
      <c r="AA515" s="27">
        <f>IF(ISNUMBER($W515),$A515&amp;"|"&amp;$W515,"")</f>
        <v/>
      </c>
      <c r="AB515" s="27">
        <f>IF(ISNUMBER($F515),$A515&amp;"|"&amp;$F515,"")</f>
        <v/>
      </c>
      <c r="AC515" s="27">
        <f>IF(ISNUMBER($P515),COUNTIFS($A$14:$A$1213,$A515,$P$14:$P$1213,"&gt;"&amp;$P515)+(COUNTIFS($A$14:$A$1213,$A515,$P$14:$P$1213,"="&amp;$P515)+1)/2,"")</f>
        <v/>
      </c>
      <c r="AD515" s="27">
        <f>IF(ISNUMBER($Q515),COUNTIFS($A$14:$A$1213,$A515,$Q$14:$Q$1213,"&gt;"&amp;$Q515)+(COUNTIFS($A$14:$A$1213,$A515,$Q$14:$Q$1213,"="&amp;$Q515)+1)/2,"")</f>
        <v/>
      </c>
      <c r="AE515" s="27">
        <f>IF(ISNUMBER($R515),COUNTIFS($A$14:$A$1213,$A515,$R$14:$R$1213,"&gt;"&amp;$R515)+(COUNTIFS($A$14:$A$1213,$A515,$R$14:$R$1213,"="&amp;$R515)+1)/2,"")</f>
        <v/>
      </c>
      <c r="AF515" s="27">
        <f>IF(ISNUMBER($S515),COUNTIFS($A$14:$A$1213,$A515,$S$14:$S$1213,"&gt;"&amp;$S515)+(COUNTIFS($A$14:$A$1213,$A515,$S$14:$S$1213,"="&amp;$S515)+1)/2,"")</f>
        <v/>
      </c>
      <c r="AG515" s="27">
        <f>IF(ISNUMBER($T515),COUNTIFS($A$14:$A$1213,$A515,$T$14:$T$1213,"&gt;"&amp;$T515)+(COUNTIFS($A$14:$A$1213,$A515,$T$14:$T$1213,"="&amp;$T515)+1)/2,"")</f>
        <v/>
      </c>
      <c r="AH515" s="27">
        <f>IF(COUNT($AC515:$AG515)&lt;2,"",IF(MAX($AC515:$AG515)=MIN($AC515:$AG515),0,1))</f>
        <v/>
      </c>
      <c r="AI515" s="27">
        <f>IF($A515="","",IF(COUNTIF($A$14:$A515,$A515)=1,COUNTIF($AI$13:AI514,"&gt;0")+1,""))</f>
        <v/>
      </c>
      <c r="AO515" s="27">
        <f>IF($A515="","",IF(AND(COUNTIFS($A$14:$A$1213,$A515,$F$14:$F$1213,"&gt;=0")=2,IFERROR(INDEX($M$14:$M$313,MATCH($A515,$H$14:$H$313,0)),"Yes")&lt;&gt;"Yes"),1,0))</f>
        <v/>
      </c>
    </row>
    <row r="516">
      <c r="A516" s="19" t="n"/>
      <c r="B516" s="20" t="n"/>
      <c r="C516" s="21">
        <f>IFERROR(AVERAGE(P516:T516),"")</f>
        <v/>
      </c>
      <c r="D516" s="29" t="n"/>
      <c r="E516" s="29" t="n"/>
      <c r="F516" s="30">
        <f>IF(AND(ISNUMBER($D516),ISNUMBER($E516),$E516&gt;0,$D516&lt;=$E516),$D516/$E516,"")</f>
        <v/>
      </c>
      <c r="P516" s="26" t="n"/>
      <c r="Q516" s="26" t="n"/>
      <c r="R516" s="26" t="n"/>
      <c r="S516" s="26" t="n"/>
      <c r="T516" s="26" t="n"/>
      <c r="V516" s="27">
        <f>IF(ISNUMBER($C516),COUNTIFS($A$14:$A$1213,$A516,$C$14:$C$1213,"&gt;"&amp;$C516)+(COUNTIFS($A$14:$A$1213,$A516,$C$14:$C$1213,"="&amp;$C516)+1)/2,"")</f>
        <v/>
      </c>
      <c r="W516" s="27">
        <f>IF(ISNUMBER($F516),COUNTIFS($A$14:$A$1213,$A516,$F$14:$F$1213,"&gt;"&amp;$F516)+(COUNTIFS($A$14:$A$1213,$A516,$F$14:$F$1213,"="&amp;$F516)+1)/2,"")</f>
        <v/>
      </c>
      <c r="X516" s="27">
        <f>IF(OR(NOT(ISNUMBER($V516)),$AO516=1),"",$V516-(COUNTIFS($A$14:$A$1213,$A516,$C$14:$C$1213,"&gt;=0")+1)/2)</f>
        <v/>
      </c>
      <c r="Y516" s="27">
        <f>IF(OR(NOT(ISNUMBER($W516)),$AO516=1),"",$W516-(COUNTIFS($A$14:$A$1213,$A516,$F$14:$F$1213,"&gt;=0")+1)/2)</f>
        <v/>
      </c>
      <c r="Z516" s="27">
        <f>IF(ISNUMBER($V516),$A516&amp;"|"&amp;$V516,"")</f>
        <v/>
      </c>
      <c r="AA516" s="27">
        <f>IF(ISNUMBER($W516),$A516&amp;"|"&amp;$W516,"")</f>
        <v/>
      </c>
      <c r="AB516" s="27">
        <f>IF(ISNUMBER($F516),$A516&amp;"|"&amp;$F516,"")</f>
        <v/>
      </c>
      <c r="AC516" s="27">
        <f>IF(ISNUMBER($P516),COUNTIFS($A$14:$A$1213,$A516,$P$14:$P$1213,"&gt;"&amp;$P516)+(COUNTIFS($A$14:$A$1213,$A516,$P$14:$P$1213,"="&amp;$P516)+1)/2,"")</f>
        <v/>
      </c>
      <c r="AD516" s="27">
        <f>IF(ISNUMBER($Q516),COUNTIFS($A$14:$A$1213,$A516,$Q$14:$Q$1213,"&gt;"&amp;$Q516)+(COUNTIFS($A$14:$A$1213,$A516,$Q$14:$Q$1213,"="&amp;$Q516)+1)/2,"")</f>
        <v/>
      </c>
      <c r="AE516" s="27">
        <f>IF(ISNUMBER($R516),COUNTIFS($A$14:$A$1213,$A516,$R$14:$R$1213,"&gt;"&amp;$R516)+(COUNTIFS($A$14:$A$1213,$A516,$R$14:$R$1213,"="&amp;$R516)+1)/2,"")</f>
        <v/>
      </c>
      <c r="AF516" s="27">
        <f>IF(ISNUMBER($S516),COUNTIFS($A$14:$A$1213,$A516,$S$14:$S$1213,"&gt;"&amp;$S516)+(COUNTIFS($A$14:$A$1213,$A516,$S$14:$S$1213,"="&amp;$S516)+1)/2,"")</f>
        <v/>
      </c>
      <c r="AG516" s="27">
        <f>IF(ISNUMBER($T516),COUNTIFS($A$14:$A$1213,$A516,$T$14:$T$1213,"&gt;"&amp;$T516)+(COUNTIFS($A$14:$A$1213,$A516,$T$14:$T$1213,"="&amp;$T516)+1)/2,"")</f>
        <v/>
      </c>
      <c r="AH516" s="27">
        <f>IF(COUNT($AC516:$AG516)&lt;2,"",IF(MAX($AC516:$AG516)=MIN($AC516:$AG516),0,1))</f>
        <v/>
      </c>
      <c r="AI516" s="27">
        <f>IF($A516="","",IF(COUNTIF($A$14:$A516,$A516)=1,COUNTIF($AI$13:AI515,"&gt;0")+1,""))</f>
        <v/>
      </c>
      <c r="AO516" s="27">
        <f>IF($A516="","",IF(AND(COUNTIFS($A$14:$A$1213,$A516,$F$14:$F$1213,"&gt;=0")=2,IFERROR(INDEX($M$14:$M$313,MATCH($A516,$H$14:$H$313,0)),"Yes")&lt;&gt;"Yes"),1,0))</f>
        <v/>
      </c>
    </row>
    <row r="517">
      <c r="A517" s="19" t="n"/>
      <c r="B517" s="20" t="n"/>
      <c r="C517" s="21">
        <f>IFERROR(AVERAGE(P517:T517),"")</f>
        <v/>
      </c>
      <c r="D517" s="29" t="n"/>
      <c r="E517" s="29" t="n"/>
      <c r="F517" s="30">
        <f>IF(AND(ISNUMBER($D517),ISNUMBER($E517),$E517&gt;0,$D517&lt;=$E517),$D517/$E517,"")</f>
        <v/>
      </c>
      <c r="P517" s="26" t="n"/>
      <c r="Q517" s="26" t="n"/>
      <c r="R517" s="26" t="n"/>
      <c r="S517" s="26" t="n"/>
      <c r="T517" s="26" t="n"/>
      <c r="V517" s="27">
        <f>IF(ISNUMBER($C517),COUNTIFS($A$14:$A$1213,$A517,$C$14:$C$1213,"&gt;"&amp;$C517)+(COUNTIFS($A$14:$A$1213,$A517,$C$14:$C$1213,"="&amp;$C517)+1)/2,"")</f>
        <v/>
      </c>
      <c r="W517" s="27">
        <f>IF(ISNUMBER($F517),COUNTIFS($A$14:$A$1213,$A517,$F$14:$F$1213,"&gt;"&amp;$F517)+(COUNTIFS($A$14:$A$1213,$A517,$F$14:$F$1213,"="&amp;$F517)+1)/2,"")</f>
        <v/>
      </c>
      <c r="X517" s="27">
        <f>IF(OR(NOT(ISNUMBER($V517)),$AO517=1),"",$V517-(COUNTIFS($A$14:$A$1213,$A517,$C$14:$C$1213,"&gt;=0")+1)/2)</f>
        <v/>
      </c>
      <c r="Y517" s="27">
        <f>IF(OR(NOT(ISNUMBER($W517)),$AO517=1),"",$W517-(COUNTIFS($A$14:$A$1213,$A517,$F$14:$F$1213,"&gt;=0")+1)/2)</f>
        <v/>
      </c>
      <c r="Z517" s="27">
        <f>IF(ISNUMBER($V517),$A517&amp;"|"&amp;$V517,"")</f>
        <v/>
      </c>
      <c r="AA517" s="27">
        <f>IF(ISNUMBER($W517),$A517&amp;"|"&amp;$W517,"")</f>
        <v/>
      </c>
      <c r="AB517" s="27">
        <f>IF(ISNUMBER($F517),$A517&amp;"|"&amp;$F517,"")</f>
        <v/>
      </c>
      <c r="AC517" s="27">
        <f>IF(ISNUMBER($P517),COUNTIFS($A$14:$A$1213,$A517,$P$14:$P$1213,"&gt;"&amp;$P517)+(COUNTIFS($A$14:$A$1213,$A517,$P$14:$P$1213,"="&amp;$P517)+1)/2,"")</f>
        <v/>
      </c>
      <c r="AD517" s="27">
        <f>IF(ISNUMBER($Q517),COUNTIFS($A$14:$A$1213,$A517,$Q$14:$Q$1213,"&gt;"&amp;$Q517)+(COUNTIFS($A$14:$A$1213,$A517,$Q$14:$Q$1213,"="&amp;$Q517)+1)/2,"")</f>
        <v/>
      </c>
      <c r="AE517" s="27">
        <f>IF(ISNUMBER($R517),COUNTIFS($A$14:$A$1213,$A517,$R$14:$R$1213,"&gt;"&amp;$R517)+(COUNTIFS($A$14:$A$1213,$A517,$R$14:$R$1213,"="&amp;$R517)+1)/2,"")</f>
        <v/>
      </c>
      <c r="AF517" s="27">
        <f>IF(ISNUMBER($S517),COUNTIFS($A$14:$A$1213,$A517,$S$14:$S$1213,"&gt;"&amp;$S517)+(COUNTIFS($A$14:$A$1213,$A517,$S$14:$S$1213,"="&amp;$S517)+1)/2,"")</f>
        <v/>
      </c>
      <c r="AG517" s="27">
        <f>IF(ISNUMBER($T517),COUNTIFS($A$14:$A$1213,$A517,$T$14:$T$1213,"&gt;"&amp;$T517)+(COUNTIFS($A$14:$A$1213,$A517,$T$14:$T$1213,"="&amp;$T517)+1)/2,"")</f>
        <v/>
      </c>
      <c r="AH517" s="27">
        <f>IF(COUNT($AC517:$AG517)&lt;2,"",IF(MAX($AC517:$AG517)=MIN($AC517:$AG517),0,1))</f>
        <v/>
      </c>
      <c r="AI517" s="27">
        <f>IF($A517="","",IF(COUNTIF($A$14:$A517,$A517)=1,COUNTIF($AI$13:AI516,"&gt;0")+1,""))</f>
        <v/>
      </c>
      <c r="AO517" s="27">
        <f>IF($A517="","",IF(AND(COUNTIFS($A$14:$A$1213,$A517,$F$14:$F$1213,"&gt;=0")=2,IFERROR(INDEX($M$14:$M$313,MATCH($A517,$H$14:$H$313,0)),"Yes")&lt;&gt;"Yes"),1,0))</f>
        <v/>
      </c>
    </row>
    <row r="518">
      <c r="A518" s="19" t="n"/>
      <c r="B518" s="20" t="n"/>
      <c r="C518" s="21">
        <f>IFERROR(AVERAGE(P518:T518),"")</f>
        <v/>
      </c>
      <c r="D518" s="29" t="n"/>
      <c r="E518" s="29" t="n"/>
      <c r="F518" s="30">
        <f>IF(AND(ISNUMBER($D518),ISNUMBER($E518),$E518&gt;0,$D518&lt;=$E518),$D518/$E518,"")</f>
        <v/>
      </c>
      <c r="P518" s="26" t="n"/>
      <c r="Q518" s="26" t="n"/>
      <c r="R518" s="26" t="n"/>
      <c r="S518" s="26" t="n"/>
      <c r="T518" s="26" t="n"/>
      <c r="V518" s="27">
        <f>IF(ISNUMBER($C518),COUNTIFS($A$14:$A$1213,$A518,$C$14:$C$1213,"&gt;"&amp;$C518)+(COUNTIFS($A$14:$A$1213,$A518,$C$14:$C$1213,"="&amp;$C518)+1)/2,"")</f>
        <v/>
      </c>
      <c r="W518" s="27">
        <f>IF(ISNUMBER($F518),COUNTIFS($A$14:$A$1213,$A518,$F$14:$F$1213,"&gt;"&amp;$F518)+(COUNTIFS($A$14:$A$1213,$A518,$F$14:$F$1213,"="&amp;$F518)+1)/2,"")</f>
        <v/>
      </c>
      <c r="X518" s="27">
        <f>IF(OR(NOT(ISNUMBER($V518)),$AO518=1),"",$V518-(COUNTIFS($A$14:$A$1213,$A518,$C$14:$C$1213,"&gt;=0")+1)/2)</f>
        <v/>
      </c>
      <c r="Y518" s="27">
        <f>IF(OR(NOT(ISNUMBER($W518)),$AO518=1),"",$W518-(COUNTIFS($A$14:$A$1213,$A518,$F$14:$F$1213,"&gt;=0")+1)/2)</f>
        <v/>
      </c>
      <c r="Z518" s="27">
        <f>IF(ISNUMBER($V518),$A518&amp;"|"&amp;$V518,"")</f>
        <v/>
      </c>
      <c r="AA518" s="27">
        <f>IF(ISNUMBER($W518),$A518&amp;"|"&amp;$W518,"")</f>
        <v/>
      </c>
      <c r="AB518" s="27">
        <f>IF(ISNUMBER($F518),$A518&amp;"|"&amp;$F518,"")</f>
        <v/>
      </c>
      <c r="AC518" s="27">
        <f>IF(ISNUMBER($P518),COUNTIFS($A$14:$A$1213,$A518,$P$14:$P$1213,"&gt;"&amp;$P518)+(COUNTIFS($A$14:$A$1213,$A518,$P$14:$P$1213,"="&amp;$P518)+1)/2,"")</f>
        <v/>
      </c>
      <c r="AD518" s="27">
        <f>IF(ISNUMBER($Q518),COUNTIFS($A$14:$A$1213,$A518,$Q$14:$Q$1213,"&gt;"&amp;$Q518)+(COUNTIFS($A$14:$A$1213,$A518,$Q$14:$Q$1213,"="&amp;$Q518)+1)/2,"")</f>
        <v/>
      </c>
      <c r="AE518" s="27">
        <f>IF(ISNUMBER($R518),COUNTIFS($A$14:$A$1213,$A518,$R$14:$R$1213,"&gt;"&amp;$R518)+(COUNTIFS($A$14:$A$1213,$A518,$R$14:$R$1213,"="&amp;$R518)+1)/2,"")</f>
        <v/>
      </c>
      <c r="AF518" s="27">
        <f>IF(ISNUMBER($S518),COUNTIFS($A$14:$A$1213,$A518,$S$14:$S$1213,"&gt;"&amp;$S518)+(COUNTIFS($A$14:$A$1213,$A518,$S$14:$S$1213,"="&amp;$S518)+1)/2,"")</f>
        <v/>
      </c>
      <c r="AG518" s="27">
        <f>IF(ISNUMBER($T518),COUNTIFS($A$14:$A$1213,$A518,$T$14:$T$1213,"&gt;"&amp;$T518)+(COUNTIFS($A$14:$A$1213,$A518,$T$14:$T$1213,"="&amp;$T518)+1)/2,"")</f>
        <v/>
      </c>
      <c r="AH518" s="27">
        <f>IF(COUNT($AC518:$AG518)&lt;2,"",IF(MAX($AC518:$AG518)=MIN($AC518:$AG518),0,1))</f>
        <v/>
      </c>
      <c r="AI518" s="27">
        <f>IF($A518="","",IF(COUNTIF($A$14:$A518,$A518)=1,COUNTIF($AI$13:AI517,"&gt;0")+1,""))</f>
        <v/>
      </c>
      <c r="AO518" s="27">
        <f>IF($A518="","",IF(AND(COUNTIFS($A$14:$A$1213,$A518,$F$14:$F$1213,"&gt;=0")=2,IFERROR(INDEX($M$14:$M$313,MATCH($A518,$H$14:$H$313,0)),"Yes")&lt;&gt;"Yes"),1,0))</f>
        <v/>
      </c>
    </row>
    <row r="519">
      <c r="A519" s="19" t="n"/>
      <c r="B519" s="20" t="n"/>
      <c r="C519" s="21">
        <f>IFERROR(AVERAGE(P519:T519),"")</f>
        <v/>
      </c>
      <c r="D519" s="29" t="n"/>
      <c r="E519" s="29" t="n"/>
      <c r="F519" s="30">
        <f>IF(AND(ISNUMBER($D519),ISNUMBER($E519),$E519&gt;0,$D519&lt;=$E519),$D519/$E519,"")</f>
        <v/>
      </c>
      <c r="P519" s="26" t="n"/>
      <c r="Q519" s="26" t="n"/>
      <c r="R519" s="26" t="n"/>
      <c r="S519" s="26" t="n"/>
      <c r="T519" s="26" t="n"/>
      <c r="V519" s="27">
        <f>IF(ISNUMBER($C519),COUNTIFS($A$14:$A$1213,$A519,$C$14:$C$1213,"&gt;"&amp;$C519)+(COUNTIFS($A$14:$A$1213,$A519,$C$14:$C$1213,"="&amp;$C519)+1)/2,"")</f>
        <v/>
      </c>
      <c r="W519" s="27">
        <f>IF(ISNUMBER($F519),COUNTIFS($A$14:$A$1213,$A519,$F$14:$F$1213,"&gt;"&amp;$F519)+(COUNTIFS($A$14:$A$1213,$A519,$F$14:$F$1213,"="&amp;$F519)+1)/2,"")</f>
        <v/>
      </c>
      <c r="X519" s="27">
        <f>IF(OR(NOT(ISNUMBER($V519)),$AO519=1),"",$V519-(COUNTIFS($A$14:$A$1213,$A519,$C$14:$C$1213,"&gt;=0")+1)/2)</f>
        <v/>
      </c>
      <c r="Y519" s="27">
        <f>IF(OR(NOT(ISNUMBER($W519)),$AO519=1),"",$W519-(COUNTIFS($A$14:$A$1213,$A519,$F$14:$F$1213,"&gt;=0")+1)/2)</f>
        <v/>
      </c>
      <c r="Z519" s="27">
        <f>IF(ISNUMBER($V519),$A519&amp;"|"&amp;$V519,"")</f>
        <v/>
      </c>
      <c r="AA519" s="27">
        <f>IF(ISNUMBER($W519),$A519&amp;"|"&amp;$W519,"")</f>
        <v/>
      </c>
      <c r="AB519" s="27">
        <f>IF(ISNUMBER($F519),$A519&amp;"|"&amp;$F519,"")</f>
        <v/>
      </c>
      <c r="AC519" s="27">
        <f>IF(ISNUMBER($P519),COUNTIFS($A$14:$A$1213,$A519,$P$14:$P$1213,"&gt;"&amp;$P519)+(COUNTIFS($A$14:$A$1213,$A519,$P$14:$P$1213,"="&amp;$P519)+1)/2,"")</f>
        <v/>
      </c>
      <c r="AD519" s="27">
        <f>IF(ISNUMBER($Q519),COUNTIFS($A$14:$A$1213,$A519,$Q$14:$Q$1213,"&gt;"&amp;$Q519)+(COUNTIFS($A$14:$A$1213,$A519,$Q$14:$Q$1213,"="&amp;$Q519)+1)/2,"")</f>
        <v/>
      </c>
      <c r="AE519" s="27">
        <f>IF(ISNUMBER($R519),COUNTIFS($A$14:$A$1213,$A519,$R$14:$R$1213,"&gt;"&amp;$R519)+(COUNTIFS($A$14:$A$1213,$A519,$R$14:$R$1213,"="&amp;$R519)+1)/2,"")</f>
        <v/>
      </c>
      <c r="AF519" s="27">
        <f>IF(ISNUMBER($S519),COUNTIFS($A$14:$A$1213,$A519,$S$14:$S$1213,"&gt;"&amp;$S519)+(COUNTIFS($A$14:$A$1213,$A519,$S$14:$S$1213,"="&amp;$S519)+1)/2,"")</f>
        <v/>
      </c>
      <c r="AG519" s="27">
        <f>IF(ISNUMBER($T519),COUNTIFS($A$14:$A$1213,$A519,$T$14:$T$1213,"&gt;"&amp;$T519)+(COUNTIFS($A$14:$A$1213,$A519,$T$14:$T$1213,"="&amp;$T519)+1)/2,"")</f>
        <v/>
      </c>
      <c r="AH519" s="27">
        <f>IF(COUNT($AC519:$AG519)&lt;2,"",IF(MAX($AC519:$AG519)=MIN($AC519:$AG519),0,1))</f>
        <v/>
      </c>
      <c r="AI519" s="27">
        <f>IF($A519="","",IF(COUNTIF($A$14:$A519,$A519)=1,COUNTIF($AI$13:AI518,"&gt;0")+1,""))</f>
        <v/>
      </c>
      <c r="AO519" s="27">
        <f>IF($A519="","",IF(AND(COUNTIFS($A$14:$A$1213,$A519,$F$14:$F$1213,"&gt;=0")=2,IFERROR(INDEX($M$14:$M$313,MATCH($A519,$H$14:$H$313,0)),"Yes")&lt;&gt;"Yes"),1,0))</f>
        <v/>
      </c>
    </row>
    <row r="520">
      <c r="A520" s="19" t="n"/>
      <c r="B520" s="20" t="n"/>
      <c r="C520" s="21">
        <f>IFERROR(AVERAGE(P520:T520),"")</f>
        <v/>
      </c>
      <c r="D520" s="29" t="n"/>
      <c r="E520" s="29" t="n"/>
      <c r="F520" s="30">
        <f>IF(AND(ISNUMBER($D520),ISNUMBER($E520),$E520&gt;0,$D520&lt;=$E520),$D520/$E520,"")</f>
        <v/>
      </c>
      <c r="P520" s="26" t="n"/>
      <c r="Q520" s="26" t="n"/>
      <c r="R520" s="26" t="n"/>
      <c r="S520" s="26" t="n"/>
      <c r="T520" s="26" t="n"/>
      <c r="V520" s="27">
        <f>IF(ISNUMBER($C520),COUNTIFS($A$14:$A$1213,$A520,$C$14:$C$1213,"&gt;"&amp;$C520)+(COUNTIFS($A$14:$A$1213,$A520,$C$14:$C$1213,"="&amp;$C520)+1)/2,"")</f>
        <v/>
      </c>
      <c r="W520" s="27">
        <f>IF(ISNUMBER($F520),COUNTIFS($A$14:$A$1213,$A520,$F$14:$F$1213,"&gt;"&amp;$F520)+(COUNTIFS($A$14:$A$1213,$A520,$F$14:$F$1213,"="&amp;$F520)+1)/2,"")</f>
        <v/>
      </c>
      <c r="X520" s="27">
        <f>IF(OR(NOT(ISNUMBER($V520)),$AO520=1),"",$V520-(COUNTIFS($A$14:$A$1213,$A520,$C$14:$C$1213,"&gt;=0")+1)/2)</f>
        <v/>
      </c>
      <c r="Y520" s="27">
        <f>IF(OR(NOT(ISNUMBER($W520)),$AO520=1),"",$W520-(COUNTIFS($A$14:$A$1213,$A520,$F$14:$F$1213,"&gt;=0")+1)/2)</f>
        <v/>
      </c>
      <c r="Z520" s="27">
        <f>IF(ISNUMBER($V520),$A520&amp;"|"&amp;$V520,"")</f>
        <v/>
      </c>
      <c r="AA520" s="27">
        <f>IF(ISNUMBER($W520),$A520&amp;"|"&amp;$W520,"")</f>
        <v/>
      </c>
      <c r="AB520" s="27">
        <f>IF(ISNUMBER($F520),$A520&amp;"|"&amp;$F520,"")</f>
        <v/>
      </c>
      <c r="AC520" s="27">
        <f>IF(ISNUMBER($P520),COUNTIFS($A$14:$A$1213,$A520,$P$14:$P$1213,"&gt;"&amp;$P520)+(COUNTIFS($A$14:$A$1213,$A520,$P$14:$P$1213,"="&amp;$P520)+1)/2,"")</f>
        <v/>
      </c>
      <c r="AD520" s="27">
        <f>IF(ISNUMBER($Q520),COUNTIFS($A$14:$A$1213,$A520,$Q$14:$Q$1213,"&gt;"&amp;$Q520)+(COUNTIFS($A$14:$A$1213,$A520,$Q$14:$Q$1213,"="&amp;$Q520)+1)/2,"")</f>
        <v/>
      </c>
      <c r="AE520" s="27">
        <f>IF(ISNUMBER($R520),COUNTIFS($A$14:$A$1213,$A520,$R$14:$R$1213,"&gt;"&amp;$R520)+(COUNTIFS($A$14:$A$1213,$A520,$R$14:$R$1213,"="&amp;$R520)+1)/2,"")</f>
        <v/>
      </c>
      <c r="AF520" s="27">
        <f>IF(ISNUMBER($S520),COUNTIFS($A$14:$A$1213,$A520,$S$14:$S$1213,"&gt;"&amp;$S520)+(COUNTIFS($A$14:$A$1213,$A520,$S$14:$S$1213,"="&amp;$S520)+1)/2,"")</f>
        <v/>
      </c>
      <c r="AG520" s="27">
        <f>IF(ISNUMBER($T520),COUNTIFS($A$14:$A$1213,$A520,$T$14:$T$1213,"&gt;"&amp;$T520)+(COUNTIFS($A$14:$A$1213,$A520,$T$14:$T$1213,"="&amp;$T520)+1)/2,"")</f>
        <v/>
      </c>
      <c r="AH520" s="27">
        <f>IF(COUNT($AC520:$AG520)&lt;2,"",IF(MAX($AC520:$AG520)=MIN($AC520:$AG520),0,1))</f>
        <v/>
      </c>
      <c r="AI520" s="27">
        <f>IF($A520="","",IF(COUNTIF($A$14:$A520,$A520)=1,COUNTIF($AI$13:AI519,"&gt;0")+1,""))</f>
        <v/>
      </c>
      <c r="AO520" s="27">
        <f>IF($A520="","",IF(AND(COUNTIFS($A$14:$A$1213,$A520,$F$14:$F$1213,"&gt;=0")=2,IFERROR(INDEX($M$14:$M$313,MATCH($A520,$H$14:$H$313,0)),"Yes")&lt;&gt;"Yes"),1,0))</f>
        <v/>
      </c>
    </row>
    <row r="521">
      <c r="A521" s="19" t="n"/>
      <c r="B521" s="20" t="n"/>
      <c r="C521" s="21">
        <f>IFERROR(AVERAGE(P521:T521),"")</f>
        <v/>
      </c>
      <c r="D521" s="29" t="n"/>
      <c r="E521" s="29" t="n"/>
      <c r="F521" s="30">
        <f>IF(AND(ISNUMBER($D521),ISNUMBER($E521),$E521&gt;0,$D521&lt;=$E521),$D521/$E521,"")</f>
        <v/>
      </c>
      <c r="P521" s="26" t="n"/>
      <c r="Q521" s="26" t="n"/>
      <c r="R521" s="26" t="n"/>
      <c r="S521" s="26" t="n"/>
      <c r="T521" s="26" t="n"/>
      <c r="V521" s="27">
        <f>IF(ISNUMBER($C521),COUNTIFS($A$14:$A$1213,$A521,$C$14:$C$1213,"&gt;"&amp;$C521)+(COUNTIFS($A$14:$A$1213,$A521,$C$14:$C$1213,"="&amp;$C521)+1)/2,"")</f>
        <v/>
      </c>
      <c r="W521" s="27">
        <f>IF(ISNUMBER($F521),COUNTIFS($A$14:$A$1213,$A521,$F$14:$F$1213,"&gt;"&amp;$F521)+(COUNTIFS($A$14:$A$1213,$A521,$F$14:$F$1213,"="&amp;$F521)+1)/2,"")</f>
        <v/>
      </c>
      <c r="X521" s="27">
        <f>IF(OR(NOT(ISNUMBER($V521)),$AO521=1),"",$V521-(COUNTIFS($A$14:$A$1213,$A521,$C$14:$C$1213,"&gt;=0")+1)/2)</f>
        <v/>
      </c>
      <c r="Y521" s="27">
        <f>IF(OR(NOT(ISNUMBER($W521)),$AO521=1),"",$W521-(COUNTIFS($A$14:$A$1213,$A521,$F$14:$F$1213,"&gt;=0")+1)/2)</f>
        <v/>
      </c>
      <c r="Z521" s="27">
        <f>IF(ISNUMBER($V521),$A521&amp;"|"&amp;$V521,"")</f>
        <v/>
      </c>
      <c r="AA521" s="27">
        <f>IF(ISNUMBER($W521),$A521&amp;"|"&amp;$W521,"")</f>
        <v/>
      </c>
      <c r="AB521" s="27">
        <f>IF(ISNUMBER($F521),$A521&amp;"|"&amp;$F521,"")</f>
        <v/>
      </c>
      <c r="AC521" s="27">
        <f>IF(ISNUMBER($P521),COUNTIFS($A$14:$A$1213,$A521,$P$14:$P$1213,"&gt;"&amp;$P521)+(COUNTIFS($A$14:$A$1213,$A521,$P$14:$P$1213,"="&amp;$P521)+1)/2,"")</f>
        <v/>
      </c>
      <c r="AD521" s="27">
        <f>IF(ISNUMBER($Q521),COUNTIFS($A$14:$A$1213,$A521,$Q$14:$Q$1213,"&gt;"&amp;$Q521)+(COUNTIFS($A$14:$A$1213,$A521,$Q$14:$Q$1213,"="&amp;$Q521)+1)/2,"")</f>
        <v/>
      </c>
      <c r="AE521" s="27">
        <f>IF(ISNUMBER($R521),COUNTIFS($A$14:$A$1213,$A521,$R$14:$R$1213,"&gt;"&amp;$R521)+(COUNTIFS($A$14:$A$1213,$A521,$R$14:$R$1213,"="&amp;$R521)+1)/2,"")</f>
        <v/>
      </c>
      <c r="AF521" s="27">
        <f>IF(ISNUMBER($S521),COUNTIFS($A$14:$A$1213,$A521,$S$14:$S$1213,"&gt;"&amp;$S521)+(COUNTIFS($A$14:$A$1213,$A521,$S$14:$S$1213,"="&amp;$S521)+1)/2,"")</f>
        <v/>
      </c>
      <c r="AG521" s="27">
        <f>IF(ISNUMBER($T521),COUNTIFS($A$14:$A$1213,$A521,$T$14:$T$1213,"&gt;"&amp;$T521)+(COUNTIFS($A$14:$A$1213,$A521,$T$14:$T$1213,"="&amp;$T521)+1)/2,"")</f>
        <v/>
      </c>
      <c r="AH521" s="27">
        <f>IF(COUNT($AC521:$AG521)&lt;2,"",IF(MAX($AC521:$AG521)=MIN($AC521:$AG521),0,1))</f>
        <v/>
      </c>
      <c r="AI521" s="27">
        <f>IF($A521="","",IF(COUNTIF($A$14:$A521,$A521)=1,COUNTIF($AI$13:AI520,"&gt;0")+1,""))</f>
        <v/>
      </c>
      <c r="AO521" s="27">
        <f>IF($A521="","",IF(AND(COUNTIFS($A$14:$A$1213,$A521,$F$14:$F$1213,"&gt;=0")=2,IFERROR(INDEX($M$14:$M$313,MATCH($A521,$H$14:$H$313,0)),"Yes")&lt;&gt;"Yes"),1,0))</f>
        <v/>
      </c>
    </row>
    <row r="522">
      <c r="A522" s="19" t="n"/>
      <c r="B522" s="20" t="n"/>
      <c r="C522" s="21">
        <f>IFERROR(AVERAGE(P522:T522),"")</f>
        <v/>
      </c>
      <c r="D522" s="29" t="n"/>
      <c r="E522" s="29" t="n"/>
      <c r="F522" s="30">
        <f>IF(AND(ISNUMBER($D522),ISNUMBER($E522),$E522&gt;0,$D522&lt;=$E522),$D522/$E522,"")</f>
        <v/>
      </c>
      <c r="P522" s="26" t="n"/>
      <c r="Q522" s="26" t="n"/>
      <c r="R522" s="26" t="n"/>
      <c r="S522" s="26" t="n"/>
      <c r="T522" s="26" t="n"/>
      <c r="V522" s="27">
        <f>IF(ISNUMBER($C522),COUNTIFS($A$14:$A$1213,$A522,$C$14:$C$1213,"&gt;"&amp;$C522)+(COUNTIFS($A$14:$A$1213,$A522,$C$14:$C$1213,"="&amp;$C522)+1)/2,"")</f>
        <v/>
      </c>
      <c r="W522" s="27">
        <f>IF(ISNUMBER($F522),COUNTIFS($A$14:$A$1213,$A522,$F$14:$F$1213,"&gt;"&amp;$F522)+(COUNTIFS($A$14:$A$1213,$A522,$F$14:$F$1213,"="&amp;$F522)+1)/2,"")</f>
        <v/>
      </c>
      <c r="X522" s="27">
        <f>IF(OR(NOT(ISNUMBER($V522)),$AO522=1),"",$V522-(COUNTIFS($A$14:$A$1213,$A522,$C$14:$C$1213,"&gt;=0")+1)/2)</f>
        <v/>
      </c>
      <c r="Y522" s="27">
        <f>IF(OR(NOT(ISNUMBER($W522)),$AO522=1),"",$W522-(COUNTIFS($A$14:$A$1213,$A522,$F$14:$F$1213,"&gt;=0")+1)/2)</f>
        <v/>
      </c>
      <c r="Z522" s="27">
        <f>IF(ISNUMBER($V522),$A522&amp;"|"&amp;$V522,"")</f>
        <v/>
      </c>
      <c r="AA522" s="27">
        <f>IF(ISNUMBER($W522),$A522&amp;"|"&amp;$W522,"")</f>
        <v/>
      </c>
      <c r="AB522" s="27">
        <f>IF(ISNUMBER($F522),$A522&amp;"|"&amp;$F522,"")</f>
        <v/>
      </c>
      <c r="AC522" s="27">
        <f>IF(ISNUMBER($P522),COUNTIFS($A$14:$A$1213,$A522,$P$14:$P$1213,"&gt;"&amp;$P522)+(COUNTIFS($A$14:$A$1213,$A522,$P$14:$P$1213,"="&amp;$P522)+1)/2,"")</f>
        <v/>
      </c>
      <c r="AD522" s="27">
        <f>IF(ISNUMBER($Q522),COUNTIFS($A$14:$A$1213,$A522,$Q$14:$Q$1213,"&gt;"&amp;$Q522)+(COUNTIFS($A$14:$A$1213,$A522,$Q$14:$Q$1213,"="&amp;$Q522)+1)/2,"")</f>
        <v/>
      </c>
      <c r="AE522" s="27">
        <f>IF(ISNUMBER($R522),COUNTIFS($A$14:$A$1213,$A522,$R$14:$R$1213,"&gt;"&amp;$R522)+(COUNTIFS($A$14:$A$1213,$A522,$R$14:$R$1213,"="&amp;$R522)+1)/2,"")</f>
        <v/>
      </c>
      <c r="AF522" s="27">
        <f>IF(ISNUMBER($S522),COUNTIFS($A$14:$A$1213,$A522,$S$14:$S$1213,"&gt;"&amp;$S522)+(COUNTIFS($A$14:$A$1213,$A522,$S$14:$S$1213,"="&amp;$S522)+1)/2,"")</f>
        <v/>
      </c>
      <c r="AG522" s="27">
        <f>IF(ISNUMBER($T522),COUNTIFS($A$14:$A$1213,$A522,$T$14:$T$1213,"&gt;"&amp;$T522)+(COUNTIFS($A$14:$A$1213,$A522,$T$14:$T$1213,"="&amp;$T522)+1)/2,"")</f>
        <v/>
      </c>
      <c r="AH522" s="27">
        <f>IF(COUNT($AC522:$AG522)&lt;2,"",IF(MAX($AC522:$AG522)=MIN($AC522:$AG522),0,1))</f>
        <v/>
      </c>
      <c r="AI522" s="27">
        <f>IF($A522="","",IF(COUNTIF($A$14:$A522,$A522)=1,COUNTIF($AI$13:AI521,"&gt;0")+1,""))</f>
        <v/>
      </c>
      <c r="AO522" s="27">
        <f>IF($A522="","",IF(AND(COUNTIFS($A$14:$A$1213,$A522,$F$14:$F$1213,"&gt;=0")=2,IFERROR(INDEX($M$14:$M$313,MATCH($A522,$H$14:$H$313,0)),"Yes")&lt;&gt;"Yes"),1,0))</f>
        <v/>
      </c>
    </row>
    <row r="523">
      <c r="A523" s="19" t="n"/>
      <c r="B523" s="20" t="n"/>
      <c r="C523" s="21">
        <f>IFERROR(AVERAGE(P523:T523),"")</f>
        <v/>
      </c>
      <c r="D523" s="29" t="n"/>
      <c r="E523" s="29" t="n"/>
      <c r="F523" s="30">
        <f>IF(AND(ISNUMBER($D523),ISNUMBER($E523),$E523&gt;0,$D523&lt;=$E523),$D523/$E523,"")</f>
        <v/>
      </c>
      <c r="P523" s="26" t="n"/>
      <c r="Q523" s="26" t="n"/>
      <c r="R523" s="26" t="n"/>
      <c r="S523" s="26" t="n"/>
      <c r="T523" s="26" t="n"/>
      <c r="V523" s="27">
        <f>IF(ISNUMBER($C523),COUNTIFS($A$14:$A$1213,$A523,$C$14:$C$1213,"&gt;"&amp;$C523)+(COUNTIFS($A$14:$A$1213,$A523,$C$14:$C$1213,"="&amp;$C523)+1)/2,"")</f>
        <v/>
      </c>
      <c r="W523" s="27">
        <f>IF(ISNUMBER($F523),COUNTIFS($A$14:$A$1213,$A523,$F$14:$F$1213,"&gt;"&amp;$F523)+(COUNTIFS($A$14:$A$1213,$A523,$F$14:$F$1213,"="&amp;$F523)+1)/2,"")</f>
        <v/>
      </c>
      <c r="X523" s="27">
        <f>IF(OR(NOT(ISNUMBER($V523)),$AO523=1),"",$V523-(COUNTIFS($A$14:$A$1213,$A523,$C$14:$C$1213,"&gt;=0")+1)/2)</f>
        <v/>
      </c>
      <c r="Y523" s="27">
        <f>IF(OR(NOT(ISNUMBER($W523)),$AO523=1),"",$W523-(COUNTIFS($A$14:$A$1213,$A523,$F$14:$F$1213,"&gt;=0")+1)/2)</f>
        <v/>
      </c>
      <c r="Z523" s="27">
        <f>IF(ISNUMBER($V523),$A523&amp;"|"&amp;$V523,"")</f>
        <v/>
      </c>
      <c r="AA523" s="27">
        <f>IF(ISNUMBER($W523),$A523&amp;"|"&amp;$W523,"")</f>
        <v/>
      </c>
      <c r="AB523" s="27">
        <f>IF(ISNUMBER($F523),$A523&amp;"|"&amp;$F523,"")</f>
        <v/>
      </c>
      <c r="AC523" s="27">
        <f>IF(ISNUMBER($P523),COUNTIFS($A$14:$A$1213,$A523,$P$14:$P$1213,"&gt;"&amp;$P523)+(COUNTIFS($A$14:$A$1213,$A523,$P$14:$P$1213,"="&amp;$P523)+1)/2,"")</f>
        <v/>
      </c>
      <c r="AD523" s="27">
        <f>IF(ISNUMBER($Q523),COUNTIFS($A$14:$A$1213,$A523,$Q$14:$Q$1213,"&gt;"&amp;$Q523)+(COUNTIFS($A$14:$A$1213,$A523,$Q$14:$Q$1213,"="&amp;$Q523)+1)/2,"")</f>
        <v/>
      </c>
      <c r="AE523" s="27">
        <f>IF(ISNUMBER($R523),COUNTIFS($A$14:$A$1213,$A523,$R$14:$R$1213,"&gt;"&amp;$R523)+(COUNTIFS($A$14:$A$1213,$A523,$R$14:$R$1213,"="&amp;$R523)+1)/2,"")</f>
        <v/>
      </c>
      <c r="AF523" s="27">
        <f>IF(ISNUMBER($S523),COUNTIFS($A$14:$A$1213,$A523,$S$14:$S$1213,"&gt;"&amp;$S523)+(COUNTIFS($A$14:$A$1213,$A523,$S$14:$S$1213,"="&amp;$S523)+1)/2,"")</f>
        <v/>
      </c>
      <c r="AG523" s="27">
        <f>IF(ISNUMBER($T523),COUNTIFS($A$14:$A$1213,$A523,$T$14:$T$1213,"&gt;"&amp;$T523)+(COUNTIFS($A$14:$A$1213,$A523,$T$14:$T$1213,"="&amp;$T523)+1)/2,"")</f>
        <v/>
      </c>
      <c r="AH523" s="27">
        <f>IF(COUNT($AC523:$AG523)&lt;2,"",IF(MAX($AC523:$AG523)=MIN($AC523:$AG523),0,1))</f>
        <v/>
      </c>
      <c r="AI523" s="27">
        <f>IF($A523="","",IF(COUNTIF($A$14:$A523,$A523)=1,COUNTIF($AI$13:AI522,"&gt;0")+1,""))</f>
        <v/>
      </c>
      <c r="AO523" s="27">
        <f>IF($A523="","",IF(AND(COUNTIFS($A$14:$A$1213,$A523,$F$14:$F$1213,"&gt;=0")=2,IFERROR(INDEX($M$14:$M$313,MATCH($A523,$H$14:$H$313,0)),"Yes")&lt;&gt;"Yes"),1,0))</f>
        <v/>
      </c>
    </row>
    <row r="524">
      <c r="A524" s="19" t="n"/>
      <c r="B524" s="20" t="n"/>
      <c r="C524" s="21">
        <f>IFERROR(AVERAGE(P524:T524),"")</f>
        <v/>
      </c>
      <c r="D524" s="29" t="n"/>
      <c r="E524" s="29" t="n"/>
      <c r="F524" s="30">
        <f>IF(AND(ISNUMBER($D524),ISNUMBER($E524),$E524&gt;0,$D524&lt;=$E524),$D524/$E524,"")</f>
        <v/>
      </c>
      <c r="P524" s="26" t="n"/>
      <c r="Q524" s="26" t="n"/>
      <c r="R524" s="26" t="n"/>
      <c r="S524" s="26" t="n"/>
      <c r="T524" s="26" t="n"/>
      <c r="V524" s="27">
        <f>IF(ISNUMBER($C524),COUNTIFS($A$14:$A$1213,$A524,$C$14:$C$1213,"&gt;"&amp;$C524)+(COUNTIFS($A$14:$A$1213,$A524,$C$14:$C$1213,"="&amp;$C524)+1)/2,"")</f>
        <v/>
      </c>
      <c r="W524" s="27">
        <f>IF(ISNUMBER($F524),COUNTIFS($A$14:$A$1213,$A524,$F$14:$F$1213,"&gt;"&amp;$F524)+(COUNTIFS($A$14:$A$1213,$A524,$F$14:$F$1213,"="&amp;$F524)+1)/2,"")</f>
        <v/>
      </c>
      <c r="X524" s="27">
        <f>IF(OR(NOT(ISNUMBER($V524)),$AO524=1),"",$V524-(COUNTIFS($A$14:$A$1213,$A524,$C$14:$C$1213,"&gt;=0")+1)/2)</f>
        <v/>
      </c>
      <c r="Y524" s="27">
        <f>IF(OR(NOT(ISNUMBER($W524)),$AO524=1),"",$W524-(COUNTIFS($A$14:$A$1213,$A524,$F$14:$F$1213,"&gt;=0")+1)/2)</f>
        <v/>
      </c>
      <c r="Z524" s="27">
        <f>IF(ISNUMBER($V524),$A524&amp;"|"&amp;$V524,"")</f>
        <v/>
      </c>
      <c r="AA524" s="27">
        <f>IF(ISNUMBER($W524),$A524&amp;"|"&amp;$W524,"")</f>
        <v/>
      </c>
      <c r="AB524" s="27">
        <f>IF(ISNUMBER($F524),$A524&amp;"|"&amp;$F524,"")</f>
        <v/>
      </c>
      <c r="AC524" s="27">
        <f>IF(ISNUMBER($P524),COUNTIFS($A$14:$A$1213,$A524,$P$14:$P$1213,"&gt;"&amp;$P524)+(COUNTIFS($A$14:$A$1213,$A524,$P$14:$P$1213,"="&amp;$P524)+1)/2,"")</f>
        <v/>
      </c>
      <c r="AD524" s="27">
        <f>IF(ISNUMBER($Q524),COUNTIFS($A$14:$A$1213,$A524,$Q$14:$Q$1213,"&gt;"&amp;$Q524)+(COUNTIFS($A$14:$A$1213,$A524,$Q$14:$Q$1213,"="&amp;$Q524)+1)/2,"")</f>
        <v/>
      </c>
      <c r="AE524" s="27">
        <f>IF(ISNUMBER($R524),COUNTIFS($A$14:$A$1213,$A524,$R$14:$R$1213,"&gt;"&amp;$R524)+(COUNTIFS($A$14:$A$1213,$A524,$R$14:$R$1213,"="&amp;$R524)+1)/2,"")</f>
        <v/>
      </c>
      <c r="AF524" s="27">
        <f>IF(ISNUMBER($S524),COUNTIFS($A$14:$A$1213,$A524,$S$14:$S$1213,"&gt;"&amp;$S524)+(COUNTIFS($A$14:$A$1213,$A524,$S$14:$S$1213,"="&amp;$S524)+1)/2,"")</f>
        <v/>
      </c>
      <c r="AG524" s="27">
        <f>IF(ISNUMBER($T524),COUNTIFS($A$14:$A$1213,$A524,$T$14:$T$1213,"&gt;"&amp;$T524)+(COUNTIFS($A$14:$A$1213,$A524,$T$14:$T$1213,"="&amp;$T524)+1)/2,"")</f>
        <v/>
      </c>
      <c r="AH524" s="27">
        <f>IF(COUNT($AC524:$AG524)&lt;2,"",IF(MAX($AC524:$AG524)=MIN($AC524:$AG524),0,1))</f>
        <v/>
      </c>
      <c r="AI524" s="27">
        <f>IF($A524="","",IF(COUNTIF($A$14:$A524,$A524)=1,COUNTIF($AI$13:AI523,"&gt;0")+1,""))</f>
        <v/>
      </c>
      <c r="AO524" s="27">
        <f>IF($A524="","",IF(AND(COUNTIFS($A$14:$A$1213,$A524,$F$14:$F$1213,"&gt;=0")=2,IFERROR(INDEX($M$14:$M$313,MATCH($A524,$H$14:$H$313,0)),"Yes")&lt;&gt;"Yes"),1,0))</f>
        <v/>
      </c>
    </row>
    <row r="525">
      <c r="A525" s="19" t="n"/>
      <c r="B525" s="20" t="n"/>
      <c r="C525" s="21">
        <f>IFERROR(AVERAGE(P525:T525),"")</f>
        <v/>
      </c>
      <c r="D525" s="29" t="n"/>
      <c r="E525" s="29" t="n"/>
      <c r="F525" s="30">
        <f>IF(AND(ISNUMBER($D525),ISNUMBER($E525),$E525&gt;0,$D525&lt;=$E525),$D525/$E525,"")</f>
        <v/>
      </c>
      <c r="P525" s="26" t="n"/>
      <c r="Q525" s="26" t="n"/>
      <c r="R525" s="26" t="n"/>
      <c r="S525" s="26" t="n"/>
      <c r="T525" s="26" t="n"/>
      <c r="V525" s="27">
        <f>IF(ISNUMBER($C525),COUNTIFS($A$14:$A$1213,$A525,$C$14:$C$1213,"&gt;"&amp;$C525)+(COUNTIFS($A$14:$A$1213,$A525,$C$14:$C$1213,"="&amp;$C525)+1)/2,"")</f>
        <v/>
      </c>
      <c r="W525" s="27">
        <f>IF(ISNUMBER($F525),COUNTIFS($A$14:$A$1213,$A525,$F$14:$F$1213,"&gt;"&amp;$F525)+(COUNTIFS($A$14:$A$1213,$A525,$F$14:$F$1213,"="&amp;$F525)+1)/2,"")</f>
        <v/>
      </c>
      <c r="X525" s="27">
        <f>IF(OR(NOT(ISNUMBER($V525)),$AO525=1),"",$V525-(COUNTIFS($A$14:$A$1213,$A525,$C$14:$C$1213,"&gt;=0")+1)/2)</f>
        <v/>
      </c>
      <c r="Y525" s="27">
        <f>IF(OR(NOT(ISNUMBER($W525)),$AO525=1),"",$W525-(COUNTIFS($A$14:$A$1213,$A525,$F$14:$F$1213,"&gt;=0")+1)/2)</f>
        <v/>
      </c>
      <c r="Z525" s="27">
        <f>IF(ISNUMBER($V525),$A525&amp;"|"&amp;$V525,"")</f>
        <v/>
      </c>
      <c r="AA525" s="27">
        <f>IF(ISNUMBER($W525),$A525&amp;"|"&amp;$W525,"")</f>
        <v/>
      </c>
      <c r="AB525" s="27">
        <f>IF(ISNUMBER($F525),$A525&amp;"|"&amp;$F525,"")</f>
        <v/>
      </c>
      <c r="AC525" s="27">
        <f>IF(ISNUMBER($P525),COUNTIFS($A$14:$A$1213,$A525,$P$14:$P$1213,"&gt;"&amp;$P525)+(COUNTIFS($A$14:$A$1213,$A525,$P$14:$P$1213,"="&amp;$P525)+1)/2,"")</f>
        <v/>
      </c>
      <c r="AD525" s="27">
        <f>IF(ISNUMBER($Q525),COUNTIFS($A$14:$A$1213,$A525,$Q$14:$Q$1213,"&gt;"&amp;$Q525)+(COUNTIFS($A$14:$A$1213,$A525,$Q$14:$Q$1213,"="&amp;$Q525)+1)/2,"")</f>
        <v/>
      </c>
      <c r="AE525" s="27">
        <f>IF(ISNUMBER($R525),COUNTIFS($A$14:$A$1213,$A525,$R$14:$R$1213,"&gt;"&amp;$R525)+(COUNTIFS($A$14:$A$1213,$A525,$R$14:$R$1213,"="&amp;$R525)+1)/2,"")</f>
        <v/>
      </c>
      <c r="AF525" s="27">
        <f>IF(ISNUMBER($S525),COUNTIFS($A$14:$A$1213,$A525,$S$14:$S$1213,"&gt;"&amp;$S525)+(COUNTIFS($A$14:$A$1213,$A525,$S$14:$S$1213,"="&amp;$S525)+1)/2,"")</f>
        <v/>
      </c>
      <c r="AG525" s="27">
        <f>IF(ISNUMBER($T525),COUNTIFS($A$14:$A$1213,$A525,$T$14:$T$1213,"&gt;"&amp;$T525)+(COUNTIFS($A$14:$A$1213,$A525,$T$14:$T$1213,"="&amp;$T525)+1)/2,"")</f>
        <v/>
      </c>
      <c r="AH525" s="27">
        <f>IF(COUNT($AC525:$AG525)&lt;2,"",IF(MAX($AC525:$AG525)=MIN($AC525:$AG525),0,1))</f>
        <v/>
      </c>
      <c r="AI525" s="27">
        <f>IF($A525="","",IF(COUNTIF($A$14:$A525,$A525)=1,COUNTIF($AI$13:AI524,"&gt;0")+1,""))</f>
        <v/>
      </c>
      <c r="AO525" s="27">
        <f>IF($A525="","",IF(AND(COUNTIFS($A$14:$A$1213,$A525,$F$14:$F$1213,"&gt;=0")=2,IFERROR(INDEX($M$14:$M$313,MATCH($A525,$H$14:$H$313,0)),"Yes")&lt;&gt;"Yes"),1,0))</f>
        <v/>
      </c>
    </row>
    <row r="526">
      <c r="A526" s="19" t="n"/>
      <c r="B526" s="20" t="n"/>
      <c r="C526" s="21">
        <f>IFERROR(AVERAGE(P526:T526),"")</f>
        <v/>
      </c>
      <c r="D526" s="29" t="n"/>
      <c r="E526" s="29" t="n"/>
      <c r="F526" s="30">
        <f>IF(AND(ISNUMBER($D526),ISNUMBER($E526),$E526&gt;0,$D526&lt;=$E526),$D526/$E526,"")</f>
        <v/>
      </c>
      <c r="P526" s="26" t="n"/>
      <c r="Q526" s="26" t="n"/>
      <c r="R526" s="26" t="n"/>
      <c r="S526" s="26" t="n"/>
      <c r="T526" s="26" t="n"/>
      <c r="V526" s="27">
        <f>IF(ISNUMBER($C526),COUNTIFS($A$14:$A$1213,$A526,$C$14:$C$1213,"&gt;"&amp;$C526)+(COUNTIFS($A$14:$A$1213,$A526,$C$14:$C$1213,"="&amp;$C526)+1)/2,"")</f>
        <v/>
      </c>
      <c r="W526" s="27">
        <f>IF(ISNUMBER($F526),COUNTIFS($A$14:$A$1213,$A526,$F$14:$F$1213,"&gt;"&amp;$F526)+(COUNTIFS($A$14:$A$1213,$A526,$F$14:$F$1213,"="&amp;$F526)+1)/2,"")</f>
        <v/>
      </c>
      <c r="X526" s="27">
        <f>IF(OR(NOT(ISNUMBER($V526)),$AO526=1),"",$V526-(COUNTIFS($A$14:$A$1213,$A526,$C$14:$C$1213,"&gt;=0")+1)/2)</f>
        <v/>
      </c>
      <c r="Y526" s="27">
        <f>IF(OR(NOT(ISNUMBER($W526)),$AO526=1),"",$W526-(COUNTIFS($A$14:$A$1213,$A526,$F$14:$F$1213,"&gt;=0")+1)/2)</f>
        <v/>
      </c>
      <c r="Z526" s="27">
        <f>IF(ISNUMBER($V526),$A526&amp;"|"&amp;$V526,"")</f>
        <v/>
      </c>
      <c r="AA526" s="27">
        <f>IF(ISNUMBER($W526),$A526&amp;"|"&amp;$W526,"")</f>
        <v/>
      </c>
      <c r="AB526" s="27">
        <f>IF(ISNUMBER($F526),$A526&amp;"|"&amp;$F526,"")</f>
        <v/>
      </c>
      <c r="AC526" s="27">
        <f>IF(ISNUMBER($P526),COUNTIFS($A$14:$A$1213,$A526,$P$14:$P$1213,"&gt;"&amp;$P526)+(COUNTIFS($A$14:$A$1213,$A526,$P$14:$P$1213,"="&amp;$P526)+1)/2,"")</f>
        <v/>
      </c>
      <c r="AD526" s="27">
        <f>IF(ISNUMBER($Q526),COUNTIFS($A$14:$A$1213,$A526,$Q$14:$Q$1213,"&gt;"&amp;$Q526)+(COUNTIFS($A$14:$A$1213,$A526,$Q$14:$Q$1213,"="&amp;$Q526)+1)/2,"")</f>
        <v/>
      </c>
      <c r="AE526" s="27">
        <f>IF(ISNUMBER($R526),COUNTIFS($A$14:$A$1213,$A526,$R$14:$R$1213,"&gt;"&amp;$R526)+(COUNTIFS($A$14:$A$1213,$A526,$R$14:$R$1213,"="&amp;$R526)+1)/2,"")</f>
        <v/>
      </c>
      <c r="AF526" s="27">
        <f>IF(ISNUMBER($S526),COUNTIFS($A$14:$A$1213,$A526,$S$14:$S$1213,"&gt;"&amp;$S526)+(COUNTIFS($A$14:$A$1213,$A526,$S$14:$S$1213,"="&amp;$S526)+1)/2,"")</f>
        <v/>
      </c>
      <c r="AG526" s="27">
        <f>IF(ISNUMBER($T526),COUNTIFS($A$14:$A$1213,$A526,$T$14:$T$1213,"&gt;"&amp;$T526)+(COUNTIFS($A$14:$A$1213,$A526,$T$14:$T$1213,"="&amp;$T526)+1)/2,"")</f>
        <v/>
      </c>
      <c r="AH526" s="27">
        <f>IF(COUNT($AC526:$AG526)&lt;2,"",IF(MAX($AC526:$AG526)=MIN($AC526:$AG526),0,1))</f>
        <v/>
      </c>
      <c r="AI526" s="27">
        <f>IF($A526="","",IF(COUNTIF($A$14:$A526,$A526)=1,COUNTIF($AI$13:AI525,"&gt;0")+1,""))</f>
        <v/>
      </c>
      <c r="AO526" s="27">
        <f>IF($A526="","",IF(AND(COUNTIFS($A$14:$A$1213,$A526,$F$14:$F$1213,"&gt;=0")=2,IFERROR(INDEX($M$14:$M$313,MATCH($A526,$H$14:$H$313,0)),"Yes")&lt;&gt;"Yes"),1,0))</f>
        <v/>
      </c>
    </row>
    <row r="527">
      <c r="A527" s="19" t="n"/>
      <c r="B527" s="20" t="n"/>
      <c r="C527" s="21">
        <f>IFERROR(AVERAGE(P527:T527),"")</f>
        <v/>
      </c>
      <c r="D527" s="29" t="n"/>
      <c r="E527" s="29" t="n"/>
      <c r="F527" s="30">
        <f>IF(AND(ISNUMBER($D527),ISNUMBER($E527),$E527&gt;0,$D527&lt;=$E527),$D527/$E527,"")</f>
        <v/>
      </c>
      <c r="P527" s="26" t="n"/>
      <c r="Q527" s="26" t="n"/>
      <c r="R527" s="26" t="n"/>
      <c r="S527" s="26" t="n"/>
      <c r="T527" s="26" t="n"/>
      <c r="V527" s="27">
        <f>IF(ISNUMBER($C527),COUNTIFS($A$14:$A$1213,$A527,$C$14:$C$1213,"&gt;"&amp;$C527)+(COUNTIFS($A$14:$A$1213,$A527,$C$14:$C$1213,"="&amp;$C527)+1)/2,"")</f>
        <v/>
      </c>
      <c r="W527" s="27">
        <f>IF(ISNUMBER($F527),COUNTIFS($A$14:$A$1213,$A527,$F$14:$F$1213,"&gt;"&amp;$F527)+(COUNTIFS($A$14:$A$1213,$A527,$F$14:$F$1213,"="&amp;$F527)+1)/2,"")</f>
        <v/>
      </c>
      <c r="X527" s="27">
        <f>IF(OR(NOT(ISNUMBER($V527)),$AO527=1),"",$V527-(COUNTIFS($A$14:$A$1213,$A527,$C$14:$C$1213,"&gt;=0")+1)/2)</f>
        <v/>
      </c>
      <c r="Y527" s="27">
        <f>IF(OR(NOT(ISNUMBER($W527)),$AO527=1),"",$W527-(COUNTIFS($A$14:$A$1213,$A527,$F$14:$F$1213,"&gt;=0")+1)/2)</f>
        <v/>
      </c>
      <c r="Z527" s="27">
        <f>IF(ISNUMBER($V527),$A527&amp;"|"&amp;$V527,"")</f>
        <v/>
      </c>
      <c r="AA527" s="27">
        <f>IF(ISNUMBER($W527),$A527&amp;"|"&amp;$W527,"")</f>
        <v/>
      </c>
      <c r="AB527" s="27">
        <f>IF(ISNUMBER($F527),$A527&amp;"|"&amp;$F527,"")</f>
        <v/>
      </c>
      <c r="AC527" s="27">
        <f>IF(ISNUMBER($P527),COUNTIFS($A$14:$A$1213,$A527,$P$14:$P$1213,"&gt;"&amp;$P527)+(COUNTIFS($A$14:$A$1213,$A527,$P$14:$P$1213,"="&amp;$P527)+1)/2,"")</f>
        <v/>
      </c>
      <c r="AD527" s="27">
        <f>IF(ISNUMBER($Q527),COUNTIFS($A$14:$A$1213,$A527,$Q$14:$Q$1213,"&gt;"&amp;$Q527)+(COUNTIFS($A$14:$A$1213,$A527,$Q$14:$Q$1213,"="&amp;$Q527)+1)/2,"")</f>
        <v/>
      </c>
      <c r="AE527" s="27">
        <f>IF(ISNUMBER($R527),COUNTIFS($A$14:$A$1213,$A527,$R$14:$R$1213,"&gt;"&amp;$R527)+(COUNTIFS($A$14:$A$1213,$A527,$R$14:$R$1213,"="&amp;$R527)+1)/2,"")</f>
        <v/>
      </c>
      <c r="AF527" s="27">
        <f>IF(ISNUMBER($S527),COUNTIFS($A$14:$A$1213,$A527,$S$14:$S$1213,"&gt;"&amp;$S527)+(COUNTIFS($A$14:$A$1213,$A527,$S$14:$S$1213,"="&amp;$S527)+1)/2,"")</f>
        <v/>
      </c>
      <c r="AG527" s="27">
        <f>IF(ISNUMBER($T527),COUNTIFS($A$14:$A$1213,$A527,$T$14:$T$1213,"&gt;"&amp;$T527)+(COUNTIFS($A$14:$A$1213,$A527,$T$14:$T$1213,"="&amp;$T527)+1)/2,"")</f>
        <v/>
      </c>
      <c r="AH527" s="27">
        <f>IF(COUNT($AC527:$AG527)&lt;2,"",IF(MAX($AC527:$AG527)=MIN($AC527:$AG527),0,1))</f>
        <v/>
      </c>
      <c r="AI527" s="27">
        <f>IF($A527="","",IF(COUNTIF($A$14:$A527,$A527)=1,COUNTIF($AI$13:AI526,"&gt;0")+1,""))</f>
        <v/>
      </c>
      <c r="AO527" s="27">
        <f>IF($A527="","",IF(AND(COUNTIFS($A$14:$A$1213,$A527,$F$14:$F$1213,"&gt;=0")=2,IFERROR(INDEX($M$14:$M$313,MATCH($A527,$H$14:$H$313,0)),"Yes")&lt;&gt;"Yes"),1,0))</f>
        <v/>
      </c>
    </row>
    <row r="528">
      <c r="A528" s="19" t="n"/>
      <c r="B528" s="20" t="n"/>
      <c r="C528" s="21">
        <f>IFERROR(AVERAGE(P528:T528),"")</f>
        <v/>
      </c>
      <c r="D528" s="29" t="n"/>
      <c r="E528" s="29" t="n"/>
      <c r="F528" s="30">
        <f>IF(AND(ISNUMBER($D528),ISNUMBER($E528),$E528&gt;0,$D528&lt;=$E528),$D528/$E528,"")</f>
        <v/>
      </c>
      <c r="P528" s="26" t="n"/>
      <c r="Q528" s="26" t="n"/>
      <c r="R528" s="26" t="n"/>
      <c r="S528" s="26" t="n"/>
      <c r="T528" s="26" t="n"/>
      <c r="V528" s="27">
        <f>IF(ISNUMBER($C528),COUNTIFS($A$14:$A$1213,$A528,$C$14:$C$1213,"&gt;"&amp;$C528)+(COUNTIFS($A$14:$A$1213,$A528,$C$14:$C$1213,"="&amp;$C528)+1)/2,"")</f>
        <v/>
      </c>
      <c r="W528" s="27">
        <f>IF(ISNUMBER($F528),COUNTIFS($A$14:$A$1213,$A528,$F$14:$F$1213,"&gt;"&amp;$F528)+(COUNTIFS($A$14:$A$1213,$A528,$F$14:$F$1213,"="&amp;$F528)+1)/2,"")</f>
        <v/>
      </c>
      <c r="X528" s="27">
        <f>IF(OR(NOT(ISNUMBER($V528)),$AO528=1),"",$V528-(COUNTIFS($A$14:$A$1213,$A528,$C$14:$C$1213,"&gt;=0")+1)/2)</f>
        <v/>
      </c>
      <c r="Y528" s="27">
        <f>IF(OR(NOT(ISNUMBER($W528)),$AO528=1),"",$W528-(COUNTIFS($A$14:$A$1213,$A528,$F$14:$F$1213,"&gt;=0")+1)/2)</f>
        <v/>
      </c>
      <c r="Z528" s="27">
        <f>IF(ISNUMBER($V528),$A528&amp;"|"&amp;$V528,"")</f>
        <v/>
      </c>
      <c r="AA528" s="27">
        <f>IF(ISNUMBER($W528),$A528&amp;"|"&amp;$W528,"")</f>
        <v/>
      </c>
      <c r="AB528" s="27">
        <f>IF(ISNUMBER($F528),$A528&amp;"|"&amp;$F528,"")</f>
        <v/>
      </c>
      <c r="AC528" s="27">
        <f>IF(ISNUMBER($P528),COUNTIFS($A$14:$A$1213,$A528,$P$14:$P$1213,"&gt;"&amp;$P528)+(COUNTIFS($A$14:$A$1213,$A528,$P$14:$P$1213,"="&amp;$P528)+1)/2,"")</f>
        <v/>
      </c>
      <c r="AD528" s="27">
        <f>IF(ISNUMBER($Q528),COUNTIFS($A$14:$A$1213,$A528,$Q$14:$Q$1213,"&gt;"&amp;$Q528)+(COUNTIFS($A$14:$A$1213,$A528,$Q$14:$Q$1213,"="&amp;$Q528)+1)/2,"")</f>
        <v/>
      </c>
      <c r="AE528" s="27">
        <f>IF(ISNUMBER($R528),COUNTIFS($A$14:$A$1213,$A528,$R$14:$R$1213,"&gt;"&amp;$R528)+(COUNTIFS($A$14:$A$1213,$A528,$R$14:$R$1213,"="&amp;$R528)+1)/2,"")</f>
        <v/>
      </c>
      <c r="AF528" s="27">
        <f>IF(ISNUMBER($S528),COUNTIFS($A$14:$A$1213,$A528,$S$14:$S$1213,"&gt;"&amp;$S528)+(COUNTIFS($A$14:$A$1213,$A528,$S$14:$S$1213,"="&amp;$S528)+1)/2,"")</f>
        <v/>
      </c>
      <c r="AG528" s="27">
        <f>IF(ISNUMBER($T528),COUNTIFS($A$14:$A$1213,$A528,$T$14:$T$1213,"&gt;"&amp;$T528)+(COUNTIFS($A$14:$A$1213,$A528,$T$14:$T$1213,"="&amp;$T528)+1)/2,"")</f>
        <v/>
      </c>
      <c r="AH528" s="27">
        <f>IF(COUNT($AC528:$AG528)&lt;2,"",IF(MAX($AC528:$AG528)=MIN($AC528:$AG528),0,1))</f>
        <v/>
      </c>
      <c r="AI528" s="27">
        <f>IF($A528="","",IF(COUNTIF($A$14:$A528,$A528)=1,COUNTIF($AI$13:AI527,"&gt;0")+1,""))</f>
        <v/>
      </c>
      <c r="AO528" s="27">
        <f>IF($A528="","",IF(AND(COUNTIFS($A$14:$A$1213,$A528,$F$14:$F$1213,"&gt;=0")=2,IFERROR(INDEX($M$14:$M$313,MATCH($A528,$H$14:$H$313,0)),"Yes")&lt;&gt;"Yes"),1,0))</f>
        <v/>
      </c>
    </row>
    <row r="529">
      <c r="A529" s="19" t="n"/>
      <c r="B529" s="20" t="n"/>
      <c r="C529" s="21">
        <f>IFERROR(AVERAGE(P529:T529),"")</f>
        <v/>
      </c>
      <c r="D529" s="29" t="n"/>
      <c r="E529" s="29" t="n"/>
      <c r="F529" s="30">
        <f>IF(AND(ISNUMBER($D529),ISNUMBER($E529),$E529&gt;0,$D529&lt;=$E529),$D529/$E529,"")</f>
        <v/>
      </c>
      <c r="P529" s="26" t="n"/>
      <c r="Q529" s="26" t="n"/>
      <c r="R529" s="26" t="n"/>
      <c r="S529" s="26" t="n"/>
      <c r="T529" s="26" t="n"/>
      <c r="V529" s="27">
        <f>IF(ISNUMBER($C529),COUNTIFS($A$14:$A$1213,$A529,$C$14:$C$1213,"&gt;"&amp;$C529)+(COUNTIFS($A$14:$A$1213,$A529,$C$14:$C$1213,"="&amp;$C529)+1)/2,"")</f>
        <v/>
      </c>
      <c r="W529" s="27">
        <f>IF(ISNUMBER($F529),COUNTIFS($A$14:$A$1213,$A529,$F$14:$F$1213,"&gt;"&amp;$F529)+(COUNTIFS($A$14:$A$1213,$A529,$F$14:$F$1213,"="&amp;$F529)+1)/2,"")</f>
        <v/>
      </c>
      <c r="X529" s="27">
        <f>IF(OR(NOT(ISNUMBER($V529)),$AO529=1),"",$V529-(COUNTIFS($A$14:$A$1213,$A529,$C$14:$C$1213,"&gt;=0")+1)/2)</f>
        <v/>
      </c>
      <c r="Y529" s="27">
        <f>IF(OR(NOT(ISNUMBER($W529)),$AO529=1),"",$W529-(COUNTIFS($A$14:$A$1213,$A529,$F$14:$F$1213,"&gt;=0")+1)/2)</f>
        <v/>
      </c>
      <c r="Z529" s="27">
        <f>IF(ISNUMBER($V529),$A529&amp;"|"&amp;$V529,"")</f>
        <v/>
      </c>
      <c r="AA529" s="27">
        <f>IF(ISNUMBER($W529),$A529&amp;"|"&amp;$W529,"")</f>
        <v/>
      </c>
      <c r="AB529" s="27">
        <f>IF(ISNUMBER($F529),$A529&amp;"|"&amp;$F529,"")</f>
        <v/>
      </c>
      <c r="AC529" s="27">
        <f>IF(ISNUMBER($P529),COUNTIFS($A$14:$A$1213,$A529,$P$14:$P$1213,"&gt;"&amp;$P529)+(COUNTIFS($A$14:$A$1213,$A529,$P$14:$P$1213,"="&amp;$P529)+1)/2,"")</f>
        <v/>
      </c>
      <c r="AD529" s="27">
        <f>IF(ISNUMBER($Q529),COUNTIFS($A$14:$A$1213,$A529,$Q$14:$Q$1213,"&gt;"&amp;$Q529)+(COUNTIFS($A$14:$A$1213,$A529,$Q$14:$Q$1213,"="&amp;$Q529)+1)/2,"")</f>
        <v/>
      </c>
      <c r="AE529" s="27">
        <f>IF(ISNUMBER($R529),COUNTIFS($A$14:$A$1213,$A529,$R$14:$R$1213,"&gt;"&amp;$R529)+(COUNTIFS($A$14:$A$1213,$A529,$R$14:$R$1213,"="&amp;$R529)+1)/2,"")</f>
        <v/>
      </c>
      <c r="AF529" s="27">
        <f>IF(ISNUMBER($S529),COUNTIFS($A$14:$A$1213,$A529,$S$14:$S$1213,"&gt;"&amp;$S529)+(COUNTIFS($A$14:$A$1213,$A529,$S$14:$S$1213,"="&amp;$S529)+1)/2,"")</f>
        <v/>
      </c>
      <c r="AG529" s="27">
        <f>IF(ISNUMBER($T529),COUNTIFS($A$14:$A$1213,$A529,$T$14:$T$1213,"&gt;"&amp;$T529)+(COUNTIFS($A$14:$A$1213,$A529,$T$14:$T$1213,"="&amp;$T529)+1)/2,"")</f>
        <v/>
      </c>
      <c r="AH529" s="27">
        <f>IF(COUNT($AC529:$AG529)&lt;2,"",IF(MAX($AC529:$AG529)=MIN($AC529:$AG529),0,1))</f>
        <v/>
      </c>
      <c r="AI529" s="27">
        <f>IF($A529="","",IF(COUNTIF($A$14:$A529,$A529)=1,COUNTIF($AI$13:AI528,"&gt;0")+1,""))</f>
        <v/>
      </c>
      <c r="AO529" s="27">
        <f>IF($A529="","",IF(AND(COUNTIFS($A$14:$A$1213,$A529,$F$14:$F$1213,"&gt;=0")=2,IFERROR(INDEX($M$14:$M$313,MATCH($A529,$H$14:$H$313,0)),"Yes")&lt;&gt;"Yes"),1,0))</f>
        <v/>
      </c>
    </row>
    <row r="530">
      <c r="A530" s="19" t="n"/>
      <c r="B530" s="20" t="n"/>
      <c r="C530" s="21">
        <f>IFERROR(AVERAGE(P530:T530),"")</f>
        <v/>
      </c>
      <c r="D530" s="29" t="n"/>
      <c r="E530" s="29" t="n"/>
      <c r="F530" s="30">
        <f>IF(AND(ISNUMBER($D530),ISNUMBER($E530),$E530&gt;0,$D530&lt;=$E530),$D530/$E530,"")</f>
        <v/>
      </c>
      <c r="P530" s="26" t="n"/>
      <c r="Q530" s="26" t="n"/>
      <c r="R530" s="26" t="n"/>
      <c r="S530" s="26" t="n"/>
      <c r="T530" s="26" t="n"/>
      <c r="V530" s="27">
        <f>IF(ISNUMBER($C530),COUNTIFS($A$14:$A$1213,$A530,$C$14:$C$1213,"&gt;"&amp;$C530)+(COUNTIFS($A$14:$A$1213,$A530,$C$14:$C$1213,"="&amp;$C530)+1)/2,"")</f>
        <v/>
      </c>
      <c r="W530" s="27">
        <f>IF(ISNUMBER($F530),COUNTIFS($A$14:$A$1213,$A530,$F$14:$F$1213,"&gt;"&amp;$F530)+(COUNTIFS($A$14:$A$1213,$A530,$F$14:$F$1213,"="&amp;$F530)+1)/2,"")</f>
        <v/>
      </c>
      <c r="X530" s="27">
        <f>IF(OR(NOT(ISNUMBER($V530)),$AO530=1),"",$V530-(COUNTIFS($A$14:$A$1213,$A530,$C$14:$C$1213,"&gt;=0")+1)/2)</f>
        <v/>
      </c>
      <c r="Y530" s="27">
        <f>IF(OR(NOT(ISNUMBER($W530)),$AO530=1),"",$W530-(COUNTIFS($A$14:$A$1213,$A530,$F$14:$F$1213,"&gt;=0")+1)/2)</f>
        <v/>
      </c>
      <c r="Z530" s="27">
        <f>IF(ISNUMBER($V530),$A530&amp;"|"&amp;$V530,"")</f>
        <v/>
      </c>
      <c r="AA530" s="27">
        <f>IF(ISNUMBER($W530),$A530&amp;"|"&amp;$W530,"")</f>
        <v/>
      </c>
      <c r="AB530" s="27">
        <f>IF(ISNUMBER($F530),$A530&amp;"|"&amp;$F530,"")</f>
        <v/>
      </c>
      <c r="AC530" s="27">
        <f>IF(ISNUMBER($P530),COUNTIFS($A$14:$A$1213,$A530,$P$14:$P$1213,"&gt;"&amp;$P530)+(COUNTIFS($A$14:$A$1213,$A530,$P$14:$P$1213,"="&amp;$P530)+1)/2,"")</f>
        <v/>
      </c>
      <c r="AD530" s="27">
        <f>IF(ISNUMBER($Q530),COUNTIFS($A$14:$A$1213,$A530,$Q$14:$Q$1213,"&gt;"&amp;$Q530)+(COUNTIFS($A$14:$A$1213,$A530,$Q$14:$Q$1213,"="&amp;$Q530)+1)/2,"")</f>
        <v/>
      </c>
      <c r="AE530" s="27">
        <f>IF(ISNUMBER($R530),COUNTIFS($A$14:$A$1213,$A530,$R$14:$R$1213,"&gt;"&amp;$R530)+(COUNTIFS($A$14:$A$1213,$A530,$R$14:$R$1213,"="&amp;$R530)+1)/2,"")</f>
        <v/>
      </c>
      <c r="AF530" s="27">
        <f>IF(ISNUMBER($S530),COUNTIFS($A$14:$A$1213,$A530,$S$14:$S$1213,"&gt;"&amp;$S530)+(COUNTIFS($A$14:$A$1213,$A530,$S$14:$S$1213,"="&amp;$S530)+1)/2,"")</f>
        <v/>
      </c>
      <c r="AG530" s="27">
        <f>IF(ISNUMBER($T530),COUNTIFS($A$14:$A$1213,$A530,$T$14:$T$1213,"&gt;"&amp;$T530)+(COUNTIFS($A$14:$A$1213,$A530,$T$14:$T$1213,"="&amp;$T530)+1)/2,"")</f>
        <v/>
      </c>
      <c r="AH530" s="27">
        <f>IF(COUNT($AC530:$AG530)&lt;2,"",IF(MAX($AC530:$AG530)=MIN($AC530:$AG530),0,1))</f>
        <v/>
      </c>
      <c r="AI530" s="27">
        <f>IF($A530="","",IF(COUNTIF($A$14:$A530,$A530)=1,COUNTIF($AI$13:AI529,"&gt;0")+1,""))</f>
        <v/>
      </c>
      <c r="AO530" s="27">
        <f>IF($A530="","",IF(AND(COUNTIFS($A$14:$A$1213,$A530,$F$14:$F$1213,"&gt;=0")=2,IFERROR(INDEX($M$14:$M$313,MATCH($A530,$H$14:$H$313,0)),"Yes")&lt;&gt;"Yes"),1,0))</f>
        <v/>
      </c>
    </row>
    <row r="531">
      <c r="A531" s="19" t="n"/>
      <c r="B531" s="20" t="n"/>
      <c r="C531" s="21">
        <f>IFERROR(AVERAGE(P531:T531),"")</f>
        <v/>
      </c>
      <c r="D531" s="29" t="n"/>
      <c r="E531" s="29" t="n"/>
      <c r="F531" s="30">
        <f>IF(AND(ISNUMBER($D531),ISNUMBER($E531),$E531&gt;0,$D531&lt;=$E531),$D531/$E531,"")</f>
        <v/>
      </c>
      <c r="P531" s="26" t="n"/>
      <c r="Q531" s="26" t="n"/>
      <c r="R531" s="26" t="n"/>
      <c r="S531" s="26" t="n"/>
      <c r="T531" s="26" t="n"/>
      <c r="V531" s="27">
        <f>IF(ISNUMBER($C531),COUNTIFS($A$14:$A$1213,$A531,$C$14:$C$1213,"&gt;"&amp;$C531)+(COUNTIFS($A$14:$A$1213,$A531,$C$14:$C$1213,"="&amp;$C531)+1)/2,"")</f>
        <v/>
      </c>
      <c r="W531" s="27">
        <f>IF(ISNUMBER($F531),COUNTIFS($A$14:$A$1213,$A531,$F$14:$F$1213,"&gt;"&amp;$F531)+(COUNTIFS($A$14:$A$1213,$A531,$F$14:$F$1213,"="&amp;$F531)+1)/2,"")</f>
        <v/>
      </c>
      <c r="X531" s="27">
        <f>IF(OR(NOT(ISNUMBER($V531)),$AO531=1),"",$V531-(COUNTIFS($A$14:$A$1213,$A531,$C$14:$C$1213,"&gt;=0")+1)/2)</f>
        <v/>
      </c>
      <c r="Y531" s="27">
        <f>IF(OR(NOT(ISNUMBER($W531)),$AO531=1),"",$W531-(COUNTIFS($A$14:$A$1213,$A531,$F$14:$F$1213,"&gt;=0")+1)/2)</f>
        <v/>
      </c>
      <c r="Z531" s="27">
        <f>IF(ISNUMBER($V531),$A531&amp;"|"&amp;$V531,"")</f>
        <v/>
      </c>
      <c r="AA531" s="27">
        <f>IF(ISNUMBER($W531),$A531&amp;"|"&amp;$W531,"")</f>
        <v/>
      </c>
      <c r="AB531" s="27">
        <f>IF(ISNUMBER($F531),$A531&amp;"|"&amp;$F531,"")</f>
        <v/>
      </c>
      <c r="AC531" s="27">
        <f>IF(ISNUMBER($P531),COUNTIFS($A$14:$A$1213,$A531,$P$14:$P$1213,"&gt;"&amp;$P531)+(COUNTIFS($A$14:$A$1213,$A531,$P$14:$P$1213,"="&amp;$P531)+1)/2,"")</f>
        <v/>
      </c>
      <c r="AD531" s="27">
        <f>IF(ISNUMBER($Q531),COUNTIFS($A$14:$A$1213,$A531,$Q$14:$Q$1213,"&gt;"&amp;$Q531)+(COUNTIFS($A$14:$A$1213,$A531,$Q$14:$Q$1213,"="&amp;$Q531)+1)/2,"")</f>
        <v/>
      </c>
      <c r="AE531" s="27">
        <f>IF(ISNUMBER($R531),COUNTIFS($A$14:$A$1213,$A531,$R$14:$R$1213,"&gt;"&amp;$R531)+(COUNTIFS($A$14:$A$1213,$A531,$R$14:$R$1213,"="&amp;$R531)+1)/2,"")</f>
        <v/>
      </c>
      <c r="AF531" s="27">
        <f>IF(ISNUMBER($S531),COUNTIFS($A$14:$A$1213,$A531,$S$14:$S$1213,"&gt;"&amp;$S531)+(COUNTIFS($A$14:$A$1213,$A531,$S$14:$S$1213,"="&amp;$S531)+1)/2,"")</f>
        <v/>
      </c>
      <c r="AG531" s="27">
        <f>IF(ISNUMBER($T531),COUNTIFS($A$14:$A$1213,$A531,$T$14:$T$1213,"&gt;"&amp;$T531)+(COUNTIFS($A$14:$A$1213,$A531,$T$14:$T$1213,"="&amp;$T531)+1)/2,"")</f>
        <v/>
      </c>
      <c r="AH531" s="27">
        <f>IF(COUNT($AC531:$AG531)&lt;2,"",IF(MAX($AC531:$AG531)=MIN($AC531:$AG531),0,1))</f>
        <v/>
      </c>
      <c r="AI531" s="27">
        <f>IF($A531="","",IF(COUNTIF($A$14:$A531,$A531)=1,COUNTIF($AI$13:AI530,"&gt;0")+1,""))</f>
        <v/>
      </c>
      <c r="AO531" s="27">
        <f>IF($A531="","",IF(AND(COUNTIFS($A$14:$A$1213,$A531,$F$14:$F$1213,"&gt;=0")=2,IFERROR(INDEX($M$14:$M$313,MATCH($A531,$H$14:$H$313,0)),"Yes")&lt;&gt;"Yes"),1,0))</f>
        <v/>
      </c>
    </row>
    <row r="532">
      <c r="A532" s="19" t="n"/>
      <c r="B532" s="20" t="n"/>
      <c r="C532" s="21">
        <f>IFERROR(AVERAGE(P532:T532),"")</f>
        <v/>
      </c>
      <c r="D532" s="29" t="n"/>
      <c r="E532" s="29" t="n"/>
      <c r="F532" s="30">
        <f>IF(AND(ISNUMBER($D532),ISNUMBER($E532),$E532&gt;0,$D532&lt;=$E532),$D532/$E532,"")</f>
        <v/>
      </c>
      <c r="P532" s="26" t="n"/>
      <c r="Q532" s="26" t="n"/>
      <c r="R532" s="26" t="n"/>
      <c r="S532" s="26" t="n"/>
      <c r="T532" s="26" t="n"/>
      <c r="V532" s="27">
        <f>IF(ISNUMBER($C532),COUNTIFS($A$14:$A$1213,$A532,$C$14:$C$1213,"&gt;"&amp;$C532)+(COUNTIFS($A$14:$A$1213,$A532,$C$14:$C$1213,"="&amp;$C532)+1)/2,"")</f>
        <v/>
      </c>
      <c r="W532" s="27">
        <f>IF(ISNUMBER($F532),COUNTIFS($A$14:$A$1213,$A532,$F$14:$F$1213,"&gt;"&amp;$F532)+(COUNTIFS($A$14:$A$1213,$A532,$F$14:$F$1213,"="&amp;$F532)+1)/2,"")</f>
        <v/>
      </c>
      <c r="X532" s="27">
        <f>IF(OR(NOT(ISNUMBER($V532)),$AO532=1),"",$V532-(COUNTIFS($A$14:$A$1213,$A532,$C$14:$C$1213,"&gt;=0")+1)/2)</f>
        <v/>
      </c>
      <c r="Y532" s="27">
        <f>IF(OR(NOT(ISNUMBER($W532)),$AO532=1),"",$W532-(COUNTIFS($A$14:$A$1213,$A532,$F$14:$F$1213,"&gt;=0")+1)/2)</f>
        <v/>
      </c>
      <c r="Z532" s="27">
        <f>IF(ISNUMBER($V532),$A532&amp;"|"&amp;$V532,"")</f>
        <v/>
      </c>
      <c r="AA532" s="27">
        <f>IF(ISNUMBER($W532),$A532&amp;"|"&amp;$W532,"")</f>
        <v/>
      </c>
      <c r="AB532" s="27">
        <f>IF(ISNUMBER($F532),$A532&amp;"|"&amp;$F532,"")</f>
        <v/>
      </c>
      <c r="AC532" s="27">
        <f>IF(ISNUMBER($P532),COUNTIFS($A$14:$A$1213,$A532,$P$14:$P$1213,"&gt;"&amp;$P532)+(COUNTIFS($A$14:$A$1213,$A532,$P$14:$P$1213,"="&amp;$P532)+1)/2,"")</f>
        <v/>
      </c>
      <c r="AD532" s="27">
        <f>IF(ISNUMBER($Q532),COUNTIFS($A$14:$A$1213,$A532,$Q$14:$Q$1213,"&gt;"&amp;$Q532)+(COUNTIFS($A$14:$A$1213,$A532,$Q$14:$Q$1213,"="&amp;$Q532)+1)/2,"")</f>
        <v/>
      </c>
      <c r="AE532" s="27">
        <f>IF(ISNUMBER($R532),COUNTIFS($A$14:$A$1213,$A532,$R$14:$R$1213,"&gt;"&amp;$R532)+(COUNTIFS($A$14:$A$1213,$A532,$R$14:$R$1213,"="&amp;$R532)+1)/2,"")</f>
        <v/>
      </c>
      <c r="AF532" s="27">
        <f>IF(ISNUMBER($S532),COUNTIFS($A$14:$A$1213,$A532,$S$14:$S$1213,"&gt;"&amp;$S532)+(COUNTIFS($A$14:$A$1213,$A532,$S$14:$S$1213,"="&amp;$S532)+1)/2,"")</f>
        <v/>
      </c>
      <c r="AG532" s="27">
        <f>IF(ISNUMBER($T532),COUNTIFS($A$14:$A$1213,$A532,$T$14:$T$1213,"&gt;"&amp;$T532)+(COUNTIFS($A$14:$A$1213,$A532,$T$14:$T$1213,"="&amp;$T532)+1)/2,"")</f>
        <v/>
      </c>
      <c r="AH532" s="27">
        <f>IF(COUNT($AC532:$AG532)&lt;2,"",IF(MAX($AC532:$AG532)=MIN($AC532:$AG532),0,1))</f>
        <v/>
      </c>
      <c r="AI532" s="27">
        <f>IF($A532="","",IF(COUNTIF($A$14:$A532,$A532)=1,COUNTIF($AI$13:AI531,"&gt;0")+1,""))</f>
        <v/>
      </c>
      <c r="AO532" s="27">
        <f>IF($A532="","",IF(AND(COUNTIFS($A$14:$A$1213,$A532,$F$14:$F$1213,"&gt;=0")=2,IFERROR(INDEX($M$14:$M$313,MATCH($A532,$H$14:$H$313,0)),"Yes")&lt;&gt;"Yes"),1,0))</f>
        <v/>
      </c>
    </row>
    <row r="533">
      <c r="A533" s="19" t="n"/>
      <c r="B533" s="20" t="n"/>
      <c r="C533" s="21">
        <f>IFERROR(AVERAGE(P533:T533),"")</f>
        <v/>
      </c>
      <c r="D533" s="29" t="n"/>
      <c r="E533" s="29" t="n"/>
      <c r="F533" s="30">
        <f>IF(AND(ISNUMBER($D533),ISNUMBER($E533),$E533&gt;0,$D533&lt;=$E533),$D533/$E533,"")</f>
        <v/>
      </c>
      <c r="P533" s="26" t="n"/>
      <c r="Q533" s="26" t="n"/>
      <c r="R533" s="26" t="n"/>
      <c r="S533" s="26" t="n"/>
      <c r="T533" s="26" t="n"/>
      <c r="V533" s="27">
        <f>IF(ISNUMBER($C533),COUNTIFS($A$14:$A$1213,$A533,$C$14:$C$1213,"&gt;"&amp;$C533)+(COUNTIFS($A$14:$A$1213,$A533,$C$14:$C$1213,"="&amp;$C533)+1)/2,"")</f>
        <v/>
      </c>
      <c r="W533" s="27">
        <f>IF(ISNUMBER($F533),COUNTIFS($A$14:$A$1213,$A533,$F$14:$F$1213,"&gt;"&amp;$F533)+(COUNTIFS($A$14:$A$1213,$A533,$F$14:$F$1213,"="&amp;$F533)+1)/2,"")</f>
        <v/>
      </c>
      <c r="X533" s="27">
        <f>IF(OR(NOT(ISNUMBER($V533)),$AO533=1),"",$V533-(COUNTIFS($A$14:$A$1213,$A533,$C$14:$C$1213,"&gt;=0")+1)/2)</f>
        <v/>
      </c>
      <c r="Y533" s="27">
        <f>IF(OR(NOT(ISNUMBER($W533)),$AO533=1),"",$W533-(COUNTIFS($A$14:$A$1213,$A533,$F$14:$F$1213,"&gt;=0")+1)/2)</f>
        <v/>
      </c>
      <c r="Z533" s="27">
        <f>IF(ISNUMBER($V533),$A533&amp;"|"&amp;$V533,"")</f>
        <v/>
      </c>
      <c r="AA533" s="27">
        <f>IF(ISNUMBER($W533),$A533&amp;"|"&amp;$W533,"")</f>
        <v/>
      </c>
      <c r="AB533" s="27">
        <f>IF(ISNUMBER($F533),$A533&amp;"|"&amp;$F533,"")</f>
        <v/>
      </c>
      <c r="AC533" s="27">
        <f>IF(ISNUMBER($P533),COUNTIFS($A$14:$A$1213,$A533,$P$14:$P$1213,"&gt;"&amp;$P533)+(COUNTIFS($A$14:$A$1213,$A533,$P$14:$P$1213,"="&amp;$P533)+1)/2,"")</f>
        <v/>
      </c>
      <c r="AD533" s="27">
        <f>IF(ISNUMBER($Q533),COUNTIFS($A$14:$A$1213,$A533,$Q$14:$Q$1213,"&gt;"&amp;$Q533)+(COUNTIFS($A$14:$A$1213,$A533,$Q$14:$Q$1213,"="&amp;$Q533)+1)/2,"")</f>
        <v/>
      </c>
      <c r="AE533" s="27">
        <f>IF(ISNUMBER($R533),COUNTIFS($A$14:$A$1213,$A533,$R$14:$R$1213,"&gt;"&amp;$R533)+(COUNTIFS($A$14:$A$1213,$A533,$R$14:$R$1213,"="&amp;$R533)+1)/2,"")</f>
        <v/>
      </c>
      <c r="AF533" s="27">
        <f>IF(ISNUMBER($S533),COUNTIFS($A$14:$A$1213,$A533,$S$14:$S$1213,"&gt;"&amp;$S533)+(COUNTIFS($A$14:$A$1213,$A533,$S$14:$S$1213,"="&amp;$S533)+1)/2,"")</f>
        <v/>
      </c>
      <c r="AG533" s="27">
        <f>IF(ISNUMBER($T533),COUNTIFS($A$14:$A$1213,$A533,$T$14:$T$1213,"&gt;"&amp;$T533)+(COUNTIFS($A$14:$A$1213,$A533,$T$14:$T$1213,"="&amp;$T533)+1)/2,"")</f>
        <v/>
      </c>
      <c r="AH533" s="27">
        <f>IF(COUNT($AC533:$AG533)&lt;2,"",IF(MAX($AC533:$AG533)=MIN($AC533:$AG533),0,1))</f>
        <v/>
      </c>
      <c r="AI533" s="27">
        <f>IF($A533="","",IF(COUNTIF($A$14:$A533,$A533)=1,COUNTIF($AI$13:AI532,"&gt;0")+1,""))</f>
        <v/>
      </c>
      <c r="AO533" s="27">
        <f>IF($A533="","",IF(AND(COUNTIFS($A$14:$A$1213,$A533,$F$14:$F$1213,"&gt;=0")=2,IFERROR(INDEX($M$14:$M$313,MATCH($A533,$H$14:$H$313,0)),"Yes")&lt;&gt;"Yes"),1,0))</f>
        <v/>
      </c>
    </row>
    <row r="534">
      <c r="A534" s="19" t="n"/>
      <c r="B534" s="20" t="n"/>
      <c r="C534" s="21">
        <f>IFERROR(AVERAGE(P534:T534),"")</f>
        <v/>
      </c>
      <c r="D534" s="29" t="n"/>
      <c r="E534" s="29" t="n"/>
      <c r="F534" s="30">
        <f>IF(AND(ISNUMBER($D534),ISNUMBER($E534),$E534&gt;0,$D534&lt;=$E534),$D534/$E534,"")</f>
        <v/>
      </c>
      <c r="P534" s="26" t="n"/>
      <c r="Q534" s="26" t="n"/>
      <c r="R534" s="26" t="n"/>
      <c r="S534" s="26" t="n"/>
      <c r="T534" s="26" t="n"/>
      <c r="V534" s="27">
        <f>IF(ISNUMBER($C534),COUNTIFS($A$14:$A$1213,$A534,$C$14:$C$1213,"&gt;"&amp;$C534)+(COUNTIFS($A$14:$A$1213,$A534,$C$14:$C$1213,"="&amp;$C534)+1)/2,"")</f>
        <v/>
      </c>
      <c r="W534" s="27">
        <f>IF(ISNUMBER($F534),COUNTIFS($A$14:$A$1213,$A534,$F$14:$F$1213,"&gt;"&amp;$F534)+(COUNTIFS($A$14:$A$1213,$A534,$F$14:$F$1213,"="&amp;$F534)+1)/2,"")</f>
        <v/>
      </c>
      <c r="X534" s="27">
        <f>IF(OR(NOT(ISNUMBER($V534)),$AO534=1),"",$V534-(COUNTIFS($A$14:$A$1213,$A534,$C$14:$C$1213,"&gt;=0")+1)/2)</f>
        <v/>
      </c>
      <c r="Y534" s="27">
        <f>IF(OR(NOT(ISNUMBER($W534)),$AO534=1),"",$W534-(COUNTIFS($A$14:$A$1213,$A534,$F$14:$F$1213,"&gt;=0")+1)/2)</f>
        <v/>
      </c>
      <c r="Z534" s="27">
        <f>IF(ISNUMBER($V534),$A534&amp;"|"&amp;$V534,"")</f>
        <v/>
      </c>
      <c r="AA534" s="27">
        <f>IF(ISNUMBER($W534),$A534&amp;"|"&amp;$W534,"")</f>
        <v/>
      </c>
      <c r="AB534" s="27">
        <f>IF(ISNUMBER($F534),$A534&amp;"|"&amp;$F534,"")</f>
        <v/>
      </c>
      <c r="AC534" s="27">
        <f>IF(ISNUMBER($P534),COUNTIFS($A$14:$A$1213,$A534,$P$14:$P$1213,"&gt;"&amp;$P534)+(COUNTIFS($A$14:$A$1213,$A534,$P$14:$P$1213,"="&amp;$P534)+1)/2,"")</f>
        <v/>
      </c>
      <c r="AD534" s="27">
        <f>IF(ISNUMBER($Q534),COUNTIFS($A$14:$A$1213,$A534,$Q$14:$Q$1213,"&gt;"&amp;$Q534)+(COUNTIFS($A$14:$A$1213,$A534,$Q$14:$Q$1213,"="&amp;$Q534)+1)/2,"")</f>
        <v/>
      </c>
      <c r="AE534" s="27">
        <f>IF(ISNUMBER($R534),COUNTIFS($A$14:$A$1213,$A534,$R$14:$R$1213,"&gt;"&amp;$R534)+(COUNTIFS($A$14:$A$1213,$A534,$R$14:$R$1213,"="&amp;$R534)+1)/2,"")</f>
        <v/>
      </c>
      <c r="AF534" s="27">
        <f>IF(ISNUMBER($S534),COUNTIFS($A$14:$A$1213,$A534,$S$14:$S$1213,"&gt;"&amp;$S534)+(COUNTIFS($A$14:$A$1213,$A534,$S$14:$S$1213,"="&amp;$S534)+1)/2,"")</f>
        <v/>
      </c>
      <c r="AG534" s="27">
        <f>IF(ISNUMBER($T534),COUNTIFS($A$14:$A$1213,$A534,$T$14:$T$1213,"&gt;"&amp;$T534)+(COUNTIFS($A$14:$A$1213,$A534,$T$14:$T$1213,"="&amp;$T534)+1)/2,"")</f>
        <v/>
      </c>
      <c r="AH534" s="27">
        <f>IF(COUNT($AC534:$AG534)&lt;2,"",IF(MAX($AC534:$AG534)=MIN($AC534:$AG534),0,1))</f>
        <v/>
      </c>
      <c r="AI534" s="27">
        <f>IF($A534="","",IF(COUNTIF($A$14:$A534,$A534)=1,COUNTIF($AI$13:AI533,"&gt;0")+1,""))</f>
        <v/>
      </c>
      <c r="AO534" s="27">
        <f>IF($A534="","",IF(AND(COUNTIFS($A$14:$A$1213,$A534,$F$14:$F$1213,"&gt;=0")=2,IFERROR(INDEX($M$14:$M$313,MATCH($A534,$H$14:$H$313,0)),"Yes")&lt;&gt;"Yes"),1,0))</f>
        <v/>
      </c>
    </row>
    <row r="535">
      <c r="A535" s="19" t="n"/>
      <c r="B535" s="20" t="n"/>
      <c r="C535" s="21">
        <f>IFERROR(AVERAGE(P535:T535),"")</f>
        <v/>
      </c>
      <c r="D535" s="29" t="n"/>
      <c r="E535" s="29" t="n"/>
      <c r="F535" s="30">
        <f>IF(AND(ISNUMBER($D535),ISNUMBER($E535),$E535&gt;0,$D535&lt;=$E535),$D535/$E535,"")</f>
        <v/>
      </c>
      <c r="P535" s="26" t="n"/>
      <c r="Q535" s="26" t="n"/>
      <c r="R535" s="26" t="n"/>
      <c r="S535" s="26" t="n"/>
      <c r="T535" s="26" t="n"/>
      <c r="V535" s="27">
        <f>IF(ISNUMBER($C535),COUNTIFS($A$14:$A$1213,$A535,$C$14:$C$1213,"&gt;"&amp;$C535)+(COUNTIFS($A$14:$A$1213,$A535,$C$14:$C$1213,"="&amp;$C535)+1)/2,"")</f>
        <v/>
      </c>
      <c r="W535" s="27">
        <f>IF(ISNUMBER($F535),COUNTIFS($A$14:$A$1213,$A535,$F$14:$F$1213,"&gt;"&amp;$F535)+(COUNTIFS($A$14:$A$1213,$A535,$F$14:$F$1213,"="&amp;$F535)+1)/2,"")</f>
        <v/>
      </c>
      <c r="X535" s="27">
        <f>IF(OR(NOT(ISNUMBER($V535)),$AO535=1),"",$V535-(COUNTIFS($A$14:$A$1213,$A535,$C$14:$C$1213,"&gt;=0")+1)/2)</f>
        <v/>
      </c>
      <c r="Y535" s="27">
        <f>IF(OR(NOT(ISNUMBER($W535)),$AO535=1),"",$W535-(COUNTIFS($A$14:$A$1213,$A535,$F$14:$F$1213,"&gt;=0")+1)/2)</f>
        <v/>
      </c>
      <c r="Z535" s="27">
        <f>IF(ISNUMBER($V535),$A535&amp;"|"&amp;$V535,"")</f>
        <v/>
      </c>
      <c r="AA535" s="27">
        <f>IF(ISNUMBER($W535),$A535&amp;"|"&amp;$W535,"")</f>
        <v/>
      </c>
      <c r="AB535" s="27">
        <f>IF(ISNUMBER($F535),$A535&amp;"|"&amp;$F535,"")</f>
        <v/>
      </c>
      <c r="AC535" s="27">
        <f>IF(ISNUMBER($P535),COUNTIFS($A$14:$A$1213,$A535,$P$14:$P$1213,"&gt;"&amp;$P535)+(COUNTIFS($A$14:$A$1213,$A535,$P$14:$P$1213,"="&amp;$P535)+1)/2,"")</f>
        <v/>
      </c>
      <c r="AD535" s="27">
        <f>IF(ISNUMBER($Q535),COUNTIFS($A$14:$A$1213,$A535,$Q$14:$Q$1213,"&gt;"&amp;$Q535)+(COUNTIFS($A$14:$A$1213,$A535,$Q$14:$Q$1213,"="&amp;$Q535)+1)/2,"")</f>
        <v/>
      </c>
      <c r="AE535" s="27">
        <f>IF(ISNUMBER($R535),COUNTIFS($A$14:$A$1213,$A535,$R$14:$R$1213,"&gt;"&amp;$R535)+(COUNTIFS($A$14:$A$1213,$A535,$R$14:$R$1213,"="&amp;$R535)+1)/2,"")</f>
        <v/>
      </c>
      <c r="AF535" s="27">
        <f>IF(ISNUMBER($S535),COUNTIFS($A$14:$A$1213,$A535,$S$14:$S$1213,"&gt;"&amp;$S535)+(COUNTIFS($A$14:$A$1213,$A535,$S$14:$S$1213,"="&amp;$S535)+1)/2,"")</f>
        <v/>
      </c>
      <c r="AG535" s="27">
        <f>IF(ISNUMBER($T535),COUNTIFS($A$14:$A$1213,$A535,$T$14:$T$1213,"&gt;"&amp;$T535)+(COUNTIFS($A$14:$A$1213,$A535,$T$14:$T$1213,"="&amp;$T535)+1)/2,"")</f>
        <v/>
      </c>
      <c r="AH535" s="27">
        <f>IF(COUNT($AC535:$AG535)&lt;2,"",IF(MAX($AC535:$AG535)=MIN($AC535:$AG535),0,1))</f>
        <v/>
      </c>
      <c r="AI535" s="27">
        <f>IF($A535="","",IF(COUNTIF($A$14:$A535,$A535)=1,COUNTIF($AI$13:AI534,"&gt;0")+1,""))</f>
        <v/>
      </c>
      <c r="AO535" s="27">
        <f>IF($A535="","",IF(AND(COUNTIFS($A$14:$A$1213,$A535,$F$14:$F$1213,"&gt;=0")=2,IFERROR(INDEX($M$14:$M$313,MATCH($A535,$H$14:$H$313,0)),"Yes")&lt;&gt;"Yes"),1,0))</f>
        <v/>
      </c>
    </row>
    <row r="536">
      <c r="A536" s="19" t="n"/>
      <c r="B536" s="20" t="n"/>
      <c r="C536" s="21">
        <f>IFERROR(AVERAGE(P536:T536),"")</f>
        <v/>
      </c>
      <c r="D536" s="29" t="n"/>
      <c r="E536" s="29" t="n"/>
      <c r="F536" s="30">
        <f>IF(AND(ISNUMBER($D536),ISNUMBER($E536),$E536&gt;0,$D536&lt;=$E536),$D536/$E536,"")</f>
        <v/>
      </c>
      <c r="P536" s="26" t="n"/>
      <c r="Q536" s="26" t="n"/>
      <c r="R536" s="26" t="n"/>
      <c r="S536" s="26" t="n"/>
      <c r="T536" s="26" t="n"/>
      <c r="V536" s="27">
        <f>IF(ISNUMBER($C536),COUNTIFS($A$14:$A$1213,$A536,$C$14:$C$1213,"&gt;"&amp;$C536)+(COUNTIFS($A$14:$A$1213,$A536,$C$14:$C$1213,"="&amp;$C536)+1)/2,"")</f>
        <v/>
      </c>
      <c r="W536" s="27">
        <f>IF(ISNUMBER($F536),COUNTIFS($A$14:$A$1213,$A536,$F$14:$F$1213,"&gt;"&amp;$F536)+(COUNTIFS($A$14:$A$1213,$A536,$F$14:$F$1213,"="&amp;$F536)+1)/2,"")</f>
        <v/>
      </c>
      <c r="X536" s="27">
        <f>IF(OR(NOT(ISNUMBER($V536)),$AO536=1),"",$V536-(COUNTIFS($A$14:$A$1213,$A536,$C$14:$C$1213,"&gt;=0")+1)/2)</f>
        <v/>
      </c>
      <c r="Y536" s="27">
        <f>IF(OR(NOT(ISNUMBER($W536)),$AO536=1),"",$W536-(COUNTIFS($A$14:$A$1213,$A536,$F$14:$F$1213,"&gt;=0")+1)/2)</f>
        <v/>
      </c>
      <c r="Z536" s="27">
        <f>IF(ISNUMBER($V536),$A536&amp;"|"&amp;$V536,"")</f>
        <v/>
      </c>
      <c r="AA536" s="27">
        <f>IF(ISNUMBER($W536),$A536&amp;"|"&amp;$W536,"")</f>
        <v/>
      </c>
      <c r="AB536" s="27">
        <f>IF(ISNUMBER($F536),$A536&amp;"|"&amp;$F536,"")</f>
        <v/>
      </c>
      <c r="AC536" s="27">
        <f>IF(ISNUMBER($P536),COUNTIFS($A$14:$A$1213,$A536,$P$14:$P$1213,"&gt;"&amp;$P536)+(COUNTIFS($A$14:$A$1213,$A536,$P$14:$P$1213,"="&amp;$P536)+1)/2,"")</f>
        <v/>
      </c>
      <c r="AD536" s="27">
        <f>IF(ISNUMBER($Q536),COUNTIFS($A$14:$A$1213,$A536,$Q$14:$Q$1213,"&gt;"&amp;$Q536)+(COUNTIFS($A$14:$A$1213,$A536,$Q$14:$Q$1213,"="&amp;$Q536)+1)/2,"")</f>
        <v/>
      </c>
      <c r="AE536" s="27">
        <f>IF(ISNUMBER($R536),COUNTIFS($A$14:$A$1213,$A536,$R$14:$R$1213,"&gt;"&amp;$R536)+(COUNTIFS($A$14:$A$1213,$A536,$R$14:$R$1213,"="&amp;$R536)+1)/2,"")</f>
        <v/>
      </c>
      <c r="AF536" s="27">
        <f>IF(ISNUMBER($S536),COUNTIFS($A$14:$A$1213,$A536,$S$14:$S$1213,"&gt;"&amp;$S536)+(COUNTIFS($A$14:$A$1213,$A536,$S$14:$S$1213,"="&amp;$S536)+1)/2,"")</f>
        <v/>
      </c>
      <c r="AG536" s="27">
        <f>IF(ISNUMBER($T536),COUNTIFS($A$14:$A$1213,$A536,$T$14:$T$1213,"&gt;"&amp;$T536)+(COUNTIFS($A$14:$A$1213,$A536,$T$14:$T$1213,"="&amp;$T536)+1)/2,"")</f>
        <v/>
      </c>
      <c r="AH536" s="27">
        <f>IF(COUNT($AC536:$AG536)&lt;2,"",IF(MAX($AC536:$AG536)=MIN($AC536:$AG536),0,1))</f>
        <v/>
      </c>
      <c r="AI536" s="27">
        <f>IF($A536="","",IF(COUNTIF($A$14:$A536,$A536)=1,COUNTIF($AI$13:AI535,"&gt;0")+1,""))</f>
        <v/>
      </c>
      <c r="AO536" s="27">
        <f>IF($A536="","",IF(AND(COUNTIFS($A$14:$A$1213,$A536,$F$14:$F$1213,"&gt;=0")=2,IFERROR(INDEX($M$14:$M$313,MATCH($A536,$H$14:$H$313,0)),"Yes")&lt;&gt;"Yes"),1,0))</f>
        <v/>
      </c>
    </row>
    <row r="537">
      <c r="A537" s="19" t="n"/>
      <c r="B537" s="20" t="n"/>
      <c r="C537" s="21">
        <f>IFERROR(AVERAGE(P537:T537),"")</f>
        <v/>
      </c>
      <c r="D537" s="29" t="n"/>
      <c r="E537" s="29" t="n"/>
      <c r="F537" s="30">
        <f>IF(AND(ISNUMBER($D537),ISNUMBER($E537),$E537&gt;0,$D537&lt;=$E537),$D537/$E537,"")</f>
        <v/>
      </c>
      <c r="P537" s="26" t="n"/>
      <c r="Q537" s="26" t="n"/>
      <c r="R537" s="26" t="n"/>
      <c r="S537" s="26" t="n"/>
      <c r="T537" s="26" t="n"/>
      <c r="V537" s="27">
        <f>IF(ISNUMBER($C537),COUNTIFS($A$14:$A$1213,$A537,$C$14:$C$1213,"&gt;"&amp;$C537)+(COUNTIFS($A$14:$A$1213,$A537,$C$14:$C$1213,"="&amp;$C537)+1)/2,"")</f>
        <v/>
      </c>
      <c r="W537" s="27">
        <f>IF(ISNUMBER($F537),COUNTIFS($A$14:$A$1213,$A537,$F$14:$F$1213,"&gt;"&amp;$F537)+(COUNTIFS($A$14:$A$1213,$A537,$F$14:$F$1213,"="&amp;$F537)+1)/2,"")</f>
        <v/>
      </c>
      <c r="X537" s="27">
        <f>IF(OR(NOT(ISNUMBER($V537)),$AO537=1),"",$V537-(COUNTIFS($A$14:$A$1213,$A537,$C$14:$C$1213,"&gt;=0")+1)/2)</f>
        <v/>
      </c>
      <c r="Y537" s="27">
        <f>IF(OR(NOT(ISNUMBER($W537)),$AO537=1),"",$W537-(COUNTIFS($A$14:$A$1213,$A537,$F$14:$F$1213,"&gt;=0")+1)/2)</f>
        <v/>
      </c>
      <c r="Z537" s="27">
        <f>IF(ISNUMBER($V537),$A537&amp;"|"&amp;$V537,"")</f>
        <v/>
      </c>
      <c r="AA537" s="27">
        <f>IF(ISNUMBER($W537),$A537&amp;"|"&amp;$W537,"")</f>
        <v/>
      </c>
      <c r="AB537" s="27">
        <f>IF(ISNUMBER($F537),$A537&amp;"|"&amp;$F537,"")</f>
        <v/>
      </c>
      <c r="AC537" s="27">
        <f>IF(ISNUMBER($P537),COUNTIFS($A$14:$A$1213,$A537,$P$14:$P$1213,"&gt;"&amp;$P537)+(COUNTIFS($A$14:$A$1213,$A537,$P$14:$P$1213,"="&amp;$P537)+1)/2,"")</f>
        <v/>
      </c>
      <c r="AD537" s="27">
        <f>IF(ISNUMBER($Q537),COUNTIFS($A$14:$A$1213,$A537,$Q$14:$Q$1213,"&gt;"&amp;$Q537)+(COUNTIFS($A$14:$A$1213,$A537,$Q$14:$Q$1213,"="&amp;$Q537)+1)/2,"")</f>
        <v/>
      </c>
      <c r="AE537" s="27">
        <f>IF(ISNUMBER($R537),COUNTIFS($A$14:$A$1213,$A537,$R$14:$R$1213,"&gt;"&amp;$R537)+(COUNTIFS($A$14:$A$1213,$A537,$R$14:$R$1213,"="&amp;$R537)+1)/2,"")</f>
        <v/>
      </c>
      <c r="AF537" s="27">
        <f>IF(ISNUMBER($S537),COUNTIFS($A$14:$A$1213,$A537,$S$14:$S$1213,"&gt;"&amp;$S537)+(COUNTIFS($A$14:$A$1213,$A537,$S$14:$S$1213,"="&amp;$S537)+1)/2,"")</f>
        <v/>
      </c>
      <c r="AG537" s="27">
        <f>IF(ISNUMBER($T537),COUNTIFS($A$14:$A$1213,$A537,$T$14:$T$1213,"&gt;"&amp;$T537)+(COUNTIFS($A$14:$A$1213,$A537,$T$14:$T$1213,"="&amp;$T537)+1)/2,"")</f>
        <v/>
      </c>
      <c r="AH537" s="27">
        <f>IF(COUNT($AC537:$AG537)&lt;2,"",IF(MAX($AC537:$AG537)=MIN($AC537:$AG537),0,1))</f>
        <v/>
      </c>
      <c r="AI537" s="27">
        <f>IF($A537="","",IF(COUNTIF($A$14:$A537,$A537)=1,COUNTIF($AI$13:AI536,"&gt;0")+1,""))</f>
        <v/>
      </c>
      <c r="AO537" s="27">
        <f>IF($A537="","",IF(AND(COUNTIFS($A$14:$A$1213,$A537,$F$14:$F$1213,"&gt;=0")=2,IFERROR(INDEX($M$14:$M$313,MATCH($A537,$H$14:$H$313,0)),"Yes")&lt;&gt;"Yes"),1,0))</f>
        <v/>
      </c>
    </row>
    <row r="538">
      <c r="A538" s="19" t="n"/>
      <c r="B538" s="20" t="n"/>
      <c r="C538" s="21">
        <f>IFERROR(AVERAGE(P538:T538),"")</f>
        <v/>
      </c>
      <c r="D538" s="29" t="n"/>
      <c r="E538" s="29" t="n"/>
      <c r="F538" s="30">
        <f>IF(AND(ISNUMBER($D538),ISNUMBER($E538),$E538&gt;0,$D538&lt;=$E538),$D538/$E538,"")</f>
        <v/>
      </c>
      <c r="P538" s="26" t="n"/>
      <c r="Q538" s="26" t="n"/>
      <c r="R538" s="26" t="n"/>
      <c r="S538" s="26" t="n"/>
      <c r="T538" s="26" t="n"/>
      <c r="V538" s="27">
        <f>IF(ISNUMBER($C538),COUNTIFS($A$14:$A$1213,$A538,$C$14:$C$1213,"&gt;"&amp;$C538)+(COUNTIFS($A$14:$A$1213,$A538,$C$14:$C$1213,"="&amp;$C538)+1)/2,"")</f>
        <v/>
      </c>
      <c r="W538" s="27">
        <f>IF(ISNUMBER($F538),COUNTIFS($A$14:$A$1213,$A538,$F$14:$F$1213,"&gt;"&amp;$F538)+(COUNTIFS($A$14:$A$1213,$A538,$F$14:$F$1213,"="&amp;$F538)+1)/2,"")</f>
        <v/>
      </c>
      <c r="X538" s="27">
        <f>IF(OR(NOT(ISNUMBER($V538)),$AO538=1),"",$V538-(COUNTIFS($A$14:$A$1213,$A538,$C$14:$C$1213,"&gt;=0")+1)/2)</f>
        <v/>
      </c>
      <c r="Y538" s="27">
        <f>IF(OR(NOT(ISNUMBER($W538)),$AO538=1),"",$W538-(COUNTIFS($A$14:$A$1213,$A538,$F$14:$F$1213,"&gt;=0")+1)/2)</f>
        <v/>
      </c>
      <c r="Z538" s="27">
        <f>IF(ISNUMBER($V538),$A538&amp;"|"&amp;$V538,"")</f>
        <v/>
      </c>
      <c r="AA538" s="27">
        <f>IF(ISNUMBER($W538),$A538&amp;"|"&amp;$W538,"")</f>
        <v/>
      </c>
      <c r="AB538" s="27">
        <f>IF(ISNUMBER($F538),$A538&amp;"|"&amp;$F538,"")</f>
        <v/>
      </c>
      <c r="AC538" s="27">
        <f>IF(ISNUMBER($P538),COUNTIFS($A$14:$A$1213,$A538,$P$14:$P$1213,"&gt;"&amp;$P538)+(COUNTIFS($A$14:$A$1213,$A538,$P$14:$P$1213,"="&amp;$P538)+1)/2,"")</f>
        <v/>
      </c>
      <c r="AD538" s="27">
        <f>IF(ISNUMBER($Q538),COUNTIFS($A$14:$A$1213,$A538,$Q$14:$Q$1213,"&gt;"&amp;$Q538)+(COUNTIFS($A$14:$A$1213,$A538,$Q$14:$Q$1213,"="&amp;$Q538)+1)/2,"")</f>
        <v/>
      </c>
      <c r="AE538" s="27">
        <f>IF(ISNUMBER($R538),COUNTIFS($A$14:$A$1213,$A538,$R$14:$R$1213,"&gt;"&amp;$R538)+(COUNTIFS($A$14:$A$1213,$A538,$R$14:$R$1213,"="&amp;$R538)+1)/2,"")</f>
        <v/>
      </c>
      <c r="AF538" s="27">
        <f>IF(ISNUMBER($S538),COUNTIFS($A$14:$A$1213,$A538,$S$14:$S$1213,"&gt;"&amp;$S538)+(COUNTIFS($A$14:$A$1213,$A538,$S$14:$S$1213,"="&amp;$S538)+1)/2,"")</f>
        <v/>
      </c>
      <c r="AG538" s="27">
        <f>IF(ISNUMBER($T538),COUNTIFS($A$14:$A$1213,$A538,$T$14:$T$1213,"&gt;"&amp;$T538)+(COUNTIFS($A$14:$A$1213,$A538,$T$14:$T$1213,"="&amp;$T538)+1)/2,"")</f>
        <v/>
      </c>
      <c r="AH538" s="27">
        <f>IF(COUNT($AC538:$AG538)&lt;2,"",IF(MAX($AC538:$AG538)=MIN($AC538:$AG538),0,1))</f>
        <v/>
      </c>
      <c r="AI538" s="27">
        <f>IF($A538="","",IF(COUNTIF($A$14:$A538,$A538)=1,COUNTIF($AI$13:AI537,"&gt;0")+1,""))</f>
        <v/>
      </c>
      <c r="AO538" s="27">
        <f>IF($A538="","",IF(AND(COUNTIFS($A$14:$A$1213,$A538,$F$14:$F$1213,"&gt;=0")=2,IFERROR(INDEX($M$14:$M$313,MATCH($A538,$H$14:$H$313,0)),"Yes")&lt;&gt;"Yes"),1,0))</f>
        <v/>
      </c>
    </row>
    <row r="539">
      <c r="A539" s="19" t="n"/>
      <c r="B539" s="20" t="n"/>
      <c r="C539" s="21">
        <f>IFERROR(AVERAGE(P539:T539),"")</f>
        <v/>
      </c>
      <c r="D539" s="29" t="n"/>
      <c r="E539" s="29" t="n"/>
      <c r="F539" s="30">
        <f>IF(AND(ISNUMBER($D539),ISNUMBER($E539),$E539&gt;0,$D539&lt;=$E539),$D539/$E539,"")</f>
        <v/>
      </c>
      <c r="P539" s="26" t="n"/>
      <c r="Q539" s="26" t="n"/>
      <c r="R539" s="26" t="n"/>
      <c r="S539" s="26" t="n"/>
      <c r="T539" s="26" t="n"/>
      <c r="V539" s="27">
        <f>IF(ISNUMBER($C539),COUNTIFS($A$14:$A$1213,$A539,$C$14:$C$1213,"&gt;"&amp;$C539)+(COUNTIFS($A$14:$A$1213,$A539,$C$14:$C$1213,"="&amp;$C539)+1)/2,"")</f>
        <v/>
      </c>
      <c r="W539" s="27">
        <f>IF(ISNUMBER($F539),COUNTIFS($A$14:$A$1213,$A539,$F$14:$F$1213,"&gt;"&amp;$F539)+(COUNTIFS($A$14:$A$1213,$A539,$F$14:$F$1213,"="&amp;$F539)+1)/2,"")</f>
        <v/>
      </c>
      <c r="X539" s="27">
        <f>IF(OR(NOT(ISNUMBER($V539)),$AO539=1),"",$V539-(COUNTIFS($A$14:$A$1213,$A539,$C$14:$C$1213,"&gt;=0")+1)/2)</f>
        <v/>
      </c>
      <c r="Y539" s="27">
        <f>IF(OR(NOT(ISNUMBER($W539)),$AO539=1),"",$W539-(COUNTIFS($A$14:$A$1213,$A539,$F$14:$F$1213,"&gt;=0")+1)/2)</f>
        <v/>
      </c>
      <c r="Z539" s="27">
        <f>IF(ISNUMBER($V539),$A539&amp;"|"&amp;$V539,"")</f>
        <v/>
      </c>
      <c r="AA539" s="27">
        <f>IF(ISNUMBER($W539),$A539&amp;"|"&amp;$W539,"")</f>
        <v/>
      </c>
      <c r="AB539" s="27">
        <f>IF(ISNUMBER($F539),$A539&amp;"|"&amp;$F539,"")</f>
        <v/>
      </c>
      <c r="AC539" s="27">
        <f>IF(ISNUMBER($P539),COUNTIFS($A$14:$A$1213,$A539,$P$14:$P$1213,"&gt;"&amp;$P539)+(COUNTIFS($A$14:$A$1213,$A539,$P$14:$P$1213,"="&amp;$P539)+1)/2,"")</f>
        <v/>
      </c>
      <c r="AD539" s="27">
        <f>IF(ISNUMBER($Q539),COUNTIFS($A$14:$A$1213,$A539,$Q$14:$Q$1213,"&gt;"&amp;$Q539)+(COUNTIFS($A$14:$A$1213,$A539,$Q$14:$Q$1213,"="&amp;$Q539)+1)/2,"")</f>
        <v/>
      </c>
      <c r="AE539" s="27">
        <f>IF(ISNUMBER($R539),COUNTIFS($A$14:$A$1213,$A539,$R$14:$R$1213,"&gt;"&amp;$R539)+(COUNTIFS($A$14:$A$1213,$A539,$R$14:$R$1213,"="&amp;$R539)+1)/2,"")</f>
        <v/>
      </c>
      <c r="AF539" s="27">
        <f>IF(ISNUMBER($S539),COUNTIFS($A$14:$A$1213,$A539,$S$14:$S$1213,"&gt;"&amp;$S539)+(COUNTIFS($A$14:$A$1213,$A539,$S$14:$S$1213,"="&amp;$S539)+1)/2,"")</f>
        <v/>
      </c>
      <c r="AG539" s="27">
        <f>IF(ISNUMBER($T539),COUNTIFS($A$14:$A$1213,$A539,$T$14:$T$1213,"&gt;"&amp;$T539)+(COUNTIFS($A$14:$A$1213,$A539,$T$14:$T$1213,"="&amp;$T539)+1)/2,"")</f>
        <v/>
      </c>
      <c r="AH539" s="27">
        <f>IF(COUNT($AC539:$AG539)&lt;2,"",IF(MAX($AC539:$AG539)=MIN($AC539:$AG539),0,1))</f>
        <v/>
      </c>
      <c r="AI539" s="27">
        <f>IF($A539="","",IF(COUNTIF($A$14:$A539,$A539)=1,COUNTIF($AI$13:AI538,"&gt;0")+1,""))</f>
        <v/>
      </c>
      <c r="AO539" s="27">
        <f>IF($A539="","",IF(AND(COUNTIFS($A$14:$A$1213,$A539,$F$14:$F$1213,"&gt;=0")=2,IFERROR(INDEX($M$14:$M$313,MATCH($A539,$H$14:$H$313,0)),"Yes")&lt;&gt;"Yes"),1,0))</f>
        <v/>
      </c>
    </row>
    <row r="540">
      <c r="A540" s="19" t="n"/>
      <c r="B540" s="20" t="n"/>
      <c r="C540" s="21">
        <f>IFERROR(AVERAGE(P540:T540),"")</f>
        <v/>
      </c>
      <c r="D540" s="29" t="n"/>
      <c r="E540" s="29" t="n"/>
      <c r="F540" s="30">
        <f>IF(AND(ISNUMBER($D540),ISNUMBER($E540),$E540&gt;0,$D540&lt;=$E540),$D540/$E540,"")</f>
        <v/>
      </c>
      <c r="P540" s="26" t="n"/>
      <c r="Q540" s="26" t="n"/>
      <c r="R540" s="26" t="n"/>
      <c r="S540" s="26" t="n"/>
      <c r="T540" s="26" t="n"/>
      <c r="V540" s="27">
        <f>IF(ISNUMBER($C540),COUNTIFS($A$14:$A$1213,$A540,$C$14:$C$1213,"&gt;"&amp;$C540)+(COUNTIFS($A$14:$A$1213,$A540,$C$14:$C$1213,"="&amp;$C540)+1)/2,"")</f>
        <v/>
      </c>
      <c r="W540" s="27">
        <f>IF(ISNUMBER($F540),COUNTIFS($A$14:$A$1213,$A540,$F$14:$F$1213,"&gt;"&amp;$F540)+(COUNTIFS($A$14:$A$1213,$A540,$F$14:$F$1213,"="&amp;$F540)+1)/2,"")</f>
        <v/>
      </c>
      <c r="X540" s="27">
        <f>IF(OR(NOT(ISNUMBER($V540)),$AO540=1),"",$V540-(COUNTIFS($A$14:$A$1213,$A540,$C$14:$C$1213,"&gt;=0")+1)/2)</f>
        <v/>
      </c>
      <c r="Y540" s="27">
        <f>IF(OR(NOT(ISNUMBER($W540)),$AO540=1),"",$W540-(COUNTIFS($A$14:$A$1213,$A540,$F$14:$F$1213,"&gt;=0")+1)/2)</f>
        <v/>
      </c>
      <c r="Z540" s="27">
        <f>IF(ISNUMBER($V540),$A540&amp;"|"&amp;$V540,"")</f>
        <v/>
      </c>
      <c r="AA540" s="27">
        <f>IF(ISNUMBER($W540),$A540&amp;"|"&amp;$W540,"")</f>
        <v/>
      </c>
      <c r="AB540" s="27">
        <f>IF(ISNUMBER($F540),$A540&amp;"|"&amp;$F540,"")</f>
        <v/>
      </c>
      <c r="AC540" s="27">
        <f>IF(ISNUMBER($P540),COUNTIFS($A$14:$A$1213,$A540,$P$14:$P$1213,"&gt;"&amp;$P540)+(COUNTIFS($A$14:$A$1213,$A540,$P$14:$P$1213,"="&amp;$P540)+1)/2,"")</f>
        <v/>
      </c>
      <c r="AD540" s="27">
        <f>IF(ISNUMBER($Q540),COUNTIFS($A$14:$A$1213,$A540,$Q$14:$Q$1213,"&gt;"&amp;$Q540)+(COUNTIFS($A$14:$A$1213,$A540,$Q$14:$Q$1213,"="&amp;$Q540)+1)/2,"")</f>
        <v/>
      </c>
      <c r="AE540" s="27">
        <f>IF(ISNUMBER($R540),COUNTIFS($A$14:$A$1213,$A540,$R$14:$R$1213,"&gt;"&amp;$R540)+(COUNTIFS($A$14:$A$1213,$A540,$R$14:$R$1213,"="&amp;$R540)+1)/2,"")</f>
        <v/>
      </c>
      <c r="AF540" s="27">
        <f>IF(ISNUMBER($S540),COUNTIFS($A$14:$A$1213,$A540,$S$14:$S$1213,"&gt;"&amp;$S540)+(COUNTIFS($A$14:$A$1213,$A540,$S$14:$S$1213,"="&amp;$S540)+1)/2,"")</f>
        <v/>
      </c>
      <c r="AG540" s="27">
        <f>IF(ISNUMBER($T540),COUNTIFS($A$14:$A$1213,$A540,$T$14:$T$1213,"&gt;"&amp;$T540)+(COUNTIFS($A$14:$A$1213,$A540,$T$14:$T$1213,"="&amp;$T540)+1)/2,"")</f>
        <v/>
      </c>
      <c r="AH540" s="27">
        <f>IF(COUNT($AC540:$AG540)&lt;2,"",IF(MAX($AC540:$AG540)=MIN($AC540:$AG540),0,1))</f>
        <v/>
      </c>
      <c r="AI540" s="27">
        <f>IF($A540="","",IF(COUNTIF($A$14:$A540,$A540)=1,COUNTIF($AI$13:AI539,"&gt;0")+1,""))</f>
        <v/>
      </c>
      <c r="AO540" s="27">
        <f>IF($A540="","",IF(AND(COUNTIFS($A$14:$A$1213,$A540,$F$14:$F$1213,"&gt;=0")=2,IFERROR(INDEX($M$14:$M$313,MATCH($A540,$H$14:$H$313,0)),"Yes")&lt;&gt;"Yes"),1,0))</f>
        <v/>
      </c>
    </row>
    <row r="541">
      <c r="A541" s="19" t="n"/>
      <c r="B541" s="20" t="n"/>
      <c r="C541" s="21">
        <f>IFERROR(AVERAGE(P541:T541),"")</f>
        <v/>
      </c>
      <c r="D541" s="29" t="n"/>
      <c r="E541" s="29" t="n"/>
      <c r="F541" s="30">
        <f>IF(AND(ISNUMBER($D541),ISNUMBER($E541),$E541&gt;0,$D541&lt;=$E541),$D541/$E541,"")</f>
        <v/>
      </c>
      <c r="P541" s="26" t="n"/>
      <c r="Q541" s="26" t="n"/>
      <c r="R541" s="26" t="n"/>
      <c r="S541" s="26" t="n"/>
      <c r="T541" s="26" t="n"/>
      <c r="V541" s="27">
        <f>IF(ISNUMBER($C541),COUNTIFS($A$14:$A$1213,$A541,$C$14:$C$1213,"&gt;"&amp;$C541)+(COUNTIFS($A$14:$A$1213,$A541,$C$14:$C$1213,"="&amp;$C541)+1)/2,"")</f>
        <v/>
      </c>
      <c r="W541" s="27">
        <f>IF(ISNUMBER($F541),COUNTIFS($A$14:$A$1213,$A541,$F$14:$F$1213,"&gt;"&amp;$F541)+(COUNTIFS($A$14:$A$1213,$A541,$F$14:$F$1213,"="&amp;$F541)+1)/2,"")</f>
        <v/>
      </c>
      <c r="X541" s="27">
        <f>IF(OR(NOT(ISNUMBER($V541)),$AO541=1),"",$V541-(COUNTIFS($A$14:$A$1213,$A541,$C$14:$C$1213,"&gt;=0")+1)/2)</f>
        <v/>
      </c>
      <c r="Y541" s="27">
        <f>IF(OR(NOT(ISNUMBER($W541)),$AO541=1),"",$W541-(COUNTIFS($A$14:$A$1213,$A541,$F$14:$F$1213,"&gt;=0")+1)/2)</f>
        <v/>
      </c>
      <c r="Z541" s="27">
        <f>IF(ISNUMBER($V541),$A541&amp;"|"&amp;$V541,"")</f>
        <v/>
      </c>
      <c r="AA541" s="27">
        <f>IF(ISNUMBER($W541),$A541&amp;"|"&amp;$W541,"")</f>
        <v/>
      </c>
      <c r="AB541" s="27">
        <f>IF(ISNUMBER($F541),$A541&amp;"|"&amp;$F541,"")</f>
        <v/>
      </c>
      <c r="AC541" s="27">
        <f>IF(ISNUMBER($P541),COUNTIFS($A$14:$A$1213,$A541,$P$14:$P$1213,"&gt;"&amp;$P541)+(COUNTIFS($A$14:$A$1213,$A541,$P$14:$P$1213,"="&amp;$P541)+1)/2,"")</f>
        <v/>
      </c>
      <c r="AD541" s="27">
        <f>IF(ISNUMBER($Q541),COUNTIFS($A$14:$A$1213,$A541,$Q$14:$Q$1213,"&gt;"&amp;$Q541)+(COUNTIFS($A$14:$A$1213,$A541,$Q$14:$Q$1213,"="&amp;$Q541)+1)/2,"")</f>
        <v/>
      </c>
      <c r="AE541" s="27">
        <f>IF(ISNUMBER($R541),COUNTIFS($A$14:$A$1213,$A541,$R$14:$R$1213,"&gt;"&amp;$R541)+(COUNTIFS($A$14:$A$1213,$A541,$R$14:$R$1213,"="&amp;$R541)+1)/2,"")</f>
        <v/>
      </c>
      <c r="AF541" s="27">
        <f>IF(ISNUMBER($S541),COUNTIFS($A$14:$A$1213,$A541,$S$14:$S$1213,"&gt;"&amp;$S541)+(COUNTIFS($A$14:$A$1213,$A541,$S$14:$S$1213,"="&amp;$S541)+1)/2,"")</f>
        <v/>
      </c>
      <c r="AG541" s="27">
        <f>IF(ISNUMBER($T541),COUNTIFS($A$14:$A$1213,$A541,$T$14:$T$1213,"&gt;"&amp;$T541)+(COUNTIFS($A$14:$A$1213,$A541,$T$14:$T$1213,"="&amp;$T541)+1)/2,"")</f>
        <v/>
      </c>
      <c r="AH541" s="27">
        <f>IF(COUNT($AC541:$AG541)&lt;2,"",IF(MAX($AC541:$AG541)=MIN($AC541:$AG541),0,1))</f>
        <v/>
      </c>
      <c r="AI541" s="27">
        <f>IF($A541="","",IF(COUNTIF($A$14:$A541,$A541)=1,COUNTIF($AI$13:AI540,"&gt;0")+1,""))</f>
        <v/>
      </c>
      <c r="AO541" s="27">
        <f>IF($A541="","",IF(AND(COUNTIFS($A$14:$A$1213,$A541,$F$14:$F$1213,"&gt;=0")=2,IFERROR(INDEX($M$14:$M$313,MATCH($A541,$H$14:$H$313,0)),"Yes")&lt;&gt;"Yes"),1,0))</f>
        <v/>
      </c>
    </row>
    <row r="542">
      <c r="A542" s="19" t="n"/>
      <c r="B542" s="20" t="n"/>
      <c r="C542" s="21">
        <f>IFERROR(AVERAGE(P542:T542),"")</f>
        <v/>
      </c>
      <c r="D542" s="29" t="n"/>
      <c r="E542" s="29" t="n"/>
      <c r="F542" s="30">
        <f>IF(AND(ISNUMBER($D542),ISNUMBER($E542),$E542&gt;0,$D542&lt;=$E542),$D542/$E542,"")</f>
        <v/>
      </c>
      <c r="P542" s="26" t="n"/>
      <c r="Q542" s="26" t="n"/>
      <c r="R542" s="26" t="n"/>
      <c r="S542" s="26" t="n"/>
      <c r="T542" s="26" t="n"/>
      <c r="V542" s="27">
        <f>IF(ISNUMBER($C542),COUNTIFS($A$14:$A$1213,$A542,$C$14:$C$1213,"&gt;"&amp;$C542)+(COUNTIFS($A$14:$A$1213,$A542,$C$14:$C$1213,"="&amp;$C542)+1)/2,"")</f>
        <v/>
      </c>
      <c r="W542" s="27">
        <f>IF(ISNUMBER($F542),COUNTIFS($A$14:$A$1213,$A542,$F$14:$F$1213,"&gt;"&amp;$F542)+(COUNTIFS($A$14:$A$1213,$A542,$F$14:$F$1213,"="&amp;$F542)+1)/2,"")</f>
        <v/>
      </c>
      <c r="X542" s="27">
        <f>IF(OR(NOT(ISNUMBER($V542)),$AO542=1),"",$V542-(COUNTIFS($A$14:$A$1213,$A542,$C$14:$C$1213,"&gt;=0")+1)/2)</f>
        <v/>
      </c>
      <c r="Y542" s="27">
        <f>IF(OR(NOT(ISNUMBER($W542)),$AO542=1),"",$W542-(COUNTIFS($A$14:$A$1213,$A542,$F$14:$F$1213,"&gt;=0")+1)/2)</f>
        <v/>
      </c>
      <c r="Z542" s="27">
        <f>IF(ISNUMBER($V542),$A542&amp;"|"&amp;$V542,"")</f>
        <v/>
      </c>
      <c r="AA542" s="27">
        <f>IF(ISNUMBER($W542),$A542&amp;"|"&amp;$W542,"")</f>
        <v/>
      </c>
      <c r="AB542" s="27">
        <f>IF(ISNUMBER($F542),$A542&amp;"|"&amp;$F542,"")</f>
        <v/>
      </c>
      <c r="AC542" s="27">
        <f>IF(ISNUMBER($P542),COUNTIFS($A$14:$A$1213,$A542,$P$14:$P$1213,"&gt;"&amp;$P542)+(COUNTIFS($A$14:$A$1213,$A542,$P$14:$P$1213,"="&amp;$P542)+1)/2,"")</f>
        <v/>
      </c>
      <c r="AD542" s="27">
        <f>IF(ISNUMBER($Q542),COUNTIFS($A$14:$A$1213,$A542,$Q$14:$Q$1213,"&gt;"&amp;$Q542)+(COUNTIFS($A$14:$A$1213,$A542,$Q$14:$Q$1213,"="&amp;$Q542)+1)/2,"")</f>
        <v/>
      </c>
      <c r="AE542" s="27">
        <f>IF(ISNUMBER($R542),COUNTIFS($A$14:$A$1213,$A542,$R$14:$R$1213,"&gt;"&amp;$R542)+(COUNTIFS($A$14:$A$1213,$A542,$R$14:$R$1213,"="&amp;$R542)+1)/2,"")</f>
        <v/>
      </c>
      <c r="AF542" s="27">
        <f>IF(ISNUMBER($S542),COUNTIFS($A$14:$A$1213,$A542,$S$14:$S$1213,"&gt;"&amp;$S542)+(COUNTIFS($A$14:$A$1213,$A542,$S$14:$S$1213,"="&amp;$S542)+1)/2,"")</f>
        <v/>
      </c>
      <c r="AG542" s="27">
        <f>IF(ISNUMBER($T542),COUNTIFS($A$14:$A$1213,$A542,$T$14:$T$1213,"&gt;"&amp;$T542)+(COUNTIFS($A$14:$A$1213,$A542,$T$14:$T$1213,"="&amp;$T542)+1)/2,"")</f>
        <v/>
      </c>
      <c r="AH542" s="27">
        <f>IF(COUNT($AC542:$AG542)&lt;2,"",IF(MAX($AC542:$AG542)=MIN($AC542:$AG542),0,1))</f>
        <v/>
      </c>
      <c r="AI542" s="27">
        <f>IF($A542="","",IF(COUNTIF($A$14:$A542,$A542)=1,COUNTIF($AI$13:AI541,"&gt;0")+1,""))</f>
        <v/>
      </c>
      <c r="AO542" s="27">
        <f>IF($A542="","",IF(AND(COUNTIFS($A$14:$A$1213,$A542,$F$14:$F$1213,"&gt;=0")=2,IFERROR(INDEX($M$14:$M$313,MATCH($A542,$H$14:$H$313,0)),"Yes")&lt;&gt;"Yes"),1,0))</f>
        <v/>
      </c>
    </row>
    <row r="543">
      <c r="A543" s="19" t="n"/>
      <c r="B543" s="20" t="n"/>
      <c r="C543" s="21">
        <f>IFERROR(AVERAGE(P543:T543),"")</f>
        <v/>
      </c>
      <c r="D543" s="29" t="n"/>
      <c r="E543" s="29" t="n"/>
      <c r="F543" s="30">
        <f>IF(AND(ISNUMBER($D543),ISNUMBER($E543),$E543&gt;0,$D543&lt;=$E543),$D543/$E543,"")</f>
        <v/>
      </c>
      <c r="P543" s="26" t="n"/>
      <c r="Q543" s="26" t="n"/>
      <c r="R543" s="26" t="n"/>
      <c r="S543" s="26" t="n"/>
      <c r="T543" s="26" t="n"/>
      <c r="V543" s="27">
        <f>IF(ISNUMBER($C543),COUNTIFS($A$14:$A$1213,$A543,$C$14:$C$1213,"&gt;"&amp;$C543)+(COUNTIFS($A$14:$A$1213,$A543,$C$14:$C$1213,"="&amp;$C543)+1)/2,"")</f>
        <v/>
      </c>
      <c r="W543" s="27">
        <f>IF(ISNUMBER($F543),COUNTIFS($A$14:$A$1213,$A543,$F$14:$F$1213,"&gt;"&amp;$F543)+(COUNTIFS($A$14:$A$1213,$A543,$F$14:$F$1213,"="&amp;$F543)+1)/2,"")</f>
        <v/>
      </c>
      <c r="X543" s="27">
        <f>IF(OR(NOT(ISNUMBER($V543)),$AO543=1),"",$V543-(COUNTIFS($A$14:$A$1213,$A543,$C$14:$C$1213,"&gt;=0")+1)/2)</f>
        <v/>
      </c>
      <c r="Y543" s="27">
        <f>IF(OR(NOT(ISNUMBER($W543)),$AO543=1),"",$W543-(COUNTIFS($A$14:$A$1213,$A543,$F$14:$F$1213,"&gt;=0")+1)/2)</f>
        <v/>
      </c>
      <c r="Z543" s="27">
        <f>IF(ISNUMBER($V543),$A543&amp;"|"&amp;$V543,"")</f>
        <v/>
      </c>
      <c r="AA543" s="27">
        <f>IF(ISNUMBER($W543),$A543&amp;"|"&amp;$W543,"")</f>
        <v/>
      </c>
      <c r="AB543" s="27">
        <f>IF(ISNUMBER($F543),$A543&amp;"|"&amp;$F543,"")</f>
        <v/>
      </c>
      <c r="AC543" s="27">
        <f>IF(ISNUMBER($P543),COUNTIFS($A$14:$A$1213,$A543,$P$14:$P$1213,"&gt;"&amp;$P543)+(COUNTIFS($A$14:$A$1213,$A543,$P$14:$P$1213,"="&amp;$P543)+1)/2,"")</f>
        <v/>
      </c>
      <c r="AD543" s="27">
        <f>IF(ISNUMBER($Q543),COUNTIFS($A$14:$A$1213,$A543,$Q$14:$Q$1213,"&gt;"&amp;$Q543)+(COUNTIFS($A$14:$A$1213,$A543,$Q$14:$Q$1213,"="&amp;$Q543)+1)/2,"")</f>
        <v/>
      </c>
      <c r="AE543" s="27">
        <f>IF(ISNUMBER($R543),COUNTIFS($A$14:$A$1213,$A543,$R$14:$R$1213,"&gt;"&amp;$R543)+(COUNTIFS($A$14:$A$1213,$A543,$R$14:$R$1213,"="&amp;$R543)+1)/2,"")</f>
        <v/>
      </c>
      <c r="AF543" s="27">
        <f>IF(ISNUMBER($S543),COUNTIFS($A$14:$A$1213,$A543,$S$14:$S$1213,"&gt;"&amp;$S543)+(COUNTIFS($A$14:$A$1213,$A543,$S$14:$S$1213,"="&amp;$S543)+1)/2,"")</f>
        <v/>
      </c>
      <c r="AG543" s="27">
        <f>IF(ISNUMBER($T543),COUNTIFS($A$14:$A$1213,$A543,$T$14:$T$1213,"&gt;"&amp;$T543)+(COUNTIFS($A$14:$A$1213,$A543,$T$14:$T$1213,"="&amp;$T543)+1)/2,"")</f>
        <v/>
      </c>
      <c r="AH543" s="27">
        <f>IF(COUNT($AC543:$AG543)&lt;2,"",IF(MAX($AC543:$AG543)=MIN($AC543:$AG543),0,1))</f>
        <v/>
      </c>
      <c r="AI543" s="27">
        <f>IF($A543="","",IF(COUNTIF($A$14:$A543,$A543)=1,COUNTIF($AI$13:AI542,"&gt;0")+1,""))</f>
        <v/>
      </c>
      <c r="AO543" s="27">
        <f>IF($A543="","",IF(AND(COUNTIFS($A$14:$A$1213,$A543,$F$14:$F$1213,"&gt;=0")=2,IFERROR(INDEX($M$14:$M$313,MATCH($A543,$H$14:$H$313,0)),"Yes")&lt;&gt;"Yes"),1,0))</f>
        <v/>
      </c>
    </row>
    <row r="544">
      <c r="A544" s="19" t="n"/>
      <c r="B544" s="20" t="n"/>
      <c r="C544" s="21">
        <f>IFERROR(AVERAGE(P544:T544),"")</f>
        <v/>
      </c>
      <c r="D544" s="29" t="n"/>
      <c r="E544" s="29" t="n"/>
      <c r="F544" s="30">
        <f>IF(AND(ISNUMBER($D544),ISNUMBER($E544),$E544&gt;0,$D544&lt;=$E544),$D544/$E544,"")</f>
        <v/>
      </c>
      <c r="P544" s="26" t="n"/>
      <c r="Q544" s="26" t="n"/>
      <c r="R544" s="26" t="n"/>
      <c r="S544" s="26" t="n"/>
      <c r="T544" s="26" t="n"/>
      <c r="V544" s="27">
        <f>IF(ISNUMBER($C544),COUNTIFS($A$14:$A$1213,$A544,$C$14:$C$1213,"&gt;"&amp;$C544)+(COUNTIFS($A$14:$A$1213,$A544,$C$14:$C$1213,"="&amp;$C544)+1)/2,"")</f>
        <v/>
      </c>
      <c r="W544" s="27">
        <f>IF(ISNUMBER($F544),COUNTIFS($A$14:$A$1213,$A544,$F$14:$F$1213,"&gt;"&amp;$F544)+(COUNTIFS($A$14:$A$1213,$A544,$F$14:$F$1213,"="&amp;$F544)+1)/2,"")</f>
        <v/>
      </c>
      <c r="X544" s="27">
        <f>IF(OR(NOT(ISNUMBER($V544)),$AO544=1),"",$V544-(COUNTIFS($A$14:$A$1213,$A544,$C$14:$C$1213,"&gt;=0")+1)/2)</f>
        <v/>
      </c>
      <c r="Y544" s="27">
        <f>IF(OR(NOT(ISNUMBER($W544)),$AO544=1),"",$W544-(COUNTIFS($A$14:$A$1213,$A544,$F$14:$F$1213,"&gt;=0")+1)/2)</f>
        <v/>
      </c>
      <c r="Z544" s="27">
        <f>IF(ISNUMBER($V544),$A544&amp;"|"&amp;$V544,"")</f>
        <v/>
      </c>
      <c r="AA544" s="27">
        <f>IF(ISNUMBER($W544),$A544&amp;"|"&amp;$W544,"")</f>
        <v/>
      </c>
      <c r="AB544" s="27">
        <f>IF(ISNUMBER($F544),$A544&amp;"|"&amp;$F544,"")</f>
        <v/>
      </c>
      <c r="AC544" s="27">
        <f>IF(ISNUMBER($P544),COUNTIFS($A$14:$A$1213,$A544,$P$14:$P$1213,"&gt;"&amp;$P544)+(COUNTIFS($A$14:$A$1213,$A544,$P$14:$P$1213,"="&amp;$P544)+1)/2,"")</f>
        <v/>
      </c>
      <c r="AD544" s="27">
        <f>IF(ISNUMBER($Q544),COUNTIFS($A$14:$A$1213,$A544,$Q$14:$Q$1213,"&gt;"&amp;$Q544)+(COUNTIFS($A$14:$A$1213,$A544,$Q$14:$Q$1213,"="&amp;$Q544)+1)/2,"")</f>
        <v/>
      </c>
      <c r="AE544" s="27">
        <f>IF(ISNUMBER($R544),COUNTIFS($A$14:$A$1213,$A544,$R$14:$R$1213,"&gt;"&amp;$R544)+(COUNTIFS($A$14:$A$1213,$A544,$R$14:$R$1213,"="&amp;$R544)+1)/2,"")</f>
        <v/>
      </c>
      <c r="AF544" s="27">
        <f>IF(ISNUMBER($S544),COUNTIFS($A$14:$A$1213,$A544,$S$14:$S$1213,"&gt;"&amp;$S544)+(COUNTIFS($A$14:$A$1213,$A544,$S$14:$S$1213,"="&amp;$S544)+1)/2,"")</f>
        <v/>
      </c>
      <c r="AG544" s="27">
        <f>IF(ISNUMBER($T544),COUNTIFS($A$14:$A$1213,$A544,$T$14:$T$1213,"&gt;"&amp;$T544)+(COUNTIFS($A$14:$A$1213,$A544,$T$14:$T$1213,"="&amp;$T544)+1)/2,"")</f>
        <v/>
      </c>
      <c r="AH544" s="27">
        <f>IF(COUNT($AC544:$AG544)&lt;2,"",IF(MAX($AC544:$AG544)=MIN($AC544:$AG544),0,1))</f>
        <v/>
      </c>
      <c r="AI544" s="27">
        <f>IF($A544="","",IF(COUNTIF($A$14:$A544,$A544)=1,COUNTIF($AI$13:AI543,"&gt;0")+1,""))</f>
        <v/>
      </c>
      <c r="AO544" s="27">
        <f>IF($A544="","",IF(AND(COUNTIFS($A$14:$A$1213,$A544,$F$14:$F$1213,"&gt;=0")=2,IFERROR(INDEX($M$14:$M$313,MATCH($A544,$H$14:$H$313,0)),"Yes")&lt;&gt;"Yes"),1,0))</f>
        <v/>
      </c>
    </row>
    <row r="545">
      <c r="A545" s="19" t="n"/>
      <c r="B545" s="20" t="n"/>
      <c r="C545" s="21">
        <f>IFERROR(AVERAGE(P545:T545),"")</f>
        <v/>
      </c>
      <c r="D545" s="29" t="n"/>
      <c r="E545" s="29" t="n"/>
      <c r="F545" s="30">
        <f>IF(AND(ISNUMBER($D545),ISNUMBER($E545),$E545&gt;0,$D545&lt;=$E545),$D545/$E545,"")</f>
        <v/>
      </c>
      <c r="P545" s="26" t="n"/>
      <c r="Q545" s="26" t="n"/>
      <c r="R545" s="26" t="n"/>
      <c r="S545" s="26" t="n"/>
      <c r="T545" s="26" t="n"/>
      <c r="V545" s="27">
        <f>IF(ISNUMBER($C545),COUNTIFS($A$14:$A$1213,$A545,$C$14:$C$1213,"&gt;"&amp;$C545)+(COUNTIFS($A$14:$A$1213,$A545,$C$14:$C$1213,"="&amp;$C545)+1)/2,"")</f>
        <v/>
      </c>
      <c r="W545" s="27">
        <f>IF(ISNUMBER($F545),COUNTIFS($A$14:$A$1213,$A545,$F$14:$F$1213,"&gt;"&amp;$F545)+(COUNTIFS($A$14:$A$1213,$A545,$F$14:$F$1213,"="&amp;$F545)+1)/2,"")</f>
        <v/>
      </c>
      <c r="X545" s="27">
        <f>IF(OR(NOT(ISNUMBER($V545)),$AO545=1),"",$V545-(COUNTIFS($A$14:$A$1213,$A545,$C$14:$C$1213,"&gt;=0")+1)/2)</f>
        <v/>
      </c>
      <c r="Y545" s="27">
        <f>IF(OR(NOT(ISNUMBER($W545)),$AO545=1),"",$W545-(COUNTIFS($A$14:$A$1213,$A545,$F$14:$F$1213,"&gt;=0")+1)/2)</f>
        <v/>
      </c>
      <c r="Z545" s="27">
        <f>IF(ISNUMBER($V545),$A545&amp;"|"&amp;$V545,"")</f>
        <v/>
      </c>
      <c r="AA545" s="27">
        <f>IF(ISNUMBER($W545),$A545&amp;"|"&amp;$W545,"")</f>
        <v/>
      </c>
      <c r="AB545" s="27">
        <f>IF(ISNUMBER($F545),$A545&amp;"|"&amp;$F545,"")</f>
        <v/>
      </c>
      <c r="AC545" s="27">
        <f>IF(ISNUMBER($P545),COUNTIFS($A$14:$A$1213,$A545,$P$14:$P$1213,"&gt;"&amp;$P545)+(COUNTIFS($A$14:$A$1213,$A545,$P$14:$P$1213,"="&amp;$P545)+1)/2,"")</f>
        <v/>
      </c>
      <c r="AD545" s="27">
        <f>IF(ISNUMBER($Q545),COUNTIFS($A$14:$A$1213,$A545,$Q$14:$Q$1213,"&gt;"&amp;$Q545)+(COUNTIFS($A$14:$A$1213,$A545,$Q$14:$Q$1213,"="&amp;$Q545)+1)/2,"")</f>
        <v/>
      </c>
      <c r="AE545" s="27">
        <f>IF(ISNUMBER($R545),COUNTIFS($A$14:$A$1213,$A545,$R$14:$R$1213,"&gt;"&amp;$R545)+(COUNTIFS($A$14:$A$1213,$A545,$R$14:$R$1213,"="&amp;$R545)+1)/2,"")</f>
        <v/>
      </c>
      <c r="AF545" s="27">
        <f>IF(ISNUMBER($S545),COUNTIFS($A$14:$A$1213,$A545,$S$14:$S$1213,"&gt;"&amp;$S545)+(COUNTIFS($A$14:$A$1213,$A545,$S$14:$S$1213,"="&amp;$S545)+1)/2,"")</f>
        <v/>
      </c>
      <c r="AG545" s="27">
        <f>IF(ISNUMBER($T545),COUNTIFS($A$14:$A$1213,$A545,$T$14:$T$1213,"&gt;"&amp;$T545)+(COUNTIFS($A$14:$A$1213,$A545,$T$14:$T$1213,"="&amp;$T545)+1)/2,"")</f>
        <v/>
      </c>
      <c r="AH545" s="27">
        <f>IF(COUNT($AC545:$AG545)&lt;2,"",IF(MAX($AC545:$AG545)=MIN($AC545:$AG545),0,1))</f>
        <v/>
      </c>
      <c r="AI545" s="27">
        <f>IF($A545="","",IF(COUNTIF($A$14:$A545,$A545)=1,COUNTIF($AI$13:AI544,"&gt;0")+1,""))</f>
        <v/>
      </c>
      <c r="AO545" s="27">
        <f>IF($A545="","",IF(AND(COUNTIFS($A$14:$A$1213,$A545,$F$14:$F$1213,"&gt;=0")=2,IFERROR(INDEX($M$14:$M$313,MATCH($A545,$H$14:$H$313,0)),"Yes")&lt;&gt;"Yes"),1,0))</f>
        <v/>
      </c>
    </row>
    <row r="546">
      <c r="A546" s="19" t="n"/>
      <c r="B546" s="20" t="n"/>
      <c r="C546" s="21">
        <f>IFERROR(AVERAGE(P546:T546),"")</f>
        <v/>
      </c>
      <c r="D546" s="29" t="n"/>
      <c r="E546" s="29" t="n"/>
      <c r="F546" s="30">
        <f>IF(AND(ISNUMBER($D546),ISNUMBER($E546),$E546&gt;0,$D546&lt;=$E546),$D546/$E546,"")</f>
        <v/>
      </c>
      <c r="P546" s="26" t="n"/>
      <c r="Q546" s="26" t="n"/>
      <c r="R546" s="26" t="n"/>
      <c r="S546" s="26" t="n"/>
      <c r="T546" s="26" t="n"/>
      <c r="V546" s="27">
        <f>IF(ISNUMBER($C546),COUNTIFS($A$14:$A$1213,$A546,$C$14:$C$1213,"&gt;"&amp;$C546)+(COUNTIFS($A$14:$A$1213,$A546,$C$14:$C$1213,"="&amp;$C546)+1)/2,"")</f>
        <v/>
      </c>
      <c r="W546" s="27">
        <f>IF(ISNUMBER($F546),COUNTIFS($A$14:$A$1213,$A546,$F$14:$F$1213,"&gt;"&amp;$F546)+(COUNTIFS($A$14:$A$1213,$A546,$F$14:$F$1213,"="&amp;$F546)+1)/2,"")</f>
        <v/>
      </c>
      <c r="X546" s="27">
        <f>IF(OR(NOT(ISNUMBER($V546)),$AO546=1),"",$V546-(COUNTIFS($A$14:$A$1213,$A546,$C$14:$C$1213,"&gt;=0")+1)/2)</f>
        <v/>
      </c>
      <c r="Y546" s="27">
        <f>IF(OR(NOT(ISNUMBER($W546)),$AO546=1),"",$W546-(COUNTIFS($A$14:$A$1213,$A546,$F$14:$F$1213,"&gt;=0")+1)/2)</f>
        <v/>
      </c>
      <c r="Z546" s="27">
        <f>IF(ISNUMBER($V546),$A546&amp;"|"&amp;$V546,"")</f>
        <v/>
      </c>
      <c r="AA546" s="27">
        <f>IF(ISNUMBER($W546),$A546&amp;"|"&amp;$W546,"")</f>
        <v/>
      </c>
      <c r="AB546" s="27">
        <f>IF(ISNUMBER($F546),$A546&amp;"|"&amp;$F546,"")</f>
        <v/>
      </c>
      <c r="AC546" s="27">
        <f>IF(ISNUMBER($P546),COUNTIFS($A$14:$A$1213,$A546,$P$14:$P$1213,"&gt;"&amp;$P546)+(COUNTIFS($A$14:$A$1213,$A546,$P$14:$P$1213,"="&amp;$P546)+1)/2,"")</f>
        <v/>
      </c>
      <c r="AD546" s="27">
        <f>IF(ISNUMBER($Q546),COUNTIFS($A$14:$A$1213,$A546,$Q$14:$Q$1213,"&gt;"&amp;$Q546)+(COUNTIFS($A$14:$A$1213,$A546,$Q$14:$Q$1213,"="&amp;$Q546)+1)/2,"")</f>
        <v/>
      </c>
      <c r="AE546" s="27">
        <f>IF(ISNUMBER($R546),COUNTIFS($A$14:$A$1213,$A546,$R$14:$R$1213,"&gt;"&amp;$R546)+(COUNTIFS($A$14:$A$1213,$A546,$R$14:$R$1213,"="&amp;$R546)+1)/2,"")</f>
        <v/>
      </c>
      <c r="AF546" s="27">
        <f>IF(ISNUMBER($S546),COUNTIFS($A$14:$A$1213,$A546,$S$14:$S$1213,"&gt;"&amp;$S546)+(COUNTIFS($A$14:$A$1213,$A546,$S$14:$S$1213,"="&amp;$S546)+1)/2,"")</f>
        <v/>
      </c>
      <c r="AG546" s="27">
        <f>IF(ISNUMBER($T546),COUNTIFS($A$14:$A$1213,$A546,$T$14:$T$1213,"&gt;"&amp;$T546)+(COUNTIFS($A$14:$A$1213,$A546,$T$14:$T$1213,"="&amp;$T546)+1)/2,"")</f>
        <v/>
      </c>
      <c r="AH546" s="27">
        <f>IF(COUNT($AC546:$AG546)&lt;2,"",IF(MAX($AC546:$AG546)=MIN($AC546:$AG546),0,1))</f>
        <v/>
      </c>
      <c r="AI546" s="27">
        <f>IF($A546="","",IF(COUNTIF($A$14:$A546,$A546)=1,COUNTIF($AI$13:AI545,"&gt;0")+1,""))</f>
        <v/>
      </c>
      <c r="AO546" s="27">
        <f>IF($A546="","",IF(AND(COUNTIFS($A$14:$A$1213,$A546,$F$14:$F$1213,"&gt;=0")=2,IFERROR(INDEX($M$14:$M$313,MATCH($A546,$H$14:$H$313,0)),"Yes")&lt;&gt;"Yes"),1,0))</f>
        <v/>
      </c>
    </row>
    <row r="547">
      <c r="A547" s="19" t="n"/>
      <c r="B547" s="20" t="n"/>
      <c r="C547" s="21">
        <f>IFERROR(AVERAGE(P547:T547),"")</f>
        <v/>
      </c>
      <c r="D547" s="29" t="n"/>
      <c r="E547" s="29" t="n"/>
      <c r="F547" s="30">
        <f>IF(AND(ISNUMBER($D547),ISNUMBER($E547),$E547&gt;0,$D547&lt;=$E547),$D547/$E547,"")</f>
        <v/>
      </c>
      <c r="P547" s="26" t="n"/>
      <c r="Q547" s="26" t="n"/>
      <c r="R547" s="26" t="n"/>
      <c r="S547" s="26" t="n"/>
      <c r="T547" s="26" t="n"/>
      <c r="V547" s="27">
        <f>IF(ISNUMBER($C547),COUNTIFS($A$14:$A$1213,$A547,$C$14:$C$1213,"&gt;"&amp;$C547)+(COUNTIFS($A$14:$A$1213,$A547,$C$14:$C$1213,"="&amp;$C547)+1)/2,"")</f>
        <v/>
      </c>
      <c r="W547" s="27">
        <f>IF(ISNUMBER($F547),COUNTIFS($A$14:$A$1213,$A547,$F$14:$F$1213,"&gt;"&amp;$F547)+(COUNTIFS($A$14:$A$1213,$A547,$F$14:$F$1213,"="&amp;$F547)+1)/2,"")</f>
        <v/>
      </c>
      <c r="X547" s="27">
        <f>IF(OR(NOT(ISNUMBER($V547)),$AO547=1),"",$V547-(COUNTIFS($A$14:$A$1213,$A547,$C$14:$C$1213,"&gt;=0")+1)/2)</f>
        <v/>
      </c>
      <c r="Y547" s="27">
        <f>IF(OR(NOT(ISNUMBER($W547)),$AO547=1),"",$W547-(COUNTIFS($A$14:$A$1213,$A547,$F$14:$F$1213,"&gt;=0")+1)/2)</f>
        <v/>
      </c>
      <c r="Z547" s="27">
        <f>IF(ISNUMBER($V547),$A547&amp;"|"&amp;$V547,"")</f>
        <v/>
      </c>
      <c r="AA547" s="27">
        <f>IF(ISNUMBER($W547),$A547&amp;"|"&amp;$W547,"")</f>
        <v/>
      </c>
      <c r="AB547" s="27">
        <f>IF(ISNUMBER($F547),$A547&amp;"|"&amp;$F547,"")</f>
        <v/>
      </c>
      <c r="AC547" s="27">
        <f>IF(ISNUMBER($P547),COUNTIFS($A$14:$A$1213,$A547,$P$14:$P$1213,"&gt;"&amp;$P547)+(COUNTIFS($A$14:$A$1213,$A547,$P$14:$P$1213,"="&amp;$P547)+1)/2,"")</f>
        <v/>
      </c>
      <c r="AD547" s="27">
        <f>IF(ISNUMBER($Q547),COUNTIFS($A$14:$A$1213,$A547,$Q$14:$Q$1213,"&gt;"&amp;$Q547)+(COUNTIFS($A$14:$A$1213,$A547,$Q$14:$Q$1213,"="&amp;$Q547)+1)/2,"")</f>
        <v/>
      </c>
      <c r="AE547" s="27">
        <f>IF(ISNUMBER($R547),COUNTIFS($A$14:$A$1213,$A547,$R$14:$R$1213,"&gt;"&amp;$R547)+(COUNTIFS($A$14:$A$1213,$A547,$R$14:$R$1213,"="&amp;$R547)+1)/2,"")</f>
        <v/>
      </c>
      <c r="AF547" s="27">
        <f>IF(ISNUMBER($S547),COUNTIFS($A$14:$A$1213,$A547,$S$14:$S$1213,"&gt;"&amp;$S547)+(COUNTIFS($A$14:$A$1213,$A547,$S$14:$S$1213,"="&amp;$S547)+1)/2,"")</f>
        <v/>
      </c>
      <c r="AG547" s="27">
        <f>IF(ISNUMBER($T547),COUNTIFS($A$14:$A$1213,$A547,$T$14:$T$1213,"&gt;"&amp;$T547)+(COUNTIFS($A$14:$A$1213,$A547,$T$14:$T$1213,"="&amp;$T547)+1)/2,"")</f>
        <v/>
      </c>
      <c r="AH547" s="27">
        <f>IF(COUNT($AC547:$AG547)&lt;2,"",IF(MAX($AC547:$AG547)=MIN($AC547:$AG547),0,1))</f>
        <v/>
      </c>
      <c r="AI547" s="27">
        <f>IF($A547="","",IF(COUNTIF($A$14:$A547,$A547)=1,COUNTIF($AI$13:AI546,"&gt;0")+1,""))</f>
        <v/>
      </c>
      <c r="AO547" s="27">
        <f>IF($A547="","",IF(AND(COUNTIFS($A$14:$A$1213,$A547,$F$14:$F$1213,"&gt;=0")=2,IFERROR(INDEX($M$14:$M$313,MATCH($A547,$H$14:$H$313,0)),"Yes")&lt;&gt;"Yes"),1,0))</f>
        <v/>
      </c>
    </row>
    <row r="548">
      <c r="A548" s="19" t="n"/>
      <c r="B548" s="20" t="n"/>
      <c r="C548" s="21">
        <f>IFERROR(AVERAGE(P548:T548),"")</f>
        <v/>
      </c>
      <c r="D548" s="29" t="n"/>
      <c r="E548" s="29" t="n"/>
      <c r="F548" s="30">
        <f>IF(AND(ISNUMBER($D548),ISNUMBER($E548),$E548&gt;0,$D548&lt;=$E548),$D548/$E548,"")</f>
        <v/>
      </c>
      <c r="P548" s="26" t="n"/>
      <c r="Q548" s="26" t="n"/>
      <c r="R548" s="26" t="n"/>
      <c r="S548" s="26" t="n"/>
      <c r="T548" s="26" t="n"/>
      <c r="V548" s="27">
        <f>IF(ISNUMBER($C548),COUNTIFS($A$14:$A$1213,$A548,$C$14:$C$1213,"&gt;"&amp;$C548)+(COUNTIFS($A$14:$A$1213,$A548,$C$14:$C$1213,"="&amp;$C548)+1)/2,"")</f>
        <v/>
      </c>
      <c r="W548" s="27">
        <f>IF(ISNUMBER($F548),COUNTIFS($A$14:$A$1213,$A548,$F$14:$F$1213,"&gt;"&amp;$F548)+(COUNTIFS($A$14:$A$1213,$A548,$F$14:$F$1213,"="&amp;$F548)+1)/2,"")</f>
        <v/>
      </c>
      <c r="X548" s="27">
        <f>IF(OR(NOT(ISNUMBER($V548)),$AO548=1),"",$V548-(COUNTIFS($A$14:$A$1213,$A548,$C$14:$C$1213,"&gt;=0")+1)/2)</f>
        <v/>
      </c>
      <c r="Y548" s="27">
        <f>IF(OR(NOT(ISNUMBER($W548)),$AO548=1),"",$W548-(COUNTIFS($A$14:$A$1213,$A548,$F$14:$F$1213,"&gt;=0")+1)/2)</f>
        <v/>
      </c>
      <c r="Z548" s="27">
        <f>IF(ISNUMBER($V548),$A548&amp;"|"&amp;$V548,"")</f>
        <v/>
      </c>
      <c r="AA548" s="27">
        <f>IF(ISNUMBER($W548),$A548&amp;"|"&amp;$W548,"")</f>
        <v/>
      </c>
      <c r="AB548" s="27">
        <f>IF(ISNUMBER($F548),$A548&amp;"|"&amp;$F548,"")</f>
        <v/>
      </c>
      <c r="AC548" s="27">
        <f>IF(ISNUMBER($P548),COUNTIFS($A$14:$A$1213,$A548,$P$14:$P$1213,"&gt;"&amp;$P548)+(COUNTIFS($A$14:$A$1213,$A548,$P$14:$P$1213,"="&amp;$P548)+1)/2,"")</f>
        <v/>
      </c>
      <c r="AD548" s="27">
        <f>IF(ISNUMBER($Q548),COUNTIFS($A$14:$A$1213,$A548,$Q$14:$Q$1213,"&gt;"&amp;$Q548)+(COUNTIFS($A$14:$A$1213,$A548,$Q$14:$Q$1213,"="&amp;$Q548)+1)/2,"")</f>
        <v/>
      </c>
      <c r="AE548" s="27">
        <f>IF(ISNUMBER($R548),COUNTIFS($A$14:$A$1213,$A548,$R$14:$R$1213,"&gt;"&amp;$R548)+(COUNTIFS($A$14:$A$1213,$A548,$R$14:$R$1213,"="&amp;$R548)+1)/2,"")</f>
        <v/>
      </c>
      <c r="AF548" s="27">
        <f>IF(ISNUMBER($S548),COUNTIFS($A$14:$A$1213,$A548,$S$14:$S$1213,"&gt;"&amp;$S548)+(COUNTIFS($A$14:$A$1213,$A548,$S$14:$S$1213,"="&amp;$S548)+1)/2,"")</f>
        <v/>
      </c>
      <c r="AG548" s="27">
        <f>IF(ISNUMBER($T548),COUNTIFS($A$14:$A$1213,$A548,$T$14:$T$1213,"&gt;"&amp;$T548)+(COUNTIFS($A$14:$A$1213,$A548,$T$14:$T$1213,"="&amp;$T548)+1)/2,"")</f>
        <v/>
      </c>
      <c r="AH548" s="27">
        <f>IF(COUNT($AC548:$AG548)&lt;2,"",IF(MAX($AC548:$AG548)=MIN($AC548:$AG548),0,1))</f>
        <v/>
      </c>
      <c r="AI548" s="27">
        <f>IF($A548="","",IF(COUNTIF($A$14:$A548,$A548)=1,COUNTIF($AI$13:AI547,"&gt;0")+1,""))</f>
        <v/>
      </c>
      <c r="AO548" s="27">
        <f>IF($A548="","",IF(AND(COUNTIFS($A$14:$A$1213,$A548,$F$14:$F$1213,"&gt;=0")=2,IFERROR(INDEX($M$14:$M$313,MATCH($A548,$H$14:$H$313,0)),"Yes")&lt;&gt;"Yes"),1,0))</f>
        <v/>
      </c>
    </row>
    <row r="549">
      <c r="A549" s="19" t="n"/>
      <c r="B549" s="20" t="n"/>
      <c r="C549" s="21">
        <f>IFERROR(AVERAGE(P549:T549),"")</f>
        <v/>
      </c>
      <c r="D549" s="29" t="n"/>
      <c r="E549" s="29" t="n"/>
      <c r="F549" s="30">
        <f>IF(AND(ISNUMBER($D549),ISNUMBER($E549),$E549&gt;0,$D549&lt;=$E549),$D549/$E549,"")</f>
        <v/>
      </c>
      <c r="P549" s="26" t="n"/>
      <c r="Q549" s="26" t="n"/>
      <c r="R549" s="26" t="n"/>
      <c r="S549" s="26" t="n"/>
      <c r="T549" s="26" t="n"/>
      <c r="V549" s="27">
        <f>IF(ISNUMBER($C549),COUNTIFS($A$14:$A$1213,$A549,$C$14:$C$1213,"&gt;"&amp;$C549)+(COUNTIFS($A$14:$A$1213,$A549,$C$14:$C$1213,"="&amp;$C549)+1)/2,"")</f>
        <v/>
      </c>
      <c r="W549" s="27">
        <f>IF(ISNUMBER($F549),COUNTIFS($A$14:$A$1213,$A549,$F$14:$F$1213,"&gt;"&amp;$F549)+(COUNTIFS($A$14:$A$1213,$A549,$F$14:$F$1213,"="&amp;$F549)+1)/2,"")</f>
        <v/>
      </c>
      <c r="X549" s="27">
        <f>IF(OR(NOT(ISNUMBER($V549)),$AO549=1),"",$V549-(COUNTIFS($A$14:$A$1213,$A549,$C$14:$C$1213,"&gt;=0")+1)/2)</f>
        <v/>
      </c>
      <c r="Y549" s="27">
        <f>IF(OR(NOT(ISNUMBER($W549)),$AO549=1),"",$W549-(COUNTIFS($A$14:$A$1213,$A549,$F$14:$F$1213,"&gt;=0")+1)/2)</f>
        <v/>
      </c>
      <c r="Z549" s="27">
        <f>IF(ISNUMBER($V549),$A549&amp;"|"&amp;$V549,"")</f>
        <v/>
      </c>
      <c r="AA549" s="27">
        <f>IF(ISNUMBER($W549),$A549&amp;"|"&amp;$W549,"")</f>
        <v/>
      </c>
      <c r="AB549" s="27">
        <f>IF(ISNUMBER($F549),$A549&amp;"|"&amp;$F549,"")</f>
        <v/>
      </c>
      <c r="AC549" s="27">
        <f>IF(ISNUMBER($P549),COUNTIFS($A$14:$A$1213,$A549,$P$14:$P$1213,"&gt;"&amp;$P549)+(COUNTIFS($A$14:$A$1213,$A549,$P$14:$P$1213,"="&amp;$P549)+1)/2,"")</f>
        <v/>
      </c>
      <c r="AD549" s="27">
        <f>IF(ISNUMBER($Q549),COUNTIFS($A$14:$A$1213,$A549,$Q$14:$Q$1213,"&gt;"&amp;$Q549)+(COUNTIFS($A$14:$A$1213,$A549,$Q$14:$Q$1213,"="&amp;$Q549)+1)/2,"")</f>
        <v/>
      </c>
      <c r="AE549" s="27">
        <f>IF(ISNUMBER($R549),COUNTIFS($A$14:$A$1213,$A549,$R$14:$R$1213,"&gt;"&amp;$R549)+(COUNTIFS($A$14:$A$1213,$A549,$R$14:$R$1213,"="&amp;$R549)+1)/2,"")</f>
        <v/>
      </c>
      <c r="AF549" s="27">
        <f>IF(ISNUMBER($S549),COUNTIFS($A$14:$A$1213,$A549,$S$14:$S$1213,"&gt;"&amp;$S549)+(COUNTIFS($A$14:$A$1213,$A549,$S$14:$S$1213,"="&amp;$S549)+1)/2,"")</f>
        <v/>
      </c>
      <c r="AG549" s="27">
        <f>IF(ISNUMBER($T549),COUNTIFS($A$14:$A$1213,$A549,$T$14:$T$1213,"&gt;"&amp;$T549)+(COUNTIFS($A$14:$A$1213,$A549,$T$14:$T$1213,"="&amp;$T549)+1)/2,"")</f>
        <v/>
      </c>
      <c r="AH549" s="27">
        <f>IF(COUNT($AC549:$AG549)&lt;2,"",IF(MAX($AC549:$AG549)=MIN($AC549:$AG549),0,1))</f>
        <v/>
      </c>
      <c r="AI549" s="27">
        <f>IF($A549="","",IF(COUNTIF($A$14:$A549,$A549)=1,COUNTIF($AI$13:AI548,"&gt;0")+1,""))</f>
        <v/>
      </c>
      <c r="AO549" s="27">
        <f>IF($A549="","",IF(AND(COUNTIFS($A$14:$A$1213,$A549,$F$14:$F$1213,"&gt;=0")=2,IFERROR(INDEX($M$14:$M$313,MATCH($A549,$H$14:$H$313,0)),"Yes")&lt;&gt;"Yes"),1,0))</f>
        <v/>
      </c>
    </row>
    <row r="550">
      <c r="A550" s="19" t="n"/>
      <c r="B550" s="20" t="n"/>
      <c r="C550" s="21">
        <f>IFERROR(AVERAGE(P550:T550),"")</f>
        <v/>
      </c>
      <c r="D550" s="29" t="n"/>
      <c r="E550" s="29" t="n"/>
      <c r="F550" s="30">
        <f>IF(AND(ISNUMBER($D550),ISNUMBER($E550),$E550&gt;0,$D550&lt;=$E550),$D550/$E550,"")</f>
        <v/>
      </c>
      <c r="P550" s="26" t="n"/>
      <c r="Q550" s="26" t="n"/>
      <c r="R550" s="26" t="n"/>
      <c r="S550" s="26" t="n"/>
      <c r="T550" s="26" t="n"/>
      <c r="V550" s="27">
        <f>IF(ISNUMBER($C550),COUNTIFS($A$14:$A$1213,$A550,$C$14:$C$1213,"&gt;"&amp;$C550)+(COUNTIFS($A$14:$A$1213,$A550,$C$14:$C$1213,"="&amp;$C550)+1)/2,"")</f>
        <v/>
      </c>
      <c r="W550" s="27">
        <f>IF(ISNUMBER($F550),COUNTIFS($A$14:$A$1213,$A550,$F$14:$F$1213,"&gt;"&amp;$F550)+(COUNTIFS($A$14:$A$1213,$A550,$F$14:$F$1213,"="&amp;$F550)+1)/2,"")</f>
        <v/>
      </c>
      <c r="X550" s="27">
        <f>IF(OR(NOT(ISNUMBER($V550)),$AO550=1),"",$V550-(COUNTIFS($A$14:$A$1213,$A550,$C$14:$C$1213,"&gt;=0")+1)/2)</f>
        <v/>
      </c>
      <c r="Y550" s="27">
        <f>IF(OR(NOT(ISNUMBER($W550)),$AO550=1),"",$W550-(COUNTIFS($A$14:$A$1213,$A550,$F$14:$F$1213,"&gt;=0")+1)/2)</f>
        <v/>
      </c>
      <c r="Z550" s="27">
        <f>IF(ISNUMBER($V550),$A550&amp;"|"&amp;$V550,"")</f>
        <v/>
      </c>
      <c r="AA550" s="27">
        <f>IF(ISNUMBER($W550),$A550&amp;"|"&amp;$W550,"")</f>
        <v/>
      </c>
      <c r="AB550" s="27">
        <f>IF(ISNUMBER($F550),$A550&amp;"|"&amp;$F550,"")</f>
        <v/>
      </c>
      <c r="AC550" s="27">
        <f>IF(ISNUMBER($P550),COUNTIFS($A$14:$A$1213,$A550,$P$14:$P$1213,"&gt;"&amp;$P550)+(COUNTIFS($A$14:$A$1213,$A550,$P$14:$P$1213,"="&amp;$P550)+1)/2,"")</f>
        <v/>
      </c>
      <c r="AD550" s="27">
        <f>IF(ISNUMBER($Q550),COUNTIFS($A$14:$A$1213,$A550,$Q$14:$Q$1213,"&gt;"&amp;$Q550)+(COUNTIFS($A$14:$A$1213,$A550,$Q$14:$Q$1213,"="&amp;$Q550)+1)/2,"")</f>
        <v/>
      </c>
      <c r="AE550" s="27">
        <f>IF(ISNUMBER($R550),COUNTIFS($A$14:$A$1213,$A550,$R$14:$R$1213,"&gt;"&amp;$R550)+(COUNTIFS($A$14:$A$1213,$A550,$R$14:$R$1213,"="&amp;$R550)+1)/2,"")</f>
        <v/>
      </c>
      <c r="AF550" s="27">
        <f>IF(ISNUMBER($S550),COUNTIFS($A$14:$A$1213,$A550,$S$14:$S$1213,"&gt;"&amp;$S550)+(COUNTIFS($A$14:$A$1213,$A550,$S$14:$S$1213,"="&amp;$S550)+1)/2,"")</f>
        <v/>
      </c>
      <c r="AG550" s="27">
        <f>IF(ISNUMBER($T550),COUNTIFS($A$14:$A$1213,$A550,$T$14:$T$1213,"&gt;"&amp;$T550)+(COUNTIFS($A$14:$A$1213,$A550,$T$14:$T$1213,"="&amp;$T550)+1)/2,"")</f>
        <v/>
      </c>
      <c r="AH550" s="27">
        <f>IF(COUNT($AC550:$AG550)&lt;2,"",IF(MAX($AC550:$AG550)=MIN($AC550:$AG550),0,1))</f>
        <v/>
      </c>
      <c r="AI550" s="27">
        <f>IF($A550="","",IF(COUNTIF($A$14:$A550,$A550)=1,COUNTIF($AI$13:AI549,"&gt;0")+1,""))</f>
        <v/>
      </c>
      <c r="AO550" s="27">
        <f>IF($A550="","",IF(AND(COUNTIFS($A$14:$A$1213,$A550,$F$14:$F$1213,"&gt;=0")=2,IFERROR(INDEX($M$14:$M$313,MATCH($A550,$H$14:$H$313,0)),"Yes")&lt;&gt;"Yes"),1,0))</f>
        <v/>
      </c>
    </row>
    <row r="551">
      <c r="A551" s="19" t="n"/>
      <c r="B551" s="20" t="n"/>
      <c r="C551" s="21">
        <f>IFERROR(AVERAGE(P551:T551),"")</f>
        <v/>
      </c>
      <c r="D551" s="29" t="n"/>
      <c r="E551" s="29" t="n"/>
      <c r="F551" s="30">
        <f>IF(AND(ISNUMBER($D551),ISNUMBER($E551),$E551&gt;0,$D551&lt;=$E551),$D551/$E551,"")</f>
        <v/>
      </c>
      <c r="P551" s="26" t="n"/>
      <c r="Q551" s="26" t="n"/>
      <c r="R551" s="26" t="n"/>
      <c r="S551" s="26" t="n"/>
      <c r="T551" s="26" t="n"/>
      <c r="V551" s="27">
        <f>IF(ISNUMBER($C551),COUNTIFS($A$14:$A$1213,$A551,$C$14:$C$1213,"&gt;"&amp;$C551)+(COUNTIFS($A$14:$A$1213,$A551,$C$14:$C$1213,"="&amp;$C551)+1)/2,"")</f>
        <v/>
      </c>
      <c r="W551" s="27">
        <f>IF(ISNUMBER($F551),COUNTIFS($A$14:$A$1213,$A551,$F$14:$F$1213,"&gt;"&amp;$F551)+(COUNTIFS($A$14:$A$1213,$A551,$F$14:$F$1213,"="&amp;$F551)+1)/2,"")</f>
        <v/>
      </c>
      <c r="X551" s="27">
        <f>IF(OR(NOT(ISNUMBER($V551)),$AO551=1),"",$V551-(COUNTIFS($A$14:$A$1213,$A551,$C$14:$C$1213,"&gt;=0")+1)/2)</f>
        <v/>
      </c>
      <c r="Y551" s="27">
        <f>IF(OR(NOT(ISNUMBER($W551)),$AO551=1),"",$W551-(COUNTIFS($A$14:$A$1213,$A551,$F$14:$F$1213,"&gt;=0")+1)/2)</f>
        <v/>
      </c>
      <c r="Z551" s="27">
        <f>IF(ISNUMBER($V551),$A551&amp;"|"&amp;$V551,"")</f>
        <v/>
      </c>
      <c r="AA551" s="27">
        <f>IF(ISNUMBER($W551),$A551&amp;"|"&amp;$W551,"")</f>
        <v/>
      </c>
      <c r="AB551" s="27">
        <f>IF(ISNUMBER($F551),$A551&amp;"|"&amp;$F551,"")</f>
        <v/>
      </c>
      <c r="AC551" s="27">
        <f>IF(ISNUMBER($P551),COUNTIFS($A$14:$A$1213,$A551,$P$14:$P$1213,"&gt;"&amp;$P551)+(COUNTIFS($A$14:$A$1213,$A551,$P$14:$P$1213,"="&amp;$P551)+1)/2,"")</f>
        <v/>
      </c>
      <c r="AD551" s="27">
        <f>IF(ISNUMBER($Q551),COUNTIFS($A$14:$A$1213,$A551,$Q$14:$Q$1213,"&gt;"&amp;$Q551)+(COUNTIFS($A$14:$A$1213,$A551,$Q$14:$Q$1213,"="&amp;$Q551)+1)/2,"")</f>
        <v/>
      </c>
      <c r="AE551" s="27">
        <f>IF(ISNUMBER($R551),COUNTIFS($A$14:$A$1213,$A551,$R$14:$R$1213,"&gt;"&amp;$R551)+(COUNTIFS($A$14:$A$1213,$A551,$R$14:$R$1213,"="&amp;$R551)+1)/2,"")</f>
        <v/>
      </c>
      <c r="AF551" s="27">
        <f>IF(ISNUMBER($S551),COUNTIFS($A$14:$A$1213,$A551,$S$14:$S$1213,"&gt;"&amp;$S551)+(COUNTIFS($A$14:$A$1213,$A551,$S$14:$S$1213,"="&amp;$S551)+1)/2,"")</f>
        <v/>
      </c>
      <c r="AG551" s="27">
        <f>IF(ISNUMBER($T551),COUNTIFS($A$14:$A$1213,$A551,$T$14:$T$1213,"&gt;"&amp;$T551)+(COUNTIFS($A$14:$A$1213,$A551,$T$14:$T$1213,"="&amp;$T551)+1)/2,"")</f>
        <v/>
      </c>
      <c r="AH551" s="27">
        <f>IF(COUNT($AC551:$AG551)&lt;2,"",IF(MAX($AC551:$AG551)=MIN($AC551:$AG551),0,1))</f>
        <v/>
      </c>
      <c r="AI551" s="27">
        <f>IF($A551="","",IF(COUNTIF($A$14:$A551,$A551)=1,COUNTIF($AI$13:AI550,"&gt;0")+1,""))</f>
        <v/>
      </c>
      <c r="AO551" s="27">
        <f>IF($A551="","",IF(AND(COUNTIFS($A$14:$A$1213,$A551,$F$14:$F$1213,"&gt;=0")=2,IFERROR(INDEX($M$14:$M$313,MATCH($A551,$H$14:$H$313,0)),"Yes")&lt;&gt;"Yes"),1,0))</f>
        <v/>
      </c>
    </row>
    <row r="552">
      <c r="A552" s="19" t="n"/>
      <c r="B552" s="20" t="n"/>
      <c r="C552" s="21">
        <f>IFERROR(AVERAGE(P552:T552),"")</f>
        <v/>
      </c>
      <c r="D552" s="29" t="n"/>
      <c r="E552" s="29" t="n"/>
      <c r="F552" s="30">
        <f>IF(AND(ISNUMBER($D552),ISNUMBER($E552),$E552&gt;0,$D552&lt;=$E552),$D552/$E552,"")</f>
        <v/>
      </c>
      <c r="P552" s="26" t="n"/>
      <c r="Q552" s="26" t="n"/>
      <c r="R552" s="26" t="n"/>
      <c r="S552" s="26" t="n"/>
      <c r="T552" s="26" t="n"/>
      <c r="V552" s="27">
        <f>IF(ISNUMBER($C552),COUNTIFS($A$14:$A$1213,$A552,$C$14:$C$1213,"&gt;"&amp;$C552)+(COUNTIFS($A$14:$A$1213,$A552,$C$14:$C$1213,"="&amp;$C552)+1)/2,"")</f>
        <v/>
      </c>
      <c r="W552" s="27">
        <f>IF(ISNUMBER($F552),COUNTIFS($A$14:$A$1213,$A552,$F$14:$F$1213,"&gt;"&amp;$F552)+(COUNTIFS($A$14:$A$1213,$A552,$F$14:$F$1213,"="&amp;$F552)+1)/2,"")</f>
        <v/>
      </c>
      <c r="X552" s="27">
        <f>IF(OR(NOT(ISNUMBER($V552)),$AO552=1),"",$V552-(COUNTIFS($A$14:$A$1213,$A552,$C$14:$C$1213,"&gt;=0")+1)/2)</f>
        <v/>
      </c>
      <c r="Y552" s="27">
        <f>IF(OR(NOT(ISNUMBER($W552)),$AO552=1),"",$W552-(COUNTIFS($A$14:$A$1213,$A552,$F$14:$F$1213,"&gt;=0")+1)/2)</f>
        <v/>
      </c>
      <c r="Z552" s="27">
        <f>IF(ISNUMBER($V552),$A552&amp;"|"&amp;$V552,"")</f>
        <v/>
      </c>
      <c r="AA552" s="27">
        <f>IF(ISNUMBER($W552),$A552&amp;"|"&amp;$W552,"")</f>
        <v/>
      </c>
      <c r="AB552" s="27">
        <f>IF(ISNUMBER($F552),$A552&amp;"|"&amp;$F552,"")</f>
        <v/>
      </c>
      <c r="AC552" s="27">
        <f>IF(ISNUMBER($P552),COUNTIFS($A$14:$A$1213,$A552,$P$14:$P$1213,"&gt;"&amp;$P552)+(COUNTIFS($A$14:$A$1213,$A552,$P$14:$P$1213,"="&amp;$P552)+1)/2,"")</f>
        <v/>
      </c>
      <c r="AD552" s="27">
        <f>IF(ISNUMBER($Q552),COUNTIFS($A$14:$A$1213,$A552,$Q$14:$Q$1213,"&gt;"&amp;$Q552)+(COUNTIFS($A$14:$A$1213,$A552,$Q$14:$Q$1213,"="&amp;$Q552)+1)/2,"")</f>
        <v/>
      </c>
      <c r="AE552" s="27">
        <f>IF(ISNUMBER($R552),COUNTIFS($A$14:$A$1213,$A552,$R$14:$R$1213,"&gt;"&amp;$R552)+(COUNTIFS($A$14:$A$1213,$A552,$R$14:$R$1213,"="&amp;$R552)+1)/2,"")</f>
        <v/>
      </c>
      <c r="AF552" s="27">
        <f>IF(ISNUMBER($S552),COUNTIFS($A$14:$A$1213,$A552,$S$14:$S$1213,"&gt;"&amp;$S552)+(COUNTIFS($A$14:$A$1213,$A552,$S$14:$S$1213,"="&amp;$S552)+1)/2,"")</f>
        <v/>
      </c>
      <c r="AG552" s="27">
        <f>IF(ISNUMBER($T552),COUNTIFS($A$14:$A$1213,$A552,$T$14:$T$1213,"&gt;"&amp;$T552)+(COUNTIFS($A$14:$A$1213,$A552,$T$14:$T$1213,"="&amp;$T552)+1)/2,"")</f>
        <v/>
      </c>
      <c r="AH552" s="27">
        <f>IF(COUNT($AC552:$AG552)&lt;2,"",IF(MAX($AC552:$AG552)=MIN($AC552:$AG552),0,1))</f>
        <v/>
      </c>
      <c r="AI552" s="27">
        <f>IF($A552="","",IF(COUNTIF($A$14:$A552,$A552)=1,COUNTIF($AI$13:AI551,"&gt;0")+1,""))</f>
        <v/>
      </c>
      <c r="AO552" s="27">
        <f>IF($A552="","",IF(AND(COUNTIFS($A$14:$A$1213,$A552,$F$14:$F$1213,"&gt;=0")=2,IFERROR(INDEX($M$14:$M$313,MATCH($A552,$H$14:$H$313,0)),"Yes")&lt;&gt;"Yes"),1,0))</f>
        <v/>
      </c>
    </row>
    <row r="553">
      <c r="A553" s="19" t="n"/>
      <c r="B553" s="20" t="n"/>
      <c r="C553" s="21">
        <f>IFERROR(AVERAGE(P553:T553),"")</f>
        <v/>
      </c>
      <c r="D553" s="29" t="n"/>
      <c r="E553" s="29" t="n"/>
      <c r="F553" s="30">
        <f>IF(AND(ISNUMBER($D553),ISNUMBER($E553),$E553&gt;0,$D553&lt;=$E553),$D553/$E553,"")</f>
        <v/>
      </c>
      <c r="P553" s="26" t="n"/>
      <c r="Q553" s="26" t="n"/>
      <c r="R553" s="26" t="n"/>
      <c r="S553" s="26" t="n"/>
      <c r="T553" s="26" t="n"/>
      <c r="V553" s="27">
        <f>IF(ISNUMBER($C553),COUNTIFS($A$14:$A$1213,$A553,$C$14:$C$1213,"&gt;"&amp;$C553)+(COUNTIFS($A$14:$A$1213,$A553,$C$14:$C$1213,"="&amp;$C553)+1)/2,"")</f>
        <v/>
      </c>
      <c r="W553" s="27">
        <f>IF(ISNUMBER($F553),COUNTIFS($A$14:$A$1213,$A553,$F$14:$F$1213,"&gt;"&amp;$F553)+(COUNTIFS($A$14:$A$1213,$A553,$F$14:$F$1213,"="&amp;$F553)+1)/2,"")</f>
        <v/>
      </c>
      <c r="X553" s="27">
        <f>IF(OR(NOT(ISNUMBER($V553)),$AO553=1),"",$V553-(COUNTIFS($A$14:$A$1213,$A553,$C$14:$C$1213,"&gt;=0")+1)/2)</f>
        <v/>
      </c>
      <c r="Y553" s="27">
        <f>IF(OR(NOT(ISNUMBER($W553)),$AO553=1),"",$W553-(COUNTIFS($A$14:$A$1213,$A553,$F$14:$F$1213,"&gt;=0")+1)/2)</f>
        <v/>
      </c>
      <c r="Z553" s="27">
        <f>IF(ISNUMBER($V553),$A553&amp;"|"&amp;$V553,"")</f>
        <v/>
      </c>
      <c r="AA553" s="27">
        <f>IF(ISNUMBER($W553),$A553&amp;"|"&amp;$W553,"")</f>
        <v/>
      </c>
      <c r="AB553" s="27">
        <f>IF(ISNUMBER($F553),$A553&amp;"|"&amp;$F553,"")</f>
        <v/>
      </c>
      <c r="AC553" s="27">
        <f>IF(ISNUMBER($P553),COUNTIFS($A$14:$A$1213,$A553,$P$14:$P$1213,"&gt;"&amp;$P553)+(COUNTIFS($A$14:$A$1213,$A553,$P$14:$P$1213,"="&amp;$P553)+1)/2,"")</f>
        <v/>
      </c>
      <c r="AD553" s="27">
        <f>IF(ISNUMBER($Q553),COUNTIFS($A$14:$A$1213,$A553,$Q$14:$Q$1213,"&gt;"&amp;$Q553)+(COUNTIFS($A$14:$A$1213,$A553,$Q$14:$Q$1213,"="&amp;$Q553)+1)/2,"")</f>
        <v/>
      </c>
      <c r="AE553" s="27">
        <f>IF(ISNUMBER($R553),COUNTIFS($A$14:$A$1213,$A553,$R$14:$R$1213,"&gt;"&amp;$R553)+(COUNTIFS($A$14:$A$1213,$A553,$R$14:$R$1213,"="&amp;$R553)+1)/2,"")</f>
        <v/>
      </c>
      <c r="AF553" s="27">
        <f>IF(ISNUMBER($S553),COUNTIFS($A$14:$A$1213,$A553,$S$14:$S$1213,"&gt;"&amp;$S553)+(COUNTIFS($A$14:$A$1213,$A553,$S$14:$S$1213,"="&amp;$S553)+1)/2,"")</f>
        <v/>
      </c>
      <c r="AG553" s="27">
        <f>IF(ISNUMBER($T553),COUNTIFS($A$14:$A$1213,$A553,$T$14:$T$1213,"&gt;"&amp;$T553)+(COUNTIFS($A$14:$A$1213,$A553,$T$14:$T$1213,"="&amp;$T553)+1)/2,"")</f>
        <v/>
      </c>
      <c r="AH553" s="27">
        <f>IF(COUNT($AC553:$AG553)&lt;2,"",IF(MAX($AC553:$AG553)=MIN($AC553:$AG553),0,1))</f>
        <v/>
      </c>
      <c r="AI553" s="27">
        <f>IF($A553="","",IF(COUNTIF($A$14:$A553,$A553)=1,COUNTIF($AI$13:AI552,"&gt;0")+1,""))</f>
        <v/>
      </c>
      <c r="AO553" s="27">
        <f>IF($A553="","",IF(AND(COUNTIFS($A$14:$A$1213,$A553,$F$14:$F$1213,"&gt;=0")=2,IFERROR(INDEX($M$14:$M$313,MATCH($A553,$H$14:$H$313,0)),"Yes")&lt;&gt;"Yes"),1,0))</f>
        <v/>
      </c>
    </row>
    <row r="554">
      <c r="A554" s="19" t="n"/>
      <c r="B554" s="20" t="n"/>
      <c r="C554" s="21">
        <f>IFERROR(AVERAGE(P554:T554),"")</f>
        <v/>
      </c>
      <c r="D554" s="29" t="n"/>
      <c r="E554" s="29" t="n"/>
      <c r="F554" s="30">
        <f>IF(AND(ISNUMBER($D554),ISNUMBER($E554),$E554&gt;0,$D554&lt;=$E554),$D554/$E554,"")</f>
        <v/>
      </c>
      <c r="P554" s="26" t="n"/>
      <c r="Q554" s="26" t="n"/>
      <c r="R554" s="26" t="n"/>
      <c r="S554" s="26" t="n"/>
      <c r="T554" s="26" t="n"/>
      <c r="V554" s="27">
        <f>IF(ISNUMBER($C554),COUNTIFS($A$14:$A$1213,$A554,$C$14:$C$1213,"&gt;"&amp;$C554)+(COUNTIFS($A$14:$A$1213,$A554,$C$14:$C$1213,"="&amp;$C554)+1)/2,"")</f>
        <v/>
      </c>
      <c r="W554" s="27">
        <f>IF(ISNUMBER($F554),COUNTIFS($A$14:$A$1213,$A554,$F$14:$F$1213,"&gt;"&amp;$F554)+(COUNTIFS($A$14:$A$1213,$A554,$F$14:$F$1213,"="&amp;$F554)+1)/2,"")</f>
        <v/>
      </c>
      <c r="X554" s="27">
        <f>IF(OR(NOT(ISNUMBER($V554)),$AO554=1),"",$V554-(COUNTIFS($A$14:$A$1213,$A554,$C$14:$C$1213,"&gt;=0")+1)/2)</f>
        <v/>
      </c>
      <c r="Y554" s="27">
        <f>IF(OR(NOT(ISNUMBER($W554)),$AO554=1),"",$W554-(COUNTIFS($A$14:$A$1213,$A554,$F$14:$F$1213,"&gt;=0")+1)/2)</f>
        <v/>
      </c>
      <c r="Z554" s="27">
        <f>IF(ISNUMBER($V554),$A554&amp;"|"&amp;$V554,"")</f>
        <v/>
      </c>
      <c r="AA554" s="27">
        <f>IF(ISNUMBER($W554),$A554&amp;"|"&amp;$W554,"")</f>
        <v/>
      </c>
      <c r="AB554" s="27">
        <f>IF(ISNUMBER($F554),$A554&amp;"|"&amp;$F554,"")</f>
        <v/>
      </c>
      <c r="AC554" s="27">
        <f>IF(ISNUMBER($P554),COUNTIFS($A$14:$A$1213,$A554,$P$14:$P$1213,"&gt;"&amp;$P554)+(COUNTIFS($A$14:$A$1213,$A554,$P$14:$P$1213,"="&amp;$P554)+1)/2,"")</f>
        <v/>
      </c>
      <c r="AD554" s="27">
        <f>IF(ISNUMBER($Q554),COUNTIFS($A$14:$A$1213,$A554,$Q$14:$Q$1213,"&gt;"&amp;$Q554)+(COUNTIFS($A$14:$A$1213,$A554,$Q$14:$Q$1213,"="&amp;$Q554)+1)/2,"")</f>
        <v/>
      </c>
      <c r="AE554" s="27">
        <f>IF(ISNUMBER($R554),COUNTIFS($A$14:$A$1213,$A554,$R$14:$R$1213,"&gt;"&amp;$R554)+(COUNTIFS($A$14:$A$1213,$A554,$R$14:$R$1213,"="&amp;$R554)+1)/2,"")</f>
        <v/>
      </c>
      <c r="AF554" s="27">
        <f>IF(ISNUMBER($S554),COUNTIFS($A$14:$A$1213,$A554,$S$14:$S$1213,"&gt;"&amp;$S554)+(COUNTIFS($A$14:$A$1213,$A554,$S$14:$S$1213,"="&amp;$S554)+1)/2,"")</f>
        <v/>
      </c>
      <c r="AG554" s="27">
        <f>IF(ISNUMBER($T554),COUNTIFS($A$14:$A$1213,$A554,$T$14:$T$1213,"&gt;"&amp;$T554)+(COUNTIFS($A$14:$A$1213,$A554,$T$14:$T$1213,"="&amp;$T554)+1)/2,"")</f>
        <v/>
      </c>
      <c r="AH554" s="27">
        <f>IF(COUNT($AC554:$AG554)&lt;2,"",IF(MAX($AC554:$AG554)=MIN($AC554:$AG554),0,1))</f>
        <v/>
      </c>
      <c r="AI554" s="27">
        <f>IF($A554="","",IF(COUNTIF($A$14:$A554,$A554)=1,COUNTIF($AI$13:AI553,"&gt;0")+1,""))</f>
        <v/>
      </c>
      <c r="AO554" s="27">
        <f>IF($A554="","",IF(AND(COUNTIFS($A$14:$A$1213,$A554,$F$14:$F$1213,"&gt;=0")=2,IFERROR(INDEX($M$14:$M$313,MATCH($A554,$H$14:$H$313,0)),"Yes")&lt;&gt;"Yes"),1,0))</f>
        <v/>
      </c>
    </row>
    <row r="555">
      <c r="A555" s="19" t="n"/>
      <c r="B555" s="20" t="n"/>
      <c r="C555" s="21">
        <f>IFERROR(AVERAGE(P555:T555),"")</f>
        <v/>
      </c>
      <c r="D555" s="29" t="n"/>
      <c r="E555" s="29" t="n"/>
      <c r="F555" s="30">
        <f>IF(AND(ISNUMBER($D555),ISNUMBER($E555),$E555&gt;0,$D555&lt;=$E555),$D555/$E555,"")</f>
        <v/>
      </c>
      <c r="P555" s="26" t="n"/>
      <c r="Q555" s="26" t="n"/>
      <c r="R555" s="26" t="n"/>
      <c r="S555" s="26" t="n"/>
      <c r="T555" s="26" t="n"/>
      <c r="V555" s="27">
        <f>IF(ISNUMBER($C555),COUNTIFS($A$14:$A$1213,$A555,$C$14:$C$1213,"&gt;"&amp;$C555)+(COUNTIFS($A$14:$A$1213,$A555,$C$14:$C$1213,"="&amp;$C555)+1)/2,"")</f>
        <v/>
      </c>
      <c r="W555" s="27">
        <f>IF(ISNUMBER($F555),COUNTIFS($A$14:$A$1213,$A555,$F$14:$F$1213,"&gt;"&amp;$F555)+(COUNTIFS($A$14:$A$1213,$A555,$F$14:$F$1213,"="&amp;$F555)+1)/2,"")</f>
        <v/>
      </c>
      <c r="X555" s="27">
        <f>IF(OR(NOT(ISNUMBER($V555)),$AO555=1),"",$V555-(COUNTIFS($A$14:$A$1213,$A555,$C$14:$C$1213,"&gt;=0")+1)/2)</f>
        <v/>
      </c>
      <c r="Y555" s="27">
        <f>IF(OR(NOT(ISNUMBER($W555)),$AO555=1),"",$W555-(COUNTIFS($A$14:$A$1213,$A555,$F$14:$F$1213,"&gt;=0")+1)/2)</f>
        <v/>
      </c>
      <c r="Z555" s="27">
        <f>IF(ISNUMBER($V555),$A555&amp;"|"&amp;$V555,"")</f>
        <v/>
      </c>
      <c r="AA555" s="27">
        <f>IF(ISNUMBER($W555),$A555&amp;"|"&amp;$W555,"")</f>
        <v/>
      </c>
      <c r="AB555" s="27">
        <f>IF(ISNUMBER($F555),$A555&amp;"|"&amp;$F555,"")</f>
        <v/>
      </c>
      <c r="AC555" s="27">
        <f>IF(ISNUMBER($P555),COUNTIFS($A$14:$A$1213,$A555,$P$14:$P$1213,"&gt;"&amp;$P555)+(COUNTIFS($A$14:$A$1213,$A555,$P$14:$P$1213,"="&amp;$P555)+1)/2,"")</f>
        <v/>
      </c>
      <c r="AD555" s="27">
        <f>IF(ISNUMBER($Q555),COUNTIFS($A$14:$A$1213,$A555,$Q$14:$Q$1213,"&gt;"&amp;$Q555)+(COUNTIFS($A$14:$A$1213,$A555,$Q$14:$Q$1213,"="&amp;$Q555)+1)/2,"")</f>
        <v/>
      </c>
      <c r="AE555" s="27">
        <f>IF(ISNUMBER($R555),COUNTIFS($A$14:$A$1213,$A555,$R$14:$R$1213,"&gt;"&amp;$R555)+(COUNTIFS($A$14:$A$1213,$A555,$R$14:$R$1213,"="&amp;$R555)+1)/2,"")</f>
        <v/>
      </c>
      <c r="AF555" s="27">
        <f>IF(ISNUMBER($S555),COUNTIFS($A$14:$A$1213,$A555,$S$14:$S$1213,"&gt;"&amp;$S555)+(COUNTIFS($A$14:$A$1213,$A555,$S$14:$S$1213,"="&amp;$S555)+1)/2,"")</f>
        <v/>
      </c>
      <c r="AG555" s="27">
        <f>IF(ISNUMBER($T555),COUNTIFS($A$14:$A$1213,$A555,$T$14:$T$1213,"&gt;"&amp;$T555)+(COUNTIFS($A$14:$A$1213,$A555,$T$14:$T$1213,"="&amp;$T555)+1)/2,"")</f>
        <v/>
      </c>
      <c r="AH555" s="27">
        <f>IF(COUNT($AC555:$AG555)&lt;2,"",IF(MAX($AC555:$AG555)=MIN($AC555:$AG555),0,1))</f>
        <v/>
      </c>
      <c r="AI555" s="27">
        <f>IF($A555="","",IF(COUNTIF($A$14:$A555,$A555)=1,COUNTIF($AI$13:AI554,"&gt;0")+1,""))</f>
        <v/>
      </c>
      <c r="AO555" s="27">
        <f>IF($A555="","",IF(AND(COUNTIFS($A$14:$A$1213,$A555,$F$14:$F$1213,"&gt;=0")=2,IFERROR(INDEX($M$14:$M$313,MATCH($A555,$H$14:$H$313,0)),"Yes")&lt;&gt;"Yes"),1,0))</f>
        <v/>
      </c>
    </row>
    <row r="556">
      <c r="A556" s="19" t="n"/>
      <c r="B556" s="20" t="n"/>
      <c r="C556" s="21">
        <f>IFERROR(AVERAGE(P556:T556),"")</f>
        <v/>
      </c>
      <c r="D556" s="29" t="n"/>
      <c r="E556" s="29" t="n"/>
      <c r="F556" s="30">
        <f>IF(AND(ISNUMBER($D556),ISNUMBER($E556),$E556&gt;0,$D556&lt;=$E556),$D556/$E556,"")</f>
        <v/>
      </c>
      <c r="P556" s="26" t="n"/>
      <c r="Q556" s="26" t="n"/>
      <c r="R556" s="26" t="n"/>
      <c r="S556" s="26" t="n"/>
      <c r="T556" s="26" t="n"/>
      <c r="V556" s="27">
        <f>IF(ISNUMBER($C556),COUNTIFS($A$14:$A$1213,$A556,$C$14:$C$1213,"&gt;"&amp;$C556)+(COUNTIFS($A$14:$A$1213,$A556,$C$14:$C$1213,"="&amp;$C556)+1)/2,"")</f>
        <v/>
      </c>
      <c r="W556" s="27">
        <f>IF(ISNUMBER($F556),COUNTIFS($A$14:$A$1213,$A556,$F$14:$F$1213,"&gt;"&amp;$F556)+(COUNTIFS($A$14:$A$1213,$A556,$F$14:$F$1213,"="&amp;$F556)+1)/2,"")</f>
        <v/>
      </c>
      <c r="X556" s="27">
        <f>IF(OR(NOT(ISNUMBER($V556)),$AO556=1),"",$V556-(COUNTIFS($A$14:$A$1213,$A556,$C$14:$C$1213,"&gt;=0")+1)/2)</f>
        <v/>
      </c>
      <c r="Y556" s="27">
        <f>IF(OR(NOT(ISNUMBER($W556)),$AO556=1),"",$W556-(COUNTIFS($A$14:$A$1213,$A556,$F$14:$F$1213,"&gt;=0")+1)/2)</f>
        <v/>
      </c>
      <c r="Z556" s="27">
        <f>IF(ISNUMBER($V556),$A556&amp;"|"&amp;$V556,"")</f>
        <v/>
      </c>
      <c r="AA556" s="27">
        <f>IF(ISNUMBER($W556),$A556&amp;"|"&amp;$W556,"")</f>
        <v/>
      </c>
      <c r="AB556" s="27">
        <f>IF(ISNUMBER($F556),$A556&amp;"|"&amp;$F556,"")</f>
        <v/>
      </c>
      <c r="AC556" s="27">
        <f>IF(ISNUMBER($P556),COUNTIFS($A$14:$A$1213,$A556,$P$14:$P$1213,"&gt;"&amp;$P556)+(COUNTIFS($A$14:$A$1213,$A556,$P$14:$P$1213,"="&amp;$P556)+1)/2,"")</f>
        <v/>
      </c>
      <c r="AD556" s="27">
        <f>IF(ISNUMBER($Q556),COUNTIFS($A$14:$A$1213,$A556,$Q$14:$Q$1213,"&gt;"&amp;$Q556)+(COUNTIFS($A$14:$A$1213,$A556,$Q$14:$Q$1213,"="&amp;$Q556)+1)/2,"")</f>
        <v/>
      </c>
      <c r="AE556" s="27">
        <f>IF(ISNUMBER($R556),COUNTIFS($A$14:$A$1213,$A556,$R$14:$R$1213,"&gt;"&amp;$R556)+(COUNTIFS($A$14:$A$1213,$A556,$R$14:$R$1213,"="&amp;$R556)+1)/2,"")</f>
        <v/>
      </c>
      <c r="AF556" s="27">
        <f>IF(ISNUMBER($S556),COUNTIFS($A$14:$A$1213,$A556,$S$14:$S$1213,"&gt;"&amp;$S556)+(COUNTIFS($A$14:$A$1213,$A556,$S$14:$S$1213,"="&amp;$S556)+1)/2,"")</f>
        <v/>
      </c>
      <c r="AG556" s="27">
        <f>IF(ISNUMBER($T556),COUNTIFS($A$14:$A$1213,$A556,$T$14:$T$1213,"&gt;"&amp;$T556)+(COUNTIFS($A$14:$A$1213,$A556,$T$14:$T$1213,"="&amp;$T556)+1)/2,"")</f>
        <v/>
      </c>
      <c r="AH556" s="27">
        <f>IF(COUNT($AC556:$AG556)&lt;2,"",IF(MAX($AC556:$AG556)=MIN($AC556:$AG556),0,1))</f>
        <v/>
      </c>
      <c r="AI556" s="27">
        <f>IF($A556="","",IF(COUNTIF($A$14:$A556,$A556)=1,COUNTIF($AI$13:AI555,"&gt;0")+1,""))</f>
        <v/>
      </c>
      <c r="AO556" s="27">
        <f>IF($A556="","",IF(AND(COUNTIFS($A$14:$A$1213,$A556,$F$14:$F$1213,"&gt;=0")=2,IFERROR(INDEX($M$14:$M$313,MATCH($A556,$H$14:$H$313,0)),"Yes")&lt;&gt;"Yes"),1,0))</f>
        <v/>
      </c>
    </row>
    <row r="557">
      <c r="A557" s="19" t="n"/>
      <c r="B557" s="20" t="n"/>
      <c r="C557" s="21">
        <f>IFERROR(AVERAGE(P557:T557),"")</f>
        <v/>
      </c>
      <c r="D557" s="29" t="n"/>
      <c r="E557" s="29" t="n"/>
      <c r="F557" s="30">
        <f>IF(AND(ISNUMBER($D557),ISNUMBER($E557),$E557&gt;0,$D557&lt;=$E557),$D557/$E557,"")</f>
        <v/>
      </c>
      <c r="P557" s="26" t="n"/>
      <c r="Q557" s="26" t="n"/>
      <c r="R557" s="26" t="n"/>
      <c r="S557" s="26" t="n"/>
      <c r="T557" s="26" t="n"/>
      <c r="V557" s="27">
        <f>IF(ISNUMBER($C557),COUNTIFS($A$14:$A$1213,$A557,$C$14:$C$1213,"&gt;"&amp;$C557)+(COUNTIFS($A$14:$A$1213,$A557,$C$14:$C$1213,"="&amp;$C557)+1)/2,"")</f>
        <v/>
      </c>
      <c r="W557" s="27">
        <f>IF(ISNUMBER($F557),COUNTIFS($A$14:$A$1213,$A557,$F$14:$F$1213,"&gt;"&amp;$F557)+(COUNTIFS($A$14:$A$1213,$A557,$F$14:$F$1213,"="&amp;$F557)+1)/2,"")</f>
        <v/>
      </c>
      <c r="X557" s="27">
        <f>IF(OR(NOT(ISNUMBER($V557)),$AO557=1),"",$V557-(COUNTIFS($A$14:$A$1213,$A557,$C$14:$C$1213,"&gt;=0")+1)/2)</f>
        <v/>
      </c>
      <c r="Y557" s="27">
        <f>IF(OR(NOT(ISNUMBER($W557)),$AO557=1),"",$W557-(COUNTIFS($A$14:$A$1213,$A557,$F$14:$F$1213,"&gt;=0")+1)/2)</f>
        <v/>
      </c>
      <c r="Z557" s="27">
        <f>IF(ISNUMBER($V557),$A557&amp;"|"&amp;$V557,"")</f>
        <v/>
      </c>
      <c r="AA557" s="27">
        <f>IF(ISNUMBER($W557),$A557&amp;"|"&amp;$W557,"")</f>
        <v/>
      </c>
      <c r="AB557" s="27">
        <f>IF(ISNUMBER($F557),$A557&amp;"|"&amp;$F557,"")</f>
        <v/>
      </c>
      <c r="AC557" s="27">
        <f>IF(ISNUMBER($P557),COUNTIFS($A$14:$A$1213,$A557,$P$14:$P$1213,"&gt;"&amp;$P557)+(COUNTIFS($A$14:$A$1213,$A557,$P$14:$P$1213,"="&amp;$P557)+1)/2,"")</f>
        <v/>
      </c>
      <c r="AD557" s="27">
        <f>IF(ISNUMBER($Q557),COUNTIFS($A$14:$A$1213,$A557,$Q$14:$Q$1213,"&gt;"&amp;$Q557)+(COUNTIFS($A$14:$A$1213,$A557,$Q$14:$Q$1213,"="&amp;$Q557)+1)/2,"")</f>
        <v/>
      </c>
      <c r="AE557" s="27">
        <f>IF(ISNUMBER($R557),COUNTIFS($A$14:$A$1213,$A557,$R$14:$R$1213,"&gt;"&amp;$R557)+(COUNTIFS($A$14:$A$1213,$A557,$R$14:$R$1213,"="&amp;$R557)+1)/2,"")</f>
        <v/>
      </c>
      <c r="AF557" s="27">
        <f>IF(ISNUMBER($S557),COUNTIFS($A$14:$A$1213,$A557,$S$14:$S$1213,"&gt;"&amp;$S557)+(COUNTIFS($A$14:$A$1213,$A557,$S$14:$S$1213,"="&amp;$S557)+1)/2,"")</f>
        <v/>
      </c>
      <c r="AG557" s="27">
        <f>IF(ISNUMBER($T557),COUNTIFS($A$14:$A$1213,$A557,$T$14:$T$1213,"&gt;"&amp;$T557)+(COUNTIFS($A$14:$A$1213,$A557,$T$14:$T$1213,"="&amp;$T557)+1)/2,"")</f>
        <v/>
      </c>
      <c r="AH557" s="27">
        <f>IF(COUNT($AC557:$AG557)&lt;2,"",IF(MAX($AC557:$AG557)=MIN($AC557:$AG557),0,1))</f>
        <v/>
      </c>
      <c r="AI557" s="27">
        <f>IF($A557="","",IF(COUNTIF($A$14:$A557,$A557)=1,COUNTIF($AI$13:AI556,"&gt;0")+1,""))</f>
        <v/>
      </c>
      <c r="AO557" s="27">
        <f>IF($A557="","",IF(AND(COUNTIFS($A$14:$A$1213,$A557,$F$14:$F$1213,"&gt;=0")=2,IFERROR(INDEX($M$14:$M$313,MATCH($A557,$H$14:$H$313,0)),"Yes")&lt;&gt;"Yes"),1,0))</f>
        <v/>
      </c>
    </row>
    <row r="558">
      <c r="A558" s="19" t="n"/>
      <c r="B558" s="20" t="n"/>
      <c r="C558" s="21">
        <f>IFERROR(AVERAGE(P558:T558),"")</f>
        <v/>
      </c>
      <c r="D558" s="29" t="n"/>
      <c r="E558" s="29" t="n"/>
      <c r="F558" s="30">
        <f>IF(AND(ISNUMBER($D558),ISNUMBER($E558),$E558&gt;0,$D558&lt;=$E558),$D558/$E558,"")</f>
        <v/>
      </c>
      <c r="P558" s="26" t="n"/>
      <c r="Q558" s="26" t="n"/>
      <c r="R558" s="26" t="n"/>
      <c r="S558" s="26" t="n"/>
      <c r="T558" s="26" t="n"/>
      <c r="V558" s="27">
        <f>IF(ISNUMBER($C558),COUNTIFS($A$14:$A$1213,$A558,$C$14:$C$1213,"&gt;"&amp;$C558)+(COUNTIFS($A$14:$A$1213,$A558,$C$14:$C$1213,"="&amp;$C558)+1)/2,"")</f>
        <v/>
      </c>
      <c r="W558" s="27">
        <f>IF(ISNUMBER($F558),COUNTIFS($A$14:$A$1213,$A558,$F$14:$F$1213,"&gt;"&amp;$F558)+(COUNTIFS($A$14:$A$1213,$A558,$F$14:$F$1213,"="&amp;$F558)+1)/2,"")</f>
        <v/>
      </c>
      <c r="X558" s="27">
        <f>IF(OR(NOT(ISNUMBER($V558)),$AO558=1),"",$V558-(COUNTIFS($A$14:$A$1213,$A558,$C$14:$C$1213,"&gt;=0")+1)/2)</f>
        <v/>
      </c>
      <c r="Y558" s="27">
        <f>IF(OR(NOT(ISNUMBER($W558)),$AO558=1),"",$W558-(COUNTIFS($A$14:$A$1213,$A558,$F$14:$F$1213,"&gt;=0")+1)/2)</f>
        <v/>
      </c>
      <c r="Z558" s="27">
        <f>IF(ISNUMBER($V558),$A558&amp;"|"&amp;$V558,"")</f>
        <v/>
      </c>
      <c r="AA558" s="27">
        <f>IF(ISNUMBER($W558),$A558&amp;"|"&amp;$W558,"")</f>
        <v/>
      </c>
      <c r="AB558" s="27">
        <f>IF(ISNUMBER($F558),$A558&amp;"|"&amp;$F558,"")</f>
        <v/>
      </c>
      <c r="AC558" s="27">
        <f>IF(ISNUMBER($P558),COUNTIFS($A$14:$A$1213,$A558,$P$14:$P$1213,"&gt;"&amp;$P558)+(COUNTIFS($A$14:$A$1213,$A558,$P$14:$P$1213,"="&amp;$P558)+1)/2,"")</f>
        <v/>
      </c>
      <c r="AD558" s="27">
        <f>IF(ISNUMBER($Q558),COUNTIFS($A$14:$A$1213,$A558,$Q$14:$Q$1213,"&gt;"&amp;$Q558)+(COUNTIFS($A$14:$A$1213,$A558,$Q$14:$Q$1213,"="&amp;$Q558)+1)/2,"")</f>
        <v/>
      </c>
      <c r="AE558" s="27">
        <f>IF(ISNUMBER($R558),COUNTIFS($A$14:$A$1213,$A558,$R$14:$R$1213,"&gt;"&amp;$R558)+(COUNTIFS($A$14:$A$1213,$A558,$R$14:$R$1213,"="&amp;$R558)+1)/2,"")</f>
        <v/>
      </c>
      <c r="AF558" s="27">
        <f>IF(ISNUMBER($S558),COUNTIFS($A$14:$A$1213,$A558,$S$14:$S$1213,"&gt;"&amp;$S558)+(COUNTIFS($A$14:$A$1213,$A558,$S$14:$S$1213,"="&amp;$S558)+1)/2,"")</f>
        <v/>
      </c>
      <c r="AG558" s="27">
        <f>IF(ISNUMBER($T558),COUNTIFS($A$14:$A$1213,$A558,$T$14:$T$1213,"&gt;"&amp;$T558)+(COUNTIFS($A$14:$A$1213,$A558,$T$14:$T$1213,"="&amp;$T558)+1)/2,"")</f>
        <v/>
      </c>
      <c r="AH558" s="27">
        <f>IF(COUNT($AC558:$AG558)&lt;2,"",IF(MAX($AC558:$AG558)=MIN($AC558:$AG558),0,1))</f>
        <v/>
      </c>
      <c r="AI558" s="27">
        <f>IF($A558="","",IF(COUNTIF($A$14:$A558,$A558)=1,COUNTIF($AI$13:AI557,"&gt;0")+1,""))</f>
        <v/>
      </c>
      <c r="AO558" s="27">
        <f>IF($A558="","",IF(AND(COUNTIFS($A$14:$A$1213,$A558,$F$14:$F$1213,"&gt;=0")=2,IFERROR(INDEX($M$14:$M$313,MATCH($A558,$H$14:$H$313,0)),"Yes")&lt;&gt;"Yes"),1,0))</f>
        <v/>
      </c>
    </row>
    <row r="559">
      <c r="A559" s="19" t="n"/>
      <c r="B559" s="20" t="n"/>
      <c r="C559" s="21">
        <f>IFERROR(AVERAGE(P559:T559),"")</f>
        <v/>
      </c>
      <c r="D559" s="29" t="n"/>
      <c r="E559" s="29" t="n"/>
      <c r="F559" s="30">
        <f>IF(AND(ISNUMBER($D559),ISNUMBER($E559),$E559&gt;0,$D559&lt;=$E559),$D559/$E559,"")</f>
        <v/>
      </c>
      <c r="P559" s="26" t="n"/>
      <c r="Q559" s="26" t="n"/>
      <c r="R559" s="26" t="n"/>
      <c r="S559" s="26" t="n"/>
      <c r="T559" s="26" t="n"/>
      <c r="V559" s="27">
        <f>IF(ISNUMBER($C559),COUNTIFS($A$14:$A$1213,$A559,$C$14:$C$1213,"&gt;"&amp;$C559)+(COUNTIFS($A$14:$A$1213,$A559,$C$14:$C$1213,"="&amp;$C559)+1)/2,"")</f>
        <v/>
      </c>
      <c r="W559" s="27">
        <f>IF(ISNUMBER($F559),COUNTIFS($A$14:$A$1213,$A559,$F$14:$F$1213,"&gt;"&amp;$F559)+(COUNTIFS($A$14:$A$1213,$A559,$F$14:$F$1213,"="&amp;$F559)+1)/2,"")</f>
        <v/>
      </c>
      <c r="X559" s="27">
        <f>IF(OR(NOT(ISNUMBER($V559)),$AO559=1),"",$V559-(COUNTIFS($A$14:$A$1213,$A559,$C$14:$C$1213,"&gt;=0")+1)/2)</f>
        <v/>
      </c>
      <c r="Y559" s="27">
        <f>IF(OR(NOT(ISNUMBER($W559)),$AO559=1),"",$W559-(COUNTIFS($A$14:$A$1213,$A559,$F$14:$F$1213,"&gt;=0")+1)/2)</f>
        <v/>
      </c>
      <c r="Z559" s="27">
        <f>IF(ISNUMBER($V559),$A559&amp;"|"&amp;$V559,"")</f>
        <v/>
      </c>
      <c r="AA559" s="27">
        <f>IF(ISNUMBER($W559),$A559&amp;"|"&amp;$W559,"")</f>
        <v/>
      </c>
      <c r="AB559" s="27">
        <f>IF(ISNUMBER($F559),$A559&amp;"|"&amp;$F559,"")</f>
        <v/>
      </c>
      <c r="AC559" s="27">
        <f>IF(ISNUMBER($P559),COUNTIFS($A$14:$A$1213,$A559,$P$14:$P$1213,"&gt;"&amp;$P559)+(COUNTIFS($A$14:$A$1213,$A559,$P$14:$P$1213,"="&amp;$P559)+1)/2,"")</f>
        <v/>
      </c>
      <c r="AD559" s="27">
        <f>IF(ISNUMBER($Q559),COUNTIFS($A$14:$A$1213,$A559,$Q$14:$Q$1213,"&gt;"&amp;$Q559)+(COUNTIFS($A$14:$A$1213,$A559,$Q$14:$Q$1213,"="&amp;$Q559)+1)/2,"")</f>
        <v/>
      </c>
      <c r="AE559" s="27">
        <f>IF(ISNUMBER($R559),COUNTIFS($A$14:$A$1213,$A559,$R$14:$R$1213,"&gt;"&amp;$R559)+(COUNTIFS($A$14:$A$1213,$A559,$R$14:$R$1213,"="&amp;$R559)+1)/2,"")</f>
        <v/>
      </c>
      <c r="AF559" s="27">
        <f>IF(ISNUMBER($S559),COUNTIFS($A$14:$A$1213,$A559,$S$14:$S$1213,"&gt;"&amp;$S559)+(COUNTIFS($A$14:$A$1213,$A559,$S$14:$S$1213,"="&amp;$S559)+1)/2,"")</f>
        <v/>
      </c>
      <c r="AG559" s="27">
        <f>IF(ISNUMBER($T559),COUNTIFS($A$14:$A$1213,$A559,$T$14:$T$1213,"&gt;"&amp;$T559)+(COUNTIFS($A$14:$A$1213,$A559,$T$14:$T$1213,"="&amp;$T559)+1)/2,"")</f>
        <v/>
      </c>
      <c r="AH559" s="27">
        <f>IF(COUNT($AC559:$AG559)&lt;2,"",IF(MAX($AC559:$AG559)=MIN($AC559:$AG559),0,1))</f>
        <v/>
      </c>
      <c r="AI559" s="27">
        <f>IF($A559="","",IF(COUNTIF($A$14:$A559,$A559)=1,COUNTIF($AI$13:AI558,"&gt;0")+1,""))</f>
        <v/>
      </c>
      <c r="AO559" s="27">
        <f>IF($A559="","",IF(AND(COUNTIFS($A$14:$A$1213,$A559,$F$14:$F$1213,"&gt;=0")=2,IFERROR(INDEX($M$14:$M$313,MATCH($A559,$H$14:$H$313,0)),"Yes")&lt;&gt;"Yes"),1,0))</f>
        <v/>
      </c>
    </row>
    <row r="560">
      <c r="A560" s="19" t="n"/>
      <c r="B560" s="20" t="n"/>
      <c r="C560" s="21">
        <f>IFERROR(AVERAGE(P560:T560),"")</f>
        <v/>
      </c>
      <c r="D560" s="29" t="n"/>
      <c r="E560" s="29" t="n"/>
      <c r="F560" s="30">
        <f>IF(AND(ISNUMBER($D560),ISNUMBER($E560),$E560&gt;0,$D560&lt;=$E560),$D560/$E560,"")</f>
        <v/>
      </c>
      <c r="P560" s="26" t="n"/>
      <c r="Q560" s="26" t="n"/>
      <c r="R560" s="26" t="n"/>
      <c r="S560" s="26" t="n"/>
      <c r="T560" s="26" t="n"/>
      <c r="V560" s="27">
        <f>IF(ISNUMBER($C560),COUNTIFS($A$14:$A$1213,$A560,$C$14:$C$1213,"&gt;"&amp;$C560)+(COUNTIFS($A$14:$A$1213,$A560,$C$14:$C$1213,"="&amp;$C560)+1)/2,"")</f>
        <v/>
      </c>
      <c r="W560" s="27">
        <f>IF(ISNUMBER($F560),COUNTIFS($A$14:$A$1213,$A560,$F$14:$F$1213,"&gt;"&amp;$F560)+(COUNTIFS($A$14:$A$1213,$A560,$F$14:$F$1213,"="&amp;$F560)+1)/2,"")</f>
        <v/>
      </c>
      <c r="X560" s="27">
        <f>IF(OR(NOT(ISNUMBER($V560)),$AO560=1),"",$V560-(COUNTIFS($A$14:$A$1213,$A560,$C$14:$C$1213,"&gt;=0")+1)/2)</f>
        <v/>
      </c>
      <c r="Y560" s="27">
        <f>IF(OR(NOT(ISNUMBER($W560)),$AO560=1),"",$W560-(COUNTIFS($A$14:$A$1213,$A560,$F$14:$F$1213,"&gt;=0")+1)/2)</f>
        <v/>
      </c>
      <c r="Z560" s="27">
        <f>IF(ISNUMBER($V560),$A560&amp;"|"&amp;$V560,"")</f>
        <v/>
      </c>
      <c r="AA560" s="27">
        <f>IF(ISNUMBER($W560),$A560&amp;"|"&amp;$W560,"")</f>
        <v/>
      </c>
      <c r="AB560" s="27">
        <f>IF(ISNUMBER($F560),$A560&amp;"|"&amp;$F560,"")</f>
        <v/>
      </c>
      <c r="AC560" s="27">
        <f>IF(ISNUMBER($P560),COUNTIFS($A$14:$A$1213,$A560,$P$14:$P$1213,"&gt;"&amp;$P560)+(COUNTIFS($A$14:$A$1213,$A560,$P$14:$P$1213,"="&amp;$P560)+1)/2,"")</f>
        <v/>
      </c>
      <c r="AD560" s="27">
        <f>IF(ISNUMBER($Q560),COUNTIFS($A$14:$A$1213,$A560,$Q$14:$Q$1213,"&gt;"&amp;$Q560)+(COUNTIFS($A$14:$A$1213,$A560,$Q$14:$Q$1213,"="&amp;$Q560)+1)/2,"")</f>
        <v/>
      </c>
      <c r="AE560" s="27">
        <f>IF(ISNUMBER($R560),COUNTIFS($A$14:$A$1213,$A560,$R$14:$R$1213,"&gt;"&amp;$R560)+(COUNTIFS($A$14:$A$1213,$A560,$R$14:$R$1213,"="&amp;$R560)+1)/2,"")</f>
        <v/>
      </c>
      <c r="AF560" s="27">
        <f>IF(ISNUMBER($S560),COUNTIFS($A$14:$A$1213,$A560,$S$14:$S$1213,"&gt;"&amp;$S560)+(COUNTIFS($A$14:$A$1213,$A560,$S$14:$S$1213,"="&amp;$S560)+1)/2,"")</f>
        <v/>
      </c>
      <c r="AG560" s="27">
        <f>IF(ISNUMBER($T560),COUNTIFS($A$14:$A$1213,$A560,$T$14:$T$1213,"&gt;"&amp;$T560)+(COUNTIFS($A$14:$A$1213,$A560,$T$14:$T$1213,"="&amp;$T560)+1)/2,"")</f>
        <v/>
      </c>
      <c r="AH560" s="27">
        <f>IF(COUNT($AC560:$AG560)&lt;2,"",IF(MAX($AC560:$AG560)=MIN($AC560:$AG560),0,1))</f>
        <v/>
      </c>
      <c r="AI560" s="27">
        <f>IF($A560="","",IF(COUNTIF($A$14:$A560,$A560)=1,COUNTIF($AI$13:AI559,"&gt;0")+1,""))</f>
        <v/>
      </c>
      <c r="AO560" s="27">
        <f>IF($A560="","",IF(AND(COUNTIFS($A$14:$A$1213,$A560,$F$14:$F$1213,"&gt;=0")=2,IFERROR(INDEX($M$14:$M$313,MATCH($A560,$H$14:$H$313,0)),"Yes")&lt;&gt;"Yes"),1,0))</f>
        <v/>
      </c>
    </row>
    <row r="561">
      <c r="A561" s="19" t="n"/>
      <c r="B561" s="20" t="n"/>
      <c r="C561" s="21">
        <f>IFERROR(AVERAGE(P561:T561),"")</f>
        <v/>
      </c>
      <c r="D561" s="29" t="n"/>
      <c r="E561" s="29" t="n"/>
      <c r="F561" s="30">
        <f>IF(AND(ISNUMBER($D561),ISNUMBER($E561),$E561&gt;0,$D561&lt;=$E561),$D561/$E561,"")</f>
        <v/>
      </c>
      <c r="P561" s="26" t="n"/>
      <c r="Q561" s="26" t="n"/>
      <c r="R561" s="26" t="n"/>
      <c r="S561" s="26" t="n"/>
      <c r="T561" s="26" t="n"/>
      <c r="V561" s="27">
        <f>IF(ISNUMBER($C561),COUNTIFS($A$14:$A$1213,$A561,$C$14:$C$1213,"&gt;"&amp;$C561)+(COUNTIFS($A$14:$A$1213,$A561,$C$14:$C$1213,"="&amp;$C561)+1)/2,"")</f>
        <v/>
      </c>
      <c r="W561" s="27">
        <f>IF(ISNUMBER($F561),COUNTIFS($A$14:$A$1213,$A561,$F$14:$F$1213,"&gt;"&amp;$F561)+(COUNTIFS($A$14:$A$1213,$A561,$F$14:$F$1213,"="&amp;$F561)+1)/2,"")</f>
        <v/>
      </c>
      <c r="X561" s="27">
        <f>IF(OR(NOT(ISNUMBER($V561)),$AO561=1),"",$V561-(COUNTIFS($A$14:$A$1213,$A561,$C$14:$C$1213,"&gt;=0")+1)/2)</f>
        <v/>
      </c>
      <c r="Y561" s="27">
        <f>IF(OR(NOT(ISNUMBER($W561)),$AO561=1),"",$W561-(COUNTIFS($A$14:$A$1213,$A561,$F$14:$F$1213,"&gt;=0")+1)/2)</f>
        <v/>
      </c>
      <c r="Z561" s="27">
        <f>IF(ISNUMBER($V561),$A561&amp;"|"&amp;$V561,"")</f>
        <v/>
      </c>
      <c r="AA561" s="27">
        <f>IF(ISNUMBER($W561),$A561&amp;"|"&amp;$W561,"")</f>
        <v/>
      </c>
      <c r="AB561" s="27">
        <f>IF(ISNUMBER($F561),$A561&amp;"|"&amp;$F561,"")</f>
        <v/>
      </c>
      <c r="AC561" s="27">
        <f>IF(ISNUMBER($P561),COUNTIFS($A$14:$A$1213,$A561,$P$14:$P$1213,"&gt;"&amp;$P561)+(COUNTIFS($A$14:$A$1213,$A561,$P$14:$P$1213,"="&amp;$P561)+1)/2,"")</f>
        <v/>
      </c>
      <c r="AD561" s="27">
        <f>IF(ISNUMBER($Q561),COUNTIFS($A$14:$A$1213,$A561,$Q$14:$Q$1213,"&gt;"&amp;$Q561)+(COUNTIFS($A$14:$A$1213,$A561,$Q$14:$Q$1213,"="&amp;$Q561)+1)/2,"")</f>
        <v/>
      </c>
      <c r="AE561" s="27">
        <f>IF(ISNUMBER($R561),COUNTIFS($A$14:$A$1213,$A561,$R$14:$R$1213,"&gt;"&amp;$R561)+(COUNTIFS($A$14:$A$1213,$A561,$R$14:$R$1213,"="&amp;$R561)+1)/2,"")</f>
        <v/>
      </c>
      <c r="AF561" s="27">
        <f>IF(ISNUMBER($S561),COUNTIFS($A$14:$A$1213,$A561,$S$14:$S$1213,"&gt;"&amp;$S561)+(COUNTIFS($A$14:$A$1213,$A561,$S$14:$S$1213,"="&amp;$S561)+1)/2,"")</f>
        <v/>
      </c>
      <c r="AG561" s="27">
        <f>IF(ISNUMBER($T561),COUNTIFS($A$14:$A$1213,$A561,$T$14:$T$1213,"&gt;"&amp;$T561)+(COUNTIFS($A$14:$A$1213,$A561,$T$14:$T$1213,"="&amp;$T561)+1)/2,"")</f>
        <v/>
      </c>
      <c r="AH561" s="27">
        <f>IF(COUNT($AC561:$AG561)&lt;2,"",IF(MAX($AC561:$AG561)=MIN($AC561:$AG561),0,1))</f>
        <v/>
      </c>
      <c r="AI561" s="27">
        <f>IF($A561="","",IF(COUNTIF($A$14:$A561,$A561)=1,COUNTIF($AI$13:AI560,"&gt;0")+1,""))</f>
        <v/>
      </c>
      <c r="AO561" s="27">
        <f>IF($A561="","",IF(AND(COUNTIFS($A$14:$A$1213,$A561,$F$14:$F$1213,"&gt;=0")=2,IFERROR(INDEX($M$14:$M$313,MATCH($A561,$H$14:$H$313,0)),"Yes")&lt;&gt;"Yes"),1,0))</f>
        <v/>
      </c>
    </row>
    <row r="562">
      <c r="A562" s="19" t="n"/>
      <c r="B562" s="20" t="n"/>
      <c r="C562" s="21">
        <f>IFERROR(AVERAGE(P562:T562),"")</f>
        <v/>
      </c>
      <c r="D562" s="29" t="n"/>
      <c r="E562" s="29" t="n"/>
      <c r="F562" s="30">
        <f>IF(AND(ISNUMBER($D562),ISNUMBER($E562),$E562&gt;0,$D562&lt;=$E562),$D562/$E562,"")</f>
        <v/>
      </c>
      <c r="P562" s="26" t="n"/>
      <c r="Q562" s="26" t="n"/>
      <c r="R562" s="26" t="n"/>
      <c r="S562" s="26" t="n"/>
      <c r="T562" s="26" t="n"/>
      <c r="V562" s="27">
        <f>IF(ISNUMBER($C562),COUNTIFS($A$14:$A$1213,$A562,$C$14:$C$1213,"&gt;"&amp;$C562)+(COUNTIFS($A$14:$A$1213,$A562,$C$14:$C$1213,"="&amp;$C562)+1)/2,"")</f>
        <v/>
      </c>
      <c r="W562" s="27">
        <f>IF(ISNUMBER($F562),COUNTIFS($A$14:$A$1213,$A562,$F$14:$F$1213,"&gt;"&amp;$F562)+(COUNTIFS($A$14:$A$1213,$A562,$F$14:$F$1213,"="&amp;$F562)+1)/2,"")</f>
        <v/>
      </c>
      <c r="X562" s="27">
        <f>IF(OR(NOT(ISNUMBER($V562)),$AO562=1),"",$V562-(COUNTIFS($A$14:$A$1213,$A562,$C$14:$C$1213,"&gt;=0")+1)/2)</f>
        <v/>
      </c>
      <c r="Y562" s="27">
        <f>IF(OR(NOT(ISNUMBER($W562)),$AO562=1),"",$W562-(COUNTIFS($A$14:$A$1213,$A562,$F$14:$F$1213,"&gt;=0")+1)/2)</f>
        <v/>
      </c>
      <c r="Z562" s="27">
        <f>IF(ISNUMBER($V562),$A562&amp;"|"&amp;$V562,"")</f>
        <v/>
      </c>
      <c r="AA562" s="27">
        <f>IF(ISNUMBER($W562),$A562&amp;"|"&amp;$W562,"")</f>
        <v/>
      </c>
      <c r="AB562" s="27">
        <f>IF(ISNUMBER($F562),$A562&amp;"|"&amp;$F562,"")</f>
        <v/>
      </c>
      <c r="AC562" s="27">
        <f>IF(ISNUMBER($P562),COUNTIFS($A$14:$A$1213,$A562,$P$14:$P$1213,"&gt;"&amp;$P562)+(COUNTIFS($A$14:$A$1213,$A562,$P$14:$P$1213,"="&amp;$P562)+1)/2,"")</f>
        <v/>
      </c>
      <c r="AD562" s="27">
        <f>IF(ISNUMBER($Q562),COUNTIFS($A$14:$A$1213,$A562,$Q$14:$Q$1213,"&gt;"&amp;$Q562)+(COUNTIFS($A$14:$A$1213,$A562,$Q$14:$Q$1213,"="&amp;$Q562)+1)/2,"")</f>
        <v/>
      </c>
      <c r="AE562" s="27">
        <f>IF(ISNUMBER($R562),COUNTIFS($A$14:$A$1213,$A562,$R$14:$R$1213,"&gt;"&amp;$R562)+(COUNTIFS($A$14:$A$1213,$A562,$R$14:$R$1213,"="&amp;$R562)+1)/2,"")</f>
        <v/>
      </c>
      <c r="AF562" s="27">
        <f>IF(ISNUMBER($S562),COUNTIFS($A$14:$A$1213,$A562,$S$14:$S$1213,"&gt;"&amp;$S562)+(COUNTIFS($A$14:$A$1213,$A562,$S$14:$S$1213,"="&amp;$S562)+1)/2,"")</f>
        <v/>
      </c>
      <c r="AG562" s="27">
        <f>IF(ISNUMBER($T562),COUNTIFS($A$14:$A$1213,$A562,$T$14:$T$1213,"&gt;"&amp;$T562)+(COUNTIFS($A$14:$A$1213,$A562,$T$14:$T$1213,"="&amp;$T562)+1)/2,"")</f>
        <v/>
      </c>
      <c r="AH562" s="27">
        <f>IF(COUNT($AC562:$AG562)&lt;2,"",IF(MAX($AC562:$AG562)=MIN($AC562:$AG562),0,1))</f>
        <v/>
      </c>
      <c r="AI562" s="27">
        <f>IF($A562="","",IF(COUNTIF($A$14:$A562,$A562)=1,COUNTIF($AI$13:AI561,"&gt;0")+1,""))</f>
        <v/>
      </c>
      <c r="AO562" s="27">
        <f>IF($A562="","",IF(AND(COUNTIFS($A$14:$A$1213,$A562,$F$14:$F$1213,"&gt;=0")=2,IFERROR(INDEX($M$14:$M$313,MATCH($A562,$H$14:$H$313,0)),"Yes")&lt;&gt;"Yes"),1,0))</f>
        <v/>
      </c>
    </row>
    <row r="563">
      <c r="A563" s="19" t="n"/>
      <c r="B563" s="20" t="n"/>
      <c r="C563" s="21">
        <f>IFERROR(AVERAGE(P563:T563),"")</f>
        <v/>
      </c>
      <c r="D563" s="29" t="n"/>
      <c r="E563" s="29" t="n"/>
      <c r="F563" s="30">
        <f>IF(AND(ISNUMBER($D563),ISNUMBER($E563),$E563&gt;0,$D563&lt;=$E563),$D563/$E563,"")</f>
        <v/>
      </c>
      <c r="P563" s="26" t="n"/>
      <c r="Q563" s="26" t="n"/>
      <c r="R563" s="26" t="n"/>
      <c r="S563" s="26" t="n"/>
      <c r="T563" s="26" t="n"/>
      <c r="V563" s="27">
        <f>IF(ISNUMBER($C563),COUNTIFS($A$14:$A$1213,$A563,$C$14:$C$1213,"&gt;"&amp;$C563)+(COUNTIFS($A$14:$A$1213,$A563,$C$14:$C$1213,"="&amp;$C563)+1)/2,"")</f>
        <v/>
      </c>
      <c r="W563" s="27">
        <f>IF(ISNUMBER($F563),COUNTIFS($A$14:$A$1213,$A563,$F$14:$F$1213,"&gt;"&amp;$F563)+(COUNTIFS($A$14:$A$1213,$A563,$F$14:$F$1213,"="&amp;$F563)+1)/2,"")</f>
        <v/>
      </c>
      <c r="X563" s="27">
        <f>IF(OR(NOT(ISNUMBER($V563)),$AO563=1),"",$V563-(COUNTIFS($A$14:$A$1213,$A563,$C$14:$C$1213,"&gt;=0")+1)/2)</f>
        <v/>
      </c>
      <c r="Y563" s="27">
        <f>IF(OR(NOT(ISNUMBER($W563)),$AO563=1),"",$W563-(COUNTIFS($A$14:$A$1213,$A563,$F$14:$F$1213,"&gt;=0")+1)/2)</f>
        <v/>
      </c>
      <c r="Z563" s="27">
        <f>IF(ISNUMBER($V563),$A563&amp;"|"&amp;$V563,"")</f>
        <v/>
      </c>
      <c r="AA563" s="27">
        <f>IF(ISNUMBER($W563),$A563&amp;"|"&amp;$W563,"")</f>
        <v/>
      </c>
      <c r="AB563" s="27">
        <f>IF(ISNUMBER($F563),$A563&amp;"|"&amp;$F563,"")</f>
        <v/>
      </c>
      <c r="AC563" s="27">
        <f>IF(ISNUMBER($P563),COUNTIFS($A$14:$A$1213,$A563,$P$14:$P$1213,"&gt;"&amp;$P563)+(COUNTIFS($A$14:$A$1213,$A563,$P$14:$P$1213,"="&amp;$P563)+1)/2,"")</f>
        <v/>
      </c>
      <c r="AD563" s="27">
        <f>IF(ISNUMBER($Q563),COUNTIFS($A$14:$A$1213,$A563,$Q$14:$Q$1213,"&gt;"&amp;$Q563)+(COUNTIFS($A$14:$A$1213,$A563,$Q$14:$Q$1213,"="&amp;$Q563)+1)/2,"")</f>
        <v/>
      </c>
      <c r="AE563" s="27">
        <f>IF(ISNUMBER($R563),COUNTIFS($A$14:$A$1213,$A563,$R$14:$R$1213,"&gt;"&amp;$R563)+(COUNTIFS($A$14:$A$1213,$A563,$R$14:$R$1213,"="&amp;$R563)+1)/2,"")</f>
        <v/>
      </c>
      <c r="AF563" s="27">
        <f>IF(ISNUMBER($S563),COUNTIFS($A$14:$A$1213,$A563,$S$14:$S$1213,"&gt;"&amp;$S563)+(COUNTIFS($A$14:$A$1213,$A563,$S$14:$S$1213,"="&amp;$S563)+1)/2,"")</f>
        <v/>
      </c>
      <c r="AG563" s="27">
        <f>IF(ISNUMBER($T563),COUNTIFS($A$14:$A$1213,$A563,$T$14:$T$1213,"&gt;"&amp;$T563)+(COUNTIFS($A$14:$A$1213,$A563,$T$14:$T$1213,"="&amp;$T563)+1)/2,"")</f>
        <v/>
      </c>
      <c r="AH563" s="27">
        <f>IF(COUNT($AC563:$AG563)&lt;2,"",IF(MAX($AC563:$AG563)=MIN($AC563:$AG563),0,1))</f>
        <v/>
      </c>
      <c r="AI563" s="27">
        <f>IF($A563="","",IF(COUNTIF($A$14:$A563,$A563)=1,COUNTIF($AI$13:AI562,"&gt;0")+1,""))</f>
        <v/>
      </c>
      <c r="AO563" s="27">
        <f>IF($A563="","",IF(AND(COUNTIFS($A$14:$A$1213,$A563,$F$14:$F$1213,"&gt;=0")=2,IFERROR(INDEX($M$14:$M$313,MATCH($A563,$H$14:$H$313,0)),"Yes")&lt;&gt;"Yes"),1,0))</f>
        <v/>
      </c>
    </row>
    <row r="564">
      <c r="A564" s="19" t="n"/>
      <c r="B564" s="20" t="n"/>
      <c r="C564" s="21">
        <f>IFERROR(AVERAGE(P564:T564),"")</f>
        <v/>
      </c>
      <c r="D564" s="29" t="n"/>
      <c r="E564" s="29" t="n"/>
      <c r="F564" s="30">
        <f>IF(AND(ISNUMBER($D564),ISNUMBER($E564),$E564&gt;0,$D564&lt;=$E564),$D564/$E564,"")</f>
        <v/>
      </c>
      <c r="P564" s="26" t="n"/>
      <c r="Q564" s="26" t="n"/>
      <c r="R564" s="26" t="n"/>
      <c r="S564" s="26" t="n"/>
      <c r="T564" s="26" t="n"/>
      <c r="V564" s="27">
        <f>IF(ISNUMBER($C564),COUNTIFS($A$14:$A$1213,$A564,$C$14:$C$1213,"&gt;"&amp;$C564)+(COUNTIFS($A$14:$A$1213,$A564,$C$14:$C$1213,"="&amp;$C564)+1)/2,"")</f>
        <v/>
      </c>
      <c r="W564" s="27">
        <f>IF(ISNUMBER($F564),COUNTIFS($A$14:$A$1213,$A564,$F$14:$F$1213,"&gt;"&amp;$F564)+(COUNTIFS($A$14:$A$1213,$A564,$F$14:$F$1213,"="&amp;$F564)+1)/2,"")</f>
        <v/>
      </c>
      <c r="X564" s="27">
        <f>IF(OR(NOT(ISNUMBER($V564)),$AO564=1),"",$V564-(COUNTIFS($A$14:$A$1213,$A564,$C$14:$C$1213,"&gt;=0")+1)/2)</f>
        <v/>
      </c>
      <c r="Y564" s="27">
        <f>IF(OR(NOT(ISNUMBER($W564)),$AO564=1),"",$W564-(COUNTIFS($A$14:$A$1213,$A564,$F$14:$F$1213,"&gt;=0")+1)/2)</f>
        <v/>
      </c>
      <c r="Z564" s="27">
        <f>IF(ISNUMBER($V564),$A564&amp;"|"&amp;$V564,"")</f>
        <v/>
      </c>
      <c r="AA564" s="27">
        <f>IF(ISNUMBER($W564),$A564&amp;"|"&amp;$W564,"")</f>
        <v/>
      </c>
      <c r="AB564" s="27">
        <f>IF(ISNUMBER($F564),$A564&amp;"|"&amp;$F564,"")</f>
        <v/>
      </c>
      <c r="AC564" s="27">
        <f>IF(ISNUMBER($P564),COUNTIFS($A$14:$A$1213,$A564,$P$14:$P$1213,"&gt;"&amp;$P564)+(COUNTIFS($A$14:$A$1213,$A564,$P$14:$P$1213,"="&amp;$P564)+1)/2,"")</f>
        <v/>
      </c>
      <c r="AD564" s="27">
        <f>IF(ISNUMBER($Q564),COUNTIFS($A$14:$A$1213,$A564,$Q$14:$Q$1213,"&gt;"&amp;$Q564)+(COUNTIFS($A$14:$A$1213,$A564,$Q$14:$Q$1213,"="&amp;$Q564)+1)/2,"")</f>
        <v/>
      </c>
      <c r="AE564" s="27">
        <f>IF(ISNUMBER($R564),COUNTIFS($A$14:$A$1213,$A564,$R$14:$R$1213,"&gt;"&amp;$R564)+(COUNTIFS($A$14:$A$1213,$A564,$R$14:$R$1213,"="&amp;$R564)+1)/2,"")</f>
        <v/>
      </c>
      <c r="AF564" s="27">
        <f>IF(ISNUMBER($S564),COUNTIFS($A$14:$A$1213,$A564,$S$14:$S$1213,"&gt;"&amp;$S564)+(COUNTIFS($A$14:$A$1213,$A564,$S$14:$S$1213,"="&amp;$S564)+1)/2,"")</f>
        <v/>
      </c>
      <c r="AG564" s="27">
        <f>IF(ISNUMBER($T564),COUNTIFS($A$14:$A$1213,$A564,$T$14:$T$1213,"&gt;"&amp;$T564)+(COUNTIFS($A$14:$A$1213,$A564,$T$14:$T$1213,"="&amp;$T564)+1)/2,"")</f>
        <v/>
      </c>
      <c r="AH564" s="27">
        <f>IF(COUNT($AC564:$AG564)&lt;2,"",IF(MAX($AC564:$AG564)=MIN($AC564:$AG564),0,1))</f>
        <v/>
      </c>
      <c r="AI564" s="27">
        <f>IF($A564="","",IF(COUNTIF($A$14:$A564,$A564)=1,COUNTIF($AI$13:AI563,"&gt;0")+1,""))</f>
        <v/>
      </c>
      <c r="AO564" s="27">
        <f>IF($A564="","",IF(AND(COUNTIFS($A$14:$A$1213,$A564,$F$14:$F$1213,"&gt;=0")=2,IFERROR(INDEX($M$14:$M$313,MATCH($A564,$H$14:$H$313,0)),"Yes")&lt;&gt;"Yes"),1,0))</f>
        <v/>
      </c>
    </row>
    <row r="565">
      <c r="A565" s="19" t="n"/>
      <c r="B565" s="20" t="n"/>
      <c r="C565" s="21">
        <f>IFERROR(AVERAGE(P565:T565),"")</f>
        <v/>
      </c>
      <c r="D565" s="29" t="n"/>
      <c r="E565" s="29" t="n"/>
      <c r="F565" s="30">
        <f>IF(AND(ISNUMBER($D565),ISNUMBER($E565),$E565&gt;0,$D565&lt;=$E565),$D565/$E565,"")</f>
        <v/>
      </c>
      <c r="P565" s="26" t="n"/>
      <c r="Q565" s="26" t="n"/>
      <c r="R565" s="26" t="n"/>
      <c r="S565" s="26" t="n"/>
      <c r="T565" s="26" t="n"/>
      <c r="V565" s="27">
        <f>IF(ISNUMBER($C565),COUNTIFS($A$14:$A$1213,$A565,$C$14:$C$1213,"&gt;"&amp;$C565)+(COUNTIFS($A$14:$A$1213,$A565,$C$14:$C$1213,"="&amp;$C565)+1)/2,"")</f>
        <v/>
      </c>
      <c r="W565" s="27">
        <f>IF(ISNUMBER($F565),COUNTIFS($A$14:$A$1213,$A565,$F$14:$F$1213,"&gt;"&amp;$F565)+(COUNTIFS($A$14:$A$1213,$A565,$F$14:$F$1213,"="&amp;$F565)+1)/2,"")</f>
        <v/>
      </c>
      <c r="X565" s="27">
        <f>IF(OR(NOT(ISNUMBER($V565)),$AO565=1),"",$V565-(COUNTIFS($A$14:$A$1213,$A565,$C$14:$C$1213,"&gt;=0")+1)/2)</f>
        <v/>
      </c>
      <c r="Y565" s="27">
        <f>IF(OR(NOT(ISNUMBER($W565)),$AO565=1),"",$W565-(COUNTIFS($A$14:$A$1213,$A565,$F$14:$F$1213,"&gt;=0")+1)/2)</f>
        <v/>
      </c>
      <c r="Z565" s="27">
        <f>IF(ISNUMBER($V565),$A565&amp;"|"&amp;$V565,"")</f>
        <v/>
      </c>
      <c r="AA565" s="27">
        <f>IF(ISNUMBER($W565),$A565&amp;"|"&amp;$W565,"")</f>
        <v/>
      </c>
      <c r="AB565" s="27">
        <f>IF(ISNUMBER($F565),$A565&amp;"|"&amp;$F565,"")</f>
        <v/>
      </c>
      <c r="AC565" s="27">
        <f>IF(ISNUMBER($P565),COUNTIFS($A$14:$A$1213,$A565,$P$14:$P$1213,"&gt;"&amp;$P565)+(COUNTIFS($A$14:$A$1213,$A565,$P$14:$P$1213,"="&amp;$P565)+1)/2,"")</f>
        <v/>
      </c>
      <c r="AD565" s="27">
        <f>IF(ISNUMBER($Q565),COUNTIFS($A$14:$A$1213,$A565,$Q$14:$Q$1213,"&gt;"&amp;$Q565)+(COUNTIFS($A$14:$A$1213,$A565,$Q$14:$Q$1213,"="&amp;$Q565)+1)/2,"")</f>
        <v/>
      </c>
      <c r="AE565" s="27">
        <f>IF(ISNUMBER($R565),COUNTIFS($A$14:$A$1213,$A565,$R$14:$R$1213,"&gt;"&amp;$R565)+(COUNTIFS($A$14:$A$1213,$A565,$R$14:$R$1213,"="&amp;$R565)+1)/2,"")</f>
        <v/>
      </c>
      <c r="AF565" s="27">
        <f>IF(ISNUMBER($S565),COUNTIFS($A$14:$A$1213,$A565,$S$14:$S$1213,"&gt;"&amp;$S565)+(COUNTIFS($A$14:$A$1213,$A565,$S$14:$S$1213,"="&amp;$S565)+1)/2,"")</f>
        <v/>
      </c>
      <c r="AG565" s="27">
        <f>IF(ISNUMBER($T565),COUNTIFS($A$14:$A$1213,$A565,$T$14:$T$1213,"&gt;"&amp;$T565)+(COUNTIFS($A$14:$A$1213,$A565,$T$14:$T$1213,"="&amp;$T565)+1)/2,"")</f>
        <v/>
      </c>
      <c r="AH565" s="27">
        <f>IF(COUNT($AC565:$AG565)&lt;2,"",IF(MAX($AC565:$AG565)=MIN($AC565:$AG565),0,1))</f>
        <v/>
      </c>
      <c r="AI565" s="27">
        <f>IF($A565="","",IF(COUNTIF($A$14:$A565,$A565)=1,COUNTIF($AI$13:AI564,"&gt;0")+1,""))</f>
        <v/>
      </c>
      <c r="AO565" s="27">
        <f>IF($A565="","",IF(AND(COUNTIFS($A$14:$A$1213,$A565,$F$14:$F$1213,"&gt;=0")=2,IFERROR(INDEX($M$14:$M$313,MATCH($A565,$H$14:$H$313,0)),"Yes")&lt;&gt;"Yes"),1,0))</f>
        <v/>
      </c>
    </row>
    <row r="566">
      <c r="A566" s="19" t="n"/>
      <c r="B566" s="20" t="n"/>
      <c r="C566" s="21">
        <f>IFERROR(AVERAGE(P566:T566),"")</f>
        <v/>
      </c>
      <c r="D566" s="29" t="n"/>
      <c r="E566" s="29" t="n"/>
      <c r="F566" s="30">
        <f>IF(AND(ISNUMBER($D566),ISNUMBER($E566),$E566&gt;0,$D566&lt;=$E566),$D566/$E566,"")</f>
        <v/>
      </c>
      <c r="P566" s="26" t="n"/>
      <c r="Q566" s="26" t="n"/>
      <c r="R566" s="26" t="n"/>
      <c r="S566" s="26" t="n"/>
      <c r="T566" s="26" t="n"/>
      <c r="V566" s="27">
        <f>IF(ISNUMBER($C566),COUNTIFS($A$14:$A$1213,$A566,$C$14:$C$1213,"&gt;"&amp;$C566)+(COUNTIFS($A$14:$A$1213,$A566,$C$14:$C$1213,"="&amp;$C566)+1)/2,"")</f>
        <v/>
      </c>
      <c r="W566" s="27">
        <f>IF(ISNUMBER($F566),COUNTIFS($A$14:$A$1213,$A566,$F$14:$F$1213,"&gt;"&amp;$F566)+(COUNTIFS($A$14:$A$1213,$A566,$F$14:$F$1213,"="&amp;$F566)+1)/2,"")</f>
        <v/>
      </c>
      <c r="X566" s="27">
        <f>IF(OR(NOT(ISNUMBER($V566)),$AO566=1),"",$V566-(COUNTIFS($A$14:$A$1213,$A566,$C$14:$C$1213,"&gt;=0")+1)/2)</f>
        <v/>
      </c>
      <c r="Y566" s="27">
        <f>IF(OR(NOT(ISNUMBER($W566)),$AO566=1),"",$W566-(COUNTIFS($A$14:$A$1213,$A566,$F$14:$F$1213,"&gt;=0")+1)/2)</f>
        <v/>
      </c>
      <c r="Z566" s="27">
        <f>IF(ISNUMBER($V566),$A566&amp;"|"&amp;$V566,"")</f>
        <v/>
      </c>
      <c r="AA566" s="27">
        <f>IF(ISNUMBER($W566),$A566&amp;"|"&amp;$W566,"")</f>
        <v/>
      </c>
      <c r="AB566" s="27">
        <f>IF(ISNUMBER($F566),$A566&amp;"|"&amp;$F566,"")</f>
        <v/>
      </c>
      <c r="AC566" s="27">
        <f>IF(ISNUMBER($P566),COUNTIFS($A$14:$A$1213,$A566,$P$14:$P$1213,"&gt;"&amp;$P566)+(COUNTIFS($A$14:$A$1213,$A566,$P$14:$P$1213,"="&amp;$P566)+1)/2,"")</f>
        <v/>
      </c>
      <c r="AD566" s="27">
        <f>IF(ISNUMBER($Q566),COUNTIFS($A$14:$A$1213,$A566,$Q$14:$Q$1213,"&gt;"&amp;$Q566)+(COUNTIFS($A$14:$A$1213,$A566,$Q$14:$Q$1213,"="&amp;$Q566)+1)/2,"")</f>
        <v/>
      </c>
      <c r="AE566" s="27">
        <f>IF(ISNUMBER($R566),COUNTIFS($A$14:$A$1213,$A566,$R$14:$R$1213,"&gt;"&amp;$R566)+(COUNTIFS($A$14:$A$1213,$A566,$R$14:$R$1213,"="&amp;$R566)+1)/2,"")</f>
        <v/>
      </c>
      <c r="AF566" s="27">
        <f>IF(ISNUMBER($S566),COUNTIFS($A$14:$A$1213,$A566,$S$14:$S$1213,"&gt;"&amp;$S566)+(COUNTIFS($A$14:$A$1213,$A566,$S$14:$S$1213,"="&amp;$S566)+1)/2,"")</f>
        <v/>
      </c>
      <c r="AG566" s="27">
        <f>IF(ISNUMBER($T566),COUNTIFS($A$14:$A$1213,$A566,$T$14:$T$1213,"&gt;"&amp;$T566)+(COUNTIFS($A$14:$A$1213,$A566,$T$14:$T$1213,"="&amp;$T566)+1)/2,"")</f>
        <v/>
      </c>
      <c r="AH566" s="27">
        <f>IF(COUNT($AC566:$AG566)&lt;2,"",IF(MAX($AC566:$AG566)=MIN($AC566:$AG566),0,1))</f>
        <v/>
      </c>
      <c r="AI566" s="27">
        <f>IF($A566="","",IF(COUNTIF($A$14:$A566,$A566)=1,COUNTIF($AI$13:AI565,"&gt;0")+1,""))</f>
        <v/>
      </c>
      <c r="AO566" s="27">
        <f>IF($A566="","",IF(AND(COUNTIFS($A$14:$A$1213,$A566,$F$14:$F$1213,"&gt;=0")=2,IFERROR(INDEX($M$14:$M$313,MATCH($A566,$H$14:$H$313,0)),"Yes")&lt;&gt;"Yes"),1,0))</f>
        <v/>
      </c>
    </row>
    <row r="567">
      <c r="A567" s="19" t="n"/>
      <c r="B567" s="20" t="n"/>
      <c r="C567" s="21">
        <f>IFERROR(AVERAGE(P567:T567),"")</f>
        <v/>
      </c>
      <c r="D567" s="29" t="n"/>
      <c r="E567" s="29" t="n"/>
      <c r="F567" s="30">
        <f>IF(AND(ISNUMBER($D567),ISNUMBER($E567),$E567&gt;0,$D567&lt;=$E567),$D567/$E567,"")</f>
        <v/>
      </c>
      <c r="P567" s="26" t="n"/>
      <c r="Q567" s="26" t="n"/>
      <c r="R567" s="26" t="n"/>
      <c r="S567" s="26" t="n"/>
      <c r="T567" s="26" t="n"/>
      <c r="V567" s="27">
        <f>IF(ISNUMBER($C567),COUNTIFS($A$14:$A$1213,$A567,$C$14:$C$1213,"&gt;"&amp;$C567)+(COUNTIFS($A$14:$A$1213,$A567,$C$14:$C$1213,"="&amp;$C567)+1)/2,"")</f>
        <v/>
      </c>
      <c r="W567" s="27">
        <f>IF(ISNUMBER($F567),COUNTIFS($A$14:$A$1213,$A567,$F$14:$F$1213,"&gt;"&amp;$F567)+(COUNTIFS($A$14:$A$1213,$A567,$F$14:$F$1213,"="&amp;$F567)+1)/2,"")</f>
        <v/>
      </c>
      <c r="X567" s="27">
        <f>IF(OR(NOT(ISNUMBER($V567)),$AO567=1),"",$V567-(COUNTIFS($A$14:$A$1213,$A567,$C$14:$C$1213,"&gt;=0")+1)/2)</f>
        <v/>
      </c>
      <c r="Y567" s="27">
        <f>IF(OR(NOT(ISNUMBER($W567)),$AO567=1),"",$W567-(COUNTIFS($A$14:$A$1213,$A567,$F$14:$F$1213,"&gt;=0")+1)/2)</f>
        <v/>
      </c>
      <c r="Z567" s="27">
        <f>IF(ISNUMBER($V567),$A567&amp;"|"&amp;$V567,"")</f>
        <v/>
      </c>
      <c r="AA567" s="27">
        <f>IF(ISNUMBER($W567),$A567&amp;"|"&amp;$W567,"")</f>
        <v/>
      </c>
      <c r="AB567" s="27">
        <f>IF(ISNUMBER($F567),$A567&amp;"|"&amp;$F567,"")</f>
        <v/>
      </c>
      <c r="AC567" s="27">
        <f>IF(ISNUMBER($P567),COUNTIFS($A$14:$A$1213,$A567,$P$14:$P$1213,"&gt;"&amp;$P567)+(COUNTIFS($A$14:$A$1213,$A567,$P$14:$P$1213,"="&amp;$P567)+1)/2,"")</f>
        <v/>
      </c>
      <c r="AD567" s="27">
        <f>IF(ISNUMBER($Q567),COUNTIFS($A$14:$A$1213,$A567,$Q$14:$Q$1213,"&gt;"&amp;$Q567)+(COUNTIFS($A$14:$A$1213,$A567,$Q$14:$Q$1213,"="&amp;$Q567)+1)/2,"")</f>
        <v/>
      </c>
      <c r="AE567" s="27">
        <f>IF(ISNUMBER($R567),COUNTIFS($A$14:$A$1213,$A567,$R$14:$R$1213,"&gt;"&amp;$R567)+(COUNTIFS($A$14:$A$1213,$A567,$R$14:$R$1213,"="&amp;$R567)+1)/2,"")</f>
        <v/>
      </c>
      <c r="AF567" s="27">
        <f>IF(ISNUMBER($S567),COUNTIFS($A$14:$A$1213,$A567,$S$14:$S$1213,"&gt;"&amp;$S567)+(COUNTIFS($A$14:$A$1213,$A567,$S$14:$S$1213,"="&amp;$S567)+1)/2,"")</f>
        <v/>
      </c>
      <c r="AG567" s="27">
        <f>IF(ISNUMBER($T567),COUNTIFS($A$14:$A$1213,$A567,$T$14:$T$1213,"&gt;"&amp;$T567)+(COUNTIFS($A$14:$A$1213,$A567,$T$14:$T$1213,"="&amp;$T567)+1)/2,"")</f>
        <v/>
      </c>
      <c r="AH567" s="27">
        <f>IF(COUNT($AC567:$AG567)&lt;2,"",IF(MAX($AC567:$AG567)=MIN($AC567:$AG567),0,1))</f>
        <v/>
      </c>
      <c r="AI567" s="27">
        <f>IF($A567="","",IF(COUNTIF($A$14:$A567,$A567)=1,COUNTIF($AI$13:AI566,"&gt;0")+1,""))</f>
        <v/>
      </c>
      <c r="AO567" s="27">
        <f>IF($A567="","",IF(AND(COUNTIFS($A$14:$A$1213,$A567,$F$14:$F$1213,"&gt;=0")=2,IFERROR(INDEX($M$14:$M$313,MATCH($A567,$H$14:$H$313,0)),"Yes")&lt;&gt;"Yes"),1,0))</f>
        <v/>
      </c>
    </row>
    <row r="568">
      <c r="A568" s="19" t="n"/>
      <c r="B568" s="20" t="n"/>
      <c r="C568" s="21">
        <f>IFERROR(AVERAGE(P568:T568),"")</f>
        <v/>
      </c>
      <c r="D568" s="29" t="n"/>
      <c r="E568" s="29" t="n"/>
      <c r="F568" s="30">
        <f>IF(AND(ISNUMBER($D568),ISNUMBER($E568),$E568&gt;0,$D568&lt;=$E568),$D568/$E568,"")</f>
        <v/>
      </c>
      <c r="P568" s="26" t="n"/>
      <c r="Q568" s="26" t="n"/>
      <c r="R568" s="26" t="n"/>
      <c r="S568" s="26" t="n"/>
      <c r="T568" s="26" t="n"/>
      <c r="V568" s="27">
        <f>IF(ISNUMBER($C568),COUNTIFS($A$14:$A$1213,$A568,$C$14:$C$1213,"&gt;"&amp;$C568)+(COUNTIFS($A$14:$A$1213,$A568,$C$14:$C$1213,"="&amp;$C568)+1)/2,"")</f>
        <v/>
      </c>
      <c r="W568" s="27">
        <f>IF(ISNUMBER($F568),COUNTIFS($A$14:$A$1213,$A568,$F$14:$F$1213,"&gt;"&amp;$F568)+(COUNTIFS($A$14:$A$1213,$A568,$F$14:$F$1213,"="&amp;$F568)+1)/2,"")</f>
        <v/>
      </c>
      <c r="X568" s="27">
        <f>IF(OR(NOT(ISNUMBER($V568)),$AO568=1),"",$V568-(COUNTIFS($A$14:$A$1213,$A568,$C$14:$C$1213,"&gt;=0")+1)/2)</f>
        <v/>
      </c>
      <c r="Y568" s="27">
        <f>IF(OR(NOT(ISNUMBER($W568)),$AO568=1),"",$W568-(COUNTIFS($A$14:$A$1213,$A568,$F$14:$F$1213,"&gt;=0")+1)/2)</f>
        <v/>
      </c>
      <c r="Z568" s="27">
        <f>IF(ISNUMBER($V568),$A568&amp;"|"&amp;$V568,"")</f>
        <v/>
      </c>
      <c r="AA568" s="27">
        <f>IF(ISNUMBER($W568),$A568&amp;"|"&amp;$W568,"")</f>
        <v/>
      </c>
      <c r="AB568" s="27">
        <f>IF(ISNUMBER($F568),$A568&amp;"|"&amp;$F568,"")</f>
        <v/>
      </c>
      <c r="AC568" s="27">
        <f>IF(ISNUMBER($P568),COUNTIFS($A$14:$A$1213,$A568,$P$14:$P$1213,"&gt;"&amp;$P568)+(COUNTIFS($A$14:$A$1213,$A568,$P$14:$P$1213,"="&amp;$P568)+1)/2,"")</f>
        <v/>
      </c>
      <c r="AD568" s="27">
        <f>IF(ISNUMBER($Q568),COUNTIFS($A$14:$A$1213,$A568,$Q$14:$Q$1213,"&gt;"&amp;$Q568)+(COUNTIFS($A$14:$A$1213,$A568,$Q$14:$Q$1213,"="&amp;$Q568)+1)/2,"")</f>
        <v/>
      </c>
      <c r="AE568" s="27">
        <f>IF(ISNUMBER($R568),COUNTIFS($A$14:$A$1213,$A568,$R$14:$R$1213,"&gt;"&amp;$R568)+(COUNTIFS($A$14:$A$1213,$A568,$R$14:$R$1213,"="&amp;$R568)+1)/2,"")</f>
        <v/>
      </c>
      <c r="AF568" s="27">
        <f>IF(ISNUMBER($S568),COUNTIFS($A$14:$A$1213,$A568,$S$14:$S$1213,"&gt;"&amp;$S568)+(COUNTIFS($A$14:$A$1213,$A568,$S$14:$S$1213,"="&amp;$S568)+1)/2,"")</f>
        <v/>
      </c>
      <c r="AG568" s="27">
        <f>IF(ISNUMBER($T568),COUNTIFS($A$14:$A$1213,$A568,$T$14:$T$1213,"&gt;"&amp;$T568)+(COUNTIFS($A$14:$A$1213,$A568,$T$14:$T$1213,"="&amp;$T568)+1)/2,"")</f>
        <v/>
      </c>
      <c r="AH568" s="27">
        <f>IF(COUNT($AC568:$AG568)&lt;2,"",IF(MAX($AC568:$AG568)=MIN($AC568:$AG568),0,1))</f>
        <v/>
      </c>
      <c r="AI568" s="27">
        <f>IF($A568="","",IF(COUNTIF($A$14:$A568,$A568)=1,COUNTIF($AI$13:AI567,"&gt;0")+1,""))</f>
        <v/>
      </c>
      <c r="AO568" s="27">
        <f>IF($A568="","",IF(AND(COUNTIFS($A$14:$A$1213,$A568,$F$14:$F$1213,"&gt;=0")=2,IFERROR(INDEX($M$14:$M$313,MATCH($A568,$H$14:$H$313,0)),"Yes")&lt;&gt;"Yes"),1,0))</f>
        <v/>
      </c>
    </row>
    <row r="569">
      <c r="A569" s="19" t="n"/>
      <c r="B569" s="20" t="n"/>
      <c r="C569" s="21">
        <f>IFERROR(AVERAGE(P569:T569),"")</f>
        <v/>
      </c>
      <c r="D569" s="29" t="n"/>
      <c r="E569" s="29" t="n"/>
      <c r="F569" s="30">
        <f>IF(AND(ISNUMBER($D569),ISNUMBER($E569),$E569&gt;0,$D569&lt;=$E569),$D569/$E569,"")</f>
        <v/>
      </c>
      <c r="P569" s="26" t="n"/>
      <c r="Q569" s="26" t="n"/>
      <c r="R569" s="26" t="n"/>
      <c r="S569" s="26" t="n"/>
      <c r="T569" s="26" t="n"/>
      <c r="V569" s="27">
        <f>IF(ISNUMBER($C569),COUNTIFS($A$14:$A$1213,$A569,$C$14:$C$1213,"&gt;"&amp;$C569)+(COUNTIFS($A$14:$A$1213,$A569,$C$14:$C$1213,"="&amp;$C569)+1)/2,"")</f>
        <v/>
      </c>
      <c r="W569" s="27">
        <f>IF(ISNUMBER($F569),COUNTIFS($A$14:$A$1213,$A569,$F$14:$F$1213,"&gt;"&amp;$F569)+(COUNTIFS($A$14:$A$1213,$A569,$F$14:$F$1213,"="&amp;$F569)+1)/2,"")</f>
        <v/>
      </c>
      <c r="X569" s="27">
        <f>IF(OR(NOT(ISNUMBER($V569)),$AO569=1),"",$V569-(COUNTIFS($A$14:$A$1213,$A569,$C$14:$C$1213,"&gt;=0")+1)/2)</f>
        <v/>
      </c>
      <c r="Y569" s="27">
        <f>IF(OR(NOT(ISNUMBER($W569)),$AO569=1),"",$W569-(COUNTIFS($A$14:$A$1213,$A569,$F$14:$F$1213,"&gt;=0")+1)/2)</f>
        <v/>
      </c>
      <c r="Z569" s="27">
        <f>IF(ISNUMBER($V569),$A569&amp;"|"&amp;$V569,"")</f>
        <v/>
      </c>
      <c r="AA569" s="27">
        <f>IF(ISNUMBER($W569),$A569&amp;"|"&amp;$W569,"")</f>
        <v/>
      </c>
      <c r="AB569" s="27">
        <f>IF(ISNUMBER($F569),$A569&amp;"|"&amp;$F569,"")</f>
        <v/>
      </c>
      <c r="AC569" s="27">
        <f>IF(ISNUMBER($P569),COUNTIFS($A$14:$A$1213,$A569,$P$14:$P$1213,"&gt;"&amp;$P569)+(COUNTIFS($A$14:$A$1213,$A569,$P$14:$P$1213,"="&amp;$P569)+1)/2,"")</f>
        <v/>
      </c>
      <c r="AD569" s="27">
        <f>IF(ISNUMBER($Q569),COUNTIFS($A$14:$A$1213,$A569,$Q$14:$Q$1213,"&gt;"&amp;$Q569)+(COUNTIFS($A$14:$A$1213,$A569,$Q$14:$Q$1213,"="&amp;$Q569)+1)/2,"")</f>
        <v/>
      </c>
      <c r="AE569" s="27">
        <f>IF(ISNUMBER($R569),COUNTIFS($A$14:$A$1213,$A569,$R$14:$R$1213,"&gt;"&amp;$R569)+(COUNTIFS($A$14:$A$1213,$A569,$R$14:$R$1213,"="&amp;$R569)+1)/2,"")</f>
        <v/>
      </c>
      <c r="AF569" s="27">
        <f>IF(ISNUMBER($S569),COUNTIFS($A$14:$A$1213,$A569,$S$14:$S$1213,"&gt;"&amp;$S569)+(COUNTIFS($A$14:$A$1213,$A569,$S$14:$S$1213,"="&amp;$S569)+1)/2,"")</f>
        <v/>
      </c>
      <c r="AG569" s="27">
        <f>IF(ISNUMBER($T569),COUNTIFS($A$14:$A$1213,$A569,$T$14:$T$1213,"&gt;"&amp;$T569)+(COUNTIFS($A$14:$A$1213,$A569,$T$14:$T$1213,"="&amp;$T569)+1)/2,"")</f>
        <v/>
      </c>
      <c r="AH569" s="27">
        <f>IF(COUNT($AC569:$AG569)&lt;2,"",IF(MAX($AC569:$AG569)=MIN($AC569:$AG569),0,1))</f>
        <v/>
      </c>
      <c r="AI569" s="27">
        <f>IF($A569="","",IF(COUNTIF($A$14:$A569,$A569)=1,COUNTIF($AI$13:AI568,"&gt;0")+1,""))</f>
        <v/>
      </c>
      <c r="AO569" s="27">
        <f>IF($A569="","",IF(AND(COUNTIFS($A$14:$A$1213,$A569,$F$14:$F$1213,"&gt;=0")=2,IFERROR(INDEX($M$14:$M$313,MATCH($A569,$H$14:$H$313,0)),"Yes")&lt;&gt;"Yes"),1,0))</f>
        <v/>
      </c>
    </row>
    <row r="570">
      <c r="A570" s="19" t="n"/>
      <c r="B570" s="20" t="n"/>
      <c r="C570" s="21">
        <f>IFERROR(AVERAGE(P570:T570),"")</f>
        <v/>
      </c>
      <c r="D570" s="29" t="n"/>
      <c r="E570" s="29" t="n"/>
      <c r="F570" s="30">
        <f>IF(AND(ISNUMBER($D570),ISNUMBER($E570),$E570&gt;0,$D570&lt;=$E570),$D570/$E570,"")</f>
        <v/>
      </c>
      <c r="P570" s="26" t="n"/>
      <c r="Q570" s="26" t="n"/>
      <c r="R570" s="26" t="n"/>
      <c r="S570" s="26" t="n"/>
      <c r="T570" s="26" t="n"/>
      <c r="V570" s="27">
        <f>IF(ISNUMBER($C570),COUNTIFS($A$14:$A$1213,$A570,$C$14:$C$1213,"&gt;"&amp;$C570)+(COUNTIFS($A$14:$A$1213,$A570,$C$14:$C$1213,"="&amp;$C570)+1)/2,"")</f>
        <v/>
      </c>
      <c r="W570" s="27">
        <f>IF(ISNUMBER($F570),COUNTIFS($A$14:$A$1213,$A570,$F$14:$F$1213,"&gt;"&amp;$F570)+(COUNTIFS($A$14:$A$1213,$A570,$F$14:$F$1213,"="&amp;$F570)+1)/2,"")</f>
        <v/>
      </c>
      <c r="X570" s="27">
        <f>IF(OR(NOT(ISNUMBER($V570)),$AO570=1),"",$V570-(COUNTIFS($A$14:$A$1213,$A570,$C$14:$C$1213,"&gt;=0")+1)/2)</f>
        <v/>
      </c>
      <c r="Y570" s="27">
        <f>IF(OR(NOT(ISNUMBER($W570)),$AO570=1),"",$W570-(COUNTIFS($A$14:$A$1213,$A570,$F$14:$F$1213,"&gt;=0")+1)/2)</f>
        <v/>
      </c>
      <c r="Z570" s="27">
        <f>IF(ISNUMBER($V570),$A570&amp;"|"&amp;$V570,"")</f>
        <v/>
      </c>
      <c r="AA570" s="27">
        <f>IF(ISNUMBER($W570),$A570&amp;"|"&amp;$W570,"")</f>
        <v/>
      </c>
      <c r="AB570" s="27">
        <f>IF(ISNUMBER($F570),$A570&amp;"|"&amp;$F570,"")</f>
        <v/>
      </c>
      <c r="AC570" s="27">
        <f>IF(ISNUMBER($P570),COUNTIFS($A$14:$A$1213,$A570,$P$14:$P$1213,"&gt;"&amp;$P570)+(COUNTIFS($A$14:$A$1213,$A570,$P$14:$P$1213,"="&amp;$P570)+1)/2,"")</f>
        <v/>
      </c>
      <c r="AD570" s="27">
        <f>IF(ISNUMBER($Q570),COUNTIFS($A$14:$A$1213,$A570,$Q$14:$Q$1213,"&gt;"&amp;$Q570)+(COUNTIFS($A$14:$A$1213,$A570,$Q$14:$Q$1213,"="&amp;$Q570)+1)/2,"")</f>
        <v/>
      </c>
      <c r="AE570" s="27">
        <f>IF(ISNUMBER($R570),COUNTIFS($A$14:$A$1213,$A570,$R$14:$R$1213,"&gt;"&amp;$R570)+(COUNTIFS($A$14:$A$1213,$A570,$R$14:$R$1213,"="&amp;$R570)+1)/2,"")</f>
        <v/>
      </c>
      <c r="AF570" s="27">
        <f>IF(ISNUMBER($S570),COUNTIFS($A$14:$A$1213,$A570,$S$14:$S$1213,"&gt;"&amp;$S570)+(COUNTIFS($A$14:$A$1213,$A570,$S$14:$S$1213,"="&amp;$S570)+1)/2,"")</f>
        <v/>
      </c>
      <c r="AG570" s="27">
        <f>IF(ISNUMBER($T570),COUNTIFS($A$14:$A$1213,$A570,$T$14:$T$1213,"&gt;"&amp;$T570)+(COUNTIFS($A$14:$A$1213,$A570,$T$14:$T$1213,"="&amp;$T570)+1)/2,"")</f>
        <v/>
      </c>
      <c r="AH570" s="27">
        <f>IF(COUNT($AC570:$AG570)&lt;2,"",IF(MAX($AC570:$AG570)=MIN($AC570:$AG570),0,1))</f>
        <v/>
      </c>
      <c r="AI570" s="27">
        <f>IF($A570="","",IF(COUNTIF($A$14:$A570,$A570)=1,COUNTIF($AI$13:AI569,"&gt;0")+1,""))</f>
        <v/>
      </c>
      <c r="AO570" s="27">
        <f>IF($A570="","",IF(AND(COUNTIFS($A$14:$A$1213,$A570,$F$14:$F$1213,"&gt;=0")=2,IFERROR(INDEX($M$14:$M$313,MATCH($A570,$H$14:$H$313,0)),"Yes")&lt;&gt;"Yes"),1,0))</f>
        <v/>
      </c>
    </row>
    <row r="571">
      <c r="A571" s="19" t="n"/>
      <c r="B571" s="20" t="n"/>
      <c r="C571" s="21">
        <f>IFERROR(AVERAGE(P571:T571),"")</f>
        <v/>
      </c>
      <c r="D571" s="29" t="n"/>
      <c r="E571" s="29" t="n"/>
      <c r="F571" s="30">
        <f>IF(AND(ISNUMBER($D571),ISNUMBER($E571),$E571&gt;0,$D571&lt;=$E571),$D571/$E571,"")</f>
        <v/>
      </c>
      <c r="P571" s="26" t="n"/>
      <c r="Q571" s="26" t="n"/>
      <c r="R571" s="26" t="n"/>
      <c r="S571" s="26" t="n"/>
      <c r="T571" s="26" t="n"/>
      <c r="V571" s="27">
        <f>IF(ISNUMBER($C571),COUNTIFS($A$14:$A$1213,$A571,$C$14:$C$1213,"&gt;"&amp;$C571)+(COUNTIFS($A$14:$A$1213,$A571,$C$14:$C$1213,"="&amp;$C571)+1)/2,"")</f>
        <v/>
      </c>
      <c r="W571" s="27">
        <f>IF(ISNUMBER($F571),COUNTIFS($A$14:$A$1213,$A571,$F$14:$F$1213,"&gt;"&amp;$F571)+(COUNTIFS($A$14:$A$1213,$A571,$F$14:$F$1213,"="&amp;$F571)+1)/2,"")</f>
        <v/>
      </c>
      <c r="X571" s="27">
        <f>IF(OR(NOT(ISNUMBER($V571)),$AO571=1),"",$V571-(COUNTIFS($A$14:$A$1213,$A571,$C$14:$C$1213,"&gt;=0")+1)/2)</f>
        <v/>
      </c>
      <c r="Y571" s="27">
        <f>IF(OR(NOT(ISNUMBER($W571)),$AO571=1),"",$W571-(COUNTIFS($A$14:$A$1213,$A571,$F$14:$F$1213,"&gt;=0")+1)/2)</f>
        <v/>
      </c>
      <c r="Z571" s="27">
        <f>IF(ISNUMBER($V571),$A571&amp;"|"&amp;$V571,"")</f>
        <v/>
      </c>
      <c r="AA571" s="27">
        <f>IF(ISNUMBER($W571),$A571&amp;"|"&amp;$W571,"")</f>
        <v/>
      </c>
      <c r="AB571" s="27">
        <f>IF(ISNUMBER($F571),$A571&amp;"|"&amp;$F571,"")</f>
        <v/>
      </c>
      <c r="AC571" s="27">
        <f>IF(ISNUMBER($P571),COUNTIFS($A$14:$A$1213,$A571,$P$14:$P$1213,"&gt;"&amp;$P571)+(COUNTIFS($A$14:$A$1213,$A571,$P$14:$P$1213,"="&amp;$P571)+1)/2,"")</f>
        <v/>
      </c>
      <c r="AD571" s="27">
        <f>IF(ISNUMBER($Q571),COUNTIFS($A$14:$A$1213,$A571,$Q$14:$Q$1213,"&gt;"&amp;$Q571)+(COUNTIFS($A$14:$A$1213,$A571,$Q$14:$Q$1213,"="&amp;$Q571)+1)/2,"")</f>
        <v/>
      </c>
      <c r="AE571" s="27">
        <f>IF(ISNUMBER($R571),COUNTIFS($A$14:$A$1213,$A571,$R$14:$R$1213,"&gt;"&amp;$R571)+(COUNTIFS($A$14:$A$1213,$A571,$R$14:$R$1213,"="&amp;$R571)+1)/2,"")</f>
        <v/>
      </c>
      <c r="AF571" s="27">
        <f>IF(ISNUMBER($S571),COUNTIFS($A$14:$A$1213,$A571,$S$14:$S$1213,"&gt;"&amp;$S571)+(COUNTIFS($A$14:$A$1213,$A571,$S$14:$S$1213,"="&amp;$S571)+1)/2,"")</f>
        <v/>
      </c>
      <c r="AG571" s="27">
        <f>IF(ISNUMBER($T571),COUNTIFS($A$14:$A$1213,$A571,$T$14:$T$1213,"&gt;"&amp;$T571)+(COUNTIFS($A$14:$A$1213,$A571,$T$14:$T$1213,"="&amp;$T571)+1)/2,"")</f>
        <v/>
      </c>
      <c r="AH571" s="27">
        <f>IF(COUNT($AC571:$AG571)&lt;2,"",IF(MAX($AC571:$AG571)=MIN($AC571:$AG571),0,1))</f>
        <v/>
      </c>
      <c r="AI571" s="27">
        <f>IF($A571="","",IF(COUNTIF($A$14:$A571,$A571)=1,COUNTIF($AI$13:AI570,"&gt;0")+1,""))</f>
        <v/>
      </c>
      <c r="AO571" s="27">
        <f>IF($A571="","",IF(AND(COUNTIFS($A$14:$A$1213,$A571,$F$14:$F$1213,"&gt;=0")=2,IFERROR(INDEX($M$14:$M$313,MATCH($A571,$H$14:$H$313,0)),"Yes")&lt;&gt;"Yes"),1,0))</f>
        <v/>
      </c>
    </row>
    <row r="572">
      <c r="A572" s="19" t="n"/>
      <c r="B572" s="20" t="n"/>
      <c r="C572" s="21">
        <f>IFERROR(AVERAGE(P572:T572),"")</f>
        <v/>
      </c>
      <c r="D572" s="29" t="n"/>
      <c r="E572" s="29" t="n"/>
      <c r="F572" s="30">
        <f>IF(AND(ISNUMBER($D572),ISNUMBER($E572),$E572&gt;0,$D572&lt;=$E572),$D572/$E572,"")</f>
        <v/>
      </c>
      <c r="P572" s="26" t="n"/>
      <c r="Q572" s="26" t="n"/>
      <c r="R572" s="26" t="n"/>
      <c r="S572" s="26" t="n"/>
      <c r="T572" s="26" t="n"/>
      <c r="V572" s="27">
        <f>IF(ISNUMBER($C572),COUNTIFS($A$14:$A$1213,$A572,$C$14:$C$1213,"&gt;"&amp;$C572)+(COUNTIFS($A$14:$A$1213,$A572,$C$14:$C$1213,"="&amp;$C572)+1)/2,"")</f>
        <v/>
      </c>
      <c r="W572" s="27">
        <f>IF(ISNUMBER($F572),COUNTIFS($A$14:$A$1213,$A572,$F$14:$F$1213,"&gt;"&amp;$F572)+(COUNTIFS($A$14:$A$1213,$A572,$F$14:$F$1213,"="&amp;$F572)+1)/2,"")</f>
        <v/>
      </c>
      <c r="X572" s="27">
        <f>IF(OR(NOT(ISNUMBER($V572)),$AO572=1),"",$V572-(COUNTIFS($A$14:$A$1213,$A572,$C$14:$C$1213,"&gt;=0")+1)/2)</f>
        <v/>
      </c>
      <c r="Y572" s="27">
        <f>IF(OR(NOT(ISNUMBER($W572)),$AO572=1),"",$W572-(COUNTIFS($A$14:$A$1213,$A572,$F$14:$F$1213,"&gt;=0")+1)/2)</f>
        <v/>
      </c>
      <c r="Z572" s="27">
        <f>IF(ISNUMBER($V572),$A572&amp;"|"&amp;$V572,"")</f>
        <v/>
      </c>
      <c r="AA572" s="27">
        <f>IF(ISNUMBER($W572),$A572&amp;"|"&amp;$W572,"")</f>
        <v/>
      </c>
      <c r="AB572" s="27">
        <f>IF(ISNUMBER($F572),$A572&amp;"|"&amp;$F572,"")</f>
        <v/>
      </c>
      <c r="AC572" s="27">
        <f>IF(ISNUMBER($P572),COUNTIFS($A$14:$A$1213,$A572,$P$14:$P$1213,"&gt;"&amp;$P572)+(COUNTIFS($A$14:$A$1213,$A572,$P$14:$P$1213,"="&amp;$P572)+1)/2,"")</f>
        <v/>
      </c>
      <c r="AD572" s="27">
        <f>IF(ISNUMBER($Q572),COUNTIFS($A$14:$A$1213,$A572,$Q$14:$Q$1213,"&gt;"&amp;$Q572)+(COUNTIFS($A$14:$A$1213,$A572,$Q$14:$Q$1213,"="&amp;$Q572)+1)/2,"")</f>
        <v/>
      </c>
      <c r="AE572" s="27">
        <f>IF(ISNUMBER($R572),COUNTIFS($A$14:$A$1213,$A572,$R$14:$R$1213,"&gt;"&amp;$R572)+(COUNTIFS($A$14:$A$1213,$A572,$R$14:$R$1213,"="&amp;$R572)+1)/2,"")</f>
        <v/>
      </c>
      <c r="AF572" s="27">
        <f>IF(ISNUMBER($S572),COUNTIFS($A$14:$A$1213,$A572,$S$14:$S$1213,"&gt;"&amp;$S572)+(COUNTIFS($A$14:$A$1213,$A572,$S$14:$S$1213,"="&amp;$S572)+1)/2,"")</f>
        <v/>
      </c>
      <c r="AG572" s="27">
        <f>IF(ISNUMBER($T572),COUNTIFS($A$14:$A$1213,$A572,$T$14:$T$1213,"&gt;"&amp;$T572)+(COUNTIFS($A$14:$A$1213,$A572,$T$14:$T$1213,"="&amp;$T572)+1)/2,"")</f>
        <v/>
      </c>
      <c r="AH572" s="27">
        <f>IF(COUNT($AC572:$AG572)&lt;2,"",IF(MAX($AC572:$AG572)=MIN($AC572:$AG572),0,1))</f>
        <v/>
      </c>
      <c r="AI572" s="27">
        <f>IF($A572="","",IF(COUNTIF($A$14:$A572,$A572)=1,COUNTIF($AI$13:AI571,"&gt;0")+1,""))</f>
        <v/>
      </c>
      <c r="AO572" s="27">
        <f>IF($A572="","",IF(AND(COUNTIFS($A$14:$A$1213,$A572,$F$14:$F$1213,"&gt;=0")=2,IFERROR(INDEX($M$14:$M$313,MATCH($A572,$H$14:$H$313,0)),"Yes")&lt;&gt;"Yes"),1,0))</f>
        <v/>
      </c>
    </row>
    <row r="573">
      <c r="A573" s="19" t="n"/>
      <c r="B573" s="20" t="n"/>
      <c r="C573" s="21">
        <f>IFERROR(AVERAGE(P573:T573),"")</f>
        <v/>
      </c>
      <c r="D573" s="29" t="n"/>
      <c r="E573" s="29" t="n"/>
      <c r="F573" s="30">
        <f>IF(AND(ISNUMBER($D573),ISNUMBER($E573),$E573&gt;0,$D573&lt;=$E573),$D573/$E573,"")</f>
        <v/>
      </c>
      <c r="P573" s="26" t="n"/>
      <c r="Q573" s="26" t="n"/>
      <c r="R573" s="26" t="n"/>
      <c r="S573" s="26" t="n"/>
      <c r="T573" s="26" t="n"/>
      <c r="V573" s="27">
        <f>IF(ISNUMBER($C573),COUNTIFS($A$14:$A$1213,$A573,$C$14:$C$1213,"&gt;"&amp;$C573)+(COUNTIFS($A$14:$A$1213,$A573,$C$14:$C$1213,"="&amp;$C573)+1)/2,"")</f>
        <v/>
      </c>
      <c r="W573" s="27">
        <f>IF(ISNUMBER($F573),COUNTIFS($A$14:$A$1213,$A573,$F$14:$F$1213,"&gt;"&amp;$F573)+(COUNTIFS($A$14:$A$1213,$A573,$F$14:$F$1213,"="&amp;$F573)+1)/2,"")</f>
        <v/>
      </c>
      <c r="X573" s="27">
        <f>IF(OR(NOT(ISNUMBER($V573)),$AO573=1),"",$V573-(COUNTIFS($A$14:$A$1213,$A573,$C$14:$C$1213,"&gt;=0")+1)/2)</f>
        <v/>
      </c>
      <c r="Y573" s="27">
        <f>IF(OR(NOT(ISNUMBER($W573)),$AO573=1),"",$W573-(COUNTIFS($A$14:$A$1213,$A573,$F$14:$F$1213,"&gt;=0")+1)/2)</f>
        <v/>
      </c>
      <c r="Z573" s="27">
        <f>IF(ISNUMBER($V573),$A573&amp;"|"&amp;$V573,"")</f>
        <v/>
      </c>
      <c r="AA573" s="27">
        <f>IF(ISNUMBER($W573),$A573&amp;"|"&amp;$W573,"")</f>
        <v/>
      </c>
      <c r="AB573" s="27">
        <f>IF(ISNUMBER($F573),$A573&amp;"|"&amp;$F573,"")</f>
        <v/>
      </c>
      <c r="AC573" s="27">
        <f>IF(ISNUMBER($P573),COUNTIFS($A$14:$A$1213,$A573,$P$14:$P$1213,"&gt;"&amp;$P573)+(COUNTIFS($A$14:$A$1213,$A573,$P$14:$P$1213,"="&amp;$P573)+1)/2,"")</f>
        <v/>
      </c>
      <c r="AD573" s="27">
        <f>IF(ISNUMBER($Q573),COUNTIFS($A$14:$A$1213,$A573,$Q$14:$Q$1213,"&gt;"&amp;$Q573)+(COUNTIFS($A$14:$A$1213,$A573,$Q$14:$Q$1213,"="&amp;$Q573)+1)/2,"")</f>
        <v/>
      </c>
      <c r="AE573" s="27">
        <f>IF(ISNUMBER($R573),COUNTIFS($A$14:$A$1213,$A573,$R$14:$R$1213,"&gt;"&amp;$R573)+(COUNTIFS($A$14:$A$1213,$A573,$R$14:$R$1213,"="&amp;$R573)+1)/2,"")</f>
        <v/>
      </c>
      <c r="AF573" s="27">
        <f>IF(ISNUMBER($S573),COUNTIFS($A$14:$A$1213,$A573,$S$14:$S$1213,"&gt;"&amp;$S573)+(COUNTIFS($A$14:$A$1213,$A573,$S$14:$S$1213,"="&amp;$S573)+1)/2,"")</f>
        <v/>
      </c>
      <c r="AG573" s="27">
        <f>IF(ISNUMBER($T573),COUNTIFS($A$14:$A$1213,$A573,$T$14:$T$1213,"&gt;"&amp;$T573)+(COUNTIFS($A$14:$A$1213,$A573,$T$14:$T$1213,"="&amp;$T573)+1)/2,"")</f>
        <v/>
      </c>
      <c r="AH573" s="27">
        <f>IF(COUNT($AC573:$AG573)&lt;2,"",IF(MAX($AC573:$AG573)=MIN($AC573:$AG573),0,1))</f>
        <v/>
      </c>
      <c r="AI573" s="27">
        <f>IF($A573="","",IF(COUNTIF($A$14:$A573,$A573)=1,COUNTIF($AI$13:AI572,"&gt;0")+1,""))</f>
        <v/>
      </c>
      <c r="AO573" s="27">
        <f>IF($A573="","",IF(AND(COUNTIFS($A$14:$A$1213,$A573,$F$14:$F$1213,"&gt;=0")=2,IFERROR(INDEX($M$14:$M$313,MATCH($A573,$H$14:$H$313,0)),"Yes")&lt;&gt;"Yes"),1,0))</f>
        <v/>
      </c>
    </row>
    <row r="574">
      <c r="A574" s="19" t="n"/>
      <c r="B574" s="20" t="n"/>
      <c r="C574" s="21">
        <f>IFERROR(AVERAGE(P574:T574),"")</f>
        <v/>
      </c>
      <c r="D574" s="29" t="n"/>
      <c r="E574" s="29" t="n"/>
      <c r="F574" s="30">
        <f>IF(AND(ISNUMBER($D574),ISNUMBER($E574),$E574&gt;0,$D574&lt;=$E574),$D574/$E574,"")</f>
        <v/>
      </c>
      <c r="P574" s="26" t="n"/>
      <c r="Q574" s="26" t="n"/>
      <c r="R574" s="26" t="n"/>
      <c r="S574" s="26" t="n"/>
      <c r="T574" s="26" t="n"/>
      <c r="V574" s="27">
        <f>IF(ISNUMBER($C574),COUNTIFS($A$14:$A$1213,$A574,$C$14:$C$1213,"&gt;"&amp;$C574)+(COUNTIFS($A$14:$A$1213,$A574,$C$14:$C$1213,"="&amp;$C574)+1)/2,"")</f>
        <v/>
      </c>
      <c r="W574" s="27">
        <f>IF(ISNUMBER($F574),COUNTIFS($A$14:$A$1213,$A574,$F$14:$F$1213,"&gt;"&amp;$F574)+(COUNTIFS($A$14:$A$1213,$A574,$F$14:$F$1213,"="&amp;$F574)+1)/2,"")</f>
        <v/>
      </c>
      <c r="X574" s="27">
        <f>IF(OR(NOT(ISNUMBER($V574)),$AO574=1),"",$V574-(COUNTIFS($A$14:$A$1213,$A574,$C$14:$C$1213,"&gt;=0")+1)/2)</f>
        <v/>
      </c>
      <c r="Y574" s="27">
        <f>IF(OR(NOT(ISNUMBER($W574)),$AO574=1),"",$W574-(COUNTIFS($A$14:$A$1213,$A574,$F$14:$F$1213,"&gt;=0")+1)/2)</f>
        <v/>
      </c>
      <c r="Z574" s="27">
        <f>IF(ISNUMBER($V574),$A574&amp;"|"&amp;$V574,"")</f>
        <v/>
      </c>
      <c r="AA574" s="27">
        <f>IF(ISNUMBER($W574),$A574&amp;"|"&amp;$W574,"")</f>
        <v/>
      </c>
      <c r="AB574" s="27">
        <f>IF(ISNUMBER($F574),$A574&amp;"|"&amp;$F574,"")</f>
        <v/>
      </c>
      <c r="AC574" s="27">
        <f>IF(ISNUMBER($P574),COUNTIFS($A$14:$A$1213,$A574,$P$14:$P$1213,"&gt;"&amp;$P574)+(COUNTIFS($A$14:$A$1213,$A574,$P$14:$P$1213,"="&amp;$P574)+1)/2,"")</f>
        <v/>
      </c>
      <c r="AD574" s="27">
        <f>IF(ISNUMBER($Q574),COUNTIFS($A$14:$A$1213,$A574,$Q$14:$Q$1213,"&gt;"&amp;$Q574)+(COUNTIFS($A$14:$A$1213,$A574,$Q$14:$Q$1213,"="&amp;$Q574)+1)/2,"")</f>
        <v/>
      </c>
      <c r="AE574" s="27">
        <f>IF(ISNUMBER($R574),COUNTIFS($A$14:$A$1213,$A574,$R$14:$R$1213,"&gt;"&amp;$R574)+(COUNTIFS($A$14:$A$1213,$A574,$R$14:$R$1213,"="&amp;$R574)+1)/2,"")</f>
        <v/>
      </c>
      <c r="AF574" s="27">
        <f>IF(ISNUMBER($S574),COUNTIFS($A$14:$A$1213,$A574,$S$14:$S$1213,"&gt;"&amp;$S574)+(COUNTIFS($A$14:$A$1213,$A574,$S$14:$S$1213,"="&amp;$S574)+1)/2,"")</f>
        <v/>
      </c>
      <c r="AG574" s="27">
        <f>IF(ISNUMBER($T574),COUNTIFS($A$14:$A$1213,$A574,$T$14:$T$1213,"&gt;"&amp;$T574)+(COUNTIFS($A$14:$A$1213,$A574,$T$14:$T$1213,"="&amp;$T574)+1)/2,"")</f>
        <v/>
      </c>
      <c r="AH574" s="27">
        <f>IF(COUNT($AC574:$AG574)&lt;2,"",IF(MAX($AC574:$AG574)=MIN($AC574:$AG574),0,1))</f>
        <v/>
      </c>
      <c r="AI574" s="27">
        <f>IF($A574="","",IF(COUNTIF($A$14:$A574,$A574)=1,COUNTIF($AI$13:AI573,"&gt;0")+1,""))</f>
        <v/>
      </c>
      <c r="AO574" s="27">
        <f>IF($A574="","",IF(AND(COUNTIFS($A$14:$A$1213,$A574,$F$14:$F$1213,"&gt;=0")=2,IFERROR(INDEX($M$14:$M$313,MATCH($A574,$H$14:$H$313,0)),"Yes")&lt;&gt;"Yes"),1,0))</f>
        <v/>
      </c>
    </row>
    <row r="575">
      <c r="A575" s="19" t="n"/>
      <c r="B575" s="20" t="n"/>
      <c r="C575" s="21">
        <f>IFERROR(AVERAGE(P575:T575),"")</f>
        <v/>
      </c>
      <c r="D575" s="29" t="n"/>
      <c r="E575" s="29" t="n"/>
      <c r="F575" s="30">
        <f>IF(AND(ISNUMBER($D575),ISNUMBER($E575),$E575&gt;0,$D575&lt;=$E575),$D575/$E575,"")</f>
        <v/>
      </c>
      <c r="P575" s="26" t="n"/>
      <c r="Q575" s="26" t="n"/>
      <c r="R575" s="26" t="n"/>
      <c r="S575" s="26" t="n"/>
      <c r="T575" s="26" t="n"/>
      <c r="V575" s="27">
        <f>IF(ISNUMBER($C575),COUNTIFS($A$14:$A$1213,$A575,$C$14:$C$1213,"&gt;"&amp;$C575)+(COUNTIFS($A$14:$A$1213,$A575,$C$14:$C$1213,"="&amp;$C575)+1)/2,"")</f>
        <v/>
      </c>
      <c r="W575" s="27">
        <f>IF(ISNUMBER($F575),COUNTIFS($A$14:$A$1213,$A575,$F$14:$F$1213,"&gt;"&amp;$F575)+(COUNTIFS($A$14:$A$1213,$A575,$F$14:$F$1213,"="&amp;$F575)+1)/2,"")</f>
        <v/>
      </c>
      <c r="X575" s="27">
        <f>IF(OR(NOT(ISNUMBER($V575)),$AO575=1),"",$V575-(COUNTIFS($A$14:$A$1213,$A575,$C$14:$C$1213,"&gt;=0")+1)/2)</f>
        <v/>
      </c>
      <c r="Y575" s="27">
        <f>IF(OR(NOT(ISNUMBER($W575)),$AO575=1),"",$W575-(COUNTIFS($A$14:$A$1213,$A575,$F$14:$F$1213,"&gt;=0")+1)/2)</f>
        <v/>
      </c>
      <c r="Z575" s="27">
        <f>IF(ISNUMBER($V575),$A575&amp;"|"&amp;$V575,"")</f>
        <v/>
      </c>
      <c r="AA575" s="27">
        <f>IF(ISNUMBER($W575),$A575&amp;"|"&amp;$W575,"")</f>
        <v/>
      </c>
      <c r="AB575" s="27">
        <f>IF(ISNUMBER($F575),$A575&amp;"|"&amp;$F575,"")</f>
        <v/>
      </c>
      <c r="AC575" s="27">
        <f>IF(ISNUMBER($P575),COUNTIFS($A$14:$A$1213,$A575,$P$14:$P$1213,"&gt;"&amp;$P575)+(COUNTIFS($A$14:$A$1213,$A575,$P$14:$P$1213,"="&amp;$P575)+1)/2,"")</f>
        <v/>
      </c>
      <c r="AD575" s="27">
        <f>IF(ISNUMBER($Q575),COUNTIFS($A$14:$A$1213,$A575,$Q$14:$Q$1213,"&gt;"&amp;$Q575)+(COUNTIFS($A$14:$A$1213,$A575,$Q$14:$Q$1213,"="&amp;$Q575)+1)/2,"")</f>
        <v/>
      </c>
      <c r="AE575" s="27">
        <f>IF(ISNUMBER($R575),COUNTIFS($A$14:$A$1213,$A575,$R$14:$R$1213,"&gt;"&amp;$R575)+(COUNTIFS($A$14:$A$1213,$A575,$R$14:$R$1213,"="&amp;$R575)+1)/2,"")</f>
        <v/>
      </c>
      <c r="AF575" s="27">
        <f>IF(ISNUMBER($S575),COUNTIFS($A$14:$A$1213,$A575,$S$14:$S$1213,"&gt;"&amp;$S575)+(COUNTIFS($A$14:$A$1213,$A575,$S$14:$S$1213,"="&amp;$S575)+1)/2,"")</f>
        <v/>
      </c>
      <c r="AG575" s="27">
        <f>IF(ISNUMBER($T575),COUNTIFS($A$14:$A$1213,$A575,$T$14:$T$1213,"&gt;"&amp;$T575)+(COUNTIFS($A$14:$A$1213,$A575,$T$14:$T$1213,"="&amp;$T575)+1)/2,"")</f>
        <v/>
      </c>
      <c r="AH575" s="27">
        <f>IF(COUNT($AC575:$AG575)&lt;2,"",IF(MAX($AC575:$AG575)=MIN($AC575:$AG575),0,1))</f>
        <v/>
      </c>
      <c r="AI575" s="27">
        <f>IF($A575="","",IF(COUNTIF($A$14:$A575,$A575)=1,COUNTIF($AI$13:AI574,"&gt;0")+1,""))</f>
        <v/>
      </c>
      <c r="AO575" s="27">
        <f>IF($A575="","",IF(AND(COUNTIFS($A$14:$A$1213,$A575,$F$14:$F$1213,"&gt;=0")=2,IFERROR(INDEX($M$14:$M$313,MATCH($A575,$H$14:$H$313,0)),"Yes")&lt;&gt;"Yes"),1,0))</f>
        <v/>
      </c>
    </row>
    <row r="576">
      <c r="A576" s="19" t="n"/>
      <c r="B576" s="20" t="n"/>
      <c r="C576" s="21">
        <f>IFERROR(AVERAGE(P576:T576),"")</f>
        <v/>
      </c>
      <c r="D576" s="29" t="n"/>
      <c r="E576" s="29" t="n"/>
      <c r="F576" s="30">
        <f>IF(AND(ISNUMBER($D576),ISNUMBER($E576),$E576&gt;0,$D576&lt;=$E576),$D576/$E576,"")</f>
        <v/>
      </c>
      <c r="P576" s="26" t="n"/>
      <c r="Q576" s="26" t="n"/>
      <c r="R576" s="26" t="n"/>
      <c r="S576" s="26" t="n"/>
      <c r="T576" s="26" t="n"/>
      <c r="V576" s="27">
        <f>IF(ISNUMBER($C576),COUNTIFS($A$14:$A$1213,$A576,$C$14:$C$1213,"&gt;"&amp;$C576)+(COUNTIFS($A$14:$A$1213,$A576,$C$14:$C$1213,"="&amp;$C576)+1)/2,"")</f>
        <v/>
      </c>
      <c r="W576" s="27">
        <f>IF(ISNUMBER($F576),COUNTIFS($A$14:$A$1213,$A576,$F$14:$F$1213,"&gt;"&amp;$F576)+(COUNTIFS($A$14:$A$1213,$A576,$F$14:$F$1213,"="&amp;$F576)+1)/2,"")</f>
        <v/>
      </c>
      <c r="X576" s="27">
        <f>IF(OR(NOT(ISNUMBER($V576)),$AO576=1),"",$V576-(COUNTIFS($A$14:$A$1213,$A576,$C$14:$C$1213,"&gt;=0")+1)/2)</f>
        <v/>
      </c>
      <c r="Y576" s="27">
        <f>IF(OR(NOT(ISNUMBER($W576)),$AO576=1),"",$W576-(COUNTIFS($A$14:$A$1213,$A576,$F$14:$F$1213,"&gt;=0")+1)/2)</f>
        <v/>
      </c>
      <c r="Z576" s="27">
        <f>IF(ISNUMBER($V576),$A576&amp;"|"&amp;$V576,"")</f>
        <v/>
      </c>
      <c r="AA576" s="27">
        <f>IF(ISNUMBER($W576),$A576&amp;"|"&amp;$W576,"")</f>
        <v/>
      </c>
      <c r="AB576" s="27">
        <f>IF(ISNUMBER($F576),$A576&amp;"|"&amp;$F576,"")</f>
        <v/>
      </c>
      <c r="AC576" s="27">
        <f>IF(ISNUMBER($P576),COUNTIFS($A$14:$A$1213,$A576,$P$14:$P$1213,"&gt;"&amp;$P576)+(COUNTIFS($A$14:$A$1213,$A576,$P$14:$P$1213,"="&amp;$P576)+1)/2,"")</f>
        <v/>
      </c>
      <c r="AD576" s="27">
        <f>IF(ISNUMBER($Q576),COUNTIFS($A$14:$A$1213,$A576,$Q$14:$Q$1213,"&gt;"&amp;$Q576)+(COUNTIFS($A$14:$A$1213,$A576,$Q$14:$Q$1213,"="&amp;$Q576)+1)/2,"")</f>
        <v/>
      </c>
      <c r="AE576" s="27">
        <f>IF(ISNUMBER($R576),COUNTIFS($A$14:$A$1213,$A576,$R$14:$R$1213,"&gt;"&amp;$R576)+(COUNTIFS($A$14:$A$1213,$A576,$R$14:$R$1213,"="&amp;$R576)+1)/2,"")</f>
        <v/>
      </c>
      <c r="AF576" s="27">
        <f>IF(ISNUMBER($S576),COUNTIFS($A$14:$A$1213,$A576,$S$14:$S$1213,"&gt;"&amp;$S576)+(COUNTIFS($A$14:$A$1213,$A576,$S$14:$S$1213,"="&amp;$S576)+1)/2,"")</f>
        <v/>
      </c>
      <c r="AG576" s="27">
        <f>IF(ISNUMBER($T576),COUNTIFS($A$14:$A$1213,$A576,$T$14:$T$1213,"&gt;"&amp;$T576)+(COUNTIFS($A$14:$A$1213,$A576,$T$14:$T$1213,"="&amp;$T576)+1)/2,"")</f>
        <v/>
      </c>
      <c r="AH576" s="27">
        <f>IF(COUNT($AC576:$AG576)&lt;2,"",IF(MAX($AC576:$AG576)=MIN($AC576:$AG576),0,1))</f>
        <v/>
      </c>
      <c r="AI576" s="27">
        <f>IF($A576="","",IF(COUNTIF($A$14:$A576,$A576)=1,COUNTIF($AI$13:AI575,"&gt;0")+1,""))</f>
        <v/>
      </c>
      <c r="AO576" s="27">
        <f>IF($A576="","",IF(AND(COUNTIFS($A$14:$A$1213,$A576,$F$14:$F$1213,"&gt;=0")=2,IFERROR(INDEX($M$14:$M$313,MATCH($A576,$H$14:$H$313,0)),"Yes")&lt;&gt;"Yes"),1,0))</f>
        <v/>
      </c>
    </row>
    <row r="577">
      <c r="A577" s="19" t="n"/>
      <c r="B577" s="20" t="n"/>
      <c r="C577" s="21">
        <f>IFERROR(AVERAGE(P577:T577),"")</f>
        <v/>
      </c>
      <c r="D577" s="29" t="n"/>
      <c r="E577" s="29" t="n"/>
      <c r="F577" s="30">
        <f>IF(AND(ISNUMBER($D577),ISNUMBER($E577),$E577&gt;0,$D577&lt;=$E577),$D577/$E577,"")</f>
        <v/>
      </c>
      <c r="P577" s="26" t="n"/>
      <c r="Q577" s="26" t="n"/>
      <c r="R577" s="26" t="n"/>
      <c r="S577" s="26" t="n"/>
      <c r="T577" s="26" t="n"/>
      <c r="V577" s="27">
        <f>IF(ISNUMBER($C577),COUNTIFS($A$14:$A$1213,$A577,$C$14:$C$1213,"&gt;"&amp;$C577)+(COUNTIFS($A$14:$A$1213,$A577,$C$14:$C$1213,"="&amp;$C577)+1)/2,"")</f>
        <v/>
      </c>
      <c r="W577" s="27">
        <f>IF(ISNUMBER($F577),COUNTIFS($A$14:$A$1213,$A577,$F$14:$F$1213,"&gt;"&amp;$F577)+(COUNTIFS($A$14:$A$1213,$A577,$F$14:$F$1213,"="&amp;$F577)+1)/2,"")</f>
        <v/>
      </c>
      <c r="X577" s="27">
        <f>IF(OR(NOT(ISNUMBER($V577)),$AO577=1),"",$V577-(COUNTIFS($A$14:$A$1213,$A577,$C$14:$C$1213,"&gt;=0")+1)/2)</f>
        <v/>
      </c>
      <c r="Y577" s="27">
        <f>IF(OR(NOT(ISNUMBER($W577)),$AO577=1),"",$W577-(COUNTIFS($A$14:$A$1213,$A577,$F$14:$F$1213,"&gt;=0")+1)/2)</f>
        <v/>
      </c>
      <c r="Z577" s="27">
        <f>IF(ISNUMBER($V577),$A577&amp;"|"&amp;$V577,"")</f>
        <v/>
      </c>
      <c r="AA577" s="27">
        <f>IF(ISNUMBER($W577),$A577&amp;"|"&amp;$W577,"")</f>
        <v/>
      </c>
      <c r="AB577" s="27">
        <f>IF(ISNUMBER($F577),$A577&amp;"|"&amp;$F577,"")</f>
        <v/>
      </c>
      <c r="AC577" s="27">
        <f>IF(ISNUMBER($P577),COUNTIFS($A$14:$A$1213,$A577,$P$14:$P$1213,"&gt;"&amp;$P577)+(COUNTIFS($A$14:$A$1213,$A577,$P$14:$P$1213,"="&amp;$P577)+1)/2,"")</f>
        <v/>
      </c>
      <c r="AD577" s="27">
        <f>IF(ISNUMBER($Q577),COUNTIFS($A$14:$A$1213,$A577,$Q$14:$Q$1213,"&gt;"&amp;$Q577)+(COUNTIFS($A$14:$A$1213,$A577,$Q$14:$Q$1213,"="&amp;$Q577)+1)/2,"")</f>
        <v/>
      </c>
      <c r="AE577" s="27">
        <f>IF(ISNUMBER($R577),COUNTIFS($A$14:$A$1213,$A577,$R$14:$R$1213,"&gt;"&amp;$R577)+(COUNTIFS($A$14:$A$1213,$A577,$R$14:$R$1213,"="&amp;$R577)+1)/2,"")</f>
        <v/>
      </c>
      <c r="AF577" s="27">
        <f>IF(ISNUMBER($S577),COUNTIFS($A$14:$A$1213,$A577,$S$14:$S$1213,"&gt;"&amp;$S577)+(COUNTIFS($A$14:$A$1213,$A577,$S$14:$S$1213,"="&amp;$S577)+1)/2,"")</f>
        <v/>
      </c>
      <c r="AG577" s="27">
        <f>IF(ISNUMBER($T577),COUNTIFS($A$14:$A$1213,$A577,$T$14:$T$1213,"&gt;"&amp;$T577)+(COUNTIFS($A$14:$A$1213,$A577,$T$14:$T$1213,"="&amp;$T577)+1)/2,"")</f>
        <v/>
      </c>
      <c r="AH577" s="27">
        <f>IF(COUNT($AC577:$AG577)&lt;2,"",IF(MAX($AC577:$AG577)=MIN($AC577:$AG577),0,1))</f>
        <v/>
      </c>
      <c r="AI577" s="27">
        <f>IF($A577="","",IF(COUNTIF($A$14:$A577,$A577)=1,COUNTIF($AI$13:AI576,"&gt;0")+1,""))</f>
        <v/>
      </c>
      <c r="AO577" s="27">
        <f>IF($A577="","",IF(AND(COUNTIFS($A$14:$A$1213,$A577,$F$14:$F$1213,"&gt;=0")=2,IFERROR(INDEX($M$14:$M$313,MATCH($A577,$H$14:$H$313,0)),"Yes")&lt;&gt;"Yes"),1,0))</f>
        <v/>
      </c>
    </row>
    <row r="578">
      <c r="A578" s="19" t="n"/>
      <c r="B578" s="20" t="n"/>
      <c r="C578" s="21">
        <f>IFERROR(AVERAGE(P578:T578),"")</f>
        <v/>
      </c>
      <c r="D578" s="29" t="n"/>
      <c r="E578" s="29" t="n"/>
      <c r="F578" s="30">
        <f>IF(AND(ISNUMBER($D578),ISNUMBER($E578),$E578&gt;0,$D578&lt;=$E578),$D578/$E578,"")</f>
        <v/>
      </c>
      <c r="P578" s="26" t="n"/>
      <c r="Q578" s="26" t="n"/>
      <c r="R578" s="26" t="n"/>
      <c r="S578" s="26" t="n"/>
      <c r="T578" s="26" t="n"/>
      <c r="V578" s="27">
        <f>IF(ISNUMBER($C578),COUNTIFS($A$14:$A$1213,$A578,$C$14:$C$1213,"&gt;"&amp;$C578)+(COUNTIFS($A$14:$A$1213,$A578,$C$14:$C$1213,"="&amp;$C578)+1)/2,"")</f>
        <v/>
      </c>
      <c r="W578" s="27">
        <f>IF(ISNUMBER($F578),COUNTIFS($A$14:$A$1213,$A578,$F$14:$F$1213,"&gt;"&amp;$F578)+(COUNTIFS($A$14:$A$1213,$A578,$F$14:$F$1213,"="&amp;$F578)+1)/2,"")</f>
        <v/>
      </c>
      <c r="X578" s="27">
        <f>IF(OR(NOT(ISNUMBER($V578)),$AO578=1),"",$V578-(COUNTIFS($A$14:$A$1213,$A578,$C$14:$C$1213,"&gt;=0")+1)/2)</f>
        <v/>
      </c>
      <c r="Y578" s="27">
        <f>IF(OR(NOT(ISNUMBER($W578)),$AO578=1),"",$W578-(COUNTIFS($A$14:$A$1213,$A578,$F$14:$F$1213,"&gt;=0")+1)/2)</f>
        <v/>
      </c>
      <c r="Z578" s="27">
        <f>IF(ISNUMBER($V578),$A578&amp;"|"&amp;$V578,"")</f>
        <v/>
      </c>
      <c r="AA578" s="27">
        <f>IF(ISNUMBER($W578),$A578&amp;"|"&amp;$W578,"")</f>
        <v/>
      </c>
      <c r="AB578" s="27">
        <f>IF(ISNUMBER($F578),$A578&amp;"|"&amp;$F578,"")</f>
        <v/>
      </c>
      <c r="AC578" s="27">
        <f>IF(ISNUMBER($P578),COUNTIFS($A$14:$A$1213,$A578,$P$14:$P$1213,"&gt;"&amp;$P578)+(COUNTIFS($A$14:$A$1213,$A578,$P$14:$P$1213,"="&amp;$P578)+1)/2,"")</f>
        <v/>
      </c>
      <c r="AD578" s="27">
        <f>IF(ISNUMBER($Q578),COUNTIFS($A$14:$A$1213,$A578,$Q$14:$Q$1213,"&gt;"&amp;$Q578)+(COUNTIFS($A$14:$A$1213,$A578,$Q$14:$Q$1213,"="&amp;$Q578)+1)/2,"")</f>
        <v/>
      </c>
      <c r="AE578" s="27">
        <f>IF(ISNUMBER($R578),COUNTIFS($A$14:$A$1213,$A578,$R$14:$R$1213,"&gt;"&amp;$R578)+(COUNTIFS($A$14:$A$1213,$A578,$R$14:$R$1213,"="&amp;$R578)+1)/2,"")</f>
        <v/>
      </c>
      <c r="AF578" s="27">
        <f>IF(ISNUMBER($S578),COUNTIFS($A$14:$A$1213,$A578,$S$14:$S$1213,"&gt;"&amp;$S578)+(COUNTIFS($A$14:$A$1213,$A578,$S$14:$S$1213,"="&amp;$S578)+1)/2,"")</f>
        <v/>
      </c>
      <c r="AG578" s="27">
        <f>IF(ISNUMBER($T578),COUNTIFS($A$14:$A$1213,$A578,$T$14:$T$1213,"&gt;"&amp;$T578)+(COUNTIFS($A$14:$A$1213,$A578,$T$14:$T$1213,"="&amp;$T578)+1)/2,"")</f>
        <v/>
      </c>
      <c r="AH578" s="27">
        <f>IF(COUNT($AC578:$AG578)&lt;2,"",IF(MAX($AC578:$AG578)=MIN($AC578:$AG578),0,1))</f>
        <v/>
      </c>
      <c r="AI578" s="27">
        <f>IF($A578="","",IF(COUNTIF($A$14:$A578,$A578)=1,COUNTIF($AI$13:AI577,"&gt;0")+1,""))</f>
        <v/>
      </c>
      <c r="AO578" s="27">
        <f>IF($A578="","",IF(AND(COUNTIFS($A$14:$A$1213,$A578,$F$14:$F$1213,"&gt;=0")=2,IFERROR(INDEX($M$14:$M$313,MATCH($A578,$H$14:$H$313,0)),"Yes")&lt;&gt;"Yes"),1,0))</f>
        <v/>
      </c>
    </row>
    <row r="579">
      <c r="A579" s="19" t="n"/>
      <c r="B579" s="20" t="n"/>
      <c r="C579" s="21">
        <f>IFERROR(AVERAGE(P579:T579),"")</f>
        <v/>
      </c>
      <c r="D579" s="29" t="n"/>
      <c r="E579" s="29" t="n"/>
      <c r="F579" s="30">
        <f>IF(AND(ISNUMBER($D579),ISNUMBER($E579),$E579&gt;0,$D579&lt;=$E579),$D579/$E579,"")</f>
        <v/>
      </c>
      <c r="P579" s="26" t="n"/>
      <c r="Q579" s="26" t="n"/>
      <c r="R579" s="26" t="n"/>
      <c r="S579" s="26" t="n"/>
      <c r="T579" s="26" t="n"/>
      <c r="V579" s="27">
        <f>IF(ISNUMBER($C579),COUNTIFS($A$14:$A$1213,$A579,$C$14:$C$1213,"&gt;"&amp;$C579)+(COUNTIFS($A$14:$A$1213,$A579,$C$14:$C$1213,"="&amp;$C579)+1)/2,"")</f>
        <v/>
      </c>
      <c r="W579" s="27">
        <f>IF(ISNUMBER($F579),COUNTIFS($A$14:$A$1213,$A579,$F$14:$F$1213,"&gt;"&amp;$F579)+(COUNTIFS($A$14:$A$1213,$A579,$F$14:$F$1213,"="&amp;$F579)+1)/2,"")</f>
        <v/>
      </c>
      <c r="X579" s="27">
        <f>IF(OR(NOT(ISNUMBER($V579)),$AO579=1),"",$V579-(COUNTIFS($A$14:$A$1213,$A579,$C$14:$C$1213,"&gt;=0")+1)/2)</f>
        <v/>
      </c>
      <c r="Y579" s="27">
        <f>IF(OR(NOT(ISNUMBER($W579)),$AO579=1),"",$W579-(COUNTIFS($A$14:$A$1213,$A579,$F$14:$F$1213,"&gt;=0")+1)/2)</f>
        <v/>
      </c>
      <c r="Z579" s="27">
        <f>IF(ISNUMBER($V579),$A579&amp;"|"&amp;$V579,"")</f>
        <v/>
      </c>
      <c r="AA579" s="27">
        <f>IF(ISNUMBER($W579),$A579&amp;"|"&amp;$W579,"")</f>
        <v/>
      </c>
      <c r="AB579" s="27">
        <f>IF(ISNUMBER($F579),$A579&amp;"|"&amp;$F579,"")</f>
        <v/>
      </c>
      <c r="AC579" s="27">
        <f>IF(ISNUMBER($P579),COUNTIFS($A$14:$A$1213,$A579,$P$14:$P$1213,"&gt;"&amp;$P579)+(COUNTIFS($A$14:$A$1213,$A579,$P$14:$P$1213,"="&amp;$P579)+1)/2,"")</f>
        <v/>
      </c>
      <c r="AD579" s="27">
        <f>IF(ISNUMBER($Q579),COUNTIFS($A$14:$A$1213,$A579,$Q$14:$Q$1213,"&gt;"&amp;$Q579)+(COUNTIFS($A$14:$A$1213,$A579,$Q$14:$Q$1213,"="&amp;$Q579)+1)/2,"")</f>
        <v/>
      </c>
      <c r="AE579" s="27">
        <f>IF(ISNUMBER($R579),COUNTIFS($A$14:$A$1213,$A579,$R$14:$R$1213,"&gt;"&amp;$R579)+(COUNTIFS($A$14:$A$1213,$A579,$R$14:$R$1213,"="&amp;$R579)+1)/2,"")</f>
        <v/>
      </c>
      <c r="AF579" s="27">
        <f>IF(ISNUMBER($S579),COUNTIFS($A$14:$A$1213,$A579,$S$14:$S$1213,"&gt;"&amp;$S579)+(COUNTIFS($A$14:$A$1213,$A579,$S$14:$S$1213,"="&amp;$S579)+1)/2,"")</f>
        <v/>
      </c>
      <c r="AG579" s="27">
        <f>IF(ISNUMBER($T579),COUNTIFS($A$14:$A$1213,$A579,$T$14:$T$1213,"&gt;"&amp;$T579)+(COUNTIFS($A$14:$A$1213,$A579,$T$14:$T$1213,"="&amp;$T579)+1)/2,"")</f>
        <v/>
      </c>
      <c r="AH579" s="27">
        <f>IF(COUNT($AC579:$AG579)&lt;2,"",IF(MAX($AC579:$AG579)=MIN($AC579:$AG579),0,1))</f>
        <v/>
      </c>
      <c r="AI579" s="27">
        <f>IF($A579="","",IF(COUNTIF($A$14:$A579,$A579)=1,COUNTIF($AI$13:AI578,"&gt;0")+1,""))</f>
        <v/>
      </c>
      <c r="AO579" s="27">
        <f>IF($A579="","",IF(AND(COUNTIFS($A$14:$A$1213,$A579,$F$14:$F$1213,"&gt;=0")=2,IFERROR(INDEX($M$14:$M$313,MATCH($A579,$H$14:$H$313,0)),"Yes")&lt;&gt;"Yes"),1,0))</f>
        <v/>
      </c>
    </row>
    <row r="580">
      <c r="A580" s="19" t="n"/>
      <c r="B580" s="20" t="n"/>
      <c r="C580" s="21">
        <f>IFERROR(AVERAGE(P580:T580),"")</f>
        <v/>
      </c>
      <c r="D580" s="29" t="n"/>
      <c r="E580" s="29" t="n"/>
      <c r="F580" s="30">
        <f>IF(AND(ISNUMBER($D580),ISNUMBER($E580),$E580&gt;0,$D580&lt;=$E580),$D580/$E580,"")</f>
        <v/>
      </c>
      <c r="P580" s="26" t="n"/>
      <c r="Q580" s="26" t="n"/>
      <c r="R580" s="26" t="n"/>
      <c r="S580" s="26" t="n"/>
      <c r="T580" s="26" t="n"/>
      <c r="V580" s="27">
        <f>IF(ISNUMBER($C580),COUNTIFS($A$14:$A$1213,$A580,$C$14:$C$1213,"&gt;"&amp;$C580)+(COUNTIFS($A$14:$A$1213,$A580,$C$14:$C$1213,"="&amp;$C580)+1)/2,"")</f>
        <v/>
      </c>
      <c r="W580" s="27">
        <f>IF(ISNUMBER($F580),COUNTIFS($A$14:$A$1213,$A580,$F$14:$F$1213,"&gt;"&amp;$F580)+(COUNTIFS($A$14:$A$1213,$A580,$F$14:$F$1213,"="&amp;$F580)+1)/2,"")</f>
        <v/>
      </c>
      <c r="X580" s="27">
        <f>IF(OR(NOT(ISNUMBER($V580)),$AO580=1),"",$V580-(COUNTIFS($A$14:$A$1213,$A580,$C$14:$C$1213,"&gt;=0")+1)/2)</f>
        <v/>
      </c>
      <c r="Y580" s="27">
        <f>IF(OR(NOT(ISNUMBER($W580)),$AO580=1),"",$W580-(COUNTIFS($A$14:$A$1213,$A580,$F$14:$F$1213,"&gt;=0")+1)/2)</f>
        <v/>
      </c>
      <c r="Z580" s="27">
        <f>IF(ISNUMBER($V580),$A580&amp;"|"&amp;$V580,"")</f>
        <v/>
      </c>
      <c r="AA580" s="27">
        <f>IF(ISNUMBER($W580),$A580&amp;"|"&amp;$W580,"")</f>
        <v/>
      </c>
      <c r="AB580" s="27">
        <f>IF(ISNUMBER($F580),$A580&amp;"|"&amp;$F580,"")</f>
        <v/>
      </c>
      <c r="AC580" s="27">
        <f>IF(ISNUMBER($P580),COUNTIFS($A$14:$A$1213,$A580,$P$14:$P$1213,"&gt;"&amp;$P580)+(COUNTIFS($A$14:$A$1213,$A580,$P$14:$P$1213,"="&amp;$P580)+1)/2,"")</f>
        <v/>
      </c>
      <c r="AD580" s="27">
        <f>IF(ISNUMBER($Q580),COUNTIFS($A$14:$A$1213,$A580,$Q$14:$Q$1213,"&gt;"&amp;$Q580)+(COUNTIFS($A$14:$A$1213,$A580,$Q$14:$Q$1213,"="&amp;$Q580)+1)/2,"")</f>
        <v/>
      </c>
      <c r="AE580" s="27">
        <f>IF(ISNUMBER($R580),COUNTIFS($A$14:$A$1213,$A580,$R$14:$R$1213,"&gt;"&amp;$R580)+(COUNTIFS($A$14:$A$1213,$A580,$R$14:$R$1213,"="&amp;$R580)+1)/2,"")</f>
        <v/>
      </c>
      <c r="AF580" s="27">
        <f>IF(ISNUMBER($S580),COUNTIFS($A$14:$A$1213,$A580,$S$14:$S$1213,"&gt;"&amp;$S580)+(COUNTIFS($A$14:$A$1213,$A580,$S$14:$S$1213,"="&amp;$S580)+1)/2,"")</f>
        <v/>
      </c>
      <c r="AG580" s="27">
        <f>IF(ISNUMBER($T580),COUNTIFS($A$14:$A$1213,$A580,$T$14:$T$1213,"&gt;"&amp;$T580)+(COUNTIFS($A$14:$A$1213,$A580,$T$14:$T$1213,"="&amp;$T580)+1)/2,"")</f>
        <v/>
      </c>
      <c r="AH580" s="27">
        <f>IF(COUNT($AC580:$AG580)&lt;2,"",IF(MAX($AC580:$AG580)=MIN($AC580:$AG580),0,1))</f>
        <v/>
      </c>
      <c r="AI580" s="27">
        <f>IF($A580="","",IF(COUNTIF($A$14:$A580,$A580)=1,COUNTIF($AI$13:AI579,"&gt;0")+1,""))</f>
        <v/>
      </c>
      <c r="AO580" s="27">
        <f>IF($A580="","",IF(AND(COUNTIFS($A$14:$A$1213,$A580,$F$14:$F$1213,"&gt;=0")=2,IFERROR(INDEX($M$14:$M$313,MATCH($A580,$H$14:$H$313,0)),"Yes")&lt;&gt;"Yes"),1,0))</f>
        <v/>
      </c>
    </row>
    <row r="581">
      <c r="A581" s="19" t="n"/>
      <c r="B581" s="20" t="n"/>
      <c r="C581" s="21">
        <f>IFERROR(AVERAGE(P581:T581),"")</f>
        <v/>
      </c>
      <c r="D581" s="29" t="n"/>
      <c r="E581" s="29" t="n"/>
      <c r="F581" s="30">
        <f>IF(AND(ISNUMBER($D581),ISNUMBER($E581),$E581&gt;0,$D581&lt;=$E581),$D581/$E581,"")</f>
        <v/>
      </c>
      <c r="P581" s="26" t="n"/>
      <c r="Q581" s="26" t="n"/>
      <c r="R581" s="26" t="n"/>
      <c r="S581" s="26" t="n"/>
      <c r="T581" s="26" t="n"/>
      <c r="V581" s="27">
        <f>IF(ISNUMBER($C581),COUNTIFS($A$14:$A$1213,$A581,$C$14:$C$1213,"&gt;"&amp;$C581)+(COUNTIFS($A$14:$A$1213,$A581,$C$14:$C$1213,"="&amp;$C581)+1)/2,"")</f>
        <v/>
      </c>
      <c r="W581" s="27">
        <f>IF(ISNUMBER($F581),COUNTIFS($A$14:$A$1213,$A581,$F$14:$F$1213,"&gt;"&amp;$F581)+(COUNTIFS($A$14:$A$1213,$A581,$F$14:$F$1213,"="&amp;$F581)+1)/2,"")</f>
        <v/>
      </c>
      <c r="X581" s="27">
        <f>IF(OR(NOT(ISNUMBER($V581)),$AO581=1),"",$V581-(COUNTIFS($A$14:$A$1213,$A581,$C$14:$C$1213,"&gt;=0")+1)/2)</f>
        <v/>
      </c>
      <c r="Y581" s="27">
        <f>IF(OR(NOT(ISNUMBER($W581)),$AO581=1),"",$W581-(COUNTIFS($A$14:$A$1213,$A581,$F$14:$F$1213,"&gt;=0")+1)/2)</f>
        <v/>
      </c>
      <c r="Z581" s="27">
        <f>IF(ISNUMBER($V581),$A581&amp;"|"&amp;$V581,"")</f>
        <v/>
      </c>
      <c r="AA581" s="27">
        <f>IF(ISNUMBER($W581),$A581&amp;"|"&amp;$W581,"")</f>
        <v/>
      </c>
      <c r="AB581" s="27">
        <f>IF(ISNUMBER($F581),$A581&amp;"|"&amp;$F581,"")</f>
        <v/>
      </c>
      <c r="AC581" s="27">
        <f>IF(ISNUMBER($P581),COUNTIFS($A$14:$A$1213,$A581,$P$14:$P$1213,"&gt;"&amp;$P581)+(COUNTIFS($A$14:$A$1213,$A581,$P$14:$P$1213,"="&amp;$P581)+1)/2,"")</f>
        <v/>
      </c>
      <c r="AD581" s="27">
        <f>IF(ISNUMBER($Q581),COUNTIFS($A$14:$A$1213,$A581,$Q$14:$Q$1213,"&gt;"&amp;$Q581)+(COUNTIFS($A$14:$A$1213,$A581,$Q$14:$Q$1213,"="&amp;$Q581)+1)/2,"")</f>
        <v/>
      </c>
      <c r="AE581" s="27">
        <f>IF(ISNUMBER($R581),COUNTIFS($A$14:$A$1213,$A581,$R$14:$R$1213,"&gt;"&amp;$R581)+(COUNTIFS($A$14:$A$1213,$A581,$R$14:$R$1213,"="&amp;$R581)+1)/2,"")</f>
        <v/>
      </c>
      <c r="AF581" s="27">
        <f>IF(ISNUMBER($S581),COUNTIFS($A$14:$A$1213,$A581,$S$14:$S$1213,"&gt;"&amp;$S581)+(COUNTIFS($A$14:$A$1213,$A581,$S$14:$S$1213,"="&amp;$S581)+1)/2,"")</f>
        <v/>
      </c>
      <c r="AG581" s="27">
        <f>IF(ISNUMBER($T581),COUNTIFS($A$14:$A$1213,$A581,$T$14:$T$1213,"&gt;"&amp;$T581)+(COUNTIFS($A$14:$A$1213,$A581,$T$14:$T$1213,"="&amp;$T581)+1)/2,"")</f>
        <v/>
      </c>
      <c r="AH581" s="27">
        <f>IF(COUNT($AC581:$AG581)&lt;2,"",IF(MAX($AC581:$AG581)=MIN($AC581:$AG581),0,1))</f>
        <v/>
      </c>
      <c r="AI581" s="27">
        <f>IF($A581="","",IF(COUNTIF($A$14:$A581,$A581)=1,COUNTIF($AI$13:AI580,"&gt;0")+1,""))</f>
        <v/>
      </c>
      <c r="AO581" s="27">
        <f>IF($A581="","",IF(AND(COUNTIFS($A$14:$A$1213,$A581,$F$14:$F$1213,"&gt;=0")=2,IFERROR(INDEX($M$14:$M$313,MATCH($A581,$H$14:$H$313,0)),"Yes")&lt;&gt;"Yes"),1,0))</f>
        <v/>
      </c>
    </row>
    <row r="582">
      <c r="A582" s="19" t="n"/>
      <c r="B582" s="20" t="n"/>
      <c r="C582" s="21">
        <f>IFERROR(AVERAGE(P582:T582),"")</f>
        <v/>
      </c>
      <c r="D582" s="29" t="n"/>
      <c r="E582" s="29" t="n"/>
      <c r="F582" s="30">
        <f>IF(AND(ISNUMBER($D582),ISNUMBER($E582),$E582&gt;0,$D582&lt;=$E582),$D582/$E582,"")</f>
        <v/>
      </c>
      <c r="P582" s="26" t="n"/>
      <c r="Q582" s="26" t="n"/>
      <c r="R582" s="26" t="n"/>
      <c r="S582" s="26" t="n"/>
      <c r="T582" s="26" t="n"/>
      <c r="V582" s="27">
        <f>IF(ISNUMBER($C582),COUNTIFS($A$14:$A$1213,$A582,$C$14:$C$1213,"&gt;"&amp;$C582)+(COUNTIFS($A$14:$A$1213,$A582,$C$14:$C$1213,"="&amp;$C582)+1)/2,"")</f>
        <v/>
      </c>
      <c r="W582" s="27">
        <f>IF(ISNUMBER($F582),COUNTIFS($A$14:$A$1213,$A582,$F$14:$F$1213,"&gt;"&amp;$F582)+(COUNTIFS($A$14:$A$1213,$A582,$F$14:$F$1213,"="&amp;$F582)+1)/2,"")</f>
        <v/>
      </c>
      <c r="X582" s="27">
        <f>IF(OR(NOT(ISNUMBER($V582)),$AO582=1),"",$V582-(COUNTIFS($A$14:$A$1213,$A582,$C$14:$C$1213,"&gt;=0")+1)/2)</f>
        <v/>
      </c>
      <c r="Y582" s="27">
        <f>IF(OR(NOT(ISNUMBER($W582)),$AO582=1),"",$W582-(COUNTIFS($A$14:$A$1213,$A582,$F$14:$F$1213,"&gt;=0")+1)/2)</f>
        <v/>
      </c>
      <c r="Z582" s="27">
        <f>IF(ISNUMBER($V582),$A582&amp;"|"&amp;$V582,"")</f>
        <v/>
      </c>
      <c r="AA582" s="27">
        <f>IF(ISNUMBER($W582),$A582&amp;"|"&amp;$W582,"")</f>
        <v/>
      </c>
      <c r="AB582" s="27">
        <f>IF(ISNUMBER($F582),$A582&amp;"|"&amp;$F582,"")</f>
        <v/>
      </c>
      <c r="AC582" s="27">
        <f>IF(ISNUMBER($P582),COUNTIFS($A$14:$A$1213,$A582,$P$14:$P$1213,"&gt;"&amp;$P582)+(COUNTIFS($A$14:$A$1213,$A582,$P$14:$P$1213,"="&amp;$P582)+1)/2,"")</f>
        <v/>
      </c>
      <c r="AD582" s="27">
        <f>IF(ISNUMBER($Q582),COUNTIFS($A$14:$A$1213,$A582,$Q$14:$Q$1213,"&gt;"&amp;$Q582)+(COUNTIFS($A$14:$A$1213,$A582,$Q$14:$Q$1213,"="&amp;$Q582)+1)/2,"")</f>
        <v/>
      </c>
      <c r="AE582" s="27">
        <f>IF(ISNUMBER($R582),COUNTIFS($A$14:$A$1213,$A582,$R$14:$R$1213,"&gt;"&amp;$R582)+(COUNTIFS($A$14:$A$1213,$A582,$R$14:$R$1213,"="&amp;$R582)+1)/2,"")</f>
        <v/>
      </c>
      <c r="AF582" s="27">
        <f>IF(ISNUMBER($S582),COUNTIFS($A$14:$A$1213,$A582,$S$14:$S$1213,"&gt;"&amp;$S582)+(COUNTIFS($A$14:$A$1213,$A582,$S$14:$S$1213,"="&amp;$S582)+1)/2,"")</f>
        <v/>
      </c>
      <c r="AG582" s="27">
        <f>IF(ISNUMBER($T582),COUNTIFS($A$14:$A$1213,$A582,$T$14:$T$1213,"&gt;"&amp;$T582)+(COUNTIFS($A$14:$A$1213,$A582,$T$14:$T$1213,"="&amp;$T582)+1)/2,"")</f>
        <v/>
      </c>
      <c r="AH582" s="27">
        <f>IF(COUNT($AC582:$AG582)&lt;2,"",IF(MAX($AC582:$AG582)=MIN($AC582:$AG582),0,1))</f>
        <v/>
      </c>
      <c r="AI582" s="27">
        <f>IF($A582="","",IF(COUNTIF($A$14:$A582,$A582)=1,COUNTIF($AI$13:AI581,"&gt;0")+1,""))</f>
        <v/>
      </c>
      <c r="AO582" s="27">
        <f>IF($A582="","",IF(AND(COUNTIFS($A$14:$A$1213,$A582,$F$14:$F$1213,"&gt;=0")=2,IFERROR(INDEX($M$14:$M$313,MATCH($A582,$H$14:$H$313,0)),"Yes")&lt;&gt;"Yes"),1,0))</f>
        <v/>
      </c>
    </row>
    <row r="583">
      <c r="A583" s="19" t="n"/>
      <c r="B583" s="20" t="n"/>
      <c r="C583" s="21">
        <f>IFERROR(AVERAGE(P583:T583),"")</f>
        <v/>
      </c>
      <c r="D583" s="29" t="n"/>
      <c r="E583" s="29" t="n"/>
      <c r="F583" s="30">
        <f>IF(AND(ISNUMBER($D583),ISNUMBER($E583),$E583&gt;0,$D583&lt;=$E583),$D583/$E583,"")</f>
        <v/>
      </c>
      <c r="P583" s="26" t="n"/>
      <c r="Q583" s="26" t="n"/>
      <c r="R583" s="26" t="n"/>
      <c r="S583" s="26" t="n"/>
      <c r="T583" s="26" t="n"/>
      <c r="V583" s="27">
        <f>IF(ISNUMBER($C583),COUNTIFS($A$14:$A$1213,$A583,$C$14:$C$1213,"&gt;"&amp;$C583)+(COUNTIFS($A$14:$A$1213,$A583,$C$14:$C$1213,"="&amp;$C583)+1)/2,"")</f>
        <v/>
      </c>
      <c r="W583" s="27">
        <f>IF(ISNUMBER($F583),COUNTIFS($A$14:$A$1213,$A583,$F$14:$F$1213,"&gt;"&amp;$F583)+(COUNTIFS($A$14:$A$1213,$A583,$F$14:$F$1213,"="&amp;$F583)+1)/2,"")</f>
        <v/>
      </c>
      <c r="X583" s="27">
        <f>IF(OR(NOT(ISNUMBER($V583)),$AO583=1),"",$V583-(COUNTIFS($A$14:$A$1213,$A583,$C$14:$C$1213,"&gt;=0")+1)/2)</f>
        <v/>
      </c>
      <c r="Y583" s="27">
        <f>IF(OR(NOT(ISNUMBER($W583)),$AO583=1),"",$W583-(COUNTIFS($A$14:$A$1213,$A583,$F$14:$F$1213,"&gt;=0")+1)/2)</f>
        <v/>
      </c>
      <c r="Z583" s="27">
        <f>IF(ISNUMBER($V583),$A583&amp;"|"&amp;$V583,"")</f>
        <v/>
      </c>
      <c r="AA583" s="27">
        <f>IF(ISNUMBER($W583),$A583&amp;"|"&amp;$W583,"")</f>
        <v/>
      </c>
      <c r="AB583" s="27">
        <f>IF(ISNUMBER($F583),$A583&amp;"|"&amp;$F583,"")</f>
        <v/>
      </c>
      <c r="AC583" s="27">
        <f>IF(ISNUMBER($P583),COUNTIFS($A$14:$A$1213,$A583,$P$14:$P$1213,"&gt;"&amp;$P583)+(COUNTIFS($A$14:$A$1213,$A583,$P$14:$P$1213,"="&amp;$P583)+1)/2,"")</f>
        <v/>
      </c>
      <c r="AD583" s="27">
        <f>IF(ISNUMBER($Q583),COUNTIFS($A$14:$A$1213,$A583,$Q$14:$Q$1213,"&gt;"&amp;$Q583)+(COUNTIFS($A$14:$A$1213,$A583,$Q$14:$Q$1213,"="&amp;$Q583)+1)/2,"")</f>
        <v/>
      </c>
      <c r="AE583" s="27">
        <f>IF(ISNUMBER($R583),COUNTIFS($A$14:$A$1213,$A583,$R$14:$R$1213,"&gt;"&amp;$R583)+(COUNTIFS($A$14:$A$1213,$A583,$R$14:$R$1213,"="&amp;$R583)+1)/2,"")</f>
        <v/>
      </c>
      <c r="AF583" s="27">
        <f>IF(ISNUMBER($S583),COUNTIFS($A$14:$A$1213,$A583,$S$14:$S$1213,"&gt;"&amp;$S583)+(COUNTIFS($A$14:$A$1213,$A583,$S$14:$S$1213,"="&amp;$S583)+1)/2,"")</f>
        <v/>
      </c>
      <c r="AG583" s="27">
        <f>IF(ISNUMBER($T583),COUNTIFS($A$14:$A$1213,$A583,$T$14:$T$1213,"&gt;"&amp;$T583)+(COUNTIFS($A$14:$A$1213,$A583,$T$14:$T$1213,"="&amp;$T583)+1)/2,"")</f>
        <v/>
      </c>
      <c r="AH583" s="27">
        <f>IF(COUNT($AC583:$AG583)&lt;2,"",IF(MAX($AC583:$AG583)=MIN($AC583:$AG583),0,1))</f>
        <v/>
      </c>
      <c r="AI583" s="27">
        <f>IF($A583="","",IF(COUNTIF($A$14:$A583,$A583)=1,COUNTIF($AI$13:AI582,"&gt;0")+1,""))</f>
        <v/>
      </c>
      <c r="AO583" s="27">
        <f>IF($A583="","",IF(AND(COUNTIFS($A$14:$A$1213,$A583,$F$14:$F$1213,"&gt;=0")=2,IFERROR(INDEX($M$14:$M$313,MATCH($A583,$H$14:$H$313,0)),"Yes")&lt;&gt;"Yes"),1,0))</f>
        <v/>
      </c>
    </row>
    <row r="584">
      <c r="A584" s="19" t="n"/>
      <c r="B584" s="20" t="n"/>
      <c r="C584" s="21">
        <f>IFERROR(AVERAGE(P584:T584),"")</f>
        <v/>
      </c>
      <c r="D584" s="29" t="n"/>
      <c r="E584" s="29" t="n"/>
      <c r="F584" s="30">
        <f>IF(AND(ISNUMBER($D584),ISNUMBER($E584),$E584&gt;0,$D584&lt;=$E584),$D584/$E584,"")</f>
        <v/>
      </c>
      <c r="P584" s="26" t="n"/>
      <c r="Q584" s="26" t="n"/>
      <c r="R584" s="26" t="n"/>
      <c r="S584" s="26" t="n"/>
      <c r="T584" s="26" t="n"/>
      <c r="V584" s="27">
        <f>IF(ISNUMBER($C584),COUNTIFS($A$14:$A$1213,$A584,$C$14:$C$1213,"&gt;"&amp;$C584)+(COUNTIFS($A$14:$A$1213,$A584,$C$14:$C$1213,"="&amp;$C584)+1)/2,"")</f>
        <v/>
      </c>
      <c r="W584" s="27">
        <f>IF(ISNUMBER($F584),COUNTIFS($A$14:$A$1213,$A584,$F$14:$F$1213,"&gt;"&amp;$F584)+(COUNTIFS($A$14:$A$1213,$A584,$F$14:$F$1213,"="&amp;$F584)+1)/2,"")</f>
        <v/>
      </c>
      <c r="X584" s="27">
        <f>IF(OR(NOT(ISNUMBER($V584)),$AO584=1),"",$V584-(COUNTIFS($A$14:$A$1213,$A584,$C$14:$C$1213,"&gt;=0")+1)/2)</f>
        <v/>
      </c>
      <c r="Y584" s="27">
        <f>IF(OR(NOT(ISNUMBER($W584)),$AO584=1),"",$W584-(COUNTIFS($A$14:$A$1213,$A584,$F$14:$F$1213,"&gt;=0")+1)/2)</f>
        <v/>
      </c>
      <c r="Z584" s="27">
        <f>IF(ISNUMBER($V584),$A584&amp;"|"&amp;$V584,"")</f>
        <v/>
      </c>
      <c r="AA584" s="27">
        <f>IF(ISNUMBER($W584),$A584&amp;"|"&amp;$W584,"")</f>
        <v/>
      </c>
      <c r="AB584" s="27">
        <f>IF(ISNUMBER($F584),$A584&amp;"|"&amp;$F584,"")</f>
        <v/>
      </c>
      <c r="AC584" s="27">
        <f>IF(ISNUMBER($P584),COUNTIFS($A$14:$A$1213,$A584,$P$14:$P$1213,"&gt;"&amp;$P584)+(COUNTIFS($A$14:$A$1213,$A584,$P$14:$P$1213,"="&amp;$P584)+1)/2,"")</f>
        <v/>
      </c>
      <c r="AD584" s="27">
        <f>IF(ISNUMBER($Q584),COUNTIFS($A$14:$A$1213,$A584,$Q$14:$Q$1213,"&gt;"&amp;$Q584)+(COUNTIFS($A$14:$A$1213,$A584,$Q$14:$Q$1213,"="&amp;$Q584)+1)/2,"")</f>
        <v/>
      </c>
      <c r="AE584" s="27">
        <f>IF(ISNUMBER($R584),COUNTIFS($A$14:$A$1213,$A584,$R$14:$R$1213,"&gt;"&amp;$R584)+(COUNTIFS($A$14:$A$1213,$A584,$R$14:$R$1213,"="&amp;$R584)+1)/2,"")</f>
        <v/>
      </c>
      <c r="AF584" s="27">
        <f>IF(ISNUMBER($S584),COUNTIFS($A$14:$A$1213,$A584,$S$14:$S$1213,"&gt;"&amp;$S584)+(COUNTIFS($A$14:$A$1213,$A584,$S$14:$S$1213,"="&amp;$S584)+1)/2,"")</f>
        <v/>
      </c>
      <c r="AG584" s="27">
        <f>IF(ISNUMBER($T584),COUNTIFS($A$14:$A$1213,$A584,$T$14:$T$1213,"&gt;"&amp;$T584)+(COUNTIFS($A$14:$A$1213,$A584,$T$14:$T$1213,"="&amp;$T584)+1)/2,"")</f>
        <v/>
      </c>
      <c r="AH584" s="27">
        <f>IF(COUNT($AC584:$AG584)&lt;2,"",IF(MAX($AC584:$AG584)=MIN($AC584:$AG584),0,1))</f>
        <v/>
      </c>
      <c r="AI584" s="27">
        <f>IF($A584="","",IF(COUNTIF($A$14:$A584,$A584)=1,COUNTIF($AI$13:AI583,"&gt;0")+1,""))</f>
        <v/>
      </c>
      <c r="AO584" s="27">
        <f>IF($A584="","",IF(AND(COUNTIFS($A$14:$A$1213,$A584,$F$14:$F$1213,"&gt;=0")=2,IFERROR(INDEX($M$14:$M$313,MATCH($A584,$H$14:$H$313,0)),"Yes")&lt;&gt;"Yes"),1,0))</f>
        <v/>
      </c>
    </row>
    <row r="585">
      <c r="A585" s="19" t="n"/>
      <c r="B585" s="20" t="n"/>
      <c r="C585" s="21">
        <f>IFERROR(AVERAGE(P585:T585),"")</f>
        <v/>
      </c>
      <c r="D585" s="29" t="n"/>
      <c r="E585" s="29" t="n"/>
      <c r="F585" s="30">
        <f>IF(AND(ISNUMBER($D585),ISNUMBER($E585),$E585&gt;0,$D585&lt;=$E585),$D585/$E585,"")</f>
        <v/>
      </c>
      <c r="P585" s="26" t="n"/>
      <c r="Q585" s="26" t="n"/>
      <c r="R585" s="26" t="n"/>
      <c r="S585" s="26" t="n"/>
      <c r="T585" s="26" t="n"/>
      <c r="V585" s="27">
        <f>IF(ISNUMBER($C585),COUNTIFS($A$14:$A$1213,$A585,$C$14:$C$1213,"&gt;"&amp;$C585)+(COUNTIFS($A$14:$A$1213,$A585,$C$14:$C$1213,"="&amp;$C585)+1)/2,"")</f>
        <v/>
      </c>
      <c r="W585" s="27">
        <f>IF(ISNUMBER($F585),COUNTIFS($A$14:$A$1213,$A585,$F$14:$F$1213,"&gt;"&amp;$F585)+(COUNTIFS($A$14:$A$1213,$A585,$F$14:$F$1213,"="&amp;$F585)+1)/2,"")</f>
        <v/>
      </c>
      <c r="X585" s="27">
        <f>IF(OR(NOT(ISNUMBER($V585)),$AO585=1),"",$V585-(COUNTIFS($A$14:$A$1213,$A585,$C$14:$C$1213,"&gt;=0")+1)/2)</f>
        <v/>
      </c>
      <c r="Y585" s="27">
        <f>IF(OR(NOT(ISNUMBER($W585)),$AO585=1),"",$W585-(COUNTIFS($A$14:$A$1213,$A585,$F$14:$F$1213,"&gt;=0")+1)/2)</f>
        <v/>
      </c>
      <c r="Z585" s="27">
        <f>IF(ISNUMBER($V585),$A585&amp;"|"&amp;$V585,"")</f>
        <v/>
      </c>
      <c r="AA585" s="27">
        <f>IF(ISNUMBER($W585),$A585&amp;"|"&amp;$W585,"")</f>
        <v/>
      </c>
      <c r="AB585" s="27">
        <f>IF(ISNUMBER($F585),$A585&amp;"|"&amp;$F585,"")</f>
        <v/>
      </c>
      <c r="AC585" s="27">
        <f>IF(ISNUMBER($P585),COUNTIFS($A$14:$A$1213,$A585,$P$14:$P$1213,"&gt;"&amp;$P585)+(COUNTIFS($A$14:$A$1213,$A585,$P$14:$P$1213,"="&amp;$P585)+1)/2,"")</f>
        <v/>
      </c>
      <c r="AD585" s="27">
        <f>IF(ISNUMBER($Q585),COUNTIFS($A$14:$A$1213,$A585,$Q$14:$Q$1213,"&gt;"&amp;$Q585)+(COUNTIFS($A$14:$A$1213,$A585,$Q$14:$Q$1213,"="&amp;$Q585)+1)/2,"")</f>
        <v/>
      </c>
      <c r="AE585" s="27">
        <f>IF(ISNUMBER($R585),COUNTIFS($A$14:$A$1213,$A585,$R$14:$R$1213,"&gt;"&amp;$R585)+(COUNTIFS($A$14:$A$1213,$A585,$R$14:$R$1213,"="&amp;$R585)+1)/2,"")</f>
        <v/>
      </c>
      <c r="AF585" s="27">
        <f>IF(ISNUMBER($S585),COUNTIFS($A$14:$A$1213,$A585,$S$14:$S$1213,"&gt;"&amp;$S585)+(COUNTIFS($A$14:$A$1213,$A585,$S$14:$S$1213,"="&amp;$S585)+1)/2,"")</f>
        <v/>
      </c>
      <c r="AG585" s="27">
        <f>IF(ISNUMBER($T585),COUNTIFS($A$14:$A$1213,$A585,$T$14:$T$1213,"&gt;"&amp;$T585)+(COUNTIFS($A$14:$A$1213,$A585,$T$14:$T$1213,"="&amp;$T585)+1)/2,"")</f>
        <v/>
      </c>
      <c r="AH585" s="27">
        <f>IF(COUNT($AC585:$AG585)&lt;2,"",IF(MAX($AC585:$AG585)=MIN($AC585:$AG585),0,1))</f>
        <v/>
      </c>
      <c r="AI585" s="27">
        <f>IF($A585="","",IF(COUNTIF($A$14:$A585,$A585)=1,COUNTIF($AI$13:AI584,"&gt;0")+1,""))</f>
        <v/>
      </c>
      <c r="AO585" s="27">
        <f>IF($A585="","",IF(AND(COUNTIFS($A$14:$A$1213,$A585,$F$14:$F$1213,"&gt;=0")=2,IFERROR(INDEX($M$14:$M$313,MATCH($A585,$H$14:$H$313,0)),"Yes")&lt;&gt;"Yes"),1,0))</f>
        <v/>
      </c>
    </row>
    <row r="586">
      <c r="A586" s="19" t="n"/>
      <c r="B586" s="20" t="n"/>
      <c r="C586" s="21">
        <f>IFERROR(AVERAGE(P586:T586),"")</f>
        <v/>
      </c>
      <c r="D586" s="29" t="n"/>
      <c r="E586" s="29" t="n"/>
      <c r="F586" s="30">
        <f>IF(AND(ISNUMBER($D586),ISNUMBER($E586),$E586&gt;0,$D586&lt;=$E586),$D586/$E586,"")</f>
        <v/>
      </c>
      <c r="P586" s="26" t="n"/>
      <c r="Q586" s="26" t="n"/>
      <c r="R586" s="26" t="n"/>
      <c r="S586" s="26" t="n"/>
      <c r="T586" s="26" t="n"/>
      <c r="V586" s="27">
        <f>IF(ISNUMBER($C586),COUNTIFS($A$14:$A$1213,$A586,$C$14:$C$1213,"&gt;"&amp;$C586)+(COUNTIFS($A$14:$A$1213,$A586,$C$14:$C$1213,"="&amp;$C586)+1)/2,"")</f>
        <v/>
      </c>
      <c r="W586" s="27">
        <f>IF(ISNUMBER($F586),COUNTIFS($A$14:$A$1213,$A586,$F$14:$F$1213,"&gt;"&amp;$F586)+(COUNTIFS($A$14:$A$1213,$A586,$F$14:$F$1213,"="&amp;$F586)+1)/2,"")</f>
        <v/>
      </c>
      <c r="X586" s="27">
        <f>IF(OR(NOT(ISNUMBER($V586)),$AO586=1),"",$V586-(COUNTIFS($A$14:$A$1213,$A586,$C$14:$C$1213,"&gt;=0")+1)/2)</f>
        <v/>
      </c>
      <c r="Y586" s="27">
        <f>IF(OR(NOT(ISNUMBER($W586)),$AO586=1),"",$W586-(COUNTIFS($A$14:$A$1213,$A586,$F$14:$F$1213,"&gt;=0")+1)/2)</f>
        <v/>
      </c>
      <c r="Z586" s="27">
        <f>IF(ISNUMBER($V586),$A586&amp;"|"&amp;$V586,"")</f>
        <v/>
      </c>
      <c r="AA586" s="27">
        <f>IF(ISNUMBER($W586),$A586&amp;"|"&amp;$W586,"")</f>
        <v/>
      </c>
      <c r="AB586" s="27">
        <f>IF(ISNUMBER($F586),$A586&amp;"|"&amp;$F586,"")</f>
        <v/>
      </c>
      <c r="AC586" s="27">
        <f>IF(ISNUMBER($P586),COUNTIFS($A$14:$A$1213,$A586,$P$14:$P$1213,"&gt;"&amp;$P586)+(COUNTIFS($A$14:$A$1213,$A586,$P$14:$P$1213,"="&amp;$P586)+1)/2,"")</f>
        <v/>
      </c>
      <c r="AD586" s="27">
        <f>IF(ISNUMBER($Q586),COUNTIFS($A$14:$A$1213,$A586,$Q$14:$Q$1213,"&gt;"&amp;$Q586)+(COUNTIFS($A$14:$A$1213,$A586,$Q$14:$Q$1213,"="&amp;$Q586)+1)/2,"")</f>
        <v/>
      </c>
      <c r="AE586" s="27">
        <f>IF(ISNUMBER($R586),COUNTIFS($A$14:$A$1213,$A586,$R$14:$R$1213,"&gt;"&amp;$R586)+(COUNTIFS($A$14:$A$1213,$A586,$R$14:$R$1213,"="&amp;$R586)+1)/2,"")</f>
        <v/>
      </c>
      <c r="AF586" s="27">
        <f>IF(ISNUMBER($S586),COUNTIFS($A$14:$A$1213,$A586,$S$14:$S$1213,"&gt;"&amp;$S586)+(COUNTIFS($A$14:$A$1213,$A586,$S$14:$S$1213,"="&amp;$S586)+1)/2,"")</f>
        <v/>
      </c>
      <c r="AG586" s="27">
        <f>IF(ISNUMBER($T586),COUNTIFS($A$14:$A$1213,$A586,$T$14:$T$1213,"&gt;"&amp;$T586)+(COUNTIFS($A$14:$A$1213,$A586,$T$14:$T$1213,"="&amp;$T586)+1)/2,"")</f>
        <v/>
      </c>
      <c r="AH586" s="27">
        <f>IF(COUNT($AC586:$AG586)&lt;2,"",IF(MAX($AC586:$AG586)=MIN($AC586:$AG586),0,1))</f>
        <v/>
      </c>
      <c r="AI586" s="27">
        <f>IF($A586="","",IF(COUNTIF($A$14:$A586,$A586)=1,COUNTIF($AI$13:AI585,"&gt;0")+1,""))</f>
        <v/>
      </c>
      <c r="AO586" s="27">
        <f>IF($A586="","",IF(AND(COUNTIFS($A$14:$A$1213,$A586,$F$14:$F$1213,"&gt;=0")=2,IFERROR(INDEX($M$14:$M$313,MATCH($A586,$H$14:$H$313,0)),"Yes")&lt;&gt;"Yes"),1,0))</f>
        <v/>
      </c>
    </row>
    <row r="587">
      <c r="A587" s="19" t="n"/>
      <c r="B587" s="20" t="n"/>
      <c r="C587" s="21">
        <f>IFERROR(AVERAGE(P587:T587),"")</f>
        <v/>
      </c>
      <c r="D587" s="29" t="n"/>
      <c r="E587" s="29" t="n"/>
      <c r="F587" s="30">
        <f>IF(AND(ISNUMBER($D587),ISNUMBER($E587),$E587&gt;0,$D587&lt;=$E587),$D587/$E587,"")</f>
        <v/>
      </c>
      <c r="P587" s="26" t="n"/>
      <c r="Q587" s="26" t="n"/>
      <c r="R587" s="26" t="n"/>
      <c r="S587" s="26" t="n"/>
      <c r="T587" s="26" t="n"/>
      <c r="V587" s="27">
        <f>IF(ISNUMBER($C587),COUNTIFS($A$14:$A$1213,$A587,$C$14:$C$1213,"&gt;"&amp;$C587)+(COUNTIFS($A$14:$A$1213,$A587,$C$14:$C$1213,"="&amp;$C587)+1)/2,"")</f>
        <v/>
      </c>
      <c r="W587" s="27">
        <f>IF(ISNUMBER($F587),COUNTIFS($A$14:$A$1213,$A587,$F$14:$F$1213,"&gt;"&amp;$F587)+(COUNTIFS($A$14:$A$1213,$A587,$F$14:$F$1213,"="&amp;$F587)+1)/2,"")</f>
        <v/>
      </c>
      <c r="X587" s="27">
        <f>IF(OR(NOT(ISNUMBER($V587)),$AO587=1),"",$V587-(COUNTIFS($A$14:$A$1213,$A587,$C$14:$C$1213,"&gt;=0")+1)/2)</f>
        <v/>
      </c>
      <c r="Y587" s="27">
        <f>IF(OR(NOT(ISNUMBER($W587)),$AO587=1),"",$W587-(COUNTIFS($A$14:$A$1213,$A587,$F$14:$F$1213,"&gt;=0")+1)/2)</f>
        <v/>
      </c>
      <c r="Z587" s="27">
        <f>IF(ISNUMBER($V587),$A587&amp;"|"&amp;$V587,"")</f>
        <v/>
      </c>
      <c r="AA587" s="27">
        <f>IF(ISNUMBER($W587),$A587&amp;"|"&amp;$W587,"")</f>
        <v/>
      </c>
      <c r="AB587" s="27">
        <f>IF(ISNUMBER($F587),$A587&amp;"|"&amp;$F587,"")</f>
        <v/>
      </c>
      <c r="AC587" s="27">
        <f>IF(ISNUMBER($P587),COUNTIFS($A$14:$A$1213,$A587,$P$14:$P$1213,"&gt;"&amp;$P587)+(COUNTIFS($A$14:$A$1213,$A587,$P$14:$P$1213,"="&amp;$P587)+1)/2,"")</f>
        <v/>
      </c>
      <c r="AD587" s="27">
        <f>IF(ISNUMBER($Q587),COUNTIFS($A$14:$A$1213,$A587,$Q$14:$Q$1213,"&gt;"&amp;$Q587)+(COUNTIFS($A$14:$A$1213,$A587,$Q$14:$Q$1213,"="&amp;$Q587)+1)/2,"")</f>
        <v/>
      </c>
      <c r="AE587" s="27">
        <f>IF(ISNUMBER($R587),COUNTIFS($A$14:$A$1213,$A587,$R$14:$R$1213,"&gt;"&amp;$R587)+(COUNTIFS($A$14:$A$1213,$A587,$R$14:$R$1213,"="&amp;$R587)+1)/2,"")</f>
        <v/>
      </c>
      <c r="AF587" s="27">
        <f>IF(ISNUMBER($S587),COUNTIFS($A$14:$A$1213,$A587,$S$14:$S$1213,"&gt;"&amp;$S587)+(COUNTIFS($A$14:$A$1213,$A587,$S$14:$S$1213,"="&amp;$S587)+1)/2,"")</f>
        <v/>
      </c>
      <c r="AG587" s="27">
        <f>IF(ISNUMBER($T587),COUNTIFS($A$14:$A$1213,$A587,$T$14:$T$1213,"&gt;"&amp;$T587)+(COUNTIFS($A$14:$A$1213,$A587,$T$14:$T$1213,"="&amp;$T587)+1)/2,"")</f>
        <v/>
      </c>
      <c r="AH587" s="27">
        <f>IF(COUNT($AC587:$AG587)&lt;2,"",IF(MAX($AC587:$AG587)=MIN($AC587:$AG587),0,1))</f>
        <v/>
      </c>
      <c r="AI587" s="27">
        <f>IF($A587="","",IF(COUNTIF($A$14:$A587,$A587)=1,COUNTIF($AI$13:AI586,"&gt;0")+1,""))</f>
        <v/>
      </c>
      <c r="AO587" s="27">
        <f>IF($A587="","",IF(AND(COUNTIFS($A$14:$A$1213,$A587,$F$14:$F$1213,"&gt;=0")=2,IFERROR(INDEX($M$14:$M$313,MATCH($A587,$H$14:$H$313,0)),"Yes")&lt;&gt;"Yes"),1,0))</f>
        <v/>
      </c>
    </row>
    <row r="588">
      <c r="A588" s="19" t="n"/>
      <c r="B588" s="20" t="n"/>
      <c r="C588" s="21">
        <f>IFERROR(AVERAGE(P588:T588),"")</f>
        <v/>
      </c>
      <c r="D588" s="29" t="n"/>
      <c r="E588" s="29" t="n"/>
      <c r="F588" s="30">
        <f>IF(AND(ISNUMBER($D588),ISNUMBER($E588),$E588&gt;0,$D588&lt;=$E588),$D588/$E588,"")</f>
        <v/>
      </c>
      <c r="P588" s="26" t="n"/>
      <c r="Q588" s="26" t="n"/>
      <c r="R588" s="26" t="n"/>
      <c r="S588" s="26" t="n"/>
      <c r="T588" s="26" t="n"/>
      <c r="V588" s="27">
        <f>IF(ISNUMBER($C588),COUNTIFS($A$14:$A$1213,$A588,$C$14:$C$1213,"&gt;"&amp;$C588)+(COUNTIFS($A$14:$A$1213,$A588,$C$14:$C$1213,"="&amp;$C588)+1)/2,"")</f>
        <v/>
      </c>
      <c r="W588" s="27">
        <f>IF(ISNUMBER($F588),COUNTIFS($A$14:$A$1213,$A588,$F$14:$F$1213,"&gt;"&amp;$F588)+(COUNTIFS($A$14:$A$1213,$A588,$F$14:$F$1213,"="&amp;$F588)+1)/2,"")</f>
        <v/>
      </c>
      <c r="X588" s="27">
        <f>IF(OR(NOT(ISNUMBER($V588)),$AO588=1),"",$V588-(COUNTIFS($A$14:$A$1213,$A588,$C$14:$C$1213,"&gt;=0")+1)/2)</f>
        <v/>
      </c>
      <c r="Y588" s="27">
        <f>IF(OR(NOT(ISNUMBER($W588)),$AO588=1),"",$W588-(COUNTIFS($A$14:$A$1213,$A588,$F$14:$F$1213,"&gt;=0")+1)/2)</f>
        <v/>
      </c>
      <c r="Z588" s="27">
        <f>IF(ISNUMBER($V588),$A588&amp;"|"&amp;$V588,"")</f>
        <v/>
      </c>
      <c r="AA588" s="27">
        <f>IF(ISNUMBER($W588),$A588&amp;"|"&amp;$W588,"")</f>
        <v/>
      </c>
      <c r="AB588" s="27">
        <f>IF(ISNUMBER($F588),$A588&amp;"|"&amp;$F588,"")</f>
        <v/>
      </c>
      <c r="AC588" s="27">
        <f>IF(ISNUMBER($P588),COUNTIFS($A$14:$A$1213,$A588,$P$14:$P$1213,"&gt;"&amp;$P588)+(COUNTIFS($A$14:$A$1213,$A588,$P$14:$P$1213,"="&amp;$P588)+1)/2,"")</f>
        <v/>
      </c>
      <c r="AD588" s="27">
        <f>IF(ISNUMBER($Q588),COUNTIFS($A$14:$A$1213,$A588,$Q$14:$Q$1213,"&gt;"&amp;$Q588)+(COUNTIFS($A$14:$A$1213,$A588,$Q$14:$Q$1213,"="&amp;$Q588)+1)/2,"")</f>
        <v/>
      </c>
      <c r="AE588" s="27">
        <f>IF(ISNUMBER($R588),COUNTIFS($A$14:$A$1213,$A588,$R$14:$R$1213,"&gt;"&amp;$R588)+(COUNTIFS($A$14:$A$1213,$A588,$R$14:$R$1213,"="&amp;$R588)+1)/2,"")</f>
        <v/>
      </c>
      <c r="AF588" s="27">
        <f>IF(ISNUMBER($S588),COUNTIFS($A$14:$A$1213,$A588,$S$14:$S$1213,"&gt;"&amp;$S588)+(COUNTIFS($A$14:$A$1213,$A588,$S$14:$S$1213,"="&amp;$S588)+1)/2,"")</f>
        <v/>
      </c>
      <c r="AG588" s="27">
        <f>IF(ISNUMBER($T588),COUNTIFS($A$14:$A$1213,$A588,$T$14:$T$1213,"&gt;"&amp;$T588)+(COUNTIFS($A$14:$A$1213,$A588,$T$14:$T$1213,"="&amp;$T588)+1)/2,"")</f>
        <v/>
      </c>
      <c r="AH588" s="27">
        <f>IF(COUNT($AC588:$AG588)&lt;2,"",IF(MAX($AC588:$AG588)=MIN($AC588:$AG588),0,1))</f>
        <v/>
      </c>
      <c r="AI588" s="27">
        <f>IF($A588="","",IF(COUNTIF($A$14:$A588,$A588)=1,COUNTIF($AI$13:AI587,"&gt;0")+1,""))</f>
        <v/>
      </c>
      <c r="AO588" s="27">
        <f>IF($A588="","",IF(AND(COUNTIFS($A$14:$A$1213,$A588,$F$14:$F$1213,"&gt;=0")=2,IFERROR(INDEX($M$14:$M$313,MATCH($A588,$H$14:$H$313,0)),"Yes")&lt;&gt;"Yes"),1,0))</f>
        <v/>
      </c>
    </row>
    <row r="589">
      <c r="A589" s="19" t="n"/>
      <c r="B589" s="20" t="n"/>
      <c r="C589" s="21">
        <f>IFERROR(AVERAGE(P589:T589),"")</f>
        <v/>
      </c>
      <c r="D589" s="29" t="n"/>
      <c r="E589" s="29" t="n"/>
      <c r="F589" s="30">
        <f>IF(AND(ISNUMBER($D589),ISNUMBER($E589),$E589&gt;0,$D589&lt;=$E589),$D589/$E589,"")</f>
        <v/>
      </c>
      <c r="P589" s="26" t="n"/>
      <c r="Q589" s="26" t="n"/>
      <c r="R589" s="26" t="n"/>
      <c r="S589" s="26" t="n"/>
      <c r="T589" s="26" t="n"/>
      <c r="V589" s="27">
        <f>IF(ISNUMBER($C589),COUNTIFS($A$14:$A$1213,$A589,$C$14:$C$1213,"&gt;"&amp;$C589)+(COUNTIFS($A$14:$A$1213,$A589,$C$14:$C$1213,"="&amp;$C589)+1)/2,"")</f>
        <v/>
      </c>
      <c r="W589" s="27">
        <f>IF(ISNUMBER($F589),COUNTIFS($A$14:$A$1213,$A589,$F$14:$F$1213,"&gt;"&amp;$F589)+(COUNTIFS($A$14:$A$1213,$A589,$F$14:$F$1213,"="&amp;$F589)+1)/2,"")</f>
        <v/>
      </c>
      <c r="X589" s="27">
        <f>IF(OR(NOT(ISNUMBER($V589)),$AO589=1),"",$V589-(COUNTIFS($A$14:$A$1213,$A589,$C$14:$C$1213,"&gt;=0")+1)/2)</f>
        <v/>
      </c>
      <c r="Y589" s="27">
        <f>IF(OR(NOT(ISNUMBER($W589)),$AO589=1),"",$W589-(COUNTIFS($A$14:$A$1213,$A589,$F$14:$F$1213,"&gt;=0")+1)/2)</f>
        <v/>
      </c>
      <c r="Z589" s="27">
        <f>IF(ISNUMBER($V589),$A589&amp;"|"&amp;$V589,"")</f>
        <v/>
      </c>
      <c r="AA589" s="27">
        <f>IF(ISNUMBER($W589),$A589&amp;"|"&amp;$W589,"")</f>
        <v/>
      </c>
      <c r="AB589" s="27">
        <f>IF(ISNUMBER($F589),$A589&amp;"|"&amp;$F589,"")</f>
        <v/>
      </c>
      <c r="AC589" s="27">
        <f>IF(ISNUMBER($P589),COUNTIFS($A$14:$A$1213,$A589,$P$14:$P$1213,"&gt;"&amp;$P589)+(COUNTIFS($A$14:$A$1213,$A589,$P$14:$P$1213,"="&amp;$P589)+1)/2,"")</f>
        <v/>
      </c>
      <c r="AD589" s="27">
        <f>IF(ISNUMBER($Q589),COUNTIFS($A$14:$A$1213,$A589,$Q$14:$Q$1213,"&gt;"&amp;$Q589)+(COUNTIFS($A$14:$A$1213,$A589,$Q$14:$Q$1213,"="&amp;$Q589)+1)/2,"")</f>
        <v/>
      </c>
      <c r="AE589" s="27">
        <f>IF(ISNUMBER($R589),COUNTIFS($A$14:$A$1213,$A589,$R$14:$R$1213,"&gt;"&amp;$R589)+(COUNTIFS($A$14:$A$1213,$A589,$R$14:$R$1213,"="&amp;$R589)+1)/2,"")</f>
        <v/>
      </c>
      <c r="AF589" s="27">
        <f>IF(ISNUMBER($S589),COUNTIFS($A$14:$A$1213,$A589,$S$14:$S$1213,"&gt;"&amp;$S589)+(COUNTIFS($A$14:$A$1213,$A589,$S$14:$S$1213,"="&amp;$S589)+1)/2,"")</f>
        <v/>
      </c>
      <c r="AG589" s="27">
        <f>IF(ISNUMBER($T589),COUNTIFS($A$14:$A$1213,$A589,$T$14:$T$1213,"&gt;"&amp;$T589)+(COUNTIFS($A$14:$A$1213,$A589,$T$14:$T$1213,"="&amp;$T589)+1)/2,"")</f>
        <v/>
      </c>
      <c r="AH589" s="27">
        <f>IF(COUNT($AC589:$AG589)&lt;2,"",IF(MAX($AC589:$AG589)=MIN($AC589:$AG589),0,1))</f>
        <v/>
      </c>
      <c r="AI589" s="27">
        <f>IF($A589="","",IF(COUNTIF($A$14:$A589,$A589)=1,COUNTIF($AI$13:AI588,"&gt;0")+1,""))</f>
        <v/>
      </c>
      <c r="AO589" s="27">
        <f>IF($A589="","",IF(AND(COUNTIFS($A$14:$A$1213,$A589,$F$14:$F$1213,"&gt;=0")=2,IFERROR(INDEX($M$14:$M$313,MATCH($A589,$H$14:$H$313,0)),"Yes")&lt;&gt;"Yes"),1,0))</f>
        <v/>
      </c>
    </row>
    <row r="590">
      <c r="A590" s="19" t="n"/>
      <c r="B590" s="20" t="n"/>
      <c r="C590" s="21">
        <f>IFERROR(AVERAGE(P590:T590),"")</f>
        <v/>
      </c>
      <c r="D590" s="29" t="n"/>
      <c r="E590" s="29" t="n"/>
      <c r="F590" s="30">
        <f>IF(AND(ISNUMBER($D590),ISNUMBER($E590),$E590&gt;0,$D590&lt;=$E590),$D590/$E590,"")</f>
        <v/>
      </c>
      <c r="P590" s="26" t="n"/>
      <c r="Q590" s="26" t="n"/>
      <c r="R590" s="26" t="n"/>
      <c r="S590" s="26" t="n"/>
      <c r="T590" s="26" t="n"/>
      <c r="V590" s="27">
        <f>IF(ISNUMBER($C590),COUNTIFS($A$14:$A$1213,$A590,$C$14:$C$1213,"&gt;"&amp;$C590)+(COUNTIFS($A$14:$A$1213,$A590,$C$14:$C$1213,"="&amp;$C590)+1)/2,"")</f>
        <v/>
      </c>
      <c r="W590" s="27">
        <f>IF(ISNUMBER($F590),COUNTIFS($A$14:$A$1213,$A590,$F$14:$F$1213,"&gt;"&amp;$F590)+(COUNTIFS($A$14:$A$1213,$A590,$F$14:$F$1213,"="&amp;$F590)+1)/2,"")</f>
        <v/>
      </c>
      <c r="X590" s="27">
        <f>IF(OR(NOT(ISNUMBER($V590)),$AO590=1),"",$V590-(COUNTIFS($A$14:$A$1213,$A590,$C$14:$C$1213,"&gt;=0")+1)/2)</f>
        <v/>
      </c>
      <c r="Y590" s="27">
        <f>IF(OR(NOT(ISNUMBER($W590)),$AO590=1),"",$W590-(COUNTIFS($A$14:$A$1213,$A590,$F$14:$F$1213,"&gt;=0")+1)/2)</f>
        <v/>
      </c>
      <c r="Z590" s="27">
        <f>IF(ISNUMBER($V590),$A590&amp;"|"&amp;$V590,"")</f>
        <v/>
      </c>
      <c r="AA590" s="27">
        <f>IF(ISNUMBER($W590),$A590&amp;"|"&amp;$W590,"")</f>
        <v/>
      </c>
      <c r="AB590" s="27">
        <f>IF(ISNUMBER($F590),$A590&amp;"|"&amp;$F590,"")</f>
        <v/>
      </c>
      <c r="AC590" s="27">
        <f>IF(ISNUMBER($P590),COUNTIFS($A$14:$A$1213,$A590,$P$14:$P$1213,"&gt;"&amp;$P590)+(COUNTIFS($A$14:$A$1213,$A590,$P$14:$P$1213,"="&amp;$P590)+1)/2,"")</f>
        <v/>
      </c>
      <c r="AD590" s="27">
        <f>IF(ISNUMBER($Q590),COUNTIFS($A$14:$A$1213,$A590,$Q$14:$Q$1213,"&gt;"&amp;$Q590)+(COUNTIFS($A$14:$A$1213,$A590,$Q$14:$Q$1213,"="&amp;$Q590)+1)/2,"")</f>
        <v/>
      </c>
      <c r="AE590" s="27">
        <f>IF(ISNUMBER($R590),COUNTIFS($A$14:$A$1213,$A590,$R$14:$R$1213,"&gt;"&amp;$R590)+(COUNTIFS($A$14:$A$1213,$A590,$R$14:$R$1213,"="&amp;$R590)+1)/2,"")</f>
        <v/>
      </c>
      <c r="AF590" s="27">
        <f>IF(ISNUMBER($S590),COUNTIFS($A$14:$A$1213,$A590,$S$14:$S$1213,"&gt;"&amp;$S590)+(COUNTIFS($A$14:$A$1213,$A590,$S$14:$S$1213,"="&amp;$S590)+1)/2,"")</f>
        <v/>
      </c>
      <c r="AG590" s="27">
        <f>IF(ISNUMBER($T590),COUNTIFS($A$14:$A$1213,$A590,$T$14:$T$1213,"&gt;"&amp;$T590)+(COUNTIFS($A$14:$A$1213,$A590,$T$14:$T$1213,"="&amp;$T590)+1)/2,"")</f>
        <v/>
      </c>
      <c r="AH590" s="27">
        <f>IF(COUNT($AC590:$AG590)&lt;2,"",IF(MAX($AC590:$AG590)=MIN($AC590:$AG590),0,1))</f>
        <v/>
      </c>
      <c r="AI590" s="27">
        <f>IF($A590="","",IF(COUNTIF($A$14:$A590,$A590)=1,COUNTIF($AI$13:AI589,"&gt;0")+1,""))</f>
        <v/>
      </c>
      <c r="AO590" s="27">
        <f>IF($A590="","",IF(AND(COUNTIFS($A$14:$A$1213,$A590,$F$14:$F$1213,"&gt;=0")=2,IFERROR(INDEX($M$14:$M$313,MATCH($A590,$H$14:$H$313,0)),"Yes")&lt;&gt;"Yes"),1,0))</f>
        <v/>
      </c>
    </row>
    <row r="591">
      <c r="A591" s="19" t="n"/>
      <c r="B591" s="20" t="n"/>
      <c r="C591" s="21">
        <f>IFERROR(AVERAGE(P591:T591),"")</f>
        <v/>
      </c>
      <c r="D591" s="29" t="n"/>
      <c r="E591" s="29" t="n"/>
      <c r="F591" s="30">
        <f>IF(AND(ISNUMBER($D591),ISNUMBER($E591),$E591&gt;0,$D591&lt;=$E591),$D591/$E591,"")</f>
        <v/>
      </c>
      <c r="P591" s="26" t="n"/>
      <c r="Q591" s="26" t="n"/>
      <c r="R591" s="26" t="n"/>
      <c r="S591" s="26" t="n"/>
      <c r="T591" s="26" t="n"/>
      <c r="V591" s="27">
        <f>IF(ISNUMBER($C591),COUNTIFS($A$14:$A$1213,$A591,$C$14:$C$1213,"&gt;"&amp;$C591)+(COUNTIFS($A$14:$A$1213,$A591,$C$14:$C$1213,"="&amp;$C591)+1)/2,"")</f>
        <v/>
      </c>
      <c r="W591" s="27">
        <f>IF(ISNUMBER($F591),COUNTIFS($A$14:$A$1213,$A591,$F$14:$F$1213,"&gt;"&amp;$F591)+(COUNTIFS($A$14:$A$1213,$A591,$F$14:$F$1213,"="&amp;$F591)+1)/2,"")</f>
        <v/>
      </c>
      <c r="X591" s="27">
        <f>IF(OR(NOT(ISNUMBER($V591)),$AO591=1),"",$V591-(COUNTIFS($A$14:$A$1213,$A591,$C$14:$C$1213,"&gt;=0")+1)/2)</f>
        <v/>
      </c>
      <c r="Y591" s="27">
        <f>IF(OR(NOT(ISNUMBER($W591)),$AO591=1),"",$W591-(COUNTIFS($A$14:$A$1213,$A591,$F$14:$F$1213,"&gt;=0")+1)/2)</f>
        <v/>
      </c>
      <c r="Z591" s="27">
        <f>IF(ISNUMBER($V591),$A591&amp;"|"&amp;$V591,"")</f>
        <v/>
      </c>
      <c r="AA591" s="27">
        <f>IF(ISNUMBER($W591),$A591&amp;"|"&amp;$W591,"")</f>
        <v/>
      </c>
      <c r="AB591" s="27">
        <f>IF(ISNUMBER($F591),$A591&amp;"|"&amp;$F591,"")</f>
        <v/>
      </c>
      <c r="AC591" s="27">
        <f>IF(ISNUMBER($P591),COUNTIFS($A$14:$A$1213,$A591,$P$14:$P$1213,"&gt;"&amp;$P591)+(COUNTIFS($A$14:$A$1213,$A591,$P$14:$P$1213,"="&amp;$P591)+1)/2,"")</f>
        <v/>
      </c>
      <c r="AD591" s="27">
        <f>IF(ISNUMBER($Q591),COUNTIFS($A$14:$A$1213,$A591,$Q$14:$Q$1213,"&gt;"&amp;$Q591)+(COUNTIFS($A$14:$A$1213,$A591,$Q$14:$Q$1213,"="&amp;$Q591)+1)/2,"")</f>
        <v/>
      </c>
      <c r="AE591" s="27">
        <f>IF(ISNUMBER($R591),COUNTIFS($A$14:$A$1213,$A591,$R$14:$R$1213,"&gt;"&amp;$R591)+(COUNTIFS($A$14:$A$1213,$A591,$R$14:$R$1213,"="&amp;$R591)+1)/2,"")</f>
        <v/>
      </c>
      <c r="AF591" s="27">
        <f>IF(ISNUMBER($S591),COUNTIFS($A$14:$A$1213,$A591,$S$14:$S$1213,"&gt;"&amp;$S591)+(COUNTIFS($A$14:$A$1213,$A591,$S$14:$S$1213,"="&amp;$S591)+1)/2,"")</f>
        <v/>
      </c>
      <c r="AG591" s="27">
        <f>IF(ISNUMBER($T591),COUNTIFS($A$14:$A$1213,$A591,$T$14:$T$1213,"&gt;"&amp;$T591)+(COUNTIFS($A$14:$A$1213,$A591,$T$14:$T$1213,"="&amp;$T591)+1)/2,"")</f>
        <v/>
      </c>
      <c r="AH591" s="27">
        <f>IF(COUNT($AC591:$AG591)&lt;2,"",IF(MAX($AC591:$AG591)=MIN($AC591:$AG591),0,1))</f>
        <v/>
      </c>
      <c r="AI591" s="27">
        <f>IF($A591="","",IF(COUNTIF($A$14:$A591,$A591)=1,COUNTIF($AI$13:AI590,"&gt;0")+1,""))</f>
        <v/>
      </c>
      <c r="AO591" s="27">
        <f>IF($A591="","",IF(AND(COUNTIFS($A$14:$A$1213,$A591,$F$14:$F$1213,"&gt;=0")=2,IFERROR(INDEX($M$14:$M$313,MATCH($A591,$H$14:$H$313,0)),"Yes")&lt;&gt;"Yes"),1,0))</f>
        <v/>
      </c>
    </row>
    <row r="592">
      <c r="A592" s="19" t="n"/>
      <c r="B592" s="20" t="n"/>
      <c r="C592" s="21">
        <f>IFERROR(AVERAGE(P592:T592),"")</f>
        <v/>
      </c>
      <c r="D592" s="29" t="n"/>
      <c r="E592" s="29" t="n"/>
      <c r="F592" s="30">
        <f>IF(AND(ISNUMBER($D592),ISNUMBER($E592),$E592&gt;0,$D592&lt;=$E592),$D592/$E592,"")</f>
        <v/>
      </c>
      <c r="P592" s="26" t="n"/>
      <c r="Q592" s="26" t="n"/>
      <c r="R592" s="26" t="n"/>
      <c r="S592" s="26" t="n"/>
      <c r="T592" s="26" t="n"/>
      <c r="V592" s="27">
        <f>IF(ISNUMBER($C592),COUNTIFS($A$14:$A$1213,$A592,$C$14:$C$1213,"&gt;"&amp;$C592)+(COUNTIFS($A$14:$A$1213,$A592,$C$14:$C$1213,"="&amp;$C592)+1)/2,"")</f>
        <v/>
      </c>
      <c r="W592" s="27">
        <f>IF(ISNUMBER($F592),COUNTIFS($A$14:$A$1213,$A592,$F$14:$F$1213,"&gt;"&amp;$F592)+(COUNTIFS($A$14:$A$1213,$A592,$F$14:$F$1213,"="&amp;$F592)+1)/2,"")</f>
        <v/>
      </c>
      <c r="X592" s="27">
        <f>IF(OR(NOT(ISNUMBER($V592)),$AO592=1),"",$V592-(COUNTIFS($A$14:$A$1213,$A592,$C$14:$C$1213,"&gt;=0")+1)/2)</f>
        <v/>
      </c>
      <c r="Y592" s="27">
        <f>IF(OR(NOT(ISNUMBER($W592)),$AO592=1),"",$W592-(COUNTIFS($A$14:$A$1213,$A592,$F$14:$F$1213,"&gt;=0")+1)/2)</f>
        <v/>
      </c>
      <c r="Z592" s="27">
        <f>IF(ISNUMBER($V592),$A592&amp;"|"&amp;$V592,"")</f>
        <v/>
      </c>
      <c r="AA592" s="27">
        <f>IF(ISNUMBER($W592),$A592&amp;"|"&amp;$W592,"")</f>
        <v/>
      </c>
      <c r="AB592" s="27">
        <f>IF(ISNUMBER($F592),$A592&amp;"|"&amp;$F592,"")</f>
        <v/>
      </c>
      <c r="AC592" s="27">
        <f>IF(ISNUMBER($P592),COUNTIFS($A$14:$A$1213,$A592,$P$14:$P$1213,"&gt;"&amp;$P592)+(COUNTIFS($A$14:$A$1213,$A592,$P$14:$P$1213,"="&amp;$P592)+1)/2,"")</f>
        <v/>
      </c>
      <c r="AD592" s="27">
        <f>IF(ISNUMBER($Q592),COUNTIFS($A$14:$A$1213,$A592,$Q$14:$Q$1213,"&gt;"&amp;$Q592)+(COUNTIFS($A$14:$A$1213,$A592,$Q$14:$Q$1213,"="&amp;$Q592)+1)/2,"")</f>
        <v/>
      </c>
      <c r="AE592" s="27">
        <f>IF(ISNUMBER($R592),COUNTIFS($A$14:$A$1213,$A592,$R$14:$R$1213,"&gt;"&amp;$R592)+(COUNTIFS($A$14:$A$1213,$A592,$R$14:$R$1213,"="&amp;$R592)+1)/2,"")</f>
        <v/>
      </c>
      <c r="AF592" s="27">
        <f>IF(ISNUMBER($S592),COUNTIFS($A$14:$A$1213,$A592,$S$14:$S$1213,"&gt;"&amp;$S592)+(COUNTIFS($A$14:$A$1213,$A592,$S$14:$S$1213,"="&amp;$S592)+1)/2,"")</f>
        <v/>
      </c>
      <c r="AG592" s="27">
        <f>IF(ISNUMBER($T592),COUNTIFS($A$14:$A$1213,$A592,$T$14:$T$1213,"&gt;"&amp;$T592)+(COUNTIFS($A$14:$A$1213,$A592,$T$14:$T$1213,"="&amp;$T592)+1)/2,"")</f>
        <v/>
      </c>
      <c r="AH592" s="27">
        <f>IF(COUNT($AC592:$AG592)&lt;2,"",IF(MAX($AC592:$AG592)=MIN($AC592:$AG592),0,1))</f>
        <v/>
      </c>
      <c r="AI592" s="27">
        <f>IF($A592="","",IF(COUNTIF($A$14:$A592,$A592)=1,COUNTIF($AI$13:AI591,"&gt;0")+1,""))</f>
        <v/>
      </c>
      <c r="AO592" s="27">
        <f>IF($A592="","",IF(AND(COUNTIFS($A$14:$A$1213,$A592,$F$14:$F$1213,"&gt;=0")=2,IFERROR(INDEX($M$14:$M$313,MATCH($A592,$H$14:$H$313,0)),"Yes")&lt;&gt;"Yes"),1,0))</f>
        <v/>
      </c>
    </row>
    <row r="593">
      <c r="A593" s="19" t="n"/>
      <c r="B593" s="20" t="n"/>
      <c r="C593" s="21">
        <f>IFERROR(AVERAGE(P593:T593),"")</f>
        <v/>
      </c>
      <c r="D593" s="29" t="n"/>
      <c r="E593" s="29" t="n"/>
      <c r="F593" s="30">
        <f>IF(AND(ISNUMBER($D593),ISNUMBER($E593),$E593&gt;0,$D593&lt;=$E593),$D593/$E593,"")</f>
        <v/>
      </c>
      <c r="P593" s="26" t="n"/>
      <c r="Q593" s="26" t="n"/>
      <c r="R593" s="26" t="n"/>
      <c r="S593" s="26" t="n"/>
      <c r="T593" s="26" t="n"/>
      <c r="V593" s="27">
        <f>IF(ISNUMBER($C593),COUNTIFS($A$14:$A$1213,$A593,$C$14:$C$1213,"&gt;"&amp;$C593)+(COUNTIFS($A$14:$A$1213,$A593,$C$14:$C$1213,"="&amp;$C593)+1)/2,"")</f>
        <v/>
      </c>
      <c r="W593" s="27">
        <f>IF(ISNUMBER($F593),COUNTIFS($A$14:$A$1213,$A593,$F$14:$F$1213,"&gt;"&amp;$F593)+(COUNTIFS($A$14:$A$1213,$A593,$F$14:$F$1213,"="&amp;$F593)+1)/2,"")</f>
        <v/>
      </c>
      <c r="X593" s="27">
        <f>IF(OR(NOT(ISNUMBER($V593)),$AO593=1),"",$V593-(COUNTIFS($A$14:$A$1213,$A593,$C$14:$C$1213,"&gt;=0")+1)/2)</f>
        <v/>
      </c>
      <c r="Y593" s="27">
        <f>IF(OR(NOT(ISNUMBER($W593)),$AO593=1),"",$W593-(COUNTIFS($A$14:$A$1213,$A593,$F$14:$F$1213,"&gt;=0")+1)/2)</f>
        <v/>
      </c>
      <c r="Z593" s="27">
        <f>IF(ISNUMBER($V593),$A593&amp;"|"&amp;$V593,"")</f>
        <v/>
      </c>
      <c r="AA593" s="27">
        <f>IF(ISNUMBER($W593),$A593&amp;"|"&amp;$W593,"")</f>
        <v/>
      </c>
      <c r="AB593" s="27">
        <f>IF(ISNUMBER($F593),$A593&amp;"|"&amp;$F593,"")</f>
        <v/>
      </c>
      <c r="AC593" s="27">
        <f>IF(ISNUMBER($P593),COUNTIFS($A$14:$A$1213,$A593,$P$14:$P$1213,"&gt;"&amp;$P593)+(COUNTIFS($A$14:$A$1213,$A593,$P$14:$P$1213,"="&amp;$P593)+1)/2,"")</f>
        <v/>
      </c>
      <c r="AD593" s="27">
        <f>IF(ISNUMBER($Q593),COUNTIFS($A$14:$A$1213,$A593,$Q$14:$Q$1213,"&gt;"&amp;$Q593)+(COUNTIFS($A$14:$A$1213,$A593,$Q$14:$Q$1213,"="&amp;$Q593)+1)/2,"")</f>
        <v/>
      </c>
      <c r="AE593" s="27">
        <f>IF(ISNUMBER($R593),COUNTIFS($A$14:$A$1213,$A593,$R$14:$R$1213,"&gt;"&amp;$R593)+(COUNTIFS($A$14:$A$1213,$A593,$R$14:$R$1213,"="&amp;$R593)+1)/2,"")</f>
        <v/>
      </c>
      <c r="AF593" s="27">
        <f>IF(ISNUMBER($S593),COUNTIFS($A$14:$A$1213,$A593,$S$14:$S$1213,"&gt;"&amp;$S593)+(COUNTIFS($A$14:$A$1213,$A593,$S$14:$S$1213,"="&amp;$S593)+1)/2,"")</f>
        <v/>
      </c>
      <c r="AG593" s="27">
        <f>IF(ISNUMBER($T593),COUNTIFS($A$14:$A$1213,$A593,$T$14:$T$1213,"&gt;"&amp;$T593)+(COUNTIFS($A$14:$A$1213,$A593,$T$14:$T$1213,"="&amp;$T593)+1)/2,"")</f>
        <v/>
      </c>
      <c r="AH593" s="27">
        <f>IF(COUNT($AC593:$AG593)&lt;2,"",IF(MAX($AC593:$AG593)=MIN($AC593:$AG593),0,1))</f>
        <v/>
      </c>
      <c r="AI593" s="27">
        <f>IF($A593="","",IF(COUNTIF($A$14:$A593,$A593)=1,COUNTIF($AI$13:AI592,"&gt;0")+1,""))</f>
        <v/>
      </c>
      <c r="AO593" s="27">
        <f>IF($A593="","",IF(AND(COUNTIFS($A$14:$A$1213,$A593,$F$14:$F$1213,"&gt;=0")=2,IFERROR(INDEX($M$14:$M$313,MATCH($A593,$H$14:$H$313,0)),"Yes")&lt;&gt;"Yes"),1,0))</f>
        <v/>
      </c>
    </row>
    <row r="594">
      <c r="A594" s="19" t="n"/>
      <c r="B594" s="20" t="n"/>
      <c r="C594" s="21">
        <f>IFERROR(AVERAGE(P594:T594),"")</f>
        <v/>
      </c>
      <c r="D594" s="29" t="n"/>
      <c r="E594" s="29" t="n"/>
      <c r="F594" s="30">
        <f>IF(AND(ISNUMBER($D594),ISNUMBER($E594),$E594&gt;0,$D594&lt;=$E594),$D594/$E594,"")</f>
        <v/>
      </c>
      <c r="P594" s="26" t="n"/>
      <c r="Q594" s="26" t="n"/>
      <c r="R594" s="26" t="n"/>
      <c r="S594" s="26" t="n"/>
      <c r="T594" s="26" t="n"/>
      <c r="V594" s="27">
        <f>IF(ISNUMBER($C594),COUNTIFS($A$14:$A$1213,$A594,$C$14:$C$1213,"&gt;"&amp;$C594)+(COUNTIFS($A$14:$A$1213,$A594,$C$14:$C$1213,"="&amp;$C594)+1)/2,"")</f>
        <v/>
      </c>
      <c r="W594" s="27">
        <f>IF(ISNUMBER($F594),COUNTIFS($A$14:$A$1213,$A594,$F$14:$F$1213,"&gt;"&amp;$F594)+(COUNTIFS($A$14:$A$1213,$A594,$F$14:$F$1213,"="&amp;$F594)+1)/2,"")</f>
        <v/>
      </c>
      <c r="X594" s="27">
        <f>IF(OR(NOT(ISNUMBER($V594)),$AO594=1),"",$V594-(COUNTIFS($A$14:$A$1213,$A594,$C$14:$C$1213,"&gt;=0")+1)/2)</f>
        <v/>
      </c>
      <c r="Y594" s="27">
        <f>IF(OR(NOT(ISNUMBER($W594)),$AO594=1),"",$W594-(COUNTIFS($A$14:$A$1213,$A594,$F$14:$F$1213,"&gt;=0")+1)/2)</f>
        <v/>
      </c>
      <c r="Z594" s="27">
        <f>IF(ISNUMBER($V594),$A594&amp;"|"&amp;$V594,"")</f>
        <v/>
      </c>
      <c r="AA594" s="27">
        <f>IF(ISNUMBER($W594),$A594&amp;"|"&amp;$W594,"")</f>
        <v/>
      </c>
      <c r="AB594" s="27">
        <f>IF(ISNUMBER($F594),$A594&amp;"|"&amp;$F594,"")</f>
        <v/>
      </c>
      <c r="AC594" s="27">
        <f>IF(ISNUMBER($P594),COUNTIFS($A$14:$A$1213,$A594,$P$14:$P$1213,"&gt;"&amp;$P594)+(COUNTIFS($A$14:$A$1213,$A594,$P$14:$P$1213,"="&amp;$P594)+1)/2,"")</f>
        <v/>
      </c>
      <c r="AD594" s="27">
        <f>IF(ISNUMBER($Q594),COUNTIFS($A$14:$A$1213,$A594,$Q$14:$Q$1213,"&gt;"&amp;$Q594)+(COUNTIFS($A$14:$A$1213,$A594,$Q$14:$Q$1213,"="&amp;$Q594)+1)/2,"")</f>
        <v/>
      </c>
      <c r="AE594" s="27">
        <f>IF(ISNUMBER($R594),COUNTIFS($A$14:$A$1213,$A594,$R$14:$R$1213,"&gt;"&amp;$R594)+(COUNTIFS($A$14:$A$1213,$A594,$R$14:$R$1213,"="&amp;$R594)+1)/2,"")</f>
        <v/>
      </c>
      <c r="AF594" s="27">
        <f>IF(ISNUMBER($S594),COUNTIFS($A$14:$A$1213,$A594,$S$14:$S$1213,"&gt;"&amp;$S594)+(COUNTIFS($A$14:$A$1213,$A594,$S$14:$S$1213,"="&amp;$S594)+1)/2,"")</f>
        <v/>
      </c>
      <c r="AG594" s="27">
        <f>IF(ISNUMBER($T594),COUNTIFS($A$14:$A$1213,$A594,$T$14:$T$1213,"&gt;"&amp;$T594)+(COUNTIFS($A$14:$A$1213,$A594,$T$14:$T$1213,"="&amp;$T594)+1)/2,"")</f>
        <v/>
      </c>
      <c r="AH594" s="27">
        <f>IF(COUNT($AC594:$AG594)&lt;2,"",IF(MAX($AC594:$AG594)=MIN($AC594:$AG594),0,1))</f>
        <v/>
      </c>
      <c r="AI594" s="27">
        <f>IF($A594="","",IF(COUNTIF($A$14:$A594,$A594)=1,COUNTIF($AI$13:AI593,"&gt;0")+1,""))</f>
        <v/>
      </c>
      <c r="AO594" s="27">
        <f>IF($A594="","",IF(AND(COUNTIFS($A$14:$A$1213,$A594,$F$14:$F$1213,"&gt;=0")=2,IFERROR(INDEX($M$14:$M$313,MATCH($A594,$H$14:$H$313,0)),"Yes")&lt;&gt;"Yes"),1,0))</f>
        <v/>
      </c>
    </row>
    <row r="595">
      <c r="A595" s="19" t="n"/>
      <c r="B595" s="20" t="n"/>
      <c r="C595" s="21">
        <f>IFERROR(AVERAGE(P595:T595),"")</f>
        <v/>
      </c>
      <c r="D595" s="29" t="n"/>
      <c r="E595" s="29" t="n"/>
      <c r="F595" s="30">
        <f>IF(AND(ISNUMBER($D595),ISNUMBER($E595),$E595&gt;0,$D595&lt;=$E595),$D595/$E595,"")</f>
        <v/>
      </c>
      <c r="P595" s="26" t="n"/>
      <c r="Q595" s="26" t="n"/>
      <c r="R595" s="26" t="n"/>
      <c r="S595" s="26" t="n"/>
      <c r="T595" s="26" t="n"/>
      <c r="V595" s="27">
        <f>IF(ISNUMBER($C595),COUNTIFS($A$14:$A$1213,$A595,$C$14:$C$1213,"&gt;"&amp;$C595)+(COUNTIFS($A$14:$A$1213,$A595,$C$14:$C$1213,"="&amp;$C595)+1)/2,"")</f>
        <v/>
      </c>
      <c r="W595" s="27">
        <f>IF(ISNUMBER($F595),COUNTIFS($A$14:$A$1213,$A595,$F$14:$F$1213,"&gt;"&amp;$F595)+(COUNTIFS($A$14:$A$1213,$A595,$F$14:$F$1213,"="&amp;$F595)+1)/2,"")</f>
        <v/>
      </c>
      <c r="X595" s="27">
        <f>IF(OR(NOT(ISNUMBER($V595)),$AO595=1),"",$V595-(COUNTIFS($A$14:$A$1213,$A595,$C$14:$C$1213,"&gt;=0")+1)/2)</f>
        <v/>
      </c>
      <c r="Y595" s="27">
        <f>IF(OR(NOT(ISNUMBER($W595)),$AO595=1),"",$W595-(COUNTIFS($A$14:$A$1213,$A595,$F$14:$F$1213,"&gt;=0")+1)/2)</f>
        <v/>
      </c>
      <c r="Z595" s="27">
        <f>IF(ISNUMBER($V595),$A595&amp;"|"&amp;$V595,"")</f>
        <v/>
      </c>
      <c r="AA595" s="27">
        <f>IF(ISNUMBER($W595),$A595&amp;"|"&amp;$W595,"")</f>
        <v/>
      </c>
      <c r="AB595" s="27">
        <f>IF(ISNUMBER($F595),$A595&amp;"|"&amp;$F595,"")</f>
        <v/>
      </c>
      <c r="AC595" s="27">
        <f>IF(ISNUMBER($P595),COUNTIFS($A$14:$A$1213,$A595,$P$14:$P$1213,"&gt;"&amp;$P595)+(COUNTIFS($A$14:$A$1213,$A595,$P$14:$P$1213,"="&amp;$P595)+1)/2,"")</f>
        <v/>
      </c>
      <c r="AD595" s="27">
        <f>IF(ISNUMBER($Q595),COUNTIFS($A$14:$A$1213,$A595,$Q$14:$Q$1213,"&gt;"&amp;$Q595)+(COUNTIFS($A$14:$A$1213,$A595,$Q$14:$Q$1213,"="&amp;$Q595)+1)/2,"")</f>
        <v/>
      </c>
      <c r="AE595" s="27">
        <f>IF(ISNUMBER($R595),COUNTIFS($A$14:$A$1213,$A595,$R$14:$R$1213,"&gt;"&amp;$R595)+(COUNTIFS($A$14:$A$1213,$A595,$R$14:$R$1213,"="&amp;$R595)+1)/2,"")</f>
        <v/>
      </c>
      <c r="AF595" s="27">
        <f>IF(ISNUMBER($S595),COUNTIFS($A$14:$A$1213,$A595,$S$14:$S$1213,"&gt;"&amp;$S595)+(COUNTIFS($A$14:$A$1213,$A595,$S$14:$S$1213,"="&amp;$S595)+1)/2,"")</f>
        <v/>
      </c>
      <c r="AG595" s="27">
        <f>IF(ISNUMBER($T595),COUNTIFS($A$14:$A$1213,$A595,$T$14:$T$1213,"&gt;"&amp;$T595)+(COUNTIFS($A$14:$A$1213,$A595,$T$14:$T$1213,"="&amp;$T595)+1)/2,"")</f>
        <v/>
      </c>
      <c r="AH595" s="27">
        <f>IF(COUNT($AC595:$AG595)&lt;2,"",IF(MAX($AC595:$AG595)=MIN($AC595:$AG595),0,1))</f>
        <v/>
      </c>
      <c r="AI595" s="27">
        <f>IF($A595="","",IF(COUNTIF($A$14:$A595,$A595)=1,COUNTIF($AI$13:AI594,"&gt;0")+1,""))</f>
        <v/>
      </c>
      <c r="AO595" s="27">
        <f>IF($A595="","",IF(AND(COUNTIFS($A$14:$A$1213,$A595,$F$14:$F$1213,"&gt;=0")=2,IFERROR(INDEX($M$14:$M$313,MATCH($A595,$H$14:$H$313,0)),"Yes")&lt;&gt;"Yes"),1,0))</f>
        <v/>
      </c>
    </row>
    <row r="596">
      <c r="A596" s="19" t="n"/>
      <c r="B596" s="20" t="n"/>
      <c r="C596" s="21">
        <f>IFERROR(AVERAGE(P596:T596),"")</f>
        <v/>
      </c>
      <c r="D596" s="29" t="n"/>
      <c r="E596" s="29" t="n"/>
      <c r="F596" s="30">
        <f>IF(AND(ISNUMBER($D596),ISNUMBER($E596),$E596&gt;0,$D596&lt;=$E596),$D596/$E596,"")</f>
        <v/>
      </c>
      <c r="P596" s="26" t="n"/>
      <c r="Q596" s="26" t="n"/>
      <c r="R596" s="26" t="n"/>
      <c r="S596" s="26" t="n"/>
      <c r="T596" s="26" t="n"/>
      <c r="V596" s="27">
        <f>IF(ISNUMBER($C596),COUNTIFS($A$14:$A$1213,$A596,$C$14:$C$1213,"&gt;"&amp;$C596)+(COUNTIFS($A$14:$A$1213,$A596,$C$14:$C$1213,"="&amp;$C596)+1)/2,"")</f>
        <v/>
      </c>
      <c r="W596" s="27">
        <f>IF(ISNUMBER($F596),COUNTIFS($A$14:$A$1213,$A596,$F$14:$F$1213,"&gt;"&amp;$F596)+(COUNTIFS($A$14:$A$1213,$A596,$F$14:$F$1213,"="&amp;$F596)+1)/2,"")</f>
        <v/>
      </c>
      <c r="X596" s="27">
        <f>IF(OR(NOT(ISNUMBER($V596)),$AO596=1),"",$V596-(COUNTIFS($A$14:$A$1213,$A596,$C$14:$C$1213,"&gt;=0")+1)/2)</f>
        <v/>
      </c>
      <c r="Y596" s="27">
        <f>IF(OR(NOT(ISNUMBER($W596)),$AO596=1),"",$W596-(COUNTIFS($A$14:$A$1213,$A596,$F$14:$F$1213,"&gt;=0")+1)/2)</f>
        <v/>
      </c>
      <c r="Z596" s="27">
        <f>IF(ISNUMBER($V596),$A596&amp;"|"&amp;$V596,"")</f>
        <v/>
      </c>
      <c r="AA596" s="27">
        <f>IF(ISNUMBER($W596),$A596&amp;"|"&amp;$W596,"")</f>
        <v/>
      </c>
      <c r="AB596" s="27">
        <f>IF(ISNUMBER($F596),$A596&amp;"|"&amp;$F596,"")</f>
        <v/>
      </c>
      <c r="AC596" s="27">
        <f>IF(ISNUMBER($P596),COUNTIFS($A$14:$A$1213,$A596,$P$14:$P$1213,"&gt;"&amp;$P596)+(COUNTIFS($A$14:$A$1213,$A596,$P$14:$P$1213,"="&amp;$P596)+1)/2,"")</f>
        <v/>
      </c>
      <c r="AD596" s="27">
        <f>IF(ISNUMBER($Q596),COUNTIFS($A$14:$A$1213,$A596,$Q$14:$Q$1213,"&gt;"&amp;$Q596)+(COUNTIFS($A$14:$A$1213,$A596,$Q$14:$Q$1213,"="&amp;$Q596)+1)/2,"")</f>
        <v/>
      </c>
      <c r="AE596" s="27">
        <f>IF(ISNUMBER($R596),COUNTIFS($A$14:$A$1213,$A596,$R$14:$R$1213,"&gt;"&amp;$R596)+(COUNTIFS($A$14:$A$1213,$A596,$R$14:$R$1213,"="&amp;$R596)+1)/2,"")</f>
        <v/>
      </c>
      <c r="AF596" s="27">
        <f>IF(ISNUMBER($S596),COUNTIFS($A$14:$A$1213,$A596,$S$14:$S$1213,"&gt;"&amp;$S596)+(COUNTIFS($A$14:$A$1213,$A596,$S$14:$S$1213,"="&amp;$S596)+1)/2,"")</f>
        <v/>
      </c>
      <c r="AG596" s="27">
        <f>IF(ISNUMBER($T596),COUNTIFS($A$14:$A$1213,$A596,$T$14:$T$1213,"&gt;"&amp;$T596)+(COUNTIFS($A$14:$A$1213,$A596,$T$14:$T$1213,"="&amp;$T596)+1)/2,"")</f>
        <v/>
      </c>
      <c r="AH596" s="27">
        <f>IF(COUNT($AC596:$AG596)&lt;2,"",IF(MAX($AC596:$AG596)=MIN($AC596:$AG596),0,1))</f>
        <v/>
      </c>
      <c r="AI596" s="27">
        <f>IF($A596="","",IF(COUNTIF($A$14:$A596,$A596)=1,COUNTIF($AI$13:AI595,"&gt;0")+1,""))</f>
        <v/>
      </c>
      <c r="AO596" s="27">
        <f>IF($A596="","",IF(AND(COUNTIFS($A$14:$A$1213,$A596,$F$14:$F$1213,"&gt;=0")=2,IFERROR(INDEX($M$14:$M$313,MATCH($A596,$H$14:$H$313,0)),"Yes")&lt;&gt;"Yes"),1,0))</f>
        <v/>
      </c>
    </row>
    <row r="597">
      <c r="A597" s="19" t="n"/>
      <c r="B597" s="20" t="n"/>
      <c r="C597" s="21">
        <f>IFERROR(AVERAGE(P597:T597),"")</f>
        <v/>
      </c>
      <c r="D597" s="29" t="n"/>
      <c r="E597" s="29" t="n"/>
      <c r="F597" s="30">
        <f>IF(AND(ISNUMBER($D597),ISNUMBER($E597),$E597&gt;0,$D597&lt;=$E597),$D597/$E597,"")</f>
        <v/>
      </c>
      <c r="P597" s="26" t="n"/>
      <c r="Q597" s="26" t="n"/>
      <c r="R597" s="26" t="n"/>
      <c r="S597" s="26" t="n"/>
      <c r="T597" s="26" t="n"/>
      <c r="V597" s="27">
        <f>IF(ISNUMBER($C597),COUNTIFS($A$14:$A$1213,$A597,$C$14:$C$1213,"&gt;"&amp;$C597)+(COUNTIFS($A$14:$A$1213,$A597,$C$14:$C$1213,"="&amp;$C597)+1)/2,"")</f>
        <v/>
      </c>
      <c r="W597" s="27">
        <f>IF(ISNUMBER($F597),COUNTIFS($A$14:$A$1213,$A597,$F$14:$F$1213,"&gt;"&amp;$F597)+(COUNTIFS($A$14:$A$1213,$A597,$F$14:$F$1213,"="&amp;$F597)+1)/2,"")</f>
        <v/>
      </c>
      <c r="X597" s="27">
        <f>IF(OR(NOT(ISNUMBER($V597)),$AO597=1),"",$V597-(COUNTIFS($A$14:$A$1213,$A597,$C$14:$C$1213,"&gt;=0")+1)/2)</f>
        <v/>
      </c>
      <c r="Y597" s="27">
        <f>IF(OR(NOT(ISNUMBER($W597)),$AO597=1),"",$W597-(COUNTIFS($A$14:$A$1213,$A597,$F$14:$F$1213,"&gt;=0")+1)/2)</f>
        <v/>
      </c>
      <c r="Z597" s="27">
        <f>IF(ISNUMBER($V597),$A597&amp;"|"&amp;$V597,"")</f>
        <v/>
      </c>
      <c r="AA597" s="27">
        <f>IF(ISNUMBER($W597),$A597&amp;"|"&amp;$W597,"")</f>
        <v/>
      </c>
      <c r="AB597" s="27">
        <f>IF(ISNUMBER($F597),$A597&amp;"|"&amp;$F597,"")</f>
        <v/>
      </c>
      <c r="AC597" s="27">
        <f>IF(ISNUMBER($P597),COUNTIFS($A$14:$A$1213,$A597,$P$14:$P$1213,"&gt;"&amp;$P597)+(COUNTIFS($A$14:$A$1213,$A597,$P$14:$P$1213,"="&amp;$P597)+1)/2,"")</f>
        <v/>
      </c>
      <c r="AD597" s="27">
        <f>IF(ISNUMBER($Q597),COUNTIFS($A$14:$A$1213,$A597,$Q$14:$Q$1213,"&gt;"&amp;$Q597)+(COUNTIFS($A$14:$A$1213,$A597,$Q$14:$Q$1213,"="&amp;$Q597)+1)/2,"")</f>
        <v/>
      </c>
      <c r="AE597" s="27">
        <f>IF(ISNUMBER($R597),COUNTIFS($A$14:$A$1213,$A597,$R$14:$R$1213,"&gt;"&amp;$R597)+(COUNTIFS($A$14:$A$1213,$A597,$R$14:$R$1213,"="&amp;$R597)+1)/2,"")</f>
        <v/>
      </c>
      <c r="AF597" s="27">
        <f>IF(ISNUMBER($S597),COUNTIFS($A$14:$A$1213,$A597,$S$14:$S$1213,"&gt;"&amp;$S597)+(COUNTIFS($A$14:$A$1213,$A597,$S$14:$S$1213,"="&amp;$S597)+1)/2,"")</f>
        <v/>
      </c>
      <c r="AG597" s="27">
        <f>IF(ISNUMBER($T597),COUNTIFS($A$14:$A$1213,$A597,$T$14:$T$1213,"&gt;"&amp;$T597)+(COUNTIFS($A$14:$A$1213,$A597,$T$14:$T$1213,"="&amp;$T597)+1)/2,"")</f>
        <v/>
      </c>
      <c r="AH597" s="27">
        <f>IF(COUNT($AC597:$AG597)&lt;2,"",IF(MAX($AC597:$AG597)=MIN($AC597:$AG597),0,1))</f>
        <v/>
      </c>
      <c r="AI597" s="27">
        <f>IF($A597="","",IF(COUNTIF($A$14:$A597,$A597)=1,COUNTIF($AI$13:AI596,"&gt;0")+1,""))</f>
        <v/>
      </c>
      <c r="AO597" s="27">
        <f>IF($A597="","",IF(AND(COUNTIFS($A$14:$A$1213,$A597,$F$14:$F$1213,"&gt;=0")=2,IFERROR(INDEX($M$14:$M$313,MATCH($A597,$H$14:$H$313,0)),"Yes")&lt;&gt;"Yes"),1,0))</f>
        <v/>
      </c>
    </row>
    <row r="598">
      <c r="A598" s="19" t="n"/>
      <c r="B598" s="20" t="n"/>
      <c r="C598" s="21">
        <f>IFERROR(AVERAGE(P598:T598),"")</f>
        <v/>
      </c>
      <c r="D598" s="29" t="n"/>
      <c r="E598" s="29" t="n"/>
      <c r="F598" s="30">
        <f>IF(AND(ISNUMBER($D598),ISNUMBER($E598),$E598&gt;0,$D598&lt;=$E598),$D598/$E598,"")</f>
        <v/>
      </c>
      <c r="P598" s="26" t="n"/>
      <c r="Q598" s="26" t="n"/>
      <c r="R598" s="26" t="n"/>
      <c r="S598" s="26" t="n"/>
      <c r="T598" s="26" t="n"/>
      <c r="V598" s="27">
        <f>IF(ISNUMBER($C598),COUNTIFS($A$14:$A$1213,$A598,$C$14:$C$1213,"&gt;"&amp;$C598)+(COUNTIFS($A$14:$A$1213,$A598,$C$14:$C$1213,"="&amp;$C598)+1)/2,"")</f>
        <v/>
      </c>
      <c r="W598" s="27">
        <f>IF(ISNUMBER($F598),COUNTIFS($A$14:$A$1213,$A598,$F$14:$F$1213,"&gt;"&amp;$F598)+(COUNTIFS($A$14:$A$1213,$A598,$F$14:$F$1213,"="&amp;$F598)+1)/2,"")</f>
        <v/>
      </c>
      <c r="X598" s="27">
        <f>IF(OR(NOT(ISNUMBER($V598)),$AO598=1),"",$V598-(COUNTIFS($A$14:$A$1213,$A598,$C$14:$C$1213,"&gt;=0")+1)/2)</f>
        <v/>
      </c>
      <c r="Y598" s="27">
        <f>IF(OR(NOT(ISNUMBER($W598)),$AO598=1),"",$W598-(COUNTIFS($A$14:$A$1213,$A598,$F$14:$F$1213,"&gt;=0")+1)/2)</f>
        <v/>
      </c>
      <c r="Z598" s="27">
        <f>IF(ISNUMBER($V598),$A598&amp;"|"&amp;$V598,"")</f>
        <v/>
      </c>
      <c r="AA598" s="27">
        <f>IF(ISNUMBER($W598),$A598&amp;"|"&amp;$W598,"")</f>
        <v/>
      </c>
      <c r="AB598" s="27">
        <f>IF(ISNUMBER($F598),$A598&amp;"|"&amp;$F598,"")</f>
        <v/>
      </c>
      <c r="AC598" s="27">
        <f>IF(ISNUMBER($P598),COUNTIFS($A$14:$A$1213,$A598,$P$14:$P$1213,"&gt;"&amp;$P598)+(COUNTIFS($A$14:$A$1213,$A598,$P$14:$P$1213,"="&amp;$P598)+1)/2,"")</f>
        <v/>
      </c>
      <c r="AD598" s="27">
        <f>IF(ISNUMBER($Q598),COUNTIFS($A$14:$A$1213,$A598,$Q$14:$Q$1213,"&gt;"&amp;$Q598)+(COUNTIFS($A$14:$A$1213,$A598,$Q$14:$Q$1213,"="&amp;$Q598)+1)/2,"")</f>
        <v/>
      </c>
      <c r="AE598" s="27">
        <f>IF(ISNUMBER($R598),COUNTIFS($A$14:$A$1213,$A598,$R$14:$R$1213,"&gt;"&amp;$R598)+(COUNTIFS($A$14:$A$1213,$A598,$R$14:$R$1213,"="&amp;$R598)+1)/2,"")</f>
        <v/>
      </c>
      <c r="AF598" s="27">
        <f>IF(ISNUMBER($S598),COUNTIFS($A$14:$A$1213,$A598,$S$14:$S$1213,"&gt;"&amp;$S598)+(COUNTIFS($A$14:$A$1213,$A598,$S$14:$S$1213,"="&amp;$S598)+1)/2,"")</f>
        <v/>
      </c>
      <c r="AG598" s="27">
        <f>IF(ISNUMBER($T598),COUNTIFS($A$14:$A$1213,$A598,$T$14:$T$1213,"&gt;"&amp;$T598)+(COUNTIFS($A$14:$A$1213,$A598,$T$14:$T$1213,"="&amp;$T598)+1)/2,"")</f>
        <v/>
      </c>
      <c r="AH598" s="27">
        <f>IF(COUNT($AC598:$AG598)&lt;2,"",IF(MAX($AC598:$AG598)=MIN($AC598:$AG598),0,1))</f>
        <v/>
      </c>
      <c r="AI598" s="27">
        <f>IF($A598="","",IF(COUNTIF($A$14:$A598,$A598)=1,COUNTIF($AI$13:AI597,"&gt;0")+1,""))</f>
        <v/>
      </c>
      <c r="AO598" s="27">
        <f>IF($A598="","",IF(AND(COUNTIFS($A$14:$A$1213,$A598,$F$14:$F$1213,"&gt;=0")=2,IFERROR(INDEX($M$14:$M$313,MATCH($A598,$H$14:$H$313,0)),"Yes")&lt;&gt;"Yes"),1,0))</f>
        <v/>
      </c>
    </row>
    <row r="599">
      <c r="A599" s="19" t="n"/>
      <c r="B599" s="20" t="n"/>
      <c r="C599" s="21">
        <f>IFERROR(AVERAGE(P599:T599),"")</f>
        <v/>
      </c>
      <c r="D599" s="29" t="n"/>
      <c r="E599" s="29" t="n"/>
      <c r="F599" s="30">
        <f>IF(AND(ISNUMBER($D599),ISNUMBER($E599),$E599&gt;0,$D599&lt;=$E599),$D599/$E599,"")</f>
        <v/>
      </c>
      <c r="P599" s="26" t="n"/>
      <c r="Q599" s="26" t="n"/>
      <c r="R599" s="26" t="n"/>
      <c r="S599" s="26" t="n"/>
      <c r="T599" s="26" t="n"/>
      <c r="V599" s="27">
        <f>IF(ISNUMBER($C599),COUNTIFS($A$14:$A$1213,$A599,$C$14:$C$1213,"&gt;"&amp;$C599)+(COUNTIFS($A$14:$A$1213,$A599,$C$14:$C$1213,"="&amp;$C599)+1)/2,"")</f>
        <v/>
      </c>
      <c r="W599" s="27">
        <f>IF(ISNUMBER($F599),COUNTIFS($A$14:$A$1213,$A599,$F$14:$F$1213,"&gt;"&amp;$F599)+(COUNTIFS($A$14:$A$1213,$A599,$F$14:$F$1213,"="&amp;$F599)+1)/2,"")</f>
        <v/>
      </c>
      <c r="X599" s="27">
        <f>IF(OR(NOT(ISNUMBER($V599)),$AO599=1),"",$V599-(COUNTIFS($A$14:$A$1213,$A599,$C$14:$C$1213,"&gt;=0")+1)/2)</f>
        <v/>
      </c>
      <c r="Y599" s="27">
        <f>IF(OR(NOT(ISNUMBER($W599)),$AO599=1),"",$W599-(COUNTIFS($A$14:$A$1213,$A599,$F$14:$F$1213,"&gt;=0")+1)/2)</f>
        <v/>
      </c>
      <c r="Z599" s="27">
        <f>IF(ISNUMBER($V599),$A599&amp;"|"&amp;$V599,"")</f>
        <v/>
      </c>
      <c r="AA599" s="27">
        <f>IF(ISNUMBER($W599),$A599&amp;"|"&amp;$W599,"")</f>
        <v/>
      </c>
      <c r="AB599" s="27">
        <f>IF(ISNUMBER($F599),$A599&amp;"|"&amp;$F599,"")</f>
        <v/>
      </c>
      <c r="AC599" s="27">
        <f>IF(ISNUMBER($P599),COUNTIFS($A$14:$A$1213,$A599,$P$14:$P$1213,"&gt;"&amp;$P599)+(COUNTIFS($A$14:$A$1213,$A599,$P$14:$P$1213,"="&amp;$P599)+1)/2,"")</f>
        <v/>
      </c>
      <c r="AD599" s="27">
        <f>IF(ISNUMBER($Q599),COUNTIFS($A$14:$A$1213,$A599,$Q$14:$Q$1213,"&gt;"&amp;$Q599)+(COUNTIFS($A$14:$A$1213,$A599,$Q$14:$Q$1213,"="&amp;$Q599)+1)/2,"")</f>
        <v/>
      </c>
      <c r="AE599" s="27">
        <f>IF(ISNUMBER($R599),COUNTIFS($A$14:$A$1213,$A599,$R$14:$R$1213,"&gt;"&amp;$R599)+(COUNTIFS($A$14:$A$1213,$A599,$R$14:$R$1213,"="&amp;$R599)+1)/2,"")</f>
        <v/>
      </c>
      <c r="AF599" s="27">
        <f>IF(ISNUMBER($S599),COUNTIFS($A$14:$A$1213,$A599,$S$14:$S$1213,"&gt;"&amp;$S599)+(COUNTIFS($A$14:$A$1213,$A599,$S$14:$S$1213,"="&amp;$S599)+1)/2,"")</f>
        <v/>
      </c>
      <c r="AG599" s="27">
        <f>IF(ISNUMBER($T599),COUNTIFS($A$14:$A$1213,$A599,$T$14:$T$1213,"&gt;"&amp;$T599)+(COUNTIFS($A$14:$A$1213,$A599,$T$14:$T$1213,"="&amp;$T599)+1)/2,"")</f>
        <v/>
      </c>
      <c r="AH599" s="27">
        <f>IF(COUNT($AC599:$AG599)&lt;2,"",IF(MAX($AC599:$AG599)=MIN($AC599:$AG599),0,1))</f>
        <v/>
      </c>
      <c r="AI599" s="27">
        <f>IF($A599="","",IF(COUNTIF($A$14:$A599,$A599)=1,COUNTIF($AI$13:AI598,"&gt;0")+1,""))</f>
        <v/>
      </c>
      <c r="AO599" s="27">
        <f>IF($A599="","",IF(AND(COUNTIFS($A$14:$A$1213,$A599,$F$14:$F$1213,"&gt;=0")=2,IFERROR(INDEX($M$14:$M$313,MATCH($A599,$H$14:$H$313,0)),"Yes")&lt;&gt;"Yes"),1,0))</f>
        <v/>
      </c>
    </row>
    <row r="600">
      <c r="A600" s="19" t="n"/>
      <c r="B600" s="20" t="n"/>
      <c r="C600" s="21">
        <f>IFERROR(AVERAGE(P600:T600),"")</f>
        <v/>
      </c>
      <c r="D600" s="29" t="n"/>
      <c r="E600" s="29" t="n"/>
      <c r="F600" s="30">
        <f>IF(AND(ISNUMBER($D600),ISNUMBER($E600),$E600&gt;0,$D600&lt;=$E600),$D600/$E600,"")</f>
        <v/>
      </c>
      <c r="P600" s="26" t="n"/>
      <c r="Q600" s="26" t="n"/>
      <c r="R600" s="26" t="n"/>
      <c r="S600" s="26" t="n"/>
      <c r="T600" s="26" t="n"/>
      <c r="V600" s="27">
        <f>IF(ISNUMBER($C600),COUNTIFS($A$14:$A$1213,$A600,$C$14:$C$1213,"&gt;"&amp;$C600)+(COUNTIFS($A$14:$A$1213,$A600,$C$14:$C$1213,"="&amp;$C600)+1)/2,"")</f>
        <v/>
      </c>
      <c r="W600" s="27">
        <f>IF(ISNUMBER($F600),COUNTIFS($A$14:$A$1213,$A600,$F$14:$F$1213,"&gt;"&amp;$F600)+(COUNTIFS($A$14:$A$1213,$A600,$F$14:$F$1213,"="&amp;$F600)+1)/2,"")</f>
        <v/>
      </c>
      <c r="X600" s="27">
        <f>IF(OR(NOT(ISNUMBER($V600)),$AO600=1),"",$V600-(COUNTIFS($A$14:$A$1213,$A600,$C$14:$C$1213,"&gt;=0")+1)/2)</f>
        <v/>
      </c>
      <c r="Y600" s="27">
        <f>IF(OR(NOT(ISNUMBER($W600)),$AO600=1),"",$W600-(COUNTIFS($A$14:$A$1213,$A600,$F$14:$F$1213,"&gt;=0")+1)/2)</f>
        <v/>
      </c>
      <c r="Z600" s="27">
        <f>IF(ISNUMBER($V600),$A600&amp;"|"&amp;$V600,"")</f>
        <v/>
      </c>
      <c r="AA600" s="27">
        <f>IF(ISNUMBER($W600),$A600&amp;"|"&amp;$W600,"")</f>
        <v/>
      </c>
      <c r="AB600" s="27">
        <f>IF(ISNUMBER($F600),$A600&amp;"|"&amp;$F600,"")</f>
        <v/>
      </c>
      <c r="AC600" s="27">
        <f>IF(ISNUMBER($P600),COUNTIFS($A$14:$A$1213,$A600,$P$14:$P$1213,"&gt;"&amp;$P600)+(COUNTIFS($A$14:$A$1213,$A600,$P$14:$P$1213,"="&amp;$P600)+1)/2,"")</f>
        <v/>
      </c>
      <c r="AD600" s="27">
        <f>IF(ISNUMBER($Q600),COUNTIFS($A$14:$A$1213,$A600,$Q$14:$Q$1213,"&gt;"&amp;$Q600)+(COUNTIFS($A$14:$A$1213,$A600,$Q$14:$Q$1213,"="&amp;$Q600)+1)/2,"")</f>
        <v/>
      </c>
      <c r="AE600" s="27">
        <f>IF(ISNUMBER($R600),COUNTIFS($A$14:$A$1213,$A600,$R$14:$R$1213,"&gt;"&amp;$R600)+(COUNTIFS($A$14:$A$1213,$A600,$R$14:$R$1213,"="&amp;$R600)+1)/2,"")</f>
        <v/>
      </c>
      <c r="AF600" s="27">
        <f>IF(ISNUMBER($S600),COUNTIFS($A$14:$A$1213,$A600,$S$14:$S$1213,"&gt;"&amp;$S600)+(COUNTIFS($A$14:$A$1213,$A600,$S$14:$S$1213,"="&amp;$S600)+1)/2,"")</f>
        <v/>
      </c>
      <c r="AG600" s="27">
        <f>IF(ISNUMBER($T600),COUNTIFS($A$14:$A$1213,$A600,$T$14:$T$1213,"&gt;"&amp;$T600)+(COUNTIFS($A$14:$A$1213,$A600,$T$14:$T$1213,"="&amp;$T600)+1)/2,"")</f>
        <v/>
      </c>
      <c r="AH600" s="27">
        <f>IF(COUNT($AC600:$AG600)&lt;2,"",IF(MAX($AC600:$AG600)=MIN($AC600:$AG600),0,1))</f>
        <v/>
      </c>
      <c r="AI600" s="27">
        <f>IF($A600="","",IF(COUNTIF($A$14:$A600,$A600)=1,COUNTIF($AI$13:AI599,"&gt;0")+1,""))</f>
        <v/>
      </c>
      <c r="AO600" s="27">
        <f>IF($A600="","",IF(AND(COUNTIFS($A$14:$A$1213,$A600,$F$14:$F$1213,"&gt;=0")=2,IFERROR(INDEX($M$14:$M$313,MATCH($A600,$H$14:$H$313,0)),"Yes")&lt;&gt;"Yes"),1,0))</f>
        <v/>
      </c>
    </row>
    <row r="601">
      <c r="A601" s="19" t="n"/>
      <c r="B601" s="20" t="n"/>
      <c r="C601" s="21">
        <f>IFERROR(AVERAGE(P601:T601),"")</f>
        <v/>
      </c>
      <c r="D601" s="29" t="n"/>
      <c r="E601" s="29" t="n"/>
      <c r="F601" s="30">
        <f>IF(AND(ISNUMBER($D601),ISNUMBER($E601),$E601&gt;0,$D601&lt;=$E601),$D601/$E601,"")</f>
        <v/>
      </c>
      <c r="P601" s="26" t="n"/>
      <c r="Q601" s="26" t="n"/>
      <c r="R601" s="26" t="n"/>
      <c r="S601" s="26" t="n"/>
      <c r="T601" s="26" t="n"/>
      <c r="V601" s="27">
        <f>IF(ISNUMBER($C601),COUNTIFS($A$14:$A$1213,$A601,$C$14:$C$1213,"&gt;"&amp;$C601)+(COUNTIFS($A$14:$A$1213,$A601,$C$14:$C$1213,"="&amp;$C601)+1)/2,"")</f>
        <v/>
      </c>
      <c r="W601" s="27">
        <f>IF(ISNUMBER($F601),COUNTIFS($A$14:$A$1213,$A601,$F$14:$F$1213,"&gt;"&amp;$F601)+(COUNTIFS($A$14:$A$1213,$A601,$F$14:$F$1213,"="&amp;$F601)+1)/2,"")</f>
        <v/>
      </c>
      <c r="X601" s="27">
        <f>IF(OR(NOT(ISNUMBER($V601)),$AO601=1),"",$V601-(COUNTIFS($A$14:$A$1213,$A601,$C$14:$C$1213,"&gt;=0")+1)/2)</f>
        <v/>
      </c>
      <c r="Y601" s="27">
        <f>IF(OR(NOT(ISNUMBER($W601)),$AO601=1),"",$W601-(COUNTIFS($A$14:$A$1213,$A601,$F$14:$F$1213,"&gt;=0")+1)/2)</f>
        <v/>
      </c>
      <c r="Z601" s="27">
        <f>IF(ISNUMBER($V601),$A601&amp;"|"&amp;$V601,"")</f>
        <v/>
      </c>
      <c r="AA601" s="27">
        <f>IF(ISNUMBER($W601),$A601&amp;"|"&amp;$W601,"")</f>
        <v/>
      </c>
      <c r="AB601" s="27">
        <f>IF(ISNUMBER($F601),$A601&amp;"|"&amp;$F601,"")</f>
        <v/>
      </c>
      <c r="AC601" s="27">
        <f>IF(ISNUMBER($P601),COUNTIFS($A$14:$A$1213,$A601,$P$14:$P$1213,"&gt;"&amp;$P601)+(COUNTIFS($A$14:$A$1213,$A601,$P$14:$P$1213,"="&amp;$P601)+1)/2,"")</f>
        <v/>
      </c>
      <c r="AD601" s="27">
        <f>IF(ISNUMBER($Q601),COUNTIFS($A$14:$A$1213,$A601,$Q$14:$Q$1213,"&gt;"&amp;$Q601)+(COUNTIFS($A$14:$A$1213,$A601,$Q$14:$Q$1213,"="&amp;$Q601)+1)/2,"")</f>
        <v/>
      </c>
      <c r="AE601" s="27">
        <f>IF(ISNUMBER($R601),COUNTIFS($A$14:$A$1213,$A601,$R$14:$R$1213,"&gt;"&amp;$R601)+(COUNTIFS($A$14:$A$1213,$A601,$R$14:$R$1213,"="&amp;$R601)+1)/2,"")</f>
        <v/>
      </c>
      <c r="AF601" s="27">
        <f>IF(ISNUMBER($S601),COUNTIFS($A$14:$A$1213,$A601,$S$14:$S$1213,"&gt;"&amp;$S601)+(COUNTIFS($A$14:$A$1213,$A601,$S$14:$S$1213,"="&amp;$S601)+1)/2,"")</f>
        <v/>
      </c>
      <c r="AG601" s="27">
        <f>IF(ISNUMBER($T601),COUNTIFS($A$14:$A$1213,$A601,$T$14:$T$1213,"&gt;"&amp;$T601)+(COUNTIFS($A$14:$A$1213,$A601,$T$14:$T$1213,"="&amp;$T601)+1)/2,"")</f>
        <v/>
      </c>
      <c r="AH601" s="27">
        <f>IF(COUNT($AC601:$AG601)&lt;2,"",IF(MAX($AC601:$AG601)=MIN($AC601:$AG601),0,1))</f>
        <v/>
      </c>
      <c r="AI601" s="27">
        <f>IF($A601="","",IF(COUNTIF($A$14:$A601,$A601)=1,COUNTIF($AI$13:AI600,"&gt;0")+1,""))</f>
        <v/>
      </c>
      <c r="AO601" s="27">
        <f>IF($A601="","",IF(AND(COUNTIFS($A$14:$A$1213,$A601,$F$14:$F$1213,"&gt;=0")=2,IFERROR(INDEX($M$14:$M$313,MATCH($A601,$H$14:$H$313,0)),"Yes")&lt;&gt;"Yes"),1,0))</f>
        <v/>
      </c>
    </row>
    <row r="602">
      <c r="A602" s="19" t="n"/>
      <c r="B602" s="20" t="n"/>
      <c r="C602" s="21">
        <f>IFERROR(AVERAGE(P602:T602),"")</f>
        <v/>
      </c>
      <c r="D602" s="29" t="n"/>
      <c r="E602" s="29" t="n"/>
      <c r="F602" s="30">
        <f>IF(AND(ISNUMBER($D602),ISNUMBER($E602),$E602&gt;0,$D602&lt;=$E602),$D602/$E602,"")</f>
        <v/>
      </c>
      <c r="P602" s="26" t="n"/>
      <c r="Q602" s="26" t="n"/>
      <c r="R602" s="26" t="n"/>
      <c r="S602" s="26" t="n"/>
      <c r="T602" s="26" t="n"/>
      <c r="V602" s="27">
        <f>IF(ISNUMBER($C602),COUNTIFS($A$14:$A$1213,$A602,$C$14:$C$1213,"&gt;"&amp;$C602)+(COUNTIFS($A$14:$A$1213,$A602,$C$14:$C$1213,"="&amp;$C602)+1)/2,"")</f>
        <v/>
      </c>
      <c r="W602" s="27">
        <f>IF(ISNUMBER($F602),COUNTIFS($A$14:$A$1213,$A602,$F$14:$F$1213,"&gt;"&amp;$F602)+(COUNTIFS($A$14:$A$1213,$A602,$F$14:$F$1213,"="&amp;$F602)+1)/2,"")</f>
        <v/>
      </c>
      <c r="X602" s="27">
        <f>IF(OR(NOT(ISNUMBER($V602)),$AO602=1),"",$V602-(COUNTIFS($A$14:$A$1213,$A602,$C$14:$C$1213,"&gt;=0")+1)/2)</f>
        <v/>
      </c>
      <c r="Y602" s="27">
        <f>IF(OR(NOT(ISNUMBER($W602)),$AO602=1),"",$W602-(COUNTIFS($A$14:$A$1213,$A602,$F$14:$F$1213,"&gt;=0")+1)/2)</f>
        <v/>
      </c>
      <c r="Z602" s="27">
        <f>IF(ISNUMBER($V602),$A602&amp;"|"&amp;$V602,"")</f>
        <v/>
      </c>
      <c r="AA602" s="27">
        <f>IF(ISNUMBER($W602),$A602&amp;"|"&amp;$W602,"")</f>
        <v/>
      </c>
      <c r="AB602" s="27">
        <f>IF(ISNUMBER($F602),$A602&amp;"|"&amp;$F602,"")</f>
        <v/>
      </c>
      <c r="AC602" s="27">
        <f>IF(ISNUMBER($P602),COUNTIFS($A$14:$A$1213,$A602,$P$14:$P$1213,"&gt;"&amp;$P602)+(COUNTIFS($A$14:$A$1213,$A602,$P$14:$P$1213,"="&amp;$P602)+1)/2,"")</f>
        <v/>
      </c>
      <c r="AD602" s="27">
        <f>IF(ISNUMBER($Q602),COUNTIFS($A$14:$A$1213,$A602,$Q$14:$Q$1213,"&gt;"&amp;$Q602)+(COUNTIFS($A$14:$A$1213,$A602,$Q$14:$Q$1213,"="&amp;$Q602)+1)/2,"")</f>
        <v/>
      </c>
      <c r="AE602" s="27">
        <f>IF(ISNUMBER($R602),COUNTIFS($A$14:$A$1213,$A602,$R$14:$R$1213,"&gt;"&amp;$R602)+(COUNTIFS($A$14:$A$1213,$A602,$R$14:$R$1213,"="&amp;$R602)+1)/2,"")</f>
        <v/>
      </c>
      <c r="AF602" s="27">
        <f>IF(ISNUMBER($S602),COUNTIFS($A$14:$A$1213,$A602,$S$14:$S$1213,"&gt;"&amp;$S602)+(COUNTIFS($A$14:$A$1213,$A602,$S$14:$S$1213,"="&amp;$S602)+1)/2,"")</f>
        <v/>
      </c>
      <c r="AG602" s="27">
        <f>IF(ISNUMBER($T602),COUNTIFS($A$14:$A$1213,$A602,$T$14:$T$1213,"&gt;"&amp;$T602)+(COUNTIFS($A$14:$A$1213,$A602,$T$14:$T$1213,"="&amp;$T602)+1)/2,"")</f>
        <v/>
      </c>
      <c r="AH602" s="27">
        <f>IF(COUNT($AC602:$AG602)&lt;2,"",IF(MAX($AC602:$AG602)=MIN($AC602:$AG602),0,1))</f>
        <v/>
      </c>
      <c r="AI602" s="27">
        <f>IF($A602="","",IF(COUNTIF($A$14:$A602,$A602)=1,COUNTIF($AI$13:AI601,"&gt;0")+1,""))</f>
        <v/>
      </c>
      <c r="AO602" s="27">
        <f>IF($A602="","",IF(AND(COUNTIFS($A$14:$A$1213,$A602,$F$14:$F$1213,"&gt;=0")=2,IFERROR(INDEX($M$14:$M$313,MATCH($A602,$H$14:$H$313,0)),"Yes")&lt;&gt;"Yes"),1,0))</f>
        <v/>
      </c>
    </row>
    <row r="603">
      <c r="A603" s="19" t="n"/>
      <c r="B603" s="20" t="n"/>
      <c r="C603" s="21">
        <f>IFERROR(AVERAGE(P603:T603),"")</f>
        <v/>
      </c>
      <c r="D603" s="29" t="n"/>
      <c r="E603" s="29" t="n"/>
      <c r="F603" s="30">
        <f>IF(AND(ISNUMBER($D603),ISNUMBER($E603),$E603&gt;0,$D603&lt;=$E603),$D603/$E603,"")</f>
        <v/>
      </c>
      <c r="P603" s="26" t="n"/>
      <c r="Q603" s="26" t="n"/>
      <c r="R603" s="26" t="n"/>
      <c r="S603" s="26" t="n"/>
      <c r="T603" s="26" t="n"/>
      <c r="V603" s="27">
        <f>IF(ISNUMBER($C603),COUNTIFS($A$14:$A$1213,$A603,$C$14:$C$1213,"&gt;"&amp;$C603)+(COUNTIFS($A$14:$A$1213,$A603,$C$14:$C$1213,"="&amp;$C603)+1)/2,"")</f>
        <v/>
      </c>
      <c r="W603" s="27">
        <f>IF(ISNUMBER($F603),COUNTIFS($A$14:$A$1213,$A603,$F$14:$F$1213,"&gt;"&amp;$F603)+(COUNTIFS($A$14:$A$1213,$A603,$F$14:$F$1213,"="&amp;$F603)+1)/2,"")</f>
        <v/>
      </c>
      <c r="X603" s="27">
        <f>IF(OR(NOT(ISNUMBER($V603)),$AO603=1),"",$V603-(COUNTIFS($A$14:$A$1213,$A603,$C$14:$C$1213,"&gt;=0")+1)/2)</f>
        <v/>
      </c>
      <c r="Y603" s="27">
        <f>IF(OR(NOT(ISNUMBER($W603)),$AO603=1),"",$W603-(COUNTIFS($A$14:$A$1213,$A603,$F$14:$F$1213,"&gt;=0")+1)/2)</f>
        <v/>
      </c>
      <c r="Z603" s="27">
        <f>IF(ISNUMBER($V603),$A603&amp;"|"&amp;$V603,"")</f>
        <v/>
      </c>
      <c r="AA603" s="27">
        <f>IF(ISNUMBER($W603),$A603&amp;"|"&amp;$W603,"")</f>
        <v/>
      </c>
      <c r="AB603" s="27">
        <f>IF(ISNUMBER($F603),$A603&amp;"|"&amp;$F603,"")</f>
        <v/>
      </c>
      <c r="AC603" s="27">
        <f>IF(ISNUMBER($P603),COUNTIFS($A$14:$A$1213,$A603,$P$14:$P$1213,"&gt;"&amp;$P603)+(COUNTIFS($A$14:$A$1213,$A603,$P$14:$P$1213,"="&amp;$P603)+1)/2,"")</f>
        <v/>
      </c>
      <c r="AD603" s="27">
        <f>IF(ISNUMBER($Q603),COUNTIFS($A$14:$A$1213,$A603,$Q$14:$Q$1213,"&gt;"&amp;$Q603)+(COUNTIFS($A$14:$A$1213,$A603,$Q$14:$Q$1213,"="&amp;$Q603)+1)/2,"")</f>
        <v/>
      </c>
      <c r="AE603" s="27">
        <f>IF(ISNUMBER($R603),COUNTIFS($A$14:$A$1213,$A603,$R$14:$R$1213,"&gt;"&amp;$R603)+(COUNTIFS($A$14:$A$1213,$A603,$R$14:$R$1213,"="&amp;$R603)+1)/2,"")</f>
        <v/>
      </c>
      <c r="AF603" s="27">
        <f>IF(ISNUMBER($S603),COUNTIFS($A$14:$A$1213,$A603,$S$14:$S$1213,"&gt;"&amp;$S603)+(COUNTIFS($A$14:$A$1213,$A603,$S$14:$S$1213,"="&amp;$S603)+1)/2,"")</f>
        <v/>
      </c>
      <c r="AG603" s="27">
        <f>IF(ISNUMBER($T603),COUNTIFS($A$14:$A$1213,$A603,$T$14:$T$1213,"&gt;"&amp;$T603)+(COUNTIFS($A$14:$A$1213,$A603,$T$14:$T$1213,"="&amp;$T603)+1)/2,"")</f>
        <v/>
      </c>
      <c r="AH603" s="27">
        <f>IF(COUNT($AC603:$AG603)&lt;2,"",IF(MAX($AC603:$AG603)=MIN($AC603:$AG603),0,1))</f>
        <v/>
      </c>
      <c r="AI603" s="27">
        <f>IF($A603="","",IF(COUNTIF($A$14:$A603,$A603)=1,COUNTIF($AI$13:AI602,"&gt;0")+1,""))</f>
        <v/>
      </c>
      <c r="AO603" s="27">
        <f>IF($A603="","",IF(AND(COUNTIFS($A$14:$A$1213,$A603,$F$14:$F$1213,"&gt;=0")=2,IFERROR(INDEX($M$14:$M$313,MATCH($A603,$H$14:$H$313,0)),"Yes")&lt;&gt;"Yes"),1,0))</f>
        <v/>
      </c>
    </row>
    <row r="604">
      <c r="A604" s="19" t="n"/>
      <c r="B604" s="20" t="n"/>
      <c r="C604" s="21">
        <f>IFERROR(AVERAGE(P604:T604),"")</f>
        <v/>
      </c>
      <c r="D604" s="29" t="n"/>
      <c r="E604" s="29" t="n"/>
      <c r="F604" s="30">
        <f>IF(AND(ISNUMBER($D604),ISNUMBER($E604),$E604&gt;0,$D604&lt;=$E604),$D604/$E604,"")</f>
        <v/>
      </c>
      <c r="P604" s="26" t="n"/>
      <c r="Q604" s="26" t="n"/>
      <c r="R604" s="26" t="n"/>
      <c r="S604" s="26" t="n"/>
      <c r="T604" s="26" t="n"/>
      <c r="V604" s="27">
        <f>IF(ISNUMBER($C604),COUNTIFS($A$14:$A$1213,$A604,$C$14:$C$1213,"&gt;"&amp;$C604)+(COUNTIFS($A$14:$A$1213,$A604,$C$14:$C$1213,"="&amp;$C604)+1)/2,"")</f>
        <v/>
      </c>
      <c r="W604" s="27">
        <f>IF(ISNUMBER($F604),COUNTIFS($A$14:$A$1213,$A604,$F$14:$F$1213,"&gt;"&amp;$F604)+(COUNTIFS($A$14:$A$1213,$A604,$F$14:$F$1213,"="&amp;$F604)+1)/2,"")</f>
        <v/>
      </c>
      <c r="X604" s="27">
        <f>IF(OR(NOT(ISNUMBER($V604)),$AO604=1),"",$V604-(COUNTIFS($A$14:$A$1213,$A604,$C$14:$C$1213,"&gt;=0")+1)/2)</f>
        <v/>
      </c>
      <c r="Y604" s="27">
        <f>IF(OR(NOT(ISNUMBER($W604)),$AO604=1),"",$W604-(COUNTIFS($A$14:$A$1213,$A604,$F$14:$F$1213,"&gt;=0")+1)/2)</f>
        <v/>
      </c>
      <c r="Z604" s="27">
        <f>IF(ISNUMBER($V604),$A604&amp;"|"&amp;$V604,"")</f>
        <v/>
      </c>
      <c r="AA604" s="27">
        <f>IF(ISNUMBER($W604),$A604&amp;"|"&amp;$W604,"")</f>
        <v/>
      </c>
      <c r="AB604" s="27">
        <f>IF(ISNUMBER($F604),$A604&amp;"|"&amp;$F604,"")</f>
        <v/>
      </c>
      <c r="AC604" s="27">
        <f>IF(ISNUMBER($P604),COUNTIFS($A$14:$A$1213,$A604,$P$14:$P$1213,"&gt;"&amp;$P604)+(COUNTIFS($A$14:$A$1213,$A604,$P$14:$P$1213,"="&amp;$P604)+1)/2,"")</f>
        <v/>
      </c>
      <c r="AD604" s="27">
        <f>IF(ISNUMBER($Q604),COUNTIFS($A$14:$A$1213,$A604,$Q$14:$Q$1213,"&gt;"&amp;$Q604)+(COUNTIFS($A$14:$A$1213,$A604,$Q$14:$Q$1213,"="&amp;$Q604)+1)/2,"")</f>
        <v/>
      </c>
      <c r="AE604" s="27">
        <f>IF(ISNUMBER($R604),COUNTIFS($A$14:$A$1213,$A604,$R$14:$R$1213,"&gt;"&amp;$R604)+(COUNTIFS($A$14:$A$1213,$A604,$R$14:$R$1213,"="&amp;$R604)+1)/2,"")</f>
        <v/>
      </c>
      <c r="AF604" s="27">
        <f>IF(ISNUMBER($S604),COUNTIFS($A$14:$A$1213,$A604,$S$14:$S$1213,"&gt;"&amp;$S604)+(COUNTIFS($A$14:$A$1213,$A604,$S$14:$S$1213,"="&amp;$S604)+1)/2,"")</f>
        <v/>
      </c>
      <c r="AG604" s="27">
        <f>IF(ISNUMBER($T604),COUNTIFS($A$14:$A$1213,$A604,$T$14:$T$1213,"&gt;"&amp;$T604)+(COUNTIFS($A$14:$A$1213,$A604,$T$14:$T$1213,"="&amp;$T604)+1)/2,"")</f>
        <v/>
      </c>
      <c r="AH604" s="27">
        <f>IF(COUNT($AC604:$AG604)&lt;2,"",IF(MAX($AC604:$AG604)=MIN($AC604:$AG604),0,1))</f>
        <v/>
      </c>
      <c r="AI604" s="27">
        <f>IF($A604="","",IF(COUNTIF($A$14:$A604,$A604)=1,COUNTIF($AI$13:AI603,"&gt;0")+1,""))</f>
        <v/>
      </c>
      <c r="AO604" s="27">
        <f>IF($A604="","",IF(AND(COUNTIFS($A$14:$A$1213,$A604,$F$14:$F$1213,"&gt;=0")=2,IFERROR(INDEX($M$14:$M$313,MATCH($A604,$H$14:$H$313,0)),"Yes")&lt;&gt;"Yes"),1,0))</f>
        <v/>
      </c>
    </row>
    <row r="605">
      <c r="A605" s="19" t="n"/>
      <c r="B605" s="20" t="n"/>
      <c r="C605" s="21">
        <f>IFERROR(AVERAGE(P605:T605),"")</f>
        <v/>
      </c>
      <c r="D605" s="29" t="n"/>
      <c r="E605" s="29" t="n"/>
      <c r="F605" s="30">
        <f>IF(AND(ISNUMBER($D605),ISNUMBER($E605),$E605&gt;0,$D605&lt;=$E605),$D605/$E605,"")</f>
        <v/>
      </c>
      <c r="P605" s="26" t="n"/>
      <c r="Q605" s="26" t="n"/>
      <c r="R605" s="26" t="n"/>
      <c r="S605" s="26" t="n"/>
      <c r="T605" s="26" t="n"/>
      <c r="V605" s="27">
        <f>IF(ISNUMBER($C605),COUNTIFS($A$14:$A$1213,$A605,$C$14:$C$1213,"&gt;"&amp;$C605)+(COUNTIFS($A$14:$A$1213,$A605,$C$14:$C$1213,"="&amp;$C605)+1)/2,"")</f>
        <v/>
      </c>
      <c r="W605" s="27">
        <f>IF(ISNUMBER($F605),COUNTIFS($A$14:$A$1213,$A605,$F$14:$F$1213,"&gt;"&amp;$F605)+(COUNTIFS($A$14:$A$1213,$A605,$F$14:$F$1213,"="&amp;$F605)+1)/2,"")</f>
        <v/>
      </c>
      <c r="X605" s="27">
        <f>IF(OR(NOT(ISNUMBER($V605)),$AO605=1),"",$V605-(COUNTIFS($A$14:$A$1213,$A605,$C$14:$C$1213,"&gt;=0")+1)/2)</f>
        <v/>
      </c>
      <c r="Y605" s="27">
        <f>IF(OR(NOT(ISNUMBER($W605)),$AO605=1),"",$W605-(COUNTIFS($A$14:$A$1213,$A605,$F$14:$F$1213,"&gt;=0")+1)/2)</f>
        <v/>
      </c>
      <c r="Z605" s="27">
        <f>IF(ISNUMBER($V605),$A605&amp;"|"&amp;$V605,"")</f>
        <v/>
      </c>
      <c r="AA605" s="27">
        <f>IF(ISNUMBER($W605),$A605&amp;"|"&amp;$W605,"")</f>
        <v/>
      </c>
      <c r="AB605" s="27">
        <f>IF(ISNUMBER($F605),$A605&amp;"|"&amp;$F605,"")</f>
        <v/>
      </c>
      <c r="AC605" s="27">
        <f>IF(ISNUMBER($P605),COUNTIFS($A$14:$A$1213,$A605,$P$14:$P$1213,"&gt;"&amp;$P605)+(COUNTIFS($A$14:$A$1213,$A605,$P$14:$P$1213,"="&amp;$P605)+1)/2,"")</f>
        <v/>
      </c>
      <c r="AD605" s="27">
        <f>IF(ISNUMBER($Q605),COUNTIFS($A$14:$A$1213,$A605,$Q$14:$Q$1213,"&gt;"&amp;$Q605)+(COUNTIFS($A$14:$A$1213,$A605,$Q$14:$Q$1213,"="&amp;$Q605)+1)/2,"")</f>
        <v/>
      </c>
      <c r="AE605" s="27">
        <f>IF(ISNUMBER($R605),COUNTIFS($A$14:$A$1213,$A605,$R$14:$R$1213,"&gt;"&amp;$R605)+(COUNTIFS($A$14:$A$1213,$A605,$R$14:$R$1213,"="&amp;$R605)+1)/2,"")</f>
        <v/>
      </c>
      <c r="AF605" s="27">
        <f>IF(ISNUMBER($S605),COUNTIFS($A$14:$A$1213,$A605,$S$14:$S$1213,"&gt;"&amp;$S605)+(COUNTIFS($A$14:$A$1213,$A605,$S$14:$S$1213,"="&amp;$S605)+1)/2,"")</f>
        <v/>
      </c>
      <c r="AG605" s="27">
        <f>IF(ISNUMBER($T605),COUNTIFS($A$14:$A$1213,$A605,$T$14:$T$1213,"&gt;"&amp;$T605)+(COUNTIFS($A$14:$A$1213,$A605,$T$14:$T$1213,"="&amp;$T605)+1)/2,"")</f>
        <v/>
      </c>
      <c r="AH605" s="27">
        <f>IF(COUNT($AC605:$AG605)&lt;2,"",IF(MAX($AC605:$AG605)=MIN($AC605:$AG605),0,1))</f>
        <v/>
      </c>
      <c r="AI605" s="27">
        <f>IF($A605="","",IF(COUNTIF($A$14:$A605,$A605)=1,COUNTIF($AI$13:AI604,"&gt;0")+1,""))</f>
        <v/>
      </c>
      <c r="AO605" s="27">
        <f>IF($A605="","",IF(AND(COUNTIFS($A$14:$A$1213,$A605,$F$14:$F$1213,"&gt;=0")=2,IFERROR(INDEX($M$14:$M$313,MATCH($A605,$H$14:$H$313,0)),"Yes")&lt;&gt;"Yes"),1,0))</f>
        <v/>
      </c>
    </row>
    <row r="606">
      <c r="A606" s="19" t="n"/>
      <c r="B606" s="20" t="n"/>
      <c r="C606" s="21">
        <f>IFERROR(AVERAGE(P606:T606),"")</f>
        <v/>
      </c>
      <c r="D606" s="29" t="n"/>
      <c r="E606" s="29" t="n"/>
      <c r="F606" s="30">
        <f>IF(AND(ISNUMBER($D606),ISNUMBER($E606),$E606&gt;0,$D606&lt;=$E606),$D606/$E606,"")</f>
        <v/>
      </c>
      <c r="P606" s="26" t="n"/>
      <c r="Q606" s="26" t="n"/>
      <c r="R606" s="26" t="n"/>
      <c r="S606" s="26" t="n"/>
      <c r="T606" s="26" t="n"/>
      <c r="V606" s="27">
        <f>IF(ISNUMBER($C606),COUNTIFS($A$14:$A$1213,$A606,$C$14:$C$1213,"&gt;"&amp;$C606)+(COUNTIFS($A$14:$A$1213,$A606,$C$14:$C$1213,"="&amp;$C606)+1)/2,"")</f>
        <v/>
      </c>
      <c r="W606" s="27">
        <f>IF(ISNUMBER($F606),COUNTIFS($A$14:$A$1213,$A606,$F$14:$F$1213,"&gt;"&amp;$F606)+(COUNTIFS($A$14:$A$1213,$A606,$F$14:$F$1213,"="&amp;$F606)+1)/2,"")</f>
        <v/>
      </c>
      <c r="X606" s="27">
        <f>IF(OR(NOT(ISNUMBER($V606)),$AO606=1),"",$V606-(COUNTIFS($A$14:$A$1213,$A606,$C$14:$C$1213,"&gt;=0")+1)/2)</f>
        <v/>
      </c>
      <c r="Y606" s="27">
        <f>IF(OR(NOT(ISNUMBER($W606)),$AO606=1),"",$W606-(COUNTIFS($A$14:$A$1213,$A606,$F$14:$F$1213,"&gt;=0")+1)/2)</f>
        <v/>
      </c>
      <c r="Z606" s="27">
        <f>IF(ISNUMBER($V606),$A606&amp;"|"&amp;$V606,"")</f>
        <v/>
      </c>
      <c r="AA606" s="27">
        <f>IF(ISNUMBER($W606),$A606&amp;"|"&amp;$W606,"")</f>
        <v/>
      </c>
      <c r="AB606" s="27">
        <f>IF(ISNUMBER($F606),$A606&amp;"|"&amp;$F606,"")</f>
        <v/>
      </c>
      <c r="AC606" s="27">
        <f>IF(ISNUMBER($P606),COUNTIFS($A$14:$A$1213,$A606,$P$14:$P$1213,"&gt;"&amp;$P606)+(COUNTIFS($A$14:$A$1213,$A606,$P$14:$P$1213,"="&amp;$P606)+1)/2,"")</f>
        <v/>
      </c>
      <c r="AD606" s="27">
        <f>IF(ISNUMBER($Q606),COUNTIFS($A$14:$A$1213,$A606,$Q$14:$Q$1213,"&gt;"&amp;$Q606)+(COUNTIFS($A$14:$A$1213,$A606,$Q$14:$Q$1213,"="&amp;$Q606)+1)/2,"")</f>
        <v/>
      </c>
      <c r="AE606" s="27">
        <f>IF(ISNUMBER($R606),COUNTIFS($A$14:$A$1213,$A606,$R$14:$R$1213,"&gt;"&amp;$R606)+(COUNTIFS($A$14:$A$1213,$A606,$R$14:$R$1213,"="&amp;$R606)+1)/2,"")</f>
        <v/>
      </c>
      <c r="AF606" s="27">
        <f>IF(ISNUMBER($S606),COUNTIFS($A$14:$A$1213,$A606,$S$14:$S$1213,"&gt;"&amp;$S606)+(COUNTIFS($A$14:$A$1213,$A606,$S$14:$S$1213,"="&amp;$S606)+1)/2,"")</f>
        <v/>
      </c>
      <c r="AG606" s="27">
        <f>IF(ISNUMBER($T606),COUNTIFS($A$14:$A$1213,$A606,$T$14:$T$1213,"&gt;"&amp;$T606)+(COUNTIFS($A$14:$A$1213,$A606,$T$14:$T$1213,"="&amp;$T606)+1)/2,"")</f>
        <v/>
      </c>
      <c r="AH606" s="27">
        <f>IF(COUNT($AC606:$AG606)&lt;2,"",IF(MAX($AC606:$AG606)=MIN($AC606:$AG606),0,1))</f>
        <v/>
      </c>
      <c r="AI606" s="27">
        <f>IF($A606="","",IF(COUNTIF($A$14:$A606,$A606)=1,COUNTIF($AI$13:AI605,"&gt;0")+1,""))</f>
        <v/>
      </c>
      <c r="AO606" s="27">
        <f>IF($A606="","",IF(AND(COUNTIFS($A$14:$A$1213,$A606,$F$14:$F$1213,"&gt;=0")=2,IFERROR(INDEX($M$14:$M$313,MATCH($A606,$H$14:$H$313,0)),"Yes")&lt;&gt;"Yes"),1,0))</f>
        <v/>
      </c>
    </row>
    <row r="607">
      <c r="A607" s="19" t="n"/>
      <c r="B607" s="20" t="n"/>
      <c r="C607" s="21">
        <f>IFERROR(AVERAGE(P607:T607),"")</f>
        <v/>
      </c>
      <c r="D607" s="29" t="n"/>
      <c r="E607" s="29" t="n"/>
      <c r="F607" s="30">
        <f>IF(AND(ISNUMBER($D607),ISNUMBER($E607),$E607&gt;0,$D607&lt;=$E607),$D607/$E607,"")</f>
        <v/>
      </c>
      <c r="P607" s="26" t="n"/>
      <c r="Q607" s="26" t="n"/>
      <c r="R607" s="26" t="n"/>
      <c r="S607" s="26" t="n"/>
      <c r="T607" s="26" t="n"/>
      <c r="V607" s="27">
        <f>IF(ISNUMBER($C607),COUNTIFS($A$14:$A$1213,$A607,$C$14:$C$1213,"&gt;"&amp;$C607)+(COUNTIFS($A$14:$A$1213,$A607,$C$14:$C$1213,"="&amp;$C607)+1)/2,"")</f>
        <v/>
      </c>
      <c r="W607" s="27">
        <f>IF(ISNUMBER($F607),COUNTIFS($A$14:$A$1213,$A607,$F$14:$F$1213,"&gt;"&amp;$F607)+(COUNTIFS($A$14:$A$1213,$A607,$F$14:$F$1213,"="&amp;$F607)+1)/2,"")</f>
        <v/>
      </c>
      <c r="X607" s="27">
        <f>IF(OR(NOT(ISNUMBER($V607)),$AO607=1),"",$V607-(COUNTIFS($A$14:$A$1213,$A607,$C$14:$C$1213,"&gt;=0")+1)/2)</f>
        <v/>
      </c>
      <c r="Y607" s="27">
        <f>IF(OR(NOT(ISNUMBER($W607)),$AO607=1),"",$W607-(COUNTIFS($A$14:$A$1213,$A607,$F$14:$F$1213,"&gt;=0")+1)/2)</f>
        <v/>
      </c>
      <c r="Z607" s="27">
        <f>IF(ISNUMBER($V607),$A607&amp;"|"&amp;$V607,"")</f>
        <v/>
      </c>
      <c r="AA607" s="27">
        <f>IF(ISNUMBER($W607),$A607&amp;"|"&amp;$W607,"")</f>
        <v/>
      </c>
      <c r="AB607" s="27">
        <f>IF(ISNUMBER($F607),$A607&amp;"|"&amp;$F607,"")</f>
        <v/>
      </c>
      <c r="AC607" s="27">
        <f>IF(ISNUMBER($P607),COUNTIFS($A$14:$A$1213,$A607,$P$14:$P$1213,"&gt;"&amp;$P607)+(COUNTIFS($A$14:$A$1213,$A607,$P$14:$P$1213,"="&amp;$P607)+1)/2,"")</f>
        <v/>
      </c>
      <c r="AD607" s="27">
        <f>IF(ISNUMBER($Q607),COUNTIFS($A$14:$A$1213,$A607,$Q$14:$Q$1213,"&gt;"&amp;$Q607)+(COUNTIFS($A$14:$A$1213,$A607,$Q$14:$Q$1213,"="&amp;$Q607)+1)/2,"")</f>
        <v/>
      </c>
      <c r="AE607" s="27">
        <f>IF(ISNUMBER($R607),COUNTIFS($A$14:$A$1213,$A607,$R$14:$R$1213,"&gt;"&amp;$R607)+(COUNTIFS($A$14:$A$1213,$A607,$R$14:$R$1213,"="&amp;$R607)+1)/2,"")</f>
        <v/>
      </c>
      <c r="AF607" s="27">
        <f>IF(ISNUMBER($S607),COUNTIFS($A$14:$A$1213,$A607,$S$14:$S$1213,"&gt;"&amp;$S607)+(COUNTIFS($A$14:$A$1213,$A607,$S$14:$S$1213,"="&amp;$S607)+1)/2,"")</f>
        <v/>
      </c>
      <c r="AG607" s="27">
        <f>IF(ISNUMBER($T607),COUNTIFS($A$14:$A$1213,$A607,$T$14:$T$1213,"&gt;"&amp;$T607)+(COUNTIFS($A$14:$A$1213,$A607,$T$14:$T$1213,"="&amp;$T607)+1)/2,"")</f>
        <v/>
      </c>
      <c r="AH607" s="27">
        <f>IF(COUNT($AC607:$AG607)&lt;2,"",IF(MAX($AC607:$AG607)=MIN($AC607:$AG607),0,1))</f>
        <v/>
      </c>
      <c r="AI607" s="27">
        <f>IF($A607="","",IF(COUNTIF($A$14:$A607,$A607)=1,COUNTIF($AI$13:AI606,"&gt;0")+1,""))</f>
        <v/>
      </c>
      <c r="AO607" s="27">
        <f>IF($A607="","",IF(AND(COUNTIFS($A$14:$A$1213,$A607,$F$14:$F$1213,"&gt;=0")=2,IFERROR(INDEX($M$14:$M$313,MATCH($A607,$H$14:$H$313,0)),"Yes")&lt;&gt;"Yes"),1,0))</f>
        <v/>
      </c>
    </row>
    <row r="608">
      <c r="A608" s="19" t="n"/>
      <c r="B608" s="20" t="n"/>
      <c r="C608" s="21">
        <f>IFERROR(AVERAGE(P608:T608),"")</f>
        <v/>
      </c>
      <c r="D608" s="29" t="n"/>
      <c r="E608" s="29" t="n"/>
      <c r="F608" s="30">
        <f>IF(AND(ISNUMBER($D608),ISNUMBER($E608),$E608&gt;0,$D608&lt;=$E608),$D608/$E608,"")</f>
        <v/>
      </c>
      <c r="P608" s="26" t="n"/>
      <c r="Q608" s="26" t="n"/>
      <c r="R608" s="26" t="n"/>
      <c r="S608" s="26" t="n"/>
      <c r="T608" s="26" t="n"/>
      <c r="V608" s="27">
        <f>IF(ISNUMBER($C608),COUNTIFS($A$14:$A$1213,$A608,$C$14:$C$1213,"&gt;"&amp;$C608)+(COUNTIFS($A$14:$A$1213,$A608,$C$14:$C$1213,"="&amp;$C608)+1)/2,"")</f>
        <v/>
      </c>
      <c r="W608" s="27">
        <f>IF(ISNUMBER($F608),COUNTIFS($A$14:$A$1213,$A608,$F$14:$F$1213,"&gt;"&amp;$F608)+(COUNTIFS($A$14:$A$1213,$A608,$F$14:$F$1213,"="&amp;$F608)+1)/2,"")</f>
        <v/>
      </c>
      <c r="X608" s="27">
        <f>IF(OR(NOT(ISNUMBER($V608)),$AO608=1),"",$V608-(COUNTIFS($A$14:$A$1213,$A608,$C$14:$C$1213,"&gt;=0")+1)/2)</f>
        <v/>
      </c>
      <c r="Y608" s="27">
        <f>IF(OR(NOT(ISNUMBER($W608)),$AO608=1),"",$W608-(COUNTIFS($A$14:$A$1213,$A608,$F$14:$F$1213,"&gt;=0")+1)/2)</f>
        <v/>
      </c>
      <c r="Z608" s="27">
        <f>IF(ISNUMBER($V608),$A608&amp;"|"&amp;$V608,"")</f>
        <v/>
      </c>
      <c r="AA608" s="27">
        <f>IF(ISNUMBER($W608),$A608&amp;"|"&amp;$W608,"")</f>
        <v/>
      </c>
      <c r="AB608" s="27">
        <f>IF(ISNUMBER($F608),$A608&amp;"|"&amp;$F608,"")</f>
        <v/>
      </c>
      <c r="AC608" s="27">
        <f>IF(ISNUMBER($P608),COUNTIFS($A$14:$A$1213,$A608,$P$14:$P$1213,"&gt;"&amp;$P608)+(COUNTIFS($A$14:$A$1213,$A608,$P$14:$P$1213,"="&amp;$P608)+1)/2,"")</f>
        <v/>
      </c>
      <c r="AD608" s="27">
        <f>IF(ISNUMBER($Q608),COUNTIFS($A$14:$A$1213,$A608,$Q$14:$Q$1213,"&gt;"&amp;$Q608)+(COUNTIFS($A$14:$A$1213,$A608,$Q$14:$Q$1213,"="&amp;$Q608)+1)/2,"")</f>
        <v/>
      </c>
      <c r="AE608" s="27">
        <f>IF(ISNUMBER($R608),COUNTIFS($A$14:$A$1213,$A608,$R$14:$R$1213,"&gt;"&amp;$R608)+(COUNTIFS($A$14:$A$1213,$A608,$R$14:$R$1213,"="&amp;$R608)+1)/2,"")</f>
        <v/>
      </c>
      <c r="AF608" s="27">
        <f>IF(ISNUMBER($S608),COUNTIFS($A$14:$A$1213,$A608,$S$14:$S$1213,"&gt;"&amp;$S608)+(COUNTIFS($A$14:$A$1213,$A608,$S$14:$S$1213,"="&amp;$S608)+1)/2,"")</f>
        <v/>
      </c>
      <c r="AG608" s="27">
        <f>IF(ISNUMBER($T608),COUNTIFS($A$14:$A$1213,$A608,$T$14:$T$1213,"&gt;"&amp;$T608)+(COUNTIFS($A$14:$A$1213,$A608,$T$14:$T$1213,"="&amp;$T608)+1)/2,"")</f>
        <v/>
      </c>
      <c r="AH608" s="27">
        <f>IF(COUNT($AC608:$AG608)&lt;2,"",IF(MAX($AC608:$AG608)=MIN($AC608:$AG608),0,1))</f>
        <v/>
      </c>
      <c r="AI608" s="27">
        <f>IF($A608="","",IF(COUNTIF($A$14:$A608,$A608)=1,COUNTIF($AI$13:AI607,"&gt;0")+1,""))</f>
        <v/>
      </c>
      <c r="AO608" s="27">
        <f>IF($A608="","",IF(AND(COUNTIFS($A$14:$A$1213,$A608,$F$14:$F$1213,"&gt;=0")=2,IFERROR(INDEX($M$14:$M$313,MATCH($A608,$H$14:$H$313,0)),"Yes")&lt;&gt;"Yes"),1,0))</f>
        <v/>
      </c>
    </row>
    <row r="609">
      <c r="A609" s="19" t="n"/>
      <c r="B609" s="20" t="n"/>
      <c r="C609" s="21">
        <f>IFERROR(AVERAGE(P609:T609),"")</f>
        <v/>
      </c>
      <c r="D609" s="29" t="n"/>
      <c r="E609" s="29" t="n"/>
      <c r="F609" s="30">
        <f>IF(AND(ISNUMBER($D609),ISNUMBER($E609),$E609&gt;0,$D609&lt;=$E609),$D609/$E609,"")</f>
        <v/>
      </c>
      <c r="P609" s="26" t="n"/>
      <c r="Q609" s="26" t="n"/>
      <c r="R609" s="26" t="n"/>
      <c r="S609" s="26" t="n"/>
      <c r="T609" s="26" t="n"/>
      <c r="V609" s="27">
        <f>IF(ISNUMBER($C609),COUNTIFS($A$14:$A$1213,$A609,$C$14:$C$1213,"&gt;"&amp;$C609)+(COUNTIFS($A$14:$A$1213,$A609,$C$14:$C$1213,"="&amp;$C609)+1)/2,"")</f>
        <v/>
      </c>
      <c r="W609" s="27">
        <f>IF(ISNUMBER($F609),COUNTIFS($A$14:$A$1213,$A609,$F$14:$F$1213,"&gt;"&amp;$F609)+(COUNTIFS($A$14:$A$1213,$A609,$F$14:$F$1213,"="&amp;$F609)+1)/2,"")</f>
        <v/>
      </c>
      <c r="X609" s="27">
        <f>IF(OR(NOT(ISNUMBER($V609)),$AO609=1),"",$V609-(COUNTIFS($A$14:$A$1213,$A609,$C$14:$C$1213,"&gt;=0")+1)/2)</f>
        <v/>
      </c>
      <c r="Y609" s="27">
        <f>IF(OR(NOT(ISNUMBER($W609)),$AO609=1),"",$W609-(COUNTIFS($A$14:$A$1213,$A609,$F$14:$F$1213,"&gt;=0")+1)/2)</f>
        <v/>
      </c>
      <c r="Z609" s="27">
        <f>IF(ISNUMBER($V609),$A609&amp;"|"&amp;$V609,"")</f>
        <v/>
      </c>
      <c r="AA609" s="27">
        <f>IF(ISNUMBER($W609),$A609&amp;"|"&amp;$W609,"")</f>
        <v/>
      </c>
      <c r="AB609" s="27">
        <f>IF(ISNUMBER($F609),$A609&amp;"|"&amp;$F609,"")</f>
        <v/>
      </c>
      <c r="AC609" s="27">
        <f>IF(ISNUMBER($P609),COUNTIFS($A$14:$A$1213,$A609,$P$14:$P$1213,"&gt;"&amp;$P609)+(COUNTIFS($A$14:$A$1213,$A609,$P$14:$P$1213,"="&amp;$P609)+1)/2,"")</f>
        <v/>
      </c>
      <c r="AD609" s="27">
        <f>IF(ISNUMBER($Q609),COUNTIFS($A$14:$A$1213,$A609,$Q$14:$Q$1213,"&gt;"&amp;$Q609)+(COUNTIFS($A$14:$A$1213,$A609,$Q$14:$Q$1213,"="&amp;$Q609)+1)/2,"")</f>
        <v/>
      </c>
      <c r="AE609" s="27">
        <f>IF(ISNUMBER($R609),COUNTIFS($A$14:$A$1213,$A609,$R$14:$R$1213,"&gt;"&amp;$R609)+(COUNTIFS($A$14:$A$1213,$A609,$R$14:$R$1213,"="&amp;$R609)+1)/2,"")</f>
        <v/>
      </c>
      <c r="AF609" s="27">
        <f>IF(ISNUMBER($S609),COUNTIFS($A$14:$A$1213,$A609,$S$14:$S$1213,"&gt;"&amp;$S609)+(COUNTIFS($A$14:$A$1213,$A609,$S$14:$S$1213,"="&amp;$S609)+1)/2,"")</f>
        <v/>
      </c>
      <c r="AG609" s="27">
        <f>IF(ISNUMBER($T609),COUNTIFS($A$14:$A$1213,$A609,$T$14:$T$1213,"&gt;"&amp;$T609)+(COUNTIFS($A$14:$A$1213,$A609,$T$14:$T$1213,"="&amp;$T609)+1)/2,"")</f>
        <v/>
      </c>
      <c r="AH609" s="27">
        <f>IF(COUNT($AC609:$AG609)&lt;2,"",IF(MAX($AC609:$AG609)=MIN($AC609:$AG609),0,1))</f>
        <v/>
      </c>
      <c r="AI609" s="27">
        <f>IF($A609="","",IF(COUNTIF($A$14:$A609,$A609)=1,COUNTIF($AI$13:AI608,"&gt;0")+1,""))</f>
        <v/>
      </c>
      <c r="AO609" s="27">
        <f>IF($A609="","",IF(AND(COUNTIFS($A$14:$A$1213,$A609,$F$14:$F$1213,"&gt;=0")=2,IFERROR(INDEX($M$14:$M$313,MATCH($A609,$H$14:$H$313,0)),"Yes")&lt;&gt;"Yes"),1,0))</f>
        <v/>
      </c>
    </row>
    <row r="610">
      <c r="A610" s="19" t="n"/>
      <c r="B610" s="20" t="n"/>
      <c r="C610" s="21">
        <f>IFERROR(AVERAGE(P610:T610),"")</f>
        <v/>
      </c>
      <c r="D610" s="29" t="n"/>
      <c r="E610" s="29" t="n"/>
      <c r="F610" s="30">
        <f>IF(AND(ISNUMBER($D610),ISNUMBER($E610),$E610&gt;0,$D610&lt;=$E610),$D610/$E610,"")</f>
        <v/>
      </c>
      <c r="P610" s="26" t="n"/>
      <c r="Q610" s="26" t="n"/>
      <c r="R610" s="26" t="n"/>
      <c r="S610" s="26" t="n"/>
      <c r="T610" s="26" t="n"/>
      <c r="V610" s="27">
        <f>IF(ISNUMBER($C610),COUNTIFS($A$14:$A$1213,$A610,$C$14:$C$1213,"&gt;"&amp;$C610)+(COUNTIFS($A$14:$A$1213,$A610,$C$14:$C$1213,"="&amp;$C610)+1)/2,"")</f>
        <v/>
      </c>
      <c r="W610" s="27">
        <f>IF(ISNUMBER($F610),COUNTIFS($A$14:$A$1213,$A610,$F$14:$F$1213,"&gt;"&amp;$F610)+(COUNTIFS($A$14:$A$1213,$A610,$F$14:$F$1213,"="&amp;$F610)+1)/2,"")</f>
        <v/>
      </c>
      <c r="X610" s="27">
        <f>IF(OR(NOT(ISNUMBER($V610)),$AO610=1),"",$V610-(COUNTIFS($A$14:$A$1213,$A610,$C$14:$C$1213,"&gt;=0")+1)/2)</f>
        <v/>
      </c>
      <c r="Y610" s="27">
        <f>IF(OR(NOT(ISNUMBER($W610)),$AO610=1),"",$W610-(COUNTIFS($A$14:$A$1213,$A610,$F$14:$F$1213,"&gt;=0")+1)/2)</f>
        <v/>
      </c>
      <c r="Z610" s="27">
        <f>IF(ISNUMBER($V610),$A610&amp;"|"&amp;$V610,"")</f>
        <v/>
      </c>
      <c r="AA610" s="27">
        <f>IF(ISNUMBER($W610),$A610&amp;"|"&amp;$W610,"")</f>
        <v/>
      </c>
      <c r="AB610" s="27">
        <f>IF(ISNUMBER($F610),$A610&amp;"|"&amp;$F610,"")</f>
        <v/>
      </c>
      <c r="AC610" s="27">
        <f>IF(ISNUMBER($P610),COUNTIFS($A$14:$A$1213,$A610,$P$14:$P$1213,"&gt;"&amp;$P610)+(COUNTIFS($A$14:$A$1213,$A610,$P$14:$P$1213,"="&amp;$P610)+1)/2,"")</f>
        <v/>
      </c>
      <c r="AD610" s="27">
        <f>IF(ISNUMBER($Q610),COUNTIFS($A$14:$A$1213,$A610,$Q$14:$Q$1213,"&gt;"&amp;$Q610)+(COUNTIFS($A$14:$A$1213,$A610,$Q$14:$Q$1213,"="&amp;$Q610)+1)/2,"")</f>
        <v/>
      </c>
      <c r="AE610" s="27">
        <f>IF(ISNUMBER($R610),COUNTIFS($A$14:$A$1213,$A610,$R$14:$R$1213,"&gt;"&amp;$R610)+(COUNTIFS($A$14:$A$1213,$A610,$R$14:$R$1213,"="&amp;$R610)+1)/2,"")</f>
        <v/>
      </c>
      <c r="AF610" s="27">
        <f>IF(ISNUMBER($S610),COUNTIFS($A$14:$A$1213,$A610,$S$14:$S$1213,"&gt;"&amp;$S610)+(COUNTIFS($A$14:$A$1213,$A610,$S$14:$S$1213,"="&amp;$S610)+1)/2,"")</f>
        <v/>
      </c>
      <c r="AG610" s="27">
        <f>IF(ISNUMBER($T610),COUNTIFS($A$14:$A$1213,$A610,$T$14:$T$1213,"&gt;"&amp;$T610)+(COUNTIFS($A$14:$A$1213,$A610,$T$14:$T$1213,"="&amp;$T610)+1)/2,"")</f>
        <v/>
      </c>
      <c r="AH610" s="27">
        <f>IF(COUNT($AC610:$AG610)&lt;2,"",IF(MAX($AC610:$AG610)=MIN($AC610:$AG610),0,1))</f>
        <v/>
      </c>
      <c r="AI610" s="27">
        <f>IF($A610="","",IF(COUNTIF($A$14:$A610,$A610)=1,COUNTIF($AI$13:AI609,"&gt;0")+1,""))</f>
        <v/>
      </c>
      <c r="AO610" s="27">
        <f>IF($A610="","",IF(AND(COUNTIFS($A$14:$A$1213,$A610,$F$14:$F$1213,"&gt;=0")=2,IFERROR(INDEX($M$14:$M$313,MATCH($A610,$H$14:$H$313,0)),"Yes")&lt;&gt;"Yes"),1,0))</f>
        <v/>
      </c>
    </row>
    <row r="611">
      <c r="A611" s="19" t="n"/>
      <c r="B611" s="20" t="n"/>
      <c r="C611" s="21">
        <f>IFERROR(AVERAGE(P611:T611),"")</f>
        <v/>
      </c>
      <c r="D611" s="29" t="n"/>
      <c r="E611" s="29" t="n"/>
      <c r="F611" s="30">
        <f>IF(AND(ISNUMBER($D611),ISNUMBER($E611),$E611&gt;0,$D611&lt;=$E611),$D611/$E611,"")</f>
        <v/>
      </c>
      <c r="P611" s="26" t="n"/>
      <c r="Q611" s="26" t="n"/>
      <c r="R611" s="26" t="n"/>
      <c r="S611" s="26" t="n"/>
      <c r="T611" s="26" t="n"/>
      <c r="V611" s="27">
        <f>IF(ISNUMBER($C611),COUNTIFS($A$14:$A$1213,$A611,$C$14:$C$1213,"&gt;"&amp;$C611)+(COUNTIFS($A$14:$A$1213,$A611,$C$14:$C$1213,"="&amp;$C611)+1)/2,"")</f>
        <v/>
      </c>
      <c r="W611" s="27">
        <f>IF(ISNUMBER($F611),COUNTIFS($A$14:$A$1213,$A611,$F$14:$F$1213,"&gt;"&amp;$F611)+(COUNTIFS($A$14:$A$1213,$A611,$F$14:$F$1213,"="&amp;$F611)+1)/2,"")</f>
        <v/>
      </c>
      <c r="X611" s="27">
        <f>IF(OR(NOT(ISNUMBER($V611)),$AO611=1),"",$V611-(COUNTIFS($A$14:$A$1213,$A611,$C$14:$C$1213,"&gt;=0")+1)/2)</f>
        <v/>
      </c>
      <c r="Y611" s="27">
        <f>IF(OR(NOT(ISNUMBER($W611)),$AO611=1),"",$W611-(COUNTIFS($A$14:$A$1213,$A611,$F$14:$F$1213,"&gt;=0")+1)/2)</f>
        <v/>
      </c>
      <c r="Z611" s="27">
        <f>IF(ISNUMBER($V611),$A611&amp;"|"&amp;$V611,"")</f>
        <v/>
      </c>
      <c r="AA611" s="27">
        <f>IF(ISNUMBER($W611),$A611&amp;"|"&amp;$W611,"")</f>
        <v/>
      </c>
      <c r="AB611" s="27">
        <f>IF(ISNUMBER($F611),$A611&amp;"|"&amp;$F611,"")</f>
        <v/>
      </c>
      <c r="AC611" s="27">
        <f>IF(ISNUMBER($P611),COUNTIFS($A$14:$A$1213,$A611,$P$14:$P$1213,"&gt;"&amp;$P611)+(COUNTIFS($A$14:$A$1213,$A611,$P$14:$P$1213,"="&amp;$P611)+1)/2,"")</f>
        <v/>
      </c>
      <c r="AD611" s="27">
        <f>IF(ISNUMBER($Q611),COUNTIFS($A$14:$A$1213,$A611,$Q$14:$Q$1213,"&gt;"&amp;$Q611)+(COUNTIFS($A$14:$A$1213,$A611,$Q$14:$Q$1213,"="&amp;$Q611)+1)/2,"")</f>
        <v/>
      </c>
      <c r="AE611" s="27">
        <f>IF(ISNUMBER($R611),COUNTIFS($A$14:$A$1213,$A611,$R$14:$R$1213,"&gt;"&amp;$R611)+(COUNTIFS($A$14:$A$1213,$A611,$R$14:$R$1213,"="&amp;$R611)+1)/2,"")</f>
        <v/>
      </c>
      <c r="AF611" s="27">
        <f>IF(ISNUMBER($S611),COUNTIFS($A$14:$A$1213,$A611,$S$14:$S$1213,"&gt;"&amp;$S611)+(COUNTIFS($A$14:$A$1213,$A611,$S$14:$S$1213,"="&amp;$S611)+1)/2,"")</f>
        <v/>
      </c>
      <c r="AG611" s="27">
        <f>IF(ISNUMBER($T611),COUNTIFS($A$14:$A$1213,$A611,$T$14:$T$1213,"&gt;"&amp;$T611)+(COUNTIFS($A$14:$A$1213,$A611,$T$14:$T$1213,"="&amp;$T611)+1)/2,"")</f>
        <v/>
      </c>
      <c r="AH611" s="27">
        <f>IF(COUNT($AC611:$AG611)&lt;2,"",IF(MAX($AC611:$AG611)=MIN($AC611:$AG611),0,1))</f>
        <v/>
      </c>
      <c r="AI611" s="27">
        <f>IF($A611="","",IF(COUNTIF($A$14:$A611,$A611)=1,COUNTIF($AI$13:AI610,"&gt;0")+1,""))</f>
        <v/>
      </c>
      <c r="AO611" s="27">
        <f>IF($A611="","",IF(AND(COUNTIFS($A$14:$A$1213,$A611,$F$14:$F$1213,"&gt;=0")=2,IFERROR(INDEX($M$14:$M$313,MATCH($A611,$H$14:$H$313,0)),"Yes")&lt;&gt;"Yes"),1,0))</f>
        <v/>
      </c>
    </row>
    <row r="612">
      <c r="A612" s="19" t="n"/>
      <c r="B612" s="20" t="n"/>
      <c r="C612" s="21">
        <f>IFERROR(AVERAGE(P612:T612),"")</f>
        <v/>
      </c>
      <c r="D612" s="29" t="n"/>
      <c r="E612" s="29" t="n"/>
      <c r="F612" s="30">
        <f>IF(AND(ISNUMBER($D612),ISNUMBER($E612),$E612&gt;0,$D612&lt;=$E612),$D612/$E612,"")</f>
        <v/>
      </c>
      <c r="P612" s="26" t="n"/>
      <c r="Q612" s="26" t="n"/>
      <c r="R612" s="26" t="n"/>
      <c r="S612" s="26" t="n"/>
      <c r="T612" s="26" t="n"/>
      <c r="V612" s="27">
        <f>IF(ISNUMBER($C612),COUNTIFS($A$14:$A$1213,$A612,$C$14:$C$1213,"&gt;"&amp;$C612)+(COUNTIFS($A$14:$A$1213,$A612,$C$14:$C$1213,"="&amp;$C612)+1)/2,"")</f>
        <v/>
      </c>
      <c r="W612" s="27">
        <f>IF(ISNUMBER($F612),COUNTIFS($A$14:$A$1213,$A612,$F$14:$F$1213,"&gt;"&amp;$F612)+(COUNTIFS($A$14:$A$1213,$A612,$F$14:$F$1213,"="&amp;$F612)+1)/2,"")</f>
        <v/>
      </c>
      <c r="X612" s="27">
        <f>IF(OR(NOT(ISNUMBER($V612)),$AO612=1),"",$V612-(COUNTIFS($A$14:$A$1213,$A612,$C$14:$C$1213,"&gt;=0")+1)/2)</f>
        <v/>
      </c>
      <c r="Y612" s="27">
        <f>IF(OR(NOT(ISNUMBER($W612)),$AO612=1),"",$W612-(COUNTIFS($A$14:$A$1213,$A612,$F$14:$F$1213,"&gt;=0")+1)/2)</f>
        <v/>
      </c>
      <c r="Z612" s="27">
        <f>IF(ISNUMBER($V612),$A612&amp;"|"&amp;$V612,"")</f>
        <v/>
      </c>
      <c r="AA612" s="27">
        <f>IF(ISNUMBER($W612),$A612&amp;"|"&amp;$W612,"")</f>
        <v/>
      </c>
      <c r="AB612" s="27">
        <f>IF(ISNUMBER($F612),$A612&amp;"|"&amp;$F612,"")</f>
        <v/>
      </c>
      <c r="AC612" s="27">
        <f>IF(ISNUMBER($P612),COUNTIFS($A$14:$A$1213,$A612,$P$14:$P$1213,"&gt;"&amp;$P612)+(COUNTIFS($A$14:$A$1213,$A612,$P$14:$P$1213,"="&amp;$P612)+1)/2,"")</f>
        <v/>
      </c>
      <c r="AD612" s="27">
        <f>IF(ISNUMBER($Q612),COUNTIFS($A$14:$A$1213,$A612,$Q$14:$Q$1213,"&gt;"&amp;$Q612)+(COUNTIFS($A$14:$A$1213,$A612,$Q$14:$Q$1213,"="&amp;$Q612)+1)/2,"")</f>
        <v/>
      </c>
      <c r="AE612" s="27">
        <f>IF(ISNUMBER($R612),COUNTIFS($A$14:$A$1213,$A612,$R$14:$R$1213,"&gt;"&amp;$R612)+(COUNTIFS($A$14:$A$1213,$A612,$R$14:$R$1213,"="&amp;$R612)+1)/2,"")</f>
        <v/>
      </c>
      <c r="AF612" s="27">
        <f>IF(ISNUMBER($S612),COUNTIFS($A$14:$A$1213,$A612,$S$14:$S$1213,"&gt;"&amp;$S612)+(COUNTIFS($A$14:$A$1213,$A612,$S$14:$S$1213,"="&amp;$S612)+1)/2,"")</f>
        <v/>
      </c>
      <c r="AG612" s="27">
        <f>IF(ISNUMBER($T612),COUNTIFS($A$14:$A$1213,$A612,$T$14:$T$1213,"&gt;"&amp;$T612)+(COUNTIFS($A$14:$A$1213,$A612,$T$14:$T$1213,"="&amp;$T612)+1)/2,"")</f>
        <v/>
      </c>
      <c r="AH612" s="27">
        <f>IF(COUNT($AC612:$AG612)&lt;2,"",IF(MAX($AC612:$AG612)=MIN($AC612:$AG612),0,1))</f>
        <v/>
      </c>
      <c r="AI612" s="27">
        <f>IF($A612="","",IF(COUNTIF($A$14:$A612,$A612)=1,COUNTIF($AI$13:AI611,"&gt;0")+1,""))</f>
        <v/>
      </c>
      <c r="AO612" s="27">
        <f>IF($A612="","",IF(AND(COUNTIFS($A$14:$A$1213,$A612,$F$14:$F$1213,"&gt;=0")=2,IFERROR(INDEX($M$14:$M$313,MATCH($A612,$H$14:$H$313,0)),"Yes")&lt;&gt;"Yes"),1,0))</f>
        <v/>
      </c>
    </row>
    <row r="613">
      <c r="A613" s="19" t="n"/>
      <c r="B613" s="20" t="n"/>
      <c r="C613" s="21">
        <f>IFERROR(AVERAGE(P613:T613),"")</f>
        <v/>
      </c>
      <c r="D613" s="29" t="n"/>
      <c r="E613" s="29" t="n"/>
      <c r="F613" s="30">
        <f>IF(AND(ISNUMBER($D613),ISNUMBER($E613),$E613&gt;0,$D613&lt;=$E613),$D613/$E613,"")</f>
        <v/>
      </c>
      <c r="P613" s="26" t="n"/>
      <c r="Q613" s="26" t="n"/>
      <c r="R613" s="26" t="n"/>
      <c r="S613" s="26" t="n"/>
      <c r="T613" s="26" t="n"/>
      <c r="V613" s="27">
        <f>IF(ISNUMBER($C613),COUNTIFS($A$14:$A$1213,$A613,$C$14:$C$1213,"&gt;"&amp;$C613)+(COUNTIFS($A$14:$A$1213,$A613,$C$14:$C$1213,"="&amp;$C613)+1)/2,"")</f>
        <v/>
      </c>
      <c r="W613" s="27">
        <f>IF(ISNUMBER($F613),COUNTIFS($A$14:$A$1213,$A613,$F$14:$F$1213,"&gt;"&amp;$F613)+(COUNTIFS($A$14:$A$1213,$A613,$F$14:$F$1213,"="&amp;$F613)+1)/2,"")</f>
        <v/>
      </c>
      <c r="X613" s="27">
        <f>IF(OR(NOT(ISNUMBER($V613)),$AO613=1),"",$V613-(COUNTIFS($A$14:$A$1213,$A613,$C$14:$C$1213,"&gt;=0")+1)/2)</f>
        <v/>
      </c>
      <c r="Y613" s="27">
        <f>IF(OR(NOT(ISNUMBER($W613)),$AO613=1),"",$W613-(COUNTIFS($A$14:$A$1213,$A613,$F$14:$F$1213,"&gt;=0")+1)/2)</f>
        <v/>
      </c>
      <c r="Z613" s="27">
        <f>IF(ISNUMBER($V613),$A613&amp;"|"&amp;$V613,"")</f>
        <v/>
      </c>
      <c r="AA613" s="27">
        <f>IF(ISNUMBER($W613),$A613&amp;"|"&amp;$W613,"")</f>
        <v/>
      </c>
      <c r="AB613" s="27">
        <f>IF(ISNUMBER($F613),$A613&amp;"|"&amp;$F613,"")</f>
        <v/>
      </c>
      <c r="AC613" s="27">
        <f>IF(ISNUMBER($P613),COUNTIFS($A$14:$A$1213,$A613,$P$14:$P$1213,"&gt;"&amp;$P613)+(COUNTIFS($A$14:$A$1213,$A613,$P$14:$P$1213,"="&amp;$P613)+1)/2,"")</f>
        <v/>
      </c>
      <c r="AD613" s="27">
        <f>IF(ISNUMBER($Q613),COUNTIFS($A$14:$A$1213,$A613,$Q$14:$Q$1213,"&gt;"&amp;$Q613)+(COUNTIFS($A$14:$A$1213,$A613,$Q$14:$Q$1213,"="&amp;$Q613)+1)/2,"")</f>
        <v/>
      </c>
      <c r="AE613" s="27">
        <f>IF(ISNUMBER($R613),COUNTIFS($A$14:$A$1213,$A613,$R$14:$R$1213,"&gt;"&amp;$R613)+(COUNTIFS($A$14:$A$1213,$A613,$R$14:$R$1213,"="&amp;$R613)+1)/2,"")</f>
        <v/>
      </c>
      <c r="AF613" s="27">
        <f>IF(ISNUMBER($S613),COUNTIFS($A$14:$A$1213,$A613,$S$14:$S$1213,"&gt;"&amp;$S613)+(COUNTIFS($A$14:$A$1213,$A613,$S$14:$S$1213,"="&amp;$S613)+1)/2,"")</f>
        <v/>
      </c>
      <c r="AG613" s="27">
        <f>IF(ISNUMBER($T613),COUNTIFS($A$14:$A$1213,$A613,$T$14:$T$1213,"&gt;"&amp;$T613)+(COUNTIFS($A$14:$A$1213,$A613,$T$14:$T$1213,"="&amp;$T613)+1)/2,"")</f>
        <v/>
      </c>
      <c r="AH613" s="27">
        <f>IF(COUNT($AC613:$AG613)&lt;2,"",IF(MAX($AC613:$AG613)=MIN($AC613:$AG613),0,1))</f>
        <v/>
      </c>
      <c r="AI613" s="27">
        <f>IF($A613="","",IF(COUNTIF($A$14:$A613,$A613)=1,COUNTIF($AI$13:AI612,"&gt;0")+1,""))</f>
        <v/>
      </c>
      <c r="AO613" s="27">
        <f>IF($A613="","",IF(AND(COUNTIFS($A$14:$A$1213,$A613,$F$14:$F$1213,"&gt;=0")=2,IFERROR(INDEX($M$14:$M$313,MATCH($A613,$H$14:$H$313,0)),"Yes")&lt;&gt;"Yes"),1,0))</f>
        <v/>
      </c>
    </row>
    <row r="614">
      <c r="A614" s="19" t="n"/>
      <c r="B614" s="20" t="n"/>
      <c r="C614" s="21">
        <f>IFERROR(AVERAGE(P614:T614),"")</f>
        <v/>
      </c>
      <c r="D614" s="29" t="n"/>
      <c r="E614" s="29" t="n"/>
      <c r="F614" s="30">
        <f>IF(AND(ISNUMBER($D614),ISNUMBER($E614),$E614&gt;0,$D614&lt;=$E614),$D614/$E614,"")</f>
        <v/>
      </c>
      <c r="P614" s="26" t="n"/>
      <c r="Q614" s="26" t="n"/>
      <c r="R614" s="26" t="n"/>
      <c r="S614" s="26" t="n"/>
      <c r="T614" s="26" t="n"/>
      <c r="V614" s="27">
        <f>IF(ISNUMBER($C614),COUNTIFS($A$14:$A$1213,$A614,$C$14:$C$1213,"&gt;"&amp;$C614)+(COUNTIFS($A$14:$A$1213,$A614,$C$14:$C$1213,"="&amp;$C614)+1)/2,"")</f>
        <v/>
      </c>
      <c r="W614" s="27">
        <f>IF(ISNUMBER($F614),COUNTIFS($A$14:$A$1213,$A614,$F$14:$F$1213,"&gt;"&amp;$F614)+(COUNTIFS($A$14:$A$1213,$A614,$F$14:$F$1213,"="&amp;$F614)+1)/2,"")</f>
        <v/>
      </c>
      <c r="X614" s="27">
        <f>IF(OR(NOT(ISNUMBER($V614)),$AO614=1),"",$V614-(COUNTIFS($A$14:$A$1213,$A614,$C$14:$C$1213,"&gt;=0")+1)/2)</f>
        <v/>
      </c>
      <c r="Y614" s="27">
        <f>IF(OR(NOT(ISNUMBER($W614)),$AO614=1),"",$W614-(COUNTIFS($A$14:$A$1213,$A614,$F$14:$F$1213,"&gt;=0")+1)/2)</f>
        <v/>
      </c>
      <c r="Z614" s="27">
        <f>IF(ISNUMBER($V614),$A614&amp;"|"&amp;$V614,"")</f>
        <v/>
      </c>
      <c r="AA614" s="27">
        <f>IF(ISNUMBER($W614),$A614&amp;"|"&amp;$W614,"")</f>
        <v/>
      </c>
      <c r="AB614" s="27">
        <f>IF(ISNUMBER($F614),$A614&amp;"|"&amp;$F614,"")</f>
        <v/>
      </c>
      <c r="AC614" s="27">
        <f>IF(ISNUMBER($P614),COUNTIFS($A$14:$A$1213,$A614,$P$14:$P$1213,"&gt;"&amp;$P614)+(COUNTIFS($A$14:$A$1213,$A614,$P$14:$P$1213,"="&amp;$P614)+1)/2,"")</f>
        <v/>
      </c>
      <c r="AD614" s="27">
        <f>IF(ISNUMBER($Q614),COUNTIFS($A$14:$A$1213,$A614,$Q$14:$Q$1213,"&gt;"&amp;$Q614)+(COUNTIFS($A$14:$A$1213,$A614,$Q$14:$Q$1213,"="&amp;$Q614)+1)/2,"")</f>
        <v/>
      </c>
      <c r="AE614" s="27">
        <f>IF(ISNUMBER($R614),COUNTIFS($A$14:$A$1213,$A614,$R$14:$R$1213,"&gt;"&amp;$R614)+(COUNTIFS($A$14:$A$1213,$A614,$R$14:$R$1213,"="&amp;$R614)+1)/2,"")</f>
        <v/>
      </c>
      <c r="AF614" s="27">
        <f>IF(ISNUMBER($S614),COUNTIFS($A$14:$A$1213,$A614,$S$14:$S$1213,"&gt;"&amp;$S614)+(COUNTIFS($A$14:$A$1213,$A614,$S$14:$S$1213,"="&amp;$S614)+1)/2,"")</f>
        <v/>
      </c>
      <c r="AG614" s="27">
        <f>IF(ISNUMBER($T614),COUNTIFS($A$14:$A$1213,$A614,$T$14:$T$1213,"&gt;"&amp;$T614)+(COUNTIFS($A$14:$A$1213,$A614,$T$14:$T$1213,"="&amp;$T614)+1)/2,"")</f>
        <v/>
      </c>
      <c r="AH614" s="27">
        <f>IF(COUNT($AC614:$AG614)&lt;2,"",IF(MAX($AC614:$AG614)=MIN($AC614:$AG614),0,1))</f>
        <v/>
      </c>
      <c r="AI614" s="27">
        <f>IF($A614="","",IF(COUNTIF($A$14:$A614,$A614)=1,COUNTIF($AI$13:AI613,"&gt;0")+1,""))</f>
        <v/>
      </c>
      <c r="AO614" s="27">
        <f>IF($A614="","",IF(AND(COUNTIFS($A$14:$A$1213,$A614,$F$14:$F$1213,"&gt;=0")=2,IFERROR(INDEX($M$14:$M$313,MATCH($A614,$H$14:$H$313,0)),"Yes")&lt;&gt;"Yes"),1,0))</f>
        <v/>
      </c>
    </row>
    <row r="615">
      <c r="A615" s="19" t="n"/>
      <c r="B615" s="20" t="n"/>
      <c r="C615" s="21">
        <f>IFERROR(AVERAGE(P615:T615),"")</f>
        <v/>
      </c>
      <c r="D615" s="29" t="n"/>
      <c r="E615" s="29" t="n"/>
      <c r="F615" s="30">
        <f>IF(AND(ISNUMBER($D615),ISNUMBER($E615),$E615&gt;0,$D615&lt;=$E615),$D615/$E615,"")</f>
        <v/>
      </c>
      <c r="P615" s="26" t="n"/>
      <c r="Q615" s="26" t="n"/>
      <c r="R615" s="26" t="n"/>
      <c r="S615" s="26" t="n"/>
      <c r="T615" s="26" t="n"/>
      <c r="V615" s="27">
        <f>IF(ISNUMBER($C615),COUNTIFS($A$14:$A$1213,$A615,$C$14:$C$1213,"&gt;"&amp;$C615)+(COUNTIFS($A$14:$A$1213,$A615,$C$14:$C$1213,"="&amp;$C615)+1)/2,"")</f>
        <v/>
      </c>
      <c r="W615" s="27">
        <f>IF(ISNUMBER($F615),COUNTIFS($A$14:$A$1213,$A615,$F$14:$F$1213,"&gt;"&amp;$F615)+(COUNTIFS($A$14:$A$1213,$A615,$F$14:$F$1213,"="&amp;$F615)+1)/2,"")</f>
        <v/>
      </c>
      <c r="X615" s="27">
        <f>IF(OR(NOT(ISNUMBER($V615)),$AO615=1),"",$V615-(COUNTIFS($A$14:$A$1213,$A615,$C$14:$C$1213,"&gt;=0")+1)/2)</f>
        <v/>
      </c>
      <c r="Y615" s="27">
        <f>IF(OR(NOT(ISNUMBER($W615)),$AO615=1),"",$W615-(COUNTIFS($A$14:$A$1213,$A615,$F$14:$F$1213,"&gt;=0")+1)/2)</f>
        <v/>
      </c>
      <c r="Z615" s="27">
        <f>IF(ISNUMBER($V615),$A615&amp;"|"&amp;$V615,"")</f>
        <v/>
      </c>
      <c r="AA615" s="27">
        <f>IF(ISNUMBER($W615),$A615&amp;"|"&amp;$W615,"")</f>
        <v/>
      </c>
      <c r="AB615" s="27">
        <f>IF(ISNUMBER($F615),$A615&amp;"|"&amp;$F615,"")</f>
        <v/>
      </c>
      <c r="AC615" s="27">
        <f>IF(ISNUMBER($P615),COUNTIFS($A$14:$A$1213,$A615,$P$14:$P$1213,"&gt;"&amp;$P615)+(COUNTIFS($A$14:$A$1213,$A615,$P$14:$P$1213,"="&amp;$P615)+1)/2,"")</f>
        <v/>
      </c>
      <c r="AD615" s="27">
        <f>IF(ISNUMBER($Q615),COUNTIFS($A$14:$A$1213,$A615,$Q$14:$Q$1213,"&gt;"&amp;$Q615)+(COUNTIFS($A$14:$A$1213,$A615,$Q$14:$Q$1213,"="&amp;$Q615)+1)/2,"")</f>
        <v/>
      </c>
      <c r="AE615" s="27">
        <f>IF(ISNUMBER($R615),COUNTIFS($A$14:$A$1213,$A615,$R$14:$R$1213,"&gt;"&amp;$R615)+(COUNTIFS($A$14:$A$1213,$A615,$R$14:$R$1213,"="&amp;$R615)+1)/2,"")</f>
        <v/>
      </c>
      <c r="AF615" s="27">
        <f>IF(ISNUMBER($S615),COUNTIFS($A$14:$A$1213,$A615,$S$14:$S$1213,"&gt;"&amp;$S615)+(COUNTIFS($A$14:$A$1213,$A615,$S$14:$S$1213,"="&amp;$S615)+1)/2,"")</f>
        <v/>
      </c>
      <c r="AG615" s="27">
        <f>IF(ISNUMBER($T615),COUNTIFS($A$14:$A$1213,$A615,$T$14:$T$1213,"&gt;"&amp;$T615)+(COUNTIFS($A$14:$A$1213,$A615,$T$14:$T$1213,"="&amp;$T615)+1)/2,"")</f>
        <v/>
      </c>
      <c r="AH615" s="27">
        <f>IF(COUNT($AC615:$AG615)&lt;2,"",IF(MAX($AC615:$AG615)=MIN($AC615:$AG615),0,1))</f>
        <v/>
      </c>
      <c r="AI615" s="27">
        <f>IF($A615="","",IF(COUNTIF($A$14:$A615,$A615)=1,COUNTIF($AI$13:AI614,"&gt;0")+1,""))</f>
        <v/>
      </c>
      <c r="AO615" s="27">
        <f>IF($A615="","",IF(AND(COUNTIFS($A$14:$A$1213,$A615,$F$14:$F$1213,"&gt;=0")=2,IFERROR(INDEX($M$14:$M$313,MATCH($A615,$H$14:$H$313,0)),"Yes")&lt;&gt;"Yes"),1,0))</f>
        <v/>
      </c>
    </row>
    <row r="616">
      <c r="A616" s="19" t="n"/>
      <c r="B616" s="20" t="n"/>
      <c r="C616" s="21">
        <f>IFERROR(AVERAGE(P616:T616),"")</f>
        <v/>
      </c>
      <c r="D616" s="29" t="n"/>
      <c r="E616" s="29" t="n"/>
      <c r="F616" s="30">
        <f>IF(AND(ISNUMBER($D616),ISNUMBER($E616),$E616&gt;0,$D616&lt;=$E616),$D616/$E616,"")</f>
        <v/>
      </c>
      <c r="P616" s="26" t="n"/>
      <c r="Q616" s="26" t="n"/>
      <c r="R616" s="26" t="n"/>
      <c r="S616" s="26" t="n"/>
      <c r="T616" s="26" t="n"/>
      <c r="V616" s="27">
        <f>IF(ISNUMBER($C616),COUNTIFS($A$14:$A$1213,$A616,$C$14:$C$1213,"&gt;"&amp;$C616)+(COUNTIFS($A$14:$A$1213,$A616,$C$14:$C$1213,"="&amp;$C616)+1)/2,"")</f>
        <v/>
      </c>
      <c r="W616" s="27">
        <f>IF(ISNUMBER($F616),COUNTIFS($A$14:$A$1213,$A616,$F$14:$F$1213,"&gt;"&amp;$F616)+(COUNTIFS($A$14:$A$1213,$A616,$F$14:$F$1213,"="&amp;$F616)+1)/2,"")</f>
        <v/>
      </c>
      <c r="X616" s="27">
        <f>IF(OR(NOT(ISNUMBER($V616)),$AO616=1),"",$V616-(COUNTIFS($A$14:$A$1213,$A616,$C$14:$C$1213,"&gt;=0")+1)/2)</f>
        <v/>
      </c>
      <c r="Y616" s="27">
        <f>IF(OR(NOT(ISNUMBER($W616)),$AO616=1),"",$W616-(COUNTIFS($A$14:$A$1213,$A616,$F$14:$F$1213,"&gt;=0")+1)/2)</f>
        <v/>
      </c>
      <c r="Z616" s="27">
        <f>IF(ISNUMBER($V616),$A616&amp;"|"&amp;$V616,"")</f>
        <v/>
      </c>
      <c r="AA616" s="27">
        <f>IF(ISNUMBER($W616),$A616&amp;"|"&amp;$W616,"")</f>
        <v/>
      </c>
      <c r="AB616" s="27">
        <f>IF(ISNUMBER($F616),$A616&amp;"|"&amp;$F616,"")</f>
        <v/>
      </c>
      <c r="AC616" s="27">
        <f>IF(ISNUMBER($P616),COUNTIFS($A$14:$A$1213,$A616,$P$14:$P$1213,"&gt;"&amp;$P616)+(COUNTIFS($A$14:$A$1213,$A616,$P$14:$P$1213,"="&amp;$P616)+1)/2,"")</f>
        <v/>
      </c>
      <c r="AD616" s="27">
        <f>IF(ISNUMBER($Q616),COUNTIFS($A$14:$A$1213,$A616,$Q$14:$Q$1213,"&gt;"&amp;$Q616)+(COUNTIFS($A$14:$A$1213,$A616,$Q$14:$Q$1213,"="&amp;$Q616)+1)/2,"")</f>
        <v/>
      </c>
      <c r="AE616" s="27">
        <f>IF(ISNUMBER($R616),COUNTIFS($A$14:$A$1213,$A616,$R$14:$R$1213,"&gt;"&amp;$R616)+(COUNTIFS($A$14:$A$1213,$A616,$R$14:$R$1213,"="&amp;$R616)+1)/2,"")</f>
        <v/>
      </c>
      <c r="AF616" s="27">
        <f>IF(ISNUMBER($S616),COUNTIFS($A$14:$A$1213,$A616,$S$14:$S$1213,"&gt;"&amp;$S616)+(COUNTIFS($A$14:$A$1213,$A616,$S$14:$S$1213,"="&amp;$S616)+1)/2,"")</f>
        <v/>
      </c>
      <c r="AG616" s="27">
        <f>IF(ISNUMBER($T616),COUNTIFS($A$14:$A$1213,$A616,$T$14:$T$1213,"&gt;"&amp;$T616)+(COUNTIFS($A$14:$A$1213,$A616,$T$14:$T$1213,"="&amp;$T616)+1)/2,"")</f>
        <v/>
      </c>
      <c r="AH616" s="27">
        <f>IF(COUNT($AC616:$AG616)&lt;2,"",IF(MAX($AC616:$AG616)=MIN($AC616:$AG616),0,1))</f>
        <v/>
      </c>
      <c r="AI616" s="27">
        <f>IF($A616="","",IF(COUNTIF($A$14:$A616,$A616)=1,COUNTIF($AI$13:AI615,"&gt;0")+1,""))</f>
        <v/>
      </c>
      <c r="AO616" s="27">
        <f>IF($A616="","",IF(AND(COUNTIFS($A$14:$A$1213,$A616,$F$14:$F$1213,"&gt;=0")=2,IFERROR(INDEX($M$14:$M$313,MATCH($A616,$H$14:$H$313,0)),"Yes")&lt;&gt;"Yes"),1,0))</f>
        <v/>
      </c>
    </row>
    <row r="617">
      <c r="A617" s="19" t="n"/>
      <c r="B617" s="20" t="n"/>
      <c r="C617" s="21">
        <f>IFERROR(AVERAGE(P617:T617),"")</f>
        <v/>
      </c>
      <c r="D617" s="29" t="n"/>
      <c r="E617" s="29" t="n"/>
      <c r="F617" s="30">
        <f>IF(AND(ISNUMBER($D617),ISNUMBER($E617),$E617&gt;0,$D617&lt;=$E617),$D617/$E617,"")</f>
        <v/>
      </c>
      <c r="P617" s="26" t="n"/>
      <c r="Q617" s="26" t="n"/>
      <c r="R617" s="26" t="n"/>
      <c r="S617" s="26" t="n"/>
      <c r="T617" s="26" t="n"/>
      <c r="V617" s="27">
        <f>IF(ISNUMBER($C617),COUNTIFS($A$14:$A$1213,$A617,$C$14:$C$1213,"&gt;"&amp;$C617)+(COUNTIFS($A$14:$A$1213,$A617,$C$14:$C$1213,"="&amp;$C617)+1)/2,"")</f>
        <v/>
      </c>
      <c r="W617" s="27">
        <f>IF(ISNUMBER($F617),COUNTIFS($A$14:$A$1213,$A617,$F$14:$F$1213,"&gt;"&amp;$F617)+(COUNTIFS($A$14:$A$1213,$A617,$F$14:$F$1213,"="&amp;$F617)+1)/2,"")</f>
        <v/>
      </c>
      <c r="X617" s="27">
        <f>IF(OR(NOT(ISNUMBER($V617)),$AO617=1),"",$V617-(COUNTIFS($A$14:$A$1213,$A617,$C$14:$C$1213,"&gt;=0")+1)/2)</f>
        <v/>
      </c>
      <c r="Y617" s="27">
        <f>IF(OR(NOT(ISNUMBER($W617)),$AO617=1),"",$W617-(COUNTIFS($A$14:$A$1213,$A617,$F$14:$F$1213,"&gt;=0")+1)/2)</f>
        <v/>
      </c>
      <c r="Z617" s="27">
        <f>IF(ISNUMBER($V617),$A617&amp;"|"&amp;$V617,"")</f>
        <v/>
      </c>
      <c r="AA617" s="27">
        <f>IF(ISNUMBER($W617),$A617&amp;"|"&amp;$W617,"")</f>
        <v/>
      </c>
      <c r="AB617" s="27">
        <f>IF(ISNUMBER($F617),$A617&amp;"|"&amp;$F617,"")</f>
        <v/>
      </c>
      <c r="AC617" s="27">
        <f>IF(ISNUMBER($P617),COUNTIFS($A$14:$A$1213,$A617,$P$14:$P$1213,"&gt;"&amp;$P617)+(COUNTIFS($A$14:$A$1213,$A617,$P$14:$P$1213,"="&amp;$P617)+1)/2,"")</f>
        <v/>
      </c>
      <c r="AD617" s="27">
        <f>IF(ISNUMBER($Q617),COUNTIFS($A$14:$A$1213,$A617,$Q$14:$Q$1213,"&gt;"&amp;$Q617)+(COUNTIFS($A$14:$A$1213,$A617,$Q$14:$Q$1213,"="&amp;$Q617)+1)/2,"")</f>
        <v/>
      </c>
      <c r="AE617" s="27">
        <f>IF(ISNUMBER($R617),COUNTIFS($A$14:$A$1213,$A617,$R$14:$R$1213,"&gt;"&amp;$R617)+(COUNTIFS($A$14:$A$1213,$A617,$R$14:$R$1213,"="&amp;$R617)+1)/2,"")</f>
        <v/>
      </c>
      <c r="AF617" s="27">
        <f>IF(ISNUMBER($S617),COUNTIFS($A$14:$A$1213,$A617,$S$14:$S$1213,"&gt;"&amp;$S617)+(COUNTIFS($A$14:$A$1213,$A617,$S$14:$S$1213,"="&amp;$S617)+1)/2,"")</f>
        <v/>
      </c>
      <c r="AG617" s="27">
        <f>IF(ISNUMBER($T617),COUNTIFS($A$14:$A$1213,$A617,$T$14:$T$1213,"&gt;"&amp;$T617)+(COUNTIFS($A$14:$A$1213,$A617,$T$14:$T$1213,"="&amp;$T617)+1)/2,"")</f>
        <v/>
      </c>
      <c r="AH617" s="27">
        <f>IF(COUNT($AC617:$AG617)&lt;2,"",IF(MAX($AC617:$AG617)=MIN($AC617:$AG617),0,1))</f>
        <v/>
      </c>
      <c r="AI617" s="27">
        <f>IF($A617="","",IF(COUNTIF($A$14:$A617,$A617)=1,COUNTIF($AI$13:AI616,"&gt;0")+1,""))</f>
        <v/>
      </c>
      <c r="AO617" s="27">
        <f>IF($A617="","",IF(AND(COUNTIFS($A$14:$A$1213,$A617,$F$14:$F$1213,"&gt;=0")=2,IFERROR(INDEX($M$14:$M$313,MATCH($A617,$H$14:$H$313,0)),"Yes")&lt;&gt;"Yes"),1,0))</f>
        <v/>
      </c>
    </row>
    <row r="618">
      <c r="A618" s="19" t="n"/>
      <c r="B618" s="20" t="n"/>
      <c r="C618" s="21">
        <f>IFERROR(AVERAGE(P618:T618),"")</f>
        <v/>
      </c>
      <c r="D618" s="29" t="n"/>
      <c r="E618" s="29" t="n"/>
      <c r="F618" s="30">
        <f>IF(AND(ISNUMBER($D618),ISNUMBER($E618),$E618&gt;0,$D618&lt;=$E618),$D618/$E618,"")</f>
        <v/>
      </c>
      <c r="P618" s="26" t="n"/>
      <c r="Q618" s="26" t="n"/>
      <c r="R618" s="26" t="n"/>
      <c r="S618" s="26" t="n"/>
      <c r="T618" s="26" t="n"/>
      <c r="V618" s="27">
        <f>IF(ISNUMBER($C618),COUNTIFS($A$14:$A$1213,$A618,$C$14:$C$1213,"&gt;"&amp;$C618)+(COUNTIFS($A$14:$A$1213,$A618,$C$14:$C$1213,"="&amp;$C618)+1)/2,"")</f>
        <v/>
      </c>
      <c r="W618" s="27">
        <f>IF(ISNUMBER($F618),COUNTIFS($A$14:$A$1213,$A618,$F$14:$F$1213,"&gt;"&amp;$F618)+(COUNTIFS($A$14:$A$1213,$A618,$F$14:$F$1213,"="&amp;$F618)+1)/2,"")</f>
        <v/>
      </c>
      <c r="X618" s="27">
        <f>IF(OR(NOT(ISNUMBER($V618)),$AO618=1),"",$V618-(COUNTIFS($A$14:$A$1213,$A618,$C$14:$C$1213,"&gt;=0")+1)/2)</f>
        <v/>
      </c>
      <c r="Y618" s="27">
        <f>IF(OR(NOT(ISNUMBER($W618)),$AO618=1),"",$W618-(COUNTIFS($A$14:$A$1213,$A618,$F$14:$F$1213,"&gt;=0")+1)/2)</f>
        <v/>
      </c>
      <c r="Z618" s="27">
        <f>IF(ISNUMBER($V618),$A618&amp;"|"&amp;$V618,"")</f>
        <v/>
      </c>
      <c r="AA618" s="27">
        <f>IF(ISNUMBER($W618),$A618&amp;"|"&amp;$W618,"")</f>
        <v/>
      </c>
      <c r="AB618" s="27">
        <f>IF(ISNUMBER($F618),$A618&amp;"|"&amp;$F618,"")</f>
        <v/>
      </c>
      <c r="AC618" s="27">
        <f>IF(ISNUMBER($P618),COUNTIFS($A$14:$A$1213,$A618,$P$14:$P$1213,"&gt;"&amp;$P618)+(COUNTIFS($A$14:$A$1213,$A618,$P$14:$P$1213,"="&amp;$P618)+1)/2,"")</f>
        <v/>
      </c>
      <c r="AD618" s="27">
        <f>IF(ISNUMBER($Q618),COUNTIFS($A$14:$A$1213,$A618,$Q$14:$Q$1213,"&gt;"&amp;$Q618)+(COUNTIFS($A$14:$A$1213,$A618,$Q$14:$Q$1213,"="&amp;$Q618)+1)/2,"")</f>
        <v/>
      </c>
      <c r="AE618" s="27">
        <f>IF(ISNUMBER($R618),COUNTIFS($A$14:$A$1213,$A618,$R$14:$R$1213,"&gt;"&amp;$R618)+(COUNTIFS($A$14:$A$1213,$A618,$R$14:$R$1213,"="&amp;$R618)+1)/2,"")</f>
        <v/>
      </c>
      <c r="AF618" s="27">
        <f>IF(ISNUMBER($S618),COUNTIFS($A$14:$A$1213,$A618,$S$14:$S$1213,"&gt;"&amp;$S618)+(COUNTIFS($A$14:$A$1213,$A618,$S$14:$S$1213,"="&amp;$S618)+1)/2,"")</f>
        <v/>
      </c>
      <c r="AG618" s="27">
        <f>IF(ISNUMBER($T618),COUNTIFS($A$14:$A$1213,$A618,$T$14:$T$1213,"&gt;"&amp;$T618)+(COUNTIFS($A$14:$A$1213,$A618,$T$14:$T$1213,"="&amp;$T618)+1)/2,"")</f>
        <v/>
      </c>
      <c r="AH618" s="27">
        <f>IF(COUNT($AC618:$AG618)&lt;2,"",IF(MAX($AC618:$AG618)=MIN($AC618:$AG618),0,1))</f>
        <v/>
      </c>
      <c r="AI618" s="27">
        <f>IF($A618="","",IF(COUNTIF($A$14:$A618,$A618)=1,COUNTIF($AI$13:AI617,"&gt;0")+1,""))</f>
        <v/>
      </c>
      <c r="AO618" s="27">
        <f>IF($A618="","",IF(AND(COUNTIFS($A$14:$A$1213,$A618,$F$14:$F$1213,"&gt;=0")=2,IFERROR(INDEX($M$14:$M$313,MATCH($A618,$H$14:$H$313,0)),"Yes")&lt;&gt;"Yes"),1,0))</f>
        <v/>
      </c>
    </row>
    <row r="619">
      <c r="A619" s="19" t="n"/>
      <c r="B619" s="20" t="n"/>
      <c r="C619" s="21">
        <f>IFERROR(AVERAGE(P619:T619),"")</f>
        <v/>
      </c>
      <c r="D619" s="29" t="n"/>
      <c r="E619" s="29" t="n"/>
      <c r="F619" s="30">
        <f>IF(AND(ISNUMBER($D619),ISNUMBER($E619),$E619&gt;0,$D619&lt;=$E619),$D619/$E619,"")</f>
        <v/>
      </c>
      <c r="P619" s="26" t="n"/>
      <c r="Q619" s="26" t="n"/>
      <c r="R619" s="26" t="n"/>
      <c r="S619" s="26" t="n"/>
      <c r="T619" s="26" t="n"/>
      <c r="V619" s="27">
        <f>IF(ISNUMBER($C619),COUNTIFS($A$14:$A$1213,$A619,$C$14:$C$1213,"&gt;"&amp;$C619)+(COUNTIFS($A$14:$A$1213,$A619,$C$14:$C$1213,"="&amp;$C619)+1)/2,"")</f>
        <v/>
      </c>
      <c r="W619" s="27">
        <f>IF(ISNUMBER($F619),COUNTIFS($A$14:$A$1213,$A619,$F$14:$F$1213,"&gt;"&amp;$F619)+(COUNTIFS($A$14:$A$1213,$A619,$F$14:$F$1213,"="&amp;$F619)+1)/2,"")</f>
        <v/>
      </c>
      <c r="X619" s="27">
        <f>IF(OR(NOT(ISNUMBER($V619)),$AO619=1),"",$V619-(COUNTIFS($A$14:$A$1213,$A619,$C$14:$C$1213,"&gt;=0")+1)/2)</f>
        <v/>
      </c>
      <c r="Y619" s="27">
        <f>IF(OR(NOT(ISNUMBER($W619)),$AO619=1),"",$W619-(COUNTIFS($A$14:$A$1213,$A619,$F$14:$F$1213,"&gt;=0")+1)/2)</f>
        <v/>
      </c>
      <c r="Z619" s="27">
        <f>IF(ISNUMBER($V619),$A619&amp;"|"&amp;$V619,"")</f>
        <v/>
      </c>
      <c r="AA619" s="27">
        <f>IF(ISNUMBER($W619),$A619&amp;"|"&amp;$W619,"")</f>
        <v/>
      </c>
      <c r="AB619" s="27">
        <f>IF(ISNUMBER($F619),$A619&amp;"|"&amp;$F619,"")</f>
        <v/>
      </c>
      <c r="AC619" s="27">
        <f>IF(ISNUMBER($P619),COUNTIFS($A$14:$A$1213,$A619,$P$14:$P$1213,"&gt;"&amp;$P619)+(COUNTIFS($A$14:$A$1213,$A619,$P$14:$P$1213,"="&amp;$P619)+1)/2,"")</f>
        <v/>
      </c>
      <c r="AD619" s="27">
        <f>IF(ISNUMBER($Q619),COUNTIFS($A$14:$A$1213,$A619,$Q$14:$Q$1213,"&gt;"&amp;$Q619)+(COUNTIFS($A$14:$A$1213,$A619,$Q$14:$Q$1213,"="&amp;$Q619)+1)/2,"")</f>
        <v/>
      </c>
      <c r="AE619" s="27">
        <f>IF(ISNUMBER($R619),COUNTIFS($A$14:$A$1213,$A619,$R$14:$R$1213,"&gt;"&amp;$R619)+(COUNTIFS($A$14:$A$1213,$A619,$R$14:$R$1213,"="&amp;$R619)+1)/2,"")</f>
        <v/>
      </c>
      <c r="AF619" s="27">
        <f>IF(ISNUMBER($S619),COUNTIFS($A$14:$A$1213,$A619,$S$14:$S$1213,"&gt;"&amp;$S619)+(COUNTIFS($A$14:$A$1213,$A619,$S$14:$S$1213,"="&amp;$S619)+1)/2,"")</f>
        <v/>
      </c>
      <c r="AG619" s="27">
        <f>IF(ISNUMBER($T619),COUNTIFS($A$14:$A$1213,$A619,$T$14:$T$1213,"&gt;"&amp;$T619)+(COUNTIFS($A$14:$A$1213,$A619,$T$14:$T$1213,"="&amp;$T619)+1)/2,"")</f>
        <v/>
      </c>
      <c r="AH619" s="27">
        <f>IF(COUNT($AC619:$AG619)&lt;2,"",IF(MAX($AC619:$AG619)=MIN($AC619:$AG619),0,1))</f>
        <v/>
      </c>
      <c r="AI619" s="27">
        <f>IF($A619="","",IF(COUNTIF($A$14:$A619,$A619)=1,COUNTIF($AI$13:AI618,"&gt;0")+1,""))</f>
        <v/>
      </c>
      <c r="AO619" s="27">
        <f>IF($A619="","",IF(AND(COUNTIFS($A$14:$A$1213,$A619,$F$14:$F$1213,"&gt;=0")=2,IFERROR(INDEX($M$14:$M$313,MATCH($A619,$H$14:$H$313,0)),"Yes")&lt;&gt;"Yes"),1,0))</f>
        <v/>
      </c>
    </row>
    <row r="620">
      <c r="A620" s="19" t="n"/>
      <c r="B620" s="20" t="n"/>
      <c r="C620" s="21">
        <f>IFERROR(AVERAGE(P620:T620),"")</f>
        <v/>
      </c>
      <c r="D620" s="29" t="n"/>
      <c r="E620" s="29" t="n"/>
      <c r="F620" s="30">
        <f>IF(AND(ISNUMBER($D620),ISNUMBER($E620),$E620&gt;0,$D620&lt;=$E620),$D620/$E620,"")</f>
        <v/>
      </c>
      <c r="P620" s="26" t="n"/>
      <c r="Q620" s="26" t="n"/>
      <c r="R620" s="26" t="n"/>
      <c r="S620" s="26" t="n"/>
      <c r="T620" s="26" t="n"/>
      <c r="V620" s="27">
        <f>IF(ISNUMBER($C620),COUNTIFS($A$14:$A$1213,$A620,$C$14:$C$1213,"&gt;"&amp;$C620)+(COUNTIFS($A$14:$A$1213,$A620,$C$14:$C$1213,"="&amp;$C620)+1)/2,"")</f>
        <v/>
      </c>
      <c r="W620" s="27">
        <f>IF(ISNUMBER($F620),COUNTIFS($A$14:$A$1213,$A620,$F$14:$F$1213,"&gt;"&amp;$F620)+(COUNTIFS($A$14:$A$1213,$A620,$F$14:$F$1213,"="&amp;$F620)+1)/2,"")</f>
        <v/>
      </c>
      <c r="X620" s="27">
        <f>IF(OR(NOT(ISNUMBER($V620)),$AO620=1),"",$V620-(COUNTIFS($A$14:$A$1213,$A620,$C$14:$C$1213,"&gt;=0")+1)/2)</f>
        <v/>
      </c>
      <c r="Y620" s="27">
        <f>IF(OR(NOT(ISNUMBER($W620)),$AO620=1),"",$W620-(COUNTIFS($A$14:$A$1213,$A620,$F$14:$F$1213,"&gt;=0")+1)/2)</f>
        <v/>
      </c>
      <c r="Z620" s="27">
        <f>IF(ISNUMBER($V620),$A620&amp;"|"&amp;$V620,"")</f>
        <v/>
      </c>
      <c r="AA620" s="27">
        <f>IF(ISNUMBER($W620),$A620&amp;"|"&amp;$W620,"")</f>
        <v/>
      </c>
      <c r="AB620" s="27">
        <f>IF(ISNUMBER($F620),$A620&amp;"|"&amp;$F620,"")</f>
        <v/>
      </c>
      <c r="AC620" s="27">
        <f>IF(ISNUMBER($P620),COUNTIFS($A$14:$A$1213,$A620,$P$14:$P$1213,"&gt;"&amp;$P620)+(COUNTIFS($A$14:$A$1213,$A620,$P$14:$P$1213,"="&amp;$P620)+1)/2,"")</f>
        <v/>
      </c>
      <c r="AD620" s="27">
        <f>IF(ISNUMBER($Q620),COUNTIFS($A$14:$A$1213,$A620,$Q$14:$Q$1213,"&gt;"&amp;$Q620)+(COUNTIFS($A$14:$A$1213,$A620,$Q$14:$Q$1213,"="&amp;$Q620)+1)/2,"")</f>
        <v/>
      </c>
      <c r="AE620" s="27">
        <f>IF(ISNUMBER($R620),COUNTIFS($A$14:$A$1213,$A620,$R$14:$R$1213,"&gt;"&amp;$R620)+(COUNTIFS($A$14:$A$1213,$A620,$R$14:$R$1213,"="&amp;$R620)+1)/2,"")</f>
        <v/>
      </c>
      <c r="AF620" s="27">
        <f>IF(ISNUMBER($S620),COUNTIFS($A$14:$A$1213,$A620,$S$14:$S$1213,"&gt;"&amp;$S620)+(COUNTIFS($A$14:$A$1213,$A620,$S$14:$S$1213,"="&amp;$S620)+1)/2,"")</f>
        <v/>
      </c>
      <c r="AG620" s="27">
        <f>IF(ISNUMBER($T620),COUNTIFS($A$14:$A$1213,$A620,$T$14:$T$1213,"&gt;"&amp;$T620)+(COUNTIFS($A$14:$A$1213,$A620,$T$14:$T$1213,"="&amp;$T620)+1)/2,"")</f>
        <v/>
      </c>
      <c r="AH620" s="27">
        <f>IF(COUNT($AC620:$AG620)&lt;2,"",IF(MAX($AC620:$AG620)=MIN($AC620:$AG620),0,1))</f>
        <v/>
      </c>
      <c r="AI620" s="27">
        <f>IF($A620="","",IF(COUNTIF($A$14:$A620,$A620)=1,COUNTIF($AI$13:AI619,"&gt;0")+1,""))</f>
        <v/>
      </c>
      <c r="AO620" s="27">
        <f>IF($A620="","",IF(AND(COUNTIFS($A$14:$A$1213,$A620,$F$14:$F$1213,"&gt;=0")=2,IFERROR(INDEX($M$14:$M$313,MATCH($A620,$H$14:$H$313,0)),"Yes")&lt;&gt;"Yes"),1,0))</f>
        <v/>
      </c>
    </row>
    <row r="621">
      <c r="A621" s="19" t="n"/>
      <c r="B621" s="20" t="n"/>
      <c r="C621" s="21">
        <f>IFERROR(AVERAGE(P621:T621),"")</f>
        <v/>
      </c>
      <c r="D621" s="29" t="n"/>
      <c r="E621" s="29" t="n"/>
      <c r="F621" s="30">
        <f>IF(AND(ISNUMBER($D621),ISNUMBER($E621),$E621&gt;0,$D621&lt;=$E621),$D621/$E621,"")</f>
        <v/>
      </c>
      <c r="P621" s="26" t="n"/>
      <c r="Q621" s="26" t="n"/>
      <c r="R621" s="26" t="n"/>
      <c r="S621" s="26" t="n"/>
      <c r="T621" s="26" t="n"/>
      <c r="V621" s="27">
        <f>IF(ISNUMBER($C621),COUNTIFS($A$14:$A$1213,$A621,$C$14:$C$1213,"&gt;"&amp;$C621)+(COUNTIFS($A$14:$A$1213,$A621,$C$14:$C$1213,"="&amp;$C621)+1)/2,"")</f>
        <v/>
      </c>
      <c r="W621" s="27">
        <f>IF(ISNUMBER($F621),COUNTIFS($A$14:$A$1213,$A621,$F$14:$F$1213,"&gt;"&amp;$F621)+(COUNTIFS($A$14:$A$1213,$A621,$F$14:$F$1213,"="&amp;$F621)+1)/2,"")</f>
        <v/>
      </c>
      <c r="X621" s="27">
        <f>IF(OR(NOT(ISNUMBER($V621)),$AO621=1),"",$V621-(COUNTIFS($A$14:$A$1213,$A621,$C$14:$C$1213,"&gt;=0")+1)/2)</f>
        <v/>
      </c>
      <c r="Y621" s="27">
        <f>IF(OR(NOT(ISNUMBER($W621)),$AO621=1),"",$W621-(COUNTIFS($A$14:$A$1213,$A621,$F$14:$F$1213,"&gt;=0")+1)/2)</f>
        <v/>
      </c>
      <c r="Z621" s="27">
        <f>IF(ISNUMBER($V621),$A621&amp;"|"&amp;$V621,"")</f>
        <v/>
      </c>
      <c r="AA621" s="27">
        <f>IF(ISNUMBER($W621),$A621&amp;"|"&amp;$W621,"")</f>
        <v/>
      </c>
      <c r="AB621" s="27">
        <f>IF(ISNUMBER($F621),$A621&amp;"|"&amp;$F621,"")</f>
        <v/>
      </c>
      <c r="AC621" s="27">
        <f>IF(ISNUMBER($P621),COUNTIFS($A$14:$A$1213,$A621,$P$14:$P$1213,"&gt;"&amp;$P621)+(COUNTIFS($A$14:$A$1213,$A621,$P$14:$P$1213,"="&amp;$P621)+1)/2,"")</f>
        <v/>
      </c>
      <c r="AD621" s="27">
        <f>IF(ISNUMBER($Q621),COUNTIFS($A$14:$A$1213,$A621,$Q$14:$Q$1213,"&gt;"&amp;$Q621)+(COUNTIFS($A$14:$A$1213,$A621,$Q$14:$Q$1213,"="&amp;$Q621)+1)/2,"")</f>
        <v/>
      </c>
      <c r="AE621" s="27">
        <f>IF(ISNUMBER($R621),COUNTIFS($A$14:$A$1213,$A621,$R$14:$R$1213,"&gt;"&amp;$R621)+(COUNTIFS($A$14:$A$1213,$A621,$R$14:$R$1213,"="&amp;$R621)+1)/2,"")</f>
        <v/>
      </c>
      <c r="AF621" s="27">
        <f>IF(ISNUMBER($S621),COUNTIFS($A$14:$A$1213,$A621,$S$14:$S$1213,"&gt;"&amp;$S621)+(COUNTIFS($A$14:$A$1213,$A621,$S$14:$S$1213,"="&amp;$S621)+1)/2,"")</f>
        <v/>
      </c>
      <c r="AG621" s="27">
        <f>IF(ISNUMBER($T621),COUNTIFS($A$14:$A$1213,$A621,$T$14:$T$1213,"&gt;"&amp;$T621)+(COUNTIFS($A$14:$A$1213,$A621,$T$14:$T$1213,"="&amp;$T621)+1)/2,"")</f>
        <v/>
      </c>
      <c r="AH621" s="27">
        <f>IF(COUNT($AC621:$AG621)&lt;2,"",IF(MAX($AC621:$AG621)=MIN($AC621:$AG621),0,1))</f>
        <v/>
      </c>
      <c r="AI621" s="27">
        <f>IF($A621="","",IF(COUNTIF($A$14:$A621,$A621)=1,COUNTIF($AI$13:AI620,"&gt;0")+1,""))</f>
        <v/>
      </c>
      <c r="AO621" s="27">
        <f>IF($A621="","",IF(AND(COUNTIFS($A$14:$A$1213,$A621,$F$14:$F$1213,"&gt;=0")=2,IFERROR(INDEX($M$14:$M$313,MATCH($A621,$H$14:$H$313,0)),"Yes")&lt;&gt;"Yes"),1,0))</f>
        <v/>
      </c>
    </row>
    <row r="622">
      <c r="A622" s="19" t="n"/>
      <c r="B622" s="20" t="n"/>
      <c r="C622" s="21">
        <f>IFERROR(AVERAGE(P622:T622),"")</f>
        <v/>
      </c>
      <c r="D622" s="29" t="n"/>
      <c r="E622" s="29" t="n"/>
      <c r="F622" s="30">
        <f>IF(AND(ISNUMBER($D622),ISNUMBER($E622),$E622&gt;0,$D622&lt;=$E622),$D622/$E622,"")</f>
        <v/>
      </c>
      <c r="P622" s="26" t="n"/>
      <c r="Q622" s="26" t="n"/>
      <c r="R622" s="26" t="n"/>
      <c r="S622" s="26" t="n"/>
      <c r="T622" s="26" t="n"/>
      <c r="V622" s="27">
        <f>IF(ISNUMBER($C622),COUNTIFS($A$14:$A$1213,$A622,$C$14:$C$1213,"&gt;"&amp;$C622)+(COUNTIFS($A$14:$A$1213,$A622,$C$14:$C$1213,"="&amp;$C622)+1)/2,"")</f>
        <v/>
      </c>
      <c r="W622" s="27">
        <f>IF(ISNUMBER($F622),COUNTIFS($A$14:$A$1213,$A622,$F$14:$F$1213,"&gt;"&amp;$F622)+(COUNTIFS($A$14:$A$1213,$A622,$F$14:$F$1213,"="&amp;$F622)+1)/2,"")</f>
        <v/>
      </c>
      <c r="X622" s="27">
        <f>IF(OR(NOT(ISNUMBER($V622)),$AO622=1),"",$V622-(COUNTIFS($A$14:$A$1213,$A622,$C$14:$C$1213,"&gt;=0")+1)/2)</f>
        <v/>
      </c>
      <c r="Y622" s="27">
        <f>IF(OR(NOT(ISNUMBER($W622)),$AO622=1),"",$W622-(COUNTIFS($A$14:$A$1213,$A622,$F$14:$F$1213,"&gt;=0")+1)/2)</f>
        <v/>
      </c>
      <c r="Z622" s="27">
        <f>IF(ISNUMBER($V622),$A622&amp;"|"&amp;$V622,"")</f>
        <v/>
      </c>
      <c r="AA622" s="27">
        <f>IF(ISNUMBER($W622),$A622&amp;"|"&amp;$W622,"")</f>
        <v/>
      </c>
      <c r="AB622" s="27">
        <f>IF(ISNUMBER($F622),$A622&amp;"|"&amp;$F622,"")</f>
        <v/>
      </c>
      <c r="AC622" s="27">
        <f>IF(ISNUMBER($P622),COUNTIFS($A$14:$A$1213,$A622,$P$14:$P$1213,"&gt;"&amp;$P622)+(COUNTIFS($A$14:$A$1213,$A622,$P$14:$P$1213,"="&amp;$P622)+1)/2,"")</f>
        <v/>
      </c>
      <c r="AD622" s="27">
        <f>IF(ISNUMBER($Q622),COUNTIFS($A$14:$A$1213,$A622,$Q$14:$Q$1213,"&gt;"&amp;$Q622)+(COUNTIFS($A$14:$A$1213,$A622,$Q$14:$Q$1213,"="&amp;$Q622)+1)/2,"")</f>
        <v/>
      </c>
      <c r="AE622" s="27">
        <f>IF(ISNUMBER($R622),COUNTIFS($A$14:$A$1213,$A622,$R$14:$R$1213,"&gt;"&amp;$R622)+(COUNTIFS($A$14:$A$1213,$A622,$R$14:$R$1213,"="&amp;$R622)+1)/2,"")</f>
        <v/>
      </c>
      <c r="AF622" s="27">
        <f>IF(ISNUMBER($S622),COUNTIFS($A$14:$A$1213,$A622,$S$14:$S$1213,"&gt;"&amp;$S622)+(COUNTIFS($A$14:$A$1213,$A622,$S$14:$S$1213,"="&amp;$S622)+1)/2,"")</f>
        <v/>
      </c>
      <c r="AG622" s="27">
        <f>IF(ISNUMBER($T622),COUNTIFS($A$14:$A$1213,$A622,$T$14:$T$1213,"&gt;"&amp;$T622)+(COUNTIFS($A$14:$A$1213,$A622,$T$14:$T$1213,"="&amp;$T622)+1)/2,"")</f>
        <v/>
      </c>
      <c r="AH622" s="27">
        <f>IF(COUNT($AC622:$AG622)&lt;2,"",IF(MAX($AC622:$AG622)=MIN($AC622:$AG622),0,1))</f>
        <v/>
      </c>
      <c r="AI622" s="27">
        <f>IF($A622="","",IF(COUNTIF($A$14:$A622,$A622)=1,COUNTIF($AI$13:AI621,"&gt;0")+1,""))</f>
        <v/>
      </c>
      <c r="AO622" s="27">
        <f>IF($A622="","",IF(AND(COUNTIFS($A$14:$A$1213,$A622,$F$14:$F$1213,"&gt;=0")=2,IFERROR(INDEX($M$14:$M$313,MATCH($A622,$H$14:$H$313,0)),"Yes")&lt;&gt;"Yes"),1,0))</f>
        <v/>
      </c>
    </row>
    <row r="623">
      <c r="A623" s="19" t="n"/>
      <c r="B623" s="20" t="n"/>
      <c r="C623" s="21">
        <f>IFERROR(AVERAGE(P623:T623),"")</f>
        <v/>
      </c>
      <c r="D623" s="29" t="n"/>
      <c r="E623" s="29" t="n"/>
      <c r="F623" s="30">
        <f>IF(AND(ISNUMBER($D623),ISNUMBER($E623),$E623&gt;0,$D623&lt;=$E623),$D623/$E623,"")</f>
        <v/>
      </c>
      <c r="P623" s="26" t="n"/>
      <c r="Q623" s="26" t="n"/>
      <c r="R623" s="26" t="n"/>
      <c r="S623" s="26" t="n"/>
      <c r="T623" s="26" t="n"/>
      <c r="V623" s="27">
        <f>IF(ISNUMBER($C623),COUNTIFS($A$14:$A$1213,$A623,$C$14:$C$1213,"&gt;"&amp;$C623)+(COUNTIFS($A$14:$A$1213,$A623,$C$14:$C$1213,"="&amp;$C623)+1)/2,"")</f>
        <v/>
      </c>
      <c r="W623" s="27">
        <f>IF(ISNUMBER($F623),COUNTIFS($A$14:$A$1213,$A623,$F$14:$F$1213,"&gt;"&amp;$F623)+(COUNTIFS($A$14:$A$1213,$A623,$F$14:$F$1213,"="&amp;$F623)+1)/2,"")</f>
        <v/>
      </c>
      <c r="X623" s="27">
        <f>IF(OR(NOT(ISNUMBER($V623)),$AO623=1),"",$V623-(COUNTIFS($A$14:$A$1213,$A623,$C$14:$C$1213,"&gt;=0")+1)/2)</f>
        <v/>
      </c>
      <c r="Y623" s="27">
        <f>IF(OR(NOT(ISNUMBER($W623)),$AO623=1),"",$W623-(COUNTIFS($A$14:$A$1213,$A623,$F$14:$F$1213,"&gt;=0")+1)/2)</f>
        <v/>
      </c>
      <c r="Z623" s="27">
        <f>IF(ISNUMBER($V623),$A623&amp;"|"&amp;$V623,"")</f>
        <v/>
      </c>
      <c r="AA623" s="27">
        <f>IF(ISNUMBER($W623),$A623&amp;"|"&amp;$W623,"")</f>
        <v/>
      </c>
      <c r="AB623" s="27">
        <f>IF(ISNUMBER($F623),$A623&amp;"|"&amp;$F623,"")</f>
        <v/>
      </c>
      <c r="AC623" s="27">
        <f>IF(ISNUMBER($P623),COUNTIFS($A$14:$A$1213,$A623,$P$14:$P$1213,"&gt;"&amp;$P623)+(COUNTIFS($A$14:$A$1213,$A623,$P$14:$P$1213,"="&amp;$P623)+1)/2,"")</f>
        <v/>
      </c>
      <c r="AD623" s="27">
        <f>IF(ISNUMBER($Q623),COUNTIFS($A$14:$A$1213,$A623,$Q$14:$Q$1213,"&gt;"&amp;$Q623)+(COUNTIFS($A$14:$A$1213,$A623,$Q$14:$Q$1213,"="&amp;$Q623)+1)/2,"")</f>
        <v/>
      </c>
      <c r="AE623" s="27">
        <f>IF(ISNUMBER($R623),COUNTIFS($A$14:$A$1213,$A623,$R$14:$R$1213,"&gt;"&amp;$R623)+(COUNTIFS($A$14:$A$1213,$A623,$R$14:$R$1213,"="&amp;$R623)+1)/2,"")</f>
        <v/>
      </c>
      <c r="AF623" s="27">
        <f>IF(ISNUMBER($S623),COUNTIFS($A$14:$A$1213,$A623,$S$14:$S$1213,"&gt;"&amp;$S623)+(COUNTIFS($A$14:$A$1213,$A623,$S$14:$S$1213,"="&amp;$S623)+1)/2,"")</f>
        <v/>
      </c>
      <c r="AG623" s="27">
        <f>IF(ISNUMBER($T623),COUNTIFS($A$14:$A$1213,$A623,$T$14:$T$1213,"&gt;"&amp;$T623)+(COUNTIFS($A$14:$A$1213,$A623,$T$14:$T$1213,"="&amp;$T623)+1)/2,"")</f>
        <v/>
      </c>
      <c r="AH623" s="27">
        <f>IF(COUNT($AC623:$AG623)&lt;2,"",IF(MAX($AC623:$AG623)=MIN($AC623:$AG623),0,1))</f>
        <v/>
      </c>
      <c r="AI623" s="27">
        <f>IF($A623="","",IF(COUNTIF($A$14:$A623,$A623)=1,COUNTIF($AI$13:AI622,"&gt;0")+1,""))</f>
        <v/>
      </c>
      <c r="AO623" s="27">
        <f>IF($A623="","",IF(AND(COUNTIFS($A$14:$A$1213,$A623,$F$14:$F$1213,"&gt;=0")=2,IFERROR(INDEX($M$14:$M$313,MATCH($A623,$H$14:$H$313,0)),"Yes")&lt;&gt;"Yes"),1,0))</f>
        <v/>
      </c>
    </row>
    <row r="624">
      <c r="A624" s="19" t="n"/>
      <c r="B624" s="20" t="n"/>
      <c r="C624" s="21">
        <f>IFERROR(AVERAGE(P624:T624),"")</f>
        <v/>
      </c>
      <c r="D624" s="29" t="n"/>
      <c r="E624" s="29" t="n"/>
      <c r="F624" s="30">
        <f>IF(AND(ISNUMBER($D624),ISNUMBER($E624),$E624&gt;0,$D624&lt;=$E624),$D624/$E624,"")</f>
        <v/>
      </c>
      <c r="P624" s="26" t="n"/>
      <c r="Q624" s="26" t="n"/>
      <c r="R624" s="26" t="n"/>
      <c r="S624" s="26" t="n"/>
      <c r="T624" s="26" t="n"/>
      <c r="V624" s="27">
        <f>IF(ISNUMBER($C624),COUNTIFS($A$14:$A$1213,$A624,$C$14:$C$1213,"&gt;"&amp;$C624)+(COUNTIFS($A$14:$A$1213,$A624,$C$14:$C$1213,"="&amp;$C624)+1)/2,"")</f>
        <v/>
      </c>
      <c r="W624" s="27">
        <f>IF(ISNUMBER($F624),COUNTIFS($A$14:$A$1213,$A624,$F$14:$F$1213,"&gt;"&amp;$F624)+(COUNTIFS($A$14:$A$1213,$A624,$F$14:$F$1213,"="&amp;$F624)+1)/2,"")</f>
        <v/>
      </c>
      <c r="X624" s="27">
        <f>IF(OR(NOT(ISNUMBER($V624)),$AO624=1),"",$V624-(COUNTIFS($A$14:$A$1213,$A624,$C$14:$C$1213,"&gt;=0")+1)/2)</f>
        <v/>
      </c>
      <c r="Y624" s="27">
        <f>IF(OR(NOT(ISNUMBER($W624)),$AO624=1),"",$W624-(COUNTIFS($A$14:$A$1213,$A624,$F$14:$F$1213,"&gt;=0")+1)/2)</f>
        <v/>
      </c>
      <c r="Z624" s="27">
        <f>IF(ISNUMBER($V624),$A624&amp;"|"&amp;$V624,"")</f>
        <v/>
      </c>
      <c r="AA624" s="27">
        <f>IF(ISNUMBER($W624),$A624&amp;"|"&amp;$W624,"")</f>
        <v/>
      </c>
      <c r="AB624" s="27">
        <f>IF(ISNUMBER($F624),$A624&amp;"|"&amp;$F624,"")</f>
        <v/>
      </c>
      <c r="AC624" s="27">
        <f>IF(ISNUMBER($P624),COUNTIFS($A$14:$A$1213,$A624,$P$14:$P$1213,"&gt;"&amp;$P624)+(COUNTIFS($A$14:$A$1213,$A624,$P$14:$P$1213,"="&amp;$P624)+1)/2,"")</f>
        <v/>
      </c>
      <c r="AD624" s="27">
        <f>IF(ISNUMBER($Q624),COUNTIFS($A$14:$A$1213,$A624,$Q$14:$Q$1213,"&gt;"&amp;$Q624)+(COUNTIFS($A$14:$A$1213,$A624,$Q$14:$Q$1213,"="&amp;$Q624)+1)/2,"")</f>
        <v/>
      </c>
      <c r="AE624" s="27">
        <f>IF(ISNUMBER($R624),COUNTIFS($A$14:$A$1213,$A624,$R$14:$R$1213,"&gt;"&amp;$R624)+(COUNTIFS($A$14:$A$1213,$A624,$R$14:$R$1213,"="&amp;$R624)+1)/2,"")</f>
        <v/>
      </c>
      <c r="AF624" s="27">
        <f>IF(ISNUMBER($S624),COUNTIFS($A$14:$A$1213,$A624,$S$14:$S$1213,"&gt;"&amp;$S624)+(COUNTIFS($A$14:$A$1213,$A624,$S$14:$S$1213,"="&amp;$S624)+1)/2,"")</f>
        <v/>
      </c>
      <c r="AG624" s="27">
        <f>IF(ISNUMBER($T624),COUNTIFS($A$14:$A$1213,$A624,$T$14:$T$1213,"&gt;"&amp;$T624)+(COUNTIFS($A$14:$A$1213,$A624,$T$14:$T$1213,"="&amp;$T624)+1)/2,"")</f>
        <v/>
      </c>
      <c r="AH624" s="27">
        <f>IF(COUNT($AC624:$AG624)&lt;2,"",IF(MAX($AC624:$AG624)=MIN($AC624:$AG624),0,1))</f>
        <v/>
      </c>
      <c r="AI624" s="27">
        <f>IF($A624="","",IF(COUNTIF($A$14:$A624,$A624)=1,COUNTIF($AI$13:AI623,"&gt;0")+1,""))</f>
        <v/>
      </c>
      <c r="AO624" s="27">
        <f>IF($A624="","",IF(AND(COUNTIFS($A$14:$A$1213,$A624,$F$14:$F$1213,"&gt;=0")=2,IFERROR(INDEX($M$14:$M$313,MATCH($A624,$H$14:$H$313,0)),"Yes")&lt;&gt;"Yes"),1,0))</f>
        <v/>
      </c>
    </row>
    <row r="625">
      <c r="A625" s="19" t="n"/>
      <c r="B625" s="20" t="n"/>
      <c r="C625" s="21">
        <f>IFERROR(AVERAGE(P625:T625),"")</f>
        <v/>
      </c>
      <c r="D625" s="29" t="n"/>
      <c r="E625" s="29" t="n"/>
      <c r="F625" s="30">
        <f>IF(AND(ISNUMBER($D625),ISNUMBER($E625),$E625&gt;0,$D625&lt;=$E625),$D625/$E625,"")</f>
        <v/>
      </c>
      <c r="P625" s="26" t="n"/>
      <c r="Q625" s="26" t="n"/>
      <c r="R625" s="26" t="n"/>
      <c r="S625" s="26" t="n"/>
      <c r="T625" s="26" t="n"/>
      <c r="V625" s="27">
        <f>IF(ISNUMBER($C625),COUNTIFS($A$14:$A$1213,$A625,$C$14:$C$1213,"&gt;"&amp;$C625)+(COUNTIFS($A$14:$A$1213,$A625,$C$14:$C$1213,"="&amp;$C625)+1)/2,"")</f>
        <v/>
      </c>
      <c r="W625" s="27">
        <f>IF(ISNUMBER($F625),COUNTIFS($A$14:$A$1213,$A625,$F$14:$F$1213,"&gt;"&amp;$F625)+(COUNTIFS($A$14:$A$1213,$A625,$F$14:$F$1213,"="&amp;$F625)+1)/2,"")</f>
        <v/>
      </c>
      <c r="X625" s="27">
        <f>IF(OR(NOT(ISNUMBER($V625)),$AO625=1),"",$V625-(COUNTIFS($A$14:$A$1213,$A625,$C$14:$C$1213,"&gt;=0")+1)/2)</f>
        <v/>
      </c>
      <c r="Y625" s="27">
        <f>IF(OR(NOT(ISNUMBER($W625)),$AO625=1),"",$W625-(COUNTIFS($A$14:$A$1213,$A625,$F$14:$F$1213,"&gt;=0")+1)/2)</f>
        <v/>
      </c>
      <c r="Z625" s="27">
        <f>IF(ISNUMBER($V625),$A625&amp;"|"&amp;$V625,"")</f>
        <v/>
      </c>
      <c r="AA625" s="27">
        <f>IF(ISNUMBER($W625),$A625&amp;"|"&amp;$W625,"")</f>
        <v/>
      </c>
      <c r="AB625" s="27">
        <f>IF(ISNUMBER($F625),$A625&amp;"|"&amp;$F625,"")</f>
        <v/>
      </c>
      <c r="AC625" s="27">
        <f>IF(ISNUMBER($P625),COUNTIFS($A$14:$A$1213,$A625,$P$14:$P$1213,"&gt;"&amp;$P625)+(COUNTIFS($A$14:$A$1213,$A625,$P$14:$P$1213,"="&amp;$P625)+1)/2,"")</f>
        <v/>
      </c>
      <c r="AD625" s="27">
        <f>IF(ISNUMBER($Q625),COUNTIFS($A$14:$A$1213,$A625,$Q$14:$Q$1213,"&gt;"&amp;$Q625)+(COUNTIFS($A$14:$A$1213,$A625,$Q$14:$Q$1213,"="&amp;$Q625)+1)/2,"")</f>
        <v/>
      </c>
      <c r="AE625" s="27">
        <f>IF(ISNUMBER($R625),COUNTIFS($A$14:$A$1213,$A625,$R$14:$R$1213,"&gt;"&amp;$R625)+(COUNTIFS($A$14:$A$1213,$A625,$R$14:$R$1213,"="&amp;$R625)+1)/2,"")</f>
        <v/>
      </c>
      <c r="AF625" s="27">
        <f>IF(ISNUMBER($S625),COUNTIFS($A$14:$A$1213,$A625,$S$14:$S$1213,"&gt;"&amp;$S625)+(COUNTIFS($A$14:$A$1213,$A625,$S$14:$S$1213,"="&amp;$S625)+1)/2,"")</f>
        <v/>
      </c>
      <c r="AG625" s="27">
        <f>IF(ISNUMBER($T625),COUNTIFS($A$14:$A$1213,$A625,$T$14:$T$1213,"&gt;"&amp;$T625)+(COUNTIFS($A$14:$A$1213,$A625,$T$14:$T$1213,"="&amp;$T625)+1)/2,"")</f>
        <v/>
      </c>
      <c r="AH625" s="27">
        <f>IF(COUNT($AC625:$AG625)&lt;2,"",IF(MAX($AC625:$AG625)=MIN($AC625:$AG625),0,1))</f>
        <v/>
      </c>
      <c r="AI625" s="27">
        <f>IF($A625="","",IF(COUNTIF($A$14:$A625,$A625)=1,COUNTIF($AI$13:AI624,"&gt;0")+1,""))</f>
        <v/>
      </c>
      <c r="AO625" s="27">
        <f>IF($A625="","",IF(AND(COUNTIFS($A$14:$A$1213,$A625,$F$14:$F$1213,"&gt;=0")=2,IFERROR(INDEX($M$14:$M$313,MATCH($A625,$H$14:$H$313,0)),"Yes")&lt;&gt;"Yes"),1,0))</f>
        <v/>
      </c>
    </row>
    <row r="626">
      <c r="A626" s="19" t="n"/>
      <c r="B626" s="20" t="n"/>
      <c r="C626" s="21">
        <f>IFERROR(AVERAGE(P626:T626),"")</f>
        <v/>
      </c>
      <c r="D626" s="29" t="n"/>
      <c r="E626" s="29" t="n"/>
      <c r="F626" s="30">
        <f>IF(AND(ISNUMBER($D626),ISNUMBER($E626),$E626&gt;0,$D626&lt;=$E626),$D626/$E626,"")</f>
        <v/>
      </c>
      <c r="P626" s="26" t="n"/>
      <c r="Q626" s="26" t="n"/>
      <c r="R626" s="26" t="n"/>
      <c r="S626" s="26" t="n"/>
      <c r="T626" s="26" t="n"/>
      <c r="V626" s="27">
        <f>IF(ISNUMBER($C626),COUNTIFS($A$14:$A$1213,$A626,$C$14:$C$1213,"&gt;"&amp;$C626)+(COUNTIFS($A$14:$A$1213,$A626,$C$14:$C$1213,"="&amp;$C626)+1)/2,"")</f>
        <v/>
      </c>
      <c r="W626" s="27">
        <f>IF(ISNUMBER($F626),COUNTIFS($A$14:$A$1213,$A626,$F$14:$F$1213,"&gt;"&amp;$F626)+(COUNTIFS($A$14:$A$1213,$A626,$F$14:$F$1213,"="&amp;$F626)+1)/2,"")</f>
        <v/>
      </c>
      <c r="X626" s="27">
        <f>IF(OR(NOT(ISNUMBER($V626)),$AO626=1),"",$V626-(COUNTIFS($A$14:$A$1213,$A626,$C$14:$C$1213,"&gt;=0")+1)/2)</f>
        <v/>
      </c>
      <c r="Y626" s="27">
        <f>IF(OR(NOT(ISNUMBER($W626)),$AO626=1),"",$W626-(COUNTIFS($A$14:$A$1213,$A626,$F$14:$F$1213,"&gt;=0")+1)/2)</f>
        <v/>
      </c>
      <c r="Z626" s="27">
        <f>IF(ISNUMBER($V626),$A626&amp;"|"&amp;$V626,"")</f>
        <v/>
      </c>
      <c r="AA626" s="27">
        <f>IF(ISNUMBER($W626),$A626&amp;"|"&amp;$W626,"")</f>
        <v/>
      </c>
      <c r="AB626" s="27">
        <f>IF(ISNUMBER($F626),$A626&amp;"|"&amp;$F626,"")</f>
        <v/>
      </c>
      <c r="AC626" s="27">
        <f>IF(ISNUMBER($P626),COUNTIFS($A$14:$A$1213,$A626,$P$14:$P$1213,"&gt;"&amp;$P626)+(COUNTIFS($A$14:$A$1213,$A626,$P$14:$P$1213,"="&amp;$P626)+1)/2,"")</f>
        <v/>
      </c>
      <c r="AD626" s="27">
        <f>IF(ISNUMBER($Q626),COUNTIFS($A$14:$A$1213,$A626,$Q$14:$Q$1213,"&gt;"&amp;$Q626)+(COUNTIFS($A$14:$A$1213,$A626,$Q$14:$Q$1213,"="&amp;$Q626)+1)/2,"")</f>
        <v/>
      </c>
      <c r="AE626" s="27">
        <f>IF(ISNUMBER($R626),COUNTIFS($A$14:$A$1213,$A626,$R$14:$R$1213,"&gt;"&amp;$R626)+(COUNTIFS($A$14:$A$1213,$A626,$R$14:$R$1213,"="&amp;$R626)+1)/2,"")</f>
        <v/>
      </c>
      <c r="AF626" s="27">
        <f>IF(ISNUMBER($S626),COUNTIFS($A$14:$A$1213,$A626,$S$14:$S$1213,"&gt;"&amp;$S626)+(COUNTIFS($A$14:$A$1213,$A626,$S$14:$S$1213,"="&amp;$S626)+1)/2,"")</f>
        <v/>
      </c>
      <c r="AG626" s="27">
        <f>IF(ISNUMBER($T626),COUNTIFS($A$14:$A$1213,$A626,$T$14:$T$1213,"&gt;"&amp;$T626)+(COUNTIFS($A$14:$A$1213,$A626,$T$14:$T$1213,"="&amp;$T626)+1)/2,"")</f>
        <v/>
      </c>
      <c r="AH626" s="27">
        <f>IF(COUNT($AC626:$AG626)&lt;2,"",IF(MAX($AC626:$AG626)=MIN($AC626:$AG626),0,1))</f>
        <v/>
      </c>
      <c r="AI626" s="27">
        <f>IF($A626="","",IF(COUNTIF($A$14:$A626,$A626)=1,COUNTIF($AI$13:AI625,"&gt;0")+1,""))</f>
        <v/>
      </c>
      <c r="AO626" s="27">
        <f>IF($A626="","",IF(AND(COUNTIFS($A$14:$A$1213,$A626,$F$14:$F$1213,"&gt;=0")=2,IFERROR(INDEX($M$14:$M$313,MATCH($A626,$H$14:$H$313,0)),"Yes")&lt;&gt;"Yes"),1,0))</f>
        <v/>
      </c>
    </row>
    <row r="627">
      <c r="A627" s="19" t="n"/>
      <c r="B627" s="20" t="n"/>
      <c r="C627" s="21">
        <f>IFERROR(AVERAGE(P627:T627),"")</f>
        <v/>
      </c>
      <c r="D627" s="29" t="n"/>
      <c r="E627" s="29" t="n"/>
      <c r="F627" s="30">
        <f>IF(AND(ISNUMBER($D627),ISNUMBER($E627),$E627&gt;0,$D627&lt;=$E627),$D627/$E627,"")</f>
        <v/>
      </c>
      <c r="P627" s="26" t="n"/>
      <c r="Q627" s="26" t="n"/>
      <c r="R627" s="26" t="n"/>
      <c r="S627" s="26" t="n"/>
      <c r="T627" s="26" t="n"/>
      <c r="V627" s="27">
        <f>IF(ISNUMBER($C627),COUNTIFS($A$14:$A$1213,$A627,$C$14:$C$1213,"&gt;"&amp;$C627)+(COUNTIFS($A$14:$A$1213,$A627,$C$14:$C$1213,"="&amp;$C627)+1)/2,"")</f>
        <v/>
      </c>
      <c r="W627" s="27">
        <f>IF(ISNUMBER($F627),COUNTIFS($A$14:$A$1213,$A627,$F$14:$F$1213,"&gt;"&amp;$F627)+(COUNTIFS($A$14:$A$1213,$A627,$F$14:$F$1213,"="&amp;$F627)+1)/2,"")</f>
        <v/>
      </c>
      <c r="X627" s="27">
        <f>IF(OR(NOT(ISNUMBER($V627)),$AO627=1),"",$V627-(COUNTIFS($A$14:$A$1213,$A627,$C$14:$C$1213,"&gt;=0")+1)/2)</f>
        <v/>
      </c>
      <c r="Y627" s="27">
        <f>IF(OR(NOT(ISNUMBER($W627)),$AO627=1),"",$W627-(COUNTIFS($A$14:$A$1213,$A627,$F$14:$F$1213,"&gt;=0")+1)/2)</f>
        <v/>
      </c>
      <c r="Z627" s="27">
        <f>IF(ISNUMBER($V627),$A627&amp;"|"&amp;$V627,"")</f>
        <v/>
      </c>
      <c r="AA627" s="27">
        <f>IF(ISNUMBER($W627),$A627&amp;"|"&amp;$W627,"")</f>
        <v/>
      </c>
      <c r="AB627" s="27">
        <f>IF(ISNUMBER($F627),$A627&amp;"|"&amp;$F627,"")</f>
        <v/>
      </c>
      <c r="AC627" s="27">
        <f>IF(ISNUMBER($P627),COUNTIFS($A$14:$A$1213,$A627,$P$14:$P$1213,"&gt;"&amp;$P627)+(COUNTIFS($A$14:$A$1213,$A627,$P$14:$P$1213,"="&amp;$P627)+1)/2,"")</f>
        <v/>
      </c>
      <c r="AD627" s="27">
        <f>IF(ISNUMBER($Q627),COUNTIFS($A$14:$A$1213,$A627,$Q$14:$Q$1213,"&gt;"&amp;$Q627)+(COUNTIFS($A$14:$A$1213,$A627,$Q$14:$Q$1213,"="&amp;$Q627)+1)/2,"")</f>
        <v/>
      </c>
      <c r="AE627" s="27">
        <f>IF(ISNUMBER($R627),COUNTIFS($A$14:$A$1213,$A627,$R$14:$R$1213,"&gt;"&amp;$R627)+(COUNTIFS($A$14:$A$1213,$A627,$R$14:$R$1213,"="&amp;$R627)+1)/2,"")</f>
        <v/>
      </c>
      <c r="AF627" s="27">
        <f>IF(ISNUMBER($S627),COUNTIFS($A$14:$A$1213,$A627,$S$14:$S$1213,"&gt;"&amp;$S627)+(COUNTIFS($A$14:$A$1213,$A627,$S$14:$S$1213,"="&amp;$S627)+1)/2,"")</f>
        <v/>
      </c>
      <c r="AG627" s="27">
        <f>IF(ISNUMBER($T627),COUNTIFS($A$14:$A$1213,$A627,$T$14:$T$1213,"&gt;"&amp;$T627)+(COUNTIFS($A$14:$A$1213,$A627,$T$14:$T$1213,"="&amp;$T627)+1)/2,"")</f>
        <v/>
      </c>
      <c r="AH627" s="27">
        <f>IF(COUNT($AC627:$AG627)&lt;2,"",IF(MAX($AC627:$AG627)=MIN($AC627:$AG627),0,1))</f>
        <v/>
      </c>
      <c r="AI627" s="27">
        <f>IF($A627="","",IF(COUNTIF($A$14:$A627,$A627)=1,COUNTIF($AI$13:AI626,"&gt;0")+1,""))</f>
        <v/>
      </c>
      <c r="AO627" s="27">
        <f>IF($A627="","",IF(AND(COUNTIFS($A$14:$A$1213,$A627,$F$14:$F$1213,"&gt;=0")=2,IFERROR(INDEX($M$14:$M$313,MATCH($A627,$H$14:$H$313,0)),"Yes")&lt;&gt;"Yes"),1,0))</f>
        <v/>
      </c>
    </row>
    <row r="628">
      <c r="A628" s="19" t="n"/>
      <c r="B628" s="20" t="n"/>
      <c r="C628" s="21">
        <f>IFERROR(AVERAGE(P628:T628),"")</f>
        <v/>
      </c>
      <c r="D628" s="29" t="n"/>
      <c r="E628" s="29" t="n"/>
      <c r="F628" s="30">
        <f>IF(AND(ISNUMBER($D628),ISNUMBER($E628),$E628&gt;0,$D628&lt;=$E628),$D628/$E628,"")</f>
        <v/>
      </c>
      <c r="P628" s="26" t="n"/>
      <c r="Q628" s="26" t="n"/>
      <c r="R628" s="26" t="n"/>
      <c r="S628" s="26" t="n"/>
      <c r="T628" s="26" t="n"/>
      <c r="V628" s="27">
        <f>IF(ISNUMBER($C628),COUNTIFS($A$14:$A$1213,$A628,$C$14:$C$1213,"&gt;"&amp;$C628)+(COUNTIFS($A$14:$A$1213,$A628,$C$14:$C$1213,"="&amp;$C628)+1)/2,"")</f>
        <v/>
      </c>
      <c r="W628" s="27">
        <f>IF(ISNUMBER($F628),COUNTIFS($A$14:$A$1213,$A628,$F$14:$F$1213,"&gt;"&amp;$F628)+(COUNTIFS($A$14:$A$1213,$A628,$F$14:$F$1213,"="&amp;$F628)+1)/2,"")</f>
        <v/>
      </c>
      <c r="X628" s="27">
        <f>IF(OR(NOT(ISNUMBER($V628)),$AO628=1),"",$V628-(COUNTIFS($A$14:$A$1213,$A628,$C$14:$C$1213,"&gt;=0")+1)/2)</f>
        <v/>
      </c>
      <c r="Y628" s="27">
        <f>IF(OR(NOT(ISNUMBER($W628)),$AO628=1),"",$W628-(COUNTIFS($A$14:$A$1213,$A628,$F$14:$F$1213,"&gt;=0")+1)/2)</f>
        <v/>
      </c>
      <c r="Z628" s="27">
        <f>IF(ISNUMBER($V628),$A628&amp;"|"&amp;$V628,"")</f>
        <v/>
      </c>
      <c r="AA628" s="27">
        <f>IF(ISNUMBER($W628),$A628&amp;"|"&amp;$W628,"")</f>
        <v/>
      </c>
      <c r="AB628" s="27">
        <f>IF(ISNUMBER($F628),$A628&amp;"|"&amp;$F628,"")</f>
        <v/>
      </c>
      <c r="AC628" s="27">
        <f>IF(ISNUMBER($P628),COUNTIFS($A$14:$A$1213,$A628,$P$14:$P$1213,"&gt;"&amp;$P628)+(COUNTIFS($A$14:$A$1213,$A628,$P$14:$P$1213,"="&amp;$P628)+1)/2,"")</f>
        <v/>
      </c>
      <c r="AD628" s="27">
        <f>IF(ISNUMBER($Q628),COUNTIFS($A$14:$A$1213,$A628,$Q$14:$Q$1213,"&gt;"&amp;$Q628)+(COUNTIFS($A$14:$A$1213,$A628,$Q$14:$Q$1213,"="&amp;$Q628)+1)/2,"")</f>
        <v/>
      </c>
      <c r="AE628" s="27">
        <f>IF(ISNUMBER($R628),COUNTIFS($A$14:$A$1213,$A628,$R$14:$R$1213,"&gt;"&amp;$R628)+(COUNTIFS($A$14:$A$1213,$A628,$R$14:$R$1213,"="&amp;$R628)+1)/2,"")</f>
        <v/>
      </c>
      <c r="AF628" s="27">
        <f>IF(ISNUMBER($S628),COUNTIFS($A$14:$A$1213,$A628,$S$14:$S$1213,"&gt;"&amp;$S628)+(COUNTIFS($A$14:$A$1213,$A628,$S$14:$S$1213,"="&amp;$S628)+1)/2,"")</f>
        <v/>
      </c>
      <c r="AG628" s="27">
        <f>IF(ISNUMBER($T628),COUNTIFS($A$14:$A$1213,$A628,$T$14:$T$1213,"&gt;"&amp;$T628)+(COUNTIFS($A$14:$A$1213,$A628,$T$14:$T$1213,"="&amp;$T628)+1)/2,"")</f>
        <v/>
      </c>
      <c r="AH628" s="27">
        <f>IF(COUNT($AC628:$AG628)&lt;2,"",IF(MAX($AC628:$AG628)=MIN($AC628:$AG628),0,1))</f>
        <v/>
      </c>
      <c r="AI628" s="27">
        <f>IF($A628="","",IF(COUNTIF($A$14:$A628,$A628)=1,COUNTIF($AI$13:AI627,"&gt;0")+1,""))</f>
        <v/>
      </c>
      <c r="AO628" s="27">
        <f>IF($A628="","",IF(AND(COUNTIFS($A$14:$A$1213,$A628,$F$14:$F$1213,"&gt;=0")=2,IFERROR(INDEX($M$14:$M$313,MATCH($A628,$H$14:$H$313,0)),"Yes")&lt;&gt;"Yes"),1,0))</f>
        <v/>
      </c>
    </row>
    <row r="629">
      <c r="A629" s="19" t="n"/>
      <c r="B629" s="20" t="n"/>
      <c r="C629" s="21">
        <f>IFERROR(AVERAGE(P629:T629),"")</f>
        <v/>
      </c>
      <c r="D629" s="29" t="n"/>
      <c r="E629" s="29" t="n"/>
      <c r="F629" s="30">
        <f>IF(AND(ISNUMBER($D629),ISNUMBER($E629),$E629&gt;0,$D629&lt;=$E629),$D629/$E629,"")</f>
        <v/>
      </c>
      <c r="P629" s="26" t="n"/>
      <c r="Q629" s="26" t="n"/>
      <c r="R629" s="26" t="n"/>
      <c r="S629" s="26" t="n"/>
      <c r="T629" s="26" t="n"/>
      <c r="V629" s="27">
        <f>IF(ISNUMBER($C629),COUNTIFS($A$14:$A$1213,$A629,$C$14:$C$1213,"&gt;"&amp;$C629)+(COUNTIFS($A$14:$A$1213,$A629,$C$14:$C$1213,"="&amp;$C629)+1)/2,"")</f>
        <v/>
      </c>
      <c r="W629" s="27">
        <f>IF(ISNUMBER($F629),COUNTIFS($A$14:$A$1213,$A629,$F$14:$F$1213,"&gt;"&amp;$F629)+(COUNTIFS($A$14:$A$1213,$A629,$F$14:$F$1213,"="&amp;$F629)+1)/2,"")</f>
        <v/>
      </c>
      <c r="X629" s="27">
        <f>IF(OR(NOT(ISNUMBER($V629)),$AO629=1),"",$V629-(COUNTIFS($A$14:$A$1213,$A629,$C$14:$C$1213,"&gt;=0")+1)/2)</f>
        <v/>
      </c>
      <c r="Y629" s="27">
        <f>IF(OR(NOT(ISNUMBER($W629)),$AO629=1),"",$W629-(COUNTIFS($A$14:$A$1213,$A629,$F$14:$F$1213,"&gt;=0")+1)/2)</f>
        <v/>
      </c>
      <c r="Z629" s="27">
        <f>IF(ISNUMBER($V629),$A629&amp;"|"&amp;$V629,"")</f>
        <v/>
      </c>
      <c r="AA629" s="27">
        <f>IF(ISNUMBER($W629),$A629&amp;"|"&amp;$W629,"")</f>
        <v/>
      </c>
      <c r="AB629" s="27">
        <f>IF(ISNUMBER($F629),$A629&amp;"|"&amp;$F629,"")</f>
        <v/>
      </c>
      <c r="AC629" s="27">
        <f>IF(ISNUMBER($P629),COUNTIFS($A$14:$A$1213,$A629,$P$14:$P$1213,"&gt;"&amp;$P629)+(COUNTIFS($A$14:$A$1213,$A629,$P$14:$P$1213,"="&amp;$P629)+1)/2,"")</f>
        <v/>
      </c>
      <c r="AD629" s="27">
        <f>IF(ISNUMBER($Q629),COUNTIFS($A$14:$A$1213,$A629,$Q$14:$Q$1213,"&gt;"&amp;$Q629)+(COUNTIFS($A$14:$A$1213,$A629,$Q$14:$Q$1213,"="&amp;$Q629)+1)/2,"")</f>
        <v/>
      </c>
      <c r="AE629" s="27">
        <f>IF(ISNUMBER($R629),COUNTIFS($A$14:$A$1213,$A629,$R$14:$R$1213,"&gt;"&amp;$R629)+(COUNTIFS($A$14:$A$1213,$A629,$R$14:$R$1213,"="&amp;$R629)+1)/2,"")</f>
        <v/>
      </c>
      <c r="AF629" s="27">
        <f>IF(ISNUMBER($S629),COUNTIFS($A$14:$A$1213,$A629,$S$14:$S$1213,"&gt;"&amp;$S629)+(COUNTIFS($A$14:$A$1213,$A629,$S$14:$S$1213,"="&amp;$S629)+1)/2,"")</f>
        <v/>
      </c>
      <c r="AG629" s="27">
        <f>IF(ISNUMBER($T629),COUNTIFS($A$14:$A$1213,$A629,$T$14:$T$1213,"&gt;"&amp;$T629)+(COUNTIFS($A$14:$A$1213,$A629,$T$14:$T$1213,"="&amp;$T629)+1)/2,"")</f>
        <v/>
      </c>
      <c r="AH629" s="27">
        <f>IF(COUNT($AC629:$AG629)&lt;2,"",IF(MAX($AC629:$AG629)=MIN($AC629:$AG629),0,1))</f>
        <v/>
      </c>
      <c r="AI629" s="27">
        <f>IF($A629="","",IF(COUNTIF($A$14:$A629,$A629)=1,COUNTIF($AI$13:AI628,"&gt;0")+1,""))</f>
        <v/>
      </c>
      <c r="AO629" s="27">
        <f>IF($A629="","",IF(AND(COUNTIFS($A$14:$A$1213,$A629,$F$14:$F$1213,"&gt;=0")=2,IFERROR(INDEX($M$14:$M$313,MATCH($A629,$H$14:$H$313,0)),"Yes")&lt;&gt;"Yes"),1,0))</f>
        <v/>
      </c>
    </row>
    <row r="630">
      <c r="A630" s="19" t="n"/>
      <c r="B630" s="20" t="n"/>
      <c r="C630" s="21">
        <f>IFERROR(AVERAGE(P630:T630),"")</f>
        <v/>
      </c>
      <c r="D630" s="29" t="n"/>
      <c r="E630" s="29" t="n"/>
      <c r="F630" s="30">
        <f>IF(AND(ISNUMBER($D630),ISNUMBER($E630),$E630&gt;0,$D630&lt;=$E630),$D630/$E630,"")</f>
        <v/>
      </c>
      <c r="P630" s="26" t="n"/>
      <c r="Q630" s="26" t="n"/>
      <c r="R630" s="26" t="n"/>
      <c r="S630" s="26" t="n"/>
      <c r="T630" s="26" t="n"/>
      <c r="V630" s="27">
        <f>IF(ISNUMBER($C630),COUNTIFS($A$14:$A$1213,$A630,$C$14:$C$1213,"&gt;"&amp;$C630)+(COUNTIFS($A$14:$A$1213,$A630,$C$14:$C$1213,"="&amp;$C630)+1)/2,"")</f>
        <v/>
      </c>
      <c r="W630" s="27">
        <f>IF(ISNUMBER($F630),COUNTIFS($A$14:$A$1213,$A630,$F$14:$F$1213,"&gt;"&amp;$F630)+(COUNTIFS($A$14:$A$1213,$A630,$F$14:$F$1213,"="&amp;$F630)+1)/2,"")</f>
        <v/>
      </c>
      <c r="X630" s="27">
        <f>IF(OR(NOT(ISNUMBER($V630)),$AO630=1),"",$V630-(COUNTIFS($A$14:$A$1213,$A630,$C$14:$C$1213,"&gt;=0")+1)/2)</f>
        <v/>
      </c>
      <c r="Y630" s="27">
        <f>IF(OR(NOT(ISNUMBER($W630)),$AO630=1),"",$W630-(COUNTIFS($A$14:$A$1213,$A630,$F$14:$F$1213,"&gt;=0")+1)/2)</f>
        <v/>
      </c>
      <c r="Z630" s="27">
        <f>IF(ISNUMBER($V630),$A630&amp;"|"&amp;$V630,"")</f>
        <v/>
      </c>
      <c r="AA630" s="27">
        <f>IF(ISNUMBER($W630),$A630&amp;"|"&amp;$W630,"")</f>
        <v/>
      </c>
      <c r="AB630" s="27">
        <f>IF(ISNUMBER($F630),$A630&amp;"|"&amp;$F630,"")</f>
        <v/>
      </c>
      <c r="AC630" s="27">
        <f>IF(ISNUMBER($P630),COUNTIFS($A$14:$A$1213,$A630,$P$14:$P$1213,"&gt;"&amp;$P630)+(COUNTIFS($A$14:$A$1213,$A630,$P$14:$P$1213,"="&amp;$P630)+1)/2,"")</f>
        <v/>
      </c>
      <c r="AD630" s="27">
        <f>IF(ISNUMBER($Q630),COUNTIFS($A$14:$A$1213,$A630,$Q$14:$Q$1213,"&gt;"&amp;$Q630)+(COUNTIFS($A$14:$A$1213,$A630,$Q$14:$Q$1213,"="&amp;$Q630)+1)/2,"")</f>
        <v/>
      </c>
      <c r="AE630" s="27">
        <f>IF(ISNUMBER($R630),COUNTIFS($A$14:$A$1213,$A630,$R$14:$R$1213,"&gt;"&amp;$R630)+(COUNTIFS($A$14:$A$1213,$A630,$R$14:$R$1213,"="&amp;$R630)+1)/2,"")</f>
        <v/>
      </c>
      <c r="AF630" s="27">
        <f>IF(ISNUMBER($S630),COUNTIFS($A$14:$A$1213,$A630,$S$14:$S$1213,"&gt;"&amp;$S630)+(COUNTIFS($A$14:$A$1213,$A630,$S$14:$S$1213,"="&amp;$S630)+1)/2,"")</f>
        <v/>
      </c>
      <c r="AG630" s="27">
        <f>IF(ISNUMBER($T630),COUNTIFS($A$14:$A$1213,$A630,$T$14:$T$1213,"&gt;"&amp;$T630)+(COUNTIFS($A$14:$A$1213,$A630,$T$14:$T$1213,"="&amp;$T630)+1)/2,"")</f>
        <v/>
      </c>
      <c r="AH630" s="27">
        <f>IF(COUNT($AC630:$AG630)&lt;2,"",IF(MAX($AC630:$AG630)=MIN($AC630:$AG630),0,1))</f>
        <v/>
      </c>
      <c r="AI630" s="27">
        <f>IF($A630="","",IF(COUNTIF($A$14:$A630,$A630)=1,COUNTIF($AI$13:AI629,"&gt;0")+1,""))</f>
        <v/>
      </c>
      <c r="AO630" s="27">
        <f>IF($A630="","",IF(AND(COUNTIFS($A$14:$A$1213,$A630,$F$14:$F$1213,"&gt;=0")=2,IFERROR(INDEX($M$14:$M$313,MATCH($A630,$H$14:$H$313,0)),"Yes")&lt;&gt;"Yes"),1,0))</f>
        <v/>
      </c>
    </row>
    <row r="631">
      <c r="A631" s="19" t="n"/>
      <c r="B631" s="20" t="n"/>
      <c r="C631" s="21">
        <f>IFERROR(AVERAGE(P631:T631),"")</f>
        <v/>
      </c>
      <c r="D631" s="29" t="n"/>
      <c r="E631" s="29" t="n"/>
      <c r="F631" s="30">
        <f>IF(AND(ISNUMBER($D631),ISNUMBER($E631),$E631&gt;0,$D631&lt;=$E631),$D631/$E631,"")</f>
        <v/>
      </c>
      <c r="P631" s="26" t="n"/>
      <c r="Q631" s="26" t="n"/>
      <c r="R631" s="26" t="n"/>
      <c r="S631" s="26" t="n"/>
      <c r="T631" s="26" t="n"/>
      <c r="V631" s="27">
        <f>IF(ISNUMBER($C631),COUNTIFS($A$14:$A$1213,$A631,$C$14:$C$1213,"&gt;"&amp;$C631)+(COUNTIFS($A$14:$A$1213,$A631,$C$14:$C$1213,"="&amp;$C631)+1)/2,"")</f>
        <v/>
      </c>
      <c r="W631" s="27">
        <f>IF(ISNUMBER($F631),COUNTIFS($A$14:$A$1213,$A631,$F$14:$F$1213,"&gt;"&amp;$F631)+(COUNTIFS($A$14:$A$1213,$A631,$F$14:$F$1213,"="&amp;$F631)+1)/2,"")</f>
        <v/>
      </c>
      <c r="X631" s="27">
        <f>IF(OR(NOT(ISNUMBER($V631)),$AO631=1),"",$V631-(COUNTIFS($A$14:$A$1213,$A631,$C$14:$C$1213,"&gt;=0")+1)/2)</f>
        <v/>
      </c>
      <c r="Y631" s="27">
        <f>IF(OR(NOT(ISNUMBER($W631)),$AO631=1),"",$W631-(COUNTIFS($A$14:$A$1213,$A631,$F$14:$F$1213,"&gt;=0")+1)/2)</f>
        <v/>
      </c>
      <c r="Z631" s="27">
        <f>IF(ISNUMBER($V631),$A631&amp;"|"&amp;$V631,"")</f>
        <v/>
      </c>
      <c r="AA631" s="27">
        <f>IF(ISNUMBER($W631),$A631&amp;"|"&amp;$W631,"")</f>
        <v/>
      </c>
      <c r="AB631" s="27">
        <f>IF(ISNUMBER($F631),$A631&amp;"|"&amp;$F631,"")</f>
        <v/>
      </c>
      <c r="AC631" s="27">
        <f>IF(ISNUMBER($P631),COUNTIFS($A$14:$A$1213,$A631,$P$14:$P$1213,"&gt;"&amp;$P631)+(COUNTIFS($A$14:$A$1213,$A631,$P$14:$P$1213,"="&amp;$P631)+1)/2,"")</f>
        <v/>
      </c>
      <c r="AD631" s="27">
        <f>IF(ISNUMBER($Q631),COUNTIFS($A$14:$A$1213,$A631,$Q$14:$Q$1213,"&gt;"&amp;$Q631)+(COUNTIFS($A$14:$A$1213,$A631,$Q$14:$Q$1213,"="&amp;$Q631)+1)/2,"")</f>
        <v/>
      </c>
      <c r="AE631" s="27">
        <f>IF(ISNUMBER($R631),COUNTIFS($A$14:$A$1213,$A631,$R$14:$R$1213,"&gt;"&amp;$R631)+(COUNTIFS($A$14:$A$1213,$A631,$R$14:$R$1213,"="&amp;$R631)+1)/2,"")</f>
        <v/>
      </c>
      <c r="AF631" s="27">
        <f>IF(ISNUMBER($S631),COUNTIFS($A$14:$A$1213,$A631,$S$14:$S$1213,"&gt;"&amp;$S631)+(COUNTIFS($A$14:$A$1213,$A631,$S$14:$S$1213,"="&amp;$S631)+1)/2,"")</f>
        <v/>
      </c>
      <c r="AG631" s="27">
        <f>IF(ISNUMBER($T631),COUNTIFS($A$14:$A$1213,$A631,$T$14:$T$1213,"&gt;"&amp;$T631)+(COUNTIFS($A$14:$A$1213,$A631,$T$14:$T$1213,"="&amp;$T631)+1)/2,"")</f>
        <v/>
      </c>
      <c r="AH631" s="27">
        <f>IF(COUNT($AC631:$AG631)&lt;2,"",IF(MAX($AC631:$AG631)=MIN($AC631:$AG631),0,1))</f>
        <v/>
      </c>
      <c r="AI631" s="27">
        <f>IF($A631="","",IF(COUNTIF($A$14:$A631,$A631)=1,COUNTIF($AI$13:AI630,"&gt;0")+1,""))</f>
        <v/>
      </c>
      <c r="AO631" s="27">
        <f>IF($A631="","",IF(AND(COUNTIFS($A$14:$A$1213,$A631,$F$14:$F$1213,"&gt;=0")=2,IFERROR(INDEX($M$14:$M$313,MATCH($A631,$H$14:$H$313,0)),"Yes")&lt;&gt;"Yes"),1,0))</f>
        <v/>
      </c>
    </row>
    <row r="632">
      <c r="A632" s="19" t="n"/>
      <c r="B632" s="20" t="n"/>
      <c r="C632" s="21">
        <f>IFERROR(AVERAGE(P632:T632),"")</f>
        <v/>
      </c>
      <c r="D632" s="29" t="n"/>
      <c r="E632" s="29" t="n"/>
      <c r="F632" s="30">
        <f>IF(AND(ISNUMBER($D632),ISNUMBER($E632),$E632&gt;0,$D632&lt;=$E632),$D632/$E632,"")</f>
        <v/>
      </c>
      <c r="P632" s="26" t="n"/>
      <c r="Q632" s="26" t="n"/>
      <c r="R632" s="26" t="n"/>
      <c r="S632" s="26" t="n"/>
      <c r="T632" s="26" t="n"/>
      <c r="V632" s="27">
        <f>IF(ISNUMBER($C632),COUNTIFS($A$14:$A$1213,$A632,$C$14:$C$1213,"&gt;"&amp;$C632)+(COUNTIFS($A$14:$A$1213,$A632,$C$14:$C$1213,"="&amp;$C632)+1)/2,"")</f>
        <v/>
      </c>
      <c r="W632" s="27">
        <f>IF(ISNUMBER($F632),COUNTIFS($A$14:$A$1213,$A632,$F$14:$F$1213,"&gt;"&amp;$F632)+(COUNTIFS($A$14:$A$1213,$A632,$F$14:$F$1213,"="&amp;$F632)+1)/2,"")</f>
        <v/>
      </c>
      <c r="X632" s="27">
        <f>IF(OR(NOT(ISNUMBER($V632)),$AO632=1),"",$V632-(COUNTIFS($A$14:$A$1213,$A632,$C$14:$C$1213,"&gt;=0")+1)/2)</f>
        <v/>
      </c>
      <c r="Y632" s="27">
        <f>IF(OR(NOT(ISNUMBER($W632)),$AO632=1),"",$W632-(COUNTIFS($A$14:$A$1213,$A632,$F$14:$F$1213,"&gt;=0")+1)/2)</f>
        <v/>
      </c>
      <c r="Z632" s="27">
        <f>IF(ISNUMBER($V632),$A632&amp;"|"&amp;$V632,"")</f>
        <v/>
      </c>
      <c r="AA632" s="27">
        <f>IF(ISNUMBER($W632),$A632&amp;"|"&amp;$W632,"")</f>
        <v/>
      </c>
      <c r="AB632" s="27">
        <f>IF(ISNUMBER($F632),$A632&amp;"|"&amp;$F632,"")</f>
        <v/>
      </c>
      <c r="AC632" s="27">
        <f>IF(ISNUMBER($P632),COUNTIFS($A$14:$A$1213,$A632,$P$14:$P$1213,"&gt;"&amp;$P632)+(COUNTIFS($A$14:$A$1213,$A632,$P$14:$P$1213,"="&amp;$P632)+1)/2,"")</f>
        <v/>
      </c>
      <c r="AD632" s="27">
        <f>IF(ISNUMBER($Q632),COUNTIFS($A$14:$A$1213,$A632,$Q$14:$Q$1213,"&gt;"&amp;$Q632)+(COUNTIFS($A$14:$A$1213,$A632,$Q$14:$Q$1213,"="&amp;$Q632)+1)/2,"")</f>
        <v/>
      </c>
      <c r="AE632" s="27">
        <f>IF(ISNUMBER($R632),COUNTIFS($A$14:$A$1213,$A632,$R$14:$R$1213,"&gt;"&amp;$R632)+(COUNTIFS($A$14:$A$1213,$A632,$R$14:$R$1213,"="&amp;$R632)+1)/2,"")</f>
        <v/>
      </c>
      <c r="AF632" s="27">
        <f>IF(ISNUMBER($S632),COUNTIFS($A$14:$A$1213,$A632,$S$14:$S$1213,"&gt;"&amp;$S632)+(COUNTIFS($A$14:$A$1213,$A632,$S$14:$S$1213,"="&amp;$S632)+1)/2,"")</f>
        <v/>
      </c>
      <c r="AG632" s="27">
        <f>IF(ISNUMBER($T632),COUNTIFS($A$14:$A$1213,$A632,$T$14:$T$1213,"&gt;"&amp;$T632)+(COUNTIFS($A$14:$A$1213,$A632,$T$14:$T$1213,"="&amp;$T632)+1)/2,"")</f>
        <v/>
      </c>
      <c r="AH632" s="27">
        <f>IF(COUNT($AC632:$AG632)&lt;2,"",IF(MAX($AC632:$AG632)=MIN($AC632:$AG632),0,1))</f>
        <v/>
      </c>
      <c r="AI632" s="27">
        <f>IF($A632="","",IF(COUNTIF($A$14:$A632,$A632)=1,COUNTIF($AI$13:AI631,"&gt;0")+1,""))</f>
        <v/>
      </c>
      <c r="AO632" s="27">
        <f>IF($A632="","",IF(AND(COUNTIFS($A$14:$A$1213,$A632,$F$14:$F$1213,"&gt;=0")=2,IFERROR(INDEX($M$14:$M$313,MATCH($A632,$H$14:$H$313,0)),"Yes")&lt;&gt;"Yes"),1,0))</f>
        <v/>
      </c>
    </row>
    <row r="633">
      <c r="A633" s="19" t="n"/>
      <c r="B633" s="20" t="n"/>
      <c r="C633" s="21">
        <f>IFERROR(AVERAGE(P633:T633),"")</f>
        <v/>
      </c>
      <c r="D633" s="29" t="n"/>
      <c r="E633" s="29" t="n"/>
      <c r="F633" s="30">
        <f>IF(AND(ISNUMBER($D633),ISNUMBER($E633),$E633&gt;0,$D633&lt;=$E633),$D633/$E633,"")</f>
        <v/>
      </c>
      <c r="P633" s="26" t="n"/>
      <c r="Q633" s="26" t="n"/>
      <c r="R633" s="26" t="n"/>
      <c r="S633" s="26" t="n"/>
      <c r="T633" s="26" t="n"/>
      <c r="V633" s="27">
        <f>IF(ISNUMBER($C633),COUNTIFS($A$14:$A$1213,$A633,$C$14:$C$1213,"&gt;"&amp;$C633)+(COUNTIFS($A$14:$A$1213,$A633,$C$14:$C$1213,"="&amp;$C633)+1)/2,"")</f>
        <v/>
      </c>
      <c r="W633" s="27">
        <f>IF(ISNUMBER($F633),COUNTIFS($A$14:$A$1213,$A633,$F$14:$F$1213,"&gt;"&amp;$F633)+(COUNTIFS($A$14:$A$1213,$A633,$F$14:$F$1213,"="&amp;$F633)+1)/2,"")</f>
        <v/>
      </c>
      <c r="X633" s="27">
        <f>IF(OR(NOT(ISNUMBER($V633)),$AO633=1),"",$V633-(COUNTIFS($A$14:$A$1213,$A633,$C$14:$C$1213,"&gt;=0")+1)/2)</f>
        <v/>
      </c>
      <c r="Y633" s="27">
        <f>IF(OR(NOT(ISNUMBER($W633)),$AO633=1),"",$W633-(COUNTIFS($A$14:$A$1213,$A633,$F$14:$F$1213,"&gt;=0")+1)/2)</f>
        <v/>
      </c>
      <c r="Z633" s="27">
        <f>IF(ISNUMBER($V633),$A633&amp;"|"&amp;$V633,"")</f>
        <v/>
      </c>
      <c r="AA633" s="27">
        <f>IF(ISNUMBER($W633),$A633&amp;"|"&amp;$W633,"")</f>
        <v/>
      </c>
      <c r="AB633" s="27">
        <f>IF(ISNUMBER($F633),$A633&amp;"|"&amp;$F633,"")</f>
        <v/>
      </c>
      <c r="AC633" s="27">
        <f>IF(ISNUMBER($P633),COUNTIFS($A$14:$A$1213,$A633,$P$14:$P$1213,"&gt;"&amp;$P633)+(COUNTIFS($A$14:$A$1213,$A633,$P$14:$P$1213,"="&amp;$P633)+1)/2,"")</f>
        <v/>
      </c>
      <c r="AD633" s="27">
        <f>IF(ISNUMBER($Q633),COUNTIFS($A$14:$A$1213,$A633,$Q$14:$Q$1213,"&gt;"&amp;$Q633)+(COUNTIFS($A$14:$A$1213,$A633,$Q$14:$Q$1213,"="&amp;$Q633)+1)/2,"")</f>
        <v/>
      </c>
      <c r="AE633" s="27">
        <f>IF(ISNUMBER($R633),COUNTIFS($A$14:$A$1213,$A633,$R$14:$R$1213,"&gt;"&amp;$R633)+(COUNTIFS($A$14:$A$1213,$A633,$R$14:$R$1213,"="&amp;$R633)+1)/2,"")</f>
        <v/>
      </c>
      <c r="AF633" s="27">
        <f>IF(ISNUMBER($S633),COUNTIFS($A$14:$A$1213,$A633,$S$14:$S$1213,"&gt;"&amp;$S633)+(COUNTIFS($A$14:$A$1213,$A633,$S$14:$S$1213,"="&amp;$S633)+1)/2,"")</f>
        <v/>
      </c>
      <c r="AG633" s="27">
        <f>IF(ISNUMBER($T633),COUNTIFS($A$14:$A$1213,$A633,$T$14:$T$1213,"&gt;"&amp;$T633)+(COUNTIFS($A$14:$A$1213,$A633,$T$14:$T$1213,"="&amp;$T633)+1)/2,"")</f>
        <v/>
      </c>
      <c r="AH633" s="27">
        <f>IF(COUNT($AC633:$AG633)&lt;2,"",IF(MAX($AC633:$AG633)=MIN($AC633:$AG633),0,1))</f>
        <v/>
      </c>
      <c r="AI633" s="27">
        <f>IF($A633="","",IF(COUNTIF($A$14:$A633,$A633)=1,COUNTIF($AI$13:AI632,"&gt;0")+1,""))</f>
        <v/>
      </c>
      <c r="AO633" s="27">
        <f>IF($A633="","",IF(AND(COUNTIFS($A$14:$A$1213,$A633,$F$14:$F$1213,"&gt;=0")=2,IFERROR(INDEX($M$14:$M$313,MATCH($A633,$H$14:$H$313,0)),"Yes")&lt;&gt;"Yes"),1,0))</f>
        <v/>
      </c>
    </row>
    <row r="634">
      <c r="A634" s="19" t="n"/>
      <c r="B634" s="20" t="n"/>
      <c r="C634" s="21">
        <f>IFERROR(AVERAGE(P634:T634),"")</f>
        <v/>
      </c>
      <c r="D634" s="29" t="n"/>
      <c r="E634" s="29" t="n"/>
      <c r="F634" s="30">
        <f>IF(AND(ISNUMBER($D634),ISNUMBER($E634),$E634&gt;0,$D634&lt;=$E634),$D634/$E634,"")</f>
        <v/>
      </c>
      <c r="P634" s="26" t="n"/>
      <c r="Q634" s="26" t="n"/>
      <c r="R634" s="26" t="n"/>
      <c r="S634" s="26" t="n"/>
      <c r="T634" s="26" t="n"/>
      <c r="V634" s="27">
        <f>IF(ISNUMBER($C634),COUNTIFS($A$14:$A$1213,$A634,$C$14:$C$1213,"&gt;"&amp;$C634)+(COUNTIFS($A$14:$A$1213,$A634,$C$14:$C$1213,"="&amp;$C634)+1)/2,"")</f>
        <v/>
      </c>
      <c r="W634" s="27">
        <f>IF(ISNUMBER($F634),COUNTIFS($A$14:$A$1213,$A634,$F$14:$F$1213,"&gt;"&amp;$F634)+(COUNTIFS($A$14:$A$1213,$A634,$F$14:$F$1213,"="&amp;$F634)+1)/2,"")</f>
        <v/>
      </c>
      <c r="X634" s="27">
        <f>IF(OR(NOT(ISNUMBER($V634)),$AO634=1),"",$V634-(COUNTIFS($A$14:$A$1213,$A634,$C$14:$C$1213,"&gt;=0")+1)/2)</f>
        <v/>
      </c>
      <c r="Y634" s="27">
        <f>IF(OR(NOT(ISNUMBER($W634)),$AO634=1),"",$W634-(COUNTIFS($A$14:$A$1213,$A634,$F$14:$F$1213,"&gt;=0")+1)/2)</f>
        <v/>
      </c>
      <c r="Z634" s="27">
        <f>IF(ISNUMBER($V634),$A634&amp;"|"&amp;$V634,"")</f>
        <v/>
      </c>
      <c r="AA634" s="27">
        <f>IF(ISNUMBER($W634),$A634&amp;"|"&amp;$W634,"")</f>
        <v/>
      </c>
      <c r="AB634" s="27">
        <f>IF(ISNUMBER($F634),$A634&amp;"|"&amp;$F634,"")</f>
        <v/>
      </c>
      <c r="AC634" s="27">
        <f>IF(ISNUMBER($P634),COUNTIFS($A$14:$A$1213,$A634,$P$14:$P$1213,"&gt;"&amp;$P634)+(COUNTIFS($A$14:$A$1213,$A634,$P$14:$P$1213,"="&amp;$P634)+1)/2,"")</f>
        <v/>
      </c>
      <c r="AD634" s="27">
        <f>IF(ISNUMBER($Q634),COUNTIFS($A$14:$A$1213,$A634,$Q$14:$Q$1213,"&gt;"&amp;$Q634)+(COUNTIFS($A$14:$A$1213,$A634,$Q$14:$Q$1213,"="&amp;$Q634)+1)/2,"")</f>
        <v/>
      </c>
      <c r="AE634" s="27">
        <f>IF(ISNUMBER($R634),COUNTIFS($A$14:$A$1213,$A634,$R$14:$R$1213,"&gt;"&amp;$R634)+(COUNTIFS($A$14:$A$1213,$A634,$R$14:$R$1213,"="&amp;$R634)+1)/2,"")</f>
        <v/>
      </c>
      <c r="AF634" s="27">
        <f>IF(ISNUMBER($S634),COUNTIFS($A$14:$A$1213,$A634,$S$14:$S$1213,"&gt;"&amp;$S634)+(COUNTIFS($A$14:$A$1213,$A634,$S$14:$S$1213,"="&amp;$S634)+1)/2,"")</f>
        <v/>
      </c>
      <c r="AG634" s="27">
        <f>IF(ISNUMBER($T634),COUNTIFS($A$14:$A$1213,$A634,$T$14:$T$1213,"&gt;"&amp;$T634)+(COUNTIFS($A$14:$A$1213,$A634,$T$14:$T$1213,"="&amp;$T634)+1)/2,"")</f>
        <v/>
      </c>
      <c r="AH634" s="27">
        <f>IF(COUNT($AC634:$AG634)&lt;2,"",IF(MAX($AC634:$AG634)=MIN($AC634:$AG634),0,1))</f>
        <v/>
      </c>
      <c r="AI634" s="27">
        <f>IF($A634="","",IF(COUNTIF($A$14:$A634,$A634)=1,COUNTIF($AI$13:AI633,"&gt;0")+1,""))</f>
        <v/>
      </c>
      <c r="AO634" s="27">
        <f>IF($A634="","",IF(AND(COUNTIFS($A$14:$A$1213,$A634,$F$14:$F$1213,"&gt;=0")=2,IFERROR(INDEX($M$14:$M$313,MATCH($A634,$H$14:$H$313,0)),"Yes")&lt;&gt;"Yes"),1,0))</f>
        <v/>
      </c>
    </row>
    <row r="635">
      <c r="A635" s="19" t="n"/>
      <c r="B635" s="20" t="n"/>
      <c r="C635" s="21">
        <f>IFERROR(AVERAGE(P635:T635),"")</f>
        <v/>
      </c>
      <c r="D635" s="29" t="n"/>
      <c r="E635" s="29" t="n"/>
      <c r="F635" s="30">
        <f>IF(AND(ISNUMBER($D635),ISNUMBER($E635),$E635&gt;0,$D635&lt;=$E635),$D635/$E635,"")</f>
        <v/>
      </c>
      <c r="P635" s="26" t="n"/>
      <c r="Q635" s="26" t="n"/>
      <c r="R635" s="26" t="n"/>
      <c r="S635" s="26" t="n"/>
      <c r="T635" s="26" t="n"/>
      <c r="V635" s="27">
        <f>IF(ISNUMBER($C635),COUNTIFS($A$14:$A$1213,$A635,$C$14:$C$1213,"&gt;"&amp;$C635)+(COUNTIFS($A$14:$A$1213,$A635,$C$14:$C$1213,"="&amp;$C635)+1)/2,"")</f>
        <v/>
      </c>
      <c r="W635" s="27">
        <f>IF(ISNUMBER($F635),COUNTIFS($A$14:$A$1213,$A635,$F$14:$F$1213,"&gt;"&amp;$F635)+(COUNTIFS($A$14:$A$1213,$A635,$F$14:$F$1213,"="&amp;$F635)+1)/2,"")</f>
        <v/>
      </c>
      <c r="X635" s="27">
        <f>IF(OR(NOT(ISNUMBER($V635)),$AO635=1),"",$V635-(COUNTIFS($A$14:$A$1213,$A635,$C$14:$C$1213,"&gt;=0")+1)/2)</f>
        <v/>
      </c>
      <c r="Y635" s="27">
        <f>IF(OR(NOT(ISNUMBER($W635)),$AO635=1),"",$W635-(COUNTIFS($A$14:$A$1213,$A635,$F$14:$F$1213,"&gt;=0")+1)/2)</f>
        <v/>
      </c>
      <c r="Z635" s="27">
        <f>IF(ISNUMBER($V635),$A635&amp;"|"&amp;$V635,"")</f>
        <v/>
      </c>
      <c r="AA635" s="27">
        <f>IF(ISNUMBER($W635),$A635&amp;"|"&amp;$W635,"")</f>
        <v/>
      </c>
      <c r="AB635" s="27">
        <f>IF(ISNUMBER($F635),$A635&amp;"|"&amp;$F635,"")</f>
        <v/>
      </c>
      <c r="AC635" s="27">
        <f>IF(ISNUMBER($P635),COUNTIFS($A$14:$A$1213,$A635,$P$14:$P$1213,"&gt;"&amp;$P635)+(COUNTIFS($A$14:$A$1213,$A635,$P$14:$P$1213,"="&amp;$P635)+1)/2,"")</f>
        <v/>
      </c>
      <c r="AD635" s="27">
        <f>IF(ISNUMBER($Q635),COUNTIFS($A$14:$A$1213,$A635,$Q$14:$Q$1213,"&gt;"&amp;$Q635)+(COUNTIFS($A$14:$A$1213,$A635,$Q$14:$Q$1213,"="&amp;$Q635)+1)/2,"")</f>
        <v/>
      </c>
      <c r="AE635" s="27">
        <f>IF(ISNUMBER($R635),COUNTIFS($A$14:$A$1213,$A635,$R$14:$R$1213,"&gt;"&amp;$R635)+(COUNTIFS($A$14:$A$1213,$A635,$R$14:$R$1213,"="&amp;$R635)+1)/2,"")</f>
        <v/>
      </c>
      <c r="AF635" s="27">
        <f>IF(ISNUMBER($S635),COUNTIFS($A$14:$A$1213,$A635,$S$14:$S$1213,"&gt;"&amp;$S635)+(COUNTIFS($A$14:$A$1213,$A635,$S$14:$S$1213,"="&amp;$S635)+1)/2,"")</f>
        <v/>
      </c>
      <c r="AG635" s="27">
        <f>IF(ISNUMBER($T635),COUNTIFS($A$14:$A$1213,$A635,$T$14:$T$1213,"&gt;"&amp;$T635)+(COUNTIFS($A$14:$A$1213,$A635,$T$14:$T$1213,"="&amp;$T635)+1)/2,"")</f>
        <v/>
      </c>
      <c r="AH635" s="27">
        <f>IF(COUNT($AC635:$AG635)&lt;2,"",IF(MAX($AC635:$AG635)=MIN($AC635:$AG635),0,1))</f>
        <v/>
      </c>
      <c r="AI635" s="27">
        <f>IF($A635="","",IF(COUNTIF($A$14:$A635,$A635)=1,COUNTIF($AI$13:AI634,"&gt;0")+1,""))</f>
        <v/>
      </c>
      <c r="AO635" s="27">
        <f>IF($A635="","",IF(AND(COUNTIFS($A$14:$A$1213,$A635,$F$14:$F$1213,"&gt;=0")=2,IFERROR(INDEX($M$14:$M$313,MATCH($A635,$H$14:$H$313,0)),"Yes")&lt;&gt;"Yes"),1,0))</f>
        <v/>
      </c>
    </row>
    <row r="636">
      <c r="A636" s="19" t="n"/>
      <c r="B636" s="20" t="n"/>
      <c r="C636" s="21">
        <f>IFERROR(AVERAGE(P636:T636),"")</f>
        <v/>
      </c>
      <c r="D636" s="29" t="n"/>
      <c r="E636" s="29" t="n"/>
      <c r="F636" s="30">
        <f>IF(AND(ISNUMBER($D636),ISNUMBER($E636),$E636&gt;0,$D636&lt;=$E636),$D636/$E636,"")</f>
        <v/>
      </c>
      <c r="P636" s="26" t="n"/>
      <c r="Q636" s="26" t="n"/>
      <c r="R636" s="26" t="n"/>
      <c r="S636" s="26" t="n"/>
      <c r="T636" s="26" t="n"/>
      <c r="V636" s="27">
        <f>IF(ISNUMBER($C636),COUNTIFS($A$14:$A$1213,$A636,$C$14:$C$1213,"&gt;"&amp;$C636)+(COUNTIFS($A$14:$A$1213,$A636,$C$14:$C$1213,"="&amp;$C636)+1)/2,"")</f>
        <v/>
      </c>
      <c r="W636" s="27">
        <f>IF(ISNUMBER($F636),COUNTIFS($A$14:$A$1213,$A636,$F$14:$F$1213,"&gt;"&amp;$F636)+(COUNTIFS($A$14:$A$1213,$A636,$F$14:$F$1213,"="&amp;$F636)+1)/2,"")</f>
        <v/>
      </c>
      <c r="X636" s="27">
        <f>IF(OR(NOT(ISNUMBER($V636)),$AO636=1),"",$V636-(COUNTIFS($A$14:$A$1213,$A636,$C$14:$C$1213,"&gt;=0")+1)/2)</f>
        <v/>
      </c>
      <c r="Y636" s="27">
        <f>IF(OR(NOT(ISNUMBER($W636)),$AO636=1),"",$W636-(COUNTIFS($A$14:$A$1213,$A636,$F$14:$F$1213,"&gt;=0")+1)/2)</f>
        <v/>
      </c>
      <c r="Z636" s="27">
        <f>IF(ISNUMBER($V636),$A636&amp;"|"&amp;$V636,"")</f>
        <v/>
      </c>
      <c r="AA636" s="27">
        <f>IF(ISNUMBER($W636),$A636&amp;"|"&amp;$W636,"")</f>
        <v/>
      </c>
      <c r="AB636" s="27">
        <f>IF(ISNUMBER($F636),$A636&amp;"|"&amp;$F636,"")</f>
        <v/>
      </c>
      <c r="AC636" s="27">
        <f>IF(ISNUMBER($P636),COUNTIFS($A$14:$A$1213,$A636,$P$14:$P$1213,"&gt;"&amp;$P636)+(COUNTIFS($A$14:$A$1213,$A636,$P$14:$P$1213,"="&amp;$P636)+1)/2,"")</f>
        <v/>
      </c>
      <c r="AD636" s="27">
        <f>IF(ISNUMBER($Q636),COUNTIFS($A$14:$A$1213,$A636,$Q$14:$Q$1213,"&gt;"&amp;$Q636)+(COUNTIFS($A$14:$A$1213,$A636,$Q$14:$Q$1213,"="&amp;$Q636)+1)/2,"")</f>
        <v/>
      </c>
      <c r="AE636" s="27">
        <f>IF(ISNUMBER($R636),COUNTIFS($A$14:$A$1213,$A636,$R$14:$R$1213,"&gt;"&amp;$R636)+(COUNTIFS($A$14:$A$1213,$A636,$R$14:$R$1213,"="&amp;$R636)+1)/2,"")</f>
        <v/>
      </c>
      <c r="AF636" s="27">
        <f>IF(ISNUMBER($S636),COUNTIFS($A$14:$A$1213,$A636,$S$14:$S$1213,"&gt;"&amp;$S636)+(COUNTIFS($A$14:$A$1213,$A636,$S$14:$S$1213,"="&amp;$S636)+1)/2,"")</f>
        <v/>
      </c>
      <c r="AG636" s="27">
        <f>IF(ISNUMBER($T636),COUNTIFS($A$14:$A$1213,$A636,$T$14:$T$1213,"&gt;"&amp;$T636)+(COUNTIFS($A$14:$A$1213,$A636,$T$14:$T$1213,"="&amp;$T636)+1)/2,"")</f>
        <v/>
      </c>
      <c r="AH636" s="27">
        <f>IF(COUNT($AC636:$AG636)&lt;2,"",IF(MAX($AC636:$AG636)=MIN($AC636:$AG636),0,1))</f>
        <v/>
      </c>
      <c r="AI636" s="27">
        <f>IF($A636="","",IF(COUNTIF($A$14:$A636,$A636)=1,COUNTIF($AI$13:AI635,"&gt;0")+1,""))</f>
        <v/>
      </c>
      <c r="AO636" s="27">
        <f>IF($A636="","",IF(AND(COUNTIFS($A$14:$A$1213,$A636,$F$14:$F$1213,"&gt;=0")=2,IFERROR(INDEX($M$14:$M$313,MATCH($A636,$H$14:$H$313,0)),"Yes")&lt;&gt;"Yes"),1,0))</f>
        <v/>
      </c>
    </row>
    <row r="637">
      <c r="A637" s="19" t="n"/>
      <c r="B637" s="20" t="n"/>
      <c r="C637" s="21">
        <f>IFERROR(AVERAGE(P637:T637),"")</f>
        <v/>
      </c>
      <c r="D637" s="29" t="n"/>
      <c r="E637" s="29" t="n"/>
      <c r="F637" s="30">
        <f>IF(AND(ISNUMBER($D637),ISNUMBER($E637),$E637&gt;0,$D637&lt;=$E637),$D637/$E637,"")</f>
        <v/>
      </c>
      <c r="P637" s="26" t="n"/>
      <c r="Q637" s="26" t="n"/>
      <c r="R637" s="26" t="n"/>
      <c r="S637" s="26" t="n"/>
      <c r="T637" s="26" t="n"/>
      <c r="V637" s="27">
        <f>IF(ISNUMBER($C637),COUNTIFS($A$14:$A$1213,$A637,$C$14:$C$1213,"&gt;"&amp;$C637)+(COUNTIFS($A$14:$A$1213,$A637,$C$14:$C$1213,"="&amp;$C637)+1)/2,"")</f>
        <v/>
      </c>
      <c r="W637" s="27">
        <f>IF(ISNUMBER($F637),COUNTIFS($A$14:$A$1213,$A637,$F$14:$F$1213,"&gt;"&amp;$F637)+(COUNTIFS($A$14:$A$1213,$A637,$F$14:$F$1213,"="&amp;$F637)+1)/2,"")</f>
        <v/>
      </c>
      <c r="X637" s="27">
        <f>IF(OR(NOT(ISNUMBER($V637)),$AO637=1),"",$V637-(COUNTIFS($A$14:$A$1213,$A637,$C$14:$C$1213,"&gt;=0")+1)/2)</f>
        <v/>
      </c>
      <c r="Y637" s="27">
        <f>IF(OR(NOT(ISNUMBER($W637)),$AO637=1),"",$W637-(COUNTIFS($A$14:$A$1213,$A637,$F$14:$F$1213,"&gt;=0")+1)/2)</f>
        <v/>
      </c>
      <c r="Z637" s="27">
        <f>IF(ISNUMBER($V637),$A637&amp;"|"&amp;$V637,"")</f>
        <v/>
      </c>
      <c r="AA637" s="27">
        <f>IF(ISNUMBER($W637),$A637&amp;"|"&amp;$W637,"")</f>
        <v/>
      </c>
      <c r="AB637" s="27">
        <f>IF(ISNUMBER($F637),$A637&amp;"|"&amp;$F637,"")</f>
        <v/>
      </c>
      <c r="AC637" s="27">
        <f>IF(ISNUMBER($P637),COUNTIFS($A$14:$A$1213,$A637,$P$14:$P$1213,"&gt;"&amp;$P637)+(COUNTIFS($A$14:$A$1213,$A637,$P$14:$P$1213,"="&amp;$P637)+1)/2,"")</f>
        <v/>
      </c>
      <c r="AD637" s="27">
        <f>IF(ISNUMBER($Q637),COUNTIFS($A$14:$A$1213,$A637,$Q$14:$Q$1213,"&gt;"&amp;$Q637)+(COUNTIFS($A$14:$A$1213,$A637,$Q$14:$Q$1213,"="&amp;$Q637)+1)/2,"")</f>
        <v/>
      </c>
      <c r="AE637" s="27">
        <f>IF(ISNUMBER($R637),COUNTIFS($A$14:$A$1213,$A637,$R$14:$R$1213,"&gt;"&amp;$R637)+(COUNTIFS($A$14:$A$1213,$A637,$R$14:$R$1213,"="&amp;$R637)+1)/2,"")</f>
        <v/>
      </c>
      <c r="AF637" s="27">
        <f>IF(ISNUMBER($S637),COUNTIFS($A$14:$A$1213,$A637,$S$14:$S$1213,"&gt;"&amp;$S637)+(COUNTIFS($A$14:$A$1213,$A637,$S$14:$S$1213,"="&amp;$S637)+1)/2,"")</f>
        <v/>
      </c>
      <c r="AG637" s="27">
        <f>IF(ISNUMBER($T637),COUNTIFS($A$14:$A$1213,$A637,$T$14:$T$1213,"&gt;"&amp;$T637)+(COUNTIFS($A$14:$A$1213,$A637,$T$14:$T$1213,"="&amp;$T637)+1)/2,"")</f>
        <v/>
      </c>
      <c r="AH637" s="27">
        <f>IF(COUNT($AC637:$AG637)&lt;2,"",IF(MAX($AC637:$AG637)=MIN($AC637:$AG637),0,1))</f>
        <v/>
      </c>
      <c r="AI637" s="27">
        <f>IF($A637="","",IF(COUNTIF($A$14:$A637,$A637)=1,COUNTIF($AI$13:AI636,"&gt;0")+1,""))</f>
        <v/>
      </c>
      <c r="AO637" s="27">
        <f>IF($A637="","",IF(AND(COUNTIFS($A$14:$A$1213,$A637,$F$14:$F$1213,"&gt;=0")=2,IFERROR(INDEX($M$14:$M$313,MATCH($A637,$H$14:$H$313,0)),"Yes")&lt;&gt;"Yes"),1,0))</f>
        <v/>
      </c>
    </row>
    <row r="638">
      <c r="A638" s="19" t="n"/>
      <c r="B638" s="20" t="n"/>
      <c r="C638" s="21">
        <f>IFERROR(AVERAGE(P638:T638),"")</f>
        <v/>
      </c>
      <c r="D638" s="29" t="n"/>
      <c r="E638" s="29" t="n"/>
      <c r="F638" s="30">
        <f>IF(AND(ISNUMBER($D638),ISNUMBER($E638),$E638&gt;0,$D638&lt;=$E638),$D638/$E638,"")</f>
        <v/>
      </c>
      <c r="P638" s="26" t="n"/>
      <c r="Q638" s="26" t="n"/>
      <c r="R638" s="26" t="n"/>
      <c r="S638" s="26" t="n"/>
      <c r="T638" s="26" t="n"/>
      <c r="V638" s="27">
        <f>IF(ISNUMBER($C638),COUNTIFS($A$14:$A$1213,$A638,$C$14:$C$1213,"&gt;"&amp;$C638)+(COUNTIFS($A$14:$A$1213,$A638,$C$14:$C$1213,"="&amp;$C638)+1)/2,"")</f>
        <v/>
      </c>
      <c r="W638" s="27">
        <f>IF(ISNUMBER($F638),COUNTIFS($A$14:$A$1213,$A638,$F$14:$F$1213,"&gt;"&amp;$F638)+(COUNTIFS($A$14:$A$1213,$A638,$F$14:$F$1213,"="&amp;$F638)+1)/2,"")</f>
        <v/>
      </c>
      <c r="X638" s="27">
        <f>IF(OR(NOT(ISNUMBER($V638)),$AO638=1),"",$V638-(COUNTIFS($A$14:$A$1213,$A638,$C$14:$C$1213,"&gt;=0")+1)/2)</f>
        <v/>
      </c>
      <c r="Y638" s="27">
        <f>IF(OR(NOT(ISNUMBER($W638)),$AO638=1),"",$W638-(COUNTIFS($A$14:$A$1213,$A638,$F$14:$F$1213,"&gt;=0")+1)/2)</f>
        <v/>
      </c>
      <c r="Z638" s="27">
        <f>IF(ISNUMBER($V638),$A638&amp;"|"&amp;$V638,"")</f>
        <v/>
      </c>
      <c r="AA638" s="27">
        <f>IF(ISNUMBER($W638),$A638&amp;"|"&amp;$W638,"")</f>
        <v/>
      </c>
      <c r="AB638" s="27">
        <f>IF(ISNUMBER($F638),$A638&amp;"|"&amp;$F638,"")</f>
        <v/>
      </c>
      <c r="AC638" s="27">
        <f>IF(ISNUMBER($P638),COUNTIFS($A$14:$A$1213,$A638,$P$14:$P$1213,"&gt;"&amp;$P638)+(COUNTIFS($A$14:$A$1213,$A638,$P$14:$P$1213,"="&amp;$P638)+1)/2,"")</f>
        <v/>
      </c>
      <c r="AD638" s="27">
        <f>IF(ISNUMBER($Q638),COUNTIFS($A$14:$A$1213,$A638,$Q$14:$Q$1213,"&gt;"&amp;$Q638)+(COUNTIFS($A$14:$A$1213,$A638,$Q$14:$Q$1213,"="&amp;$Q638)+1)/2,"")</f>
        <v/>
      </c>
      <c r="AE638" s="27">
        <f>IF(ISNUMBER($R638),COUNTIFS($A$14:$A$1213,$A638,$R$14:$R$1213,"&gt;"&amp;$R638)+(COUNTIFS($A$14:$A$1213,$A638,$R$14:$R$1213,"="&amp;$R638)+1)/2,"")</f>
        <v/>
      </c>
      <c r="AF638" s="27">
        <f>IF(ISNUMBER($S638),COUNTIFS($A$14:$A$1213,$A638,$S$14:$S$1213,"&gt;"&amp;$S638)+(COUNTIFS($A$14:$A$1213,$A638,$S$14:$S$1213,"="&amp;$S638)+1)/2,"")</f>
        <v/>
      </c>
      <c r="AG638" s="27">
        <f>IF(ISNUMBER($T638),COUNTIFS($A$14:$A$1213,$A638,$T$14:$T$1213,"&gt;"&amp;$T638)+(COUNTIFS($A$14:$A$1213,$A638,$T$14:$T$1213,"="&amp;$T638)+1)/2,"")</f>
        <v/>
      </c>
      <c r="AH638" s="27">
        <f>IF(COUNT($AC638:$AG638)&lt;2,"",IF(MAX($AC638:$AG638)=MIN($AC638:$AG638),0,1))</f>
        <v/>
      </c>
      <c r="AI638" s="27">
        <f>IF($A638="","",IF(COUNTIF($A$14:$A638,$A638)=1,COUNTIF($AI$13:AI637,"&gt;0")+1,""))</f>
        <v/>
      </c>
      <c r="AO638" s="27">
        <f>IF($A638="","",IF(AND(COUNTIFS($A$14:$A$1213,$A638,$F$14:$F$1213,"&gt;=0")=2,IFERROR(INDEX($M$14:$M$313,MATCH($A638,$H$14:$H$313,0)),"Yes")&lt;&gt;"Yes"),1,0))</f>
        <v/>
      </c>
    </row>
    <row r="639">
      <c r="A639" s="19" t="n"/>
      <c r="B639" s="20" t="n"/>
      <c r="C639" s="21">
        <f>IFERROR(AVERAGE(P639:T639),"")</f>
        <v/>
      </c>
      <c r="D639" s="29" t="n"/>
      <c r="E639" s="29" t="n"/>
      <c r="F639" s="30">
        <f>IF(AND(ISNUMBER($D639),ISNUMBER($E639),$E639&gt;0,$D639&lt;=$E639),$D639/$E639,"")</f>
        <v/>
      </c>
      <c r="P639" s="26" t="n"/>
      <c r="Q639" s="26" t="n"/>
      <c r="R639" s="26" t="n"/>
      <c r="S639" s="26" t="n"/>
      <c r="T639" s="26" t="n"/>
      <c r="V639" s="27">
        <f>IF(ISNUMBER($C639),COUNTIFS($A$14:$A$1213,$A639,$C$14:$C$1213,"&gt;"&amp;$C639)+(COUNTIFS($A$14:$A$1213,$A639,$C$14:$C$1213,"="&amp;$C639)+1)/2,"")</f>
        <v/>
      </c>
      <c r="W639" s="27">
        <f>IF(ISNUMBER($F639),COUNTIFS($A$14:$A$1213,$A639,$F$14:$F$1213,"&gt;"&amp;$F639)+(COUNTIFS($A$14:$A$1213,$A639,$F$14:$F$1213,"="&amp;$F639)+1)/2,"")</f>
        <v/>
      </c>
      <c r="X639" s="27">
        <f>IF(OR(NOT(ISNUMBER($V639)),$AO639=1),"",$V639-(COUNTIFS($A$14:$A$1213,$A639,$C$14:$C$1213,"&gt;=0")+1)/2)</f>
        <v/>
      </c>
      <c r="Y639" s="27">
        <f>IF(OR(NOT(ISNUMBER($W639)),$AO639=1),"",$W639-(COUNTIFS($A$14:$A$1213,$A639,$F$14:$F$1213,"&gt;=0")+1)/2)</f>
        <v/>
      </c>
      <c r="Z639" s="27">
        <f>IF(ISNUMBER($V639),$A639&amp;"|"&amp;$V639,"")</f>
        <v/>
      </c>
      <c r="AA639" s="27">
        <f>IF(ISNUMBER($W639),$A639&amp;"|"&amp;$W639,"")</f>
        <v/>
      </c>
      <c r="AB639" s="27">
        <f>IF(ISNUMBER($F639),$A639&amp;"|"&amp;$F639,"")</f>
        <v/>
      </c>
      <c r="AC639" s="27">
        <f>IF(ISNUMBER($P639),COUNTIFS($A$14:$A$1213,$A639,$P$14:$P$1213,"&gt;"&amp;$P639)+(COUNTIFS($A$14:$A$1213,$A639,$P$14:$P$1213,"="&amp;$P639)+1)/2,"")</f>
        <v/>
      </c>
      <c r="AD639" s="27">
        <f>IF(ISNUMBER($Q639),COUNTIFS($A$14:$A$1213,$A639,$Q$14:$Q$1213,"&gt;"&amp;$Q639)+(COUNTIFS($A$14:$A$1213,$A639,$Q$14:$Q$1213,"="&amp;$Q639)+1)/2,"")</f>
        <v/>
      </c>
      <c r="AE639" s="27">
        <f>IF(ISNUMBER($R639),COUNTIFS($A$14:$A$1213,$A639,$R$14:$R$1213,"&gt;"&amp;$R639)+(COUNTIFS($A$14:$A$1213,$A639,$R$14:$R$1213,"="&amp;$R639)+1)/2,"")</f>
        <v/>
      </c>
      <c r="AF639" s="27">
        <f>IF(ISNUMBER($S639),COUNTIFS($A$14:$A$1213,$A639,$S$14:$S$1213,"&gt;"&amp;$S639)+(COUNTIFS($A$14:$A$1213,$A639,$S$14:$S$1213,"="&amp;$S639)+1)/2,"")</f>
        <v/>
      </c>
      <c r="AG639" s="27">
        <f>IF(ISNUMBER($T639),COUNTIFS($A$14:$A$1213,$A639,$T$14:$T$1213,"&gt;"&amp;$T639)+(COUNTIFS($A$14:$A$1213,$A639,$T$14:$T$1213,"="&amp;$T639)+1)/2,"")</f>
        <v/>
      </c>
      <c r="AH639" s="27">
        <f>IF(COUNT($AC639:$AG639)&lt;2,"",IF(MAX($AC639:$AG639)=MIN($AC639:$AG639),0,1))</f>
        <v/>
      </c>
      <c r="AI639" s="27">
        <f>IF($A639="","",IF(COUNTIF($A$14:$A639,$A639)=1,COUNTIF($AI$13:AI638,"&gt;0")+1,""))</f>
        <v/>
      </c>
      <c r="AO639" s="27">
        <f>IF($A639="","",IF(AND(COUNTIFS($A$14:$A$1213,$A639,$F$14:$F$1213,"&gt;=0")=2,IFERROR(INDEX($M$14:$M$313,MATCH($A639,$H$14:$H$313,0)),"Yes")&lt;&gt;"Yes"),1,0))</f>
        <v/>
      </c>
    </row>
    <row r="640">
      <c r="A640" s="19" t="n"/>
      <c r="B640" s="20" t="n"/>
      <c r="C640" s="21">
        <f>IFERROR(AVERAGE(P640:T640),"")</f>
        <v/>
      </c>
      <c r="D640" s="29" t="n"/>
      <c r="E640" s="29" t="n"/>
      <c r="F640" s="30">
        <f>IF(AND(ISNUMBER($D640),ISNUMBER($E640),$E640&gt;0,$D640&lt;=$E640),$D640/$E640,"")</f>
        <v/>
      </c>
      <c r="P640" s="26" t="n"/>
      <c r="Q640" s="26" t="n"/>
      <c r="R640" s="26" t="n"/>
      <c r="S640" s="26" t="n"/>
      <c r="T640" s="26" t="n"/>
      <c r="V640" s="27">
        <f>IF(ISNUMBER($C640),COUNTIFS($A$14:$A$1213,$A640,$C$14:$C$1213,"&gt;"&amp;$C640)+(COUNTIFS($A$14:$A$1213,$A640,$C$14:$C$1213,"="&amp;$C640)+1)/2,"")</f>
        <v/>
      </c>
      <c r="W640" s="27">
        <f>IF(ISNUMBER($F640),COUNTIFS($A$14:$A$1213,$A640,$F$14:$F$1213,"&gt;"&amp;$F640)+(COUNTIFS($A$14:$A$1213,$A640,$F$14:$F$1213,"="&amp;$F640)+1)/2,"")</f>
        <v/>
      </c>
      <c r="X640" s="27">
        <f>IF(OR(NOT(ISNUMBER($V640)),$AO640=1),"",$V640-(COUNTIFS($A$14:$A$1213,$A640,$C$14:$C$1213,"&gt;=0")+1)/2)</f>
        <v/>
      </c>
      <c r="Y640" s="27">
        <f>IF(OR(NOT(ISNUMBER($W640)),$AO640=1),"",$W640-(COUNTIFS($A$14:$A$1213,$A640,$F$14:$F$1213,"&gt;=0")+1)/2)</f>
        <v/>
      </c>
      <c r="Z640" s="27">
        <f>IF(ISNUMBER($V640),$A640&amp;"|"&amp;$V640,"")</f>
        <v/>
      </c>
      <c r="AA640" s="27">
        <f>IF(ISNUMBER($W640),$A640&amp;"|"&amp;$W640,"")</f>
        <v/>
      </c>
      <c r="AB640" s="27">
        <f>IF(ISNUMBER($F640),$A640&amp;"|"&amp;$F640,"")</f>
        <v/>
      </c>
      <c r="AC640" s="27">
        <f>IF(ISNUMBER($P640),COUNTIFS($A$14:$A$1213,$A640,$P$14:$P$1213,"&gt;"&amp;$P640)+(COUNTIFS($A$14:$A$1213,$A640,$P$14:$P$1213,"="&amp;$P640)+1)/2,"")</f>
        <v/>
      </c>
      <c r="AD640" s="27">
        <f>IF(ISNUMBER($Q640),COUNTIFS($A$14:$A$1213,$A640,$Q$14:$Q$1213,"&gt;"&amp;$Q640)+(COUNTIFS($A$14:$A$1213,$A640,$Q$14:$Q$1213,"="&amp;$Q640)+1)/2,"")</f>
        <v/>
      </c>
      <c r="AE640" s="27">
        <f>IF(ISNUMBER($R640),COUNTIFS($A$14:$A$1213,$A640,$R$14:$R$1213,"&gt;"&amp;$R640)+(COUNTIFS($A$14:$A$1213,$A640,$R$14:$R$1213,"="&amp;$R640)+1)/2,"")</f>
        <v/>
      </c>
      <c r="AF640" s="27">
        <f>IF(ISNUMBER($S640),COUNTIFS($A$14:$A$1213,$A640,$S$14:$S$1213,"&gt;"&amp;$S640)+(COUNTIFS($A$14:$A$1213,$A640,$S$14:$S$1213,"="&amp;$S640)+1)/2,"")</f>
        <v/>
      </c>
      <c r="AG640" s="27">
        <f>IF(ISNUMBER($T640),COUNTIFS($A$14:$A$1213,$A640,$T$14:$T$1213,"&gt;"&amp;$T640)+(COUNTIFS($A$14:$A$1213,$A640,$T$14:$T$1213,"="&amp;$T640)+1)/2,"")</f>
        <v/>
      </c>
      <c r="AH640" s="27">
        <f>IF(COUNT($AC640:$AG640)&lt;2,"",IF(MAX($AC640:$AG640)=MIN($AC640:$AG640),0,1))</f>
        <v/>
      </c>
      <c r="AI640" s="27">
        <f>IF($A640="","",IF(COUNTIF($A$14:$A640,$A640)=1,COUNTIF($AI$13:AI639,"&gt;0")+1,""))</f>
        <v/>
      </c>
      <c r="AO640" s="27">
        <f>IF($A640="","",IF(AND(COUNTIFS($A$14:$A$1213,$A640,$F$14:$F$1213,"&gt;=0")=2,IFERROR(INDEX($M$14:$M$313,MATCH($A640,$H$14:$H$313,0)),"Yes")&lt;&gt;"Yes"),1,0))</f>
        <v/>
      </c>
    </row>
    <row r="641">
      <c r="A641" s="19" t="n"/>
      <c r="B641" s="20" t="n"/>
      <c r="C641" s="21">
        <f>IFERROR(AVERAGE(P641:T641),"")</f>
        <v/>
      </c>
      <c r="D641" s="29" t="n"/>
      <c r="E641" s="29" t="n"/>
      <c r="F641" s="30">
        <f>IF(AND(ISNUMBER($D641),ISNUMBER($E641),$E641&gt;0,$D641&lt;=$E641),$D641/$E641,"")</f>
        <v/>
      </c>
      <c r="P641" s="26" t="n"/>
      <c r="Q641" s="26" t="n"/>
      <c r="R641" s="26" t="n"/>
      <c r="S641" s="26" t="n"/>
      <c r="T641" s="26" t="n"/>
      <c r="V641" s="27">
        <f>IF(ISNUMBER($C641),COUNTIFS($A$14:$A$1213,$A641,$C$14:$C$1213,"&gt;"&amp;$C641)+(COUNTIFS($A$14:$A$1213,$A641,$C$14:$C$1213,"="&amp;$C641)+1)/2,"")</f>
        <v/>
      </c>
      <c r="W641" s="27">
        <f>IF(ISNUMBER($F641),COUNTIFS($A$14:$A$1213,$A641,$F$14:$F$1213,"&gt;"&amp;$F641)+(COUNTIFS($A$14:$A$1213,$A641,$F$14:$F$1213,"="&amp;$F641)+1)/2,"")</f>
        <v/>
      </c>
      <c r="X641" s="27">
        <f>IF(OR(NOT(ISNUMBER($V641)),$AO641=1),"",$V641-(COUNTIFS($A$14:$A$1213,$A641,$C$14:$C$1213,"&gt;=0")+1)/2)</f>
        <v/>
      </c>
      <c r="Y641" s="27">
        <f>IF(OR(NOT(ISNUMBER($W641)),$AO641=1),"",$W641-(COUNTIFS($A$14:$A$1213,$A641,$F$14:$F$1213,"&gt;=0")+1)/2)</f>
        <v/>
      </c>
      <c r="Z641" s="27">
        <f>IF(ISNUMBER($V641),$A641&amp;"|"&amp;$V641,"")</f>
        <v/>
      </c>
      <c r="AA641" s="27">
        <f>IF(ISNUMBER($W641),$A641&amp;"|"&amp;$W641,"")</f>
        <v/>
      </c>
      <c r="AB641" s="27">
        <f>IF(ISNUMBER($F641),$A641&amp;"|"&amp;$F641,"")</f>
        <v/>
      </c>
      <c r="AC641" s="27">
        <f>IF(ISNUMBER($P641),COUNTIFS($A$14:$A$1213,$A641,$P$14:$P$1213,"&gt;"&amp;$P641)+(COUNTIFS($A$14:$A$1213,$A641,$P$14:$P$1213,"="&amp;$P641)+1)/2,"")</f>
        <v/>
      </c>
      <c r="AD641" s="27">
        <f>IF(ISNUMBER($Q641),COUNTIFS($A$14:$A$1213,$A641,$Q$14:$Q$1213,"&gt;"&amp;$Q641)+(COUNTIFS($A$14:$A$1213,$A641,$Q$14:$Q$1213,"="&amp;$Q641)+1)/2,"")</f>
        <v/>
      </c>
      <c r="AE641" s="27">
        <f>IF(ISNUMBER($R641),COUNTIFS($A$14:$A$1213,$A641,$R$14:$R$1213,"&gt;"&amp;$R641)+(COUNTIFS($A$14:$A$1213,$A641,$R$14:$R$1213,"="&amp;$R641)+1)/2,"")</f>
        <v/>
      </c>
      <c r="AF641" s="27">
        <f>IF(ISNUMBER($S641),COUNTIFS($A$14:$A$1213,$A641,$S$14:$S$1213,"&gt;"&amp;$S641)+(COUNTIFS($A$14:$A$1213,$A641,$S$14:$S$1213,"="&amp;$S641)+1)/2,"")</f>
        <v/>
      </c>
      <c r="AG641" s="27">
        <f>IF(ISNUMBER($T641),COUNTIFS($A$14:$A$1213,$A641,$T$14:$T$1213,"&gt;"&amp;$T641)+(COUNTIFS($A$14:$A$1213,$A641,$T$14:$T$1213,"="&amp;$T641)+1)/2,"")</f>
        <v/>
      </c>
      <c r="AH641" s="27">
        <f>IF(COUNT($AC641:$AG641)&lt;2,"",IF(MAX($AC641:$AG641)=MIN($AC641:$AG641),0,1))</f>
        <v/>
      </c>
      <c r="AI641" s="27">
        <f>IF($A641="","",IF(COUNTIF($A$14:$A641,$A641)=1,COUNTIF($AI$13:AI640,"&gt;0")+1,""))</f>
        <v/>
      </c>
      <c r="AO641" s="27">
        <f>IF($A641="","",IF(AND(COUNTIFS($A$14:$A$1213,$A641,$F$14:$F$1213,"&gt;=0")=2,IFERROR(INDEX($M$14:$M$313,MATCH($A641,$H$14:$H$313,0)),"Yes")&lt;&gt;"Yes"),1,0))</f>
        <v/>
      </c>
    </row>
    <row r="642">
      <c r="A642" s="19" t="n"/>
      <c r="B642" s="20" t="n"/>
      <c r="C642" s="21">
        <f>IFERROR(AVERAGE(P642:T642),"")</f>
        <v/>
      </c>
      <c r="D642" s="29" t="n"/>
      <c r="E642" s="29" t="n"/>
      <c r="F642" s="30">
        <f>IF(AND(ISNUMBER($D642),ISNUMBER($E642),$E642&gt;0,$D642&lt;=$E642),$D642/$E642,"")</f>
        <v/>
      </c>
      <c r="P642" s="26" t="n"/>
      <c r="Q642" s="26" t="n"/>
      <c r="R642" s="26" t="n"/>
      <c r="S642" s="26" t="n"/>
      <c r="T642" s="26" t="n"/>
      <c r="V642" s="27">
        <f>IF(ISNUMBER($C642),COUNTIFS($A$14:$A$1213,$A642,$C$14:$C$1213,"&gt;"&amp;$C642)+(COUNTIFS($A$14:$A$1213,$A642,$C$14:$C$1213,"="&amp;$C642)+1)/2,"")</f>
        <v/>
      </c>
      <c r="W642" s="27">
        <f>IF(ISNUMBER($F642),COUNTIFS($A$14:$A$1213,$A642,$F$14:$F$1213,"&gt;"&amp;$F642)+(COUNTIFS($A$14:$A$1213,$A642,$F$14:$F$1213,"="&amp;$F642)+1)/2,"")</f>
        <v/>
      </c>
      <c r="X642" s="27">
        <f>IF(OR(NOT(ISNUMBER($V642)),$AO642=1),"",$V642-(COUNTIFS($A$14:$A$1213,$A642,$C$14:$C$1213,"&gt;=0")+1)/2)</f>
        <v/>
      </c>
      <c r="Y642" s="27">
        <f>IF(OR(NOT(ISNUMBER($W642)),$AO642=1),"",$W642-(COUNTIFS($A$14:$A$1213,$A642,$F$14:$F$1213,"&gt;=0")+1)/2)</f>
        <v/>
      </c>
      <c r="Z642" s="27">
        <f>IF(ISNUMBER($V642),$A642&amp;"|"&amp;$V642,"")</f>
        <v/>
      </c>
      <c r="AA642" s="27">
        <f>IF(ISNUMBER($W642),$A642&amp;"|"&amp;$W642,"")</f>
        <v/>
      </c>
      <c r="AB642" s="27">
        <f>IF(ISNUMBER($F642),$A642&amp;"|"&amp;$F642,"")</f>
        <v/>
      </c>
      <c r="AC642" s="27">
        <f>IF(ISNUMBER($P642),COUNTIFS($A$14:$A$1213,$A642,$P$14:$P$1213,"&gt;"&amp;$P642)+(COUNTIFS($A$14:$A$1213,$A642,$P$14:$P$1213,"="&amp;$P642)+1)/2,"")</f>
        <v/>
      </c>
      <c r="AD642" s="27">
        <f>IF(ISNUMBER($Q642),COUNTIFS($A$14:$A$1213,$A642,$Q$14:$Q$1213,"&gt;"&amp;$Q642)+(COUNTIFS($A$14:$A$1213,$A642,$Q$14:$Q$1213,"="&amp;$Q642)+1)/2,"")</f>
        <v/>
      </c>
      <c r="AE642" s="27">
        <f>IF(ISNUMBER($R642),COUNTIFS($A$14:$A$1213,$A642,$R$14:$R$1213,"&gt;"&amp;$R642)+(COUNTIFS($A$14:$A$1213,$A642,$R$14:$R$1213,"="&amp;$R642)+1)/2,"")</f>
        <v/>
      </c>
      <c r="AF642" s="27">
        <f>IF(ISNUMBER($S642),COUNTIFS($A$14:$A$1213,$A642,$S$14:$S$1213,"&gt;"&amp;$S642)+(COUNTIFS($A$14:$A$1213,$A642,$S$14:$S$1213,"="&amp;$S642)+1)/2,"")</f>
        <v/>
      </c>
      <c r="AG642" s="27">
        <f>IF(ISNUMBER($T642),COUNTIFS($A$14:$A$1213,$A642,$T$14:$T$1213,"&gt;"&amp;$T642)+(COUNTIFS($A$14:$A$1213,$A642,$T$14:$T$1213,"="&amp;$T642)+1)/2,"")</f>
        <v/>
      </c>
      <c r="AH642" s="27">
        <f>IF(COUNT($AC642:$AG642)&lt;2,"",IF(MAX($AC642:$AG642)=MIN($AC642:$AG642),0,1))</f>
        <v/>
      </c>
      <c r="AI642" s="27">
        <f>IF($A642="","",IF(COUNTIF($A$14:$A642,$A642)=1,COUNTIF($AI$13:AI641,"&gt;0")+1,""))</f>
        <v/>
      </c>
      <c r="AO642" s="27">
        <f>IF($A642="","",IF(AND(COUNTIFS($A$14:$A$1213,$A642,$F$14:$F$1213,"&gt;=0")=2,IFERROR(INDEX($M$14:$M$313,MATCH($A642,$H$14:$H$313,0)),"Yes")&lt;&gt;"Yes"),1,0))</f>
        <v/>
      </c>
    </row>
    <row r="643">
      <c r="A643" s="19" t="n"/>
      <c r="B643" s="20" t="n"/>
      <c r="C643" s="21">
        <f>IFERROR(AVERAGE(P643:T643),"")</f>
        <v/>
      </c>
      <c r="D643" s="29" t="n"/>
      <c r="E643" s="29" t="n"/>
      <c r="F643" s="30">
        <f>IF(AND(ISNUMBER($D643),ISNUMBER($E643),$E643&gt;0,$D643&lt;=$E643),$D643/$E643,"")</f>
        <v/>
      </c>
      <c r="P643" s="26" t="n"/>
      <c r="Q643" s="26" t="n"/>
      <c r="R643" s="26" t="n"/>
      <c r="S643" s="26" t="n"/>
      <c r="T643" s="26" t="n"/>
      <c r="V643" s="27">
        <f>IF(ISNUMBER($C643),COUNTIFS($A$14:$A$1213,$A643,$C$14:$C$1213,"&gt;"&amp;$C643)+(COUNTIFS($A$14:$A$1213,$A643,$C$14:$C$1213,"="&amp;$C643)+1)/2,"")</f>
        <v/>
      </c>
      <c r="W643" s="27">
        <f>IF(ISNUMBER($F643),COUNTIFS($A$14:$A$1213,$A643,$F$14:$F$1213,"&gt;"&amp;$F643)+(COUNTIFS($A$14:$A$1213,$A643,$F$14:$F$1213,"="&amp;$F643)+1)/2,"")</f>
        <v/>
      </c>
      <c r="X643" s="27">
        <f>IF(OR(NOT(ISNUMBER($V643)),$AO643=1),"",$V643-(COUNTIFS($A$14:$A$1213,$A643,$C$14:$C$1213,"&gt;=0")+1)/2)</f>
        <v/>
      </c>
      <c r="Y643" s="27">
        <f>IF(OR(NOT(ISNUMBER($W643)),$AO643=1),"",$W643-(COUNTIFS($A$14:$A$1213,$A643,$F$14:$F$1213,"&gt;=0")+1)/2)</f>
        <v/>
      </c>
      <c r="Z643" s="27">
        <f>IF(ISNUMBER($V643),$A643&amp;"|"&amp;$V643,"")</f>
        <v/>
      </c>
      <c r="AA643" s="27">
        <f>IF(ISNUMBER($W643),$A643&amp;"|"&amp;$W643,"")</f>
        <v/>
      </c>
      <c r="AB643" s="27">
        <f>IF(ISNUMBER($F643),$A643&amp;"|"&amp;$F643,"")</f>
        <v/>
      </c>
      <c r="AC643" s="27">
        <f>IF(ISNUMBER($P643),COUNTIFS($A$14:$A$1213,$A643,$P$14:$P$1213,"&gt;"&amp;$P643)+(COUNTIFS($A$14:$A$1213,$A643,$P$14:$P$1213,"="&amp;$P643)+1)/2,"")</f>
        <v/>
      </c>
      <c r="AD643" s="27">
        <f>IF(ISNUMBER($Q643),COUNTIFS($A$14:$A$1213,$A643,$Q$14:$Q$1213,"&gt;"&amp;$Q643)+(COUNTIFS($A$14:$A$1213,$A643,$Q$14:$Q$1213,"="&amp;$Q643)+1)/2,"")</f>
        <v/>
      </c>
      <c r="AE643" s="27">
        <f>IF(ISNUMBER($R643),COUNTIFS($A$14:$A$1213,$A643,$R$14:$R$1213,"&gt;"&amp;$R643)+(COUNTIFS($A$14:$A$1213,$A643,$R$14:$R$1213,"="&amp;$R643)+1)/2,"")</f>
        <v/>
      </c>
      <c r="AF643" s="27">
        <f>IF(ISNUMBER($S643),COUNTIFS($A$14:$A$1213,$A643,$S$14:$S$1213,"&gt;"&amp;$S643)+(COUNTIFS($A$14:$A$1213,$A643,$S$14:$S$1213,"="&amp;$S643)+1)/2,"")</f>
        <v/>
      </c>
      <c r="AG643" s="27">
        <f>IF(ISNUMBER($T643),COUNTIFS($A$14:$A$1213,$A643,$T$14:$T$1213,"&gt;"&amp;$T643)+(COUNTIFS($A$14:$A$1213,$A643,$T$14:$T$1213,"="&amp;$T643)+1)/2,"")</f>
        <v/>
      </c>
      <c r="AH643" s="27">
        <f>IF(COUNT($AC643:$AG643)&lt;2,"",IF(MAX($AC643:$AG643)=MIN($AC643:$AG643),0,1))</f>
        <v/>
      </c>
      <c r="AI643" s="27">
        <f>IF($A643="","",IF(COUNTIF($A$14:$A643,$A643)=1,COUNTIF($AI$13:AI642,"&gt;0")+1,""))</f>
        <v/>
      </c>
      <c r="AO643" s="27">
        <f>IF($A643="","",IF(AND(COUNTIFS($A$14:$A$1213,$A643,$F$14:$F$1213,"&gt;=0")=2,IFERROR(INDEX($M$14:$M$313,MATCH($A643,$H$14:$H$313,0)),"Yes")&lt;&gt;"Yes"),1,0))</f>
        <v/>
      </c>
    </row>
    <row r="644">
      <c r="A644" s="19" t="n"/>
      <c r="B644" s="20" t="n"/>
      <c r="C644" s="21">
        <f>IFERROR(AVERAGE(P644:T644),"")</f>
        <v/>
      </c>
      <c r="D644" s="29" t="n"/>
      <c r="E644" s="29" t="n"/>
      <c r="F644" s="30">
        <f>IF(AND(ISNUMBER($D644),ISNUMBER($E644),$E644&gt;0,$D644&lt;=$E644),$D644/$E644,"")</f>
        <v/>
      </c>
      <c r="P644" s="26" t="n"/>
      <c r="Q644" s="26" t="n"/>
      <c r="R644" s="26" t="n"/>
      <c r="S644" s="26" t="n"/>
      <c r="T644" s="26" t="n"/>
      <c r="V644" s="27">
        <f>IF(ISNUMBER($C644),COUNTIFS($A$14:$A$1213,$A644,$C$14:$C$1213,"&gt;"&amp;$C644)+(COUNTIFS($A$14:$A$1213,$A644,$C$14:$C$1213,"="&amp;$C644)+1)/2,"")</f>
        <v/>
      </c>
      <c r="W644" s="27">
        <f>IF(ISNUMBER($F644),COUNTIFS($A$14:$A$1213,$A644,$F$14:$F$1213,"&gt;"&amp;$F644)+(COUNTIFS($A$14:$A$1213,$A644,$F$14:$F$1213,"="&amp;$F644)+1)/2,"")</f>
        <v/>
      </c>
      <c r="X644" s="27">
        <f>IF(OR(NOT(ISNUMBER($V644)),$AO644=1),"",$V644-(COUNTIFS($A$14:$A$1213,$A644,$C$14:$C$1213,"&gt;=0")+1)/2)</f>
        <v/>
      </c>
      <c r="Y644" s="27">
        <f>IF(OR(NOT(ISNUMBER($W644)),$AO644=1),"",$W644-(COUNTIFS($A$14:$A$1213,$A644,$F$14:$F$1213,"&gt;=0")+1)/2)</f>
        <v/>
      </c>
      <c r="Z644" s="27">
        <f>IF(ISNUMBER($V644),$A644&amp;"|"&amp;$V644,"")</f>
        <v/>
      </c>
      <c r="AA644" s="27">
        <f>IF(ISNUMBER($W644),$A644&amp;"|"&amp;$W644,"")</f>
        <v/>
      </c>
      <c r="AB644" s="27">
        <f>IF(ISNUMBER($F644),$A644&amp;"|"&amp;$F644,"")</f>
        <v/>
      </c>
      <c r="AC644" s="27">
        <f>IF(ISNUMBER($P644),COUNTIFS($A$14:$A$1213,$A644,$P$14:$P$1213,"&gt;"&amp;$P644)+(COUNTIFS($A$14:$A$1213,$A644,$P$14:$P$1213,"="&amp;$P644)+1)/2,"")</f>
        <v/>
      </c>
      <c r="AD644" s="27">
        <f>IF(ISNUMBER($Q644),COUNTIFS($A$14:$A$1213,$A644,$Q$14:$Q$1213,"&gt;"&amp;$Q644)+(COUNTIFS($A$14:$A$1213,$A644,$Q$14:$Q$1213,"="&amp;$Q644)+1)/2,"")</f>
        <v/>
      </c>
      <c r="AE644" s="27">
        <f>IF(ISNUMBER($R644),COUNTIFS($A$14:$A$1213,$A644,$R$14:$R$1213,"&gt;"&amp;$R644)+(COUNTIFS($A$14:$A$1213,$A644,$R$14:$R$1213,"="&amp;$R644)+1)/2,"")</f>
        <v/>
      </c>
      <c r="AF644" s="27">
        <f>IF(ISNUMBER($S644),COUNTIFS($A$14:$A$1213,$A644,$S$14:$S$1213,"&gt;"&amp;$S644)+(COUNTIFS($A$14:$A$1213,$A644,$S$14:$S$1213,"="&amp;$S644)+1)/2,"")</f>
        <v/>
      </c>
      <c r="AG644" s="27">
        <f>IF(ISNUMBER($T644),COUNTIFS($A$14:$A$1213,$A644,$T$14:$T$1213,"&gt;"&amp;$T644)+(COUNTIFS($A$14:$A$1213,$A644,$T$14:$T$1213,"="&amp;$T644)+1)/2,"")</f>
        <v/>
      </c>
      <c r="AH644" s="27">
        <f>IF(COUNT($AC644:$AG644)&lt;2,"",IF(MAX($AC644:$AG644)=MIN($AC644:$AG644),0,1))</f>
        <v/>
      </c>
      <c r="AI644" s="27">
        <f>IF($A644="","",IF(COUNTIF($A$14:$A644,$A644)=1,COUNTIF($AI$13:AI643,"&gt;0")+1,""))</f>
        <v/>
      </c>
      <c r="AO644" s="27">
        <f>IF($A644="","",IF(AND(COUNTIFS($A$14:$A$1213,$A644,$F$14:$F$1213,"&gt;=0")=2,IFERROR(INDEX($M$14:$M$313,MATCH($A644,$H$14:$H$313,0)),"Yes")&lt;&gt;"Yes"),1,0))</f>
        <v/>
      </c>
    </row>
    <row r="645">
      <c r="A645" s="19" t="n"/>
      <c r="B645" s="20" t="n"/>
      <c r="C645" s="21">
        <f>IFERROR(AVERAGE(P645:T645),"")</f>
        <v/>
      </c>
      <c r="D645" s="29" t="n"/>
      <c r="E645" s="29" t="n"/>
      <c r="F645" s="30">
        <f>IF(AND(ISNUMBER($D645),ISNUMBER($E645),$E645&gt;0,$D645&lt;=$E645),$D645/$E645,"")</f>
        <v/>
      </c>
      <c r="P645" s="26" t="n"/>
      <c r="Q645" s="26" t="n"/>
      <c r="R645" s="26" t="n"/>
      <c r="S645" s="26" t="n"/>
      <c r="T645" s="26" t="n"/>
      <c r="V645" s="27">
        <f>IF(ISNUMBER($C645),COUNTIFS($A$14:$A$1213,$A645,$C$14:$C$1213,"&gt;"&amp;$C645)+(COUNTIFS($A$14:$A$1213,$A645,$C$14:$C$1213,"="&amp;$C645)+1)/2,"")</f>
        <v/>
      </c>
      <c r="W645" s="27">
        <f>IF(ISNUMBER($F645),COUNTIFS($A$14:$A$1213,$A645,$F$14:$F$1213,"&gt;"&amp;$F645)+(COUNTIFS($A$14:$A$1213,$A645,$F$14:$F$1213,"="&amp;$F645)+1)/2,"")</f>
        <v/>
      </c>
      <c r="X645" s="27">
        <f>IF(OR(NOT(ISNUMBER($V645)),$AO645=1),"",$V645-(COUNTIFS($A$14:$A$1213,$A645,$C$14:$C$1213,"&gt;=0")+1)/2)</f>
        <v/>
      </c>
      <c r="Y645" s="27">
        <f>IF(OR(NOT(ISNUMBER($W645)),$AO645=1),"",$W645-(COUNTIFS($A$14:$A$1213,$A645,$F$14:$F$1213,"&gt;=0")+1)/2)</f>
        <v/>
      </c>
      <c r="Z645" s="27">
        <f>IF(ISNUMBER($V645),$A645&amp;"|"&amp;$V645,"")</f>
        <v/>
      </c>
      <c r="AA645" s="27">
        <f>IF(ISNUMBER($W645),$A645&amp;"|"&amp;$W645,"")</f>
        <v/>
      </c>
      <c r="AB645" s="27">
        <f>IF(ISNUMBER($F645),$A645&amp;"|"&amp;$F645,"")</f>
        <v/>
      </c>
      <c r="AC645" s="27">
        <f>IF(ISNUMBER($P645),COUNTIFS($A$14:$A$1213,$A645,$P$14:$P$1213,"&gt;"&amp;$P645)+(COUNTIFS($A$14:$A$1213,$A645,$P$14:$P$1213,"="&amp;$P645)+1)/2,"")</f>
        <v/>
      </c>
      <c r="AD645" s="27">
        <f>IF(ISNUMBER($Q645),COUNTIFS($A$14:$A$1213,$A645,$Q$14:$Q$1213,"&gt;"&amp;$Q645)+(COUNTIFS($A$14:$A$1213,$A645,$Q$14:$Q$1213,"="&amp;$Q645)+1)/2,"")</f>
        <v/>
      </c>
      <c r="AE645" s="27">
        <f>IF(ISNUMBER($R645),COUNTIFS($A$14:$A$1213,$A645,$R$14:$R$1213,"&gt;"&amp;$R645)+(COUNTIFS($A$14:$A$1213,$A645,$R$14:$R$1213,"="&amp;$R645)+1)/2,"")</f>
        <v/>
      </c>
      <c r="AF645" s="27">
        <f>IF(ISNUMBER($S645),COUNTIFS($A$14:$A$1213,$A645,$S$14:$S$1213,"&gt;"&amp;$S645)+(COUNTIFS($A$14:$A$1213,$A645,$S$14:$S$1213,"="&amp;$S645)+1)/2,"")</f>
        <v/>
      </c>
      <c r="AG645" s="27">
        <f>IF(ISNUMBER($T645),COUNTIFS($A$14:$A$1213,$A645,$T$14:$T$1213,"&gt;"&amp;$T645)+(COUNTIFS($A$14:$A$1213,$A645,$T$14:$T$1213,"="&amp;$T645)+1)/2,"")</f>
        <v/>
      </c>
      <c r="AH645" s="27">
        <f>IF(COUNT($AC645:$AG645)&lt;2,"",IF(MAX($AC645:$AG645)=MIN($AC645:$AG645),0,1))</f>
        <v/>
      </c>
      <c r="AI645" s="27">
        <f>IF($A645="","",IF(COUNTIF($A$14:$A645,$A645)=1,COUNTIF($AI$13:AI644,"&gt;0")+1,""))</f>
        <v/>
      </c>
      <c r="AO645" s="27">
        <f>IF($A645="","",IF(AND(COUNTIFS($A$14:$A$1213,$A645,$F$14:$F$1213,"&gt;=0")=2,IFERROR(INDEX($M$14:$M$313,MATCH($A645,$H$14:$H$313,0)),"Yes")&lt;&gt;"Yes"),1,0))</f>
        <v/>
      </c>
    </row>
    <row r="646">
      <c r="A646" s="19" t="n"/>
      <c r="B646" s="20" t="n"/>
      <c r="C646" s="21">
        <f>IFERROR(AVERAGE(P646:T646),"")</f>
        <v/>
      </c>
      <c r="D646" s="29" t="n"/>
      <c r="E646" s="29" t="n"/>
      <c r="F646" s="30">
        <f>IF(AND(ISNUMBER($D646),ISNUMBER($E646),$E646&gt;0,$D646&lt;=$E646),$D646/$E646,"")</f>
        <v/>
      </c>
      <c r="P646" s="26" t="n"/>
      <c r="Q646" s="26" t="n"/>
      <c r="R646" s="26" t="n"/>
      <c r="S646" s="26" t="n"/>
      <c r="T646" s="26" t="n"/>
      <c r="V646" s="27">
        <f>IF(ISNUMBER($C646),COUNTIFS($A$14:$A$1213,$A646,$C$14:$C$1213,"&gt;"&amp;$C646)+(COUNTIFS($A$14:$A$1213,$A646,$C$14:$C$1213,"="&amp;$C646)+1)/2,"")</f>
        <v/>
      </c>
      <c r="W646" s="27">
        <f>IF(ISNUMBER($F646),COUNTIFS($A$14:$A$1213,$A646,$F$14:$F$1213,"&gt;"&amp;$F646)+(COUNTIFS($A$14:$A$1213,$A646,$F$14:$F$1213,"="&amp;$F646)+1)/2,"")</f>
        <v/>
      </c>
      <c r="X646" s="27">
        <f>IF(OR(NOT(ISNUMBER($V646)),$AO646=1),"",$V646-(COUNTIFS($A$14:$A$1213,$A646,$C$14:$C$1213,"&gt;=0")+1)/2)</f>
        <v/>
      </c>
      <c r="Y646" s="27">
        <f>IF(OR(NOT(ISNUMBER($W646)),$AO646=1),"",$W646-(COUNTIFS($A$14:$A$1213,$A646,$F$14:$F$1213,"&gt;=0")+1)/2)</f>
        <v/>
      </c>
      <c r="Z646" s="27">
        <f>IF(ISNUMBER($V646),$A646&amp;"|"&amp;$V646,"")</f>
        <v/>
      </c>
      <c r="AA646" s="27">
        <f>IF(ISNUMBER($W646),$A646&amp;"|"&amp;$W646,"")</f>
        <v/>
      </c>
      <c r="AB646" s="27">
        <f>IF(ISNUMBER($F646),$A646&amp;"|"&amp;$F646,"")</f>
        <v/>
      </c>
      <c r="AC646" s="27">
        <f>IF(ISNUMBER($P646),COUNTIFS($A$14:$A$1213,$A646,$P$14:$P$1213,"&gt;"&amp;$P646)+(COUNTIFS($A$14:$A$1213,$A646,$P$14:$P$1213,"="&amp;$P646)+1)/2,"")</f>
        <v/>
      </c>
      <c r="AD646" s="27">
        <f>IF(ISNUMBER($Q646),COUNTIFS($A$14:$A$1213,$A646,$Q$14:$Q$1213,"&gt;"&amp;$Q646)+(COUNTIFS($A$14:$A$1213,$A646,$Q$14:$Q$1213,"="&amp;$Q646)+1)/2,"")</f>
        <v/>
      </c>
      <c r="AE646" s="27">
        <f>IF(ISNUMBER($R646),COUNTIFS($A$14:$A$1213,$A646,$R$14:$R$1213,"&gt;"&amp;$R646)+(COUNTIFS($A$14:$A$1213,$A646,$R$14:$R$1213,"="&amp;$R646)+1)/2,"")</f>
        <v/>
      </c>
      <c r="AF646" s="27">
        <f>IF(ISNUMBER($S646),COUNTIFS($A$14:$A$1213,$A646,$S$14:$S$1213,"&gt;"&amp;$S646)+(COUNTIFS($A$14:$A$1213,$A646,$S$14:$S$1213,"="&amp;$S646)+1)/2,"")</f>
        <v/>
      </c>
      <c r="AG646" s="27">
        <f>IF(ISNUMBER($T646),COUNTIFS($A$14:$A$1213,$A646,$T$14:$T$1213,"&gt;"&amp;$T646)+(COUNTIFS($A$14:$A$1213,$A646,$T$14:$T$1213,"="&amp;$T646)+1)/2,"")</f>
        <v/>
      </c>
      <c r="AH646" s="27">
        <f>IF(COUNT($AC646:$AG646)&lt;2,"",IF(MAX($AC646:$AG646)=MIN($AC646:$AG646),0,1))</f>
        <v/>
      </c>
      <c r="AI646" s="27">
        <f>IF($A646="","",IF(COUNTIF($A$14:$A646,$A646)=1,COUNTIF($AI$13:AI645,"&gt;0")+1,""))</f>
        <v/>
      </c>
      <c r="AO646" s="27">
        <f>IF($A646="","",IF(AND(COUNTIFS($A$14:$A$1213,$A646,$F$14:$F$1213,"&gt;=0")=2,IFERROR(INDEX($M$14:$M$313,MATCH($A646,$H$14:$H$313,0)),"Yes")&lt;&gt;"Yes"),1,0))</f>
        <v/>
      </c>
    </row>
    <row r="647">
      <c r="A647" s="19" t="n"/>
      <c r="B647" s="20" t="n"/>
      <c r="C647" s="21">
        <f>IFERROR(AVERAGE(P647:T647),"")</f>
        <v/>
      </c>
      <c r="D647" s="29" t="n"/>
      <c r="E647" s="29" t="n"/>
      <c r="F647" s="30">
        <f>IF(AND(ISNUMBER($D647),ISNUMBER($E647),$E647&gt;0,$D647&lt;=$E647),$D647/$E647,"")</f>
        <v/>
      </c>
      <c r="P647" s="26" t="n"/>
      <c r="Q647" s="26" t="n"/>
      <c r="R647" s="26" t="n"/>
      <c r="S647" s="26" t="n"/>
      <c r="T647" s="26" t="n"/>
      <c r="V647" s="27">
        <f>IF(ISNUMBER($C647),COUNTIFS($A$14:$A$1213,$A647,$C$14:$C$1213,"&gt;"&amp;$C647)+(COUNTIFS($A$14:$A$1213,$A647,$C$14:$C$1213,"="&amp;$C647)+1)/2,"")</f>
        <v/>
      </c>
      <c r="W647" s="27">
        <f>IF(ISNUMBER($F647),COUNTIFS($A$14:$A$1213,$A647,$F$14:$F$1213,"&gt;"&amp;$F647)+(COUNTIFS($A$14:$A$1213,$A647,$F$14:$F$1213,"="&amp;$F647)+1)/2,"")</f>
        <v/>
      </c>
      <c r="X647" s="27">
        <f>IF(OR(NOT(ISNUMBER($V647)),$AO647=1),"",$V647-(COUNTIFS($A$14:$A$1213,$A647,$C$14:$C$1213,"&gt;=0")+1)/2)</f>
        <v/>
      </c>
      <c r="Y647" s="27">
        <f>IF(OR(NOT(ISNUMBER($W647)),$AO647=1),"",$W647-(COUNTIFS($A$14:$A$1213,$A647,$F$14:$F$1213,"&gt;=0")+1)/2)</f>
        <v/>
      </c>
      <c r="Z647" s="27">
        <f>IF(ISNUMBER($V647),$A647&amp;"|"&amp;$V647,"")</f>
        <v/>
      </c>
      <c r="AA647" s="27">
        <f>IF(ISNUMBER($W647),$A647&amp;"|"&amp;$W647,"")</f>
        <v/>
      </c>
      <c r="AB647" s="27">
        <f>IF(ISNUMBER($F647),$A647&amp;"|"&amp;$F647,"")</f>
        <v/>
      </c>
      <c r="AC647" s="27">
        <f>IF(ISNUMBER($P647),COUNTIFS($A$14:$A$1213,$A647,$P$14:$P$1213,"&gt;"&amp;$P647)+(COUNTIFS($A$14:$A$1213,$A647,$P$14:$P$1213,"="&amp;$P647)+1)/2,"")</f>
        <v/>
      </c>
      <c r="AD647" s="27">
        <f>IF(ISNUMBER($Q647),COUNTIFS($A$14:$A$1213,$A647,$Q$14:$Q$1213,"&gt;"&amp;$Q647)+(COUNTIFS($A$14:$A$1213,$A647,$Q$14:$Q$1213,"="&amp;$Q647)+1)/2,"")</f>
        <v/>
      </c>
      <c r="AE647" s="27">
        <f>IF(ISNUMBER($R647),COUNTIFS($A$14:$A$1213,$A647,$R$14:$R$1213,"&gt;"&amp;$R647)+(COUNTIFS($A$14:$A$1213,$A647,$R$14:$R$1213,"="&amp;$R647)+1)/2,"")</f>
        <v/>
      </c>
      <c r="AF647" s="27">
        <f>IF(ISNUMBER($S647),COUNTIFS($A$14:$A$1213,$A647,$S$14:$S$1213,"&gt;"&amp;$S647)+(COUNTIFS($A$14:$A$1213,$A647,$S$14:$S$1213,"="&amp;$S647)+1)/2,"")</f>
        <v/>
      </c>
      <c r="AG647" s="27">
        <f>IF(ISNUMBER($T647),COUNTIFS($A$14:$A$1213,$A647,$T$14:$T$1213,"&gt;"&amp;$T647)+(COUNTIFS($A$14:$A$1213,$A647,$T$14:$T$1213,"="&amp;$T647)+1)/2,"")</f>
        <v/>
      </c>
      <c r="AH647" s="27">
        <f>IF(COUNT($AC647:$AG647)&lt;2,"",IF(MAX($AC647:$AG647)=MIN($AC647:$AG647),0,1))</f>
        <v/>
      </c>
      <c r="AI647" s="27">
        <f>IF($A647="","",IF(COUNTIF($A$14:$A647,$A647)=1,COUNTIF($AI$13:AI646,"&gt;0")+1,""))</f>
        <v/>
      </c>
      <c r="AO647" s="27">
        <f>IF($A647="","",IF(AND(COUNTIFS($A$14:$A$1213,$A647,$F$14:$F$1213,"&gt;=0")=2,IFERROR(INDEX($M$14:$M$313,MATCH($A647,$H$14:$H$313,0)),"Yes")&lt;&gt;"Yes"),1,0))</f>
        <v/>
      </c>
    </row>
    <row r="648">
      <c r="A648" s="19" t="n"/>
      <c r="B648" s="20" t="n"/>
      <c r="C648" s="21">
        <f>IFERROR(AVERAGE(P648:T648),"")</f>
        <v/>
      </c>
      <c r="D648" s="29" t="n"/>
      <c r="E648" s="29" t="n"/>
      <c r="F648" s="30">
        <f>IF(AND(ISNUMBER($D648),ISNUMBER($E648),$E648&gt;0,$D648&lt;=$E648),$D648/$E648,"")</f>
        <v/>
      </c>
      <c r="P648" s="26" t="n"/>
      <c r="Q648" s="26" t="n"/>
      <c r="R648" s="26" t="n"/>
      <c r="S648" s="26" t="n"/>
      <c r="T648" s="26" t="n"/>
      <c r="V648" s="27">
        <f>IF(ISNUMBER($C648),COUNTIFS($A$14:$A$1213,$A648,$C$14:$C$1213,"&gt;"&amp;$C648)+(COUNTIFS($A$14:$A$1213,$A648,$C$14:$C$1213,"="&amp;$C648)+1)/2,"")</f>
        <v/>
      </c>
      <c r="W648" s="27">
        <f>IF(ISNUMBER($F648),COUNTIFS($A$14:$A$1213,$A648,$F$14:$F$1213,"&gt;"&amp;$F648)+(COUNTIFS($A$14:$A$1213,$A648,$F$14:$F$1213,"="&amp;$F648)+1)/2,"")</f>
        <v/>
      </c>
      <c r="X648" s="27">
        <f>IF(OR(NOT(ISNUMBER($V648)),$AO648=1),"",$V648-(COUNTIFS($A$14:$A$1213,$A648,$C$14:$C$1213,"&gt;=0")+1)/2)</f>
        <v/>
      </c>
      <c r="Y648" s="27">
        <f>IF(OR(NOT(ISNUMBER($W648)),$AO648=1),"",$W648-(COUNTIFS($A$14:$A$1213,$A648,$F$14:$F$1213,"&gt;=0")+1)/2)</f>
        <v/>
      </c>
      <c r="Z648" s="27">
        <f>IF(ISNUMBER($V648),$A648&amp;"|"&amp;$V648,"")</f>
        <v/>
      </c>
      <c r="AA648" s="27">
        <f>IF(ISNUMBER($W648),$A648&amp;"|"&amp;$W648,"")</f>
        <v/>
      </c>
      <c r="AB648" s="27">
        <f>IF(ISNUMBER($F648),$A648&amp;"|"&amp;$F648,"")</f>
        <v/>
      </c>
      <c r="AC648" s="27">
        <f>IF(ISNUMBER($P648),COUNTIFS($A$14:$A$1213,$A648,$P$14:$P$1213,"&gt;"&amp;$P648)+(COUNTIFS($A$14:$A$1213,$A648,$P$14:$P$1213,"="&amp;$P648)+1)/2,"")</f>
        <v/>
      </c>
      <c r="AD648" s="27">
        <f>IF(ISNUMBER($Q648),COUNTIFS($A$14:$A$1213,$A648,$Q$14:$Q$1213,"&gt;"&amp;$Q648)+(COUNTIFS($A$14:$A$1213,$A648,$Q$14:$Q$1213,"="&amp;$Q648)+1)/2,"")</f>
        <v/>
      </c>
      <c r="AE648" s="27">
        <f>IF(ISNUMBER($R648),COUNTIFS($A$14:$A$1213,$A648,$R$14:$R$1213,"&gt;"&amp;$R648)+(COUNTIFS($A$14:$A$1213,$A648,$R$14:$R$1213,"="&amp;$R648)+1)/2,"")</f>
        <v/>
      </c>
      <c r="AF648" s="27">
        <f>IF(ISNUMBER($S648),COUNTIFS($A$14:$A$1213,$A648,$S$14:$S$1213,"&gt;"&amp;$S648)+(COUNTIFS($A$14:$A$1213,$A648,$S$14:$S$1213,"="&amp;$S648)+1)/2,"")</f>
        <v/>
      </c>
      <c r="AG648" s="27">
        <f>IF(ISNUMBER($T648),COUNTIFS($A$14:$A$1213,$A648,$T$14:$T$1213,"&gt;"&amp;$T648)+(COUNTIFS($A$14:$A$1213,$A648,$T$14:$T$1213,"="&amp;$T648)+1)/2,"")</f>
        <v/>
      </c>
      <c r="AH648" s="27">
        <f>IF(COUNT($AC648:$AG648)&lt;2,"",IF(MAX($AC648:$AG648)=MIN($AC648:$AG648),0,1))</f>
        <v/>
      </c>
      <c r="AI648" s="27">
        <f>IF($A648="","",IF(COUNTIF($A$14:$A648,$A648)=1,COUNTIF($AI$13:AI647,"&gt;0")+1,""))</f>
        <v/>
      </c>
      <c r="AO648" s="27">
        <f>IF($A648="","",IF(AND(COUNTIFS($A$14:$A$1213,$A648,$F$14:$F$1213,"&gt;=0")=2,IFERROR(INDEX($M$14:$M$313,MATCH($A648,$H$14:$H$313,0)),"Yes")&lt;&gt;"Yes"),1,0))</f>
        <v/>
      </c>
    </row>
    <row r="649">
      <c r="A649" s="19" t="n"/>
      <c r="B649" s="20" t="n"/>
      <c r="C649" s="21">
        <f>IFERROR(AVERAGE(P649:T649),"")</f>
        <v/>
      </c>
      <c r="D649" s="29" t="n"/>
      <c r="E649" s="29" t="n"/>
      <c r="F649" s="30">
        <f>IF(AND(ISNUMBER($D649),ISNUMBER($E649),$E649&gt;0,$D649&lt;=$E649),$D649/$E649,"")</f>
        <v/>
      </c>
      <c r="P649" s="26" t="n"/>
      <c r="Q649" s="26" t="n"/>
      <c r="R649" s="26" t="n"/>
      <c r="S649" s="26" t="n"/>
      <c r="T649" s="26" t="n"/>
      <c r="V649" s="27">
        <f>IF(ISNUMBER($C649),COUNTIFS($A$14:$A$1213,$A649,$C$14:$C$1213,"&gt;"&amp;$C649)+(COUNTIFS($A$14:$A$1213,$A649,$C$14:$C$1213,"="&amp;$C649)+1)/2,"")</f>
        <v/>
      </c>
      <c r="W649" s="27">
        <f>IF(ISNUMBER($F649),COUNTIFS($A$14:$A$1213,$A649,$F$14:$F$1213,"&gt;"&amp;$F649)+(COUNTIFS($A$14:$A$1213,$A649,$F$14:$F$1213,"="&amp;$F649)+1)/2,"")</f>
        <v/>
      </c>
      <c r="X649" s="27">
        <f>IF(OR(NOT(ISNUMBER($V649)),$AO649=1),"",$V649-(COUNTIFS($A$14:$A$1213,$A649,$C$14:$C$1213,"&gt;=0")+1)/2)</f>
        <v/>
      </c>
      <c r="Y649" s="27">
        <f>IF(OR(NOT(ISNUMBER($W649)),$AO649=1),"",$W649-(COUNTIFS($A$14:$A$1213,$A649,$F$14:$F$1213,"&gt;=0")+1)/2)</f>
        <v/>
      </c>
      <c r="Z649" s="27">
        <f>IF(ISNUMBER($V649),$A649&amp;"|"&amp;$V649,"")</f>
        <v/>
      </c>
      <c r="AA649" s="27">
        <f>IF(ISNUMBER($W649),$A649&amp;"|"&amp;$W649,"")</f>
        <v/>
      </c>
      <c r="AB649" s="27">
        <f>IF(ISNUMBER($F649),$A649&amp;"|"&amp;$F649,"")</f>
        <v/>
      </c>
      <c r="AC649" s="27">
        <f>IF(ISNUMBER($P649),COUNTIFS($A$14:$A$1213,$A649,$P$14:$P$1213,"&gt;"&amp;$P649)+(COUNTIFS($A$14:$A$1213,$A649,$P$14:$P$1213,"="&amp;$P649)+1)/2,"")</f>
        <v/>
      </c>
      <c r="AD649" s="27">
        <f>IF(ISNUMBER($Q649),COUNTIFS($A$14:$A$1213,$A649,$Q$14:$Q$1213,"&gt;"&amp;$Q649)+(COUNTIFS($A$14:$A$1213,$A649,$Q$14:$Q$1213,"="&amp;$Q649)+1)/2,"")</f>
        <v/>
      </c>
      <c r="AE649" s="27">
        <f>IF(ISNUMBER($R649),COUNTIFS($A$14:$A$1213,$A649,$R$14:$R$1213,"&gt;"&amp;$R649)+(COUNTIFS($A$14:$A$1213,$A649,$R$14:$R$1213,"="&amp;$R649)+1)/2,"")</f>
        <v/>
      </c>
      <c r="AF649" s="27">
        <f>IF(ISNUMBER($S649),COUNTIFS($A$14:$A$1213,$A649,$S$14:$S$1213,"&gt;"&amp;$S649)+(COUNTIFS($A$14:$A$1213,$A649,$S$14:$S$1213,"="&amp;$S649)+1)/2,"")</f>
        <v/>
      </c>
      <c r="AG649" s="27">
        <f>IF(ISNUMBER($T649),COUNTIFS($A$14:$A$1213,$A649,$T$14:$T$1213,"&gt;"&amp;$T649)+(COUNTIFS($A$14:$A$1213,$A649,$T$14:$T$1213,"="&amp;$T649)+1)/2,"")</f>
        <v/>
      </c>
      <c r="AH649" s="27">
        <f>IF(COUNT($AC649:$AG649)&lt;2,"",IF(MAX($AC649:$AG649)=MIN($AC649:$AG649),0,1))</f>
        <v/>
      </c>
      <c r="AI649" s="27">
        <f>IF($A649="","",IF(COUNTIF($A$14:$A649,$A649)=1,COUNTIF($AI$13:AI648,"&gt;0")+1,""))</f>
        <v/>
      </c>
      <c r="AO649" s="27">
        <f>IF($A649="","",IF(AND(COUNTIFS($A$14:$A$1213,$A649,$F$14:$F$1213,"&gt;=0")=2,IFERROR(INDEX($M$14:$M$313,MATCH($A649,$H$14:$H$313,0)),"Yes")&lt;&gt;"Yes"),1,0))</f>
        <v/>
      </c>
    </row>
    <row r="650">
      <c r="A650" s="19" t="n"/>
      <c r="B650" s="20" t="n"/>
      <c r="C650" s="21">
        <f>IFERROR(AVERAGE(P650:T650),"")</f>
        <v/>
      </c>
      <c r="D650" s="29" t="n"/>
      <c r="E650" s="29" t="n"/>
      <c r="F650" s="30">
        <f>IF(AND(ISNUMBER($D650),ISNUMBER($E650),$E650&gt;0,$D650&lt;=$E650),$D650/$E650,"")</f>
        <v/>
      </c>
      <c r="P650" s="26" t="n"/>
      <c r="Q650" s="26" t="n"/>
      <c r="R650" s="26" t="n"/>
      <c r="S650" s="26" t="n"/>
      <c r="T650" s="26" t="n"/>
      <c r="V650" s="27">
        <f>IF(ISNUMBER($C650),COUNTIFS($A$14:$A$1213,$A650,$C$14:$C$1213,"&gt;"&amp;$C650)+(COUNTIFS($A$14:$A$1213,$A650,$C$14:$C$1213,"="&amp;$C650)+1)/2,"")</f>
        <v/>
      </c>
      <c r="W650" s="27">
        <f>IF(ISNUMBER($F650),COUNTIFS($A$14:$A$1213,$A650,$F$14:$F$1213,"&gt;"&amp;$F650)+(COUNTIFS($A$14:$A$1213,$A650,$F$14:$F$1213,"="&amp;$F650)+1)/2,"")</f>
        <v/>
      </c>
      <c r="X650" s="27">
        <f>IF(OR(NOT(ISNUMBER($V650)),$AO650=1),"",$V650-(COUNTIFS($A$14:$A$1213,$A650,$C$14:$C$1213,"&gt;=0")+1)/2)</f>
        <v/>
      </c>
      <c r="Y650" s="27">
        <f>IF(OR(NOT(ISNUMBER($W650)),$AO650=1),"",$W650-(COUNTIFS($A$14:$A$1213,$A650,$F$14:$F$1213,"&gt;=0")+1)/2)</f>
        <v/>
      </c>
      <c r="Z650" s="27">
        <f>IF(ISNUMBER($V650),$A650&amp;"|"&amp;$V650,"")</f>
        <v/>
      </c>
      <c r="AA650" s="27">
        <f>IF(ISNUMBER($W650),$A650&amp;"|"&amp;$W650,"")</f>
        <v/>
      </c>
      <c r="AB650" s="27">
        <f>IF(ISNUMBER($F650),$A650&amp;"|"&amp;$F650,"")</f>
        <v/>
      </c>
      <c r="AC650" s="27">
        <f>IF(ISNUMBER($P650),COUNTIFS($A$14:$A$1213,$A650,$P$14:$P$1213,"&gt;"&amp;$P650)+(COUNTIFS($A$14:$A$1213,$A650,$P$14:$P$1213,"="&amp;$P650)+1)/2,"")</f>
        <v/>
      </c>
      <c r="AD650" s="27">
        <f>IF(ISNUMBER($Q650),COUNTIFS($A$14:$A$1213,$A650,$Q$14:$Q$1213,"&gt;"&amp;$Q650)+(COUNTIFS($A$14:$A$1213,$A650,$Q$14:$Q$1213,"="&amp;$Q650)+1)/2,"")</f>
        <v/>
      </c>
      <c r="AE650" s="27">
        <f>IF(ISNUMBER($R650),COUNTIFS($A$14:$A$1213,$A650,$R$14:$R$1213,"&gt;"&amp;$R650)+(COUNTIFS($A$14:$A$1213,$A650,$R$14:$R$1213,"="&amp;$R650)+1)/2,"")</f>
        <v/>
      </c>
      <c r="AF650" s="27">
        <f>IF(ISNUMBER($S650),COUNTIFS($A$14:$A$1213,$A650,$S$14:$S$1213,"&gt;"&amp;$S650)+(COUNTIFS($A$14:$A$1213,$A650,$S$14:$S$1213,"="&amp;$S650)+1)/2,"")</f>
        <v/>
      </c>
      <c r="AG650" s="27">
        <f>IF(ISNUMBER($T650),COUNTIFS($A$14:$A$1213,$A650,$T$14:$T$1213,"&gt;"&amp;$T650)+(COUNTIFS($A$14:$A$1213,$A650,$T$14:$T$1213,"="&amp;$T650)+1)/2,"")</f>
        <v/>
      </c>
      <c r="AH650" s="27">
        <f>IF(COUNT($AC650:$AG650)&lt;2,"",IF(MAX($AC650:$AG650)=MIN($AC650:$AG650),0,1))</f>
        <v/>
      </c>
      <c r="AI650" s="27">
        <f>IF($A650="","",IF(COUNTIF($A$14:$A650,$A650)=1,COUNTIF($AI$13:AI649,"&gt;0")+1,""))</f>
        <v/>
      </c>
      <c r="AO650" s="27">
        <f>IF($A650="","",IF(AND(COUNTIFS($A$14:$A$1213,$A650,$F$14:$F$1213,"&gt;=0")=2,IFERROR(INDEX($M$14:$M$313,MATCH($A650,$H$14:$H$313,0)),"Yes")&lt;&gt;"Yes"),1,0))</f>
        <v/>
      </c>
    </row>
    <row r="651">
      <c r="A651" s="19" t="n"/>
      <c r="B651" s="20" t="n"/>
      <c r="C651" s="21">
        <f>IFERROR(AVERAGE(P651:T651),"")</f>
        <v/>
      </c>
      <c r="D651" s="29" t="n"/>
      <c r="E651" s="29" t="n"/>
      <c r="F651" s="30">
        <f>IF(AND(ISNUMBER($D651),ISNUMBER($E651),$E651&gt;0,$D651&lt;=$E651),$D651/$E651,"")</f>
        <v/>
      </c>
      <c r="P651" s="26" t="n"/>
      <c r="Q651" s="26" t="n"/>
      <c r="R651" s="26" t="n"/>
      <c r="S651" s="26" t="n"/>
      <c r="T651" s="26" t="n"/>
      <c r="V651" s="27">
        <f>IF(ISNUMBER($C651),COUNTIFS($A$14:$A$1213,$A651,$C$14:$C$1213,"&gt;"&amp;$C651)+(COUNTIFS($A$14:$A$1213,$A651,$C$14:$C$1213,"="&amp;$C651)+1)/2,"")</f>
        <v/>
      </c>
      <c r="W651" s="27">
        <f>IF(ISNUMBER($F651),COUNTIFS($A$14:$A$1213,$A651,$F$14:$F$1213,"&gt;"&amp;$F651)+(COUNTIFS($A$14:$A$1213,$A651,$F$14:$F$1213,"="&amp;$F651)+1)/2,"")</f>
        <v/>
      </c>
      <c r="X651" s="27">
        <f>IF(OR(NOT(ISNUMBER($V651)),$AO651=1),"",$V651-(COUNTIFS($A$14:$A$1213,$A651,$C$14:$C$1213,"&gt;=0")+1)/2)</f>
        <v/>
      </c>
      <c r="Y651" s="27">
        <f>IF(OR(NOT(ISNUMBER($W651)),$AO651=1),"",$W651-(COUNTIFS($A$14:$A$1213,$A651,$F$14:$F$1213,"&gt;=0")+1)/2)</f>
        <v/>
      </c>
      <c r="Z651" s="27">
        <f>IF(ISNUMBER($V651),$A651&amp;"|"&amp;$V651,"")</f>
        <v/>
      </c>
      <c r="AA651" s="27">
        <f>IF(ISNUMBER($W651),$A651&amp;"|"&amp;$W651,"")</f>
        <v/>
      </c>
      <c r="AB651" s="27">
        <f>IF(ISNUMBER($F651),$A651&amp;"|"&amp;$F651,"")</f>
        <v/>
      </c>
      <c r="AC651" s="27">
        <f>IF(ISNUMBER($P651),COUNTIFS($A$14:$A$1213,$A651,$P$14:$P$1213,"&gt;"&amp;$P651)+(COUNTIFS($A$14:$A$1213,$A651,$P$14:$P$1213,"="&amp;$P651)+1)/2,"")</f>
        <v/>
      </c>
      <c r="AD651" s="27">
        <f>IF(ISNUMBER($Q651),COUNTIFS($A$14:$A$1213,$A651,$Q$14:$Q$1213,"&gt;"&amp;$Q651)+(COUNTIFS($A$14:$A$1213,$A651,$Q$14:$Q$1213,"="&amp;$Q651)+1)/2,"")</f>
        <v/>
      </c>
      <c r="AE651" s="27">
        <f>IF(ISNUMBER($R651),COUNTIFS($A$14:$A$1213,$A651,$R$14:$R$1213,"&gt;"&amp;$R651)+(COUNTIFS($A$14:$A$1213,$A651,$R$14:$R$1213,"="&amp;$R651)+1)/2,"")</f>
        <v/>
      </c>
      <c r="AF651" s="27">
        <f>IF(ISNUMBER($S651),COUNTIFS($A$14:$A$1213,$A651,$S$14:$S$1213,"&gt;"&amp;$S651)+(COUNTIFS($A$14:$A$1213,$A651,$S$14:$S$1213,"="&amp;$S651)+1)/2,"")</f>
        <v/>
      </c>
      <c r="AG651" s="27">
        <f>IF(ISNUMBER($T651),COUNTIFS($A$14:$A$1213,$A651,$T$14:$T$1213,"&gt;"&amp;$T651)+(COUNTIFS($A$14:$A$1213,$A651,$T$14:$T$1213,"="&amp;$T651)+1)/2,"")</f>
        <v/>
      </c>
      <c r="AH651" s="27">
        <f>IF(COUNT($AC651:$AG651)&lt;2,"",IF(MAX($AC651:$AG651)=MIN($AC651:$AG651),0,1))</f>
        <v/>
      </c>
      <c r="AI651" s="27">
        <f>IF($A651="","",IF(COUNTIF($A$14:$A651,$A651)=1,COUNTIF($AI$13:AI650,"&gt;0")+1,""))</f>
        <v/>
      </c>
      <c r="AO651" s="27">
        <f>IF($A651="","",IF(AND(COUNTIFS($A$14:$A$1213,$A651,$F$14:$F$1213,"&gt;=0")=2,IFERROR(INDEX($M$14:$M$313,MATCH($A651,$H$14:$H$313,0)),"Yes")&lt;&gt;"Yes"),1,0))</f>
        <v/>
      </c>
    </row>
    <row r="652">
      <c r="A652" s="19" t="n"/>
      <c r="B652" s="20" t="n"/>
      <c r="C652" s="21">
        <f>IFERROR(AVERAGE(P652:T652),"")</f>
        <v/>
      </c>
      <c r="D652" s="29" t="n"/>
      <c r="E652" s="29" t="n"/>
      <c r="F652" s="30">
        <f>IF(AND(ISNUMBER($D652),ISNUMBER($E652),$E652&gt;0,$D652&lt;=$E652),$D652/$E652,"")</f>
        <v/>
      </c>
      <c r="P652" s="26" t="n"/>
      <c r="Q652" s="26" t="n"/>
      <c r="R652" s="26" t="n"/>
      <c r="S652" s="26" t="n"/>
      <c r="T652" s="26" t="n"/>
      <c r="V652" s="27">
        <f>IF(ISNUMBER($C652),COUNTIFS($A$14:$A$1213,$A652,$C$14:$C$1213,"&gt;"&amp;$C652)+(COUNTIFS($A$14:$A$1213,$A652,$C$14:$C$1213,"="&amp;$C652)+1)/2,"")</f>
        <v/>
      </c>
      <c r="W652" s="27">
        <f>IF(ISNUMBER($F652),COUNTIFS($A$14:$A$1213,$A652,$F$14:$F$1213,"&gt;"&amp;$F652)+(COUNTIFS($A$14:$A$1213,$A652,$F$14:$F$1213,"="&amp;$F652)+1)/2,"")</f>
        <v/>
      </c>
      <c r="X652" s="27">
        <f>IF(OR(NOT(ISNUMBER($V652)),$AO652=1),"",$V652-(COUNTIFS($A$14:$A$1213,$A652,$C$14:$C$1213,"&gt;=0")+1)/2)</f>
        <v/>
      </c>
      <c r="Y652" s="27">
        <f>IF(OR(NOT(ISNUMBER($W652)),$AO652=1),"",$W652-(COUNTIFS($A$14:$A$1213,$A652,$F$14:$F$1213,"&gt;=0")+1)/2)</f>
        <v/>
      </c>
      <c r="Z652" s="27">
        <f>IF(ISNUMBER($V652),$A652&amp;"|"&amp;$V652,"")</f>
        <v/>
      </c>
      <c r="AA652" s="27">
        <f>IF(ISNUMBER($W652),$A652&amp;"|"&amp;$W652,"")</f>
        <v/>
      </c>
      <c r="AB652" s="27">
        <f>IF(ISNUMBER($F652),$A652&amp;"|"&amp;$F652,"")</f>
        <v/>
      </c>
      <c r="AC652" s="27">
        <f>IF(ISNUMBER($P652),COUNTIFS($A$14:$A$1213,$A652,$P$14:$P$1213,"&gt;"&amp;$P652)+(COUNTIFS($A$14:$A$1213,$A652,$P$14:$P$1213,"="&amp;$P652)+1)/2,"")</f>
        <v/>
      </c>
      <c r="AD652" s="27">
        <f>IF(ISNUMBER($Q652),COUNTIFS($A$14:$A$1213,$A652,$Q$14:$Q$1213,"&gt;"&amp;$Q652)+(COUNTIFS($A$14:$A$1213,$A652,$Q$14:$Q$1213,"="&amp;$Q652)+1)/2,"")</f>
        <v/>
      </c>
      <c r="AE652" s="27">
        <f>IF(ISNUMBER($R652),COUNTIFS($A$14:$A$1213,$A652,$R$14:$R$1213,"&gt;"&amp;$R652)+(COUNTIFS($A$14:$A$1213,$A652,$R$14:$R$1213,"="&amp;$R652)+1)/2,"")</f>
        <v/>
      </c>
      <c r="AF652" s="27">
        <f>IF(ISNUMBER($S652),COUNTIFS($A$14:$A$1213,$A652,$S$14:$S$1213,"&gt;"&amp;$S652)+(COUNTIFS($A$14:$A$1213,$A652,$S$14:$S$1213,"="&amp;$S652)+1)/2,"")</f>
        <v/>
      </c>
      <c r="AG652" s="27">
        <f>IF(ISNUMBER($T652),COUNTIFS($A$14:$A$1213,$A652,$T$14:$T$1213,"&gt;"&amp;$T652)+(COUNTIFS($A$14:$A$1213,$A652,$T$14:$T$1213,"="&amp;$T652)+1)/2,"")</f>
        <v/>
      </c>
      <c r="AH652" s="27">
        <f>IF(COUNT($AC652:$AG652)&lt;2,"",IF(MAX($AC652:$AG652)=MIN($AC652:$AG652),0,1))</f>
        <v/>
      </c>
      <c r="AI652" s="27">
        <f>IF($A652="","",IF(COUNTIF($A$14:$A652,$A652)=1,COUNTIF($AI$13:AI651,"&gt;0")+1,""))</f>
        <v/>
      </c>
      <c r="AO652" s="27">
        <f>IF($A652="","",IF(AND(COUNTIFS($A$14:$A$1213,$A652,$F$14:$F$1213,"&gt;=0")=2,IFERROR(INDEX($M$14:$M$313,MATCH($A652,$H$14:$H$313,0)),"Yes")&lt;&gt;"Yes"),1,0))</f>
        <v/>
      </c>
    </row>
    <row r="653">
      <c r="A653" s="19" t="n"/>
      <c r="B653" s="20" t="n"/>
      <c r="C653" s="21">
        <f>IFERROR(AVERAGE(P653:T653),"")</f>
        <v/>
      </c>
      <c r="D653" s="29" t="n"/>
      <c r="E653" s="29" t="n"/>
      <c r="F653" s="30">
        <f>IF(AND(ISNUMBER($D653),ISNUMBER($E653),$E653&gt;0,$D653&lt;=$E653),$D653/$E653,"")</f>
        <v/>
      </c>
      <c r="P653" s="26" t="n"/>
      <c r="Q653" s="26" t="n"/>
      <c r="R653" s="26" t="n"/>
      <c r="S653" s="26" t="n"/>
      <c r="T653" s="26" t="n"/>
      <c r="V653" s="27">
        <f>IF(ISNUMBER($C653),COUNTIFS($A$14:$A$1213,$A653,$C$14:$C$1213,"&gt;"&amp;$C653)+(COUNTIFS($A$14:$A$1213,$A653,$C$14:$C$1213,"="&amp;$C653)+1)/2,"")</f>
        <v/>
      </c>
      <c r="W653" s="27">
        <f>IF(ISNUMBER($F653),COUNTIFS($A$14:$A$1213,$A653,$F$14:$F$1213,"&gt;"&amp;$F653)+(COUNTIFS($A$14:$A$1213,$A653,$F$14:$F$1213,"="&amp;$F653)+1)/2,"")</f>
        <v/>
      </c>
      <c r="X653" s="27">
        <f>IF(OR(NOT(ISNUMBER($V653)),$AO653=1),"",$V653-(COUNTIFS($A$14:$A$1213,$A653,$C$14:$C$1213,"&gt;=0")+1)/2)</f>
        <v/>
      </c>
      <c r="Y653" s="27">
        <f>IF(OR(NOT(ISNUMBER($W653)),$AO653=1),"",$W653-(COUNTIFS($A$14:$A$1213,$A653,$F$14:$F$1213,"&gt;=0")+1)/2)</f>
        <v/>
      </c>
      <c r="Z653" s="27">
        <f>IF(ISNUMBER($V653),$A653&amp;"|"&amp;$V653,"")</f>
        <v/>
      </c>
      <c r="AA653" s="27">
        <f>IF(ISNUMBER($W653),$A653&amp;"|"&amp;$W653,"")</f>
        <v/>
      </c>
      <c r="AB653" s="27">
        <f>IF(ISNUMBER($F653),$A653&amp;"|"&amp;$F653,"")</f>
        <v/>
      </c>
      <c r="AC653" s="27">
        <f>IF(ISNUMBER($P653),COUNTIFS($A$14:$A$1213,$A653,$P$14:$P$1213,"&gt;"&amp;$P653)+(COUNTIFS($A$14:$A$1213,$A653,$P$14:$P$1213,"="&amp;$P653)+1)/2,"")</f>
        <v/>
      </c>
      <c r="AD653" s="27">
        <f>IF(ISNUMBER($Q653),COUNTIFS($A$14:$A$1213,$A653,$Q$14:$Q$1213,"&gt;"&amp;$Q653)+(COUNTIFS($A$14:$A$1213,$A653,$Q$14:$Q$1213,"="&amp;$Q653)+1)/2,"")</f>
        <v/>
      </c>
      <c r="AE653" s="27">
        <f>IF(ISNUMBER($R653),COUNTIFS($A$14:$A$1213,$A653,$R$14:$R$1213,"&gt;"&amp;$R653)+(COUNTIFS($A$14:$A$1213,$A653,$R$14:$R$1213,"="&amp;$R653)+1)/2,"")</f>
        <v/>
      </c>
      <c r="AF653" s="27">
        <f>IF(ISNUMBER($S653),COUNTIFS($A$14:$A$1213,$A653,$S$14:$S$1213,"&gt;"&amp;$S653)+(COUNTIFS($A$14:$A$1213,$A653,$S$14:$S$1213,"="&amp;$S653)+1)/2,"")</f>
        <v/>
      </c>
      <c r="AG653" s="27">
        <f>IF(ISNUMBER($T653),COUNTIFS($A$14:$A$1213,$A653,$T$14:$T$1213,"&gt;"&amp;$T653)+(COUNTIFS($A$14:$A$1213,$A653,$T$14:$T$1213,"="&amp;$T653)+1)/2,"")</f>
        <v/>
      </c>
      <c r="AH653" s="27">
        <f>IF(COUNT($AC653:$AG653)&lt;2,"",IF(MAX($AC653:$AG653)=MIN($AC653:$AG653),0,1))</f>
        <v/>
      </c>
      <c r="AI653" s="27">
        <f>IF($A653="","",IF(COUNTIF($A$14:$A653,$A653)=1,COUNTIF($AI$13:AI652,"&gt;0")+1,""))</f>
        <v/>
      </c>
      <c r="AO653" s="27">
        <f>IF($A653="","",IF(AND(COUNTIFS($A$14:$A$1213,$A653,$F$14:$F$1213,"&gt;=0")=2,IFERROR(INDEX($M$14:$M$313,MATCH($A653,$H$14:$H$313,0)),"Yes")&lt;&gt;"Yes"),1,0))</f>
        <v/>
      </c>
    </row>
    <row r="654">
      <c r="A654" s="19" t="n"/>
      <c r="B654" s="20" t="n"/>
      <c r="C654" s="21">
        <f>IFERROR(AVERAGE(P654:T654),"")</f>
        <v/>
      </c>
      <c r="D654" s="29" t="n"/>
      <c r="E654" s="29" t="n"/>
      <c r="F654" s="30">
        <f>IF(AND(ISNUMBER($D654),ISNUMBER($E654),$E654&gt;0,$D654&lt;=$E654),$D654/$E654,"")</f>
        <v/>
      </c>
      <c r="P654" s="26" t="n"/>
      <c r="Q654" s="26" t="n"/>
      <c r="R654" s="26" t="n"/>
      <c r="S654" s="26" t="n"/>
      <c r="T654" s="26" t="n"/>
      <c r="V654" s="27">
        <f>IF(ISNUMBER($C654),COUNTIFS($A$14:$A$1213,$A654,$C$14:$C$1213,"&gt;"&amp;$C654)+(COUNTIFS($A$14:$A$1213,$A654,$C$14:$C$1213,"="&amp;$C654)+1)/2,"")</f>
        <v/>
      </c>
      <c r="W654" s="27">
        <f>IF(ISNUMBER($F654),COUNTIFS($A$14:$A$1213,$A654,$F$14:$F$1213,"&gt;"&amp;$F654)+(COUNTIFS($A$14:$A$1213,$A654,$F$14:$F$1213,"="&amp;$F654)+1)/2,"")</f>
        <v/>
      </c>
      <c r="X654" s="27">
        <f>IF(OR(NOT(ISNUMBER($V654)),$AO654=1),"",$V654-(COUNTIFS($A$14:$A$1213,$A654,$C$14:$C$1213,"&gt;=0")+1)/2)</f>
        <v/>
      </c>
      <c r="Y654" s="27">
        <f>IF(OR(NOT(ISNUMBER($W654)),$AO654=1),"",$W654-(COUNTIFS($A$14:$A$1213,$A654,$F$14:$F$1213,"&gt;=0")+1)/2)</f>
        <v/>
      </c>
      <c r="Z654" s="27">
        <f>IF(ISNUMBER($V654),$A654&amp;"|"&amp;$V654,"")</f>
        <v/>
      </c>
      <c r="AA654" s="27">
        <f>IF(ISNUMBER($W654),$A654&amp;"|"&amp;$W654,"")</f>
        <v/>
      </c>
      <c r="AB654" s="27">
        <f>IF(ISNUMBER($F654),$A654&amp;"|"&amp;$F654,"")</f>
        <v/>
      </c>
      <c r="AC654" s="27">
        <f>IF(ISNUMBER($P654),COUNTIFS($A$14:$A$1213,$A654,$P$14:$P$1213,"&gt;"&amp;$P654)+(COUNTIFS($A$14:$A$1213,$A654,$P$14:$P$1213,"="&amp;$P654)+1)/2,"")</f>
        <v/>
      </c>
      <c r="AD654" s="27">
        <f>IF(ISNUMBER($Q654),COUNTIFS($A$14:$A$1213,$A654,$Q$14:$Q$1213,"&gt;"&amp;$Q654)+(COUNTIFS($A$14:$A$1213,$A654,$Q$14:$Q$1213,"="&amp;$Q654)+1)/2,"")</f>
        <v/>
      </c>
      <c r="AE654" s="27">
        <f>IF(ISNUMBER($R654),COUNTIFS($A$14:$A$1213,$A654,$R$14:$R$1213,"&gt;"&amp;$R654)+(COUNTIFS($A$14:$A$1213,$A654,$R$14:$R$1213,"="&amp;$R654)+1)/2,"")</f>
        <v/>
      </c>
      <c r="AF654" s="27">
        <f>IF(ISNUMBER($S654),COUNTIFS($A$14:$A$1213,$A654,$S$14:$S$1213,"&gt;"&amp;$S654)+(COUNTIFS($A$14:$A$1213,$A654,$S$14:$S$1213,"="&amp;$S654)+1)/2,"")</f>
        <v/>
      </c>
      <c r="AG654" s="27">
        <f>IF(ISNUMBER($T654),COUNTIFS($A$14:$A$1213,$A654,$T$14:$T$1213,"&gt;"&amp;$T654)+(COUNTIFS($A$14:$A$1213,$A654,$T$14:$T$1213,"="&amp;$T654)+1)/2,"")</f>
        <v/>
      </c>
      <c r="AH654" s="27">
        <f>IF(COUNT($AC654:$AG654)&lt;2,"",IF(MAX($AC654:$AG654)=MIN($AC654:$AG654),0,1))</f>
        <v/>
      </c>
      <c r="AI654" s="27">
        <f>IF($A654="","",IF(COUNTIF($A$14:$A654,$A654)=1,COUNTIF($AI$13:AI653,"&gt;0")+1,""))</f>
        <v/>
      </c>
      <c r="AO654" s="27">
        <f>IF($A654="","",IF(AND(COUNTIFS($A$14:$A$1213,$A654,$F$14:$F$1213,"&gt;=0")=2,IFERROR(INDEX($M$14:$M$313,MATCH($A654,$H$14:$H$313,0)),"Yes")&lt;&gt;"Yes"),1,0))</f>
        <v/>
      </c>
    </row>
    <row r="655">
      <c r="A655" s="19" t="n"/>
      <c r="B655" s="20" t="n"/>
      <c r="C655" s="21">
        <f>IFERROR(AVERAGE(P655:T655),"")</f>
        <v/>
      </c>
      <c r="D655" s="29" t="n"/>
      <c r="E655" s="29" t="n"/>
      <c r="F655" s="30">
        <f>IF(AND(ISNUMBER($D655),ISNUMBER($E655),$E655&gt;0,$D655&lt;=$E655),$D655/$E655,"")</f>
        <v/>
      </c>
      <c r="P655" s="26" t="n"/>
      <c r="Q655" s="26" t="n"/>
      <c r="R655" s="26" t="n"/>
      <c r="S655" s="26" t="n"/>
      <c r="T655" s="26" t="n"/>
      <c r="V655" s="27">
        <f>IF(ISNUMBER($C655),COUNTIFS($A$14:$A$1213,$A655,$C$14:$C$1213,"&gt;"&amp;$C655)+(COUNTIFS($A$14:$A$1213,$A655,$C$14:$C$1213,"="&amp;$C655)+1)/2,"")</f>
        <v/>
      </c>
      <c r="W655" s="27">
        <f>IF(ISNUMBER($F655),COUNTIFS($A$14:$A$1213,$A655,$F$14:$F$1213,"&gt;"&amp;$F655)+(COUNTIFS($A$14:$A$1213,$A655,$F$14:$F$1213,"="&amp;$F655)+1)/2,"")</f>
        <v/>
      </c>
      <c r="X655" s="27">
        <f>IF(OR(NOT(ISNUMBER($V655)),$AO655=1),"",$V655-(COUNTIFS($A$14:$A$1213,$A655,$C$14:$C$1213,"&gt;=0")+1)/2)</f>
        <v/>
      </c>
      <c r="Y655" s="27">
        <f>IF(OR(NOT(ISNUMBER($W655)),$AO655=1),"",$W655-(COUNTIFS($A$14:$A$1213,$A655,$F$14:$F$1213,"&gt;=0")+1)/2)</f>
        <v/>
      </c>
      <c r="Z655" s="27">
        <f>IF(ISNUMBER($V655),$A655&amp;"|"&amp;$V655,"")</f>
        <v/>
      </c>
      <c r="AA655" s="27">
        <f>IF(ISNUMBER($W655),$A655&amp;"|"&amp;$W655,"")</f>
        <v/>
      </c>
      <c r="AB655" s="27">
        <f>IF(ISNUMBER($F655),$A655&amp;"|"&amp;$F655,"")</f>
        <v/>
      </c>
      <c r="AC655" s="27">
        <f>IF(ISNUMBER($P655),COUNTIFS($A$14:$A$1213,$A655,$P$14:$P$1213,"&gt;"&amp;$P655)+(COUNTIFS($A$14:$A$1213,$A655,$P$14:$P$1213,"="&amp;$P655)+1)/2,"")</f>
        <v/>
      </c>
      <c r="AD655" s="27">
        <f>IF(ISNUMBER($Q655),COUNTIFS($A$14:$A$1213,$A655,$Q$14:$Q$1213,"&gt;"&amp;$Q655)+(COUNTIFS($A$14:$A$1213,$A655,$Q$14:$Q$1213,"="&amp;$Q655)+1)/2,"")</f>
        <v/>
      </c>
      <c r="AE655" s="27">
        <f>IF(ISNUMBER($R655),COUNTIFS($A$14:$A$1213,$A655,$R$14:$R$1213,"&gt;"&amp;$R655)+(COUNTIFS($A$14:$A$1213,$A655,$R$14:$R$1213,"="&amp;$R655)+1)/2,"")</f>
        <v/>
      </c>
      <c r="AF655" s="27">
        <f>IF(ISNUMBER($S655),COUNTIFS($A$14:$A$1213,$A655,$S$14:$S$1213,"&gt;"&amp;$S655)+(COUNTIFS($A$14:$A$1213,$A655,$S$14:$S$1213,"="&amp;$S655)+1)/2,"")</f>
        <v/>
      </c>
      <c r="AG655" s="27">
        <f>IF(ISNUMBER($T655),COUNTIFS($A$14:$A$1213,$A655,$T$14:$T$1213,"&gt;"&amp;$T655)+(COUNTIFS($A$14:$A$1213,$A655,$T$14:$T$1213,"="&amp;$T655)+1)/2,"")</f>
        <v/>
      </c>
      <c r="AH655" s="27">
        <f>IF(COUNT($AC655:$AG655)&lt;2,"",IF(MAX($AC655:$AG655)=MIN($AC655:$AG655),0,1))</f>
        <v/>
      </c>
      <c r="AI655" s="27">
        <f>IF($A655="","",IF(COUNTIF($A$14:$A655,$A655)=1,COUNTIF($AI$13:AI654,"&gt;0")+1,""))</f>
        <v/>
      </c>
      <c r="AO655" s="27">
        <f>IF($A655="","",IF(AND(COUNTIFS($A$14:$A$1213,$A655,$F$14:$F$1213,"&gt;=0")=2,IFERROR(INDEX($M$14:$M$313,MATCH($A655,$H$14:$H$313,0)),"Yes")&lt;&gt;"Yes"),1,0))</f>
        <v/>
      </c>
    </row>
    <row r="656">
      <c r="A656" s="19" t="n"/>
      <c r="B656" s="20" t="n"/>
      <c r="C656" s="21">
        <f>IFERROR(AVERAGE(P656:T656),"")</f>
        <v/>
      </c>
      <c r="D656" s="29" t="n"/>
      <c r="E656" s="29" t="n"/>
      <c r="F656" s="30">
        <f>IF(AND(ISNUMBER($D656),ISNUMBER($E656),$E656&gt;0,$D656&lt;=$E656),$D656/$E656,"")</f>
        <v/>
      </c>
      <c r="P656" s="26" t="n"/>
      <c r="Q656" s="26" t="n"/>
      <c r="R656" s="26" t="n"/>
      <c r="S656" s="26" t="n"/>
      <c r="T656" s="26" t="n"/>
      <c r="V656" s="27">
        <f>IF(ISNUMBER($C656),COUNTIFS($A$14:$A$1213,$A656,$C$14:$C$1213,"&gt;"&amp;$C656)+(COUNTIFS($A$14:$A$1213,$A656,$C$14:$C$1213,"="&amp;$C656)+1)/2,"")</f>
        <v/>
      </c>
      <c r="W656" s="27">
        <f>IF(ISNUMBER($F656),COUNTIFS($A$14:$A$1213,$A656,$F$14:$F$1213,"&gt;"&amp;$F656)+(COUNTIFS($A$14:$A$1213,$A656,$F$14:$F$1213,"="&amp;$F656)+1)/2,"")</f>
        <v/>
      </c>
      <c r="X656" s="27">
        <f>IF(OR(NOT(ISNUMBER($V656)),$AO656=1),"",$V656-(COUNTIFS($A$14:$A$1213,$A656,$C$14:$C$1213,"&gt;=0")+1)/2)</f>
        <v/>
      </c>
      <c r="Y656" s="27">
        <f>IF(OR(NOT(ISNUMBER($W656)),$AO656=1),"",$W656-(COUNTIFS($A$14:$A$1213,$A656,$F$14:$F$1213,"&gt;=0")+1)/2)</f>
        <v/>
      </c>
      <c r="Z656" s="27">
        <f>IF(ISNUMBER($V656),$A656&amp;"|"&amp;$V656,"")</f>
        <v/>
      </c>
      <c r="AA656" s="27">
        <f>IF(ISNUMBER($W656),$A656&amp;"|"&amp;$W656,"")</f>
        <v/>
      </c>
      <c r="AB656" s="27">
        <f>IF(ISNUMBER($F656),$A656&amp;"|"&amp;$F656,"")</f>
        <v/>
      </c>
      <c r="AC656" s="27">
        <f>IF(ISNUMBER($P656),COUNTIFS($A$14:$A$1213,$A656,$P$14:$P$1213,"&gt;"&amp;$P656)+(COUNTIFS($A$14:$A$1213,$A656,$P$14:$P$1213,"="&amp;$P656)+1)/2,"")</f>
        <v/>
      </c>
      <c r="AD656" s="27">
        <f>IF(ISNUMBER($Q656),COUNTIFS($A$14:$A$1213,$A656,$Q$14:$Q$1213,"&gt;"&amp;$Q656)+(COUNTIFS($A$14:$A$1213,$A656,$Q$14:$Q$1213,"="&amp;$Q656)+1)/2,"")</f>
        <v/>
      </c>
      <c r="AE656" s="27">
        <f>IF(ISNUMBER($R656),COUNTIFS($A$14:$A$1213,$A656,$R$14:$R$1213,"&gt;"&amp;$R656)+(COUNTIFS($A$14:$A$1213,$A656,$R$14:$R$1213,"="&amp;$R656)+1)/2,"")</f>
        <v/>
      </c>
      <c r="AF656" s="27">
        <f>IF(ISNUMBER($S656),COUNTIFS($A$14:$A$1213,$A656,$S$14:$S$1213,"&gt;"&amp;$S656)+(COUNTIFS($A$14:$A$1213,$A656,$S$14:$S$1213,"="&amp;$S656)+1)/2,"")</f>
        <v/>
      </c>
      <c r="AG656" s="27">
        <f>IF(ISNUMBER($T656),COUNTIFS($A$14:$A$1213,$A656,$T$14:$T$1213,"&gt;"&amp;$T656)+(COUNTIFS($A$14:$A$1213,$A656,$T$14:$T$1213,"="&amp;$T656)+1)/2,"")</f>
        <v/>
      </c>
      <c r="AH656" s="27">
        <f>IF(COUNT($AC656:$AG656)&lt;2,"",IF(MAX($AC656:$AG656)=MIN($AC656:$AG656),0,1))</f>
        <v/>
      </c>
      <c r="AI656" s="27">
        <f>IF($A656="","",IF(COUNTIF($A$14:$A656,$A656)=1,COUNTIF($AI$13:AI655,"&gt;0")+1,""))</f>
        <v/>
      </c>
      <c r="AO656" s="27">
        <f>IF($A656="","",IF(AND(COUNTIFS($A$14:$A$1213,$A656,$F$14:$F$1213,"&gt;=0")=2,IFERROR(INDEX($M$14:$M$313,MATCH($A656,$H$14:$H$313,0)),"Yes")&lt;&gt;"Yes"),1,0))</f>
        <v/>
      </c>
    </row>
    <row r="657">
      <c r="A657" s="19" t="n"/>
      <c r="B657" s="20" t="n"/>
      <c r="C657" s="21">
        <f>IFERROR(AVERAGE(P657:T657),"")</f>
        <v/>
      </c>
      <c r="D657" s="29" t="n"/>
      <c r="E657" s="29" t="n"/>
      <c r="F657" s="30">
        <f>IF(AND(ISNUMBER($D657),ISNUMBER($E657),$E657&gt;0,$D657&lt;=$E657),$D657/$E657,"")</f>
        <v/>
      </c>
      <c r="P657" s="26" t="n"/>
      <c r="Q657" s="26" t="n"/>
      <c r="R657" s="26" t="n"/>
      <c r="S657" s="26" t="n"/>
      <c r="T657" s="26" t="n"/>
      <c r="V657" s="27">
        <f>IF(ISNUMBER($C657),COUNTIFS($A$14:$A$1213,$A657,$C$14:$C$1213,"&gt;"&amp;$C657)+(COUNTIFS($A$14:$A$1213,$A657,$C$14:$C$1213,"="&amp;$C657)+1)/2,"")</f>
        <v/>
      </c>
      <c r="W657" s="27">
        <f>IF(ISNUMBER($F657),COUNTIFS($A$14:$A$1213,$A657,$F$14:$F$1213,"&gt;"&amp;$F657)+(COUNTIFS($A$14:$A$1213,$A657,$F$14:$F$1213,"="&amp;$F657)+1)/2,"")</f>
        <v/>
      </c>
      <c r="X657" s="27">
        <f>IF(OR(NOT(ISNUMBER($V657)),$AO657=1),"",$V657-(COUNTIFS($A$14:$A$1213,$A657,$C$14:$C$1213,"&gt;=0")+1)/2)</f>
        <v/>
      </c>
      <c r="Y657" s="27">
        <f>IF(OR(NOT(ISNUMBER($W657)),$AO657=1),"",$W657-(COUNTIFS($A$14:$A$1213,$A657,$F$14:$F$1213,"&gt;=0")+1)/2)</f>
        <v/>
      </c>
      <c r="Z657" s="27">
        <f>IF(ISNUMBER($V657),$A657&amp;"|"&amp;$V657,"")</f>
        <v/>
      </c>
      <c r="AA657" s="27">
        <f>IF(ISNUMBER($W657),$A657&amp;"|"&amp;$W657,"")</f>
        <v/>
      </c>
      <c r="AB657" s="27">
        <f>IF(ISNUMBER($F657),$A657&amp;"|"&amp;$F657,"")</f>
        <v/>
      </c>
      <c r="AC657" s="27">
        <f>IF(ISNUMBER($P657),COUNTIFS($A$14:$A$1213,$A657,$P$14:$P$1213,"&gt;"&amp;$P657)+(COUNTIFS($A$14:$A$1213,$A657,$P$14:$P$1213,"="&amp;$P657)+1)/2,"")</f>
        <v/>
      </c>
      <c r="AD657" s="27">
        <f>IF(ISNUMBER($Q657),COUNTIFS($A$14:$A$1213,$A657,$Q$14:$Q$1213,"&gt;"&amp;$Q657)+(COUNTIFS($A$14:$A$1213,$A657,$Q$14:$Q$1213,"="&amp;$Q657)+1)/2,"")</f>
        <v/>
      </c>
      <c r="AE657" s="27">
        <f>IF(ISNUMBER($R657),COUNTIFS($A$14:$A$1213,$A657,$R$14:$R$1213,"&gt;"&amp;$R657)+(COUNTIFS($A$14:$A$1213,$A657,$R$14:$R$1213,"="&amp;$R657)+1)/2,"")</f>
        <v/>
      </c>
      <c r="AF657" s="27">
        <f>IF(ISNUMBER($S657),COUNTIFS($A$14:$A$1213,$A657,$S$14:$S$1213,"&gt;"&amp;$S657)+(COUNTIFS($A$14:$A$1213,$A657,$S$14:$S$1213,"="&amp;$S657)+1)/2,"")</f>
        <v/>
      </c>
      <c r="AG657" s="27">
        <f>IF(ISNUMBER($T657),COUNTIFS($A$14:$A$1213,$A657,$T$14:$T$1213,"&gt;"&amp;$T657)+(COUNTIFS($A$14:$A$1213,$A657,$T$14:$T$1213,"="&amp;$T657)+1)/2,"")</f>
        <v/>
      </c>
      <c r="AH657" s="27">
        <f>IF(COUNT($AC657:$AG657)&lt;2,"",IF(MAX($AC657:$AG657)=MIN($AC657:$AG657),0,1))</f>
        <v/>
      </c>
      <c r="AI657" s="27">
        <f>IF($A657="","",IF(COUNTIF($A$14:$A657,$A657)=1,COUNTIF($AI$13:AI656,"&gt;0")+1,""))</f>
        <v/>
      </c>
      <c r="AO657" s="27">
        <f>IF($A657="","",IF(AND(COUNTIFS($A$14:$A$1213,$A657,$F$14:$F$1213,"&gt;=0")=2,IFERROR(INDEX($M$14:$M$313,MATCH($A657,$H$14:$H$313,0)),"Yes")&lt;&gt;"Yes"),1,0))</f>
        <v/>
      </c>
    </row>
    <row r="658">
      <c r="A658" s="19" t="n"/>
      <c r="B658" s="20" t="n"/>
      <c r="C658" s="21">
        <f>IFERROR(AVERAGE(P658:T658),"")</f>
        <v/>
      </c>
      <c r="D658" s="29" t="n"/>
      <c r="E658" s="29" t="n"/>
      <c r="F658" s="30">
        <f>IF(AND(ISNUMBER($D658),ISNUMBER($E658),$E658&gt;0,$D658&lt;=$E658),$D658/$E658,"")</f>
        <v/>
      </c>
      <c r="P658" s="26" t="n"/>
      <c r="Q658" s="26" t="n"/>
      <c r="R658" s="26" t="n"/>
      <c r="S658" s="26" t="n"/>
      <c r="T658" s="26" t="n"/>
      <c r="V658" s="27">
        <f>IF(ISNUMBER($C658),COUNTIFS($A$14:$A$1213,$A658,$C$14:$C$1213,"&gt;"&amp;$C658)+(COUNTIFS($A$14:$A$1213,$A658,$C$14:$C$1213,"="&amp;$C658)+1)/2,"")</f>
        <v/>
      </c>
      <c r="W658" s="27">
        <f>IF(ISNUMBER($F658),COUNTIFS($A$14:$A$1213,$A658,$F$14:$F$1213,"&gt;"&amp;$F658)+(COUNTIFS($A$14:$A$1213,$A658,$F$14:$F$1213,"="&amp;$F658)+1)/2,"")</f>
        <v/>
      </c>
      <c r="X658" s="27">
        <f>IF(OR(NOT(ISNUMBER($V658)),$AO658=1),"",$V658-(COUNTIFS($A$14:$A$1213,$A658,$C$14:$C$1213,"&gt;=0")+1)/2)</f>
        <v/>
      </c>
      <c r="Y658" s="27">
        <f>IF(OR(NOT(ISNUMBER($W658)),$AO658=1),"",$W658-(COUNTIFS($A$14:$A$1213,$A658,$F$14:$F$1213,"&gt;=0")+1)/2)</f>
        <v/>
      </c>
      <c r="Z658" s="27">
        <f>IF(ISNUMBER($V658),$A658&amp;"|"&amp;$V658,"")</f>
        <v/>
      </c>
      <c r="AA658" s="27">
        <f>IF(ISNUMBER($W658),$A658&amp;"|"&amp;$W658,"")</f>
        <v/>
      </c>
      <c r="AB658" s="27">
        <f>IF(ISNUMBER($F658),$A658&amp;"|"&amp;$F658,"")</f>
        <v/>
      </c>
      <c r="AC658" s="27">
        <f>IF(ISNUMBER($P658),COUNTIFS($A$14:$A$1213,$A658,$P$14:$P$1213,"&gt;"&amp;$P658)+(COUNTIFS($A$14:$A$1213,$A658,$P$14:$P$1213,"="&amp;$P658)+1)/2,"")</f>
        <v/>
      </c>
      <c r="AD658" s="27">
        <f>IF(ISNUMBER($Q658),COUNTIFS($A$14:$A$1213,$A658,$Q$14:$Q$1213,"&gt;"&amp;$Q658)+(COUNTIFS($A$14:$A$1213,$A658,$Q$14:$Q$1213,"="&amp;$Q658)+1)/2,"")</f>
        <v/>
      </c>
      <c r="AE658" s="27">
        <f>IF(ISNUMBER($R658),COUNTIFS($A$14:$A$1213,$A658,$R$14:$R$1213,"&gt;"&amp;$R658)+(COUNTIFS($A$14:$A$1213,$A658,$R$14:$R$1213,"="&amp;$R658)+1)/2,"")</f>
        <v/>
      </c>
      <c r="AF658" s="27">
        <f>IF(ISNUMBER($S658),COUNTIFS($A$14:$A$1213,$A658,$S$14:$S$1213,"&gt;"&amp;$S658)+(COUNTIFS($A$14:$A$1213,$A658,$S$14:$S$1213,"="&amp;$S658)+1)/2,"")</f>
        <v/>
      </c>
      <c r="AG658" s="27">
        <f>IF(ISNUMBER($T658),COUNTIFS($A$14:$A$1213,$A658,$T$14:$T$1213,"&gt;"&amp;$T658)+(COUNTIFS($A$14:$A$1213,$A658,$T$14:$T$1213,"="&amp;$T658)+1)/2,"")</f>
        <v/>
      </c>
      <c r="AH658" s="27">
        <f>IF(COUNT($AC658:$AG658)&lt;2,"",IF(MAX($AC658:$AG658)=MIN($AC658:$AG658),0,1))</f>
        <v/>
      </c>
      <c r="AI658" s="27">
        <f>IF($A658="","",IF(COUNTIF($A$14:$A658,$A658)=1,COUNTIF($AI$13:AI657,"&gt;0")+1,""))</f>
        <v/>
      </c>
      <c r="AO658" s="27">
        <f>IF($A658="","",IF(AND(COUNTIFS($A$14:$A$1213,$A658,$F$14:$F$1213,"&gt;=0")=2,IFERROR(INDEX($M$14:$M$313,MATCH($A658,$H$14:$H$313,0)),"Yes")&lt;&gt;"Yes"),1,0))</f>
        <v/>
      </c>
    </row>
    <row r="659">
      <c r="A659" s="19" t="n"/>
      <c r="B659" s="20" t="n"/>
      <c r="C659" s="21">
        <f>IFERROR(AVERAGE(P659:T659),"")</f>
        <v/>
      </c>
      <c r="D659" s="29" t="n"/>
      <c r="E659" s="29" t="n"/>
      <c r="F659" s="30">
        <f>IF(AND(ISNUMBER($D659),ISNUMBER($E659),$E659&gt;0,$D659&lt;=$E659),$D659/$E659,"")</f>
        <v/>
      </c>
      <c r="P659" s="26" t="n"/>
      <c r="Q659" s="26" t="n"/>
      <c r="R659" s="26" t="n"/>
      <c r="S659" s="26" t="n"/>
      <c r="T659" s="26" t="n"/>
      <c r="V659" s="27">
        <f>IF(ISNUMBER($C659),COUNTIFS($A$14:$A$1213,$A659,$C$14:$C$1213,"&gt;"&amp;$C659)+(COUNTIFS($A$14:$A$1213,$A659,$C$14:$C$1213,"="&amp;$C659)+1)/2,"")</f>
        <v/>
      </c>
      <c r="W659" s="27">
        <f>IF(ISNUMBER($F659),COUNTIFS($A$14:$A$1213,$A659,$F$14:$F$1213,"&gt;"&amp;$F659)+(COUNTIFS($A$14:$A$1213,$A659,$F$14:$F$1213,"="&amp;$F659)+1)/2,"")</f>
        <v/>
      </c>
      <c r="X659" s="27">
        <f>IF(OR(NOT(ISNUMBER($V659)),$AO659=1),"",$V659-(COUNTIFS($A$14:$A$1213,$A659,$C$14:$C$1213,"&gt;=0")+1)/2)</f>
        <v/>
      </c>
      <c r="Y659" s="27">
        <f>IF(OR(NOT(ISNUMBER($W659)),$AO659=1),"",$W659-(COUNTIFS($A$14:$A$1213,$A659,$F$14:$F$1213,"&gt;=0")+1)/2)</f>
        <v/>
      </c>
      <c r="Z659" s="27">
        <f>IF(ISNUMBER($V659),$A659&amp;"|"&amp;$V659,"")</f>
        <v/>
      </c>
      <c r="AA659" s="27">
        <f>IF(ISNUMBER($W659),$A659&amp;"|"&amp;$W659,"")</f>
        <v/>
      </c>
      <c r="AB659" s="27">
        <f>IF(ISNUMBER($F659),$A659&amp;"|"&amp;$F659,"")</f>
        <v/>
      </c>
      <c r="AC659" s="27">
        <f>IF(ISNUMBER($P659),COUNTIFS($A$14:$A$1213,$A659,$P$14:$P$1213,"&gt;"&amp;$P659)+(COUNTIFS($A$14:$A$1213,$A659,$P$14:$P$1213,"="&amp;$P659)+1)/2,"")</f>
        <v/>
      </c>
      <c r="AD659" s="27">
        <f>IF(ISNUMBER($Q659),COUNTIFS($A$14:$A$1213,$A659,$Q$14:$Q$1213,"&gt;"&amp;$Q659)+(COUNTIFS($A$14:$A$1213,$A659,$Q$14:$Q$1213,"="&amp;$Q659)+1)/2,"")</f>
        <v/>
      </c>
      <c r="AE659" s="27">
        <f>IF(ISNUMBER($R659),COUNTIFS($A$14:$A$1213,$A659,$R$14:$R$1213,"&gt;"&amp;$R659)+(COUNTIFS($A$14:$A$1213,$A659,$R$14:$R$1213,"="&amp;$R659)+1)/2,"")</f>
        <v/>
      </c>
      <c r="AF659" s="27">
        <f>IF(ISNUMBER($S659),COUNTIFS($A$14:$A$1213,$A659,$S$14:$S$1213,"&gt;"&amp;$S659)+(COUNTIFS($A$14:$A$1213,$A659,$S$14:$S$1213,"="&amp;$S659)+1)/2,"")</f>
        <v/>
      </c>
      <c r="AG659" s="27">
        <f>IF(ISNUMBER($T659),COUNTIFS($A$14:$A$1213,$A659,$T$14:$T$1213,"&gt;"&amp;$T659)+(COUNTIFS($A$14:$A$1213,$A659,$T$14:$T$1213,"="&amp;$T659)+1)/2,"")</f>
        <v/>
      </c>
      <c r="AH659" s="27">
        <f>IF(COUNT($AC659:$AG659)&lt;2,"",IF(MAX($AC659:$AG659)=MIN($AC659:$AG659),0,1))</f>
        <v/>
      </c>
      <c r="AI659" s="27">
        <f>IF($A659="","",IF(COUNTIF($A$14:$A659,$A659)=1,COUNTIF($AI$13:AI658,"&gt;0")+1,""))</f>
        <v/>
      </c>
      <c r="AO659" s="27">
        <f>IF($A659="","",IF(AND(COUNTIFS($A$14:$A$1213,$A659,$F$14:$F$1213,"&gt;=0")=2,IFERROR(INDEX($M$14:$M$313,MATCH($A659,$H$14:$H$313,0)),"Yes")&lt;&gt;"Yes"),1,0))</f>
        <v/>
      </c>
    </row>
    <row r="660">
      <c r="A660" s="19" t="n"/>
      <c r="B660" s="20" t="n"/>
      <c r="C660" s="21">
        <f>IFERROR(AVERAGE(P660:T660),"")</f>
        <v/>
      </c>
      <c r="D660" s="29" t="n"/>
      <c r="E660" s="29" t="n"/>
      <c r="F660" s="30">
        <f>IF(AND(ISNUMBER($D660),ISNUMBER($E660),$E660&gt;0,$D660&lt;=$E660),$D660/$E660,"")</f>
        <v/>
      </c>
      <c r="P660" s="26" t="n"/>
      <c r="Q660" s="26" t="n"/>
      <c r="R660" s="26" t="n"/>
      <c r="S660" s="26" t="n"/>
      <c r="T660" s="26" t="n"/>
      <c r="V660" s="27">
        <f>IF(ISNUMBER($C660),COUNTIFS($A$14:$A$1213,$A660,$C$14:$C$1213,"&gt;"&amp;$C660)+(COUNTIFS($A$14:$A$1213,$A660,$C$14:$C$1213,"="&amp;$C660)+1)/2,"")</f>
        <v/>
      </c>
      <c r="W660" s="27">
        <f>IF(ISNUMBER($F660),COUNTIFS($A$14:$A$1213,$A660,$F$14:$F$1213,"&gt;"&amp;$F660)+(COUNTIFS($A$14:$A$1213,$A660,$F$14:$F$1213,"="&amp;$F660)+1)/2,"")</f>
        <v/>
      </c>
      <c r="X660" s="27">
        <f>IF(OR(NOT(ISNUMBER($V660)),$AO660=1),"",$V660-(COUNTIFS($A$14:$A$1213,$A660,$C$14:$C$1213,"&gt;=0")+1)/2)</f>
        <v/>
      </c>
      <c r="Y660" s="27">
        <f>IF(OR(NOT(ISNUMBER($W660)),$AO660=1),"",$W660-(COUNTIFS($A$14:$A$1213,$A660,$F$14:$F$1213,"&gt;=0")+1)/2)</f>
        <v/>
      </c>
      <c r="Z660" s="27">
        <f>IF(ISNUMBER($V660),$A660&amp;"|"&amp;$V660,"")</f>
        <v/>
      </c>
      <c r="AA660" s="27">
        <f>IF(ISNUMBER($W660),$A660&amp;"|"&amp;$W660,"")</f>
        <v/>
      </c>
      <c r="AB660" s="27">
        <f>IF(ISNUMBER($F660),$A660&amp;"|"&amp;$F660,"")</f>
        <v/>
      </c>
      <c r="AC660" s="27">
        <f>IF(ISNUMBER($P660),COUNTIFS($A$14:$A$1213,$A660,$P$14:$P$1213,"&gt;"&amp;$P660)+(COUNTIFS($A$14:$A$1213,$A660,$P$14:$P$1213,"="&amp;$P660)+1)/2,"")</f>
        <v/>
      </c>
      <c r="AD660" s="27">
        <f>IF(ISNUMBER($Q660),COUNTIFS($A$14:$A$1213,$A660,$Q$14:$Q$1213,"&gt;"&amp;$Q660)+(COUNTIFS($A$14:$A$1213,$A660,$Q$14:$Q$1213,"="&amp;$Q660)+1)/2,"")</f>
        <v/>
      </c>
      <c r="AE660" s="27">
        <f>IF(ISNUMBER($R660),COUNTIFS($A$14:$A$1213,$A660,$R$14:$R$1213,"&gt;"&amp;$R660)+(COUNTIFS($A$14:$A$1213,$A660,$R$14:$R$1213,"="&amp;$R660)+1)/2,"")</f>
        <v/>
      </c>
      <c r="AF660" s="27">
        <f>IF(ISNUMBER($S660),COUNTIFS($A$14:$A$1213,$A660,$S$14:$S$1213,"&gt;"&amp;$S660)+(COUNTIFS($A$14:$A$1213,$A660,$S$14:$S$1213,"="&amp;$S660)+1)/2,"")</f>
        <v/>
      </c>
      <c r="AG660" s="27">
        <f>IF(ISNUMBER($T660),COUNTIFS($A$14:$A$1213,$A660,$T$14:$T$1213,"&gt;"&amp;$T660)+(COUNTIFS($A$14:$A$1213,$A660,$T$14:$T$1213,"="&amp;$T660)+1)/2,"")</f>
        <v/>
      </c>
      <c r="AH660" s="27">
        <f>IF(COUNT($AC660:$AG660)&lt;2,"",IF(MAX($AC660:$AG660)=MIN($AC660:$AG660),0,1))</f>
        <v/>
      </c>
      <c r="AI660" s="27">
        <f>IF($A660="","",IF(COUNTIF($A$14:$A660,$A660)=1,COUNTIF($AI$13:AI659,"&gt;0")+1,""))</f>
        <v/>
      </c>
      <c r="AO660" s="27">
        <f>IF($A660="","",IF(AND(COUNTIFS($A$14:$A$1213,$A660,$F$14:$F$1213,"&gt;=0")=2,IFERROR(INDEX($M$14:$M$313,MATCH($A660,$H$14:$H$313,0)),"Yes")&lt;&gt;"Yes"),1,0))</f>
        <v/>
      </c>
    </row>
    <row r="661">
      <c r="A661" s="19" t="n"/>
      <c r="B661" s="20" t="n"/>
      <c r="C661" s="21">
        <f>IFERROR(AVERAGE(P661:T661),"")</f>
        <v/>
      </c>
      <c r="D661" s="29" t="n"/>
      <c r="E661" s="29" t="n"/>
      <c r="F661" s="30">
        <f>IF(AND(ISNUMBER($D661),ISNUMBER($E661),$E661&gt;0,$D661&lt;=$E661),$D661/$E661,"")</f>
        <v/>
      </c>
      <c r="P661" s="26" t="n"/>
      <c r="Q661" s="26" t="n"/>
      <c r="R661" s="26" t="n"/>
      <c r="S661" s="26" t="n"/>
      <c r="T661" s="26" t="n"/>
      <c r="V661" s="27">
        <f>IF(ISNUMBER($C661),COUNTIFS($A$14:$A$1213,$A661,$C$14:$C$1213,"&gt;"&amp;$C661)+(COUNTIFS($A$14:$A$1213,$A661,$C$14:$C$1213,"="&amp;$C661)+1)/2,"")</f>
        <v/>
      </c>
      <c r="W661" s="27">
        <f>IF(ISNUMBER($F661),COUNTIFS($A$14:$A$1213,$A661,$F$14:$F$1213,"&gt;"&amp;$F661)+(COUNTIFS($A$14:$A$1213,$A661,$F$14:$F$1213,"="&amp;$F661)+1)/2,"")</f>
        <v/>
      </c>
      <c r="X661" s="27">
        <f>IF(OR(NOT(ISNUMBER($V661)),$AO661=1),"",$V661-(COUNTIFS($A$14:$A$1213,$A661,$C$14:$C$1213,"&gt;=0")+1)/2)</f>
        <v/>
      </c>
      <c r="Y661" s="27">
        <f>IF(OR(NOT(ISNUMBER($W661)),$AO661=1),"",$W661-(COUNTIFS($A$14:$A$1213,$A661,$F$14:$F$1213,"&gt;=0")+1)/2)</f>
        <v/>
      </c>
      <c r="Z661" s="27">
        <f>IF(ISNUMBER($V661),$A661&amp;"|"&amp;$V661,"")</f>
        <v/>
      </c>
      <c r="AA661" s="27">
        <f>IF(ISNUMBER($W661),$A661&amp;"|"&amp;$W661,"")</f>
        <v/>
      </c>
      <c r="AB661" s="27">
        <f>IF(ISNUMBER($F661),$A661&amp;"|"&amp;$F661,"")</f>
        <v/>
      </c>
      <c r="AC661" s="27">
        <f>IF(ISNUMBER($P661),COUNTIFS($A$14:$A$1213,$A661,$P$14:$P$1213,"&gt;"&amp;$P661)+(COUNTIFS($A$14:$A$1213,$A661,$P$14:$P$1213,"="&amp;$P661)+1)/2,"")</f>
        <v/>
      </c>
      <c r="AD661" s="27">
        <f>IF(ISNUMBER($Q661),COUNTIFS($A$14:$A$1213,$A661,$Q$14:$Q$1213,"&gt;"&amp;$Q661)+(COUNTIFS($A$14:$A$1213,$A661,$Q$14:$Q$1213,"="&amp;$Q661)+1)/2,"")</f>
        <v/>
      </c>
      <c r="AE661" s="27">
        <f>IF(ISNUMBER($R661),COUNTIFS($A$14:$A$1213,$A661,$R$14:$R$1213,"&gt;"&amp;$R661)+(COUNTIFS($A$14:$A$1213,$A661,$R$14:$R$1213,"="&amp;$R661)+1)/2,"")</f>
        <v/>
      </c>
      <c r="AF661" s="27">
        <f>IF(ISNUMBER($S661),COUNTIFS($A$14:$A$1213,$A661,$S$14:$S$1213,"&gt;"&amp;$S661)+(COUNTIFS($A$14:$A$1213,$A661,$S$14:$S$1213,"="&amp;$S661)+1)/2,"")</f>
        <v/>
      </c>
      <c r="AG661" s="27">
        <f>IF(ISNUMBER($T661),COUNTIFS($A$14:$A$1213,$A661,$T$14:$T$1213,"&gt;"&amp;$T661)+(COUNTIFS($A$14:$A$1213,$A661,$T$14:$T$1213,"="&amp;$T661)+1)/2,"")</f>
        <v/>
      </c>
      <c r="AH661" s="27">
        <f>IF(COUNT($AC661:$AG661)&lt;2,"",IF(MAX($AC661:$AG661)=MIN($AC661:$AG661),0,1))</f>
        <v/>
      </c>
      <c r="AI661" s="27">
        <f>IF($A661="","",IF(COUNTIF($A$14:$A661,$A661)=1,COUNTIF($AI$13:AI660,"&gt;0")+1,""))</f>
        <v/>
      </c>
      <c r="AO661" s="27">
        <f>IF($A661="","",IF(AND(COUNTIFS($A$14:$A$1213,$A661,$F$14:$F$1213,"&gt;=0")=2,IFERROR(INDEX($M$14:$M$313,MATCH($A661,$H$14:$H$313,0)),"Yes")&lt;&gt;"Yes"),1,0))</f>
        <v/>
      </c>
    </row>
    <row r="662">
      <c r="A662" s="19" t="n"/>
      <c r="B662" s="20" t="n"/>
      <c r="C662" s="21">
        <f>IFERROR(AVERAGE(P662:T662),"")</f>
        <v/>
      </c>
      <c r="D662" s="29" t="n"/>
      <c r="E662" s="29" t="n"/>
      <c r="F662" s="30">
        <f>IF(AND(ISNUMBER($D662),ISNUMBER($E662),$E662&gt;0,$D662&lt;=$E662),$D662/$E662,"")</f>
        <v/>
      </c>
      <c r="P662" s="26" t="n"/>
      <c r="Q662" s="26" t="n"/>
      <c r="R662" s="26" t="n"/>
      <c r="S662" s="26" t="n"/>
      <c r="T662" s="26" t="n"/>
      <c r="V662" s="27">
        <f>IF(ISNUMBER($C662),COUNTIFS($A$14:$A$1213,$A662,$C$14:$C$1213,"&gt;"&amp;$C662)+(COUNTIFS($A$14:$A$1213,$A662,$C$14:$C$1213,"="&amp;$C662)+1)/2,"")</f>
        <v/>
      </c>
      <c r="W662" s="27">
        <f>IF(ISNUMBER($F662),COUNTIFS($A$14:$A$1213,$A662,$F$14:$F$1213,"&gt;"&amp;$F662)+(COUNTIFS($A$14:$A$1213,$A662,$F$14:$F$1213,"="&amp;$F662)+1)/2,"")</f>
        <v/>
      </c>
      <c r="X662" s="27">
        <f>IF(OR(NOT(ISNUMBER($V662)),$AO662=1),"",$V662-(COUNTIFS($A$14:$A$1213,$A662,$C$14:$C$1213,"&gt;=0")+1)/2)</f>
        <v/>
      </c>
      <c r="Y662" s="27">
        <f>IF(OR(NOT(ISNUMBER($W662)),$AO662=1),"",$W662-(COUNTIFS($A$14:$A$1213,$A662,$F$14:$F$1213,"&gt;=0")+1)/2)</f>
        <v/>
      </c>
      <c r="Z662" s="27">
        <f>IF(ISNUMBER($V662),$A662&amp;"|"&amp;$V662,"")</f>
        <v/>
      </c>
      <c r="AA662" s="27">
        <f>IF(ISNUMBER($W662),$A662&amp;"|"&amp;$W662,"")</f>
        <v/>
      </c>
      <c r="AB662" s="27">
        <f>IF(ISNUMBER($F662),$A662&amp;"|"&amp;$F662,"")</f>
        <v/>
      </c>
      <c r="AC662" s="27">
        <f>IF(ISNUMBER($P662),COUNTIFS($A$14:$A$1213,$A662,$P$14:$P$1213,"&gt;"&amp;$P662)+(COUNTIFS($A$14:$A$1213,$A662,$P$14:$P$1213,"="&amp;$P662)+1)/2,"")</f>
        <v/>
      </c>
      <c r="AD662" s="27">
        <f>IF(ISNUMBER($Q662),COUNTIFS($A$14:$A$1213,$A662,$Q$14:$Q$1213,"&gt;"&amp;$Q662)+(COUNTIFS($A$14:$A$1213,$A662,$Q$14:$Q$1213,"="&amp;$Q662)+1)/2,"")</f>
        <v/>
      </c>
      <c r="AE662" s="27">
        <f>IF(ISNUMBER($R662),COUNTIFS($A$14:$A$1213,$A662,$R$14:$R$1213,"&gt;"&amp;$R662)+(COUNTIFS($A$14:$A$1213,$A662,$R$14:$R$1213,"="&amp;$R662)+1)/2,"")</f>
        <v/>
      </c>
      <c r="AF662" s="27">
        <f>IF(ISNUMBER($S662),COUNTIFS($A$14:$A$1213,$A662,$S$14:$S$1213,"&gt;"&amp;$S662)+(COUNTIFS($A$14:$A$1213,$A662,$S$14:$S$1213,"="&amp;$S662)+1)/2,"")</f>
        <v/>
      </c>
      <c r="AG662" s="27">
        <f>IF(ISNUMBER($T662),COUNTIFS($A$14:$A$1213,$A662,$T$14:$T$1213,"&gt;"&amp;$T662)+(COUNTIFS($A$14:$A$1213,$A662,$T$14:$T$1213,"="&amp;$T662)+1)/2,"")</f>
        <v/>
      </c>
      <c r="AH662" s="27">
        <f>IF(COUNT($AC662:$AG662)&lt;2,"",IF(MAX($AC662:$AG662)=MIN($AC662:$AG662),0,1))</f>
        <v/>
      </c>
      <c r="AI662" s="27">
        <f>IF($A662="","",IF(COUNTIF($A$14:$A662,$A662)=1,COUNTIF($AI$13:AI661,"&gt;0")+1,""))</f>
        <v/>
      </c>
      <c r="AO662" s="27">
        <f>IF($A662="","",IF(AND(COUNTIFS($A$14:$A$1213,$A662,$F$14:$F$1213,"&gt;=0")=2,IFERROR(INDEX($M$14:$M$313,MATCH($A662,$H$14:$H$313,0)),"Yes")&lt;&gt;"Yes"),1,0))</f>
        <v/>
      </c>
    </row>
    <row r="663">
      <c r="A663" s="19" t="n"/>
      <c r="B663" s="20" t="n"/>
      <c r="C663" s="21">
        <f>IFERROR(AVERAGE(P663:T663),"")</f>
        <v/>
      </c>
      <c r="D663" s="29" t="n"/>
      <c r="E663" s="29" t="n"/>
      <c r="F663" s="30">
        <f>IF(AND(ISNUMBER($D663),ISNUMBER($E663),$E663&gt;0,$D663&lt;=$E663),$D663/$E663,"")</f>
        <v/>
      </c>
      <c r="P663" s="26" t="n"/>
      <c r="Q663" s="26" t="n"/>
      <c r="R663" s="26" t="n"/>
      <c r="S663" s="26" t="n"/>
      <c r="T663" s="26" t="n"/>
      <c r="V663" s="27">
        <f>IF(ISNUMBER($C663),COUNTIFS($A$14:$A$1213,$A663,$C$14:$C$1213,"&gt;"&amp;$C663)+(COUNTIFS($A$14:$A$1213,$A663,$C$14:$C$1213,"="&amp;$C663)+1)/2,"")</f>
        <v/>
      </c>
      <c r="W663" s="27">
        <f>IF(ISNUMBER($F663),COUNTIFS($A$14:$A$1213,$A663,$F$14:$F$1213,"&gt;"&amp;$F663)+(COUNTIFS($A$14:$A$1213,$A663,$F$14:$F$1213,"="&amp;$F663)+1)/2,"")</f>
        <v/>
      </c>
      <c r="X663" s="27">
        <f>IF(OR(NOT(ISNUMBER($V663)),$AO663=1),"",$V663-(COUNTIFS($A$14:$A$1213,$A663,$C$14:$C$1213,"&gt;=0")+1)/2)</f>
        <v/>
      </c>
      <c r="Y663" s="27">
        <f>IF(OR(NOT(ISNUMBER($W663)),$AO663=1),"",$W663-(COUNTIFS($A$14:$A$1213,$A663,$F$14:$F$1213,"&gt;=0")+1)/2)</f>
        <v/>
      </c>
      <c r="Z663" s="27">
        <f>IF(ISNUMBER($V663),$A663&amp;"|"&amp;$V663,"")</f>
        <v/>
      </c>
      <c r="AA663" s="27">
        <f>IF(ISNUMBER($W663),$A663&amp;"|"&amp;$W663,"")</f>
        <v/>
      </c>
      <c r="AB663" s="27">
        <f>IF(ISNUMBER($F663),$A663&amp;"|"&amp;$F663,"")</f>
        <v/>
      </c>
      <c r="AC663" s="27">
        <f>IF(ISNUMBER($P663),COUNTIFS($A$14:$A$1213,$A663,$P$14:$P$1213,"&gt;"&amp;$P663)+(COUNTIFS($A$14:$A$1213,$A663,$P$14:$P$1213,"="&amp;$P663)+1)/2,"")</f>
        <v/>
      </c>
      <c r="AD663" s="27">
        <f>IF(ISNUMBER($Q663),COUNTIFS($A$14:$A$1213,$A663,$Q$14:$Q$1213,"&gt;"&amp;$Q663)+(COUNTIFS($A$14:$A$1213,$A663,$Q$14:$Q$1213,"="&amp;$Q663)+1)/2,"")</f>
        <v/>
      </c>
      <c r="AE663" s="27">
        <f>IF(ISNUMBER($R663),COUNTIFS($A$14:$A$1213,$A663,$R$14:$R$1213,"&gt;"&amp;$R663)+(COUNTIFS($A$14:$A$1213,$A663,$R$14:$R$1213,"="&amp;$R663)+1)/2,"")</f>
        <v/>
      </c>
      <c r="AF663" s="27">
        <f>IF(ISNUMBER($S663),COUNTIFS($A$14:$A$1213,$A663,$S$14:$S$1213,"&gt;"&amp;$S663)+(COUNTIFS($A$14:$A$1213,$A663,$S$14:$S$1213,"="&amp;$S663)+1)/2,"")</f>
        <v/>
      </c>
      <c r="AG663" s="27">
        <f>IF(ISNUMBER($T663),COUNTIFS($A$14:$A$1213,$A663,$T$14:$T$1213,"&gt;"&amp;$T663)+(COUNTIFS($A$14:$A$1213,$A663,$T$14:$T$1213,"="&amp;$T663)+1)/2,"")</f>
        <v/>
      </c>
      <c r="AH663" s="27">
        <f>IF(COUNT($AC663:$AG663)&lt;2,"",IF(MAX($AC663:$AG663)=MIN($AC663:$AG663),0,1))</f>
        <v/>
      </c>
      <c r="AI663" s="27">
        <f>IF($A663="","",IF(COUNTIF($A$14:$A663,$A663)=1,COUNTIF($AI$13:AI662,"&gt;0")+1,""))</f>
        <v/>
      </c>
      <c r="AO663" s="27">
        <f>IF($A663="","",IF(AND(COUNTIFS($A$14:$A$1213,$A663,$F$14:$F$1213,"&gt;=0")=2,IFERROR(INDEX($M$14:$M$313,MATCH($A663,$H$14:$H$313,0)),"Yes")&lt;&gt;"Yes"),1,0))</f>
        <v/>
      </c>
    </row>
    <row r="664">
      <c r="A664" s="19" t="n"/>
      <c r="B664" s="20" t="n"/>
      <c r="C664" s="21">
        <f>IFERROR(AVERAGE(P664:T664),"")</f>
        <v/>
      </c>
      <c r="D664" s="29" t="n"/>
      <c r="E664" s="29" t="n"/>
      <c r="F664" s="30">
        <f>IF(AND(ISNUMBER($D664),ISNUMBER($E664),$E664&gt;0,$D664&lt;=$E664),$D664/$E664,"")</f>
        <v/>
      </c>
      <c r="P664" s="26" t="n"/>
      <c r="Q664" s="26" t="n"/>
      <c r="R664" s="26" t="n"/>
      <c r="S664" s="26" t="n"/>
      <c r="T664" s="26" t="n"/>
      <c r="V664" s="27">
        <f>IF(ISNUMBER($C664),COUNTIFS($A$14:$A$1213,$A664,$C$14:$C$1213,"&gt;"&amp;$C664)+(COUNTIFS($A$14:$A$1213,$A664,$C$14:$C$1213,"="&amp;$C664)+1)/2,"")</f>
        <v/>
      </c>
      <c r="W664" s="27">
        <f>IF(ISNUMBER($F664),COUNTIFS($A$14:$A$1213,$A664,$F$14:$F$1213,"&gt;"&amp;$F664)+(COUNTIFS($A$14:$A$1213,$A664,$F$14:$F$1213,"="&amp;$F664)+1)/2,"")</f>
        <v/>
      </c>
      <c r="X664" s="27">
        <f>IF(OR(NOT(ISNUMBER($V664)),$AO664=1),"",$V664-(COUNTIFS($A$14:$A$1213,$A664,$C$14:$C$1213,"&gt;=0")+1)/2)</f>
        <v/>
      </c>
      <c r="Y664" s="27">
        <f>IF(OR(NOT(ISNUMBER($W664)),$AO664=1),"",$W664-(COUNTIFS($A$14:$A$1213,$A664,$F$14:$F$1213,"&gt;=0")+1)/2)</f>
        <v/>
      </c>
      <c r="Z664" s="27">
        <f>IF(ISNUMBER($V664),$A664&amp;"|"&amp;$V664,"")</f>
        <v/>
      </c>
      <c r="AA664" s="27">
        <f>IF(ISNUMBER($W664),$A664&amp;"|"&amp;$W664,"")</f>
        <v/>
      </c>
      <c r="AB664" s="27">
        <f>IF(ISNUMBER($F664),$A664&amp;"|"&amp;$F664,"")</f>
        <v/>
      </c>
      <c r="AC664" s="27">
        <f>IF(ISNUMBER($P664),COUNTIFS($A$14:$A$1213,$A664,$P$14:$P$1213,"&gt;"&amp;$P664)+(COUNTIFS($A$14:$A$1213,$A664,$P$14:$P$1213,"="&amp;$P664)+1)/2,"")</f>
        <v/>
      </c>
      <c r="AD664" s="27">
        <f>IF(ISNUMBER($Q664),COUNTIFS($A$14:$A$1213,$A664,$Q$14:$Q$1213,"&gt;"&amp;$Q664)+(COUNTIFS($A$14:$A$1213,$A664,$Q$14:$Q$1213,"="&amp;$Q664)+1)/2,"")</f>
        <v/>
      </c>
      <c r="AE664" s="27">
        <f>IF(ISNUMBER($R664),COUNTIFS($A$14:$A$1213,$A664,$R$14:$R$1213,"&gt;"&amp;$R664)+(COUNTIFS($A$14:$A$1213,$A664,$R$14:$R$1213,"="&amp;$R664)+1)/2,"")</f>
        <v/>
      </c>
      <c r="AF664" s="27">
        <f>IF(ISNUMBER($S664),COUNTIFS($A$14:$A$1213,$A664,$S$14:$S$1213,"&gt;"&amp;$S664)+(COUNTIFS($A$14:$A$1213,$A664,$S$14:$S$1213,"="&amp;$S664)+1)/2,"")</f>
        <v/>
      </c>
      <c r="AG664" s="27">
        <f>IF(ISNUMBER($T664),COUNTIFS($A$14:$A$1213,$A664,$T$14:$T$1213,"&gt;"&amp;$T664)+(COUNTIFS($A$14:$A$1213,$A664,$T$14:$T$1213,"="&amp;$T664)+1)/2,"")</f>
        <v/>
      </c>
      <c r="AH664" s="27">
        <f>IF(COUNT($AC664:$AG664)&lt;2,"",IF(MAX($AC664:$AG664)=MIN($AC664:$AG664),0,1))</f>
        <v/>
      </c>
      <c r="AI664" s="27">
        <f>IF($A664="","",IF(COUNTIF($A$14:$A664,$A664)=1,COUNTIF($AI$13:AI663,"&gt;0")+1,""))</f>
        <v/>
      </c>
      <c r="AO664" s="27">
        <f>IF($A664="","",IF(AND(COUNTIFS($A$14:$A$1213,$A664,$F$14:$F$1213,"&gt;=0")=2,IFERROR(INDEX($M$14:$M$313,MATCH($A664,$H$14:$H$313,0)),"Yes")&lt;&gt;"Yes"),1,0))</f>
        <v/>
      </c>
    </row>
    <row r="665">
      <c r="A665" s="19" t="n"/>
      <c r="B665" s="20" t="n"/>
      <c r="C665" s="21">
        <f>IFERROR(AVERAGE(P665:T665),"")</f>
        <v/>
      </c>
      <c r="D665" s="29" t="n"/>
      <c r="E665" s="29" t="n"/>
      <c r="F665" s="30">
        <f>IF(AND(ISNUMBER($D665),ISNUMBER($E665),$E665&gt;0,$D665&lt;=$E665),$D665/$E665,"")</f>
        <v/>
      </c>
      <c r="P665" s="26" t="n"/>
      <c r="Q665" s="26" t="n"/>
      <c r="R665" s="26" t="n"/>
      <c r="S665" s="26" t="n"/>
      <c r="T665" s="26" t="n"/>
      <c r="V665" s="27">
        <f>IF(ISNUMBER($C665),COUNTIFS($A$14:$A$1213,$A665,$C$14:$C$1213,"&gt;"&amp;$C665)+(COUNTIFS($A$14:$A$1213,$A665,$C$14:$C$1213,"="&amp;$C665)+1)/2,"")</f>
        <v/>
      </c>
      <c r="W665" s="27">
        <f>IF(ISNUMBER($F665),COUNTIFS($A$14:$A$1213,$A665,$F$14:$F$1213,"&gt;"&amp;$F665)+(COUNTIFS($A$14:$A$1213,$A665,$F$14:$F$1213,"="&amp;$F665)+1)/2,"")</f>
        <v/>
      </c>
      <c r="X665" s="27">
        <f>IF(OR(NOT(ISNUMBER($V665)),$AO665=1),"",$V665-(COUNTIFS($A$14:$A$1213,$A665,$C$14:$C$1213,"&gt;=0")+1)/2)</f>
        <v/>
      </c>
      <c r="Y665" s="27">
        <f>IF(OR(NOT(ISNUMBER($W665)),$AO665=1),"",$W665-(COUNTIFS($A$14:$A$1213,$A665,$F$14:$F$1213,"&gt;=0")+1)/2)</f>
        <v/>
      </c>
      <c r="Z665" s="27">
        <f>IF(ISNUMBER($V665),$A665&amp;"|"&amp;$V665,"")</f>
        <v/>
      </c>
      <c r="AA665" s="27">
        <f>IF(ISNUMBER($W665),$A665&amp;"|"&amp;$W665,"")</f>
        <v/>
      </c>
      <c r="AB665" s="27">
        <f>IF(ISNUMBER($F665),$A665&amp;"|"&amp;$F665,"")</f>
        <v/>
      </c>
      <c r="AC665" s="27">
        <f>IF(ISNUMBER($P665),COUNTIFS($A$14:$A$1213,$A665,$P$14:$P$1213,"&gt;"&amp;$P665)+(COUNTIFS($A$14:$A$1213,$A665,$P$14:$P$1213,"="&amp;$P665)+1)/2,"")</f>
        <v/>
      </c>
      <c r="AD665" s="27">
        <f>IF(ISNUMBER($Q665),COUNTIFS($A$14:$A$1213,$A665,$Q$14:$Q$1213,"&gt;"&amp;$Q665)+(COUNTIFS($A$14:$A$1213,$A665,$Q$14:$Q$1213,"="&amp;$Q665)+1)/2,"")</f>
        <v/>
      </c>
      <c r="AE665" s="27">
        <f>IF(ISNUMBER($R665),COUNTIFS($A$14:$A$1213,$A665,$R$14:$R$1213,"&gt;"&amp;$R665)+(COUNTIFS($A$14:$A$1213,$A665,$R$14:$R$1213,"="&amp;$R665)+1)/2,"")</f>
        <v/>
      </c>
      <c r="AF665" s="27">
        <f>IF(ISNUMBER($S665),COUNTIFS($A$14:$A$1213,$A665,$S$14:$S$1213,"&gt;"&amp;$S665)+(COUNTIFS($A$14:$A$1213,$A665,$S$14:$S$1213,"="&amp;$S665)+1)/2,"")</f>
        <v/>
      </c>
      <c r="AG665" s="27">
        <f>IF(ISNUMBER($T665),COUNTIFS($A$14:$A$1213,$A665,$T$14:$T$1213,"&gt;"&amp;$T665)+(COUNTIFS($A$14:$A$1213,$A665,$T$14:$T$1213,"="&amp;$T665)+1)/2,"")</f>
        <v/>
      </c>
      <c r="AH665" s="27">
        <f>IF(COUNT($AC665:$AG665)&lt;2,"",IF(MAX($AC665:$AG665)=MIN($AC665:$AG665),0,1))</f>
        <v/>
      </c>
      <c r="AI665" s="27">
        <f>IF($A665="","",IF(COUNTIF($A$14:$A665,$A665)=1,COUNTIF($AI$13:AI664,"&gt;0")+1,""))</f>
        <v/>
      </c>
      <c r="AO665" s="27">
        <f>IF($A665="","",IF(AND(COUNTIFS($A$14:$A$1213,$A665,$F$14:$F$1213,"&gt;=0")=2,IFERROR(INDEX($M$14:$M$313,MATCH($A665,$H$14:$H$313,0)),"Yes")&lt;&gt;"Yes"),1,0))</f>
        <v/>
      </c>
    </row>
    <row r="666">
      <c r="A666" s="19" t="n"/>
      <c r="B666" s="20" t="n"/>
      <c r="C666" s="21">
        <f>IFERROR(AVERAGE(P666:T666),"")</f>
        <v/>
      </c>
      <c r="D666" s="29" t="n"/>
      <c r="E666" s="29" t="n"/>
      <c r="F666" s="30">
        <f>IF(AND(ISNUMBER($D666),ISNUMBER($E666),$E666&gt;0,$D666&lt;=$E666),$D666/$E666,"")</f>
        <v/>
      </c>
      <c r="P666" s="26" t="n"/>
      <c r="Q666" s="26" t="n"/>
      <c r="R666" s="26" t="n"/>
      <c r="S666" s="26" t="n"/>
      <c r="T666" s="26" t="n"/>
      <c r="V666" s="27">
        <f>IF(ISNUMBER($C666),COUNTIFS($A$14:$A$1213,$A666,$C$14:$C$1213,"&gt;"&amp;$C666)+(COUNTIFS($A$14:$A$1213,$A666,$C$14:$C$1213,"="&amp;$C666)+1)/2,"")</f>
        <v/>
      </c>
      <c r="W666" s="27">
        <f>IF(ISNUMBER($F666),COUNTIFS($A$14:$A$1213,$A666,$F$14:$F$1213,"&gt;"&amp;$F666)+(COUNTIFS($A$14:$A$1213,$A666,$F$14:$F$1213,"="&amp;$F666)+1)/2,"")</f>
        <v/>
      </c>
      <c r="X666" s="27">
        <f>IF(OR(NOT(ISNUMBER($V666)),$AO666=1),"",$V666-(COUNTIFS($A$14:$A$1213,$A666,$C$14:$C$1213,"&gt;=0")+1)/2)</f>
        <v/>
      </c>
      <c r="Y666" s="27">
        <f>IF(OR(NOT(ISNUMBER($W666)),$AO666=1),"",$W666-(COUNTIFS($A$14:$A$1213,$A666,$F$14:$F$1213,"&gt;=0")+1)/2)</f>
        <v/>
      </c>
      <c r="Z666" s="27">
        <f>IF(ISNUMBER($V666),$A666&amp;"|"&amp;$V666,"")</f>
        <v/>
      </c>
      <c r="AA666" s="27">
        <f>IF(ISNUMBER($W666),$A666&amp;"|"&amp;$W666,"")</f>
        <v/>
      </c>
      <c r="AB666" s="27">
        <f>IF(ISNUMBER($F666),$A666&amp;"|"&amp;$F666,"")</f>
        <v/>
      </c>
      <c r="AC666" s="27">
        <f>IF(ISNUMBER($P666),COUNTIFS($A$14:$A$1213,$A666,$P$14:$P$1213,"&gt;"&amp;$P666)+(COUNTIFS($A$14:$A$1213,$A666,$P$14:$P$1213,"="&amp;$P666)+1)/2,"")</f>
        <v/>
      </c>
      <c r="AD666" s="27">
        <f>IF(ISNUMBER($Q666),COUNTIFS($A$14:$A$1213,$A666,$Q$14:$Q$1213,"&gt;"&amp;$Q666)+(COUNTIFS($A$14:$A$1213,$A666,$Q$14:$Q$1213,"="&amp;$Q666)+1)/2,"")</f>
        <v/>
      </c>
      <c r="AE666" s="27">
        <f>IF(ISNUMBER($R666),COUNTIFS($A$14:$A$1213,$A666,$R$14:$R$1213,"&gt;"&amp;$R666)+(COUNTIFS($A$14:$A$1213,$A666,$R$14:$R$1213,"="&amp;$R666)+1)/2,"")</f>
        <v/>
      </c>
      <c r="AF666" s="27">
        <f>IF(ISNUMBER($S666),COUNTIFS($A$14:$A$1213,$A666,$S$14:$S$1213,"&gt;"&amp;$S666)+(COUNTIFS($A$14:$A$1213,$A666,$S$14:$S$1213,"="&amp;$S666)+1)/2,"")</f>
        <v/>
      </c>
      <c r="AG666" s="27">
        <f>IF(ISNUMBER($T666),COUNTIFS($A$14:$A$1213,$A666,$T$14:$T$1213,"&gt;"&amp;$T666)+(COUNTIFS($A$14:$A$1213,$A666,$T$14:$T$1213,"="&amp;$T666)+1)/2,"")</f>
        <v/>
      </c>
      <c r="AH666" s="27">
        <f>IF(COUNT($AC666:$AG666)&lt;2,"",IF(MAX($AC666:$AG666)=MIN($AC666:$AG666),0,1))</f>
        <v/>
      </c>
      <c r="AI666" s="27">
        <f>IF($A666="","",IF(COUNTIF($A$14:$A666,$A666)=1,COUNTIF($AI$13:AI665,"&gt;0")+1,""))</f>
        <v/>
      </c>
      <c r="AO666" s="27">
        <f>IF($A666="","",IF(AND(COUNTIFS($A$14:$A$1213,$A666,$F$14:$F$1213,"&gt;=0")=2,IFERROR(INDEX($M$14:$M$313,MATCH($A666,$H$14:$H$313,0)),"Yes")&lt;&gt;"Yes"),1,0))</f>
        <v/>
      </c>
    </row>
    <row r="667">
      <c r="A667" s="19" t="n"/>
      <c r="B667" s="20" t="n"/>
      <c r="C667" s="21">
        <f>IFERROR(AVERAGE(P667:T667),"")</f>
        <v/>
      </c>
      <c r="D667" s="29" t="n"/>
      <c r="E667" s="29" t="n"/>
      <c r="F667" s="30">
        <f>IF(AND(ISNUMBER($D667),ISNUMBER($E667),$E667&gt;0,$D667&lt;=$E667),$D667/$E667,"")</f>
        <v/>
      </c>
      <c r="P667" s="26" t="n"/>
      <c r="Q667" s="26" t="n"/>
      <c r="R667" s="26" t="n"/>
      <c r="S667" s="26" t="n"/>
      <c r="T667" s="26" t="n"/>
      <c r="V667" s="27">
        <f>IF(ISNUMBER($C667),COUNTIFS($A$14:$A$1213,$A667,$C$14:$C$1213,"&gt;"&amp;$C667)+(COUNTIFS($A$14:$A$1213,$A667,$C$14:$C$1213,"="&amp;$C667)+1)/2,"")</f>
        <v/>
      </c>
      <c r="W667" s="27">
        <f>IF(ISNUMBER($F667),COUNTIFS($A$14:$A$1213,$A667,$F$14:$F$1213,"&gt;"&amp;$F667)+(COUNTIFS($A$14:$A$1213,$A667,$F$14:$F$1213,"="&amp;$F667)+1)/2,"")</f>
        <v/>
      </c>
      <c r="X667" s="27">
        <f>IF(OR(NOT(ISNUMBER($V667)),$AO667=1),"",$V667-(COUNTIFS($A$14:$A$1213,$A667,$C$14:$C$1213,"&gt;=0")+1)/2)</f>
        <v/>
      </c>
      <c r="Y667" s="27">
        <f>IF(OR(NOT(ISNUMBER($W667)),$AO667=1),"",$W667-(COUNTIFS($A$14:$A$1213,$A667,$F$14:$F$1213,"&gt;=0")+1)/2)</f>
        <v/>
      </c>
      <c r="Z667" s="27">
        <f>IF(ISNUMBER($V667),$A667&amp;"|"&amp;$V667,"")</f>
        <v/>
      </c>
      <c r="AA667" s="27">
        <f>IF(ISNUMBER($W667),$A667&amp;"|"&amp;$W667,"")</f>
        <v/>
      </c>
      <c r="AB667" s="27">
        <f>IF(ISNUMBER($F667),$A667&amp;"|"&amp;$F667,"")</f>
        <v/>
      </c>
      <c r="AC667" s="27">
        <f>IF(ISNUMBER($P667),COUNTIFS($A$14:$A$1213,$A667,$P$14:$P$1213,"&gt;"&amp;$P667)+(COUNTIFS($A$14:$A$1213,$A667,$P$14:$P$1213,"="&amp;$P667)+1)/2,"")</f>
        <v/>
      </c>
      <c r="AD667" s="27">
        <f>IF(ISNUMBER($Q667),COUNTIFS($A$14:$A$1213,$A667,$Q$14:$Q$1213,"&gt;"&amp;$Q667)+(COUNTIFS($A$14:$A$1213,$A667,$Q$14:$Q$1213,"="&amp;$Q667)+1)/2,"")</f>
        <v/>
      </c>
      <c r="AE667" s="27">
        <f>IF(ISNUMBER($R667),COUNTIFS($A$14:$A$1213,$A667,$R$14:$R$1213,"&gt;"&amp;$R667)+(COUNTIFS($A$14:$A$1213,$A667,$R$14:$R$1213,"="&amp;$R667)+1)/2,"")</f>
        <v/>
      </c>
      <c r="AF667" s="27">
        <f>IF(ISNUMBER($S667),COUNTIFS($A$14:$A$1213,$A667,$S$14:$S$1213,"&gt;"&amp;$S667)+(COUNTIFS($A$14:$A$1213,$A667,$S$14:$S$1213,"="&amp;$S667)+1)/2,"")</f>
        <v/>
      </c>
      <c r="AG667" s="27">
        <f>IF(ISNUMBER($T667),COUNTIFS($A$14:$A$1213,$A667,$T$14:$T$1213,"&gt;"&amp;$T667)+(COUNTIFS($A$14:$A$1213,$A667,$T$14:$T$1213,"="&amp;$T667)+1)/2,"")</f>
        <v/>
      </c>
      <c r="AH667" s="27">
        <f>IF(COUNT($AC667:$AG667)&lt;2,"",IF(MAX($AC667:$AG667)=MIN($AC667:$AG667),0,1))</f>
        <v/>
      </c>
      <c r="AI667" s="27">
        <f>IF($A667="","",IF(COUNTIF($A$14:$A667,$A667)=1,COUNTIF($AI$13:AI666,"&gt;0")+1,""))</f>
        <v/>
      </c>
      <c r="AO667" s="27">
        <f>IF($A667="","",IF(AND(COUNTIFS($A$14:$A$1213,$A667,$F$14:$F$1213,"&gt;=0")=2,IFERROR(INDEX($M$14:$M$313,MATCH($A667,$H$14:$H$313,0)),"Yes")&lt;&gt;"Yes"),1,0))</f>
        <v/>
      </c>
    </row>
    <row r="668">
      <c r="A668" s="19" t="n"/>
      <c r="B668" s="20" t="n"/>
      <c r="C668" s="21">
        <f>IFERROR(AVERAGE(P668:T668),"")</f>
        <v/>
      </c>
      <c r="D668" s="29" t="n"/>
      <c r="E668" s="29" t="n"/>
      <c r="F668" s="30">
        <f>IF(AND(ISNUMBER($D668),ISNUMBER($E668),$E668&gt;0,$D668&lt;=$E668),$D668/$E668,"")</f>
        <v/>
      </c>
      <c r="P668" s="26" t="n"/>
      <c r="Q668" s="26" t="n"/>
      <c r="R668" s="26" t="n"/>
      <c r="S668" s="26" t="n"/>
      <c r="T668" s="26" t="n"/>
      <c r="V668" s="27">
        <f>IF(ISNUMBER($C668),COUNTIFS($A$14:$A$1213,$A668,$C$14:$C$1213,"&gt;"&amp;$C668)+(COUNTIFS($A$14:$A$1213,$A668,$C$14:$C$1213,"="&amp;$C668)+1)/2,"")</f>
        <v/>
      </c>
      <c r="W668" s="27">
        <f>IF(ISNUMBER($F668),COUNTIFS($A$14:$A$1213,$A668,$F$14:$F$1213,"&gt;"&amp;$F668)+(COUNTIFS($A$14:$A$1213,$A668,$F$14:$F$1213,"="&amp;$F668)+1)/2,"")</f>
        <v/>
      </c>
      <c r="X668" s="27">
        <f>IF(OR(NOT(ISNUMBER($V668)),$AO668=1),"",$V668-(COUNTIFS($A$14:$A$1213,$A668,$C$14:$C$1213,"&gt;=0")+1)/2)</f>
        <v/>
      </c>
      <c r="Y668" s="27">
        <f>IF(OR(NOT(ISNUMBER($W668)),$AO668=1),"",$W668-(COUNTIFS($A$14:$A$1213,$A668,$F$14:$F$1213,"&gt;=0")+1)/2)</f>
        <v/>
      </c>
      <c r="Z668" s="27">
        <f>IF(ISNUMBER($V668),$A668&amp;"|"&amp;$V668,"")</f>
        <v/>
      </c>
      <c r="AA668" s="27">
        <f>IF(ISNUMBER($W668),$A668&amp;"|"&amp;$W668,"")</f>
        <v/>
      </c>
      <c r="AB668" s="27">
        <f>IF(ISNUMBER($F668),$A668&amp;"|"&amp;$F668,"")</f>
        <v/>
      </c>
      <c r="AC668" s="27">
        <f>IF(ISNUMBER($P668),COUNTIFS($A$14:$A$1213,$A668,$P$14:$P$1213,"&gt;"&amp;$P668)+(COUNTIFS($A$14:$A$1213,$A668,$P$14:$P$1213,"="&amp;$P668)+1)/2,"")</f>
        <v/>
      </c>
      <c r="AD668" s="27">
        <f>IF(ISNUMBER($Q668),COUNTIFS($A$14:$A$1213,$A668,$Q$14:$Q$1213,"&gt;"&amp;$Q668)+(COUNTIFS($A$14:$A$1213,$A668,$Q$14:$Q$1213,"="&amp;$Q668)+1)/2,"")</f>
        <v/>
      </c>
      <c r="AE668" s="27">
        <f>IF(ISNUMBER($R668),COUNTIFS($A$14:$A$1213,$A668,$R$14:$R$1213,"&gt;"&amp;$R668)+(COUNTIFS($A$14:$A$1213,$A668,$R$14:$R$1213,"="&amp;$R668)+1)/2,"")</f>
        <v/>
      </c>
      <c r="AF668" s="27">
        <f>IF(ISNUMBER($S668),COUNTIFS($A$14:$A$1213,$A668,$S$14:$S$1213,"&gt;"&amp;$S668)+(COUNTIFS($A$14:$A$1213,$A668,$S$14:$S$1213,"="&amp;$S668)+1)/2,"")</f>
        <v/>
      </c>
      <c r="AG668" s="27">
        <f>IF(ISNUMBER($T668),COUNTIFS($A$14:$A$1213,$A668,$T$14:$T$1213,"&gt;"&amp;$T668)+(COUNTIFS($A$14:$A$1213,$A668,$T$14:$T$1213,"="&amp;$T668)+1)/2,"")</f>
        <v/>
      </c>
      <c r="AH668" s="27">
        <f>IF(COUNT($AC668:$AG668)&lt;2,"",IF(MAX($AC668:$AG668)=MIN($AC668:$AG668),0,1))</f>
        <v/>
      </c>
      <c r="AI668" s="27">
        <f>IF($A668="","",IF(COUNTIF($A$14:$A668,$A668)=1,COUNTIF($AI$13:AI667,"&gt;0")+1,""))</f>
        <v/>
      </c>
      <c r="AO668" s="27">
        <f>IF($A668="","",IF(AND(COUNTIFS($A$14:$A$1213,$A668,$F$14:$F$1213,"&gt;=0")=2,IFERROR(INDEX($M$14:$M$313,MATCH($A668,$H$14:$H$313,0)),"Yes")&lt;&gt;"Yes"),1,0))</f>
        <v/>
      </c>
    </row>
    <row r="669">
      <c r="A669" s="19" t="n"/>
      <c r="B669" s="20" t="n"/>
      <c r="C669" s="21">
        <f>IFERROR(AVERAGE(P669:T669),"")</f>
        <v/>
      </c>
      <c r="D669" s="29" t="n"/>
      <c r="E669" s="29" t="n"/>
      <c r="F669" s="30">
        <f>IF(AND(ISNUMBER($D669),ISNUMBER($E669),$E669&gt;0,$D669&lt;=$E669),$D669/$E669,"")</f>
        <v/>
      </c>
      <c r="P669" s="26" t="n"/>
      <c r="Q669" s="26" t="n"/>
      <c r="R669" s="26" t="n"/>
      <c r="S669" s="26" t="n"/>
      <c r="T669" s="26" t="n"/>
      <c r="V669" s="27">
        <f>IF(ISNUMBER($C669),COUNTIFS($A$14:$A$1213,$A669,$C$14:$C$1213,"&gt;"&amp;$C669)+(COUNTIFS($A$14:$A$1213,$A669,$C$14:$C$1213,"="&amp;$C669)+1)/2,"")</f>
        <v/>
      </c>
      <c r="W669" s="27">
        <f>IF(ISNUMBER($F669),COUNTIFS($A$14:$A$1213,$A669,$F$14:$F$1213,"&gt;"&amp;$F669)+(COUNTIFS($A$14:$A$1213,$A669,$F$14:$F$1213,"="&amp;$F669)+1)/2,"")</f>
        <v/>
      </c>
      <c r="X669" s="27">
        <f>IF(OR(NOT(ISNUMBER($V669)),$AO669=1),"",$V669-(COUNTIFS($A$14:$A$1213,$A669,$C$14:$C$1213,"&gt;=0")+1)/2)</f>
        <v/>
      </c>
      <c r="Y669" s="27">
        <f>IF(OR(NOT(ISNUMBER($W669)),$AO669=1),"",$W669-(COUNTIFS($A$14:$A$1213,$A669,$F$14:$F$1213,"&gt;=0")+1)/2)</f>
        <v/>
      </c>
      <c r="Z669" s="27">
        <f>IF(ISNUMBER($V669),$A669&amp;"|"&amp;$V669,"")</f>
        <v/>
      </c>
      <c r="AA669" s="27">
        <f>IF(ISNUMBER($W669),$A669&amp;"|"&amp;$W669,"")</f>
        <v/>
      </c>
      <c r="AB669" s="27">
        <f>IF(ISNUMBER($F669),$A669&amp;"|"&amp;$F669,"")</f>
        <v/>
      </c>
      <c r="AC669" s="27">
        <f>IF(ISNUMBER($P669),COUNTIFS($A$14:$A$1213,$A669,$P$14:$P$1213,"&gt;"&amp;$P669)+(COUNTIFS($A$14:$A$1213,$A669,$P$14:$P$1213,"="&amp;$P669)+1)/2,"")</f>
        <v/>
      </c>
      <c r="AD669" s="27">
        <f>IF(ISNUMBER($Q669),COUNTIFS($A$14:$A$1213,$A669,$Q$14:$Q$1213,"&gt;"&amp;$Q669)+(COUNTIFS($A$14:$A$1213,$A669,$Q$14:$Q$1213,"="&amp;$Q669)+1)/2,"")</f>
        <v/>
      </c>
      <c r="AE669" s="27">
        <f>IF(ISNUMBER($R669),COUNTIFS($A$14:$A$1213,$A669,$R$14:$R$1213,"&gt;"&amp;$R669)+(COUNTIFS($A$14:$A$1213,$A669,$R$14:$R$1213,"="&amp;$R669)+1)/2,"")</f>
        <v/>
      </c>
      <c r="AF669" s="27">
        <f>IF(ISNUMBER($S669),COUNTIFS($A$14:$A$1213,$A669,$S$14:$S$1213,"&gt;"&amp;$S669)+(COUNTIFS($A$14:$A$1213,$A669,$S$14:$S$1213,"="&amp;$S669)+1)/2,"")</f>
        <v/>
      </c>
      <c r="AG669" s="27">
        <f>IF(ISNUMBER($T669),COUNTIFS($A$14:$A$1213,$A669,$T$14:$T$1213,"&gt;"&amp;$T669)+(COUNTIFS($A$14:$A$1213,$A669,$T$14:$T$1213,"="&amp;$T669)+1)/2,"")</f>
        <v/>
      </c>
      <c r="AH669" s="27">
        <f>IF(COUNT($AC669:$AG669)&lt;2,"",IF(MAX($AC669:$AG669)=MIN($AC669:$AG669),0,1))</f>
        <v/>
      </c>
      <c r="AI669" s="27">
        <f>IF($A669="","",IF(COUNTIF($A$14:$A669,$A669)=1,COUNTIF($AI$13:AI668,"&gt;0")+1,""))</f>
        <v/>
      </c>
      <c r="AO669" s="27">
        <f>IF($A669="","",IF(AND(COUNTIFS($A$14:$A$1213,$A669,$F$14:$F$1213,"&gt;=0")=2,IFERROR(INDEX($M$14:$M$313,MATCH($A669,$H$14:$H$313,0)),"Yes")&lt;&gt;"Yes"),1,0))</f>
        <v/>
      </c>
    </row>
    <row r="670">
      <c r="A670" s="19" t="n"/>
      <c r="B670" s="20" t="n"/>
      <c r="C670" s="21">
        <f>IFERROR(AVERAGE(P670:T670),"")</f>
        <v/>
      </c>
      <c r="D670" s="29" t="n"/>
      <c r="E670" s="29" t="n"/>
      <c r="F670" s="30">
        <f>IF(AND(ISNUMBER($D670),ISNUMBER($E670),$E670&gt;0,$D670&lt;=$E670),$D670/$E670,"")</f>
        <v/>
      </c>
      <c r="P670" s="26" t="n"/>
      <c r="Q670" s="26" t="n"/>
      <c r="R670" s="26" t="n"/>
      <c r="S670" s="26" t="n"/>
      <c r="T670" s="26" t="n"/>
      <c r="V670" s="27">
        <f>IF(ISNUMBER($C670),COUNTIFS($A$14:$A$1213,$A670,$C$14:$C$1213,"&gt;"&amp;$C670)+(COUNTIFS($A$14:$A$1213,$A670,$C$14:$C$1213,"="&amp;$C670)+1)/2,"")</f>
        <v/>
      </c>
      <c r="W670" s="27">
        <f>IF(ISNUMBER($F670),COUNTIFS($A$14:$A$1213,$A670,$F$14:$F$1213,"&gt;"&amp;$F670)+(COUNTIFS($A$14:$A$1213,$A670,$F$14:$F$1213,"="&amp;$F670)+1)/2,"")</f>
        <v/>
      </c>
      <c r="X670" s="27">
        <f>IF(OR(NOT(ISNUMBER($V670)),$AO670=1),"",$V670-(COUNTIFS($A$14:$A$1213,$A670,$C$14:$C$1213,"&gt;=0")+1)/2)</f>
        <v/>
      </c>
      <c r="Y670" s="27">
        <f>IF(OR(NOT(ISNUMBER($W670)),$AO670=1),"",$W670-(COUNTIFS($A$14:$A$1213,$A670,$F$14:$F$1213,"&gt;=0")+1)/2)</f>
        <v/>
      </c>
      <c r="Z670" s="27">
        <f>IF(ISNUMBER($V670),$A670&amp;"|"&amp;$V670,"")</f>
        <v/>
      </c>
      <c r="AA670" s="27">
        <f>IF(ISNUMBER($W670),$A670&amp;"|"&amp;$W670,"")</f>
        <v/>
      </c>
      <c r="AB670" s="27">
        <f>IF(ISNUMBER($F670),$A670&amp;"|"&amp;$F670,"")</f>
        <v/>
      </c>
      <c r="AC670" s="27">
        <f>IF(ISNUMBER($P670),COUNTIFS($A$14:$A$1213,$A670,$P$14:$P$1213,"&gt;"&amp;$P670)+(COUNTIFS($A$14:$A$1213,$A670,$P$14:$P$1213,"="&amp;$P670)+1)/2,"")</f>
        <v/>
      </c>
      <c r="AD670" s="27">
        <f>IF(ISNUMBER($Q670),COUNTIFS($A$14:$A$1213,$A670,$Q$14:$Q$1213,"&gt;"&amp;$Q670)+(COUNTIFS($A$14:$A$1213,$A670,$Q$14:$Q$1213,"="&amp;$Q670)+1)/2,"")</f>
        <v/>
      </c>
      <c r="AE670" s="27">
        <f>IF(ISNUMBER($R670),COUNTIFS($A$14:$A$1213,$A670,$R$14:$R$1213,"&gt;"&amp;$R670)+(COUNTIFS($A$14:$A$1213,$A670,$R$14:$R$1213,"="&amp;$R670)+1)/2,"")</f>
        <v/>
      </c>
      <c r="AF670" s="27">
        <f>IF(ISNUMBER($S670),COUNTIFS($A$14:$A$1213,$A670,$S$14:$S$1213,"&gt;"&amp;$S670)+(COUNTIFS($A$14:$A$1213,$A670,$S$14:$S$1213,"="&amp;$S670)+1)/2,"")</f>
        <v/>
      </c>
      <c r="AG670" s="27">
        <f>IF(ISNUMBER($T670),COUNTIFS($A$14:$A$1213,$A670,$T$14:$T$1213,"&gt;"&amp;$T670)+(COUNTIFS($A$14:$A$1213,$A670,$T$14:$T$1213,"="&amp;$T670)+1)/2,"")</f>
        <v/>
      </c>
      <c r="AH670" s="27">
        <f>IF(COUNT($AC670:$AG670)&lt;2,"",IF(MAX($AC670:$AG670)=MIN($AC670:$AG670),0,1))</f>
        <v/>
      </c>
      <c r="AI670" s="27">
        <f>IF($A670="","",IF(COUNTIF($A$14:$A670,$A670)=1,COUNTIF($AI$13:AI669,"&gt;0")+1,""))</f>
        <v/>
      </c>
      <c r="AO670" s="27">
        <f>IF($A670="","",IF(AND(COUNTIFS($A$14:$A$1213,$A670,$F$14:$F$1213,"&gt;=0")=2,IFERROR(INDEX($M$14:$M$313,MATCH($A670,$H$14:$H$313,0)),"Yes")&lt;&gt;"Yes"),1,0))</f>
        <v/>
      </c>
    </row>
    <row r="671">
      <c r="A671" s="19" t="n"/>
      <c r="B671" s="20" t="n"/>
      <c r="C671" s="21">
        <f>IFERROR(AVERAGE(P671:T671),"")</f>
        <v/>
      </c>
      <c r="D671" s="29" t="n"/>
      <c r="E671" s="29" t="n"/>
      <c r="F671" s="30">
        <f>IF(AND(ISNUMBER($D671),ISNUMBER($E671),$E671&gt;0,$D671&lt;=$E671),$D671/$E671,"")</f>
        <v/>
      </c>
      <c r="P671" s="26" t="n"/>
      <c r="Q671" s="26" t="n"/>
      <c r="R671" s="26" t="n"/>
      <c r="S671" s="26" t="n"/>
      <c r="T671" s="26" t="n"/>
      <c r="V671" s="27">
        <f>IF(ISNUMBER($C671),COUNTIFS($A$14:$A$1213,$A671,$C$14:$C$1213,"&gt;"&amp;$C671)+(COUNTIFS($A$14:$A$1213,$A671,$C$14:$C$1213,"="&amp;$C671)+1)/2,"")</f>
        <v/>
      </c>
      <c r="W671" s="27">
        <f>IF(ISNUMBER($F671),COUNTIFS($A$14:$A$1213,$A671,$F$14:$F$1213,"&gt;"&amp;$F671)+(COUNTIFS($A$14:$A$1213,$A671,$F$14:$F$1213,"="&amp;$F671)+1)/2,"")</f>
        <v/>
      </c>
      <c r="X671" s="27">
        <f>IF(OR(NOT(ISNUMBER($V671)),$AO671=1),"",$V671-(COUNTIFS($A$14:$A$1213,$A671,$C$14:$C$1213,"&gt;=0")+1)/2)</f>
        <v/>
      </c>
      <c r="Y671" s="27">
        <f>IF(OR(NOT(ISNUMBER($W671)),$AO671=1),"",$W671-(COUNTIFS($A$14:$A$1213,$A671,$F$14:$F$1213,"&gt;=0")+1)/2)</f>
        <v/>
      </c>
      <c r="Z671" s="27">
        <f>IF(ISNUMBER($V671),$A671&amp;"|"&amp;$V671,"")</f>
        <v/>
      </c>
      <c r="AA671" s="27">
        <f>IF(ISNUMBER($W671),$A671&amp;"|"&amp;$W671,"")</f>
        <v/>
      </c>
      <c r="AB671" s="27">
        <f>IF(ISNUMBER($F671),$A671&amp;"|"&amp;$F671,"")</f>
        <v/>
      </c>
      <c r="AC671" s="27">
        <f>IF(ISNUMBER($P671),COUNTIFS($A$14:$A$1213,$A671,$P$14:$P$1213,"&gt;"&amp;$P671)+(COUNTIFS($A$14:$A$1213,$A671,$P$14:$P$1213,"="&amp;$P671)+1)/2,"")</f>
        <v/>
      </c>
      <c r="AD671" s="27">
        <f>IF(ISNUMBER($Q671),COUNTIFS($A$14:$A$1213,$A671,$Q$14:$Q$1213,"&gt;"&amp;$Q671)+(COUNTIFS($A$14:$A$1213,$A671,$Q$14:$Q$1213,"="&amp;$Q671)+1)/2,"")</f>
        <v/>
      </c>
      <c r="AE671" s="27">
        <f>IF(ISNUMBER($R671),COUNTIFS($A$14:$A$1213,$A671,$R$14:$R$1213,"&gt;"&amp;$R671)+(COUNTIFS($A$14:$A$1213,$A671,$R$14:$R$1213,"="&amp;$R671)+1)/2,"")</f>
        <v/>
      </c>
      <c r="AF671" s="27">
        <f>IF(ISNUMBER($S671),COUNTIFS($A$14:$A$1213,$A671,$S$14:$S$1213,"&gt;"&amp;$S671)+(COUNTIFS($A$14:$A$1213,$A671,$S$14:$S$1213,"="&amp;$S671)+1)/2,"")</f>
        <v/>
      </c>
      <c r="AG671" s="27">
        <f>IF(ISNUMBER($T671),COUNTIFS($A$14:$A$1213,$A671,$T$14:$T$1213,"&gt;"&amp;$T671)+(COUNTIFS($A$14:$A$1213,$A671,$T$14:$T$1213,"="&amp;$T671)+1)/2,"")</f>
        <v/>
      </c>
      <c r="AH671" s="27">
        <f>IF(COUNT($AC671:$AG671)&lt;2,"",IF(MAX($AC671:$AG671)=MIN($AC671:$AG671),0,1))</f>
        <v/>
      </c>
      <c r="AI671" s="27">
        <f>IF($A671="","",IF(COUNTIF($A$14:$A671,$A671)=1,COUNTIF($AI$13:AI670,"&gt;0")+1,""))</f>
        <v/>
      </c>
      <c r="AO671" s="27">
        <f>IF($A671="","",IF(AND(COUNTIFS($A$14:$A$1213,$A671,$F$14:$F$1213,"&gt;=0")=2,IFERROR(INDEX($M$14:$M$313,MATCH($A671,$H$14:$H$313,0)),"Yes")&lt;&gt;"Yes"),1,0))</f>
        <v/>
      </c>
    </row>
    <row r="672">
      <c r="A672" s="19" t="n"/>
      <c r="B672" s="20" t="n"/>
      <c r="C672" s="21">
        <f>IFERROR(AVERAGE(P672:T672),"")</f>
        <v/>
      </c>
      <c r="D672" s="29" t="n"/>
      <c r="E672" s="29" t="n"/>
      <c r="F672" s="30">
        <f>IF(AND(ISNUMBER($D672),ISNUMBER($E672),$E672&gt;0,$D672&lt;=$E672),$D672/$E672,"")</f>
        <v/>
      </c>
      <c r="P672" s="26" t="n"/>
      <c r="Q672" s="26" t="n"/>
      <c r="R672" s="26" t="n"/>
      <c r="S672" s="26" t="n"/>
      <c r="T672" s="26" t="n"/>
      <c r="V672" s="27">
        <f>IF(ISNUMBER($C672),COUNTIFS($A$14:$A$1213,$A672,$C$14:$C$1213,"&gt;"&amp;$C672)+(COUNTIFS($A$14:$A$1213,$A672,$C$14:$C$1213,"="&amp;$C672)+1)/2,"")</f>
        <v/>
      </c>
      <c r="W672" s="27">
        <f>IF(ISNUMBER($F672),COUNTIFS($A$14:$A$1213,$A672,$F$14:$F$1213,"&gt;"&amp;$F672)+(COUNTIFS($A$14:$A$1213,$A672,$F$14:$F$1213,"="&amp;$F672)+1)/2,"")</f>
        <v/>
      </c>
      <c r="X672" s="27">
        <f>IF(OR(NOT(ISNUMBER($V672)),$AO672=1),"",$V672-(COUNTIFS($A$14:$A$1213,$A672,$C$14:$C$1213,"&gt;=0")+1)/2)</f>
        <v/>
      </c>
      <c r="Y672" s="27">
        <f>IF(OR(NOT(ISNUMBER($W672)),$AO672=1),"",$W672-(COUNTIFS($A$14:$A$1213,$A672,$F$14:$F$1213,"&gt;=0")+1)/2)</f>
        <v/>
      </c>
      <c r="Z672" s="27">
        <f>IF(ISNUMBER($V672),$A672&amp;"|"&amp;$V672,"")</f>
        <v/>
      </c>
      <c r="AA672" s="27">
        <f>IF(ISNUMBER($W672),$A672&amp;"|"&amp;$W672,"")</f>
        <v/>
      </c>
      <c r="AB672" s="27">
        <f>IF(ISNUMBER($F672),$A672&amp;"|"&amp;$F672,"")</f>
        <v/>
      </c>
      <c r="AC672" s="27">
        <f>IF(ISNUMBER($P672),COUNTIFS($A$14:$A$1213,$A672,$P$14:$P$1213,"&gt;"&amp;$P672)+(COUNTIFS($A$14:$A$1213,$A672,$P$14:$P$1213,"="&amp;$P672)+1)/2,"")</f>
        <v/>
      </c>
      <c r="AD672" s="27">
        <f>IF(ISNUMBER($Q672),COUNTIFS($A$14:$A$1213,$A672,$Q$14:$Q$1213,"&gt;"&amp;$Q672)+(COUNTIFS($A$14:$A$1213,$A672,$Q$14:$Q$1213,"="&amp;$Q672)+1)/2,"")</f>
        <v/>
      </c>
      <c r="AE672" s="27">
        <f>IF(ISNUMBER($R672),COUNTIFS($A$14:$A$1213,$A672,$R$14:$R$1213,"&gt;"&amp;$R672)+(COUNTIFS($A$14:$A$1213,$A672,$R$14:$R$1213,"="&amp;$R672)+1)/2,"")</f>
        <v/>
      </c>
      <c r="AF672" s="27">
        <f>IF(ISNUMBER($S672),COUNTIFS($A$14:$A$1213,$A672,$S$14:$S$1213,"&gt;"&amp;$S672)+(COUNTIFS($A$14:$A$1213,$A672,$S$14:$S$1213,"="&amp;$S672)+1)/2,"")</f>
        <v/>
      </c>
      <c r="AG672" s="27">
        <f>IF(ISNUMBER($T672),COUNTIFS($A$14:$A$1213,$A672,$T$14:$T$1213,"&gt;"&amp;$T672)+(COUNTIFS($A$14:$A$1213,$A672,$T$14:$T$1213,"="&amp;$T672)+1)/2,"")</f>
        <v/>
      </c>
      <c r="AH672" s="27">
        <f>IF(COUNT($AC672:$AG672)&lt;2,"",IF(MAX($AC672:$AG672)=MIN($AC672:$AG672),0,1))</f>
        <v/>
      </c>
      <c r="AI672" s="27">
        <f>IF($A672="","",IF(COUNTIF($A$14:$A672,$A672)=1,COUNTIF($AI$13:AI671,"&gt;0")+1,""))</f>
        <v/>
      </c>
      <c r="AO672" s="27">
        <f>IF($A672="","",IF(AND(COUNTIFS($A$14:$A$1213,$A672,$F$14:$F$1213,"&gt;=0")=2,IFERROR(INDEX($M$14:$M$313,MATCH($A672,$H$14:$H$313,0)),"Yes")&lt;&gt;"Yes"),1,0))</f>
        <v/>
      </c>
    </row>
    <row r="673">
      <c r="A673" s="19" t="n"/>
      <c r="B673" s="20" t="n"/>
      <c r="C673" s="21">
        <f>IFERROR(AVERAGE(P673:T673),"")</f>
        <v/>
      </c>
      <c r="D673" s="29" t="n"/>
      <c r="E673" s="29" t="n"/>
      <c r="F673" s="30">
        <f>IF(AND(ISNUMBER($D673),ISNUMBER($E673),$E673&gt;0,$D673&lt;=$E673),$D673/$E673,"")</f>
        <v/>
      </c>
      <c r="P673" s="26" t="n"/>
      <c r="Q673" s="26" t="n"/>
      <c r="R673" s="26" t="n"/>
      <c r="S673" s="26" t="n"/>
      <c r="T673" s="26" t="n"/>
      <c r="V673" s="27">
        <f>IF(ISNUMBER($C673),COUNTIFS($A$14:$A$1213,$A673,$C$14:$C$1213,"&gt;"&amp;$C673)+(COUNTIFS($A$14:$A$1213,$A673,$C$14:$C$1213,"="&amp;$C673)+1)/2,"")</f>
        <v/>
      </c>
      <c r="W673" s="27">
        <f>IF(ISNUMBER($F673),COUNTIFS($A$14:$A$1213,$A673,$F$14:$F$1213,"&gt;"&amp;$F673)+(COUNTIFS($A$14:$A$1213,$A673,$F$14:$F$1213,"="&amp;$F673)+1)/2,"")</f>
        <v/>
      </c>
      <c r="X673" s="27">
        <f>IF(OR(NOT(ISNUMBER($V673)),$AO673=1),"",$V673-(COUNTIFS($A$14:$A$1213,$A673,$C$14:$C$1213,"&gt;=0")+1)/2)</f>
        <v/>
      </c>
      <c r="Y673" s="27">
        <f>IF(OR(NOT(ISNUMBER($W673)),$AO673=1),"",$W673-(COUNTIFS($A$14:$A$1213,$A673,$F$14:$F$1213,"&gt;=0")+1)/2)</f>
        <v/>
      </c>
      <c r="Z673" s="27">
        <f>IF(ISNUMBER($V673),$A673&amp;"|"&amp;$V673,"")</f>
        <v/>
      </c>
      <c r="AA673" s="27">
        <f>IF(ISNUMBER($W673),$A673&amp;"|"&amp;$W673,"")</f>
        <v/>
      </c>
      <c r="AB673" s="27">
        <f>IF(ISNUMBER($F673),$A673&amp;"|"&amp;$F673,"")</f>
        <v/>
      </c>
      <c r="AC673" s="27">
        <f>IF(ISNUMBER($P673),COUNTIFS($A$14:$A$1213,$A673,$P$14:$P$1213,"&gt;"&amp;$P673)+(COUNTIFS($A$14:$A$1213,$A673,$P$14:$P$1213,"="&amp;$P673)+1)/2,"")</f>
        <v/>
      </c>
      <c r="AD673" s="27">
        <f>IF(ISNUMBER($Q673),COUNTIFS($A$14:$A$1213,$A673,$Q$14:$Q$1213,"&gt;"&amp;$Q673)+(COUNTIFS($A$14:$A$1213,$A673,$Q$14:$Q$1213,"="&amp;$Q673)+1)/2,"")</f>
        <v/>
      </c>
      <c r="AE673" s="27">
        <f>IF(ISNUMBER($R673),COUNTIFS($A$14:$A$1213,$A673,$R$14:$R$1213,"&gt;"&amp;$R673)+(COUNTIFS($A$14:$A$1213,$A673,$R$14:$R$1213,"="&amp;$R673)+1)/2,"")</f>
        <v/>
      </c>
      <c r="AF673" s="27">
        <f>IF(ISNUMBER($S673),COUNTIFS($A$14:$A$1213,$A673,$S$14:$S$1213,"&gt;"&amp;$S673)+(COUNTIFS($A$14:$A$1213,$A673,$S$14:$S$1213,"="&amp;$S673)+1)/2,"")</f>
        <v/>
      </c>
      <c r="AG673" s="27">
        <f>IF(ISNUMBER($T673),COUNTIFS($A$14:$A$1213,$A673,$T$14:$T$1213,"&gt;"&amp;$T673)+(COUNTIFS($A$14:$A$1213,$A673,$T$14:$T$1213,"="&amp;$T673)+1)/2,"")</f>
        <v/>
      </c>
      <c r="AH673" s="27">
        <f>IF(COUNT($AC673:$AG673)&lt;2,"",IF(MAX($AC673:$AG673)=MIN($AC673:$AG673),0,1))</f>
        <v/>
      </c>
      <c r="AI673" s="27">
        <f>IF($A673="","",IF(COUNTIF($A$14:$A673,$A673)=1,COUNTIF($AI$13:AI672,"&gt;0")+1,""))</f>
        <v/>
      </c>
      <c r="AO673" s="27">
        <f>IF($A673="","",IF(AND(COUNTIFS($A$14:$A$1213,$A673,$F$14:$F$1213,"&gt;=0")=2,IFERROR(INDEX($M$14:$M$313,MATCH($A673,$H$14:$H$313,0)),"Yes")&lt;&gt;"Yes"),1,0))</f>
        <v/>
      </c>
    </row>
    <row r="674">
      <c r="A674" s="19" t="n"/>
      <c r="B674" s="20" t="n"/>
      <c r="C674" s="21">
        <f>IFERROR(AVERAGE(P674:T674),"")</f>
        <v/>
      </c>
      <c r="D674" s="29" t="n"/>
      <c r="E674" s="29" t="n"/>
      <c r="F674" s="30">
        <f>IF(AND(ISNUMBER($D674),ISNUMBER($E674),$E674&gt;0,$D674&lt;=$E674),$D674/$E674,"")</f>
        <v/>
      </c>
      <c r="P674" s="26" t="n"/>
      <c r="Q674" s="26" t="n"/>
      <c r="R674" s="26" t="n"/>
      <c r="S674" s="26" t="n"/>
      <c r="T674" s="26" t="n"/>
      <c r="V674" s="27">
        <f>IF(ISNUMBER($C674),COUNTIFS($A$14:$A$1213,$A674,$C$14:$C$1213,"&gt;"&amp;$C674)+(COUNTIFS($A$14:$A$1213,$A674,$C$14:$C$1213,"="&amp;$C674)+1)/2,"")</f>
        <v/>
      </c>
      <c r="W674" s="27">
        <f>IF(ISNUMBER($F674),COUNTIFS($A$14:$A$1213,$A674,$F$14:$F$1213,"&gt;"&amp;$F674)+(COUNTIFS($A$14:$A$1213,$A674,$F$14:$F$1213,"="&amp;$F674)+1)/2,"")</f>
        <v/>
      </c>
      <c r="X674" s="27">
        <f>IF(OR(NOT(ISNUMBER($V674)),$AO674=1),"",$V674-(COUNTIFS($A$14:$A$1213,$A674,$C$14:$C$1213,"&gt;=0")+1)/2)</f>
        <v/>
      </c>
      <c r="Y674" s="27">
        <f>IF(OR(NOT(ISNUMBER($W674)),$AO674=1),"",$W674-(COUNTIFS($A$14:$A$1213,$A674,$F$14:$F$1213,"&gt;=0")+1)/2)</f>
        <v/>
      </c>
      <c r="Z674" s="27">
        <f>IF(ISNUMBER($V674),$A674&amp;"|"&amp;$V674,"")</f>
        <v/>
      </c>
      <c r="AA674" s="27">
        <f>IF(ISNUMBER($W674),$A674&amp;"|"&amp;$W674,"")</f>
        <v/>
      </c>
      <c r="AB674" s="27">
        <f>IF(ISNUMBER($F674),$A674&amp;"|"&amp;$F674,"")</f>
        <v/>
      </c>
      <c r="AC674" s="27">
        <f>IF(ISNUMBER($P674),COUNTIFS($A$14:$A$1213,$A674,$P$14:$P$1213,"&gt;"&amp;$P674)+(COUNTIFS($A$14:$A$1213,$A674,$P$14:$P$1213,"="&amp;$P674)+1)/2,"")</f>
        <v/>
      </c>
      <c r="AD674" s="27">
        <f>IF(ISNUMBER($Q674),COUNTIFS($A$14:$A$1213,$A674,$Q$14:$Q$1213,"&gt;"&amp;$Q674)+(COUNTIFS($A$14:$A$1213,$A674,$Q$14:$Q$1213,"="&amp;$Q674)+1)/2,"")</f>
        <v/>
      </c>
      <c r="AE674" s="27">
        <f>IF(ISNUMBER($R674),COUNTIFS($A$14:$A$1213,$A674,$R$14:$R$1213,"&gt;"&amp;$R674)+(COUNTIFS($A$14:$A$1213,$A674,$R$14:$R$1213,"="&amp;$R674)+1)/2,"")</f>
        <v/>
      </c>
      <c r="AF674" s="27">
        <f>IF(ISNUMBER($S674),COUNTIFS($A$14:$A$1213,$A674,$S$14:$S$1213,"&gt;"&amp;$S674)+(COUNTIFS($A$14:$A$1213,$A674,$S$14:$S$1213,"="&amp;$S674)+1)/2,"")</f>
        <v/>
      </c>
      <c r="AG674" s="27">
        <f>IF(ISNUMBER($T674),COUNTIFS($A$14:$A$1213,$A674,$T$14:$T$1213,"&gt;"&amp;$T674)+(COUNTIFS($A$14:$A$1213,$A674,$T$14:$T$1213,"="&amp;$T674)+1)/2,"")</f>
        <v/>
      </c>
      <c r="AH674" s="27">
        <f>IF(COUNT($AC674:$AG674)&lt;2,"",IF(MAX($AC674:$AG674)=MIN($AC674:$AG674),0,1))</f>
        <v/>
      </c>
      <c r="AI674" s="27">
        <f>IF($A674="","",IF(COUNTIF($A$14:$A674,$A674)=1,COUNTIF($AI$13:AI673,"&gt;0")+1,""))</f>
        <v/>
      </c>
      <c r="AO674" s="27">
        <f>IF($A674="","",IF(AND(COUNTIFS($A$14:$A$1213,$A674,$F$14:$F$1213,"&gt;=0")=2,IFERROR(INDEX($M$14:$M$313,MATCH($A674,$H$14:$H$313,0)),"Yes")&lt;&gt;"Yes"),1,0))</f>
        <v/>
      </c>
    </row>
    <row r="675">
      <c r="A675" s="19" t="n"/>
      <c r="B675" s="20" t="n"/>
      <c r="C675" s="21">
        <f>IFERROR(AVERAGE(P675:T675),"")</f>
        <v/>
      </c>
      <c r="D675" s="29" t="n"/>
      <c r="E675" s="29" t="n"/>
      <c r="F675" s="30">
        <f>IF(AND(ISNUMBER($D675),ISNUMBER($E675),$E675&gt;0,$D675&lt;=$E675),$D675/$E675,"")</f>
        <v/>
      </c>
      <c r="P675" s="26" t="n"/>
      <c r="Q675" s="26" t="n"/>
      <c r="R675" s="26" t="n"/>
      <c r="S675" s="26" t="n"/>
      <c r="T675" s="26" t="n"/>
      <c r="V675" s="27">
        <f>IF(ISNUMBER($C675),COUNTIFS($A$14:$A$1213,$A675,$C$14:$C$1213,"&gt;"&amp;$C675)+(COUNTIFS($A$14:$A$1213,$A675,$C$14:$C$1213,"="&amp;$C675)+1)/2,"")</f>
        <v/>
      </c>
      <c r="W675" s="27">
        <f>IF(ISNUMBER($F675),COUNTIFS($A$14:$A$1213,$A675,$F$14:$F$1213,"&gt;"&amp;$F675)+(COUNTIFS($A$14:$A$1213,$A675,$F$14:$F$1213,"="&amp;$F675)+1)/2,"")</f>
        <v/>
      </c>
      <c r="X675" s="27">
        <f>IF(OR(NOT(ISNUMBER($V675)),$AO675=1),"",$V675-(COUNTIFS($A$14:$A$1213,$A675,$C$14:$C$1213,"&gt;=0")+1)/2)</f>
        <v/>
      </c>
      <c r="Y675" s="27">
        <f>IF(OR(NOT(ISNUMBER($W675)),$AO675=1),"",$W675-(COUNTIFS($A$14:$A$1213,$A675,$F$14:$F$1213,"&gt;=0")+1)/2)</f>
        <v/>
      </c>
      <c r="Z675" s="27">
        <f>IF(ISNUMBER($V675),$A675&amp;"|"&amp;$V675,"")</f>
        <v/>
      </c>
      <c r="AA675" s="27">
        <f>IF(ISNUMBER($W675),$A675&amp;"|"&amp;$W675,"")</f>
        <v/>
      </c>
      <c r="AB675" s="27">
        <f>IF(ISNUMBER($F675),$A675&amp;"|"&amp;$F675,"")</f>
        <v/>
      </c>
      <c r="AC675" s="27">
        <f>IF(ISNUMBER($P675),COUNTIFS($A$14:$A$1213,$A675,$P$14:$P$1213,"&gt;"&amp;$P675)+(COUNTIFS($A$14:$A$1213,$A675,$P$14:$P$1213,"="&amp;$P675)+1)/2,"")</f>
        <v/>
      </c>
      <c r="AD675" s="27">
        <f>IF(ISNUMBER($Q675),COUNTIFS($A$14:$A$1213,$A675,$Q$14:$Q$1213,"&gt;"&amp;$Q675)+(COUNTIFS($A$14:$A$1213,$A675,$Q$14:$Q$1213,"="&amp;$Q675)+1)/2,"")</f>
        <v/>
      </c>
      <c r="AE675" s="27">
        <f>IF(ISNUMBER($R675),COUNTIFS($A$14:$A$1213,$A675,$R$14:$R$1213,"&gt;"&amp;$R675)+(COUNTIFS($A$14:$A$1213,$A675,$R$14:$R$1213,"="&amp;$R675)+1)/2,"")</f>
        <v/>
      </c>
      <c r="AF675" s="27">
        <f>IF(ISNUMBER($S675),COUNTIFS($A$14:$A$1213,$A675,$S$14:$S$1213,"&gt;"&amp;$S675)+(COUNTIFS($A$14:$A$1213,$A675,$S$14:$S$1213,"="&amp;$S675)+1)/2,"")</f>
        <v/>
      </c>
      <c r="AG675" s="27">
        <f>IF(ISNUMBER($T675),COUNTIFS($A$14:$A$1213,$A675,$T$14:$T$1213,"&gt;"&amp;$T675)+(COUNTIFS($A$14:$A$1213,$A675,$T$14:$T$1213,"="&amp;$T675)+1)/2,"")</f>
        <v/>
      </c>
      <c r="AH675" s="27">
        <f>IF(COUNT($AC675:$AG675)&lt;2,"",IF(MAX($AC675:$AG675)=MIN($AC675:$AG675),0,1))</f>
        <v/>
      </c>
      <c r="AI675" s="27">
        <f>IF($A675="","",IF(COUNTIF($A$14:$A675,$A675)=1,COUNTIF($AI$13:AI674,"&gt;0")+1,""))</f>
        <v/>
      </c>
      <c r="AO675" s="27">
        <f>IF($A675="","",IF(AND(COUNTIFS($A$14:$A$1213,$A675,$F$14:$F$1213,"&gt;=0")=2,IFERROR(INDEX($M$14:$M$313,MATCH($A675,$H$14:$H$313,0)),"Yes")&lt;&gt;"Yes"),1,0))</f>
        <v/>
      </c>
    </row>
    <row r="676">
      <c r="A676" s="19" t="n"/>
      <c r="B676" s="20" t="n"/>
      <c r="C676" s="21">
        <f>IFERROR(AVERAGE(P676:T676),"")</f>
        <v/>
      </c>
      <c r="D676" s="29" t="n"/>
      <c r="E676" s="29" t="n"/>
      <c r="F676" s="30">
        <f>IF(AND(ISNUMBER($D676),ISNUMBER($E676),$E676&gt;0,$D676&lt;=$E676),$D676/$E676,"")</f>
        <v/>
      </c>
      <c r="P676" s="26" t="n"/>
      <c r="Q676" s="26" t="n"/>
      <c r="R676" s="26" t="n"/>
      <c r="S676" s="26" t="n"/>
      <c r="T676" s="26" t="n"/>
      <c r="V676" s="27">
        <f>IF(ISNUMBER($C676),COUNTIFS($A$14:$A$1213,$A676,$C$14:$C$1213,"&gt;"&amp;$C676)+(COUNTIFS($A$14:$A$1213,$A676,$C$14:$C$1213,"="&amp;$C676)+1)/2,"")</f>
        <v/>
      </c>
      <c r="W676" s="27">
        <f>IF(ISNUMBER($F676),COUNTIFS($A$14:$A$1213,$A676,$F$14:$F$1213,"&gt;"&amp;$F676)+(COUNTIFS($A$14:$A$1213,$A676,$F$14:$F$1213,"="&amp;$F676)+1)/2,"")</f>
        <v/>
      </c>
      <c r="X676" s="27">
        <f>IF(OR(NOT(ISNUMBER($V676)),$AO676=1),"",$V676-(COUNTIFS($A$14:$A$1213,$A676,$C$14:$C$1213,"&gt;=0")+1)/2)</f>
        <v/>
      </c>
      <c r="Y676" s="27">
        <f>IF(OR(NOT(ISNUMBER($W676)),$AO676=1),"",$W676-(COUNTIFS($A$14:$A$1213,$A676,$F$14:$F$1213,"&gt;=0")+1)/2)</f>
        <v/>
      </c>
      <c r="Z676" s="27">
        <f>IF(ISNUMBER($V676),$A676&amp;"|"&amp;$V676,"")</f>
        <v/>
      </c>
      <c r="AA676" s="27">
        <f>IF(ISNUMBER($W676),$A676&amp;"|"&amp;$W676,"")</f>
        <v/>
      </c>
      <c r="AB676" s="27">
        <f>IF(ISNUMBER($F676),$A676&amp;"|"&amp;$F676,"")</f>
        <v/>
      </c>
      <c r="AC676" s="27">
        <f>IF(ISNUMBER($P676),COUNTIFS($A$14:$A$1213,$A676,$P$14:$P$1213,"&gt;"&amp;$P676)+(COUNTIFS($A$14:$A$1213,$A676,$P$14:$P$1213,"="&amp;$P676)+1)/2,"")</f>
        <v/>
      </c>
      <c r="AD676" s="27">
        <f>IF(ISNUMBER($Q676),COUNTIFS($A$14:$A$1213,$A676,$Q$14:$Q$1213,"&gt;"&amp;$Q676)+(COUNTIFS($A$14:$A$1213,$A676,$Q$14:$Q$1213,"="&amp;$Q676)+1)/2,"")</f>
        <v/>
      </c>
      <c r="AE676" s="27">
        <f>IF(ISNUMBER($R676),COUNTIFS($A$14:$A$1213,$A676,$R$14:$R$1213,"&gt;"&amp;$R676)+(COUNTIFS($A$14:$A$1213,$A676,$R$14:$R$1213,"="&amp;$R676)+1)/2,"")</f>
        <v/>
      </c>
      <c r="AF676" s="27">
        <f>IF(ISNUMBER($S676),COUNTIFS($A$14:$A$1213,$A676,$S$14:$S$1213,"&gt;"&amp;$S676)+(COUNTIFS($A$14:$A$1213,$A676,$S$14:$S$1213,"="&amp;$S676)+1)/2,"")</f>
        <v/>
      </c>
      <c r="AG676" s="27">
        <f>IF(ISNUMBER($T676),COUNTIFS($A$14:$A$1213,$A676,$T$14:$T$1213,"&gt;"&amp;$T676)+(COUNTIFS($A$14:$A$1213,$A676,$T$14:$T$1213,"="&amp;$T676)+1)/2,"")</f>
        <v/>
      </c>
      <c r="AH676" s="27">
        <f>IF(COUNT($AC676:$AG676)&lt;2,"",IF(MAX($AC676:$AG676)=MIN($AC676:$AG676),0,1))</f>
        <v/>
      </c>
      <c r="AI676" s="27">
        <f>IF($A676="","",IF(COUNTIF($A$14:$A676,$A676)=1,COUNTIF($AI$13:AI675,"&gt;0")+1,""))</f>
        <v/>
      </c>
      <c r="AO676" s="27">
        <f>IF($A676="","",IF(AND(COUNTIFS($A$14:$A$1213,$A676,$F$14:$F$1213,"&gt;=0")=2,IFERROR(INDEX($M$14:$M$313,MATCH($A676,$H$14:$H$313,0)),"Yes")&lt;&gt;"Yes"),1,0))</f>
        <v/>
      </c>
    </row>
    <row r="677">
      <c r="A677" s="19" t="n"/>
      <c r="B677" s="20" t="n"/>
      <c r="C677" s="21">
        <f>IFERROR(AVERAGE(P677:T677),"")</f>
        <v/>
      </c>
      <c r="D677" s="29" t="n"/>
      <c r="E677" s="29" t="n"/>
      <c r="F677" s="30">
        <f>IF(AND(ISNUMBER($D677),ISNUMBER($E677),$E677&gt;0,$D677&lt;=$E677),$D677/$E677,"")</f>
        <v/>
      </c>
      <c r="P677" s="26" t="n"/>
      <c r="Q677" s="26" t="n"/>
      <c r="R677" s="26" t="n"/>
      <c r="S677" s="26" t="n"/>
      <c r="T677" s="26" t="n"/>
      <c r="V677" s="27">
        <f>IF(ISNUMBER($C677),COUNTIFS($A$14:$A$1213,$A677,$C$14:$C$1213,"&gt;"&amp;$C677)+(COUNTIFS($A$14:$A$1213,$A677,$C$14:$C$1213,"="&amp;$C677)+1)/2,"")</f>
        <v/>
      </c>
      <c r="W677" s="27">
        <f>IF(ISNUMBER($F677),COUNTIFS($A$14:$A$1213,$A677,$F$14:$F$1213,"&gt;"&amp;$F677)+(COUNTIFS($A$14:$A$1213,$A677,$F$14:$F$1213,"="&amp;$F677)+1)/2,"")</f>
        <v/>
      </c>
      <c r="X677" s="27">
        <f>IF(OR(NOT(ISNUMBER($V677)),$AO677=1),"",$V677-(COUNTIFS($A$14:$A$1213,$A677,$C$14:$C$1213,"&gt;=0")+1)/2)</f>
        <v/>
      </c>
      <c r="Y677" s="27">
        <f>IF(OR(NOT(ISNUMBER($W677)),$AO677=1),"",$W677-(COUNTIFS($A$14:$A$1213,$A677,$F$14:$F$1213,"&gt;=0")+1)/2)</f>
        <v/>
      </c>
      <c r="Z677" s="27">
        <f>IF(ISNUMBER($V677),$A677&amp;"|"&amp;$V677,"")</f>
        <v/>
      </c>
      <c r="AA677" s="27">
        <f>IF(ISNUMBER($W677),$A677&amp;"|"&amp;$W677,"")</f>
        <v/>
      </c>
      <c r="AB677" s="27">
        <f>IF(ISNUMBER($F677),$A677&amp;"|"&amp;$F677,"")</f>
        <v/>
      </c>
      <c r="AC677" s="27">
        <f>IF(ISNUMBER($P677),COUNTIFS($A$14:$A$1213,$A677,$P$14:$P$1213,"&gt;"&amp;$P677)+(COUNTIFS($A$14:$A$1213,$A677,$P$14:$P$1213,"="&amp;$P677)+1)/2,"")</f>
        <v/>
      </c>
      <c r="AD677" s="27">
        <f>IF(ISNUMBER($Q677),COUNTIFS($A$14:$A$1213,$A677,$Q$14:$Q$1213,"&gt;"&amp;$Q677)+(COUNTIFS($A$14:$A$1213,$A677,$Q$14:$Q$1213,"="&amp;$Q677)+1)/2,"")</f>
        <v/>
      </c>
      <c r="AE677" s="27">
        <f>IF(ISNUMBER($R677),COUNTIFS($A$14:$A$1213,$A677,$R$14:$R$1213,"&gt;"&amp;$R677)+(COUNTIFS($A$14:$A$1213,$A677,$R$14:$R$1213,"="&amp;$R677)+1)/2,"")</f>
        <v/>
      </c>
      <c r="AF677" s="27">
        <f>IF(ISNUMBER($S677),COUNTIFS($A$14:$A$1213,$A677,$S$14:$S$1213,"&gt;"&amp;$S677)+(COUNTIFS($A$14:$A$1213,$A677,$S$14:$S$1213,"="&amp;$S677)+1)/2,"")</f>
        <v/>
      </c>
      <c r="AG677" s="27">
        <f>IF(ISNUMBER($T677),COUNTIFS($A$14:$A$1213,$A677,$T$14:$T$1213,"&gt;"&amp;$T677)+(COUNTIFS($A$14:$A$1213,$A677,$T$14:$T$1213,"="&amp;$T677)+1)/2,"")</f>
        <v/>
      </c>
      <c r="AH677" s="27">
        <f>IF(COUNT($AC677:$AG677)&lt;2,"",IF(MAX($AC677:$AG677)=MIN($AC677:$AG677),0,1))</f>
        <v/>
      </c>
      <c r="AI677" s="27">
        <f>IF($A677="","",IF(COUNTIF($A$14:$A677,$A677)=1,COUNTIF($AI$13:AI676,"&gt;0")+1,""))</f>
        <v/>
      </c>
      <c r="AO677" s="27">
        <f>IF($A677="","",IF(AND(COUNTIFS($A$14:$A$1213,$A677,$F$14:$F$1213,"&gt;=0")=2,IFERROR(INDEX($M$14:$M$313,MATCH($A677,$H$14:$H$313,0)),"Yes")&lt;&gt;"Yes"),1,0))</f>
        <v/>
      </c>
    </row>
    <row r="678">
      <c r="A678" s="19" t="n"/>
      <c r="B678" s="20" t="n"/>
      <c r="C678" s="21">
        <f>IFERROR(AVERAGE(P678:T678),"")</f>
        <v/>
      </c>
      <c r="D678" s="29" t="n"/>
      <c r="E678" s="29" t="n"/>
      <c r="F678" s="30">
        <f>IF(AND(ISNUMBER($D678),ISNUMBER($E678),$E678&gt;0,$D678&lt;=$E678),$D678/$E678,"")</f>
        <v/>
      </c>
      <c r="P678" s="26" t="n"/>
      <c r="Q678" s="26" t="n"/>
      <c r="R678" s="26" t="n"/>
      <c r="S678" s="26" t="n"/>
      <c r="T678" s="26" t="n"/>
      <c r="V678" s="27">
        <f>IF(ISNUMBER($C678),COUNTIFS($A$14:$A$1213,$A678,$C$14:$C$1213,"&gt;"&amp;$C678)+(COUNTIFS($A$14:$A$1213,$A678,$C$14:$C$1213,"="&amp;$C678)+1)/2,"")</f>
        <v/>
      </c>
      <c r="W678" s="27">
        <f>IF(ISNUMBER($F678),COUNTIFS($A$14:$A$1213,$A678,$F$14:$F$1213,"&gt;"&amp;$F678)+(COUNTIFS($A$14:$A$1213,$A678,$F$14:$F$1213,"="&amp;$F678)+1)/2,"")</f>
        <v/>
      </c>
      <c r="X678" s="27">
        <f>IF(OR(NOT(ISNUMBER($V678)),$AO678=1),"",$V678-(COUNTIFS($A$14:$A$1213,$A678,$C$14:$C$1213,"&gt;=0")+1)/2)</f>
        <v/>
      </c>
      <c r="Y678" s="27">
        <f>IF(OR(NOT(ISNUMBER($W678)),$AO678=1),"",$W678-(COUNTIFS($A$14:$A$1213,$A678,$F$14:$F$1213,"&gt;=0")+1)/2)</f>
        <v/>
      </c>
      <c r="Z678" s="27">
        <f>IF(ISNUMBER($V678),$A678&amp;"|"&amp;$V678,"")</f>
        <v/>
      </c>
      <c r="AA678" s="27">
        <f>IF(ISNUMBER($W678),$A678&amp;"|"&amp;$W678,"")</f>
        <v/>
      </c>
      <c r="AB678" s="27">
        <f>IF(ISNUMBER($F678),$A678&amp;"|"&amp;$F678,"")</f>
        <v/>
      </c>
      <c r="AC678" s="27">
        <f>IF(ISNUMBER($P678),COUNTIFS($A$14:$A$1213,$A678,$P$14:$P$1213,"&gt;"&amp;$P678)+(COUNTIFS($A$14:$A$1213,$A678,$P$14:$P$1213,"="&amp;$P678)+1)/2,"")</f>
        <v/>
      </c>
      <c r="AD678" s="27">
        <f>IF(ISNUMBER($Q678),COUNTIFS($A$14:$A$1213,$A678,$Q$14:$Q$1213,"&gt;"&amp;$Q678)+(COUNTIFS($A$14:$A$1213,$A678,$Q$14:$Q$1213,"="&amp;$Q678)+1)/2,"")</f>
        <v/>
      </c>
      <c r="AE678" s="27">
        <f>IF(ISNUMBER($R678),COUNTIFS($A$14:$A$1213,$A678,$R$14:$R$1213,"&gt;"&amp;$R678)+(COUNTIFS($A$14:$A$1213,$A678,$R$14:$R$1213,"="&amp;$R678)+1)/2,"")</f>
        <v/>
      </c>
      <c r="AF678" s="27">
        <f>IF(ISNUMBER($S678),COUNTIFS($A$14:$A$1213,$A678,$S$14:$S$1213,"&gt;"&amp;$S678)+(COUNTIFS($A$14:$A$1213,$A678,$S$14:$S$1213,"="&amp;$S678)+1)/2,"")</f>
        <v/>
      </c>
      <c r="AG678" s="27">
        <f>IF(ISNUMBER($T678),COUNTIFS($A$14:$A$1213,$A678,$T$14:$T$1213,"&gt;"&amp;$T678)+(COUNTIFS($A$14:$A$1213,$A678,$T$14:$T$1213,"="&amp;$T678)+1)/2,"")</f>
        <v/>
      </c>
      <c r="AH678" s="27">
        <f>IF(COUNT($AC678:$AG678)&lt;2,"",IF(MAX($AC678:$AG678)=MIN($AC678:$AG678),0,1))</f>
        <v/>
      </c>
      <c r="AI678" s="27">
        <f>IF($A678="","",IF(COUNTIF($A$14:$A678,$A678)=1,COUNTIF($AI$13:AI677,"&gt;0")+1,""))</f>
        <v/>
      </c>
      <c r="AO678" s="27">
        <f>IF($A678="","",IF(AND(COUNTIFS($A$14:$A$1213,$A678,$F$14:$F$1213,"&gt;=0")=2,IFERROR(INDEX($M$14:$M$313,MATCH($A678,$H$14:$H$313,0)),"Yes")&lt;&gt;"Yes"),1,0))</f>
        <v/>
      </c>
    </row>
    <row r="679">
      <c r="A679" s="19" t="n"/>
      <c r="B679" s="20" t="n"/>
      <c r="C679" s="21">
        <f>IFERROR(AVERAGE(P679:T679),"")</f>
        <v/>
      </c>
      <c r="D679" s="29" t="n"/>
      <c r="E679" s="29" t="n"/>
      <c r="F679" s="30">
        <f>IF(AND(ISNUMBER($D679),ISNUMBER($E679),$E679&gt;0,$D679&lt;=$E679),$D679/$E679,"")</f>
        <v/>
      </c>
      <c r="P679" s="26" t="n"/>
      <c r="Q679" s="26" t="n"/>
      <c r="R679" s="26" t="n"/>
      <c r="S679" s="26" t="n"/>
      <c r="T679" s="26" t="n"/>
      <c r="V679" s="27">
        <f>IF(ISNUMBER($C679),COUNTIFS($A$14:$A$1213,$A679,$C$14:$C$1213,"&gt;"&amp;$C679)+(COUNTIFS($A$14:$A$1213,$A679,$C$14:$C$1213,"="&amp;$C679)+1)/2,"")</f>
        <v/>
      </c>
      <c r="W679" s="27">
        <f>IF(ISNUMBER($F679),COUNTIFS($A$14:$A$1213,$A679,$F$14:$F$1213,"&gt;"&amp;$F679)+(COUNTIFS($A$14:$A$1213,$A679,$F$14:$F$1213,"="&amp;$F679)+1)/2,"")</f>
        <v/>
      </c>
      <c r="X679" s="27">
        <f>IF(OR(NOT(ISNUMBER($V679)),$AO679=1),"",$V679-(COUNTIFS($A$14:$A$1213,$A679,$C$14:$C$1213,"&gt;=0")+1)/2)</f>
        <v/>
      </c>
      <c r="Y679" s="27">
        <f>IF(OR(NOT(ISNUMBER($W679)),$AO679=1),"",$W679-(COUNTIFS($A$14:$A$1213,$A679,$F$14:$F$1213,"&gt;=0")+1)/2)</f>
        <v/>
      </c>
      <c r="Z679" s="27">
        <f>IF(ISNUMBER($V679),$A679&amp;"|"&amp;$V679,"")</f>
        <v/>
      </c>
      <c r="AA679" s="27">
        <f>IF(ISNUMBER($W679),$A679&amp;"|"&amp;$W679,"")</f>
        <v/>
      </c>
      <c r="AB679" s="27">
        <f>IF(ISNUMBER($F679),$A679&amp;"|"&amp;$F679,"")</f>
        <v/>
      </c>
      <c r="AC679" s="27">
        <f>IF(ISNUMBER($P679),COUNTIFS($A$14:$A$1213,$A679,$P$14:$P$1213,"&gt;"&amp;$P679)+(COUNTIFS($A$14:$A$1213,$A679,$P$14:$P$1213,"="&amp;$P679)+1)/2,"")</f>
        <v/>
      </c>
      <c r="AD679" s="27">
        <f>IF(ISNUMBER($Q679),COUNTIFS($A$14:$A$1213,$A679,$Q$14:$Q$1213,"&gt;"&amp;$Q679)+(COUNTIFS($A$14:$A$1213,$A679,$Q$14:$Q$1213,"="&amp;$Q679)+1)/2,"")</f>
        <v/>
      </c>
      <c r="AE679" s="27">
        <f>IF(ISNUMBER($R679),COUNTIFS($A$14:$A$1213,$A679,$R$14:$R$1213,"&gt;"&amp;$R679)+(COUNTIFS($A$14:$A$1213,$A679,$R$14:$R$1213,"="&amp;$R679)+1)/2,"")</f>
        <v/>
      </c>
      <c r="AF679" s="27">
        <f>IF(ISNUMBER($S679),COUNTIFS($A$14:$A$1213,$A679,$S$14:$S$1213,"&gt;"&amp;$S679)+(COUNTIFS($A$14:$A$1213,$A679,$S$14:$S$1213,"="&amp;$S679)+1)/2,"")</f>
        <v/>
      </c>
      <c r="AG679" s="27">
        <f>IF(ISNUMBER($T679),COUNTIFS($A$14:$A$1213,$A679,$T$14:$T$1213,"&gt;"&amp;$T679)+(COUNTIFS($A$14:$A$1213,$A679,$T$14:$T$1213,"="&amp;$T679)+1)/2,"")</f>
        <v/>
      </c>
      <c r="AH679" s="27">
        <f>IF(COUNT($AC679:$AG679)&lt;2,"",IF(MAX($AC679:$AG679)=MIN($AC679:$AG679),0,1))</f>
        <v/>
      </c>
      <c r="AI679" s="27">
        <f>IF($A679="","",IF(COUNTIF($A$14:$A679,$A679)=1,COUNTIF($AI$13:AI678,"&gt;0")+1,""))</f>
        <v/>
      </c>
      <c r="AO679" s="27">
        <f>IF($A679="","",IF(AND(COUNTIFS($A$14:$A$1213,$A679,$F$14:$F$1213,"&gt;=0")=2,IFERROR(INDEX($M$14:$M$313,MATCH($A679,$H$14:$H$313,0)),"Yes")&lt;&gt;"Yes"),1,0))</f>
        <v/>
      </c>
    </row>
    <row r="680">
      <c r="A680" s="19" t="n"/>
      <c r="B680" s="20" t="n"/>
      <c r="C680" s="21">
        <f>IFERROR(AVERAGE(P680:T680),"")</f>
        <v/>
      </c>
      <c r="D680" s="29" t="n"/>
      <c r="E680" s="29" t="n"/>
      <c r="F680" s="30">
        <f>IF(AND(ISNUMBER($D680),ISNUMBER($E680),$E680&gt;0,$D680&lt;=$E680),$D680/$E680,"")</f>
        <v/>
      </c>
      <c r="P680" s="26" t="n"/>
      <c r="Q680" s="26" t="n"/>
      <c r="R680" s="26" t="n"/>
      <c r="S680" s="26" t="n"/>
      <c r="T680" s="26" t="n"/>
      <c r="V680" s="27">
        <f>IF(ISNUMBER($C680),COUNTIFS($A$14:$A$1213,$A680,$C$14:$C$1213,"&gt;"&amp;$C680)+(COUNTIFS($A$14:$A$1213,$A680,$C$14:$C$1213,"="&amp;$C680)+1)/2,"")</f>
        <v/>
      </c>
      <c r="W680" s="27">
        <f>IF(ISNUMBER($F680),COUNTIFS($A$14:$A$1213,$A680,$F$14:$F$1213,"&gt;"&amp;$F680)+(COUNTIFS($A$14:$A$1213,$A680,$F$14:$F$1213,"="&amp;$F680)+1)/2,"")</f>
        <v/>
      </c>
      <c r="X680" s="27">
        <f>IF(OR(NOT(ISNUMBER($V680)),$AO680=1),"",$V680-(COUNTIFS($A$14:$A$1213,$A680,$C$14:$C$1213,"&gt;=0")+1)/2)</f>
        <v/>
      </c>
      <c r="Y680" s="27">
        <f>IF(OR(NOT(ISNUMBER($W680)),$AO680=1),"",$W680-(COUNTIFS($A$14:$A$1213,$A680,$F$14:$F$1213,"&gt;=0")+1)/2)</f>
        <v/>
      </c>
      <c r="Z680" s="27">
        <f>IF(ISNUMBER($V680),$A680&amp;"|"&amp;$V680,"")</f>
        <v/>
      </c>
      <c r="AA680" s="27">
        <f>IF(ISNUMBER($W680),$A680&amp;"|"&amp;$W680,"")</f>
        <v/>
      </c>
      <c r="AB680" s="27">
        <f>IF(ISNUMBER($F680),$A680&amp;"|"&amp;$F680,"")</f>
        <v/>
      </c>
      <c r="AC680" s="27">
        <f>IF(ISNUMBER($P680),COUNTIFS($A$14:$A$1213,$A680,$P$14:$P$1213,"&gt;"&amp;$P680)+(COUNTIFS($A$14:$A$1213,$A680,$P$14:$P$1213,"="&amp;$P680)+1)/2,"")</f>
        <v/>
      </c>
      <c r="AD680" s="27">
        <f>IF(ISNUMBER($Q680),COUNTIFS($A$14:$A$1213,$A680,$Q$14:$Q$1213,"&gt;"&amp;$Q680)+(COUNTIFS($A$14:$A$1213,$A680,$Q$14:$Q$1213,"="&amp;$Q680)+1)/2,"")</f>
        <v/>
      </c>
      <c r="AE680" s="27">
        <f>IF(ISNUMBER($R680),COUNTIFS($A$14:$A$1213,$A680,$R$14:$R$1213,"&gt;"&amp;$R680)+(COUNTIFS($A$14:$A$1213,$A680,$R$14:$R$1213,"="&amp;$R680)+1)/2,"")</f>
        <v/>
      </c>
      <c r="AF680" s="27">
        <f>IF(ISNUMBER($S680),COUNTIFS($A$14:$A$1213,$A680,$S$14:$S$1213,"&gt;"&amp;$S680)+(COUNTIFS($A$14:$A$1213,$A680,$S$14:$S$1213,"="&amp;$S680)+1)/2,"")</f>
        <v/>
      </c>
      <c r="AG680" s="27">
        <f>IF(ISNUMBER($T680),COUNTIFS($A$14:$A$1213,$A680,$T$14:$T$1213,"&gt;"&amp;$T680)+(COUNTIFS($A$14:$A$1213,$A680,$T$14:$T$1213,"="&amp;$T680)+1)/2,"")</f>
        <v/>
      </c>
      <c r="AH680" s="27">
        <f>IF(COUNT($AC680:$AG680)&lt;2,"",IF(MAX($AC680:$AG680)=MIN($AC680:$AG680),0,1))</f>
        <v/>
      </c>
      <c r="AI680" s="27">
        <f>IF($A680="","",IF(COUNTIF($A$14:$A680,$A680)=1,COUNTIF($AI$13:AI679,"&gt;0")+1,""))</f>
        <v/>
      </c>
      <c r="AO680" s="27">
        <f>IF($A680="","",IF(AND(COUNTIFS($A$14:$A$1213,$A680,$F$14:$F$1213,"&gt;=0")=2,IFERROR(INDEX($M$14:$M$313,MATCH($A680,$H$14:$H$313,0)),"Yes")&lt;&gt;"Yes"),1,0))</f>
        <v/>
      </c>
    </row>
    <row r="681">
      <c r="A681" s="19" t="n"/>
      <c r="B681" s="20" t="n"/>
      <c r="C681" s="21">
        <f>IFERROR(AVERAGE(P681:T681),"")</f>
        <v/>
      </c>
      <c r="D681" s="29" t="n"/>
      <c r="E681" s="29" t="n"/>
      <c r="F681" s="30">
        <f>IF(AND(ISNUMBER($D681),ISNUMBER($E681),$E681&gt;0,$D681&lt;=$E681),$D681/$E681,"")</f>
        <v/>
      </c>
      <c r="P681" s="26" t="n"/>
      <c r="Q681" s="26" t="n"/>
      <c r="R681" s="26" t="n"/>
      <c r="S681" s="26" t="n"/>
      <c r="T681" s="26" t="n"/>
      <c r="V681" s="27">
        <f>IF(ISNUMBER($C681),COUNTIFS($A$14:$A$1213,$A681,$C$14:$C$1213,"&gt;"&amp;$C681)+(COUNTIFS($A$14:$A$1213,$A681,$C$14:$C$1213,"="&amp;$C681)+1)/2,"")</f>
        <v/>
      </c>
      <c r="W681" s="27">
        <f>IF(ISNUMBER($F681),COUNTIFS($A$14:$A$1213,$A681,$F$14:$F$1213,"&gt;"&amp;$F681)+(COUNTIFS($A$14:$A$1213,$A681,$F$14:$F$1213,"="&amp;$F681)+1)/2,"")</f>
        <v/>
      </c>
      <c r="X681" s="27">
        <f>IF(OR(NOT(ISNUMBER($V681)),$AO681=1),"",$V681-(COUNTIFS($A$14:$A$1213,$A681,$C$14:$C$1213,"&gt;=0")+1)/2)</f>
        <v/>
      </c>
      <c r="Y681" s="27">
        <f>IF(OR(NOT(ISNUMBER($W681)),$AO681=1),"",$W681-(COUNTIFS($A$14:$A$1213,$A681,$F$14:$F$1213,"&gt;=0")+1)/2)</f>
        <v/>
      </c>
      <c r="Z681" s="27">
        <f>IF(ISNUMBER($V681),$A681&amp;"|"&amp;$V681,"")</f>
        <v/>
      </c>
      <c r="AA681" s="27">
        <f>IF(ISNUMBER($W681),$A681&amp;"|"&amp;$W681,"")</f>
        <v/>
      </c>
      <c r="AB681" s="27">
        <f>IF(ISNUMBER($F681),$A681&amp;"|"&amp;$F681,"")</f>
        <v/>
      </c>
      <c r="AC681" s="27">
        <f>IF(ISNUMBER($P681),COUNTIFS($A$14:$A$1213,$A681,$P$14:$P$1213,"&gt;"&amp;$P681)+(COUNTIFS($A$14:$A$1213,$A681,$P$14:$P$1213,"="&amp;$P681)+1)/2,"")</f>
        <v/>
      </c>
      <c r="AD681" s="27">
        <f>IF(ISNUMBER($Q681),COUNTIFS($A$14:$A$1213,$A681,$Q$14:$Q$1213,"&gt;"&amp;$Q681)+(COUNTIFS($A$14:$A$1213,$A681,$Q$14:$Q$1213,"="&amp;$Q681)+1)/2,"")</f>
        <v/>
      </c>
      <c r="AE681" s="27">
        <f>IF(ISNUMBER($R681),COUNTIFS($A$14:$A$1213,$A681,$R$14:$R$1213,"&gt;"&amp;$R681)+(COUNTIFS($A$14:$A$1213,$A681,$R$14:$R$1213,"="&amp;$R681)+1)/2,"")</f>
        <v/>
      </c>
      <c r="AF681" s="27">
        <f>IF(ISNUMBER($S681),COUNTIFS($A$14:$A$1213,$A681,$S$14:$S$1213,"&gt;"&amp;$S681)+(COUNTIFS($A$14:$A$1213,$A681,$S$14:$S$1213,"="&amp;$S681)+1)/2,"")</f>
        <v/>
      </c>
      <c r="AG681" s="27">
        <f>IF(ISNUMBER($T681),COUNTIFS($A$14:$A$1213,$A681,$T$14:$T$1213,"&gt;"&amp;$T681)+(COUNTIFS($A$14:$A$1213,$A681,$T$14:$T$1213,"="&amp;$T681)+1)/2,"")</f>
        <v/>
      </c>
      <c r="AH681" s="27">
        <f>IF(COUNT($AC681:$AG681)&lt;2,"",IF(MAX($AC681:$AG681)=MIN($AC681:$AG681),0,1))</f>
        <v/>
      </c>
      <c r="AI681" s="27">
        <f>IF($A681="","",IF(COUNTIF($A$14:$A681,$A681)=1,COUNTIF($AI$13:AI680,"&gt;0")+1,""))</f>
        <v/>
      </c>
      <c r="AO681" s="27">
        <f>IF($A681="","",IF(AND(COUNTIFS($A$14:$A$1213,$A681,$F$14:$F$1213,"&gt;=0")=2,IFERROR(INDEX($M$14:$M$313,MATCH($A681,$H$14:$H$313,0)),"Yes")&lt;&gt;"Yes"),1,0))</f>
        <v/>
      </c>
    </row>
    <row r="682">
      <c r="A682" s="19" t="n"/>
      <c r="B682" s="20" t="n"/>
      <c r="C682" s="21">
        <f>IFERROR(AVERAGE(P682:T682),"")</f>
        <v/>
      </c>
      <c r="D682" s="29" t="n"/>
      <c r="E682" s="29" t="n"/>
      <c r="F682" s="30">
        <f>IF(AND(ISNUMBER($D682),ISNUMBER($E682),$E682&gt;0,$D682&lt;=$E682),$D682/$E682,"")</f>
        <v/>
      </c>
      <c r="P682" s="26" t="n"/>
      <c r="Q682" s="26" t="n"/>
      <c r="R682" s="26" t="n"/>
      <c r="S682" s="26" t="n"/>
      <c r="T682" s="26" t="n"/>
      <c r="V682" s="27">
        <f>IF(ISNUMBER($C682),COUNTIFS($A$14:$A$1213,$A682,$C$14:$C$1213,"&gt;"&amp;$C682)+(COUNTIFS($A$14:$A$1213,$A682,$C$14:$C$1213,"="&amp;$C682)+1)/2,"")</f>
        <v/>
      </c>
      <c r="W682" s="27">
        <f>IF(ISNUMBER($F682),COUNTIFS($A$14:$A$1213,$A682,$F$14:$F$1213,"&gt;"&amp;$F682)+(COUNTIFS($A$14:$A$1213,$A682,$F$14:$F$1213,"="&amp;$F682)+1)/2,"")</f>
        <v/>
      </c>
      <c r="X682" s="27">
        <f>IF(OR(NOT(ISNUMBER($V682)),$AO682=1),"",$V682-(COUNTIFS($A$14:$A$1213,$A682,$C$14:$C$1213,"&gt;=0")+1)/2)</f>
        <v/>
      </c>
      <c r="Y682" s="27">
        <f>IF(OR(NOT(ISNUMBER($W682)),$AO682=1),"",$W682-(COUNTIFS($A$14:$A$1213,$A682,$F$14:$F$1213,"&gt;=0")+1)/2)</f>
        <v/>
      </c>
      <c r="Z682" s="27">
        <f>IF(ISNUMBER($V682),$A682&amp;"|"&amp;$V682,"")</f>
        <v/>
      </c>
      <c r="AA682" s="27">
        <f>IF(ISNUMBER($W682),$A682&amp;"|"&amp;$W682,"")</f>
        <v/>
      </c>
      <c r="AB682" s="27">
        <f>IF(ISNUMBER($F682),$A682&amp;"|"&amp;$F682,"")</f>
        <v/>
      </c>
      <c r="AC682" s="27">
        <f>IF(ISNUMBER($P682),COUNTIFS($A$14:$A$1213,$A682,$P$14:$P$1213,"&gt;"&amp;$P682)+(COUNTIFS($A$14:$A$1213,$A682,$P$14:$P$1213,"="&amp;$P682)+1)/2,"")</f>
        <v/>
      </c>
      <c r="AD682" s="27">
        <f>IF(ISNUMBER($Q682),COUNTIFS($A$14:$A$1213,$A682,$Q$14:$Q$1213,"&gt;"&amp;$Q682)+(COUNTIFS($A$14:$A$1213,$A682,$Q$14:$Q$1213,"="&amp;$Q682)+1)/2,"")</f>
        <v/>
      </c>
      <c r="AE682" s="27">
        <f>IF(ISNUMBER($R682),COUNTIFS($A$14:$A$1213,$A682,$R$14:$R$1213,"&gt;"&amp;$R682)+(COUNTIFS($A$14:$A$1213,$A682,$R$14:$R$1213,"="&amp;$R682)+1)/2,"")</f>
        <v/>
      </c>
      <c r="AF682" s="27">
        <f>IF(ISNUMBER($S682),COUNTIFS($A$14:$A$1213,$A682,$S$14:$S$1213,"&gt;"&amp;$S682)+(COUNTIFS($A$14:$A$1213,$A682,$S$14:$S$1213,"="&amp;$S682)+1)/2,"")</f>
        <v/>
      </c>
      <c r="AG682" s="27">
        <f>IF(ISNUMBER($T682),COUNTIFS($A$14:$A$1213,$A682,$T$14:$T$1213,"&gt;"&amp;$T682)+(COUNTIFS($A$14:$A$1213,$A682,$T$14:$T$1213,"="&amp;$T682)+1)/2,"")</f>
        <v/>
      </c>
      <c r="AH682" s="27">
        <f>IF(COUNT($AC682:$AG682)&lt;2,"",IF(MAX($AC682:$AG682)=MIN($AC682:$AG682),0,1))</f>
        <v/>
      </c>
      <c r="AI682" s="27">
        <f>IF($A682="","",IF(COUNTIF($A$14:$A682,$A682)=1,COUNTIF($AI$13:AI681,"&gt;0")+1,""))</f>
        <v/>
      </c>
      <c r="AO682" s="27">
        <f>IF($A682="","",IF(AND(COUNTIFS($A$14:$A$1213,$A682,$F$14:$F$1213,"&gt;=0")=2,IFERROR(INDEX($M$14:$M$313,MATCH($A682,$H$14:$H$313,0)),"Yes")&lt;&gt;"Yes"),1,0))</f>
        <v/>
      </c>
    </row>
    <row r="683">
      <c r="A683" s="19" t="n"/>
      <c r="B683" s="20" t="n"/>
      <c r="C683" s="21">
        <f>IFERROR(AVERAGE(P683:T683),"")</f>
        <v/>
      </c>
      <c r="D683" s="29" t="n"/>
      <c r="E683" s="29" t="n"/>
      <c r="F683" s="30">
        <f>IF(AND(ISNUMBER($D683),ISNUMBER($E683),$E683&gt;0,$D683&lt;=$E683),$D683/$E683,"")</f>
        <v/>
      </c>
      <c r="P683" s="26" t="n"/>
      <c r="Q683" s="26" t="n"/>
      <c r="R683" s="26" t="n"/>
      <c r="S683" s="26" t="n"/>
      <c r="T683" s="26" t="n"/>
      <c r="V683" s="27">
        <f>IF(ISNUMBER($C683),COUNTIFS($A$14:$A$1213,$A683,$C$14:$C$1213,"&gt;"&amp;$C683)+(COUNTIFS($A$14:$A$1213,$A683,$C$14:$C$1213,"="&amp;$C683)+1)/2,"")</f>
        <v/>
      </c>
      <c r="W683" s="27">
        <f>IF(ISNUMBER($F683),COUNTIFS($A$14:$A$1213,$A683,$F$14:$F$1213,"&gt;"&amp;$F683)+(COUNTIFS($A$14:$A$1213,$A683,$F$14:$F$1213,"="&amp;$F683)+1)/2,"")</f>
        <v/>
      </c>
      <c r="X683" s="27">
        <f>IF(OR(NOT(ISNUMBER($V683)),$AO683=1),"",$V683-(COUNTIFS($A$14:$A$1213,$A683,$C$14:$C$1213,"&gt;=0")+1)/2)</f>
        <v/>
      </c>
      <c r="Y683" s="27">
        <f>IF(OR(NOT(ISNUMBER($W683)),$AO683=1),"",$W683-(COUNTIFS($A$14:$A$1213,$A683,$F$14:$F$1213,"&gt;=0")+1)/2)</f>
        <v/>
      </c>
      <c r="Z683" s="27">
        <f>IF(ISNUMBER($V683),$A683&amp;"|"&amp;$V683,"")</f>
        <v/>
      </c>
      <c r="AA683" s="27">
        <f>IF(ISNUMBER($W683),$A683&amp;"|"&amp;$W683,"")</f>
        <v/>
      </c>
      <c r="AB683" s="27">
        <f>IF(ISNUMBER($F683),$A683&amp;"|"&amp;$F683,"")</f>
        <v/>
      </c>
      <c r="AC683" s="27">
        <f>IF(ISNUMBER($P683),COUNTIFS($A$14:$A$1213,$A683,$P$14:$P$1213,"&gt;"&amp;$P683)+(COUNTIFS($A$14:$A$1213,$A683,$P$14:$P$1213,"="&amp;$P683)+1)/2,"")</f>
        <v/>
      </c>
      <c r="AD683" s="27">
        <f>IF(ISNUMBER($Q683),COUNTIFS($A$14:$A$1213,$A683,$Q$14:$Q$1213,"&gt;"&amp;$Q683)+(COUNTIFS($A$14:$A$1213,$A683,$Q$14:$Q$1213,"="&amp;$Q683)+1)/2,"")</f>
        <v/>
      </c>
      <c r="AE683" s="27">
        <f>IF(ISNUMBER($R683),COUNTIFS($A$14:$A$1213,$A683,$R$14:$R$1213,"&gt;"&amp;$R683)+(COUNTIFS($A$14:$A$1213,$A683,$R$14:$R$1213,"="&amp;$R683)+1)/2,"")</f>
        <v/>
      </c>
      <c r="AF683" s="27">
        <f>IF(ISNUMBER($S683),COUNTIFS($A$14:$A$1213,$A683,$S$14:$S$1213,"&gt;"&amp;$S683)+(COUNTIFS($A$14:$A$1213,$A683,$S$14:$S$1213,"="&amp;$S683)+1)/2,"")</f>
        <v/>
      </c>
      <c r="AG683" s="27">
        <f>IF(ISNUMBER($T683),COUNTIFS($A$14:$A$1213,$A683,$T$14:$T$1213,"&gt;"&amp;$T683)+(COUNTIFS($A$14:$A$1213,$A683,$T$14:$T$1213,"="&amp;$T683)+1)/2,"")</f>
        <v/>
      </c>
      <c r="AH683" s="27">
        <f>IF(COUNT($AC683:$AG683)&lt;2,"",IF(MAX($AC683:$AG683)=MIN($AC683:$AG683),0,1))</f>
        <v/>
      </c>
      <c r="AI683" s="27">
        <f>IF($A683="","",IF(COUNTIF($A$14:$A683,$A683)=1,COUNTIF($AI$13:AI682,"&gt;0")+1,""))</f>
        <v/>
      </c>
      <c r="AO683" s="27">
        <f>IF($A683="","",IF(AND(COUNTIFS($A$14:$A$1213,$A683,$F$14:$F$1213,"&gt;=0")=2,IFERROR(INDEX($M$14:$M$313,MATCH($A683,$H$14:$H$313,0)),"Yes")&lt;&gt;"Yes"),1,0))</f>
        <v/>
      </c>
    </row>
    <row r="684">
      <c r="A684" s="19" t="n"/>
      <c r="B684" s="20" t="n"/>
      <c r="C684" s="21">
        <f>IFERROR(AVERAGE(P684:T684),"")</f>
        <v/>
      </c>
      <c r="D684" s="29" t="n"/>
      <c r="E684" s="29" t="n"/>
      <c r="F684" s="30">
        <f>IF(AND(ISNUMBER($D684),ISNUMBER($E684),$E684&gt;0,$D684&lt;=$E684),$D684/$E684,"")</f>
        <v/>
      </c>
      <c r="P684" s="26" t="n"/>
      <c r="Q684" s="26" t="n"/>
      <c r="R684" s="26" t="n"/>
      <c r="S684" s="26" t="n"/>
      <c r="T684" s="26" t="n"/>
      <c r="V684" s="27">
        <f>IF(ISNUMBER($C684),COUNTIFS($A$14:$A$1213,$A684,$C$14:$C$1213,"&gt;"&amp;$C684)+(COUNTIFS($A$14:$A$1213,$A684,$C$14:$C$1213,"="&amp;$C684)+1)/2,"")</f>
        <v/>
      </c>
      <c r="W684" s="27">
        <f>IF(ISNUMBER($F684),COUNTIFS($A$14:$A$1213,$A684,$F$14:$F$1213,"&gt;"&amp;$F684)+(COUNTIFS($A$14:$A$1213,$A684,$F$14:$F$1213,"="&amp;$F684)+1)/2,"")</f>
        <v/>
      </c>
      <c r="X684" s="27">
        <f>IF(OR(NOT(ISNUMBER($V684)),$AO684=1),"",$V684-(COUNTIFS($A$14:$A$1213,$A684,$C$14:$C$1213,"&gt;=0")+1)/2)</f>
        <v/>
      </c>
      <c r="Y684" s="27">
        <f>IF(OR(NOT(ISNUMBER($W684)),$AO684=1),"",$W684-(COUNTIFS($A$14:$A$1213,$A684,$F$14:$F$1213,"&gt;=0")+1)/2)</f>
        <v/>
      </c>
      <c r="Z684" s="27">
        <f>IF(ISNUMBER($V684),$A684&amp;"|"&amp;$V684,"")</f>
        <v/>
      </c>
      <c r="AA684" s="27">
        <f>IF(ISNUMBER($W684),$A684&amp;"|"&amp;$W684,"")</f>
        <v/>
      </c>
      <c r="AB684" s="27">
        <f>IF(ISNUMBER($F684),$A684&amp;"|"&amp;$F684,"")</f>
        <v/>
      </c>
      <c r="AC684" s="27">
        <f>IF(ISNUMBER($P684),COUNTIFS($A$14:$A$1213,$A684,$P$14:$P$1213,"&gt;"&amp;$P684)+(COUNTIFS($A$14:$A$1213,$A684,$P$14:$P$1213,"="&amp;$P684)+1)/2,"")</f>
        <v/>
      </c>
      <c r="AD684" s="27">
        <f>IF(ISNUMBER($Q684),COUNTIFS($A$14:$A$1213,$A684,$Q$14:$Q$1213,"&gt;"&amp;$Q684)+(COUNTIFS($A$14:$A$1213,$A684,$Q$14:$Q$1213,"="&amp;$Q684)+1)/2,"")</f>
        <v/>
      </c>
      <c r="AE684" s="27">
        <f>IF(ISNUMBER($R684),COUNTIFS($A$14:$A$1213,$A684,$R$14:$R$1213,"&gt;"&amp;$R684)+(COUNTIFS($A$14:$A$1213,$A684,$R$14:$R$1213,"="&amp;$R684)+1)/2,"")</f>
        <v/>
      </c>
      <c r="AF684" s="27">
        <f>IF(ISNUMBER($S684),COUNTIFS($A$14:$A$1213,$A684,$S$14:$S$1213,"&gt;"&amp;$S684)+(COUNTIFS($A$14:$A$1213,$A684,$S$14:$S$1213,"="&amp;$S684)+1)/2,"")</f>
        <v/>
      </c>
      <c r="AG684" s="27">
        <f>IF(ISNUMBER($T684),COUNTIFS($A$14:$A$1213,$A684,$T$14:$T$1213,"&gt;"&amp;$T684)+(COUNTIFS($A$14:$A$1213,$A684,$T$14:$T$1213,"="&amp;$T684)+1)/2,"")</f>
        <v/>
      </c>
      <c r="AH684" s="27">
        <f>IF(COUNT($AC684:$AG684)&lt;2,"",IF(MAX($AC684:$AG684)=MIN($AC684:$AG684),0,1))</f>
        <v/>
      </c>
      <c r="AI684" s="27">
        <f>IF($A684="","",IF(COUNTIF($A$14:$A684,$A684)=1,COUNTIF($AI$13:AI683,"&gt;0")+1,""))</f>
        <v/>
      </c>
      <c r="AO684" s="27">
        <f>IF($A684="","",IF(AND(COUNTIFS($A$14:$A$1213,$A684,$F$14:$F$1213,"&gt;=0")=2,IFERROR(INDEX($M$14:$M$313,MATCH($A684,$H$14:$H$313,0)),"Yes")&lt;&gt;"Yes"),1,0))</f>
        <v/>
      </c>
    </row>
    <row r="685">
      <c r="A685" s="19" t="n"/>
      <c r="B685" s="20" t="n"/>
      <c r="C685" s="21">
        <f>IFERROR(AVERAGE(P685:T685),"")</f>
        <v/>
      </c>
      <c r="D685" s="29" t="n"/>
      <c r="E685" s="29" t="n"/>
      <c r="F685" s="30">
        <f>IF(AND(ISNUMBER($D685),ISNUMBER($E685),$E685&gt;0,$D685&lt;=$E685),$D685/$E685,"")</f>
        <v/>
      </c>
      <c r="P685" s="26" t="n"/>
      <c r="Q685" s="26" t="n"/>
      <c r="R685" s="26" t="n"/>
      <c r="S685" s="26" t="n"/>
      <c r="T685" s="26" t="n"/>
      <c r="V685" s="27">
        <f>IF(ISNUMBER($C685),COUNTIFS($A$14:$A$1213,$A685,$C$14:$C$1213,"&gt;"&amp;$C685)+(COUNTIFS($A$14:$A$1213,$A685,$C$14:$C$1213,"="&amp;$C685)+1)/2,"")</f>
        <v/>
      </c>
      <c r="W685" s="27">
        <f>IF(ISNUMBER($F685),COUNTIFS($A$14:$A$1213,$A685,$F$14:$F$1213,"&gt;"&amp;$F685)+(COUNTIFS($A$14:$A$1213,$A685,$F$14:$F$1213,"="&amp;$F685)+1)/2,"")</f>
        <v/>
      </c>
      <c r="X685" s="27">
        <f>IF(OR(NOT(ISNUMBER($V685)),$AO685=1),"",$V685-(COUNTIFS($A$14:$A$1213,$A685,$C$14:$C$1213,"&gt;=0")+1)/2)</f>
        <v/>
      </c>
      <c r="Y685" s="27">
        <f>IF(OR(NOT(ISNUMBER($W685)),$AO685=1),"",$W685-(COUNTIFS($A$14:$A$1213,$A685,$F$14:$F$1213,"&gt;=0")+1)/2)</f>
        <v/>
      </c>
      <c r="Z685" s="27">
        <f>IF(ISNUMBER($V685),$A685&amp;"|"&amp;$V685,"")</f>
        <v/>
      </c>
      <c r="AA685" s="27">
        <f>IF(ISNUMBER($W685),$A685&amp;"|"&amp;$W685,"")</f>
        <v/>
      </c>
      <c r="AB685" s="27">
        <f>IF(ISNUMBER($F685),$A685&amp;"|"&amp;$F685,"")</f>
        <v/>
      </c>
      <c r="AC685" s="27">
        <f>IF(ISNUMBER($P685),COUNTIFS($A$14:$A$1213,$A685,$P$14:$P$1213,"&gt;"&amp;$P685)+(COUNTIFS($A$14:$A$1213,$A685,$P$14:$P$1213,"="&amp;$P685)+1)/2,"")</f>
        <v/>
      </c>
      <c r="AD685" s="27">
        <f>IF(ISNUMBER($Q685),COUNTIFS($A$14:$A$1213,$A685,$Q$14:$Q$1213,"&gt;"&amp;$Q685)+(COUNTIFS($A$14:$A$1213,$A685,$Q$14:$Q$1213,"="&amp;$Q685)+1)/2,"")</f>
        <v/>
      </c>
      <c r="AE685" s="27">
        <f>IF(ISNUMBER($R685),COUNTIFS($A$14:$A$1213,$A685,$R$14:$R$1213,"&gt;"&amp;$R685)+(COUNTIFS($A$14:$A$1213,$A685,$R$14:$R$1213,"="&amp;$R685)+1)/2,"")</f>
        <v/>
      </c>
      <c r="AF685" s="27">
        <f>IF(ISNUMBER($S685),COUNTIFS($A$14:$A$1213,$A685,$S$14:$S$1213,"&gt;"&amp;$S685)+(COUNTIFS($A$14:$A$1213,$A685,$S$14:$S$1213,"="&amp;$S685)+1)/2,"")</f>
        <v/>
      </c>
      <c r="AG685" s="27">
        <f>IF(ISNUMBER($T685),COUNTIFS($A$14:$A$1213,$A685,$T$14:$T$1213,"&gt;"&amp;$T685)+(COUNTIFS($A$14:$A$1213,$A685,$T$14:$T$1213,"="&amp;$T685)+1)/2,"")</f>
        <v/>
      </c>
      <c r="AH685" s="27">
        <f>IF(COUNT($AC685:$AG685)&lt;2,"",IF(MAX($AC685:$AG685)=MIN($AC685:$AG685),0,1))</f>
        <v/>
      </c>
      <c r="AI685" s="27">
        <f>IF($A685="","",IF(COUNTIF($A$14:$A685,$A685)=1,COUNTIF($AI$13:AI684,"&gt;0")+1,""))</f>
        <v/>
      </c>
      <c r="AO685" s="27">
        <f>IF($A685="","",IF(AND(COUNTIFS($A$14:$A$1213,$A685,$F$14:$F$1213,"&gt;=0")=2,IFERROR(INDEX($M$14:$M$313,MATCH($A685,$H$14:$H$313,0)),"Yes")&lt;&gt;"Yes"),1,0))</f>
        <v/>
      </c>
    </row>
    <row r="686">
      <c r="A686" s="19" t="n"/>
      <c r="B686" s="20" t="n"/>
      <c r="C686" s="21">
        <f>IFERROR(AVERAGE(P686:T686),"")</f>
        <v/>
      </c>
      <c r="D686" s="29" t="n"/>
      <c r="E686" s="29" t="n"/>
      <c r="F686" s="30">
        <f>IF(AND(ISNUMBER($D686),ISNUMBER($E686),$E686&gt;0,$D686&lt;=$E686),$D686/$E686,"")</f>
        <v/>
      </c>
      <c r="P686" s="26" t="n"/>
      <c r="Q686" s="26" t="n"/>
      <c r="R686" s="26" t="n"/>
      <c r="S686" s="26" t="n"/>
      <c r="T686" s="26" t="n"/>
      <c r="V686" s="27">
        <f>IF(ISNUMBER($C686),COUNTIFS($A$14:$A$1213,$A686,$C$14:$C$1213,"&gt;"&amp;$C686)+(COUNTIFS($A$14:$A$1213,$A686,$C$14:$C$1213,"="&amp;$C686)+1)/2,"")</f>
        <v/>
      </c>
      <c r="W686" s="27">
        <f>IF(ISNUMBER($F686),COUNTIFS($A$14:$A$1213,$A686,$F$14:$F$1213,"&gt;"&amp;$F686)+(COUNTIFS($A$14:$A$1213,$A686,$F$14:$F$1213,"="&amp;$F686)+1)/2,"")</f>
        <v/>
      </c>
      <c r="X686" s="27">
        <f>IF(OR(NOT(ISNUMBER($V686)),$AO686=1),"",$V686-(COUNTIFS($A$14:$A$1213,$A686,$C$14:$C$1213,"&gt;=0")+1)/2)</f>
        <v/>
      </c>
      <c r="Y686" s="27">
        <f>IF(OR(NOT(ISNUMBER($W686)),$AO686=1),"",$W686-(COUNTIFS($A$14:$A$1213,$A686,$F$14:$F$1213,"&gt;=0")+1)/2)</f>
        <v/>
      </c>
      <c r="Z686" s="27">
        <f>IF(ISNUMBER($V686),$A686&amp;"|"&amp;$V686,"")</f>
        <v/>
      </c>
      <c r="AA686" s="27">
        <f>IF(ISNUMBER($W686),$A686&amp;"|"&amp;$W686,"")</f>
        <v/>
      </c>
      <c r="AB686" s="27">
        <f>IF(ISNUMBER($F686),$A686&amp;"|"&amp;$F686,"")</f>
        <v/>
      </c>
      <c r="AC686" s="27">
        <f>IF(ISNUMBER($P686),COUNTIFS($A$14:$A$1213,$A686,$P$14:$P$1213,"&gt;"&amp;$P686)+(COUNTIFS($A$14:$A$1213,$A686,$P$14:$P$1213,"="&amp;$P686)+1)/2,"")</f>
        <v/>
      </c>
      <c r="AD686" s="27">
        <f>IF(ISNUMBER($Q686),COUNTIFS($A$14:$A$1213,$A686,$Q$14:$Q$1213,"&gt;"&amp;$Q686)+(COUNTIFS($A$14:$A$1213,$A686,$Q$14:$Q$1213,"="&amp;$Q686)+1)/2,"")</f>
        <v/>
      </c>
      <c r="AE686" s="27">
        <f>IF(ISNUMBER($R686),COUNTIFS($A$14:$A$1213,$A686,$R$14:$R$1213,"&gt;"&amp;$R686)+(COUNTIFS($A$14:$A$1213,$A686,$R$14:$R$1213,"="&amp;$R686)+1)/2,"")</f>
        <v/>
      </c>
      <c r="AF686" s="27">
        <f>IF(ISNUMBER($S686),COUNTIFS($A$14:$A$1213,$A686,$S$14:$S$1213,"&gt;"&amp;$S686)+(COUNTIFS($A$14:$A$1213,$A686,$S$14:$S$1213,"="&amp;$S686)+1)/2,"")</f>
        <v/>
      </c>
      <c r="AG686" s="27">
        <f>IF(ISNUMBER($T686),COUNTIFS($A$14:$A$1213,$A686,$T$14:$T$1213,"&gt;"&amp;$T686)+(COUNTIFS($A$14:$A$1213,$A686,$T$14:$T$1213,"="&amp;$T686)+1)/2,"")</f>
        <v/>
      </c>
      <c r="AH686" s="27">
        <f>IF(COUNT($AC686:$AG686)&lt;2,"",IF(MAX($AC686:$AG686)=MIN($AC686:$AG686),0,1))</f>
        <v/>
      </c>
      <c r="AI686" s="27">
        <f>IF($A686="","",IF(COUNTIF($A$14:$A686,$A686)=1,COUNTIF($AI$13:AI685,"&gt;0")+1,""))</f>
        <v/>
      </c>
      <c r="AO686" s="27">
        <f>IF($A686="","",IF(AND(COUNTIFS($A$14:$A$1213,$A686,$F$14:$F$1213,"&gt;=0")=2,IFERROR(INDEX($M$14:$M$313,MATCH($A686,$H$14:$H$313,0)),"Yes")&lt;&gt;"Yes"),1,0))</f>
        <v/>
      </c>
    </row>
    <row r="687">
      <c r="A687" s="19" t="n"/>
      <c r="B687" s="20" t="n"/>
      <c r="C687" s="21">
        <f>IFERROR(AVERAGE(P687:T687),"")</f>
        <v/>
      </c>
      <c r="D687" s="29" t="n"/>
      <c r="E687" s="29" t="n"/>
      <c r="F687" s="30">
        <f>IF(AND(ISNUMBER($D687),ISNUMBER($E687),$E687&gt;0,$D687&lt;=$E687),$D687/$E687,"")</f>
        <v/>
      </c>
      <c r="P687" s="26" t="n"/>
      <c r="Q687" s="26" t="n"/>
      <c r="R687" s="26" t="n"/>
      <c r="S687" s="26" t="n"/>
      <c r="T687" s="26" t="n"/>
      <c r="V687" s="27">
        <f>IF(ISNUMBER($C687),COUNTIFS($A$14:$A$1213,$A687,$C$14:$C$1213,"&gt;"&amp;$C687)+(COUNTIFS($A$14:$A$1213,$A687,$C$14:$C$1213,"="&amp;$C687)+1)/2,"")</f>
        <v/>
      </c>
      <c r="W687" s="27">
        <f>IF(ISNUMBER($F687),COUNTIFS($A$14:$A$1213,$A687,$F$14:$F$1213,"&gt;"&amp;$F687)+(COUNTIFS($A$14:$A$1213,$A687,$F$14:$F$1213,"="&amp;$F687)+1)/2,"")</f>
        <v/>
      </c>
      <c r="X687" s="27">
        <f>IF(OR(NOT(ISNUMBER($V687)),$AO687=1),"",$V687-(COUNTIFS($A$14:$A$1213,$A687,$C$14:$C$1213,"&gt;=0")+1)/2)</f>
        <v/>
      </c>
      <c r="Y687" s="27">
        <f>IF(OR(NOT(ISNUMBER($W687)),$AO687=1),"",$W687-(COUNTIFS($A$14:$A$1213,$A687,$F$14:$F$1213,"&gt;=0")+1)/2)</f>
        <v/>
      </c>
      <c r="Z687" s="27">
        <f>IF(ISNUMBER($V687),$A687&amp;"|"&amp;$V687,"")</f>
        <v/>
      </c>
      <c r="AA687" s="27">
        <f>IF(ISNUMBER($W687),$A687&amp;"|"&amp;$W687,"")</f>
        <v/>
      </c>
      <c r="AB687" s="27">
        <f>IF(ISNUMBER($F687),$A687&amp;"|"&amp;$F687,"")</f>
        <v/>
      </c>
      <c r="AC687" s="27">
        <f>IF(ISNUMBER($P687),COUNTIFS($A$14:$A$1213,$A687,$P$14:$P$1213,"&gt;"&amp;$P687)+(COUNTIFS($A$14:$A$1213,$A687,$P$14:$P$1213,"="&amp;$P687)+1)/2,"")</f>
        <v/>
      </c>
      <c r="AD687" s="27">
        <f>IF(ISNUMBER($Q687),COUNTIFS($A$14:$A$1213,$A687,$Q$14:$Q$1213,"&gt;"&amp;$Q687)+(COUNTIFS($A$14:$A$1213,$A687,$Q$14:$Q$1213,"="&amp;$Q687)+1)/2,"")</f>
        <v/>
      </c>
      <c r="AE687" s="27">
        <f>IF(ISNUMBER($R687),COUNTIFS($A$14:$A$1213,$A687,$R$14:$R$1213,"&gt;"&amp;$R687)+(COUNTIFS($A$14:$A$1213,$A687,$R$14:$R$1213,"="&amp;$R687)+1)/2,"")</f>
        <v/>
      </c>
      <c r="AF687" s="27">
        <f>IF(ISNUMBER($S687),COUNTIFS($A$14:$A$1213,$A687,$S$14:$S$1213,"&gt;"&amp;$S687)+(COUNTIFS($A$14:$A$1213,$A687,$S$14:$S$1213,"="&amp;$S687)+1)/2,"")</f>
        <v/>
      </c>
      <c r="AG687" s="27">
        <f>IF(ISNUMBER($T687),COUNTIFS($A$14:$A$1213,$A687,$T$14:$T$1213,"&gt;"&amp;$T687)+(COUNTIFS($A$14:$A$1213,$A687,$T$14:$T$1213,"="&amp;$T687)+1)/2,"")</f>
        <v/>
      </c>
      <c r="AH687" s="27">
        <f>IF(COUNT($AC687:$AG687)&lt;2,"",IF(MAX($AC687:$AG687)=MIN($AC687:$AG687),0,1))</f>
        <v/>
      </c>
      <c r="AI687" s="27">
        <f>IF($A687="","",IF(COUNTIF($A$14:$A687,$A687)=1,COUNTIF($AI$13:AI686,"&gt;0")+1,""))</f>
        <v/>
      </c>
      <c r="AO687" s="27">
        <f>IF($A687="","",IF(AND(COUNTIFS($A$14:$A$1213,$A687,$F$14:$F$1213,"&gt;=0")=2,IFERROR(INDEX($M$14:$M$313,MATCH($A687,$H$14:$H$313,0)),"Yes")&lt;&gt;"Yes"),1,0))</f>
        <v/>
      </c>
    </row>
    <row r="688">
      <c r="A688" s="19" t="n"/>
      <c r="B688" s="20" t="n"/>
      <c r="C688" s="21">
        <f>IFERROR(AVERAGE(P688:T688),"")</f>
        <v/>
      </c>
      <c r="D688" s="29" t="n"/>
      <c r="E688" s="29" t="n"/>
      <c r="F688" s="30">
        <f>IF(AND(ISNUMBER($D688),ISNUMBER($E688),$E688&gt;0,$D688&lt;=$E688),$D688/$E688,"")</f>
        <v/>
      </c>
      <c r="P688" s="26" t="n"/>
      <c r="Q688" s="26" t="n"/>
      <c r="R688" s="26" t="n"/>
      <c r="S688" s="26" t="n"/>
      <c r="T688" s="26" t="n"/>
      <c r="V688" s="27">
        <f>IF(ISNUMBER($C688),COUNTIFS($A$14:$A$1213,$A688,$C$14:$C$1213,"&gt;"&amp;$C688)+(COUNTIFS($A$14:$A$1213,$A688,$C$14:$C$1213,"="&amp;$C688)+1)/2,"")</f>
        <v/>
      </c>
      <c r="W688" s="27">
        <f>IF(ISNUMBER($F688),COUNTIFS($A$14:$A$1213,$A688,$F$14:$F$1213,"&gt;"&amp;$F688)+(COUNTIFS($A$14:$A$1213,$A688,$F$14:$F$1213,"="&amp;$F688)+1)/2,"")</f>
        <v/>
      </c>
      <c r="X688" s="27">
        <f>IF(OR(NOT(ISNUMBER($V688)),$AO688=1),"",$V688-(COUNTIFS($A$14:$A$1213,$A688,$C$14:$C$1213,"&gt;=0")+1)/2)</f>
        <v/>
      </c>
      <c r="Y688" s="27">
        <f>IF(OR(NOT(ISNUMBER($W688)),$AO688=1),"",$W688-(COUNTIFS($A$14:$A$1213,$A688,$F$14:$F$1213,"&gt;=0")+1)/2)</f>
        <v/>
      </c>
      <c r="Z688" s="27">
        <f>IF(ISNUMBER($V688),$A688&amp;"|"&amp;$V688,"")</f>
        <v/>
      </c>
      <c r="AA688" s="27">
        <f>IF(ISNUMBER($W688),$A688&amp;"|"&amp;$W688,"")</f>
        <v/>
      </c>
      <c r="AB688" s="27">
        <f>IF(ISNUMBER($F688),$A688&amp;"|"&amp;$F688,"")</f>
        <v/>
      </c>
      <c r="AC688" s="27">
        <f>IF(ISNUMBER($P688),COUNTIFS($A$14:$A$1213,$A688,$P$14:$P$1213,"&gt;"&amp;$P688)+(COUNTIFS($A$14:$A$1213,$A688,$P$14:$P$1213,"="&amp;$P688)+1)/2,"")</f>
        <v/>
      </c>
      <c r="AD688" s="27">
        <f>IF(ISNUMBER($Q688),COUNTIFS($A$14:$A$1213,$A688,$Q$14:$Q$1213,"&gt;"&amp;$Q688)+(COUNTIFS($A$14:$A$1213,$A688,$Q$14:$Q$1213,"="&amp;$Q688)+1)/2,"")</f>
        <v/>
      </c>
      <c r="AE688" s="27">
        <f>IF(ISNUMBER($R688),COUNTIFS($A$14:$A$1213,$A688,$R$14:$R$1213,"&gt;"&amp;$R688)+(COUNTIFS($A$14:$A$1213,$A688,$R$14:$R$1213,"="&amp;$R688)+1)/2,"")</f>
        <v/>
      </c>
      <c r="AF688" s="27">
        <f>IF(ISNUMBER($S688),COUNTIFS($A$14:$A$1213,$A688,$S$14:$S$1213,"&gt;"&amp;$S688)+(COUNTIFS($A$14:$A$1213,$A688,$S$14:$S$1213,"="&amp;$S688)+1)/2,"")</f>
        <v/>
      </c>
      <c r="AG688" s="27">
        <f>IF(ISNUMBER($T688),COUNTIFS($A$14:$A$1213,$A688,$T$14:$T$1213,"&gt;"&amp;$T688)+(COUNTIFS($A$14:$A$1213,$A688,$T$14:$T$1213,"="&amp;$T688)+1)/2,"")</f>
        <v/>
      </c>
      <c r="AH688" s="27">
        <f>IF(COUNT($AC688:$AG688)&lt;2,"",IF(MAX($AC688:$AG688)=MIN($AC688:$AG688),0,1))</f>
        <v/>
      </c>
      <c r="AI688" s="27">
        <f>IF($A688="","",IF(COUNTIF($A$14:$A688,$A688)=1,COUNTIF($AI$13:AI687,"&gt;0")+1,""))</f>
        <v/>
      </c>
      <c r="AO688" s="27">
        <f>IF($A688="","",IF(AND(COUNTIFS($A$14:$A$1213,$A688,$F$14:$F$1213,"&gt;=0")=2,IFERROR(INDEX($M$14:$M$313,MATCH($A688,$H$14:$H$313,0)),"Yes")&lt;&gt;"Yes"),1,0))</f>
        <v/>
      </c>
    </row>
    <row r="689">
      <c r="A689" s="19" t="n"/>
      <c r="B689" s="20" t="n"/>
      <c r="C689" s="21">
        <f>IFERROR(AVERAGE(P689:T689),"")</f>
        <v/>
      </c>
      <c r="D689" s="29" t="n"/>
      <c r="E689" s="29" t="n"/>
      <c r="F689" s="30">
        <f>IF(AND(ISNUMBER($D689),ISNUMBER($E689),$E689&gt;0,$D689&lt;=$E689),$D689/$E689,"")</f>
        <v/>
      </c>
      <c r="P689" s="26" t="n"/>
      <c r="Q689" s="26" t="n"/>
      <c r="R689" s="26" t="n"/>
      <c r="S689" s="26" t="n"/>
      <c r="T689" s="26" t="n"/>
      <c r="V689" s="27">
        <f>IF(ISNUMBER($C689),COUNTIFS($A$14:$A$1213,$A689,$C$14:$C$1213,"&gt;"&amp;$C689)+(COUNTIFS($A$14:$A$1213,$A689,$C$14:$C$1213,"="&amp;$C689)+1)/2,"")</f>
        <v/>
      </c>
      <c r="W689" s="27">
        <f>IF(ISNUMBER($F689),COUNTIFS($A$14:$A$1213,$A689,$F$14:$F$1213,"&gt;"&amp;$F689)+(COUNTIFS($A$14:$A$1213,$A689,$F$14:$F$1213,"="&amp;$F689)+1)/2,"")</f>
        <v/>
      </c>
      <c r="X689" s="27">
        <f>IF(OR(NOT(ISNUMBER($V689)),$AO689=1),"",$V689-(COUNTIFS($A$14:$A$1213,$A689,$C$14:$C$1213,"&gt;=0")+1)/2)</f>
        <v/>
      </c>
      <c r="Y689" s="27">
        <f>IF(OR(NOT(ISNUMBER($W689)),$AO689=1),"",$W689-(COUNTIFS($A$14:$A$1213,$A689,$F$14:$F$1213,"&gt;=0")+1)/2)</f>
        <v/>
      </c>
      <c r="Z689" s="27">
        <f>IF(ISNUMBER($V689),$A689&amp;"|"&amp;$V689,"")</f>
        <v/>
      </c>
      <c r="AA689" s="27">
        <f>IF(ISNUMBER($W689),$A689&amp;"|"&amp;$W689,"")</f>
        <v/>
      </c>
      <c r="AB689" s="27">
        <f>IF(ISNUMBER($F689),$A689&amp;"|"&amp;$F689,"")</f>
        <v/>
      </c>
      <c r="AC689" s="27">
        <f>IF(ISNUMBER($P689),COUNTIFS($A$14:$A$1213,$A689,$P$14:$P$1213,"&gt;"&amp;$P689)+(COUNTIFS($A$14:$A$1213,$A689,$P$14:$P$1213,"="&amp;$P689)+1)/2,"")</f>
        <v/>
      </c>
      <c r="AD689" s="27">
        <f>IF(ISNUMBER($Q689),COUNTIFS($A$14:$A$1213,$A689,$Q$14:$Q$1213,"&gt;"&amp;$Q689)+(COUNTIFS($A$14:$A$1213,$A689,$Q$14:$Q$1213,"="&amp;$Q689)+1)/2,"")</f>
        <v/>
      </c>
      <c r="AE689" s="27">
        <f>IF(ISNUMBER($R689),COUNTIFS($A$14:$A$1213,$A689,$R$14:$R$1213,"&gt;"&amp;$R689)+(COUNTIFS($A$14:$A$1213,$A689,$R$14:$R$1213,"="&amp;$R689)+1)/2,"")</f>
        <v/>
      </c>
      <c r="AF689" s="27">
        <f>IF(ISNUMBER($S689),COUNTIFS($A$14:$A$1213,$A689,$S$14:$S$1213,"&gt;"&amp;$S689)+(COUNTIFS($A$14:$A$1213,$A689,$S$14:$S$1213,"="&amp;$S689)+1)/2,"")</f>
        <v/>
      </c>
      <c r="AG689" s="27">
        <f>IF(ISNUMBER($T689),COUNTIFS($A$14:$A$1213,$A689,$T$14:$T$1213,"&gt;"&amp;$T689)+(COUNTIFS($A$14:$A$1213,$A689,$T$14:$T$1213,"="&amp;$T689)+1)/2,"")</f>
        <v/>
      </c>
      <c r="AH689" s="27">
        <f>IF(COUNT($AC689:$AG689)&lt;2,"",IF(MAX($AC689:$AG689)=MIN($AC689:$AG689),0,1))</f>
        <v/>
      </c>
      <c r="AI689" s="27">
        <f>IF($A689="","",IF(COUNTIF($A$14:$A689,$A689)=1,COUNTIF($AI$13:AI688,"&gt;0")+1,""))</f>
        <v/>
      </c>
      <c r="AO689" s="27">
        <f>IF($A689="","",IF(AND(COUNTIFS($A$14:$A$1213,$A689,$F$14:$F$1213,"&gt;=0")=2,IFERROR(INDEX($M$14:$M$313,MATCH($A689,$H$14:$H$313,0)),"Yes")&lt;&gt;"Yes"),1,0))</f>
        <v/>
      </c>
    </row>
    <row r="690">
      <c r="A690" s="19" t="n"/>
      <c r="B690" s="20" t="n"/>
      <c r="C690" s="21">
        <f>IFERROR(AVERAGE(P690:T690),"")</f>
        <v/>
      </c>
      <c r="D690" s="29" t="n"/>
      <c r="E690" s="29" t="n"/>
      <c r="F690" s="30">
        <f>IF(AND(ISNUMBER($D690),ISNUMBER($E690),$E690&gt;0,$D690&lt;=$E690),$D690/$E690,"")</f>
        <v/>
      </c>
      <c r="P690" s="26" t="n"/>
      <c r="Q690" s="26" t="n"/>
      <c r="R690" s="26" t="n"/>
      <c r="S690" s="26" t="n"/>
      <c r="T690" s="26" t="n"/>
      <c r="V690" s="27">
        <f>IF(ISNUMBER($C690),COUNTIFS($A$14:$A$1213,$A690,$C$14:$C$1213,"&gt;"&amp;$C690)+(COUNTIFS($A$14:$A$1213,$A690,$C$14:$C$1213,"="&amp;$C690)+1)/2,"")</f>
        <v/>
      </c>
      <c r="W690" s="27">
        <f>IF(ISNUMBER($F690),COUNTIFS($A$14:$A$1213,$A690,$F$14:$F$1213,"&gt;"&amp;$F690)+(COUNTIFS($A$14:$A$1213,$A690,$F$14:$F$1213,"="&amp;$F690)+1)/2,"")</f>
        <v/>
      </c>
      <c r="X690" s="27">
        <f>IF(OR(NOT(ISNUMBER($V690)),$AO690=1),"",$V690-(COUNTIFS($A$14:$A$1213,$A690,$C$14:$C$1213,"&gt;=0")+1)/2)</f>
        <v/>
      </c>
      <c r="Y690" s="27">
        <f>IF(OR(NOT(ISNUMBER($W690)),$AO690=1),"",$W690-(COUNTIFS($A$14:$A$1213,$A690,$F$14:$F$1213,"&gt;=0")+1)/2)</f>
        <v/>
      </c>
      <c r="Z690" s="27">
        <f>IF(ISNUMBER($V690),$A690&amp;"|"&amp;$V690,"")</f>
        <v/>
      </c>
      <c r="AA690" s="27">
        <f>IF(ISNUMBER($W690),$A690&amp;"|"&amp;$W690,"")</f>
        <v/>
      </c>
      <c r="AB690" s="27">
        <f>IF(ISNUMBER($F690),$A690&amp;"|"&amp;$F690,"")</f>
        <v/>
      </c>
      <c r="AC690" s="27">
        <f>IF(ISNUMBER($P690),COUNTIFS($A$14:$A$1213,$A690,$P$14:$P$1213,"&gt;"&amp;$P690)+(COUNTIFS($A$14:$A$1213,$A690,$P$14:$P$1213,"="&amp;$P690)+1)/2,"")</f>
        <v/>
      </c>
      <c r="AD690" s="27">
        <f>IF(ISNUMBER($Q690),COUNTIFS($A$14:$A$1213,$A690,$Q$14:$Q$1213,"&gt;"&amp;$Q690)+(COUNTIFS($A$14:$A$1213,$A690,$Q$14:$Q$1213,"="&amp;$Q690)+1)/2,"")</f>
        <v/>
      </c>
      <c r="AE690" s="27">
        <f>IF(ISNUMBER($R690),COUNTIFS($A$14:$A$1213,$A690,$R$14:$R$1213,"&gt;"&amp;$R690)+(COUNTIFS($A$14:$A$1213,$A690,$R$14:$R$1213,"="&amp;$R690)+1)/2,"")</f>
        <v/>
      </c>
      <c r="AF690" s="27">
        <f>IF(ISNUMBER($S690),COUNTIFS($A$14:$A$1213,$A690,$S$14:$S$1213,"&gt;"&amp;$S690)+(COUNTIFS($A$14:$A$1213,$A690,$S$14:$S$1213,"="&amp;$S690)+1)/2,"")</f>
        <v/>
      </c>
      <c r="AG690" s="27">
        <f>IF(ISNUMBER($T690),COUNTIFS($A$14:$A$1213,$A690,$T$14:$T$1213,"&gt;"&amp;$T690)+(COUNTIFS($A$14:$A$1213,$A690,$T$14:$T$1213,"="&amp;$T690)+1)/2,"")</f>
        <v/>
      </c>
      <c r="AH690" s="27">
        <f>IF(COUNT($AC690:$AG690)&lt;2,"",IF(MAX($AC690:$AG690)=MIN($AC690:$AG690),0,1))</f>
        <v/>
      </c>
      <c r="AI690" s="27">
        <f>IF($A690="","",IF(COUNTIF($A$14:$A690,$A690)=1,COUNTIF($AI$13:AI689,"&gt;0")+1,""))</f>
        <v/>
      </c>
      <c r="AO690" s="27">
        <f>IF($A690="","",IF(AND(COUNTIFS($A$14:$A$1213,$A690,$F$14:$F$1213,"&gt;=0")=2,IFERROR(INDEX($M$14:$M$313,MATCH($A690,$H$14:$H$313,0)),"Yes")&lt;&gt;"Yes"),1,0))</f>
        <v/>
      </c>
    </row>
    <row r="691">
      <c r="A691" s="19" t="n"/>
      <c r="B691" s="20" t="n"/>
      <c r="C691" s="21">
        <f>IFERROR(AVERAGE(P691:T691),"")</f>
        <v/>
      </c>
      <c r="D691" s="29" t="n"/>
      <c r="E691" s="29" t="n"/>
      <c r="F691" s="30">
        <f>IF(AND(ISNUMBER($D691),ISNUMBER($E691),$E691&gt;0,$D691&lt;=$E691),$D691/$E691,"")</f>
        <v/>
      </c>
      <c r="P691" s="26" t="n"/>
      <c r="Q691" s="26" t="n"/>
      <c r="R691" s="26" t="n"/>
      <c r="S691" s="26" t="n"/>
      <c r="T691" s="26" t="n"/>
      <c r="V691" s="27">
        <f>IF(ISNUMBER($C691),COUNTIFS($A$14:$A$1213,$A691,$C$14:$C$1213,"&gt;"&amp;$C691)+(COUNTIFS($A$14:$A$1213,$A691,$C$14:$C$1213,"="&amp;$C691)+1)/2,"")</f>
        <v/>
      </c>
      <c r="W691" s="27">
        <f>IF(ISNUMBER($F691),COUNTIFS($A$14:$A$1213,$A691,$F$14:$F$1213,"&gt;"&amp;$F691)+(COUNTIFS($A$14:$A$1213,$A691,$F$14:$F$1213,"="&amp;$F691)+1)/2,"")</f>
        <v/>
      </c>
      <c r="X691" s="27">
        <f>IF(OR(NOT(ISNUMBER($V691)),$AO691=1),"",$V691-(COUNTIFS($A$14:$A$1213,$A691,$C$14:$C$1213,"&gt;=0")+1)/2)</f>
        <v/>
      </c>
      <c r="Y691" s="27">
        <f>IF(OR(NOT(ISNUMBER($W691)),$AO691=1),"",$W691-(COUNTIFS($A$14:$A$1213,$A691,$F$14:$F$1213,"&gt;=0")+1)/2)</f>
        <v/>
      </c>
      <c r="Z691" s="27">
        <f>IF(ISNUMBER($V691),$A691&amp;"|"&amp;$V691,"")</f>
        <v/>
      </c>
      <c r="AA691" s="27">
        <f>IF(ISNUMBER($W691),$A691&amp;"|"&amp;$W691,"")</f>
        <v/>
      </c>
      <c r="AB691" s="27">
        <f>IF(ISNUMBER($F691),$A691&amp;"|"&amp;$F691,"")</f>
        <v/>
      </c>
      <c r="AC691" s="27">
        <f>IF(ISNUMBER($P691),COUNTIFS($A$14:$A$1213,$A691,$P$14:$P$1213,"&gt;"&amp;$P691)+(COUNTIFS($A$14:$A$1213,$A691,$P$14:$P$1213,"="&amp;$P691)+1)/2,"")</f>
        <v/>
      </c>
      <c r="AD691" s="27">
        <f>IF(ISNUMBER($Q691),COUNTIFS($A$14:$A$1213,$A691,$Q$14:$Q$1213,"&gt;"&amp;$Q691)+(COUNTIFS($A$14:$A$1213,$A691,$Q$14:$Q$1213,"="&amp;$Q691)+1)/2,"")</f>
        <v/>
      </c>
      <c r="AE691" s="27">
        <f>IF(ISNUMBER($R691),COUNTIFS($A$14:$A$1213,$A691,$R$14:$R$1213,"&gt;"&amp;$R691)+(COUNTIFS($A$14:$A$1213,$A691,$R$14:$R$1213,"="&amp;$R691)+1)/2,"")</f>
        <v/>
      </c>
      <c r="AF691" s="27">
        <f>IF(ISNUMBER($S691),COUNTIFS($A$14:$A$1213,$A691,$S$14:$S$1213,"&gt;"&amp;$S691)+(COUNTIFS($A$14:$A$1213,$A691,$S$14:$S$1213,"="&amp;$S691)+1)/2,"")</f>
        <v/>
      </c>
      <c r="AG691" s="27">
        <f>IF(ISNUMBER($T691),COUNTIFS($A$14:$A$1213,$A691,$T$14:$T$1213,"&gt;"&amp;$T691)+(COUNTIFS($A$14:$A$1213,$A691,$T$14:$T$1213,"="&amp;$T691)+1)/2,"")</f>
        <v/>
      </c>
      <c r="AH691" s="27">
        <f>IF(COUNT($AC691:$AG691)&lt;2,"",IF(MAX($AC691:$AG691)=MIN($AC691:$AG691),0,1))</f>
        <v/>
      </c>
      <c r="AI691" s="27">
        <f>IF($A691="","",IF(COUNTIF($A$14:$A691,$A691)=1,COUNTIF($AI$13:AI690,"&gt;0")+1,""))</f>
        <v/>
      </c>
      <c r="AO691" s="27">
        <f>IF($A691="","",IF(AND(COUNTIFS($A$14:$A$1213,$A691,$F$14:$F$1213,"&gt;=0")=2,IFERROR(INDEX($M$14:$M$313,MATCH($A691,$H$14:$H$313,0)),"Yes")&lt;&gt;"Yes"),1,0))</f>
        <v/>
      </c>
    </row>
    <row r="692">
      <c r="A692" s="19" t="n"/>
      <c r="B692" s="20" t="n"/>
      <c r="C692" s="21">
        <f>IFERROR(AVERAGE(P692:T692),"")</f>
        <v/>
      </c>
      <c r="D692" s="29" t="n"/>
      <c r="E692" s="29" t="n"/>
      <c r="F692" s="30">
        <f>IF(AND(ISNUMBER($D692),ISNUMBER($E692),$E692&gt;0,$D692&lt;=$E692),$D692/$E692,"")</f>
        <v/>
      </c>
      <c r="P692" s="26" t="n"/>
      <c r="Q692" s="26" t="n"/>
      <c r="R692" s="26" t="n"/>
      <c r="S692" s="26" t="n"/>
      <c r="T692" s="26" t="n"/>
      <c r="V692" s="27">
        <f>IF(ISNUMBER($C692),COUNTIFS($A$14:$A$1213,$A692,$C$14:$C$1213,"&gt;"&amp;$C692)+(COUNTIFS($A$14:$A$1213,$A692,$C$14:$C$1213,"="&amp;$C692)+1)/2,"")</f>
        <v/>
      </c>
      <c r="W692" s="27">
        <f>IF(ISNUMBER($F692),COUNTIFS($A$14:$A$1213,$A692,$F$14:$F$1213,"&gt;"&amp;$F692)+(COUNTIFS($A$14:$A$1213,$A692,$F$14:$F$1213,"="&amp;$F692)+1)/2,"")</f>
        <v/>
      </c>
      <c r="X692" s="27">
        <f>IF(OR(NOT(ISNUMBER($V692)),$AO692=1),"",$V692-(COUNTIFS($A$14:$A$1213,$A692,$C$14:$C$1213,"&gt;=0")+1)/2)</f>
        <v/>
      </c>
      <c r="Y692" s="27">
        <f>IF(OR(NOT(ISNUMBER($W692)),$AO692=1),"",$W692-(COUNTIFS($A$14:$A$1213,$A692,$F$14:$F$1213,"&gt;=0")+1)/2)</f>
        <v/>
      </c>
      <c r="Z692" s="27">
        <f>IF(ISNUMBER($V692),$A692&amp;"|"&amp;$V692,"")</f>
        <v/>
      </c>
      <c r="AA692" s="27">
        <f>IF(ISNUMBER($W692),$A692&amp;"|"&amp;$W692,"")</f>
        <v/>
      </c>
      <c r="AB692" s="27">
        <f>IF(ISNUMBER($F692),$A692&amp;"|"&amp;$F692,"")</f>
        <v/>
      </c>
      <c r="AC692" s="27">
        <f>IF(ISNUMBER($P692),COUNTIFS($A$14:$A$1213,$A692,$P$14:$P$1213,"&gt;"&amp;$P692)+(COUNTIFS($A$14:$A$1213,$A692,$P$14:$P$1213,"="&amp;$P692)+1)/2,"")</f>
        <v/>
      </c>
      <c r="AD692" s="27">
        <f>IF(ISNUMBER($Q692),COUNTIFS($A$14:$A$1213,$A692,$Q$14:$Q$1213,"&gt;"&amp;$Q692)+(COUNTIFS($A$14:$A$1213,$A692,$Q$14:$Q$1213,"="&amp;$Q692)+1)/2,"")</f>
        <v/>
      </c>
      <c r="AE692" s="27">
        <f>IF(ISNUMBER($R692),COUNTIFS($A$14:$A$1213,$A692,$R$14:$R$1213,"&gt;"&amp;$R692)+(COUNTIFS($A$14:$A$1213,$A692,$R$14:$R$1213,"="&amp;$R692)+1)/2,"")</f>
        <v/>
      </c>
      <c r="AF692" s="27">
        <f>IF(ISNUMBER($S692),COUNTIFS($A$14:$A$1213,$A692,$S$14:$S$1213,"&gt;"&amp;$S692)+(COUNTIFS($A$14:$A$1213,$A692,$S$14:$S$1213,"="&amp;$S692)+1)/2,"")</f>
        <v/>
      </c>
      <c r="AG692" s="27">
        <f>IF(ISNUMBER($T692),COUNTIFS($A$14:$A$1213,$A692,$T$14:$T$1213,"&gt;"&amp;$T692)+(COUNTIFS($A$14:$A$1213,$A692,$T$14:$T$1213,"="&amp;$T692)+1)/2,"")</f>
        <v/>
      </c>
      <c r="AH692" s="27">
        <f>IF(COUNT($AC692:$AG692)&lt;2,"",IF(MAX($AC692:$AG692)=MIN($AC692:$AG692),0,1))</f>
        <v/>
      </c>
      <c r="AI692" s="27">
        <f>IF($A692="","",IF(COUNTIF($A$14:$A692,$A692)=1,COUNTIF($AI$13:AI691,"&gt;0")+1,""))</f>
        <v/>
      </c>
      <c r="AO692" s="27">
        <f>IF($A692="","",IF(AND(COUNTIFS($A$14:$A$1213,$A692,$F$14:$F$1213,"&gt;=0")=2,IFERROR(INDEX($M$14:$M$313,MATCH($A692,$H$14:$H$313,0)),"Yes")&lt;&gt;"Yes"),1,0))</f>
        <v/>
      </c>
    </row>
    <row r="693">
      <c r="A693" s="19" t="n"/>
      <c r="B693" s="20" t="n"/>
      <c r="C693" s="21">
        <f>IFERROR(AVERAGE(P693:T693),"")</f>
        <v/>
      </c>
      <c r="D693" s="29" t="n"/>
      <c r="E693" s="29" t="n"/>
      <c r="F693" s="30">
        <f>IF(AND(ISNUMBER($D693),ISNUMBER($E693),$E693&gt;0,$D693&lt;=$E693),$D693/$E693,"")</f>
        <v/>
      </c>
      <c r="P693" s="26" t="n"/>
      <c r="Q693" s="26" t="n"/>
      <c r="R693" s="26" t="n"/>
      <c r="S693" s="26" t="n"/>
      <c r="T693" s="26" t="n"/>
      <c r="V693" s="27">
        <f>IF(ISNUMBER($C693),COUNTIFS($A$14:$A$1213,$A693,$C$14:$C$1213,"&gt;"&amp;$C693)+(COUNTIFS($A$14:$A$1213,$A693,$C$14:$C$1213,"="&amp;$C693)+1)/2,"")</f>
        <v/>
      </c>
      <c r="W693" s="27">
        <f>IF(ISNUMBER($F693),COUNTIFS($A$14:$A$1213,$A693,$F$14:$F$1213,"&gt;"&amp;$F693)+(COUNTIFS($A$14:$A$1213,$A693,$F$14:$F$1213,"="&amp;$F693)+1)/2,"")</f>
        <v/>
      </c>
      <c r="X693" s="27">
        <f>IF(OR(NOT(ISNUMBER($V693)),$AO693=1),"",$V693-(COUNTIFS($A$14:$A$1213,$A693,$C$14:$C$1213,"&gt;=0")+1)/2)</f>
        <v/>
      </c>
      <c r="Y693" s="27">
        <f>IF(OR(NOT(ISNUMBER($W693)),$AO693=1),"",$W693-(COUNTIFS($A$14:$A$1213,$A693,$F$14:$F$1213,"&gt;=0")+1)/2)</f>
        <v/>
      </c>
      <c r="Z693" s="27">
        <f>IF(ISNUMBER($V693),$A693&amp;"|"&amp;$V693,"")</f>
        <v/>
      </c>
      <c r="AA693" s="27">
        <f>IF(ISNUMBER($W693),$A693&amp;"|"&amp;$W693,"")</f>
        <v/>
      </c>
      <c r="AB693" s="27">
        <f>IF(ISNUMBER($F693),$A693&amp;"|"&amp;$F693,"")</f>
        <v/>
      </c>
      <c r="AC693" s="27">
        <f>IF(ISNUMBER($P693),COUNTIFS($A$14:$A$1213,$A693,$P$14:$P$1213,"&gt;"&amp;$P693)+(COUNTIFS($A$14:$A$1213,$A693,$P$14:$P$1213,"="&amp;$P693)+1)/2,"")</f>
        <v/>
      </c>
      <c r="AD693" s="27">
        <f>IF(ISNUMBER($Q693),COUNTIFS($A$14:$A$1213,$A693,$Q$14:$Q$1213,"&gt;"&amp;$Q693)+(COUNTIFS($A$14:$A$1213,$A693,$Q$14:$Q$1213,"="&amp;$Q693)+1)/2,"")</f>
        <v/>
      </c>
      <c r="AE693" s="27">
        <f>IF(ISNUMBER($R693),COUNTIFS($A$14:$A$1213,$A693,$R$14:$R$1213,"&gt;"&amp;$R693)+(COUNTIFS($A$14:$A$1213,$A693,$R$14:$R$1213,"="&amp;$R693)+1)/2,"")</f>
        <v/>
      </c>
      <c r="AF693" s="27">
        <f>IF(ISNUMBER($S693),COUNTIFS($A$14:$A$1213,$A693,$S$14:$S$1213,"&gt;"&amp;$S693)+(COUNTIFS($A$14:$A$1213,$A693,$S$14:$S$1213,"="&amp;$S693)+1)/2,"")</f>
        <v/>
      </c>
      <c r="AG693" s="27">
        <f>IF(ISNUMBER($T693),COUNTIFS($A$14:$A$1213,$A693,$T$14:$T$1213,"&gt;"&amp;$T693)+(COUNTIFS($A$14:$A$1213,$A693,$T$14:$T$1213,"="&amp;$T693)+1)/2,"")</f>
        <v/>
      </c>
      <c r="AH693" s="27">
        <f>IF(COUNT($AC693:$AG693)&lt;2,"",IF(MAX($AC693:$AG693)=MIN($AC693:$AG693),0,1))</f>
        <v/>
      </c>
      <c r="AI693" s="27">
        <f>IF($A693="","",IF(COUNTIF($A$14:$A693,$A693)=1,COUNTIF($AI$13:AI692,"&gt;0")+1,""))</f>
        <v/>
      </c>
      <c r="AO693" s="27">
        <f>IF($A693="","",IF(AND(COUNTIFS($A$14:$A$1213,$A693,$F$14:$F$1213,"&gt;=0")=2,IFERROR(INDEX($M$14:$M$313,MATCH($A693,$H$14:$H$313,0)),"Yes")&lt;&gt;"Yes"),1,0))</f>
        <v/>
      </c>
    </row>
    <row r="694">
      <c r="A694" s="19" t="n"/>
      <c r="B694" s="20" t="n"/>
      <c r="C694" s="21">
        <f>IFERROR(AVERAGE(P694:T694),"")</f>
        <v/>
      </c>
      <c r="D694" s="29" t="n"/>
      <c r="E694" s="29" t="n"/>
      <c r="F694" s="30">
        <f>IF(AND(ISNUMBER($D694),ISNUMBER($E694),$E694&gt;0,$D694&lt;=$E694),$D694/$E694,"")</f>
        <v/>
      </c>
      <c r="P694" s="26" t="n"/>
      <c r="Q694" s="26" t="n"/>
      <c r="R694" s="26" t="n"/>
      <c r="S694" s="26" t="n"/>
      <c r="T694" s="26" t="n"/>
      <c r="V694" s="27">
        <f>IF(ISNUMBER($C694),COUNTIFS($A$14:$A$1213,$A694,$C$14:$C$1213,"&gt;"&amp;$C694)+(COUNTIFS($A$14:$A$1213,$A694,$C$14:$C$1213,"="&amp;$C694)+1)/2,"")</f>
        <v/>
      </c>
      <c r="W694" s="27">
        <f>IF(ISNUMBER($F694),COUNTIFS($A$14:$A$1213,$A694,$F$14:$F$1213,"&gt;"&amp;$F694)+(COUNTIFS($A$14:$A$1213,$A694,$F$14:$F$1213,"="&amp;$F694)+1)/2,"")</f>
        <v/>
      </c>
      <c r="X694" s="27">
        <f>IF(OR(NOT(ISNUMBER($V694)),$AO694=1),"",$V694-(COUNTIFS($A$14:$A$1213,$A694,$C$14:$C$1213,"&gt;=0")+1)/2)</f>
        <v/>
      </c>
      <c r="Y694" s="27">
        <f>IF(OR(NOT(ISNUMBER($W694)),$AO694=1),"",$W694-(COUNTIFS($A$14:$A$1213,$A694,$F$14:$F$1213,"&gt;=0")+1)/2)</f>
        <v/>
      </c>
      <c r="Z694" s="27">
        <f>IF(ISNUMBER($V694),$A694&amp;"|"&amp;$V694,"")</f>
        <v/>
      </c>
      <c r="AA694" s="27">
        <f>IF(ISNUMBER($W694),$A694&amp;"|"&amp;$W694,"")</f>
        <v/>
      </c>
      <c r="AB694" s="27">
        <f>IF(ISNUMBER($F694),$A694&amp;"|"&amp;$F694,"")</f>
        <v/>
      </c>
      <c r="AC694" s="27">
        <f>IF(ISNUMBER($P694),COUNTIFS($A$14:$A$1213,$A694,$P$14:$P$1213,"&gt;"&amp;$P694)+(COUNTIFS($A$14:$A$1213,$A694,$P$14:$P$1213,"="&amp;$P694)+1)/2,"")</f>
        <v/>
      </c>
      <c r="AD694" s="27">
        <f>IF(ISNUMBER($Q694),COUNTIFS($A$14:$A$1213,$A694,$Q$14:$Q$1213,"&gt;"&amp;$Q694)+(COUNTIFS($A$14:$A$1213,$A694,$Q$14:$Q$1213,"="&amp;$Q694)+1)/2,"")</f>
        <v/>
      </c>
      <c r="AE694" s="27">
        <f>IF(ISNUMBER($R694),COUNTIFS($A$14:$A$1213,$A694,$R$14:$R$1213,"&gt;"&amp;$R694)+(COUNTIFS($A$14:$A$1213,$A694,$R$14:$R$1213,"="&amp;$R694)+1)/2,"")</f>
        <v/>
      </c>
      <c r="AF694" s="27">
        <f>IF(ISNUMBER($S694),COUNTIFS($A$14:$A$1213,$A694,$S$14:$S$1213,"&gt;"&amp;$S694)+(COUNTIFS($A$14:$A$1213,$A694,$S$14:$S$1213,"="&amp;$S694)+1)/2,"")</f>
        <v/>
      </c>
      <c r="AG694" s="27">
        <f>IF(ISNUMBER($T694),COUNTIFS($A$14:$A$1213,$A694,$T$14:$T$1213,"&gt;"&amp;$T694)+(COUNTIFS($A$14:$A$1213,$A694,$T$14:$T$1213,"="&amp;$T694)+1)/2,"")</f>
        <v/>
      </c>
      <c r="AH694" s="27">
        <f>IF(COUNT($AC694:$AG694)&lt;2,"",IF(MAX($AC694:$AG694)=MIN($AC694:$AG694),0,1))</f>
        <v/>
      </c>
      <c r="AI694" s="27">
        <f>IF($A694="","",IF(COUNTIF($A$14:$A694,$A694)=1,COUNTIF($AI$13:AI693,"&gt;0")+1,""))</f>
        <v/>
      </c>
      <c r="AO694" s="27">
        <f>IF($A694="","",IF(AND(COUNTIFS($A$14:$A$1213,$A694,$F$14:$F$1213,"&gt;=0")=2,IFERROR(INDEX($M$14:$M$313,MATCH($A694,$H$14:$H$313,0)),"Yes")&lt;&gt;"Yes"),1,0))</f>
        <v/>
      </c>
    </row>
    <row r="695">
      <c r="A695" s="19" t="n"/>
      <c r="B695" s="20" t="n"/>
      <c r="C695" s="21">
        <f>IFERROR(AVERAGE(P695:T695),"")</f>
        <v/>
      </c>
      <c r="D695" s="29" t="n"/>
      <c r="E695" s="29" t="n"/>
      <c r="F695" s="30">
        <f>IF(AND(ISNUMBER($D695),ISNUMBER($E695),$E695&gt;0,$D695&lt;=$E695),$D695/$E695,"")</f>
        <v/>
      </c>
      <c r="P695" s="26" t="n"/>
      <c r="Q695" s="26" t="n"/>
      <c r="R695" s="26" t="n"/>
      <c r="S695" s="26" t="n"/>
      <c r="T695" s="26" t="n"/>
      <c r="V695" s="27">
        <f>IF(ISNUMBER($C695),COUNTIFS($A$14:$A$1213,$A695,$C$14:$C$1213,"&gt;"&amp;$C695)+(COUNTIFS($A$14:$A$1213,$A695,$C$14:$C$1213,"="&amp;$C695)+1)/2,"")</f>
        <v/>
      </c>
      <c r="W695" s="27">
        <f>IF(ISNUMBER($F695),COUNTIFS($A$14:$A$1213,$A695,$F$14:$F$1213,"&gt;"&amp;$F695)+(COUNTIFS($A$14:$A$1213,$A695,$F$14:$F$1213,"="&amp;$F695)+1)/2,"")</f>
        <v/>
      </c>
      <c r="X695" s="27">
        <f>IF(OR(NOT(ISNUMBER($V695)),$AO695=1),"",$V695-(COUNTIFS($A$14:$A$1213,$A695,$C$14:$C$1213,"&gt;=0")+1)/2)</f>
        <v/>
      </c>
      <c r="Y695" s="27">
        <f>IF(OR(NOT(ISNUMBER($W695)),$AO695=1),"",$W695-(COUNTIFS($A$14:$A$1213,$A695,$F$14:$F$1213,"&gt;=0")+1)/2)</f>
        <v/>
      </c>
      <c r="Z695" s="27">
        <f>IF(ISNUMBER($V695),$A695&amp;"|"&amp;$V695,"")</f>
        <v/>
      </c>
      <c r="AA695" s="27">
        <f>IF(ISNUMBER($W695),$A695&amp;"|"&amp;$W695,"")</f>
        <v/>
      </c>
      <c r="AB695" s="27">
        <f>IF(ISNUMBER($F695),$A695&amp;"|"&amp;$F695,"")</f>
        <v/>
      </c>
      <c r="AC695" s="27">
        <f>IF(ISNUMBER($P695),COUNTIFS($A$14:$A$1213,$A695,$P$14:$P$1213,"&gt;"&amp;$P695)+(COUNTIFS($A$14:$A$1213,$A695,$P$14:$P$1213,"="&amp;$P695)+1)/2,"")</f>
        <v/>
      </c>
      <c r="AD695" s="27">
        <f>IF(ISNUMBER($Q695),COUNTIFS($A$14:$A$1213,$A695,$Q$14:$Q$1213,"&gt;"&amp;$Q695)+(COUNTIFS($A$14:$A$1213,$A695,$Q$14:$Q$1213,"="&amp;$Q695)+1)/2,"")</f>
        <v/>
      </c>
      <c r="AE695" s="27">
        <f>IF(ISNUMBER($R695),COUNTIFS($A$14:$A$1213,$A695,$R$14:$R$1213,"&gt;"&amp;$R695)+(COUNTIFS($A$14:$A$1213,$A695,$R$14:$R$1213,"="&amp;$R695)+1)/2,"")</f>
        <v/>
      </c>
      <c r="AF695" s="27">
        <f>IF(ISNUMBER($S695),COUNTIFS($A$14:$A$1213,$A695,$S$14:$S$1213,"&gt;"&amp;$S695)+(COUNTIFS($A$14:$A$1213,$A695,$S$14:$S$1213,"="&amp;$S695)+1)/2,"")</f>
        <v/>
      </c>
      <c r="AG695" s="27">
        <f>IF(ISNUMBER($T695),COUNTIFS($A$14:$A$1213,$A695,$T$14:$T$1213,"&gt;"&amp;$T695)+(COUNTIFS($A$14:$A$1213,$A695,$T$14:$T$1213,"="&amp;$T695)+1)/2,"")</f>
        <v/>
      </c>
      <c r="AH695" s="27">
        <f>IF(COUNT($AC695:$AG695)&lt;2,"",IF(MAX($AC695:$AG695)=MIN($AC695:$AG695),0,1))</f>
        <v/>
      </c>
      <c r="AI695" s="27">
        <f>IF($A695="","",IF(COUNTIF($A$14:$A695,$A695)=1,COUNTIF($AI$13:AI694,"&gt;0")+1,""))</f>
        <v/>
      </c>
      <c r="AO695" s="27">
        <f>IF($A695="","",IF(AND(COUNTIFS($A$14:$A$1213,$A695,$F$14:$F$1213,"&gt;=0")=2,IFERROR(INDEX($M$14:$M$313,MATCH($A695,$H$14:$H$313,0)),"Yes")&lt;&gt;"Yes"),1,0))</f>
        <v/>
      </c>
    </row>
    <row r="696">
      <c r="A696" s="19" t="n"/>
      <c r="B696" s="20" t="n"/>
      <c r="C696" s="21">
        <f>IFERROR(AVERAGE(P696:T696),"")</f>
        <v/>
      </c>
      <c r="D696" s="29" t="n"/>
      <c r="E696" s="29" t="n"/>
      <c r="F696" s="30">
        <f>IF(AND(ISNUMBER($D696),ISNUMBER($E696),$E696&gt;0,$D696&lt;=$E696),$D696/$E696,"")</f>
        <v/>
      </c>
      <c r="P696" s="26" t="n"/>
      <c r="Q696" s="26" t="n"/>
      <c r="R696" s="26" t="n"/>
      <c r="S696" s="26" t="n"/>
      <c r="T696" s="26" t="n"/>
      <c r="V696" s="27">
        <f>IF(ISNUMBER($C696),COUNTIFS($A$14:$A$1213,$A696,$C$14:$C$1213,"&gt;"&amp;$C696)+(COUNTIFS($A$14:$A$1213,$A696,$C$14:$C$1213,"="&amp;$C696)+1)/2,"")</f>
        <v/>
      </c>
      <c r="W696" s="27">
        <f>IF(ISNUMBER($F696),COUNTIFS($A$14:$A$1213,$A696,$F$14:$F$1213,"&gt;"&amp;$F696)+(COUNTIFS($A$14:$A$1213,$A696,$F$14:$F$1213,"="&amp;$F696)+1)/2,"")</f>
        <v/>
      </c>
      <c r="X696" s="27">
        <f>IF(OR(NOT(ISNUMBER($V696)),$AO696=1),"",$V696-(COUNTIFS($A$14:$A$1213,$A696,$C$14:$C$1213,"&gt;=0")+1)/2)</f>
        <v/>
      </c>
      <c r="Y696" s="27">
        <f>IF(OR(NOT(ISNUMBER($W696)),$AO696=1),"",$W696-(COUNTIFS($A$14:$A$1213,$A696,$F$14:$F$1213,"&gt;=0")+1)/2)</f>
        <v/>
      </c>
      <c r="Z696" s="27">
        <f>IF(ISNUMBER($V696),$A696&amp;"|"&amp;$V696,"")</f>
        <v/>
      </c>
      <c r="AA696" s="27">
        <f>IF(ISNUMBER($W696),$A696&amp;"|"&amp;$W696,"")</f>
        <v/>
      </c>
      <c r="AB696" s="27">
        <f>IF(ISNUMBER($F696),$A696&amp;"|"&amp;$F696,"")</f>
        <v/>
      </c>
      <c r="AC696" s="27">
        <f>IF(ISNUMBER($P696),COUNTIFS($A$14:$A$1213,$A696,$P$14:$P$1213,"&gt;"&amp;$P696)+(COUNTIFS($A$14:$A$1213,$A696,$P$14:$P$1213,"="&amp;$P696)+1)/2,"")</f>
        <v/>
      </c>
      <c r="AD696" s="27">
        <f>IF(ISNUMBER($Q696),COUNTIFS($A$14:$A$1213,$A696,$Q$14:$Q$1213,"&gt;"&amp;$Q696)+(COUNTIFS($A$14:$A$1213,$A696,$Q$14:$Q$1213,"="&amp;$Q696)+1)/2,"")</f>
        <v/>
      </c>
      <c r="AE696" s="27">
        <f>IF(ISNUMBER($R696),COUNTIFS($A$14:$A$1213,$A696,$R$14:$R$1213,"&gt;"&amp;$R696)+(COUNTIFS($A$14:$A$1213,$A696,$R$14:$R$1213,"="&amp;$R696)+1)/2,"")</f>
        <v/>
      </c>
      <c r="AF696" s="27">
        <f>IF(ISNUMBER($S696),COUNTIFS($A$14:$A$1213,$A696,$S$14:$S$1213,"&gt;"&amp;$S696)+(COUNTIFS($A$14:$A$1213,$A696,$S$14:$S$1213,"="&amp;$S696)+1)/2,"")</f>
        <v/>
      </c>
      <c r="AG696" s="27">
        <f>IF(ISNUMBER($T696),COUNTIFS($A$14:$A$1213,$A696,$T$14:$T$1213,"&gt;"&amp;$T696)+(COUNTIFS($A$14:$A$1213,$A696,$T$14:$T$1213,"="&amp;$T696)+1)/2,"")</f>
        <v/>
      </c>
      <c r="AH696" s="27">
        <f>IF(COUNT($AC696:$AG696)&lt;2,"",IF(MAX($AC696:$AG696)=MIN($AC696:$AG696),0,1))</f>
        <v/>
      </c>
      <c r="AI696" s="27">
        <f>IF($A696="","",IF(COUNTIF($A$14:$A696,$A696)=1,COUNTIF($AI$13:AI695,"&gt;0")+1,""))</f>
        <v/>
      </c>
      <c r="AO696" s="27">
        <f>IF($A696="","",IF(AND(COUNTIFS($A$14:$A$1213,$A696,$F$14:$F$1213,"&gt;=0")=2,IFERROR(INDEX($M$14:$M$313,MATCH($A696,$H$14:$H$313,0)),"Yes")&lt;&gt;"Yes"),1,0))</f>
        <v/>
      </c>
    </row>
    <row r="697">
      <c r="A697" s="19" t="n"/>
      <c r="B697" s="20" t="n"/>
      <c r="C697" s="21">
        <f>IFERROR(AVERAGE(P697:T697),"")</f>
        <v/>
      </c>
      <c r="D697" s="29" t="n"/>
      <c r="E697" s="29" t="n"/>
      <c r="F697" s="30">
        <f>IF(AND(ISNUMBER($D697),ISNUMBER($E697),$E697&gt;0,$D697&lt;=$E697),$D697/$E697,"")</f>
        <v/>
      </c>
      <c r="P697" s="26" t="n"/>
      <c r="Q697" s="26" t="n"/>
      <c r="R697" s="26" t="n"/>
      <c r="S697" s="26" t="n"/>
      <c r="T697" s="26" t="n"/>
      <c r="V697" s="27">
        <f>IF(ISNUMBER($C697),COUNTIFS($A$14:$A$1213,$A697,$C$14:$C$1213,"&gt;"&amp;$C697)+(COUNTIFS($A$14:$A$1213,$A697,$C$14:$C$1213,"="&amp;$C697)+1)/2,"")</f>
        <v/>
      </c>
      <c r="W697" s="27">
        <f>IF(ISNUMBER($F697),COUNTIFS($A$14:$A$1213,$A697,$F$14:$F$1213,"&gt;"&amp;$F697)+(COUNTIFS($A$14:$A$1213,$A697,$F$14:$F$1213,"="&amp;$F697)+1)/2,"")</f>
        <v/>
      </c>
      <c r="X697" s="27">
        <f>IF(OR(NOT(ISNUMBER($V697)),$AO697=1),"",$V697-(COUNTIFS($A$14:$A$1213,$A697,$C$14:$C$1213,"&gt;=0")+1)/2)</f>
        <v/>
      </c>
      <c r="Y697" s="27">
        <f>IF(OR(NOT(ISNUMBER($W697)),$AO697=1),"",$W697-(COUNTIFS($A$14:$A$1213,$A697,$F$14:$F$1213,"&gt;=0")+1)/2)</f>
        <v/>
      </c>
      <c r="Z697" s="27">
        <f>IF(ISNUMBER($V697),$A697&amp;"|"&amp;$V697,"")</f>
        <v/>
      </c>
      <c r="AA697" s="27">
        <f>IF(ISNUMBER($W697),$A697&amp;"|"&amp;$W697,"")</f>
        <v/>
      </c>
      <c r="AB697" s="27">
        <f>IF(ISNUMBER($F697),$A697&amp;"|"&amp;$F697,"")</f>
        <v/>
      </c>
      <c r="AC697" s="27">
        <f>IF(ISNUMBER($P697),COUNTIFS($A$14:$A$1213,$A697,$P$14:$P$1213,"&gt;"&amp;$P697)+(COUNTIFS($A$14:$A$1213,$A697,$P$14:$P$1213,"="&amp;$P697)+1)/2,"")</f>
        <v/>
      </c>
      <c r="AD697" s="27">
        <f>IF(ISNUMBER($Q697),COUNTIFS($A$14:$A$1213,$A697,$Q$14:$Q$1213,"&gt;"&amp;$Q697)+(COUNTIFS($A$14:$A$1213,$A697,$Q$14:$Q$1213,"="&amp;$Q697)+1)/2,"")</f>
        <v/>
      </c>
      <c r="AE697" s="27">
        <f>IF(ISNUMBER($R697),COUNTIFS($A$14:$A$1213,$A697,$R$14:$R$1213,"&gt;"&amp;$R697)+(COUNTIFS($A$14:$A$1213,$A697,$R$14:$R$1213,"="&amp;$R697)+1)/2,"")</f>
        <v/>
      </c>
      <c r="AF697" s="27">
        <f>IF(ISNUMBER($S697),COUNTIFS($A$14:$A$1213,$A697,$S$14:$S$1213,"&gt;"&amp;$S697)+(COUNTIFS($A$14:$A$1213,$A697,$S$14:$S$1213,"="&amp;$S697)+1)/2,"")</f>
        <v/>
      </c>
      <c r="AG697" s="27">
        <f>IF(ISNUMBER($T697),COUNTIFS($A$14:$A$1213,$A697,$T$14:$T$1213,"&gt;"&amp;$T697)+(COUNTIFS($A$14:$A$1213,$A697,$T$14:$T$1213,"="&amp;$T697)+1)/2,"")</f>
        <v/>
      </c>
      <c r="AH697" s="27">
        <f>IF(COUNT($AC697:$AG697)&lt;2,"",IF(MAX($AC697:$AG697)=MIN($AC697:$AG697),0,1))</f>
        <v/>
      </c>
      <c r="AI697" s="27">
        <f>IF($A697="","",IF(COUNTIF($A$14:$A697,$A697)=1,COUNTIF($AI$13:AI696,"&gt;0")+1,""))</f>
        <v/>
      </c>
      <c r="AO697" s="27">
        <f>IF($A697="","",IF(AND(COUNTIFS($A$14:$A$1213,$A697,$F$14:$F$1213,"&gt;=0")=2,IFERROR(INDEX($M$14:$M$313,MATCH($A697,$H$14:$H$313,0)),"Yes")&lt;&gt;"Yes"),1,0))</f>
        <v/>
      </c>
    </row>
    <row r="698">
      <c r="A698" s="19" t="n"/>
      <c r="B698" s="20" t="n"/>
      <c r="C698" s="21">
        <f>IFERROR(AVERAGE(P698:T698),"")</f>
        <v/>
      </c>
      <c r="D698" s="29" t="n"/>
      <c r="E698" s="29" t="n"/>
      <c r="F698" s="30">
        <f>IF(AND(ISNUMBER($D698),ISNUMBER($E698),$E698&gt;0,$D698&lt;=$E698),$D698/$E698,"")</f>
        <v/>
      </c>
      <c r="P698" s="26" t="n"/>
      <c r="Q698" s="26" t="n"/>
      <c r="R698" s="26" t="n"/>
      <c r="S698" s="26" t="n"/>
      <c r="T698" s="26" t="n"/>
      <c r="V698" s="27">
        <f>IF(ISNUMBER($C698),COUNTIFS($A$14:$A$1213,$A698,$C$14:$C$1213,"&gt;"&amp;$C698)+(COUNTIFS($A$14:$A$1213,$A698,$C$14:$C$1213,"="&amp;$C698)+1)/2,"")</f>
        <v/>
      </c>
      <c r="W698" s="27">
        <f>IF(ISNUMBER($F698),COUNTIFS($A$14:$A$1213,$A698,$F$14:$F$1213,"&gt;"&amp;$F698)+(COUNTIFS($A$14:$A$1213,$A698,$F$14:$F$1213,"="&amp;$F698)+1)/2,"")</f>
        <v/>
      </c>
      <c r="X698" s="27">
        <f>IF(OR(NOT(ISNUMBER($V698)),$AO698=1),"",$V698-(COUNTIFS($A$14:$A$1213,$A698,$C$14:$C$1213,"&gt;=0")+1)/2)</f>
        <v/>
      </c>
      <c r="Y698" s="27">
        <f>IF(OR(NOT(ISNUMBER($W698)),$AO698=1),"",$W698-(COUNTIFS($A$14:$A$1213,$A698,$F$14:$F$1213,"&gt;=0")+1)/2)</f>
        <v/>
      </c>
      <c r="Z698" s="27">
        <f>IF(ISNUMBER($V698),$A698&amp;"|"&amp;$V698,"")</f>
        <v/>
      </c>
      <c r="AA698" s="27">
        <f>IF(ISNUMBER($W698),$A698&amp;"|"&amp;$W698,"")</f>
        <v/>
      </c>
      <c r="AB698" s="27">
        <f>IF(ISNUMBER($F698),$A698&amp;"|"&amp;$F698,"")</f>
        <v/>
      </c>
      <c r="AC698" s="27">
        <f>IF(ISNUMBER($P698),COUNTIFS($A$14:$A$1213,$A698,$P$14:$P$1213,"&gt;"&amp;$P698)+(COUNTIFS($A$14:$A$1213,$A698,$P$14:$P$1213,"="&amp;$P698)+1)/2,"")</f>
        <v/>
      </c>
      <c r="AD698" s="27">
        <f>IF(ISNUMBER($Q698),COUNTIFS($A$14:$A$1213,$A698,$Q$14:$Q$1213,"&gt;"&amp;$Q698)+(COUNTIFS($A$14:$A$1213,$A698,$Q$14:$Q$1213,"="&amp;$Q698)+1)/2,"")</f>
        <v/>
      </c>
      <c r="AE698" s="27">
        <f>IF(ISNUMBER($R698),COUNTIFS($A$14:$A$1213,$A698,$R$14:$R$1213,"&gt;"&amp;$R698)+(COUNTIFS($A$14:$A$1213,$A698,$R$14:$R$1213,"="&amp;$R698)+1)/2,"")</f>
        <v/>
      </c>
      <c r="AF698" s="27">
        <f>IF(ISNUMBER($S698),COUNTIFS($A$14:$A$1213,$A698,$S$14:$S$1213,"&gt;"&amp;$S698)+(COUNTIFS($A$14:$A$1213,$A698,$S$14:$S$1213,"="&amp;$S698)+1)/2,"")</f>
        <v/>
      </c>
      <c r="AG698" s="27">
        <f>IF(ISNUMBER($T698),COUNTIFS($A$14:$A$1213,$A698,$T$14:$T$1213,"&gt;"&amp;$T698)+(COUNTIFS($A$14:$A$1213,$A698,$T$14:$T$1213,"="&amp;$T698)+1)/2,"")</f>
        <v/>
      </c>
      <c r="AH698" s="27">
        <f>IF(COUNT($AC698:$AG698)&lt;2,"",IF(MAX($AC698:$AG698)=MIN($AC698:$AG698),0,1))</f>
        <v/>
      </c>
      <c r="AI698" s="27">
        <f>IF($A698="","",IF(COUNTIF($A$14:$A698,$A698)=1,COUNTIF($AI$13:AI697,"&gt;0")+1,""))</f>
        <v/>
      </c>
      <c r="AO698" s="27">
        <f>IF($A698="","",IF(AND(COUNTIFS($A$14:$A$1213,$A698,$F$14:$F$1213,"&gt;=0")=2,IFERROR(INDEX($M$14:$M$313,MATCH($A698,$H$14:$H$313,0)),"Yes")&lt;&gt;"Yes"),1,0))</f>
        <v/>
      </c>
    </row>
    <row r="699">
      <c r="A699" s="19" t="n"/>
      <c r="B699" s="20" t="n"/>
      <c r="C699" s="21">
        <f>IFERROR(AVERAGE(P699:T699),"")</f>
        <v/>
      </c>
      <c r="D699" s="29" t="n"/>
      <c r="E699" s="29" t="n"/>
      <c r="F699" s="30">
        <f>IF(AND(ISNUMBER($D699),ISNUMBER($E699),$E699&gt;0,$D699&lt;=$E699),$D699/$E699,"")</f>
        <v/>
      </c>
      <c r="P699" s="26" t="n"/>
      <c r="Q699" s="26" t="n"/>
      <c r="R699" s="26" t="n"/>
      <c r="S699" s="26" t="n"/>
      <c r="T699" s="26" t="n"/>
      <c r="V699" s="27">
        <f>IF(ISNUMBER($C699),COUNTIFS($A$14:$A$1213,$A699,$C$14:$C$1213,"&gt;"&amp;$C699)+(COUNTIFS($A$14:$A$1213,$A699,$C$14:$C$1213,"="&amp;$C699)+1)/2,"")</f>
        <v/>
      </c>
      <c r="W699" s="27">
        <f>IF(ISNUMBER($F699),COUNTIFS($A$14:$A$1213,$A699,$F$14:$F$1213,"&gt;"&amp;$F699)+(COUNTIFS($A$14:$A$1213,$A699,$F$14:$F$1213,"="&amp;$F699)+1)/2,"")</f>
        <v/>
      </c>
      <c r="X699" s="27">
        <f>IF(OR(NOT(ISNUMBER($V699)),$AO699=1),"",$V699-(COUNTIFS($A$14:$A$1213,$A699,$C$14:$C$1213,"&gt;=0")+1)/2)</f>
        <v/>
      </c>
      <c r="Y699" s="27">
        <f>IF(OR(NOT(ISNUMBER($W699)),$AO699=1),"",$W699-(COUNTIFS($A$14:$A$1213,$A699,$F$14:$F$1213,"&gt;=0")+1)/2)</f>
        <v/>
      </c>
      <c r="Z699" s="27">
        <f>IF(ISNUMBER($V699),$A699&amp;"|"&amp;$V699,"")</f>
        <v/>
      </c>
      <c r="AA699" s="27">
        <f>IF(ISNUMBER($W699),$A699&amp;"|"&amp;$W699,"")</f>
        <v/>
      </c>
      <c r="AB699" s="27">
        <f>IF(ISNUMBER($F699),$A699&amp;"|"&amp;$F699,"")</f>
        <v/>
      </c>
      <c r="AC699" s="27">
        <f>IF(ISNUMBER($P699),COUNTIFS($A$14:$A$1213,$A699,$P$14:$P$1213,"&gt;"&amp;$P699)+(COUNTIFS($A$14:$A$1213,$A699,$P$14:$P$1213,"="&amp;$P699)+1)/2,"")</f>
        <v/>
      </c>
      <c r="AD699" s="27">
        <f>IF(ISNUMBER($Q699),COUNTIFS($A$14:$A$1213,$A699,$Q$14:$Q$1213,"&gt;"&amp;$Q699)+(COUNTIFS($A$14:$A$1213,$A699,$Q$14:$Q$1213,"="&amp;$Q699)+1)/2,"")</f>
        <v/>
      </c>
      <c r="AE699" s="27">
        <f>IF(ISNUMBER($R699),COUNTIFS($A$14:$A$1213,$A699,$R$14:$R$1213,"&gt;"&amp;$R699)+(COUNTIFS($A$14:$A$1213,$A699,$R$14:$R$1213,"="&amp;$R699)+1)/2,"")</f>
        <v/>
      </c>
      <c r="AF699" s="27">
        <f>IF(ISNUMBER($S699),COUNTIFS($A$14:$A$1213,$A699,$S$14:$S$1213,"&gt;"&amp;$S699)+(COUNTIFS($A$14:$A$1213,$A699,$S$14:$S$1213,"="&amp;$S699)+1)/2,"")</f>
        <v/>
      </c>
      <c r="AG699" s="27">
        <f>IF(ISNUMBER($T699),COUNTIFS($A$14:$A$1213,$A699,$T$14:$T$1213,"&gt;"&amp;$T699)+(COUNTIFS($A$14:$A$1213,$A699,$T$14:$T$1213,"="&amp;$T699)+1)/2,"")</f>
        <v/>
      </c>
      <c r="AH699" s="27">
        <f>IF(COUNT($AC699:$AG699)&lt;2,"",IF(MAX($AC699:$AG699)=MIN($AC699:$AG699),0,1))</f>
        <v/>
      </c>
      <c r="AI699" s="27">
        <f>IF($A699="","",IF(COUNTIF($A$14:$A699,$A699)=1,COUNTIF($AI$13:AI698,"&gt;0")+1,""))</f>
        <v/>
      </c>
      <c r="AO699" s="27">
        <f>IF($A699="","",IF(AND(COUNTIFS($A$14:$A$1213,$A699,$F$14:$F$1213,"&gt;=0")=2,IFERROR(INDEX($M$14:$M$313,MATCH($A699,$H$14:$H$313,0)),"Yes")&lt;&gt;"Yes"),1,0))</f>
        <v/>
      </c>
    </row>
    <row r="700">
      <c r="A700" s="19" t="n"/>
      <c r="B700" s="20" t="n"/>
      <c r="C700" s="21">
        <f>IFERROR(AVERAGE(P700:T700),"")</f>
        <v/>
      </c>
      <c r="D700" s="29" t="n"/>
      <c r="E700" s="29" t="n"/>
      <c r="F700" s="30">
        <f>IF(AND(ISNUMBER($D700),ISNUMBER($E700),$E700&gt;0,$D700&lt;=$E700),$D700/$E700,"")</f>
        <v/>
      </c>
      <c r="P700" s="26" t="n"/>
      <c r="Q700" s="26" t="n"/>
      <c r="R700" s="26" t="n"/>
      <c r="S700" s="26" t="n"/>
      <c r="T700" s="26" t="n"/>
      <c r="V700" s="27">
        <f>IF(ISNUMBER($C700),COUNTIFS($A$14:$A$1213,$A700,$C$14:$C$1213,"&gt;"&amp;$C700)+(COUNTIFS($A$14:$A$1213,$A700,$C$14:$C$1213,"="&amp;$C700)+1)/2,"")</f>
        <v/>
      </c>
      <c r="W700" s="27">
        <f>IF(ISNUMBER($F700),COUNTIFS($A$14:$A$1213,$A700,$F$14:$F$1213,"&gt;"&amp;$F700)+(COUNTIFS($A$14:$A$1213,$A700,$F$14:$F$1213,"="&amp;$F700)+1)/2,"")</f>
        <v/>
      </c>
      <c r="X700" s="27">
        <f>IF(OR(NOT(ISNUMBER($V700)),$AO700=1),"",$V700-(COUNTIFS($A$14:$A$1213,$A700,$C$14:$C$1213,"&gt;=0")+1)/2)</f>
        <v/>
      </c>
      <c r="Y700" s="27">
        <f>IF(OR(NOT(ISNUMBER($W700)),$AO700=1),"",$W700-(COUNTIFS($A$14:$A$1213,$A700,$F$14:$F$1213,"&gt;=0")+1)/2)</f>
        <v/>
      </c>
      <c r="Z700" s="27">
        <f>IF(ISNUMBER($V700),$A700&amp;"|"&amp;$V700,"")</f>
        <v/>
      </c>
      <c r="AA700" s="27">
        <f>IF(ISNUMBER($W700),$A700&amp;"|"&amp;$W700,"")</f>
        <v/>
      </c>
      <c r="AB700" s="27">
        <f>IF(ISNUMBER($F700),$A700&amp;"|"&amp;$F700,"")</f>
        <v/>
      </c>
      <c r="AC700" s="27">
        <f>IF(ISNUMBER($P700),COUNTIFS($A$14:$A$1213,$A700,$P$14:$P$1213,"&gt;"&amp;$P700)+(COUNTIFS($A$14:$A$1213,$A700,$P$14:$P$1213,"="&amp;$P700)+1)/2,"")</f>
        <v/>
      </c>
      <c r="AD700" s="27">
        <f>IF(ISNUMBER($Q700),COUNTIFS($A$14:$A$1213,$A700,$Q$14:$Q$1213,"&gt;"&amp;$Q700)+(COUNTIFS($A$14:$A$1213,$A700,$Q$14:$Q$1213,"="&amp;$Q700)+1)/2,"")</f>
        <v/>
      </c>
      <c r="AE700" s="27">
        <f>IF(ISNUMBER($R700),COUNTIFS($A$14:$A$1213,$A700,$R$14:$R$1213,"&gt;"&amp;$R700)+(COUNTIFS($A$14:$A$1213,$A700,$R$14:$R$1213,"="&amp;$R700)+1)/2,"")</f>
        <v/>
      </c>
      <c r="AF700" s="27">
        <f>IF(ISNUMBER($S700),COUNTIFS($A$14:$A$1213,$A700,$S$14:$S$1213,"&gt;"&amp;$S700)+(COUNTIFS($A$14:$A$1213,$A700,$S$14:$S$1213,"="&amp;$S700)+1)/2,"")</f>
        <v/>
      </c>
      <c r="AG700" s="27">
        <f>IF(ISNUMBER($T700),COUNTIFS($A$14:$A$1213,$A700,$T$14:$T$1213,"&gt;"&amp;$T700)+(COUNTIFS($A$14:$A$1213,$A700,$T$14:$T$1213,"="&amp;$T700)+1)/2,"")</f>
        <v/>
      </c>
      <c r="AH700" s="27">
        <f>IF(COUNT($AC700:$AG700)&lt;2,"",IF(MAX($AC700:$AG700)=MIN($AC700:$AG700),0,1))</f>
        <v/>
      </c>
      <c r="AI700" s="27">
        <f>IF($A700="","",IF(COUNTIF($A$14:$A700,$A700)=1,COUNTIF($AI$13:AI699,"&gt;0")+1,""))</f>
        <v/>
      </c>
      <c r="AO700" s="27">
        <f>IF($A700="","",IF(AND(COUNTIFS($A$14:$A$1213,$A700,$F$14:$F$1213,"&gt;=0")=2,IFERROR(INDEX($M$14:$M$313,MATCH($A700,$H$14:$H$313,0)),"Yes")&lt;&gt;"Yes"),1,0))</f>
        <v/>
      </c>
    </row>
    <row r="701">
      <c r="A701" s="19" t="n"/>
      <c r="B701" s="20" t="n"/>
      <c r="C701" s="21">
        <f>IFERROR(AVERAGE(P701:T701),"")</f>
        <v/>
      </c>
      <c r="D701" s="29" t="n"/>
      <c r="E701" s="29" t="n"/>
      <c r="F701" s="30">
        <f>IF(AND(ISNUMBER($D701),ISNUMBER($E701),$E701&gt;0,$D701&lt;=$E701),$D701/$E701,"")</f>
        <v/>
      </c>
      <c r="P701" s="26" t="n"/>
      <c r="Q701" s="26" t="n"/>
      <c r="R701" s="26" t="n"/>
      <c r="S701" s="26" t="n"/>
      <c r="T701" s="26" t="n"/>
      <c r="V701" s="27">
        <f>IF(ISNUMBER($C701),COUNTIFS($A$14:$A$1213,$A701,$C$14:$C$1213,"&gt;"&amp;$C701)+(COUNTIFS($A$14:$A$1213,$A701,$C$14:$C$1213,"="&amp;$C701)+1)/2,"")</f>
        <v/>
      </c>
      <c r="W701" s="27">
        <f>IF(ISNUMBER($F701),COUNTIFS($A$14:$A$1213,$A701,$F$14:$F$1213,"&gt;"&amp;$F701)+(COUNTIFS($A$14:$A$1213,$A701,$F$14:$F$1213,"="&amp;$F701)+1)/2,"")</f>
        <v/>
      </c>
      <c r="X701" s="27">
        <f>IF(OR(NOT(ISNUMBER($V701)),$AO701=1),"",$V701-(COUNTIFS($A$14:$A$1213,$A701,$C$14:$C$1213,"&gt;=0")+1)/2)</f>
        <v/>
      </c>
      <c r="Y701" s="27">
        <f>IF(OR(NOT(ISNUMBER($W701)),$AO701=1),"",$W701-(COUNTIFS($A$14:$A$1213,$A701,$F$14:$F$1213,"&gt;=0")+1)/2)</f>
        <v/>
      </c>
      <c r="Z701" s="27">
        <f>IF(ISNUMBER($V701),$A701&amp;"|"&amp;$V701,"")</f>
        <v/>
      </c>
      <c r="AA701" s="27">
        <f>IF(ISNUMBER($W701),$A701&amp;"|"&amp;$W701,"")</f>
        <v/>
      </c>
      <c r="AB701" s="27">
        <f>IF(ISNUMBER($F701),$A701&amp;"|"&amp;$F701,"")</f>
        <v/>
      </c>
      <c r="AC701" s="27">
        <f>IF(ISNUMBER($P701),COUNTIFS($A$14:$A$1213,$A701,$P$14:$P$1213,"&gt;"&amp;$P701)+(COUNTIFS($A$14:$A$1213,$A701,$P$14:$P$1213,"="&amp;$P701)+1)/2,"")</f>
        <v/>
      </c>
      <c r="AD701" s="27">
        <f>IF(ISNUMBER($Q701),COUNTIFS($A$14:$A$1213,$A701,$Q$14:$Q$1213,"&gt;"&amp;$Q701)+(COUNTIFS($A$14:$A$1213,$A701,$Q$14:$Q$1213,"="&amp;$Q701)+1)/2,"")</f>
        <v/>
      </c>
      <c r="AE701" s="27">
        <f>IF(ISNUMBER($R701),COUNTIFS($A$14:$A$1213,$A701,$R$14:$R$1213,"&gt;"&amp;$R701)+(COUNTIFS($A$14:$A$1213,$A701,$R$14:$R$1213,"="&amp;$R701)+1)/2,"")</f>
        <v/>
      </c>
      <c r="AF701" s="27">
        <f>IF(ISNUMBER($S701),COUNTIFS($A$14:$A$1213,$A701,$S$14:$S$1213,"&gt;"&amp;$S701)+(COUNTIFS($A$14:$A$1213,$A701,$S$14:$S$1213,"="&amp;$S701)+1)/2,"")</f>
        <v/>
      </c>
      <c r="AG701" s="27">
        <f>IF(ISNUMBER($T701),COUNTIFS($A$14:$A$1213,$A701,$T$14:$T$1213,"&gt;"&amp;$T701)+(COUNTIFS($A$14:$A$1213,$A701,$T$14:$T$1213,"="&amp;$T701)+1)/2,"")</f>
        <v/>
      </c>
      <c r="AH701" s="27">
        <f>IF(COUNT($AC701:$AG701)&lt;2,"",IF(MAX($AC701:$AG701)=MIN($AC701:$AG701),0,1))</f>
        <v/>
      </c>
      <c r="AI701" s="27">
        <f>IF($A701="","",IF(COUNTIF($A$14:$A701,$A701)=1,COUNTIF($AI$13:AI700,"&gt;0")+1,""))</f>
        <v/>
      </c>
      <c r="AO701" s="27">
        <f>IF($A701="","",IF(AND(COUNTIFS($A$14:$A$1213,$A701,$F$14:$F$1213,"&gt;=0")=2,IFERROR(INDEX($M$14:$M$313,MATCH($A701,$H$14:$H$313,0)),"Yes")&lt;&gt;"Yes"),1,0))</f>
        <v/>
      </c>
    </row>
    <row r="702">
      <c r="A702" s="19" t="n"/>
      <c r="B702" s="20" t="n"/>
      <c r="C702" s="21">
        <f>IFERROR(AVERAGE(P702:T702),"")</f>
        <v/>
      </c>
      <c r="D702" s="29" t="n"/>
      <c r="E702" s="29" t="n"/>
      <c r="F702" s="30">
        <f>IF(AND(ISNUMBER($D702),ISNUMBER($E702),$E702&gt;0,$D702&lt;=$E702),$D702/$E702,"")</f>
        <v/>
      </c>
      <c r="P702" s="26" t="n"/>
      <c r="Q702" s="26" t="n"/>
      <c r="R702" s="26" t="n"/>
      <c r="S702" s="26" t="n"/>
      <c r="T702" s="26" t="n"/>
      <c r="V702" s="27">
        <f>IF(ISNUMBER($C702),COUNTIFS($A$14:$A$1213,$A702,$C$14:$C$1213,"&gt;"&amp;$C702)+(COUNTIFS($A$14:$A$1213,$A702,$C$14:$C$1213,"="&amp;$C702)+1)/2,"")</f>
        <v/>
      </c>
      <c r="W702" s="27">
        <f>IF(ISNUMBER($F702),COUNTIFS($A$14:$A$1213,$A702,$F$14:$F$1213,"&gt;"&amp;$F702)+(COUNTIFS($A$14:$A$1213,$A702,$F$14:$F$1213,"="&amp;$F702)+1)/2,"")</f>
        <v/>
      </c>
      <c r="X702" s="27">
        <f>IF(OR(NOT(ISNUMBER($V702)),$AO702=1),"",$V702-(COUNTIFS($A$14:$A$1213,$A702,$C$14:$C$1213,"&gt;=0")+1)/2)</f>
        <v/>
      </c>
      <c r="Y702" s="27">
        <f>IF(OR(NOT(ISNUMBER($W702)),$AO702=1),"",$W702-(COUNTIFS($A$14:$A$1213,$A702,$F$14:$F$1213,"&gt;=0")+1)/2)</f>
        <v/>
      </c>
      <c r="Z702" s="27">
        <f>IF(ISNUMBER($V702),$A702&amp;"|"&amp;$V702,"")</f>
        <v/>
      </c>
      <c r="AA702" s="27">
        <f>IF(ISNUMBER($W702),$A702&amp;"|"&amp;$W702,"")</f>
        <v/>
      </c>
      <c r="AB702" s="27">
        <f>IF(ISNUMBER($F702),$A702&amp;"|"&amp;$F702,"")</f>
        <v/>
      </c>
      <c r="AC702" s="27">
        <f>IF(ISNUMBER($P702),COUNTIFS($A$14:$A$1213,$A702,$P$14:$P$1213,"&gt;"&amp;$P702)+(COUNTIFS($A$14:$A$1213,$A702,$P$14:$P$1213,"="&amp;$P702)+1)/2,"")</f>
        <v/>
      </c>
      <c r="AD702" s="27">
        <f>IF(ISNUMBER($Q702),COUNTIFS($A$14:$A$1213,$A702,$Q$14:$Q$1213,"&gt;"&amp;$Q702)+(COUNTIFS($A$14:$A$1213,$A702,$Q$14:$Q$1213,"="&amp;$Q702)+1)/2,"")</f>
        <v/>
      </c>
      <c r="AE702" s="27">
        <f>IF(ISNUMBER($R702),COUNTIFS($A$14:$A$1213,$A702,$R$14:$R$1213,"&gt;"&amp;$R702)+(COUNTIFS($A$14:$A$1213,$A702,$R$14:$R$1213,"="&amp;$R702)+1)/2,"")</f>
        <v/>
      </c>
      <c r="AF702" s="27">
        <f>IF(ISNUMBER($S702),COUNTIFS($A$14:$A$1213,$A702,$S$14:$S$1213,"&gt;"&amp;$S702)+(COUNTIFS($A$14:$A$1213,$A702,$S$14:$S$1213,"="&amp;$S702)+1)/2,"")</f>
        <v/>
      </c>
      <c r="AG702" s="27">
        <f>IF(ISNUMBER($T702),COUNTIFS($A$14:$A$1213,$A702,$T$14:$T$1213,"&gt;"&amp;$T702)+(COUNTIFS($A$14:$A$1213,$A702,$T$14:$T$1213,"="&amp;$T702)+1)/2,"")</f>
        <v/>
      </c>
      <c r="AH702" s="27">
        <f>IF(COUNT($AC702:$AG702)&lt;2,"",IF(MAX($AC702:$AG702)=MIN($AC702:$AG702),0,1))</f>
        <v/>
      </c>
      <c r="AI702" s="27">
        <f>IF($A702="","",IF(COUNTIF($A$14:$A702,$A702)=1,COUNTIF($AI$13:AI701,"&gt;0")+1,""))</f>
        <v/>
      </c>
      <c r="AO702" s="27">
        <f>IF($A702="","",IF(AND(COUNTIFS($A$14:$A$1213,$A702,$F$14:$F$1213,"&gt;=0")=2,IFERROR(INDEX($M$14:$M$313,MATCH($A702,$H$14:$H$313,0)),"Yes")&lt;&gt;"Yes"),1,0))</f>
        <v/>
      </c>
    </row>
    <row r="703">
      <c r="A703" s="19" t="n"/>
      <c r="B703" s="20" t="n"/>
      <c r="C703" s="21">
        <f>IFERROR(AVERAGE(P703:T703),"")</f>
        <v/>
      </c>
      <c r="D703" s="29" t="n"/>
      <c r="E703" s="29" t="n"/>
      <c r="F703" s="30">
        <f>IF(AND(ISNUMBER($D703),ISNUMBER($E703),$E703&gt;0,$D703&lt;=$E703),$D703/$E703,"")</f>
        <v/>
      </c>
      <c r="P703" s="26" t="n"/>
      <c r="Q703" s="26" t="n"/>
      <c r="R703" s="26" t="n"/>
      <c r="S703" s="26" t="n"/>
      <c r="T703" s="26" t="n"/>
      <c r="V703" s="27">
        <f>IF(ISNUMBER($C703),COUNTIFS($A$14:$A$1213,$A703,$C$14:$C$1213,"&gt;"&amp;$C703)+(COUNTIFS($A$14:$A$1213,$A703,$C$14:$C$1213,"="&amp;$C703)+1)/2,"")</f>
        <v/>
      </c>
      <c r="W703" s="27">
        <f>IF(ISNUMBER($F703),COUNTIFS($A$14:$A$1213,$A703,$F$14:$F$1213,"&gt;"&amp;$F703)+(COUNTIFS($A$14:$A$1213,$A703,$F$14:$F$1213,"="&amp;$F703)+1)/2,"")</f>
        <v/>
      </c>
      <c r="X703" s="27">
        <f>IF(OR(NOT(ISNUMBER($V703)),$AO703=1),"",$V703-(COUNTIFS($A$14:$A$1213,$A703,$C$14:$C$1213,"&gt;=0")+1)/2)</f>
        <v/>
      </c>
      <c r="Y703" s="27">
        <f>IF(OR(NOT(ISNUMBER($W703)),$AO703=1),"",$W703-(COUNTIFS($A$14:$A$1213,$A703,$F$14:$F$1213,"&gt;=0")+1)/2)</f>
        <v/>
      </c>
      <c r="Z703" s="27">
        <f>IF(ISNUMBER($V703),$A703&amp;"|"&amp;$V703,"")</f>
        <v/>
      </c>
      <c r="AA703" s="27">
        <f>IF(ISNUMBER($W703),$A703&amp;"|"&amp;$W703,"")</f>
        <v/>
      </c>
      <c r="AB703" s="27">
        <f>IF(ISNUMBER($F703),$A703&amp;"|"&amp;$F703,"")</f>
        <v/>
      </c>
      <c r="AC703" s="27">
        <f>IF(ISNUMBER($P703),COUNTIFS($A$14:$A$1213,$A703,$P$14:$P$1213,"&gt;"&amp;$P703)+(COUNTIFS($A$14:$A$1213,$A703,$P$14:$P$1213,"="&amp;$P703)+1)/2,"")</f>
        <v/>
      </c>
      <c r="AD703" s="27">
        <f>IF(ISNUMBER($Q703),COUNTIFS($A$14:$A$1213,$A703,$Q$14:$Q$1213,"&gt;"&amp;$Q703)+(COUNTIFS($A$14:$A$1213,$A703,$Q$14:$Q$1213,"="&amp;$Q703)+1)/2,"")</f>
        <v/>
      </c>
      <c r="AE703" s="27">
        <f>IF(ISNUMBER($R703),COUNTIFS($A$14:$A$1213,$A703,$R$14:$R$1213,"&gt;"&amp;$R703)+(COUNTIFS($A$14:$A$1213,$A703,$R$14:$R$1213,"="&amp;$R703)+1)/2,"")</f>
        <v/>
      </c>
      <c r="AF703" s="27">
        <f>IF(ISNUMBER($S703),COUNTIFS($A$14:$A$1213,$A703,$S$14:$S$1213,"&gt;"&amp;$S703)+(COUNTIFS($A$14:$A$1213,$A703,$S$14:$S$1213,"="&amp;$S703)+1)/2,"")</f>
        <v/>
      </c>
      <c r="AG703" s="27">
        <f>IF(ISNUMBER($T703),COUNTIFS($A$14:$A$1213,$A703,$T$14:$T$1213,"&gt;"&amp;$T703)+(COUNTIFS($A$14:$A$1213,$A703,$T$14:$T$1213,"="&amp;$T703)+1)/2,"")</f>
        <v/>
      </c>
      <c r="AH703" s="27">
        <f>IF(COUNT($AC703:$AG703)&lt;2,"",IF(MAX($AC703:$AG703)=MIN($AC703:$AG703),0,1))</f>
        <v/>
      </c>
      <c r="AI703" s="27">
        <f>IF($A703="","",IF(COUNTIF($A$14:$A703,$A703)=1,COUNTIF($AI$13:AI702,"&gt;0")+1,""))</f>
        <v/>
      </c>
      <c r="AO703" s="27">
        <f>IF($A703="","",IF(AND(COUNTIFS($A$14:$A$1213,$A703,$F$14:$F$1213,"&gt;=0")=2,IFERROR(INDEX($M$14:$M$313,MATCH($A703,$H$14:$H$313,0)),"Yes")&lt;&gt;"Yes"),1,0))</f>
        <v/>
      </c>
    </row>
    <row r="704">
      <c r="A704" s="19" t="n"/>
      <c r="B704" s="20" t="n"/>
      <c r="C704" s="21">
        <f>IFERROR(AVERAGE(P704:T704),"")</f>
        <v/>
      </c>
      <c r="D704" s="29" t="n"/>
      <c r="E704" s="29" t="n"/>
      <c r="F704" s="30">
        <f>IF(AND(ISNUMBER($D704),ISNUMBER($E704),$E704&gt;0,$D704&lt;=$E704),$D704/$E704,"")</f>
        <v/>
      </c>
      <c r="P704" s="26" t="n"/>
      <c r="Q704" s="26" t="n"/>
      <c r="R704" s="26" t="n"/>
      <c r="S704" s="26" t="n"/>
      <c r="T704" s="26" t="n"/>
      <c r="V704" s="27">
        <f>IF(ISNUMBER($C704),COUNTIFS($A$14:$A$1213,$A704,$C$14:$C$1213,"&gt;"&amp;$C704)+(COUNTIFS($A$14:$A$1213,$A704,$C$14:$C$1213,"="&amp;$C704)+1)/2,"")</f>
        <v/>
      </c>
      <c r="W704" s="27">
        <f>IF(ISNUMBER($F704),COUNTIFS($A$14:$A$1213,$A704,$F$14:$F$1213,"&gt;"&amp;$F704)+(COUNTIFS($A$14:$A$1213,$A704,$F$14:$F$1213,"="&amp;$F704)+1)/2,"")</f>
        <v/>
      </c>
      <c r="X704" s="27">
        <f>IF(OR(NOT(ISNUMBER($V704)),$AO704=1),"",$V704-(COUNTIFS($A$14:$A$1213,$A704,$C$14:$C$1213,"&gt;=0")+1)/2)</f>
        <v/>
      </c>
      <c r="Y704" s="27">
        <f>IF(OR(NOT(ISNUMBER($W704)),$AO704=1),"",$W704-(COUNTIFS($A$14:$A$1213,$A704,$F$14:$F$1213,"&gt;=0")+1)/2)</f>
        <v/>
      </c>
      <c r="Z704" s="27">
        <f>IF(ISNUMBER($V704),$A704&amp;"|"&amp;$V704,"")</f>
        <v/>
      </c>
      <c r="AA704" s="27">
        <f>IF(ISNUMBER($W704),$A704&amp;"|"&amp;$W704,"")</f>
        <v/>
      </c>
      <c r="AB704" s="27">
        <f>IF(ISNUMBER($F704),$A704&amp;"|"&amp;$F704,"")</f>
        <v/>
      </c>
      <c r="AC704" s="27">
        <f>IF(ISNUMBER($P704),COUNTIFS($A$14:$A$1213,$A704,$P$14:$P$1213,"&gt;"&amp;$P704)+(COUNTIFS($A$14:$A$1213,$A704,$P$14:$P$1213,"="&amp;$P704)+1)/2,"")</f>
        <v/>
      </c>
      <c r="AD704" s="27">
        <f>IF(ISNUMBER($Q704),COUNTIFS($A$14:$A$1213,$A704,$Q$14:$Q$1213,"&gt;"&amp;$Q704)+(COUNTIFS($A$14:$A$1213,$A704,$Q$14:$Q$1213,"="&amp;$Q704)+1)/2,"")</f>
        <v/>
      </c>
      <c r="AE704" s="27">
        <f>IF(ISNUMBER($R704),COUNTIFS($A$14:$A$1213,$A704,$R$14:$R$1213,"&gt;"&amp;$R704)+(COUNTIFS($A$14:$A$1213,$A704,$R$14:$R$1213,"="&amp;$R704)+1)/2,"")</f>
        <v/>
      </c>
      <c r="AF704" s="27">
        <f>IF(ISNUMBER($S704),COUNTIFS($A$14:$A$1213,$A704,$S$14:$S$1213,"&gt;"&amp;$S704)+(COUNTIFS($A$14:$A$1213,$A704,$S$14:$S$1213,"="&amp;$S704)+1)/2,"")</f>
        <v/>
      </c>
      <c r="AG704" s="27">
        <f>IF(ISNUMBER($T704),COUNTIFS($A$14:$A$1213,$A704,$T$14:$T$1213,"&gt;"&amp;$T704)+(COUNTIFS($A$14:$A$1213,$A704,$T$14:$T$1213,"="&amp;$T704)+1)/2,"")</f>
        <v/>
      </c>
      <c r="AH704" s="27">
        <f>IF(COUNT($AC704:$AG704)&lt;2,"",IF(MAX($AC704:$AG704)=MIN($AC704:$AG704),0,1))</f>
        <v/>
      </c>
      <c r="AI704" s="27">
        <f>IF($A704="","",IF(COUNTIF($A$14:$A704,$A704)=1,COUNTIF($AI$13:AI703,"&gt;0")+1,""))</f>
        <v/>
      </c>
      <c r="AO704" s="27">
        <f>IF($A704="","",IF(AND(COUNTIFS($A$14:$A$1213,$A704,$F$14:$F$1213,"&gt;=0")=2,IFERROR(INDEX($M$14:$M$313,MATCH($A704,$H$14:$H$313,0)),"Yes")&lt;&gt;"Yes"),1,0))</f>
        <v/>
      </c>
    </row>
    <row r="705">
      <c r="A705" s="19" t="n"/>
      <c r="B705" s="20" t="n"/>
      <c r="C705" s="21">
        <f>IFERROR(AVERAGE(P705:T705),"")</f>
        <v/>
      </c>
      <c r="D705" s="29" t="n"/>
      <c r="E705" s="29" t="n"/>
      <c r="F705" s="30">
        <f>IF(AND(ISNUMBER($D705),ISNUMBER($E705),$E705&gt;0,$D705&lt;=$E705),$D705/$E705,"")</f>
        <v/>
      </c>
      <c r="P705" s="26" t="n"/>
      <c r="Q705" s="26" t="n"/>
      <c r="R705" s="26" t="n"/>
      <c r="S705" s="26" t="n"/>
      <c r="T705" s="26" t="n"/>
      <c r="V705" s="27">
        <f>IF(ISNUMBER($C705),COUNTIFS($A$14:$A$1213,$A705,$C$14:$C$1213,"&gt;"&amp;$C705)+(COUNTIFS($A$14:$A$1213,$A705,$C$14:$C$1213,"="&amp;$C705)+1)/2,"")</f>
        <v/>
      </c>
      <c r="W705" s="27">
        <f>IF(ISNUMBER($F705),COUNTIFS($A$14:$A$1213,$A705,$F$14:$F$1213,"&gt;"&amp;$F705)+(COUNTIFS($A$14:$A$1213,$A705,$F$14:$F$1213,"="&amp;$F705)+1)/2,"")</f>
        <v/>
      </c>
      <c r="X705" s="27">
        <f>IF(OR(NOT(ISNUMBER($V705)),$AO705=1),"",$V705-(COUNTIFS($A$14:$A$1213,$A705,$C$14:$C$1213,"&gt;=0")+1)/2)</f>
        <v/>
      </c>
      <c r="Y705" s="27">
        <f>IF(OR(NOT(ISNUMBER($W705)),$AO705=1),"",$W705-(COUNTIFS($A$14:$A$1213,$A705,$F$14:$F$1213,"&gt;=0")+1)/2)</f>
        <v/>
      </c>
      <c r="Z705" s="27">
        <f>IF(ISNUMBER($V705),$A705&amp;"|"&amp;$V705,"")</f>
        <v/>
      </c>
      <c r="AA705" s="27">
        <f>IF(ISNUMBER($W705),$A705&amp;"|"&amp;$W705,"")</f>
        <v/>
      </c>
      <c r="AB705" s="27">
        <f>IF(ISNUMBER($F705),$A705&amp;"|"&amp;$F705,"")</f>
        <v/>
      </c>
      <c r="AC705" s="27">
        <f>IF(ISNUMBER($P705),COUNTIFS($A$14:$A$1213,$A705,$P$14:$P$1213,"&gt;"&amp;$P705)+(COUNTIFS($A$14:$A$1213,$A705,$P$14:$P$1213,"="&amp;$P705)+1)/2,"")</f>
        <v/>
      </c>
      <c r="AD705" s="27">
        <f>IF(ISNUMBER($Q705),COUNTIFS($A$14:$A$1213,$A705,$Q$14:$Q$1213,"&gt;"&amp;$Q705)+(COUNTIFS($A$14:$A$1213,$A705,$Q$14:$Q$1213,"="&amp;$Q705)+1)/2,"")</f>
        <v/>
      </c>
      <c r="AE705" s="27">
        <f>IF(ISNUMBER($R705),COUNTIFS($A$14:$A$1213,$A705,$R$14:$R$1213,"&gt;"&amp;$R705)+(COUNTIFS($A$14:$A$1213,$A705,$R$14:$R$1213,"="&amp;$R705)+1)/2,"")</f>
        <v/>
      </c>
      <c r="AF705" s="27">
        <f>IF(ISNUMBER($S705),COUNTIFS($A$14:$A$1213,$A705,$S$14:$S$1213,"&gt;"&amp;$S705)+(COUNTIFS($A$14:$A$1213,$A705,$S$14:$S$1213,"="&amp;$S705)+1)/2,"")</f>
        <v/>
      </c>
      <c r="AG705" s="27">
        <f>IF(ISNUMBER($T705),COUNTIFS($A$14:$A$1213,$A705,$T$14:$T$1213,"&gt;"&amp;$T705)+(COUNTIFS($A$14:$A$1213,$A705,$T$14:$T$1213,"="&amp;$T705)+1)/2,"")</f>
        <v/>
      </c>
      <c r="AH705" s="27">
        <f>IF(COUNT($AC705:$AG705)&lt;2,"",IF(MAX($AC705:$AG705)=MIN($AC705:$AG705),0,1))</f>
        <v/>
      </c>
      <c r="AI705" s="27">
        <f>IF($A705="","",IF(COUNTIF($A$14:$A705,$A705)=1,COUNTIF($AI$13:AI704,"&gt;0")+1,""))</f>
        <v/>
      </c>
      <c r="AO705" s="27">
        <f>IF($A705="","",IF(AND(COUNTIFS($A$14:$A$1213,$A705,$F$14:$F$1213,"&gt;=0")=2,IFERROR(INDEX($M$14:$M$313,MATCH($A705,$H$14:$H$313,0)),"Yes")&lt;&gt;"Yes"),1,0))</f>
        <v/>
      </c>
    </row>
    <row r="706">
      <c r="A706" s="19" t="n"/>
      <c r="B706" s="20" t="n"/>
      <c r="C706" s="21">
        <f>IFERROR(AVERAGE(P706:T706),"")</f>
        <v/>
      </c>
      <c r="D706" s="29" t="n"/>
      <c r="E706" s="29" t="n"/>
      <c r="F706" s="30">
        <f>IF(AND(ISNUMBER($D706),ISNUMBER($E706),$E706&gt;0,$D706&lt;=$E706),$D706/$E706,"")</f>
        <v/>
      </c>
      <c r="P706" s="26" t="n"/>
      <c r="Q706" s="26" t="n"/>
      <c r="R706" s="26" t="n"/>
      <c r="S706" s="26" t="n"/>
      <c r="T706" s="26" t="n"/>
      <c r="V706" s="27">
        <f>IF(ISNUMBER($C706),COUNTIFS($A$14:$A$1213,$A706,$C$14:$C$1213,"&gt;"&amp;$C706)+(COUNTIFS($A$14:$A$1213,$A706,$C$14:$C$1213,"="&amp;$C706)+1)/2,"")</f>
        <v/>
      </c>
      <c r="W706" s="27">
        <f>IF(ISNUMBER($F706),COUNTIFS($A$14:$A$1213,$A706,$F$14:$F$1213,"&gt;"&amp;$F706)+(COUNTIFS($A$14:$A$1213,$A706,$F$14:$F$1213,"="&amp;$F706)+1)/2,"")</f>
        <v/>
      </c>
      <c r="X706" s="27">
        <f>IF(OR(NOT(ISNUMBER($V706)),$AO706=1),"",$V706-(COUNTIFS($A$14:$A$1213,$A706,$C$14:$C$1213,"&gt;=0")+1)/2)</f>
        <v/>
      </c>
      <c r="Y706" s="27">
        <f>IF(OR(NOT(ISNUMBER($W706)),$AO706=1),"",$W706-(COUNTIFS($A$14:$A$1213,$A706,$F$14:$F$1213,"&gt;=0")+1)/2)</f>
        <v/>
      </c>
      <c r="Z706" s="27">
        <f>IF(ISNUMBER($V706),$A706&amp;"|"&amp;$V706,"")</f>
        <v/>
      </c>
      <c r="AA706" s="27">
        <f>IF(ISNUMBER($W706),$A706&amp;"|"&amp;$W706,"")</f>
        <v/>
      </c>
      <c r="AB706" s="27">
        <f>IF(ISNUMBER($F706),$A706&amp;"|"&amp;$F706,"")</f>
        <v/>
      </c>
      <c r="AC706" s="27">
        <f>IF(ISNUMBER($P706),COUNTIFS($A$14:$A$1213,$A706,$P$14:$P$1213,"&gt;"&amp;$P706)+(COUNTIFS($A$14:$A$1213,$A706,$P$14:$P$1213,"="&amp;$P706)+1)/2,"")</f>
        <v/>
      </c>
      <c r="AD706" s="27">
        <f>IF(ISNUMBER($Q706),COUNTIFS($A$14:$A$1213,$A706,$Q$14:$Q$1213,"&gt;"&amp;$Q706)+(COUNTIFS($A$14:$A$1213,$A706,$Q$14:$Q$1213,"="&amp;$Q706)+1)/2,"")</f>
        <v/>
      </c>
      <c r="AE706" s="27">
        <f>IF(ISNUMBER($R706),COUNTIFS($A$14:$A$1213,$A706,$R$14:$R$1213,"&gt;"&amp;$R706)+(COUNTIFS($A$14:$A$1213,$A706,$R$14:$R$1213,"="&amp;$R706)+1)/2,"")</f>
        <v/>
      </c>
      <c r="AF706" s="27">
        <f>IF(ISNUMBER($S706),COUNTIFS($A$14:$A$1213,$A706,$S$14:$S$1213,"&gt;"&amp;$S706)+(COUNTIFS($A$14:$A$1213,$A706,$S$14:$S$1213,"="&amp;$S706)+1)/2,"")</f>
        <v/>
      </c>
      <c r="AG706" s="27">
        <f>IF(ISNUMBER($T706),COUNTIFS($A$14:$A$1213,$A706,$T$14:$T$1213,"&gt;"&amp;$T706)+(COUNTIFS($A$14:$A$1213,$A706,$T$14:$T$1213,"="&amp;$T706)+1)/2,"")</f>
        <v/>
      </c>
      <c r="AH706" s="27">
        <f>IF(COUNT($AC706:$AG706)&lt;2,"",IF(MAX($AC706:$AG706)=MIN($AC706:$AG706),0,1))</f>
        <v/>
      </c>
      <c r="AI706" s="27">
        <f>IF($A706="","",IF(COUNTIF($A$14:$A706,$A706)=1,COUNTIF($AI$13:AI705,"&gt;0")+1,""))</f>
        <v/>
      </c>
      <c r="AO706" s="27">
        <f>IF($A706="","",IF(AND(COUNTIFS($A$14:$A$1213,$A706,$F$14:$F$1213,"&gt;=0")=2,IFERROR(INDEX($M$14:$M$313,MATCH($A706,$H$14:$H$313,0)),"Yes")&lt;&gt;"Yes"),1,0))</f>
        <v/>
      </c>
    </row>
    <row r="707">
      <c r="A707" s="19" t="n"/>
      <c r="B707" s="20" t="n"/>
      <c r="C707" s="21">
        <f>IFERROR(AVERAGE(P707:T707),"")</f>
        <v/>
      </c>
      <c r="D707" s="29" t="n"/>
      <c r="E707" s="29" t="n"/>
      <c r="F707" s="30">
        <f>IF(AND(ISNUMBER($D707),ISNUMBER($E707),$E707&gt;0,$D707&lt;=$E707),$D707/$E707,"")</f>
        <v/>
      </c>
      <c r="P707" s="26" t="n"/>
      <c r="Q707" s="26" t="n"/>
      <c r="R707" s="26" t="n"/>
      <c r="S707" s="26" t="n"/>
      <c r="T707" s="26" t="n"/>
      <c r="V707" s="27">
        <f>IF(ISNUMBER($C707),COUNTIFS($A$14:$A$1213,$A707,$C$14:$C$1213,"&gt;"&amp;$C707)+(COUNTIFS($A$14:$A$1213,$A707,$C$14:$C$1213,"="&amp;$C707)+1)/2,"")</f>
        <v/>
      </c>
      <c r="W707" s="27">
        <f>IF(ISNUMBER($F707),COUNTIFS($A$14:$A$1213,$A707,$F$14:$F$1213,"&gt;"&amp;$F707)+(COUNTIFS($A$14:$A$1213,$A707,$F$14:$F$1213,"="&amp;$F707)+1)/2,"")</f>
        <v/>
      </c>
      <c r="X707" s="27">
        <f>IF(OR(NOT(ISNUMBER($V707)),$AO707=1),"",$V707-(COUNTIFS($A$14:$A$1213,$A707,$C$14:$C$1213,"&gt;=0")+1)/2)</f>
        <v/>
      </c>
      <c r="Y707" s="27">
        <f>IF(OR(NOT(ISNUMBER($W707)),$AO707=1),"",$W707-(COUNTIFS($A$14:$A$1213,$A707,$F$14:$F$1213,"&gt;=0")+1)/2)</f>
        <v/>
      </c>
      <c r="Z707" s="27">
        <f>IF(ISNUMBER($V707),$A707&amp;"|"&amp;$V707,"")</f>
        <v/>
      </c>
      <c r="AA707" s="27">
        <f>IF(ISNUMBER($W707),$A707&amp;"|"&amp;$W707,"")</f>
        <v/>
      </c>
      <c r="AB707" s="27">
        <f>IF(ISNUMBER($F707),$A707&amp;"|"&amp;$F707,"")</f>
        <v/>
      </c>
      <c r="AC707" s="27">
        <f>IF(ISNUMBER($P707),COUNTIFS($A$14:$A$1213,$A707,$P$14:$P$1213,"&gt;"&amp;$P707)+(COUNTIFS($A$14:$A$1213,$A707,$P$14:$P$1213,"="&amp;$P707)+1)/2,"")</f>
        <v/>
      </c>
      <c r="AD707" s="27">
        <f>IF(ISNUMBER($Q707),COUNTIFS($A$14:$A$1213,$A707,$Q$14:$Q$1213,"&gt;"&amp;$Q707)+(COUNTIFS($A$14:$A$1213,$A707,$Q$14:$Q$1213,"="&amp;$Q707)+1)/2,"")</f>
        <v/>
      </c>
      <c r="AE707" s="27">
        <f>IF(ISNUMBER($R707),COUNTIFS($A$14:$A$1213,$A707,$R$14:$R$1213,"&gt;"&amp;$R707)+(COUNTIFS($A$14:$A$1213,$A707,$R$14:$R$1213,"="&amp;$R707)+1)/2,"")</f>
        <v/>
      </c>
      <c r="AF707" s="27">
        <f>IF(ISNUMBER($S707),COUNTIFS($A$14:$A$1213,$A707,$S$14:$S$1213,"&gt;"&amp;$S707)+(COUNTIFS($A$14:$A$1213,$A707,$S$14:$S$1213,"="&amp;$S707)+1)/2,"")</f>
        <v/>
      </c>
      <c r="AG707" s="27">
        <f>IF(ISNUMBER($T707),COUNTIFS($A$14:$A$1213,$A707,$T$14:$T$1213,"&gt;"&amp;$T707)+(COUNTIFS($A$14:$A$1213,$A707,$T$14:$T$1213,"="&amp;$T707)+1)/2,"")</f>
        <v/>
      </c>
      <c r="AH707" s="27">
        <f>IF(COUNT($AC707:$AG707)&lt;2,"",IF(MAX($AC707:$AG707)=MIN($AC707:$AG707),0,1))</f>
        <v/>
      </c>
      <c r="AI707" s="27">
        <f>IF($A707="","",IF(COUNTIF($A$14:$A707,$A707)=1,COUNTIF($AI$13:AI706,"&gt;0")+1,""))</f>
        <v/>
      </c>
      <c r="AO707" s="27">
        <f>IF($A707="","",IF(AND(COUNTIFS($A$14:$A$1213,$A707,$F$14:$F$1213,"&gt;=0")=2,IFERROR(INDEX($M$14:$M$313,MATCH($A707,$H$14:$H$313,0)),"Yes")&lt;&gt;"Yes"),1,0))</f>
        <v/>
      </c>
    </row>
    <row r="708">
      <c r="A708" s="19" t="n"/>
      <c r="B708" s="20" t="n"/>
      <c r="C708" s="21">
        <f>IFERROR(AVERAGE(P708:T708),"")</f>
        <v/>
      </c>
      <c r="D708" s="29" t="n"/>
      <c r="E708" s="29" t="n"/>
      <c r="F708" s="30">
        <f>IF(AND(ISNUMBER($D708),ISNUMBER($E708),$E708&gt;0,$D708&lt;=$E708),$D708/$E708,"")</f>
        <v/>
      </c>
      <c r="P708" s="26" t="n"/>
      <c r="Q708" s="26" t="n"/>
      <c r="R708" s="26" t="n"/>
      <c r="S708" s="26" t="n"/>
      <c r="T708" s="26" t="n"/>
      <c r="V708" s="27">
        <f>IF(ISNUMBER($C708),COUNTIFS($A$14:$A$1213,$A708,$C$14:$C$1213,"&gt;"&amp;$C708)+(COUNTIFS($A$14:$A$1213,$A708,$C$14:$C$1213,"="&amp;$C708)+1)/2,"")</f>
        <v/>
      </c>
      <c r="W708" s="27">
        <f>IF(ISNUMBER($F708),COUNTIFS($A$14:$A$1213,$A708,$F$14:$F$1213,"&gt;"&amp;$F708)+(COUNTIFS($A$14:$A$1213,$A708,$F$14:$F$1213,"="&amp;$F708)+1)/2,"")</f>
        <v/>
      </c>
      <c r="X708" s="27">
        <f>IF(OR(NOT(ISNUMBER($V708)),$AO708=1),"",$V708-(COUNTIFS($A$14:$A$1213,$A708,$C$14:$C$1213,"&gt;=0")+1)/2)</f>
        <v/>
      </c>
      <c r="Y708" s="27">
        <f>IF(OR(NOT(ISNUMBER($W708)),$AO708=1),"",$W708-(COUNTIFS($A$14:$A$1213,$A708,$F$14:$F$1213,"&gt;=0")+1)/2)</f>
        <v/>
      </c>
      <c r="Z708" s="27">
        <f>IF(ISNUMBER($V708),$A708&amp;"|"&amp;$V708,"")</f>
        <v/>
      </c>
      <c r="AA708" s="27">
        <f>IF(ISNUMBER($W708),$A708&amp;"|"&amp;$W708,"")</f>
        <v/>
      </c>
      <c r="AB708" s="27">
        <f>IF(ISNUMBER($F708),$A708&amp;"|"&amp;$F708,"")</f>
        <v/>
      </c>
      <c r="AC708" s="27">
        <f>IF(ISNUMBER($P708),COUNTIFS($A$14:$A$1213,$A708,$P$14:$P$1213,"&gt;"&amp;$P708)+(COUNTIFS($A$14:$A$1213,$A708,$P$14:$P$1213,"="&amp;$P708)+1)/2,"")</f>
        <v/>
      </c>
      <c r="AD708" s="27">
        <f>IF(ISNUMBER($Q708),COUNTIFS($A$14:$A$1213,$A708,$Q$14:$Q$1213,"&gt;"&amp;$Q708)+(COUNTIFS($A$14:$A$1213,$A708,$Q$14:$Q$1213,"="&amp;$Q708)+1)/2,"")</f>
        <v/>
      </c>
      <c r="AE708" s="27">
        <f>IF(ISNUMBER($R708),COUNTIFS($A$14:$A$1213,$A708,$R$14:$R$1213,"&gt;"&amp;$R708)+(COUNTIFS($A$14:$A$1213,$A708,$R$14:$R$1213,"="&amp;$R708)+1)/2,"")</f>
        <v/>
      </c>
      <c r="AF708" s="27">
        <f>IF(ISNUMBER($S708),COUNTIFS($A$14:$A$1213,$A708,$S$14:$S$1213,"&gt;"&amp;$S708)+(COUNTIFS($A$14:$A$1213,$A708,$S$14:$S$1213,"="&amp;$S708)+1)/2,"")</f>
        <v/>
      </c>
      <c r="AG708" s="27">
        <f>IF(ISNUMBER($T708),COUNTIFS($A$14:$A$1213,$A708,$T$14:$T$1213,"&gt;"&amp;$T708)+(COUNTIFS($A$14:$A$1213,$A708,$T$14:$T$1213,"="&amp;$T708)+1)/2,"")</f>
        <v/>
      </c>
      <c r="AH708" s="27">
        <f>IF(COUNT($AC708:$AG708)&lt;2,"",IF(MAX($AC708:$AG708)=MIN($AC708:$AG708),0,1))</f>
        <v/>
      </c>
      <c r="AI708" s="27">
        <f>IF($A708="","",IF(COUNTIF($A$14:$A708,$A708)=1,COUNTIF($AI$13:AI707,"&gt;0")+1,""))</f>
        <v/>
      </c>
      <c r="AO708" s="27">
        <f>IF($A708="","",IF(AND(COUNTIFS($A$14:$A$1213,$A708,$F$14:$F$1213,"&gt;=0")=2,IFERROR(INDEX($M$14:$M$313,MATCH($A708,$H$14:$H$313,0)),"Yes")&lt;&gt;"Yes"),1,0))</f>
        <v/>
      </c>
    </row>
    <row r="709">
      <c r="A709" s="19" t="n"/>
      <c r="B709" s="20" t="n"/>
      <c r="C709" s="21">
        <f>IFERROR(AVERAGE(P709:T709),"")</f>
        <v/>
      </c>
      <c r="D709" s="29" t="n"/>
      <c r="E709" s="29" t="n"/>
      <c r="F709" s="30">
        <f>IF(AND(ISNUMBER($D709),ISNUMBER($E709),$E709&gt;0,$D709&lt;=$E709),$D709/$E709,"")</f>
        <v/>
      </c>
      <c r="P709" s="26" t="n"/>
      <c r="Q709" s="26" t="n"/>
      <c r="R709" s="26" t="n"/>
      <c r="S709" s="26" t="n"/>
      <c r="T709" s="26" t="n"/>
      <c r="V709" s="27">
        <f>IF(ISNUMBER($C709),COUNTIFS($A$14:$A$1213,$A709,$C$14:$C$1213,"&gt;"&amp;$C709)+(COUNTIFS($A$14:$A$1213,$A709,$C$14:$C$1213,"="&amp;$C709)+1)/2,"")</f>
        <v/>
      </c>
      <c r="W709" s="27">
        <f>IF(ISNUMBER($F709),COUNTIFS($A$14:$A$1213,$A709,$F$14:$F$1213,"&gt;"&amp;$F709)+(COUNTIFS($A$14:$A$1213,$A709,$F$14:$F$1213,"="&amp;$F709)+1)/2,"")</f>
        <v/>
      </c>
      <c r="X709" s="27">
        <f>IF(OR(NOT(ISNUMBER($V709)),$AO709=1),"",$V709-(COUNTIFS($A$14:$A$1213,$A709,$C$14:$C$1213,"&gt;=0")+1)/2)</f>
        <v/>
      </c>
      <c r="Y709" s="27">
        <f>IF(OR(NOT(ISNUMBER($W709)),$AO709=1),"",$W709-(COUNTIFS($A$14:$A$1213,$A709,$F$14:$F$1213,"&gt;=0")+1)/2)</f>
        <v/>
      </c>
      <c r="Z709" s="27">
        <f>IF(ISNUMBER($V709),$A709&amp;"|"&amp;$V709,"")</f>
        <v/>
      </c>
      <c r="AA709" s="27">
        <f>IF(ISNUMBER($W709),$A709&amp;"|"&amp;$W709,"")</f>
        <v/>
      </c>
      <c r="AB709" s="27">
        <f>IF(ISNUMBER($F709),$A709&amp;"|"&amp;$F709,"")</f>
        <v/>
      </c>
      <c r="AC709" s="27">
        <f>IF(ISNUMBER($P709),COUNTIFS($A$14:$A$1213,$A709,$P$14:$P$1213,"&gt;"&amp;$P709)+(COUNTIFS($A$14:$A$1213,$A709,$P$14:$P$1213,"="&amp;$P709)+1)/2,"")</f>
        <v/>
      </c>
      <c r="AD709" s="27">
        <f>IF(ISNUMBER($Q709),COUNTIFS($A$14:$A$1213,$A709,$Q$14:$Q$1213,"&gt;"&amp;$Q709)+(COUNTIFS($A$14:$A$1213,$A709,$Q$14:$Q$1213,"="&amp;$Q709)+1)/2,"")</f>
        <v/>
      </c>
      <c r="AE709" s="27">
        <f>IF(ISNUMBER($R709),COUNTIFS($A$14:$A$1213,$A709,$R$14:$R$1213,"&gt;"&amp;$R709)+(COUNTIFS($A$14:$A$1213,$A709,$R$14:$R$1213,"="&amp;$R709)+1)/2,"")</f>
        <v/>
      </c>
      <c r="AF709" s="27">
        <f>IF(ISNUMBER($S709),COUNTIFS($A$14:$A$1213,$A709,$S$14:$S$1213,"&gt;"&amp;$S709)+(COUNTIFS($A$14:$A$1213,$A709,$S$14:$S$1213,"="&amp;$S709)+1)/2,"")</f>
        <v/>
      </c>
      <c r="AG709" s="27">
        <f>IF(ISNUMBER($T709),COUNTIFS($A$14:$A$1213,$A709,$T$14:$T$1213,"&gt;"&amp;$T709)+(COUNTIFS($A$14:$A$1213,$A709,$T$14:$T$1213,"="&amp;$T709)+1)/2,"")</f>
        <v/>
      </c>
      <c r="AH709" s="27">
        <f>IF(COUNT($AC709:$AG709)&lt;2,"",IF(MAX($AC709:$AG709)=MIN($AC709:$AG709),0,1))</f>
        <v/>
      </c>
      <c r="AI709" s="27">
        <f>IF($A709="","",IF(COUNTIF($A$14:$A709,$A709)=1,COUNTIF($AI$13:AI708,"&gt;0")+1,""))</f>
        <v/>
      </c>
      <c r="AO709" s="27">
        <f>IF($A709="","",IF(AND(COUNTIFS($A$14:$A$1213,$A709,$F$14:$F$1213,"&gt;=0")=2,IFERROR(INDEX($M$14:$M$313,MATCH($A709,$H$14:$H$313,0)),"Yes")&lt;&gt;"Yes"),1,0))</f>
        <v/>
      </c>
    </row>
    <row r="710">
      <c r="A710" s="19" t="n"/>
      <c r="B710" s="20" t="n"/>
      <c r="C710" s="21">
        <f>IFERROR(AVERAGE(P710:T710),"")</f>
        <v/>
      </c>
      <c r="D710" s="29" t="n"/>
      <c r="E710" s="29" t="n"/>
      <c r="F710" s="30">
        <f>IF(AND(ISNUMBER($D710),ISNUMBER($E710),$E710&gt;0,$D710&lt;=$E710),$D710/$E710,"")</f>
        <v/>
      </c>
      <c r="P710" s="26" t="n"/>
      <c r="Q710" s="26" t="n"/>
      <c r="R710" s="26" t="n"/>
      <c r="S710" s="26" t="n"/>
      <c r="T710" s="26" t="n"/>
      <c r="V710" s="27">
        <f>IF(ISNUMBER($C710),COUNTIFS($A$14:$A$1213,$A710,$C$14:$C$1213,"&gt;"&amp;$C710)+(COUNTIFS($A$14:$A$1213,$A710,$C$14:$C$1213,"="&amp;$C710)+1)/2,"")</f>
        <v/>
      </c>
      <c r="W710" s="27">
        <f>IF(ISNUMBER($F710),COUNTIFS($A$14:$A$1213,$A710,$F$14:$F$1213,"&gt;"&amp;$F710)+(COUNTIFS($A$14:$A$1213,$A710,$F$14:$F$1213,"="&amp;$F710)+1)/2,"")</f>
        <v/>
      </c>
      <c r="X710" s="27">
        <f>IF(OR(NOT(ISNUMBER($V710)),$AO710=1),"",$V710-(COUNTIFS($A$14:$A$1213,$A710,$C$14:$C$1213,"&gt;=0")+1)/2)</f>
        <v/>
      </c>
      <c r="Y710" s="27">
        <f>IF(OR(NOT(ISNUMBER($W710)),$AO710=1),"",$W710-(COUNTIFS($A$14:$A$1213,$A710,$F$14:$F$1213,"&gt;=0")+1)/2)</f>
        <v/>
      </c>
      <c r="Z710" s="27">
        <f>IF(ISNUMBER($V710),$A710&amp;"|"&amp;$V710,"")</f>
        <v/>
      </c>
      <c r="AA710" s="27">
        <f>IF(ISNUMBER($W710),$A710&amp;"|"&amp;$W710,"")</f>
        <v/>
      </c>
      <c r="AB710" s="27">
        <f>IF(ISNUMBER($F710),$A710&amp;"|"&amp;$F710,"")</f>
        <v/>
      </c>
      <c r="AC710" s="27">
        <f>IF(ISNUMBER($P710),COUNTIFS($A$14:$A$1213,$A710,$P$14:$P$1213,"&gt;"&amp;$P710)+(COUNTIFS($A$14:$A$1213,$A710,$P$14:$P$1213,"="&amp;$P710)+1)/2,"")</f>
        <v/>
      </c>
      <c r="AD710" s="27">
        <f>IF(ISNUMBER($Q710),COUNTIFS($A$14:$A$1213,$A710,$Q$14:$Q$1213,"&gt;"&amp;$Q710)+(COUNTIFS($A$14:$A$1213,$A710,$Q$14:$Q$1213,"="&amp;$Q710)+1)/2,"")</f>
        <v/>
      </c>
      <c r="AE710" s="27">
        <f>IF(ISNUMBER($R710),COUNTIFS($A$14:$A$1213,$A710,$R$14:$R$1213,"&gt;"&amp;$R710)+(COUNTIFS($A$14:$A$1213,$A710,$R$14:$R$1213,"="&amp;$R710)+1)/2,"")</f>
        <v/>
      </c>
      <c r="AF710" s="27">
        <f>IF(ISNUMBER($S710),COUNTIFS($A$14:$A$1213,$A710,$S$14:$S$1213,"&gt;"&amp;$S710)+(COUNTIFS($A$14:$A$1213,$A710,$S$14:$S$1213,"="&amp;$S710)+1)/2,"")</f>
        <v/>
      </c>
      <c r="AG710" s="27">
        <f>IF(ISNUMBER($T710),COUNTIFS($A$14:$A$1213,$A710,$T$14:$T$1213,"&gt;"&amp;$T710)+(COUNTIFS($A$14:$A$1213,$A710,$T$14:$T$1213,"="&amp;$T710)+1)/2,"")</f>
        <v/>
      </c>
      <c r="AH710" s="27">
        <f>IF(COUNT($AC710:$AG710)&lt;2,"",IF(MAX($AC710:$AG710)=MIN($AC710:$AG710),0,1))</f>
        <v/>
      </c>
      <c r="AI710" s="27">
        <f>IF($A710="","",IF(COUNTIF($A$14:$A710,$A710)=1,COUNTIF($AI$13:AI709,"&gt;0")+1,""))</f>
        <v/>
      </c>
      <c r="AO710" s="27">
        <f>IF($A710="","",IF(AND(COUNTIFS($A$14:$A$1213,$A710,$F$14:$F$1213,"&gt;=0")=2,IFERROR(INDEX($M$14:$M$313,MATCH($A710,$H$14:$H$313,0)),"Yes")&lt;&gt;"Yes"),1,0))</f>
        <v/>
      </c>
    </row>
    <row r="711">
      <c r="A711" s="19" t="n"/>
      <c r="B711" s="20" t="n"/>
      <c r="C711" s="21">
        <f>IFERROR(AVERAGE(P711:T711),"")</f>
        <v/>
      </c>
      <c r="D711" s="29" t="n"/>
      <c r="E711" s="29" t="n"/>
      <c r="F711" s="30">
        <f>IF(AND(ISNUMBER($D711),ISNUMBER($E711),$E711&gt;0,$D711&lt;=$E711),$D711/$E711,"")</f>
        <v/>
      </c>
      <c r="P711" s="26" t="n"/>
      <c r="Q711" s="26" t="n"/>
      <c r="R711" s="26" t="n"/>
      <c r="S711" s="26" t="n"/>
      <c r="T711" s="26" t="n"/>
      <c r="V711" s="27">
        <f>IF(ISNUMBER($C711),COUNTIFS($A$14:$A$1213,$A711,$C$14:$C$1213,"&gt;"&amp;$C711)+(COUNTIFS($A$14:$A$1213,$A711,$C$14:$C$1213,"="&amp;$C711)+1)/2,"")</f>
        <v/>
      </c>
      <c r="W711" s="27">
        <f>IF(ISNUMBER($F711),COUNTIFS($A$14:$A$1213,$A711,$F$14:$F$1213,"&gt;"&amp;$F711)+(COUNTIFS($A$14:$A$1213,$A711,$F$14:$F$1213,"="&amp;$F711)+1)/2,"")</f>
        <v/>
      </c>
      <c r="X711" s="27">
        <f>IF(OR(NOT(ISNUMBER($V711)),$AO711=1),"",$V711-(COUNTIFS($A$14:$A$1213,$A711,$C$14:$C$1213,"&gt;=0")+1)/2)</f>
        <v/>
      </c>
      <c r="Y711" s="27">
        <f>IF(OR(NOT(ISNUMBER($W711)),$AO711=1),"",$W711-(COUNTIFS($A$14:$A$1213,$A711,$F$14:$F$1213,"&gt;=0")+1)/2)</f>
        <v/>
      </c>
      <c r="Z711" s="27">
        <f>IF(ISNUMBER($V711),$A711&amp;"|"&amp;$V711,"")</f>
        <v/>
      </c>
      <c r="AA711" s="27">
        <f>IF(ISNUMBER($W711),$A711&amp;"|"&amp;$W711,"")</f>
        <v/>
      </c>
      <c r="AB711" s="27">
        <f>IF(ISNUMBER($F711),$A711&amp;"|"&amp;$F711,"")</f>
        <v/>
      </c>
      <c r="AC711" s="27">
        <f>IF(ISNUMBER($P711),COUNTIFS($A$14:$A$1213,$A711,$P$14:$P$1213,"&gt;"&amp;$P711)+(COUNTIFS($A$14:$A$1213,$A711,$P$14:$P$1213,"="&amp;$P711)+1)/2,"")</f>
        <v/>
      </c>
      <c r="AD711" s="27">
        <f>IF(ISNUMBER($Q711),COUNTIFS($A$14:$A$1213,$A711,$Q$14:$Q$1213,"&gt;"&amp;$Q711)+(COUNTIFS($A$14:$A$1213,$A711,$Q$14:$Q$1213,"="&amp;$Q711)+1)/2,"")</f>
        <v/>
      </c>
      <c r="AE711" s="27">
        <f>IF(ISNUMBER($R711),COUNTIFS($A$14:$A$1213,$A711,$R$14:$R$1213,"&gt;"&amp;$R711)+(COUNTIFS($A$14:$A$1213,$A711,$R$14:$R$1213,"="&amp;$R711)+1)/2,"")</f>
        <v/>
      </c>
      <c r="AF711" s="27">
        <f>IF(ISNUMBER($S711),COUNTIFS($A$14:$A$1213,$A711,$S$14:$S$1213,"&gt;"&amp;$S711)+(COUNTIFS($A$14:$A$1213,$A711,$S$14:$S$1213,"="&amp;$S711)+1)/2,"")</f>
        <v/>
      </c>
      <c r="AG711" s="27">
        <f>IF(ISNUMBER($T711),COUNTIFS($A$14:$A$1213,$A711,$T$14:$T$1213,"&gt;"&amp;$T711)+(COUNTIFS($A$14:$A$1213,$A711,$T$14:$T$1213,"="&amp;$T711)+1)/2,"")</f>
        <v/>
      </c>
      <c r="AH711" s="27">
        <f>IF(COUNT($AC711:$AG711)&lt;2,"",IF(MAX($AC711:$AG711)=MIN($AC711:$AG711),0,1))</f>
        <v/>
      </c>
      <c r="AI711" s="27">
        <f>IF($A711="","",IF(COUNTIF($A$14:$A711,$A711)=1,COUNTIF($AI$13:AI710,"&gt;0")+1,""))</f>
        <v/>
      </c>
      <c r="AO711" s="27">
        <f>IF($A711="","",IF(AND(COUNTIFS($A$14:$A$1213,$A711,$F$14:$F$1213,"&gt;=0")=2,IFERROR(INDEX($M$14:$M$313,MATCH($A711,$H$14:$H$313,0)),"Yes")&lt;&gt;"Yes"),1,0))</f>
        <v/>
      </c>
    </row>
    <row r="712">
      <c r="A712" s="19" t="n"/>
      <c r="B712" s="20" t="n"/>
      <c r="C712" s="21">
        <f>IFERROR(AVERAGE(P712:T712),"")</f>
        <v/>
      </c>
      <c r="D712" s="29" t="n"/>
      <c r="E712" s="29" t="n"/>
      <c r="F712" s="30">
        <f>IF(AND(ISNUMBER($D712),ISNUMBER($E712),$E712&gt;0,$D712&lt;=$E712),$D712/$E712,"")</f>
        <v/>
      </c>
      <c r="P712" s="26" t="n"/>
      <c r="Q712" s="26" t="n"/>
      <c r="R712" s="26" t="n"/>
      <c r="S712" s="26" t="n"/>
      <c r="T712" s="26" t="n"/>
      <c r="V712" s="27">
        <f>IF(ISNUMBER($C712),COUNTIFS($A$14:$A$1213,$A712,$C$14:$C$1213,"&gt;"&amp;$C712)+(COUNTIFS($A$14:$A$1213,$A712,$C$14:$C$1213,"="&amp;$C712)+1)/2,"")</f>
        <v/>
      </c>
      <c r="W712" s="27">
        <f>IF(ISNUMBER($F712),COUNTIFS($A$14:$A$1213,$A712,$F$14:$F$1213,"&gt;"&amp;$F712)+(COUNTIFS($A$14:$A$1213,$A712,$F$14:$F$1213,"="&amp;$F712)+1)/2,"")</f>
        <v/>
      </c>
      <c r="X712" s="27">
        <f>IF(OR(NOT(ISNUMBER($V712)),$AO712=1),"",$V712-(COUNTIFS($A$14:$A$1213,$A712,$C$14:$C$1213,"&gt;=0")+1)/2)</f>
        <v/>
      </c>
      <c r="Y712" s="27">
        <f>IF(OR(NOT(ISNUMBER($W712)),$AO712=1),"",$W712-(COUNTIFS($A$14:$A$1213,$A712,$F$14:$F$1213,"&gt;=0")+1)/2)</f>
        <v/>
      </c>
      <c r="Z712" s="27">
        <f>IF(ISNUMBER($V712),$A712&amp;"|"&amp;$V712,"")</f>
        <v/>
      </c>
      <c r="AA712" s="27">
        <f>IF(ISNUMBER($W712),$A712&amp;"|"&amp;$W712,"")</f>
        <v/>
      </c>
      <c r="AB712" s="27">
        <f>IF(ISNUMBER($F712),$A712&amp;"|"&amp;$F712,"")</f>
        <v/>
      </c>
      <c r="AC712" s="27">
        <f>IF(ISNUMBER($P712),COUNTIFS($A$14:$A$1213,$A712,$P$14:$P$1213,"&gt;"&amp;$P712)+(COUNTIFS($A$14:$A$1213,$A712,$P$14:$P$1213,"="&amp;$P712)+1)/2,"")</f>
        <v/>
      </c>
      <c r="AD712" s="27">
        <f>IF(ISNUMBER($Q712),COUNTIFS($A$14:$A$1213,$A712,$Q$14:$Q$1213,"&gt;"&amp;$Q712)+(COUNTIFS($A$14:$A$1213,$A712,$Q$14:$Q$1213,"="&amp;$Q712)+1)/2,"")</f>
        <v/>
      </c>
      <c r="AE712" s="27">
        <f>IF(ISNUMBER($R712),COUNTIFS($A$14:$A$1213,$A712,$R$14:$R$1213,"&gt;"&amp;$R712)+(COUNTIFS($A$14:$A$1213,$A712,$R$14:$R$1213,"="&amp;$R712)+1)/2,"")</f>
        <v/>
      </c>
      <c r="AF712" s="27">
        <f>IF(ISNUMBER($S712),COUNTIFS($A$14:$A$1213,$A712,$S$14:$S$1213,"&gt;"&amp;$S712)+(COUNTIFS($A$14:$A$1213,$A712,$S$14:$S$1213,"="&amp;$S712)+1)/2,"")</f>
        <v/>
      </c>
      <c r="AG712" s="27">
        <f>IF(ISNUMBER($T712),COUNTIFS($A$14:$A$1213,$A712,$T$14:$T$1213,"&gt;"&amp;$T712)+(COUNTIFS($A$14:$A$1213,$A712,$T$14:$T$1213,"="&amp;$T712)+1)/2,"")</f>
        <v/>
      </c>
      <c r="AH712" s="27">
        <f>IF(COUNT($AC712:$AG712)&lt;2,"",IF(MAX($AC712:$AG712)=MIN($AC712:$AG712),0,1))</f>
        <v/>
      </c>
      <c r="AI712" s="27">
        <f>IF($A712="","",IF(COUNTIF($A$14:$A712,$A712)=1,COUNTIF($AI$13:AI711,"&gt;0")+1,""))</f>
        <v/>
      </c>
      <c r="AO712" s="27">
        <f>IF($A712="","",IF(AND(COUNTIFS($A$14:$A$1213,$A712,$F$14:$F$1213,"&gt;=0")=2,IFERROR(INDEX($M$14:$M$313,MATCH($A712,$H$14:$H$313,0)),"Yes")&lt;&gt;"Yes"),1,0))</f>
        <v/>
      </c>
    </row>
    <row r="713">
      <c r="A713" s="19" t="n"/>
      <c r="B713" s="20" t="n"/>
      <c r="C713" s="21">
        <f>IFERROR(AVERAGE(P713:T713),"")</f>
        <v/>
      </c>
      <c r="D713" s="29" t="n"/>
      <c r="E713" s="29" t="n"/>
      <c r="F713" s="30">
        <f>IF(AND(ISNUMBER($D713),ISNUMBER($E713),$E713&gt;0,$D713&lt;=$E713),$D713/$E713,"")</f>
        <v/>
      </c>
      <c r="P713" s="26" t="n"/>
      <c r="Q713" s="26" t="n"/>
      <c r="R713" s="26" t="n"/>
      <c r="S713" s="26" t="n"/>
      <c r="T713" s="26" t="n"/>
      <c r="V713" s="27">
        <f>IF(ISNUMBER($C713),COUNTIFS($A$14:$A$1213,$A713,$C$14:$C$1213,"&gt;"&amp;$C713)+(COUNTIFS($A$14:$A$1213,$A713,$C$14:$C$1213,"="&amp;$C713)+1)/2,"")</f>
        <v/>
      </c>
      <c r="W713" s="27">
        <f>IF(ISNUMBER($F713),COUNTIFS($A$14:$A$1213,$A713,$F$14:$F$1213,"&gt;"&amp;$F713)+(COUNTIFS($A$14:$A$1213,$A713,$F$14:$F$1213,"="&amp;$F713)+1)/2,"")</f>
        <v/>
      </c>
      <c r="X713" s="27">
        <f>IF(OR(NOT(ISNUMBER($V713)),$AO713=1),"",$V713-(COUNTIFS($A$14:$A$1213,$A713,$C$14:$C$1213,"&gt;=0")+1)/2)</f>
        <v/>
      </c>
      <c r="Y713" s="27">
        <f>IF(OR(NOT(ISNUMBER($W713)),$AO713=1),"",$W713-(COUNTIFS($A$14:$A$1213,$A713,$F$14:$F$1213,"&gt;=0")+1)/2)</f>
        <v/>
      </c>
      <c r="Z713" s="27">
        <f>IF(ISNUMBER($V713),$A713&amp;"|"&amp;$V713,"")</f>
        <v/>
      </c>
      <c r="AA713" s="27">
        <f>IF(ISNUMBER($W713),$A713&amp;"|"&amp;$W713,"")</f>
        <v/>
      </c>
      <c r="AB713" s="27">
        <f>IF(ISNUMBER($F713),$A713&amp;"|"&amp;$F713,"")</f>
        <v/>
      </c>
      <c r="AC713" s="27">
        <f>IF(ISNUMBER($P713),COUNTIFS($A$14:$A$1213,$A713,$P$14:$P$1213,"&gt;"&amp;$P713)+(COUNTIFS($A$14:$A$1213,$A713,$P$14:$P$1213,"="&amp;$P713)+1)/2,"")</f>
        <v/>
      </c>
      <c r="AD713" s="27">
        <f>IF(ISNUMBER($Q713),COUNTIFS($A$14:$A$1213,$A713,$Q$14:$Q$1213,"&gt;"&amp;$Q713)+(COUNTIFS($A$14:$A$1213,$A713,$Q$14:$Q$1213,"="&amp;$Q713)+1)/2,"")</f>
        <v/>
      </c>
      <c r="AE713" s="27">
        <f>IF(ISNUMBER($R713),COUNTIFS($A$14:$A$1213,$A713,$R$14:$R$1213,"&gt;"&amp;$R713)+(COUNTIFS($A$14:$A$1213,$A713,$R$14:$R$1213,"="&amp;$R713)+1)/2,"")</f>
        <v/>
      </c>
      <c r="AF713" s="27">
        <f>IF(ISNUMBER($S713),COUNTIFS($A$14:$A$1213,$A713,$S$14:$S$1213,"&gt;"&amp;$S713)+(COUNTIFS($A$14:$A$1213,$A713,$S$14:$S$1213,"="&amp;$S713)+1)/2,"")</f>
        <v/>
      </c>
      <c r="AG713" s="27">
        <f>IF(ISNUMBER($T713),COUNTIFS($A$14:$A$1213,$A713,$T$14:$T$1213,"&gt;"&amp;$T713)+(COUNTIFS($A$14:$A$1213,$A713,$T$14:$T$1213,"="&amp;$T713)+1)/2,"")</f>
        <v/>
      </c>
      <c r="AH713" s="27">
        <f>IF(COUNT($AC713:$AG713)&lt;2,"",IF(MAX($AC713:$AG713)=MIN($AC713:$AG713),0,1))</f>
        <v/>
      </c>
      <c r="AI713" s="27">
        <f>IF($A713="","",IF(COUNTIF($A$14:$A713,$A713)=1,COUNTIF($AI$13:AI712,"&gt;0")+1,""))</f>
        <v/>
      </c>
      <c r="AO713" s="27">
        <f>IF($A713="","",IF(AND(COUNTIFS($A$14:$A$1213,$A713,$F$14:$F$1213,"&gt;=0")=2,IFERROR(INDEX($M$14:$M$313,MATCH($A713,$H$14:$H$313,0)),"Yes")&lt;&gt;"Yes"),1,0))</f>
        <v/>
      </c>
    </row>
    <row r="714">
      <c r="A714" s="19" t="n"/>
      <c r="B714" s="20" t="n"/>
      <c r="C714" s="21">
        <f>IFERROR(AVERAGE(P714:T714),"")</f>
        <v/>
      </c>
      <c r="D714" s="29" t="n"/>
      <c r="E714" s="29" t="n"/>
      <c r="F714" s="30">
        <f>IF(AND(ISNUMBER($D714),ISNUMBER($E714),$E714&gt;0,$D714&lt;=$E714),$D714/$E714,"")</f>
        <v/>
      </c>
      <c r="P714" s="26" t="n"/>
      <c r="Q714" s="26" t="n"/>
      <c r="R714" s="26" t="n"/>
      <c r="S714" s="26" t="n"/>
      <c r="T714" s="26" t="n"/>
      <c r="V714" s="27">
        <f>IF(ISNUMBER($C714),COUNTIFS($A$14:$A$1213,$A714,$C$14:$C$1213,"&gt;"&amp;$C714)+(COUNTIFS($A$14:$A$1213,$A714,$C$14:$C$1213,"="&amp;$C714)+1)/2,"")</f>
        <v/>
      </c>
      <c r="W714" s="27">
        <f>IF(ISNUMBER($F714),COUNTIFS($A$14:$A$1213,$A714,$F$14:$F$1213,"&gt;"&amp;$F714)+(COUNTIFS($A$14:$A$1213,$A714,$F$14:$F$1213,"="&amp;$F714)+1)/2,"")</f>
        <v/>
      </c>
      <c r="X714" s="27">
        <f>IF(OR(NOT(ISNUMBER($V714)),$AO714=1),"",$V714-(COUNTIFS($A$14:$A$1213,$A714,$C$14:$C$1213,"&gt;=0")+1)/2)</f>
        <v/>
      </c>
      <c r="Y714" s="27">
        <f>IF(OR(NOT(ISNUMBER($W714)),$AO714=1),"",$W714-(COUNTIFS($A$14:$A$1213,$A714,$F$14:$F$1213,"&gt;=0")+1)/2)</f>
        <v/>
      </c>
      <c r="Z714" s="27">
        <f>IF(ISNUMBER($V714),$A714&amp;"|"&amp;$V714,"")</f>
        <v/>
      </c>
      <c r="AA714" s="27">
        <f>IF(ISNUMBER($W714),$A714&amp;"|"&amp;$W714,"")</f>
        <v/>
      </c>
      <c r="AB714" s="27">
        <f>IF(ISNUMBER($F714),$A714&amp;"|"&amp;$F714,"")</f>
        <v/>
      </c>
      <c r="AC714" s="27">
        <f>IF(ISNUMBER($P714),COUNTIFS($A$14:$A$1213,$A714,$P$14:$P$1213,"&gt;"&amp;$P714)+(COUNTIFS($A$14:$A$1213,$A714,$P$14:$P$1213,"="&amp;$P714)+1)/2,"")</f>
        <v/>
      </c>
      <c r="AD714" s="27">
        <f>IF(ISNUMBER($Q714),COUNTIFS($A$14:$A$1213,$A714,$Q$14:$Q$1213,"&gt;"&amp;$Q714)+(COUNTIFS($A$14:$A$1213,$A714,$Q$14:$Q$1213,"="&amp;$Q714)+1)/2,"")</f>
        <v/>
      </c>
      <c r="AE714" s="27">
        <f>IF(ISNUMBER($R714),COUNTIFS($A$14:$A$1213,$A714,$R$14:$R$1213,"&gt;"&amp;$R714)+(COUNTIFS($A$14:$A$1213,$A714,$R$14:$R$1213,"="&amp;$R714)+1)/2,"")</f>
        <v/>
      </c>
      <c r="AF714" s="27">
        <f>IF(ISNUMBER($S714),COUNTIFS($A$14:$A$1213,$A714,$S$14:$S$1213,"&gt;"&amp;$S714)+(COUNTIFS($A$14:$A$1213,$A714,$S$14:$S$1213,"="&amp;$S714)+1)/2,"")</f>
        <v/>
      </c>
      <c r="AG714" s="27">
        <f>IF(ISNUMBER($T714),COUNTIFS($A$14:$A$1213,$A714,$T$14:$T$1213,"&gt;"&amp;$T714)+(COUNTIFS($A$14:$A$1213,$A714,$T$14:$T$1213,"="&amp;$T714)+1)/2,"")</f>
        <v/>
      </c>
      <c r="AH714" s="27">
        <f>IF(COUNT($AC714:$AG714)&lt;2,"",IF(MAX($AC714:$AG714)=MIN($AC714:$AG714),0,1))</f>
        <v/>
      </c>
      <c r="AI714" s="27">
        <f>IF($A714="","",IF(COUNTIF($A$14:$A714,$A714)=1,COUNTIF($AI$13:AI713,"&gt;0")+1,""))</f>
        <v/>
      </c>
      <c r="AO714" s="27">
        <f>IF($A714="","",IF(AND(COUNTIFS($A$14:$A$1213,$A714,$F$14:$F$1213,"&gt;=0")=2,IFERROR(INDEX($M$14:$M$313,MATCH($A714,$H$14:$H$313,0)),"Yes")&lt;&gt;"Yes"),1,0))</f>
        <v/>
      </c>
    </row>
    <row r="715">
      <c r="A715" s="19" t="n"/>
      <c r="B715" s="20" t="n"/>
      <c r="C715" s="21">
        <f>IFERROR(AVERAGE(P715:T715),"")</f>
        <v/>
      </c>
      <c r="D715" s="29" t="n"/>
      <c r="E715" s="29" t="n"/>
      <c r="F715" s="30">
        <f>IF(AND(ISNUMBER($D715),ISNUMBER($E715),$E715&gt;0,$D715&lt;=$E715),$D715/$E715,"")</f>
        <v/>
      </c>
      <c r="P715" s="26" t="n"/>
      <c r="Q715" s="26" t="n"/>
      <c r="R715" s="26" t="n"/>
      <c r="S715" s="26" t="n"/>
      <c r="T715" s="26" t="n"/>
      <c r="V715" s="27">
        <f>IF(ISNUMBER($C715),COUNTIFS($A$14:$A$1213,$A715,$C$14:$C$1213,"&gt;"&amp;$C715)+(COUNTIFS($A$14:$A$1213,$A715,$C$14:$C$1213,"="&amp;$C715)+1)/2,"")</f>
        <v/>
      </c>
      <c r="W715" s="27">
        <f>IF(ISNUMBER($F715),COUNTIFS($A$14:$A$1213,$A715,$F$14:$F$1213,"&gt;"&amp;$F715)+(COUNTIFS($A$14:$A$1213,$A715,$F$14:$F$1213,"="&amp;$F715)+1)/2,"")</f>
        <v/>
      </c>
      <c r="X715" s="27">
        <f>IF(OR(NOT(ISNUMBER($V715)),$AO715=1),"",$V715-(COUNTIFS($A$14:$A$1213,$A715,$C$14:$C$1213,"&gt;=0")+1)/2)</f>
        <v/>
      </c>
      <c r="Y715" s="27">
        <f>IF(OR(NOT(ISNUMBER($W715)),$AO715=1),"",$W715-(COUNTIFS($A$14:$A$1213,$A715,$F$14:$F$1213,"&gt;=0")+1)/2)</f>
        <v/>
      </c>
      <c r="Z715" s="27">
        <f>IF(ISNUMBER($V715),$A715&amp;"|"&amp;$V715,"")</f>
        <v/>
      </c>
      <c r="AA715" s="27">
        <f>IF(ISNUMBER($W715),$A715&amp;"|"&amp;$W715,"")</f>
        <v/>
      </c>
      <c r="AB715" s="27">
        <f>IF(ISNUMBER($F715),$A715&amp;"|"&amp;$F715,"")</f>
        <v/>
      </c>
      <c r="AC715" s="27">
        <f>IF(ISNUMBER($P715),COUNTIFS($A$14:$A$1213,$A715,$P$14:$P$1213,"&gt;"&amp;$P715)+(COUNTIFS($A$14:$A$1213,$A715,$P$14:$P$1213,"="&amp;$P715)+1)/2,"")</f>
        <v/>
      </c>
      <c r="AD715" s="27">
        <f>IF(ISNUMBER($Q715),COUNTIFS($A$14:$A$1213,$A715,$Q$14:$Q$1213,"&gt;"&amp;$Q715)+(COUNTIFS($A$14:$A$1213,$A715,$Q$14:$Q$1213,"="&amp;$Q715)+1)/2,"")</f>
        <v/>
      </c>
      <c r="AE715" s="27">
        <f>IF(ISNUMBER($R715),COUNTIFS($A$14:$A$1213,$A715,$R$14:$R$1213,"&gt;"&amp;$R715)+(COUNTIFS($A$14:$A$1213,$A715,$R$14:$R$1213,"="&amp;$R715)+1)/2,"")</f>
        <v/>
      </c>
      <c r="AF715" s="27">
        <f>IF(ISNUMBER($S715),COUNTIFS($A$14:$A$1213,$A715,$S$14:$S$1213,"&gt;"&amp;$S715)+(COUNTIFS($A$14:$A$1213,$A715,$S$14:$S$1213,"="&amp;$S715)+1)/2,"")</f>
        <v/>
      </c>
      <c r="AG715" s="27">
        <f>IF(ISNUMBER($T715),COUNTIFS($A$14:$A$1213,$A715,$T$14:$T$1213,"&gt;"&amp;$T715)+(COUNTIFS($A$14:$A$1213,$A715,$T$14:$T$1213,"="&amp;$T715)+1)/2,"")</f>
        <v/>
      </c>
      <c r="AH715" s="27">
        <f>IF(COUNT($AC715:$AG715)&lt;2,"",IF(MAX($AC715:$AG715)=MIN($AC715:$AG715),0,1))</f>
        <v/>
      </c>
      <c r="AI715" s="27">
        <f>IF($A715="","",IF(COUNTIF($A$14:$A715,$A715)=1,COUNTIF($AI$13:AI714,"&gt;0")+1,""))</f>
        <v/>
      </c>
      <c r="AO715" s="27">
        <f>IF($A715="","",IF(AND(COUNTIFS($A$14:$A$1213,$A715,$F$14:$F$1213,"&gt;=0")=2,IFERROR(INDEX($M$14:$M$313,MATCH($A715,$H$14:$H$313,0)),"Yes")&lt;&gt;"Yes"),1,0))</f>
        <v/>
      </c>
    </row>
    <row r="716">
      <c r="A716" s="19" t="n"/>
      <c r="B716" s="20" t="n"/>
      <c r="C716" s="21">
        <f>IFERROR(AVERAGE(P716:T716),"")</f>
        <v/>
      </c>
      <c r="D716" s="29" t="n"/>
      <c r="E716" s="29" t="n"/>
      <c r="F716" s="30">
        <f>IF(AND(ISNUMBER($D716),ISNUMBER($E716),$E716&gt;0,$D716&lt;=$E716),$D716/$E716,"")</f>
        <v/>
      </c>
      <c r="P716" s="26" t="n"/>
      <c r="Q716" s="26" t="n"/>
      <c r="R716" s="26" t="n"/>
      <c r="S716" s="26" t="n"/>
      <c r="T716" s="26" t="n"/>
      <c r="V716" s="27">
        <f>IF(ISNUMBER($C716),COUNTIFS($A$14:$A$1213,$A716,$C$14:$C$1213,"&gt;"&amp;$C716)+(COUNTIFS($A$14:$A$1213,$A716,$C$14:$C$1213,"="&amp;$C716)+1)/2,"")</f>
        <v/>
      </c>
      <c r="W716" s="27">
        <f>IF(ISNUMBER($F716),COUNTIFS($A$14:$A$1213,$A716,$F$14:$F$1213,"&gt;"&amp;$F716)+(COUNTIFS($A$14:$A$1213,$A716,$F$14:$F$1213,"="&amp;$F716)+1)/2,"")</f>
        <v/>
      </c>
      <c r="X716" s="27">
        <f>IF(OR(NOT(ISNUMBER($V716)),$AO716=1),"",$V716-(COUNTIFS($A$14:$A$1213,$A716,$C$14:$C$1213,"&gt;=0")+1)/2)</f>
        <v/>
      </c>
      <c r="Y716" s="27">
        <f>IF(OR(NOT(ISNUMBER($W716)),$AO716=1),"",$W716-(COUNTIFS($A$14:$A$1213,$A716,$F$14:$F$1213,"&gt;=0")+1)/2)</f>
        <v/>
      </c>
      <c r="Z716" s="27">
        <f>IF(ISNUMBER($V716),$A716&amp;"|"&amp;$V716,"")</f>
        <v/>
      </c>
      <c r="AA716" s="27">
        <f>IF(ISNUMBER($W716),$A716&amp;"|"&amp;$W716,"")</f>
        <v/>
      </c>
      <c r="AB716" s="27">
        <f>IF(ISNUMBER($F716),$A716&amp;"|"&amp;$F716,"")</f>
        <v/>
      </c>
      <c r="AC716" s="27">
        <f>IF(ISNUMBER($P716),COUNTIFS($A$14:$A$1213,$A716,$P$14:$P$1213,"&gt;"&amp;$P716)+(COUNTIFS($A$14:$A$1213,$A716,$P$14:$P$1213,"="&amp;$P716)+1)/2,"")</f>
        <v/>
      </c>
      <c r="AD716" s="27">
        <f>IF(ISNUMBER($Q716),COUNTIFS($A$14:$A$1213,$A716,$Q$14:$Q$1213,"&gt;"&amp;$Q716)+(COUNTIFS($A$14:$A$1213,$A716,$Q$14:$Q$1213,"="&amp;$Q716)+1)/2,"")</f>
        <v/>
      </c>
      <c r="AE716" s="27">
        <f>IF(ISNUMBER($R716),COUNTIFS($A$14:$A$1213,$A716,$R$14:$R$1213,"&gt;"&amp;$R716)+(COUNTIFS($A$14:$A$1213,$A716,$R$14:$R$1213,"="&amp;$R716)+1)/2,"")</f>
        <v/>
      </c>
      <c r="AF716" s="27">
        <f>IF(ISNUMBER($S716),COUNTIFS($A$14:$A$1213,$A716,$S$14:$S$1213,"&gt;"&amp;$S716)+(COUNTIFS($A$14:$A$1213,$A716,$S$14:$S$1213,"="&amp;$S716)+1)/2,"")</f>
        <v/>
      </c>
      <c r="AG716" s="27">
        <f>IF(ISNUMBER($T716),COUNTIFS($A$14:$A$1213,$A716,$T$14:$T$1213,"&gt;"&amp;$T716)+(COUNTIFS($A$14:$A$1213,$A716,$T$14:$T$1213,"="&amp;$T716)+1)/2,"")</f>
        <v/>
      </c>
      <c r="AH716" s="27">
        <f>IF(COUNT($AC716:$AG716)&lt;2,"",IF(MAX($AC716:$AG716)=MIN($AC716:$AG716),0,1))</f>
        <v/>
      </c>
      <c r="AI716" s="27">
        <f>IF($A716="","",IF(COUNTIF($A$14:$A716,$A716)=1,COUNTIF($AI$13:AI715,"&gt;0")+1,""))</f>
        <v/>
      </c>
      <c r="AO716" s="27">
        <f>IF($A716="","",IF(AND(COUNTIFS($A$14:$A$1213,$A716,$F$14:$F$1213,"&gt;=0")=2,IFERROR(INDEX($M$14:$M$313,MATCH($A716,$H$14:$H$313,0)),"Yes")&lt;&gt;"Yes"),1,0))</f>
        <v/>
      </c>
    </row>
    <row r="717">
      <c r="A717" s="19" t="n"/>
      <c r="B717" s="20" t="n"/>
      <c r="C717" s="21">
        <f>IFERROR(AVERAGE(P717:T717),"")</f>
        <v/>
      </c>
      <c r="D717" s="29" t="n"/>
      <c r="E717" s="29" t="n"/>
      <c r="F717" s="30">
        <f>IF(AND(ISNUMBER($D717),ISNUMBER($E717),$E717&gt;0,$D717&lt;=$E717),$D717/$E717,"")</f>
        <v/>
      </c>
      <c r="P717" s="26" t="n"/>
      <c r="Q717" s="26" t="n"/>
      <c r="R717" s="26" t="n"/>
      <c r="S717" s="26" t="n"/>
      <c r="T717" s="26" t="n"/>
      <c r="V717" s="27">
        <f>IF(ISNUMBER($C717),COUNTIFS($A$14:$A$1213,$A717,$C$14:$C$1213,"&gt;"&amp;$C717)+(COUNTIFS($A$14:$A$1213,$A717,$C$14:$C$1213,"="&amp;$C717)+1)/2,"")</f>
        <v/>
      </c>
      <c r="W717" s="27">
        <f>IF(ISNUMBER($F717),COUNTIFS($A$14:$A$1213,$A717,$F$14:$F$1213,"&gt;"&amp;$F717)+(COUNTIFS($A$14:$A$1213,$A717,$F$14:$F$1213,"="&amp;$F717)+1)/2,"")</f>
        <v/>
      </c>
      <c r="X717" s="27">
        <f>IF(OR(NOT(ISNUMBER($V717)),$AO717=1),"",$V717-(COUNTIFS($A$14:$A$1213,$A717,$C$14:$C$1213,"&gt;=0")+1)/2)</f>
        <v/>
      </c>
      <c r="Y717" s="27">
        <f>IF(OR(NOT(ISNUMBER($W717)),$AO717=1),"",$W717-(COUNTIFS($A$14:$A$1213,$A717,$F$14:$F$1213,"&gt;=0")+1)/2)</f>
        <v/>
      </c>
      <c r="Z717" s="27">
        <f>IF(ISNUMBER($V717),$A717&amp;"|"&amp;$V717,"")</f>
        <v/>
      </c>
      <c r="AA717" s="27">
        <f>IF(ISNUMBER($W717),$A717&amp;"|"&amp;$W717,"")</f>
        <v/>
      </c>
      <c r="AB717" s="27">
        <f>IF(ISNUMBER($F717),$A717&amp;"|"&amp;$F717,"")</f>
        <v/>
      </c>
      <c r="AC717" s="27">
        <f>IF(ISNUMBER($P717),COUNTIFS($A$14:$A$1213,$A717,$P$14:$P$1213,"&gt;"&amp;$P717)+(COUNTIFS($A$14:$A$1213,$A717,$P$14:$P$1213,"="&amp;$P717)+1)/2,"")</f>
        <v/>
      </c>
      <c r="AD717" s="27">
        <f>IF(ISNUMBER($Q717),COUNTIFS($A$14:$A$1213,$A717,$Q$14:$Q$1213,"&gt;"&amp;$Q717)+(COUNTIFS($A$14:$A$1213,$A717,$Q$14:$Q$1213,"="&amp;$Q717)+1)/2,"")</f>
        <v/>
      </c>
      <c r="AE717" s="27">
        <f>IF(ISNUMBER($R717),COUNTIFS($A$14:$A$1213,$A717,$R$14:$R$1213,"&gt;"&amp;$R717)+(COUNTIFS($A$14:$A$1213,$A717,$R$14:$R$1213,"="&amp;$R717)+1)/2,"")</f>
        <v/>
      </c>
      <c r="AF717" s="27">
        <f>IF(ISNUMBER($S717),COUNTIFS($A$14:$A$1213,$A717,$S$14:$S$1213,"&gt;"&amp;$S717)+(COUNTIFS($A$14:$A$1213,$A717,$S$14:$S$1213,"="&amp;$S717)+1)/2,"")</f>
        <v/>
      </c>
      <c r="AG717" s="27">
        <f>IF(ISNUMBER($T717),COUNTIFS($A$14:$A$1213,$A717,$T$14:$T$1213,"&gt;"&amp;$T717)+(COUNTIFS($A$14:$A$1213,$A717,$T$14:$T$1213,"="&amp;$T717)+1)/2,"")</f>
        <v/>
      </c>
      <c r="AH717" s="27">
        <f>IF(COUNT($AC717:$AG717)&lt;2,"",IF(MAX($AC717:$AG717)=MIN($AC717:$AG717),0,1))</f>
        <v/>
      </c>
      <c r="AI717" s="27">
        <f>IF($A717="","",IF(COUNTIF($A$14:$A717,$A717)=1,COUNTIF($AI$13:AI716,"&gt;0")+1,""))</f>
        <v/>
      </c>
      <c r="AO717" s="27">
        <f>IF($A717="","",IF(AND(COUNTIFS($A$14:$A$1213,$A717,$F$14:$F$1213,"&gt;=0")=2,IFERROR(INDEX($M$14:$M$313,MATCH($A717,$H$14:$H$313,0)),"Yes")&lt;&gt;"Yes"),1,0))</f>
        <v/>
      </c>
    </row>
    <row r="718">
      <c r="A718" s="19" t="n"/>
      <c r="B718" s="20" t="n"/>
      <c r="C718" s="21">
        <f>IFERROR(AVERAGE(P718:T718),"")</f>
        <v/>
      </c>
      <c r="D718" s="29" t="n"/>
      <c r="E718" s="29" t="n"/>
      <c r="F718" s="30">
        <f>IF(AND(ISNUMBER($D718),ISNUMBER($E718),$E718&gt;0,$D718&lt;=$E718),$D718/$E718,"")</f>
        <v/>
      </c>
      <c r="P718" s="26" t="n"/>
      <c r="Q718" s="26" t="n"/>
      <c r="R718" s="26" t="n"/>
      <c r="S718" s="26" t="n"/>
      <c r="T718" s="26" t="n"/>
      <c r="V718" s="27">
        <f>IF(ISNUMBER($C718),COUNTIFS($A$14:$A$1213,$A718,$C$14:$C$1213,"&gt;"&amp;$C718)+(COUNTIFS($A$14:$A$1213,$A718,$C$14:$C$1213,"="&amp;$C718)+1)/2,"")</f>
        <v/>
      </c>
      <c r="W718" s="27">
        <f>IF(ISNUMBER($F718),COUNTIFS($A$14:$A$1213,$A718,$F$14:$F$1213,"&gt;"&amp;$F718)+(COUNTIFS($A$14:$A$1213,$A718,$F$14:$F$1213,"="&amp;$F718)+1)/2,"")</f>
        <v/>
      </c>
      <c r="X718" s="27">
        <f>IF(OR(NOT(ISNUMBER($V718)),$AO718=1),"",$V718-(COUNTIFS($A$14:$A$1213,$A718,$C$14:$C$1213,"&gt;=0")+1)/2)</f>
        <v/>
      </c>
      <c r="Y718" s="27">
        <f>IF(OR(NOT(ISNUMBER($W718)),$AO718=1),"",$W718-(COUNTIFS($A$14:$A$1213,$A718,$F$14:$F$1213,"&gt;=0")+1)/2)</f>
        <v/>
      </c>
      <c r="Z718" s="27">
        <f>IF(ISNUMBER($V718),$A718&amp;"|"&amp;$V718,"")</f>
        <v/>
      </c>
      <c r="AA718" s="27">
        <f>IF(ISNUMBER($W718),$A718&amp;"|"&amp;$W718,"")</f>
        <v/>
      </c>
      <c r="AB718" s="27">
        <f>IF(ISNUMBER($F718),$A718&amp;"|"&amp;$F718,"")</f>
        <v/>
      </c>
      <c r="AC718" s="27">
        <f>IF(ISNUMBER($P718),COUNTIFS($A$14:$A$1213,$A718,$P$14:$P$1213,"&gt;"&amp;$P718)+(COUNTIFS($A$14:$A$1213,$A718,$P$14:$P$1213,"="&amp;$P718)+1)/2,"")</f>
        <v/>
      </c>
      <c r="AD718" s="27">
        <f>IF(ISNUMBER($Q718),COUNTIFS($A$14:$A$1213,$A718,$Q$14:$Q$1213,"&gt;"&amp;$Q718)+(COUNTIFS($A$14:$A$1213,$A718,$Q$14:$Q$1213,"="&amp;$Q718)+1)/2,"")</f>
        <v/>
      </c>
      <c r="AE718" s="27">
        <f>IF(ISNUMBER($R718),COUNTIFS($A$14:$A$1213,$A718,$R$14:$R$1213,"&gt;"&amp;$R718)+(COUNTIFS($A$14:$A$1213,$A718,$R$14:$R$1213,"="&amp;$R718)+1)/2,"")</f>
        <v/>
      </c>
      <c r="AF718" s="27">
        <f>IF(ISNUMBER($S718),COUNTIFS($A$14:$A$1213,$A718,$S$14:$S$1213,"&gt;"&amp;$S718)+(COUNTIFS($A$14:$A$1213,$A718,$S$14:$S$1213,"="&amp;$S718)+1)/2,"")</f>
        <v/>
      </c>
      <c r="AG718" s="27">
        <f>IF(ISNUMBER($T718),COUNTIFS($A$14:$A$1213,$A718,$T$14:$T$1213,"&gt;"&amp;$T718)+(COUNTIFS($A$14:$A$1213,$A718,$T$14:$T$1213,"="&amp;$T718)+1)/2,"")</f>
        <v/>
      </c>
      <c r="AH718" s="27">
        <f>IF(COUNT($AC718:$AG718)&lt;2,"",IF(MAX($AC718:$AG718)=MIN($AC718:$AG718),0,1))</f>
        <v/>
      </c>
      <c r="AI718" s="27">
        <f>IF($A718="","",IF(COUNTIF($A$14:$A718,$A718)=1,COUNTIF($AI$13:AI717,"&gt;0")+1,""))</f>
        <v/>
      </c>
      <c r="AO718" s="27">
        <f>IF($A718="","",IF(AND(COUNTIFS($A$14:$A$1213,$A718,$F$14:$F$1213,"&gt;=0")=2,IFERROR(INDEX($M$14:$M$313,MATCH($A718,$H$14:$H$313,0)),"Yes")&lt;&gt;"Yes"),1,0))</f>
        <v/>
      </c>
    </row>
    <row r="719">
      <c r="A719" s="19" t="n"/>
      <c r="B719" s="20" t="n"/>
      <c r="C719" s="21">
        <f>IFERROR(AVERAGE(P719:T719),"")</f>
        <v/>
      </c>
      <c r="D719" s="29" t="n"/>
      <c r="E719" s="29" t="n"/>
      <c r="F719" s="30">
        <f>IF(AND(ISNUMBER($D719),ISNUMBER($E719),$E719&gt;0,$D719&lt;=$E719),$D719/$E719,"")</f>
        <v/>
      </c>
      <c r="P719" s="26" t="n"/>
      <c r="Q719" s="26" t="n"/>
      <c r="R719" s="26" t="n"/>
      <c r="S719" s="26" t="n"/>
      <c r="T719" s="26" t="n"/>
      <c r="V719" s="27">
        <f>IF(ISNUMBER($C719),COUNTIFS($A$14:$A$1213,$A719,$C$14:$C$1213,"&gt;"&amp;$C719)+(COUNTIFS($A$14:$A$1213,$A719,$C$14:$C$1213,"="&amp;$C719)+1)/2,"")</f>
        <v/>
      </c>
      <c r="W719" s="27">
        <f>IF(ISNUMBER($F719),COUNTIFS($A$14:$A$1213,$A719,$F$14:$F$1213,"&gt;"&amp;$F719)+(COUNTIFS($A$14:$A$1213,$A719,$F$14:$F$1213,"="&amp;$F719)+1)/2,"")</f>
        <v/>
      </c>
      <c r="X719" s="27">
        <f>IF(OR(NOT(ISNUMBER($V719)),$AO719=1),"",$V719-(COUNTIFS($A$14:$A$1213,$A719,$C$14:$C$1213,"&gt;=0")+1)/2)</f>
        <v/>
      </c>
      <c r="Y719" s="27">
        <f>IF(OR(NOT(ISNUMBER($W719)),$AO719=1),"",$W719-(COUNTIFS($A$14:$A$1213,$A719,$F$14:$F$1213,"&gt;=0")+1)/2)</f>
        <v/>
      </c>
      <c r="Z719" s="27">
        <f>IF(ISNUMBER($V719),$A719&amp;"|"&amp;$V719,"")</f>
        <v/>
      </c>
      <c r="AA719" s="27">
        <f>IF(ISNUMBER($W719),$A719&amp;"|"&amp;$W719,"")</f>
        <v/>
      </c>
      <c r="AB719" s="27">
        <f>IF(ISNUMBER($F719),$A719&amp;"|"&amp;$F719,"")</f>
        <v/>
      </c>
      <c r="AC719" s="27">
        <f>IF(ISNUMBER($P719),COUNTIFS($A$14:$A$1213,$A719,$P$14:$P$1213,"&gt;"&amp;$P719)+(COUNTIFS($A$14:$A$1213,$A719,$P$14:$P$1213,"="&amp;$P719)+1)/2,"")</f>
        <v/>
      </c>
      <c r="AD719" s="27">
        <f>IF(ISNUMBER($Q719),COUNTIFS($A$14:$A$1213,$A719,$Q$14:$Q$1213,"&gt;"&amp;$Q719)+(COUNTIFS($A$14:$A$1213,$A719,$Q$14:$Q$1213,"="&amp;$Q719)+1)/2,"")</f>
        <v/>
      </c>
      <c r="AE719" s="27">
        <f>IF(ISNUMBER($R719),COUNTIFS($A$14:$A$1213,$A719,$R$14:$R$1213,"&gt;"&amp;$R719)+(COUNTIFS($A$14:$A$1213,$A719,$R$14:$R$1213,"="&amp;$R719)+1)/2,"")</f>
        <v/>
      </c>
      <c r="AF719" s="27">
        <f>IF(ISNUMBER($S719),COUNTIFS($A$14:$A$1213,$A719,$S$14:$S$1213,"&gt;"&amp;$S719)+(COUNTIFS($A$14:$A$1213,$A719,$S$14:$S$1213,"="&amp;$S719)+1)/2,"")</f>
        <v/>
      </c>
      <c r="AG719" s="27">
        <f>IF(ISNUMBER($T719),COUNTIFS($A$14:$A$1213,$A719,$T$14:$T$1213,"&gt;"&amp;$T719)+(COUNTIFS($A$14:$A$1213,$A719,$T$14:$T$1213,"="&amp;$T719)+1)/2,"")</f>
        <v/>
      </c>
      <c r="AH719" s="27">
        <f>IF(COUNT($AC719:$AG719)&lt;2,"",IF(MAX($AC719:$AG719)=MIN($AC719:$AG719),0,1))</f>
        <v/>
      </c>
      <c r="AI719" s="27">
        <f>IF($A719="","",IF(COUNTIF($A$14:$A719,$A719)=1,COUNTIF($AI$13:AI718,"&gt;0")+1,""))</f>
        <v/>
      </c>
      <c r="AO719" s="27">
        <f>IF($A719="","",IF(AND(COUNTIFS($A$14:$A$1213,$A719,$F$14:$F$1213,"&gt;=0")=2,IFERROR(INDEX($M$14:$M$313,MATCH($A719,$H$14:$H$313,0)),"Yes")&lt;&gt;"Yes"),1,0))</f>
        <v/>
      </c>
    </row>
    <row r="720">
      <c r="A720" s="19" t="n"/>
      <c r="B720" s="20" t="n"/>
      <c r="C720" s="21">
        <f>IFERROR(AVERAGE(P720:T720),"")</f>
        <v/>
      </c>
      <c r="D720" s="29" t="n"/>
      <c r="E720" s="29" t="n"/>
      <c r="F720" s="30">
        <f>IF(AND(ISNUMBER($D720),ISNUMBER($E720),$E720&gt;0,$D720&lt;=$E720),$D720/$E720,"")</f>
        <v/>
      </c>
      <c r="P720" s="26" t="n"/>
      <c r="Q720" s="26" t="n"/>
      <c r="R720" s="26" t="n"/>
      <c r="S720" s="26" t="n"/>
      <c r="T720" s="26" t="n"/>
      <c r="V720" s="27">
        <f>IF(ISNUMBER($C720),COUNTIFS($A$14:$A$1213,$A720,$C$14:$C$1213,"&gt;"&amp;$C720)+(COUNTIFS($A$14:$A$1213,$A720,$C$14:$C$1213,"="&amp;$C720)+1)/2,"")</f>
        <v/>
      </c>
      <c r="W720" s="27">
        <f>IF(ISNUMBER($F720),COUNTIFS($A$14:$A$1213,$A720,$F$14:$F$1213,"&gt;"&amp;$F720)+(COUNTIFS($A$14:$A$1213,$A720,$F$14:$F$1213,"="&amp;$F720)+1)/2,"")</f>
        <v/>
      </c>
      <c r="X720" s="27">
        <f>IF(OR(NOT(ISNUMBER($V720)),$AO720=1),"",$V720-(COUNTIFS($A$14:$A$1213,$A720,$C$14:$C$1213,"&gt;=0")+1)/2)</f>
        <v/>
      </c>
      <c r="Y720" s="27">
        <f>IF(OR(NOT(ISNUMBER($W720)),$AO720=1),"",$W720-(COUNTIFS($A$14:$A$1213,$A720,$F$14:$F$1213,"&gt;=0")+1)/2)</f>
        <v/>
      </c>
      <c r="Z720" s="27">
        <f>IF(ISNUMBER($V720),$A720&amp;"|"&amp;$V720,"")</f>
        <v/>
      </c>
      <c r="AA720" s="27">
        <f>IF(ISNUMBER($W720),$A720&amp;"|"&amp;$W720,"")</f>
        <v/>
      </c>
      <c r="AB720" s="27">
        <f>IF(ISNUMBER($F720),$A720&amp;"|"&amp;$F720,"")</f>
        <v/>
      </c>
      <c r="AC720" s="27">
        <f>IF(ISNUMBER($P720),COUNTIFS($A$14:$A$1213,$A720,$P$14:$P$1213,"&gt;"&amp;$P720)+(COUNTIFS($A$14:$A$1213,$A720,$P$14:$P$1213,"="&amp;$P720)+1)/2,"")</f>
        <v/>
      </c>
      <c r="AD720" s="27">
        <f>IF(ISNUMBER($Q720),COUNTIFS($A$14:$A$1213,$A720,$Q$14:$Q$1213,"&gt;"&amp;$Q720)+(COUNTIFS($A$14:$A$1213,$A720,$Q$14:$Q$1213,"="&amp;$Q720)+1)/2,"")</f>
        <v/>
      </c>
      <c r="AE720" s="27">
        <f>IF(ISNUMBER($R720),COUNTIFS($A$14:$A$1213,$A720,$R$14:$R$1213,"&gt;"&amp;$R720)+(COUNTIFS($A$14:$A$1213,$A720,$R$14:$R$1213,"="&amp;$R720)+1)/2,"")</f>
        <v/>
      </c>
      <c r="AF720" s="27">
        <f>IF(ISNUMBER($S720),COUNTIFS($A$14:$A$1213,$A720,$S$14:$S$1213,"&gt;"&amp;$S720)+(COUNTIFS($A$14:$A$1213,$A720,$S$14:$S$1213,"="&amp;$S720)+1)/2,"")</f>
        <v/>
      </c>
      <c r="AG720" s="27">
        <f>IF(ISNUMBER($T720),COUNTIFS($A$14:$A$1213,$A720,$T$14:$T$1213,"&gt;"&amp;$T720)+(COUNTIFS($A$14:$A$1213,$A720,$T$14:$T$1213,"="&amp;$T720)+1)/2,"")</f>
        <v/>
      </c>
      <c r="AH720" s="27">
        <f>IF(COUNT($AC720:$AG720)&lt;2,"",IF(MAX($AC720:$AG720)=MIN($AC720:$AG720),0,1))</f>
        <v/>
      </c>
      <c r="AI720" s="27">
        <f>IF($A720="","",IF(COUNTIF($A$14:$A720,$A720)=1,COUNTIF($AI$13:AI719,"&gt;0")+1,""))</f>
        <v/>
      </c>
      <c r="AO720" s="27">
        <f>IF($A720="","",IF(AND(COUNTIFS($A$14:$A$1213,$A720,$F$14:$F$1213,"&gt;=0")=2,IFERROR(INDEX($M$14:$M$313,MATCH($A720,$H$14:$H$313,0)),"Yes")&lt;&gt;"Yes"),1,0))</f>
        <v/>
      </c>
    </row>
    <row r="721">
      <c r="A721" s="19" t="n"/>
      <c r="B721" s="20" t="n"/>
      <c r="C721" s="21">
        <f>IFERROR(AVERAGE(P721:T721),"")</f>
        <v/>
      </c>
      <c r="D721" s="29" t="n"/>
      <c r="E721" s="29" t="n"/>
      <c r="F721" s="30">
        <f>IF(AND(ISNUMBER($D721),ISNUMBER($E721),$E721&gt;0,$D721&lt;=$E721),$D721/$E721,"")</f>
        <v/>
      </c>
      <c r="P721" s="26" t="n"/>
      <c r="Q721" s="26" t="n"/>
      <c r="R721" s="26" t="n"/>
      <c r="S721" s="26" t="n"/>
      <c r="T721" s="26" t="n"/>
      <c r="V721" s="27">
        <f>IF(ISNUMBER($C721),COUNTIFS($A$14:$A$1213,$A721,$C$14:$C$1213,"&gt;"&amp;$C721)+(COUNTIFS($A$14:$A$1213,$A721,$C$14:$C$1213,"="&amp;$C721)+1)/2,"")</f>
        <v/>
      </c>
      <c r="W721" s="27">
        <f>IF(ISNUMBER($F721),COUNTIFS($A$14:$A$1213,$A721,$F$14:$F$1213,"&gt;"&amp;$F721)+(COUNTIFS($A$14:$A$1213,$A721,$F$14:$F$1213,"="&amp;$F721)+1)/2,"")</f>
        <v/>
      </c>
      <c r="X721" s="27">
        <f>IF(OR(NOT(ISNUMBER($V721)),$AO721=1),"",$V721-(COUNTIFS($A$14:$A$1213,$A721,$C$14:$C$1213,"&gt;=0")+1)/2)</f>
        <v/>
      </c>
      <c r="Y721" s="27">
        <f>IF(OR(NOT(ISNUMBER($W721)),$AO721=1),"",$W721-(COUNTIFS($A$14:$A$1213,$A721,$F$14:$F$1213,"&gt;=0")+1)/2)</f>
        <v/>
      </c>
      <c r="Z721" s="27">
        <f>IF(ISNUMBER($V721),$A721&amp;"|"&amp;$V721,"")</f>
        <v/>
      </c>
      <c r="AA721" s="27">
        <f>IF(ISNUMBER($W721),$A721&amp;"|"&amp;$W721,"")</f>
        <v/>
      </c>
      <c r="AB721" s="27">
        <f>IF(ISNUMBER($F721),$A721&amp;"|"&amp;$F721,"")</f>
        <v/>
      </c>
      <c r="AC721" s="27">
        <f>IF(ISNUMBER($P721),COUNTIFS($A$14:$A$1213,$A721,$P$14:$P$1213,"&gt;"&amp;$P721)+(COUNTIFS($A$14:$A$1213,$A721,$P$14:$P$1213,"="&amp;$P721)+1)/2,"")</f>
        <v/>
      </c>
      <c r="AD721" s="27">
        <f>IF(ISNUMBER($Q721),COUNTIFS($A$14:$A$1213,$A721,$Q$14:$Q$1213,"&gt;"&amp;$Q721)+(COUNTIFS($A$14:$A$1213,$A721,$Q$14:$Q$1213,"="&amp;$Q721)+1)/2,"")</f>
        <v/>
      </c>
      <c r="AE721" s="27">
        <f>IF(ISNUMBER($R721),COUNTIFS($A$14:$A$1213,$A721,$R$14:$R$1213,"&gt;"&amp;$R721)+(COUNTIFS($A$14:$A$1213,$A721,$R$14:$R$1213,"="&amp;$R721)+1)/2,"")</f>
        <v/>
      </c>
      <c r="AF721" s="27">
        <f>IF(ISNUMBER($S721),COUNTIFS($A$14:$A$1213,$A721,$S$14:$S$1213,"&gt;"&amp;$S721)+(COUNTIFS($A$14:$A$1213,$A721,$S$14:$S$1213,"="&amp;$S721)+1)/2,"")</f>
        <v/>
      </c>
      <c r="AG721" s="27">
        <f>IF(ISNUMBER($T721),COUNTIFS($A$14:$A$1213,$A721,$T$14:$T$1213,"&gt;"&amp;$T721)+(COUNTIFS($A$14:$A$1213,$A721,$T$14:$T$1213,"="&amp;$T721)+1)/2,"")</f>
        <v/>
      </c>
      <c r="AH721" s="27">
        <f>IF(COUNT($AC721:$AG721)&lt;2,"",IF(MAX($AC721:$AG721)=MIN($AC721:$AG721),0,1))</f>
        <v/>
      </c>
      <c r="AI721" s="27">
        <f>IF($A721="","",IF(COUNTIF($A$14:$A721,$A721)=1,COUNTIF($AI$13:AI720,"&gt;0")+1,""))</f>
        <v/>
      </c>
      <c r="AO721" s="27">
        <f>IF($A721="","",IF(AND(COUNTIFS($A$14:$A$1213,$A721,$F$14:$F$1213,"&gt;=0")=2,IFERROR(INDEX($M$14:$M$313,MATCH($A721,$H$14:$H$313,0)),"Yes")&lt;&gt;"Yes"),1,0))</f>
        <v/>
      </c>
    </row>
    <row r="722">
      <c r="A722" s="19" t="n"/>
      <c r="B722" s="20" t="n"/>
      <c r="C722" s="21">
        <f>IFERROR(AVERAGE(P722:T722),"")</f>
        <v/>
      </c>
      <c r="D722" s="29" t="n"/>
      <c r="E722" s="29" t="n"/>
      <c r="F722" s="30">
        <f>IF(AND(ISNUMBER($D722),ISNUMBER($E722),$E722&gt;0,$D722&lt;=$E722),$D722/$E722,"")</f>
        <v/>
      </c>
      <c r="P722" s="26" t="n"/>
      <c r="Q722" s="26" t="n"/>
      <c r="R722" s="26" t="n"/>
      <c r="S722" s="26" t="n"/>
      <c r="T722" s="26" t="n"/>
      <c r="V722" s="27">
        <f>IF(ISNUMBER($C722),COUNTIFS($A$14:$A$1213,$A722,$C$14:$C$1213,"&gt;"&amp;$C722)+(COUNTIFS($A$14:$A$1213,$A722,$C$14:$C$1213,"="&amp;$C722)+1)/2,"")</f>
        <v/>
      </c>
      <c r="W722" s="27">
        <f>IF(ISNUMBER($F722),COUNTIFS($A$14:$A$1213,$A722,$F$14:$F$1213,"&gt;"&amp;$F722)+(COUNTIFS($A$14:$A$1213,$A722,$F$14:$F$1213,"="&amp;$F722)+1)/2,"")</f>
        <v/>
      </c>
      <c r="X722" s="27">
        <f>IF(OR(NOT(ISNUMBER($V722)),$AO722=1),"",$V722-(COUNTIFS($A$14:$A$1213,$A722,$C$14:$C$1213,"&gt;=0")+1)/2)</f>
        <v/>
      </c>
      <c r="Y722" s="27">
        <f>IF(OR(NOT(ISNUMBER($W722)),$AO722=1),"",$W722-(COUNTIFS($A$14:$A$1213,$A722,$F$14:$F$1213,"&gt;=0")+1)/2)</f>
        <v/>
      </c>
      <c r="Z722" s="27">
        <f>IF(ISNUMBER($V722),$A722&amp;"|"&amp;$V722,"")</f>
        <v/>
      </c>
      <c r="AA722" s="27">
        <f>IF(ISNUMBER($W722),$A722&amp;"|"&amp;$W722,"")</f>
        <v/>
      </c>
      <c r="AB722" s="27">
        <f>IF(ISNUMBER($F722),$A722&amp;"|"&amp;$F722,"")</f>
        <v/>
      </c>
      <c r="AC722" s="27">
        <f>IF(ISNUMBER($P722),COUNTIFS($A$14:$A$1213,$A722,$P$14:$P$1213,"&gt;"&amp;$P722)+(COUNTIFS($A$14:$A$1213,$A722,$P$14:$P$1213,"="&amp;$P722)+1)/2,"")</f>
        <v/>
      </c>
      <c r="AD722" s="27">
        <f>IF(ISNUMBER($Q722),COUNTIFS($A$14:$A$1213,$A722,$Q$14:$Q$1213,"&gt;"&amp;$Q722)+(COUNTIFS($A$14:$A$1213,$A722,$Q$14:$Q$1213,"="&amp;$Q722)+1)/2,"")</f>
        <v/>
      </c>
      <c r="AE722" s="27">
        <f>IF(ISNUMBER($R722),COUNTIFS($A$14:$A$1213,$A722,$R$14:$R$1213,"&gt;"&amp;$R722)+(COUNTIFS($A$14:$A$1213,$A722,$R$14:$R$1213,"="&amp;$R722)+1)/2,"")</f>
        <v/>
      </c>
      <c r="AF722" s="27">
        <f>IF(ISNUMBER($S722),COUNTIFS($A$14:$A$1213,$A722,$S$14:$S$1213,"&gt;"&amp;$S722)+(COUNTIFS($A$14:$A$1213,$A722,$S$14:$S$1213,"="&amp;$S722)+1)/2,"")</f>
        <v/>
      </c>
      <c r="AG722" s="27">
        <f>IF(ISNUMBER($T722),COUNTIFS($A$14:$A$1213,$A722,$T$14:$T$1213,"&gt;"&amp;$T722)+(COUNTIFS($A$14:$A$1213,$A722,$T$14:$T$1213,"="&amp;$T722)+1)/2,"")</f>
        <v/>
      </c>
      <c r="AH722" s="27">
        <f>IF(COUNT($AC722:$AG722)&lt;2,"",IF(MAX($AC722:$AG722)=MIN($AC722:$AG722),0,1))</f>
        <v/>
      </c>
      <c r="AI722" s="27">
        <f>IF($A722="","",IF(COUNTIF($A$14:$A722,$A722)=1,COUNTIF($AI$13:AI721,"&gt;0")+1,""))</f>
        <v/>
      </c>
      <c r="AO722" s="27">
        <f>IF($A722="","",IF(AND(COUNTIFS($A$14:$A$1213,$A722,$F$14:$F$1213,"&gt;=0")=2,IFERROR(INDEX($M$14:$M$313,MATCH($A722,$H$14:$H$313,0)),"Yes")&lt;&gt;"Yes"),1,0))</f>
        <v/>
      </c>
    </row>
    <row r="723">
      <c r="A723" s="19" t="n"/>
      <c r="B723" s="20" t="n"/>
      <c r="C723" s="21">
        <f>IFERROR(AVERAGE(P723:T723),"")</f>
        <v/>
      </c>
      <c r="D723" s="29" t="n"/>
      <c r="E723" s="29" t="n"/>
      <c r="F723" s="30">
        <f>IF(AND(ISNUMBER($D723),ISNUMBER($E723),$E723&gt;0,$D723&lt;=$E723),$D723/$E723,"")</f>
        <v/>
      </c>
      <c r="P723" s="26" t="n"/>
      <c r="Q723" s="26" t="n"/>
      <c r="R723" s="26" t="n"/>
      <c r="S723" s="26" t="n"/>
      <c r="T723" s="26" t="n"/>
      <c r="V723" s="27">
        <f>IF(ISNUMBER($C723),COUNTIFS($A$14:$A$1213,$A723,$C$14:$C$1213,"&gt;"&amp;$C723)+(COUNTIFS($A$14:$A$1213,$A723,$C$14:$C$1213,"="&amp;$C723)+1)/2,"")</f>
        <v/>
      </c>
      <c r="W723" s="27">
        <f>IF(ISNUMBER($F723),COUNTIFS($A$14:$A$1213,$A723,$F$14:$F$1213,"&gt;"&amp;$F723)+(COUNTIFS($A$14:$A$1213,$A723,$F$14:$F$1213,"="&amp;$F723)+1)/2,"")</f>
        <v/>
      </c>
      <c r="X723" s="27">
        <f>IF(OR(NOT(ISNUMBER($V723)),$AO723=1),"",$V723-(COUNTIFS($A$14:$A$1213,$A723,$C$14:$C$1213,"&gt;=0")+1)/2)</f>
        <v/>
      </c>
      <c r="Y723" s="27">
        <f>IF(OR(NOT(ISNUMBER($W723)),$AO723=1),"",$W723-(COUNTIFS($A$14:$A$1213,$A723,$F$14:$F$1213,"&gt;=0")+1)/2)</f>
        <v/>
      </c>
      <c r="Z723" s="27">
        <f>IF(ISNUMBER($V723),$A723&amp;"|"&amp;$V723,"")</f>
        <v/>
      </c>
      <c r="AA723" s="27">
        <f>IF(ISNUMBER($W723),$A723&amp;"|"&amp;$W723,"")</f>
        <v/>
      </c>
      <c r="AB723" s="27">
        <f>IF(ISNUMBER($F723),$A723&amp;"|"&amp;$F723,"")</f>
        <v/>
      </c>
      <c r="AC723" s="27">
        <f>IF(ISNUMBER($P723),COUNTIFS($A$14:$A$1213,$A723,$P$14:$P$1213,"&gt;"&amp;$P723)+(COUNTIFS($A$14:$A$1213,$A723,$P$14:$P$1213,"="&amp;$P723)+1)/2,"")</f>
        <v/>
      </c>
      <c r="AD723" s="27">
        <f>IF(ISNUMBER($Q723),COUNTIFS($A$14:$A$1213,$A723,$Q$14:$Q$1213,"&gt;"&amp;$Q723)+(COUNTIFS($A$14:$A$1213,$A723,$Q$14:$Q$1213,"="&amp;$Q723)+1)/2,"")</f>
        <v/>
      </c>
      <c r="AE723" s="27">
        <f>IF(ISNUMBER($R723),COUNTIFS($A$14:$A$1213,$A723,$R$14:$R$1213,"&gt;"&amp;$R723)+(COUNTIFS($A$14:$A$1213,$A723,$R$14:$R$1213,"="&amp;$R723)+1)/2,"")</f>
        <v/>
      </c>
      <c r="AF723" s="27">
        <f>IF(ISNUMBER($S723),COUNTIFS($A$14:$A$1213,$A723,$S$14:$S$1213,"&gt;"&amp;$S723)+(COUNTIFS($A$14:$A$1213,$A723,$S$14:$S$1213,"="&amp;$S723)+1)/2,"")</f>
        <v/>
      </c>
      <c r="AG723" s="27">
        <f>IF(ISNUMBER($T723),COUNTIFS($A$14:$A$1213,$A723,$T$14:$T$1213,"&gt;"&amp;$T723)+(COUNTIFS($A$14:$A$1213,$A723,$T$14:$T$1213,"="&amp;$T723)+1)/2,"")</f>
        <v/>
      </c>
      <c r="AH723" s="27">
        <f>IF(COUNT($AC723:$AG723)&lt;2,"",IF(MAX($AC723:$AG723)=MIN($AC723:$AG723),0,1))</f>
        <v/>
      </c>
      <c r="AI723" s="27">
        <f>IF($A723="","",IF(COUNTIF($A$14:$A723,$A723)=1,COUNTIF($AI$13:AI722,"&gt;0")+1,""))</f>
        <v/>
      </c>
      <c r="AO723" s="27">
        <f>IF($A723="","",IF(AND(COUNTIFS($A$14:$A$1213,$A723,$F$14:$F$1213,"&gt;=0")=2,IFERROR(INDEX($M$14:$M$313,MATCH($A723,$H$14:$H$313,0)),"Yes")&lt;&gt;"Yes"),1,0))</f>
        <v/>
      </c>
    </row>
    <row r="724">
      <c r="A724" s="19" t="n"/>
      <c r="B724" s="20" t="n"/>
      <c r="C724" s="21">
        <f>IFERROR(AVERAGE(P724:T724),"")</f>
        <v/>
      </c>
      <c r="D724" s="29" t="n"/>
      <c r="E724" s="29" t="n"/>
      <c r="F724" s="30">
        <f>IF(AND(ISNUMBER($D724),ISNUMBER($E724),$E724&gt;0,$D724&lt;=$E724),$D724/$E724,"")</f>
        <v/>
      </c>
      <c r="P724" s="26" t="n"/>
      <c r="Q724" s="26" t="n"/>
      <c r="R724" s="26" t="n"/>
      <c r="S724" s="26" t="n"/>
      <c r="T724" s="26" t="n"/>
      <c r="V724" s="27">
        <f>IF(ISNUMBER($C724),COUNTIFS($A$14:$A$1213,$A724,$C$14:$C$1213,"&gt;"&amp;$C724)+(COUNTIFS($A$14:$A$1213,$A724,$C$14:$C$1213,"="&amp;$C724)+1)/2,"")</f>
        <v/>
      </c>
      <c r="W724" s="27">
        <f>IF(ISNUMBER($F724),COUNTIFS($A$14:$A$1213,$A724,$F$14:$F$1213,"&gt;"&amp;$F724)+(COUNTIFS($A$14:$A$1213,$A724,$F$14:$F$1213,"="&amp;$F724)+1)/2,"")</f>
        <v/>
      </c>
      <c r="X724" s="27">
        <f>IF(OR(NOT(ISNUMBER($V724)),$AO724=1),"",$V724-(COUNTIFS($A$14:$A$1213,$A724,$C$14:$C$1213,"&gt;=0")+1)/2)</f>
        <v/>
      </c>
      <c r="Y724" s="27">
        <f>IF(OR(NOT(ISNUMBER($W724)),$AO724=1),"",$W724-(COUNTIFS($A$14:$A$1213,$A724,$F$14:$F$1213,"&gt;=0")+1)/2)</f>
        <v/>
      </c>
      <c r="Z724" s="27">
        <f>IF(ISNUMBER($V724),$A724&amp;"|"&amp;$V724,"")</f>
        <v/>
      </c>
      <c r="AA724" s="27">
        <f>IF(ISNUMBER($W724),$A724&amp;"|"&amp;$W724,"")</f>
        <v/>
      </c>
      <c r="AB724" s="27">
        <f>IF(ISNUMBER($F724),$A724&amp;"|"&amp;$F724,"")</f>
        <v/>
      </c>
      <c r="AC724" s="27">
        <f>IF(ISNUMBER($P724),COUNTIFS($A$14:$A$1213,$A724,$P$14:$P$1213,"&gt;"&amp;$P724)+(COUNTIFS($A$14:$A$1213,$A724,$P$14:$P$1213,"="&amp;$P724)+1)/2,"")</f>
        <v/>
      </c>
      <c r="AD724" s="27">
        <f>IF(ISNUMBER($Q724),COUNTIFS($A$14:$A$1213,$A724,$Q$14:$Q$1213,"&gt;"&amp;$Q724)+(COUNTIFS($A$14:$A$1213,$A724,$Q$14:$Q$1213,"="&amp;$Q724)+1)/2,"")</f>
        <v/>
      </c>
      <c r="AE724" s="27">
        <f>IF(ISNUMBER($R724),COUNTIFS($A$14:$A$1213,$A724,$R$14:$R$1213,"&gt;"&amp;$R724)+(COUNTIFS($A$14:$A$1213,$A724,$R$14:$R$1213,"="&amp;$R724)+1)/2,"")</f>
        <v/>
      </c>
      <c r="AF724" s="27">
        <f>IF(ISNUMBER($S724),COUNTIFS($A$14:$A$1213,$A724,$S$14:$S$1213,"&gt;"&amp;$S724)+(COUNTIFS($A$14:$A$1213,$A724,$S$14:$S$1213,"="&amp;$S724)+1)/2,"")</f>
        <v/>
      </c>
      <c r="AG724" s="27">
        <f>IF(ISNUMBER($T724),COUNTIFS($A$14:$A$1213,$A724,$T$14:$T$1213,"&gt;"&amp;$T724)+(COUNTIFS($A$14:$A$1213,$A724,$T$14:$T$1213,"="&amp;$T724)+1)/2,"")</f>
        <v/>
      </c>
      <c r="AH724" s="27">
        <f>IF(COUNT($AC724:$AG724)&lt;2,"",IF(MAX($AC724:$AG724)=MIN($AC724:$AG724),0,1))</f>
        <v/>
      </c>
      <c r="AI724" s="27">
        <f>IF($A724="","",IF(COUNTIF($A$14:$A724,$A724)=1,COUNTIF($AI$13:AI723,"&gt;0")+1,""))</f>
        <v/>
      </c>
      <c r="AO724" s="27">
        <f>IF($A724="","",IF(AND(COUNTIFS($A$14:$A$1213,$A724,$F$14:$F$1213,"&gt;=0")=2,IFERROR(INDEX($M$14:$M$313,MATCH($A724,$H$14:$H$313,0)),"Yes")&lt;&gt;"Yes"),1,0))</f>
        <v/>
      </c>
    </row>
    <row r="725">
      <c r="A725" s="19" t="n"/>
      <c r="B725" s="20" t="n"/>
      <c r="C725" s="21">
        <f>IFERROR(AVERAGE(P725:T725),"")</f>
        <v/>
      </c>
      <c r="D725" s="29" t="n"/>
      <c r="E725" s="29" t="n"/>
      <c r="F725" s="30">
        <f>IF(AND(ISNUMBER($D725),ISNUMBER($E725),$E725&gt;0,$D725&lt;=$E725),$D725/$E725,"")</f>
        <v/>
      </c>
      <c r="P725" s="26" t="n"/>
      <c r="Q725" s="26" t="n"/>
      <c r="R725" s="26" t="n"/>
      <c r="S725" s="26" t="n"/>
      <c r="T725" s="26" t="n"/>
      <c r="V725" s="27">
        <f>IF(ISNUMBER($C725),COUNTIFS($A$14:$A$1213,$A725,$C$14:$C$1213,"&gt;"&amp;$C725)+(COUNTIFS($A$14:$A$1213,$A725,$C$14:$C$1213,"="&amp;$C725)+1)/2,"")</f>
        <v/>
      </c>
      <c r="W725" s="27">
        <f>IF(ISNUMBER($F725),COUNTIFS($A$14:$A$1213,$A725,$F$14:$F$1213,"&gt;"&amp;$F725)+(COUNTIFS($A$14:$A$1213,$A725,$F$14:$F$1213,"="&amp;$F725)+1)/2,"")</f>
        <v/>
      </c>
      <c r="X725" s="27">
        <f>IF(OR(NOT(ISNUMBER($V725)),$AO725=1),"",$V725-(COUNTIFS($A$14:$A$1213,$A725,$C$14:$C$1213,"&gt;=0")+1)/2)</f>
        <v/>
      </c>
      <c r="Y725" s="27">
        <f>IF(OR(NOT(ISNUMBER($W725)),$AO725=1),"",$W725-(COUNTIFS($A$14:$A$1213,$A725,$F$14:$F$1213,"&gt;=0")+1)/2)</f>
        <v/>
      </c>
      <c r="Z725" s="27">
        <f>IF(ISNUMBER($V725),$A725&amp;"|"&amp;$V725,"")</f>
        <v/>
      </c>
      <c r="AA725" s="27">
        <f>IF(ISNUMBER($W725),$A725&amp;"|"&amp;$W725,"")</f>
        <v/>
      </c>
      <c r="AB725" s="27">
        <f>IF(ISNUMBER($F725),$A725&amp;"|"&amp;$F725,"")</f>
        <v/>
      </c>
      <c r="AC725" s="27">
        <f>IF(ISNUMBER($P725),COUNTIFS($A$14:$A$1213,$A725,$P$14:$P$1213,"&gt;"&amp;$P725)+(COUNTIFS($A$14:$A$1213,$A725,$P$14:$P$1213,"="&amp;$P725)+1)/2,"")</f>
        <v/>
      </c>
      <c r="AD725" s="27">
        <f>IF(ISNUMBER($Q725),COUNTIFS($A$14:$A$1213,$A725,$Q$14:$Q$1213,"&gt;"&amp;$Q725)+(COUNTIFS($A$14:$A$1213,$A725,$Q$14:$Q$1213,"="&amp;$Q725)+1)/2,"")</f>
        <v/>
      </c>
      <c r="AE725" s="27">
        <f>IF(ISNUMBER($R725),COUNTIFS($A$14:$A$1213,$A725,$R$14:$R$1213,"&gt;"&amp;$R725)+(COUNTIFS($A$14:$A$1213,$A725,$R$14:$R$1213,"="&amp;$R725)+1)/2,"")</f>
        <v/>
      </c>
      <c r="AF725" s="27">
        <f>IF(ISNUMBER($S725),COUNTIFS($A$14:$A$1213,$A725,$S$14:$S$1213,"&gt;"&amp;$S725)+(COUNTIFS($A$14:$A$1213,$A725,$S$14:$S$1213,"="&amp;$S725)+1)/2,"")</f>
        <v/>
      </c>
      <c r="AG725" s="27">
        <f>IF(ISNUMBER($T725),COUNTIFS($A$14:$A$1213,$A725,$T$14:$T$1213,"&gt;"&amp;$T725)+(COUNTIFS($A$14:$A$1213,$A725,$T$14:$T$1213,"="&amp;$T725)+1)/2,"")</f>
        <v/>
      </c>
      <c r="AH725" s="27">
        <f>IF(COUNT($AC725:$AG725)&lt;2,"",IF(MAX($AC725:$AG725)=MIN($AC725:$AG725),0,1))</f>
        <v/>
      </c>
      <c r="AI725" s="27">
        <f>IF($A725="","",IF(COUNTIF($A$14:$A725,$A725)=1,COUNTIF($AI$13:AI724,"&gt;0")+1,""))</f>
        <v/>
      </c>
      <c r="AO725" s="27">
        <f>IF($A725="","",IF(AND(COUNTIFS($A$14:$A$1213,$A725,$F$14:$F$1213,"&gt;=0")=2,IFERROR(INDEX($M$14:$M$313,MATCH($A725,$H$14:$H$313,0)),"Yes")&lt;&gt;"Yes"),1,0))</f>
        <v/>
      </c>
    </row>
    <row r="726">
      <c r="A726" s="19" t="n"/>
      <c r="B726" s="20" t="n"/>
      <c r="C726" s="21">
        <f>IFERROR(AVERAGE(P726:T726),"")</f>
        <v/>
      </c>
      <c r="D726" s="29" t="n"/>
      <c r="E726" s="29" t="n"/>
      <c r="F726" s="30">
        <f>IF(AND(ISNUMBER($D726),ISNUMBER($E726),$E726&gt;0,$D726&lt;=$E726),$D726/$E726,"")</f>
        <v/>
      </c>
      <c r="P726" s="26" t="n"/>
      <c r="Q726" s="26" t="n"/>
      <c r="R726" s="26" t="n"/>
      <c r="S726" s="26" t="n"/>
      <c r="T726" s="26" t="n"/>
      <c r="V726" s="27">
        <f>IF(ISNUMBER($C726),COUNTIFS($A$14:$A$1213,$A726,$C$14:$C$1213,"&gt;"&amp;$C726)+(COUNTIFS($A$14:$A$1213,$A726,$C$14:$C$1213,"="&amp;$C726)+1)/2,"")</f>
        <v/>
      </c>
      <c r="W726" s="27">
        <f>IF(ISNUMBER($F726),COUNTIFS($A$14:$A$1213,$A726,$F$14:$F$1213,"&gt;"&amp;$F726)+(COUNTIFS($A$14:$A$1213,$A726,$F$14:$F$1213,"="&amp;$F726)+1)/2,"")</f>
        <v/>
      </c>
      <c r="X726" s="27">
        <f>IF(OR(NOT(ISNUMBER($V726)),$AO726=1),"",$V726-(COUNTIFS($A$14:$A$1213,$A726,$C$14:$C$1213,"&gt;=0")+1)/2)</f>
        <v/>
      </c>
      <c r="Y726" s="27">
        <f>IF(OR(NOT(ISNUMBER($W726)),$AO726=1),"",$W726-(COUNTIFS($A$14:$A$1213,$A726,$F$14:$F$1213,"&gt;=0")+1)/2)</f>
        <v/>
      </c>
      <c r="Z726" s="27">
        <f>IF(ISNUMBER($V726),$A726&amp;"|"&amp;$V726,"")</f>
        <v/>
      </c>
      <c r="AA726" s="27">
        <f>IF(ISNUMBER($W726),$A726&amp;"|"&amp;$W726,"")</f>
        <v/>
      </c>
      <c r="AB726" s="27">
        <f>IF(ISNUMBER($F726),$A726&amp;"|"&amp;$F726,"")</f>
        <v/>
      </c>
      <c r="AC726" s="27">
        <f>IF(ISNUMBER($P726),COUNTIFS($A$14:$A$1213,$A726,$P$14:$P$1213,"&gt;"&amp;$P726)+(COUNTIFS($A$14:$A$1213,$A726,$P$14:$P$1213,"="&amp;$P726)+1)/2,"")</f>
        <v/>
      </c>
      <c r="AD726" s="27">
        <f>IF(ISNUMBER($Q726),COUNTIFS($A$14:$A$1213,$A726,$Q$14:$Q$1213,"&gt;"&amp;$Q726)+(COUNTIFS($A$14:$A$1213,$A726,$Q$14:$Q$1213,"="&amp;$Q726)+1)/2,"")</f>
        <v/>
      </c>
      <c r="AE726" s="27">
        <f>IF(ISNUMBER($R726),COUNTIFS($A$14:$A$1213,$A726,$R$14:$R$1213,"&gt;"&amp;$R726)+(COUNTIFS($A$14:$A$1213,$A726,$R$14:$R$1213,"="&amp;$R726)+1)/2,"")</f>
        <v/>
      </c>
      <c r="AF726" s="27">
        <f>IF(ISNUMBER($S726),COUNTIFS($A$14:$A$1213,$A726,$S$14:$S$1213,"&gt;"&amp;$S726)+(COUNTIFS($A$14:$A$1213,$A726,$S$14:$S$1213,"="&amp;$S726)+1)/2,"")</f>
        <v/>
      </c>
      <c r="AG726" s="27">
        <f>IF(ISNUMBER($T726),COUNTIFS($A$14:$A$1213,$A726,$T$14:$T$1213,"&gt;"&amp;$T726)+(COUNTIFS($A$14:$A$1213,$A726,$T$14:$T$1213,"="&amp;$T726)+1)/2,"")</f>
        <v/>
      </c>
      <c r="AH726" s="27">
        <f>IF(COUNT($AC726:$AG726)&lt;2,"",IF(MAX($AC726:$AG726)=MIN($AC726:$AG726),0,1))</f>
        <v/>
      </c>
      <c r="AI726" s="27">
        <f>IF($A726="","",IF(COUNTIF($A$14:$A726,$A726)=1,COUNTIF($AI$13:AI725,"&gt;0")+1,""))</f>
        <v/>
      </c>
      <c r="AO726" s="27">
        <f>IF($A726="","",IF(AND(COUNTIFS($A$14:$A$1213,$A726,$F$14:$F$1213,"&gt;=0")=2,IFERROR(INDEX($M$14:$M$313,MATCH($A726,$H$14:$H$313,0)),"Yes")&lt;&gt;"Yes"),1,0))</f>
        <v/>
      </c>
    </row>
    <row r="727">
      <c r="A727" s="19" t="n"/>
      <c r="B727" s="20" t="n"/>
      <c r="C727" s="21">
        <f>IFERROR(AVERAGE(P727:T727),"")</f>
        <v/>
      </c>
      <c r="D727" s="29" t="n"/>
      <c r="E727" s="29" t="n"/>
      <c r="F727" s="30">
        <f>IF(AND(ISNUMBER($D727),ISNUMBER($E727),$E727&gt;0,$D727&lt;=$E727),$D727/$E727,"")</f>
        <v/>
      </c>
      <c r="P727" s="26" t="n"/>
      <c r="Q727" s="26" t="n"/>
      <c r="R727" s="26" t="n"/>
      <c r="S727" s="26" t="n"/>
      <c r="T727" s="26" t="n"/>
      <c r="V727" s="27">
        <f>IF(ISNUMBER($C727),COUNTIFS($A$14:$A$1213,$A727,$C$14:$C$1213,"&gt;"&amp;$C727)+(COUNTIFS($A$14:$A$1213,$A727,$C$14:$C$1213,"="&amp;$C727)+1)/2,"")</f>
        <v/>
      </c>
      <c r="W727" s="27">
        <f>IF(ISNUMBER($F727),COUNTIFS($A$14:$A$1213,$A727,$F$14:$F$1213,"&gt;"&amp;$F727)+(COUNTIFS($A$14:$A$1213,$A727,$F$14:$F$1213,"="&amp;$F727)+1)/2,"")</f>
        <v/>
      </c>
      <c r="X727" s="27">
        <f>IF(OR(NOT(ISNUMBER($V727)),$AO727=1),"",$V727-(COUNTIFS($A$14:$A$1213,$A727,$C$14:$C$1213,"&gt;=0")+1)/2)</f>
        <v/>
      </c>
      <c r="Y727" s="27">
        <f>IF(OR(NOT(ISNUMBER($W727)),$AO727=1),"",$W727-(COUNTIFS($A$14:$A$1213,$A727,$F$14:$F$1213,"&gt;=0")+1)/2)</f>
        <v/>
      </c>
      <c r="Z727" s="27">
        <f>IF(ISNUMBER($V727),$A727&amp;"|"&amp;$V727,"")</f>
        <v/>
      </c>
      <c r="AA727" s="27">
        <f>IF(ISNUMBER($W727),$A727&amp;"|"&amp;$W727,"")</f>
        <v/>
      </c>
      <c r="AB727" s="27">
        <f>IF(ISNUMBER($F727),$A727&amp;"|"&amp;$F727,"")</f>
        <v/>
      </c>
      <c r="AC727" s="27">
        <f>IF(ISNUMBER($P727),COUNTIFS($A$14:$A$1213,$A727,$P$14:$P$1213,"&gt;"&amp;$P727)+(COUNTIFS($A$14:$A$1213,$A727,$P$14:$P$1213,"="&amp;$P727)+1)/2,"")</f>
        <v/>
      </c>
      <c r="AD727" s="27">
        <f>IF(ISNUMBER($Q727),COUNTIFS($A$14:$A$1213,$A727,$Q$14:$Q$1213,"&gt;"&amp;$Q727)+(COUNTIFS($A$14:$A$1213,$A727,$Q$14:$Q$1213,"="&amp;$Q727)+1)/2,"")</f>
        <v/>
      </c>
      <c r="AE727" s="27">
        <f>IF(ISNUMBER($R727),COUNTIFS($A$14:$A$1213,$A727,$R$14:$R$1213,"&gt;"&amp;$R727)+(COUNTIFS($A$14:$A$1213,$A727,$R$14:$R$1213,"="&amp;$R727)+1)/2,"")</f>
        <v/>
      </c>
      <c r="AF727" s="27">
        <f>IF(ISNUMBER($S727),COUNTIFS($A$14:$A$1213,$A727,$S$14:$S$1213,"&gt;"&amp;$S727)+(COUNTIFS($A$14:$A$1213,$A727,$S$14:$S$1213,"="&amp;$S727)+1)/2,"")</f>
        <v/>
      </c>
      <c r="AG727" s="27">
        <f>IF(ISNUMBER($T727),COUNTIFS($A$14:$A$1213,$A727,$T$14:$T$1213,"&gt;"&amp;$T727)+(COUNTIFS($A$14:$A$1213,$A727,$T$14:$T$1213,"="&amp;$T727)+1)/2,"")</f>
        <v/>
      </c>
      <c r="AH727" s="27">
        <f>IF(COUNT($AC727:$AG727)&lt;2,"",IF(MAX($AC727:$AG727)=MIN($AC727:$AG727),0,1))</f>
        <v/>
      </c>
      <c r="AI727" s="27">
        <f>IF($A727="","",IF(COUNTIF($A$14:$A727,$A727)=1,COUNTIF($AI$13:AI726,"&gt;0")+1,""))</f>
        <v/>
      </c>
      <c r="AO727" s="27">
        <f>IF($A727="","",IF(AND(COUNTIFS($A$14:$A$1213,$A727,$F$14:$F$1213,"&gt;=0")=2,IFERROR(INDEX($M$14:$M$313,MATCH($A727,$H$14:$H$313,0)),"Yes")&lt;&gt;"Yes"),1,0))</f>
        <v/>
      </c>
    </row>
    <row r="728">
      <c r="A728" s="19" t="n"/>
      <c r="B728" s="20" t="n"/>
      <c r="C728" s="21">
        <f>IFERROR(AVERAGE(P728:T728),"")</f>
        <v/>
      </c>
      <c r="D728" s="29" t="n"/>
      <c r="E728" s="29" t="n"/>
      <c r="F728" s="30">
        <f>IF(AND(ISNUMBER($D728),ISNUMBER($E728),$E728&gt;0,$D728&lt;=$E728),$D728/$E728,"")</f>
        <v/>
      </c>
      <c r="P728" s="26" t="n"/>
      <c r="Q728" s="26" t="n"/>
      <c r="R728" s="26" t="n"/>
      <c r="S728" s="26" t="n"/>
      <c r="T728" s="26" t="n"/>
      <c r="V728" s="27">
        <f>IF(ISNUMBER($C728),COUNTIFS($A$14:$A$1213,$A728,$C$14:$C$1213,"&gt;"&amp;$C728)+(COUNTIFS($A$14:$A$1213,$A728,$C$14:$C$1213,"="&amp;$C728)+1)/2,"")</f>
        <v/>
      </c>
      <c r="W728" s="27">
        <f>IF(ISNUMBER($F728),COUNTIFS($A$14:$A$1213,$A728,$F$14:$F$1213,"&gt;"&amp;$F728)+(COUNTIFS($A$14:$A$1213,$A728,$F$14:$F$1213,"="&amp;$F728)+1)/2,"")</f>
        <v/>
      </c>
      <c r="X728" s="27">
        <f>IF(OR(NOT(ISNUMBER($V728)),$AO728=1),"",$V728-(COUNTIFS($A$14:$A$1213,$A728,$C$14:$C$1213,"&gt;=0")+1)/2)</f>
        <v/>
      </c>
      <c r="Y728" s="27">
        <f>IF(OR(NOT(ISNUMBER($W728)),$AO728=1),"",$W728-(COUNTIFS($A$14:$A$1213,$A728,$F$14:$F$1213,"&gt;=0")+1)/2)</f>
        <v/>
      </c>
      <c r="Z728" s="27">
        <f>IF(ISNUMBER($V728),$A728&amp;"|"&amp;$V728,"")</f>
        <v/>
      </c>
      <c r="AA728" s="27">
        <f>IF(ISNUMBER($W728),$A728&amp;"|"&amp;$W728,"")</f>
        <v/>
      </c>
      <c r="AB728" s="27">
        <f>IF(ISNUMBER($F728),$A728&amp;"|"&amp;$F728,"")</f>
        <v/>
      </c>
      <c r="AC728" s="27">
        <f>IF(ISNUMBER($P728),COUNTIFS($A$14:$A$1213,$A728,$P$14:$P$1213,"&gt;"&amp;$P728)+(COUNTIFS($A$14:$A$1213,$A728,$P$14:$P$1213,"="&amp;$P728)+1)/2,"")</f>
        <v/>
      </c>
      <c r="AD728" s="27">
        <f>IF(ISNUMBER($Q728),COUNTIFS($A$14:$A$1213,$A728,$Q$14:$Q$1213,"&gt;"&amp;$Q728)+(COUNTIFS($A$14:$A$1213,$A728,$Q$14:$Q$1213,"="&amp;$Q728)+1)/2,"")</f>
        <v/>
      </c>
      <c r="AE728" s="27">
        <f>IF(ISNUMBER($R728),COUNTIFS($A$14:$A$1213,$A728,$R$14:$R$1213,"&gt;"&amp;$R728)+(COUNTIFS($A$14:$A$1213,$A728,$R$14:$R$1213,"="&amp;$R728)+1)/2,"")</f>
        <v/>
      </c>
      <c r="AF728" s="27">
        <f>IF(ISNUMBER($S728),COUNTIFS($A$14:$A$1213,$A728,$S$14:$S$1213,"&gt;"&amp;$S728)+(COUNTIFS($A$14:$A$1213,$A728,$S$14:$S$1213,"="&amp;$S728)+1)/2,"")</f>
        <v/>
      </c>
      <c r="AG728" s="27">
        <f>IF(ISNUMBER($T728),COUNTIFS($A$14:$A$1213,$A728,$T$14:$T$1213,"&gt;"&amp;$T728)+(COUNTIFS($A$14:$A$1213,$A728,$T$14:$T$1213,"="&amp;$T728)+1)/2,"")</f>
        <v/>
      </c>
      <c r="AH728" s="27">
        <f>IF(COUNT($AC728:$AG728)&lt;2,"",IF(MAX($AC728:$AG728)=MIN($AC728:$AG728),0,1))</f>
        <v/>
      </c>
      <c r="AI728" s="27">
        <f>IF($A728="","",IF(COUNTIF($A$14:$A728,$A728)=1,COUNTIF($AI$13:AI727,"&gt;0")+1,""))</f>
        <v/>
      </c>
      <c r="AO728" s="27">
        <f>IF($A728="","",IF(AND(COUNTIFS($A$14:$A$1213,$A728,$F$14:$F$1213,"&gt;=0")=2,IFERROR(INDEX($M$14:$M$313,MATCH($A728,$H$14:$H$313,0)),"Yes")&lt;&gt;"Yes"),1,0))</f>
        <v/>
      </c>
    </row>
    <row r="729">
      <c r="A729" s="19" t="n"/>
      <c r="B729" s="20" t="n"/>
      <c r="C729" s="21">
        <f>IFERROR(AVERAGE(P729:T729),"")</f>
        <v/>
      </c>
      <c r="D729" s="29" t="n"/>
      <c r="E729" s="29" t="n"/>
      <c r="F729" s="30">
        <f>IF(AND(ISNUMBER($D729),ISNUMBER($E729),$E729&gt;0,$D729&lt;=$E729),$D729/$E729,"")</f>
        <v/>
      </c>
      <c r="P729" s="26" t="n"/>
      <c r="Q729" s="26" t="n"/>
      <c r="R729" s="26" t="n"/>
      <c r="S729" s="26" t="n"/>
      <c r="T729" s="26" t="n"/>
      <c r="V729" s="27">
        <f>IF(ISNUMBER($C729),COUNTIFS($A$14:$A$1213,$A729,$C$14:$C$1213,"&gt;"&amp;$C729)+(COUNTIFS($A$14:$A$1213,$A729,$C$14:$C$1213,"="&amp;$C729)+1)/2,"")</f>
        <v/>
      </c>
      <c r="W729" s="27">
        <f>IF(ISNUMBER($F729),COUNTIFS($A$14:$A$1213,$A729,$F$14:$F$1213,"&gt;"&amp;$F729)+(COUNTIFS($A$14:$A$1213,$A729,$F$14:$F$1213,"="&amp;$F729)+1)/2,"")</f>
        <v/>
      </c>
      <c r="X729" s="27">
        <f>IF(OR(NOT(ISNUMBER($V729)),$AO729=1),"",$V729-(COUNTIFS($A$14:$A$1213,$A729,$C$14:$C$1213,"&gt;=0")+1)/2)</f>
        <v/>
      </c>
      <c r="Y729" s="27">
        <f>IF(OR(NOT(ISNUMBER($W729)),$AO729=1),"",$W729-(COUNTIFS($A$14:$A$1213,$A729,$F$14:$F$1213,"&gt;=0")+1)/2)</f>
        <v/>
      </c>
      <c r="Z729" s="27">
        <f>IF(ISNUMBER($V729),$A729&amp;"|"&amp;$V729,"")</f>
        <v/>
      </c>
      <c r="AA729" s="27">
        <f>IF(ISNUMBER($W729),$A729&amp;"|"&amp;$W729,"")</f>
        <v/>
      </c>
      <c r="AB729" s="27">
        <f>IF(ISNUMBER($F729),$A729&amp;"|"&amp;$F729,"")</f>
        <v/>
      </c>
      <c r="AC729" s="27">
        <f>IF(ISNUMBER($P729),COUNTIFS($A$14:$A$1213,$A729,$P$14:$P$1213,"&gt;"&amp;$P729)+(COUNTIFS($A$14:$A$1213,$A729,$P$14:$P$1213,"="&amp;$P729)+1)/2,"")</f>
        <v/>
      </c>
      <c r="AD729" s="27">
        <f>IF(ISNUMBER($Q729),COUNTIFS($A$14:$A$1213,$A729,$Q$14:$Q$1213,"&gt;"&amp;$Q729)+(COUNTIFS($A$14:$A$1213,$A729,$Q$14:$Q$1213,"="&amp;$Q729)+1)/2,"")</f>
        <v/>
      </c>
      <c r="AE729" s="27">
        <f>IF(ISNUMBER($R729),COUNTIFS($A$14:$A$1213,$A729,$R$14:$R$1213,"&gt;"&amp;$R729)+(COUNTIFS($A$14:$A$1213,$A729,$R$14:$R$1213,"="&amp;$R729)+1)/2,"")</f>
        <v/>
      </c>
      <c r="AF729" s="27">
        <f>IF(ISNUMBER($S729),COUNTIFS($A$14:$A$1213,$A729,$S$14:$S$1213,"&gt;"&amp;$S729)+(COUNTIFS($A$14:$A$1213,$A729,$S$14:$S$1213,"="&amp;$S729)+1)/2,"")</f>
        <v/>
      </c>
      <c r="AG729" s="27">
        <f>IF(ISNUMBER($T729),COUNTIFS($A$14:$A$1213,$A729,$T$14:$T$1213,"&gt;"&amp;$T729)+(COUNTIFS($A$14:$A$1213,$A729,$T$14:$T$1213,"="&amp;$T729)+1)/2,"")</f>
        <v/>
      </c>
      <c r="AH729" s="27">
        <f>IF(COUNT($AC729:$AG729)&lt;2,"",IF(MAX($AC729:$AG729)=MIN($AC729:$AG729),0,1))</f>
        <v/>
      </c>
      <c r="AI729" s="27">
        <f>IF($A729="","",IF(COUNTIF($A$14:$A729,$A729)=1,COUNTIF($AI$13:AI728,"&gt;0")+1,""))</f>
        <v/>
      </c>
      <c r="AO729" s="27">
        <f>IF($A729="","",IF(AND(COUNTIFS($A$14:$A$1213,$A729,$F$14:$F$1213,"&gt;=0")=2,IFERROR(INDEX($M$14:$M$313,MATCH($A729,$H$14:$H$313,0)),"Yes")&lt;&gt;"Yes"),1,0))</f>
        <v/>
      </c>
    </row>
    <row r="730">
      <c r="A730" s="19" t="n"/>
      <c r="B730" s="20" t="n"/>
      <c r="C730" s="21">
        <f>IFERROR(AVERAGE(P730:T730),"")</f>
        <v/>
      </c>
      <c r="D730" s="29" t="n"/>
      <c r="E730" s="29" t="n"/>
      <c r="F730" s="30">
        <f>IF(AND(ISNUMBER($D730),ISNUMBER($E730),$E730&gt;0,$D730&lt;=$E730),$D730/$E730,"")</f>
        <v/>
      </c>
      <c r="P730" s="26" t="n"/>
      <c r="Q730" s="26" t="n"/>
      <c r="R730" s="26" t="n"/>
      <c r="S730" s="26" t="n"/>
      <c r="T730" s="26" t="n"/>
      <c r="V730" s="27">
        <f>IF(ISNUMBER($C730),COUNTIFS($A$14:$A$1213,$A730,$C$14:$C$1213,"&gt;"&amp;$C730)+(COUNTIFS($A$14:$A$1213,$A730,$C$14:$C$1213,"="&amp;$C730)+1)/2,"")</f>
        <v/>
      </c>
      <c r="W730" s="27">
        <f>IF(ISNUMBER($F730),COUNTIFS($A$14:$A$1213,$A730,$F$14:$F$1213,"&gt;"&amp;$F730)+(COUNTIFS($A$14:$A$1213,$A730,$F$14:$F$1213,"="&amp;$F730)+1)/2,"")</f>
        <v/>
      </c>
      <c r="X730" s="27">
        <f>IF(OR(NOT(ISNUMBER($V730)),$AO730=1),"",$V730-(COUNTIFS($A$14:$A$1213,$A730,$C$14:$C$1213,"&gt;=0")+1)/2)</f>
        <v/>
      </c>
      <c r="Y730" s="27">
        <f>IF(OR(NOT(ISNUMBER($W730)),$AO730=1),"",$W730-(COUNTIFS($A$14:$A$1213,$A730,$F$14:$F$1213,"&gt;=0")+1)/2)</f>
        <v/>
      </c>
      <c r="Z730" s="27">
        <f>IF(ISNUMBER($V730),$A730&amp;"|"&amp;$V730,"")</f>
        <v/>
      </c>
      <c r="AA730" s="27">
        <f>IF(ISNUMBER($W730),$A730&amp;"|"&amp;$W730,"")</f>
        <v/>
      </c>
      <c r="AB730" s="27">
        <f>IF(ISNUMBER($F730),$A730&amp;"|"&amp;$F730,"")</f>
        <v/>
      </c>
      <c r="AC730" s="27">
        <f>IF(ISNUMBER($P730),COUNTIFS($A$14:$A$1213,$A730,$P$14:$P$1213,"&gt;"&amp;$P730)+(COUNTIFS($A$14:$A$1213,$A730,$P$14:$P$1213,"="&amp;$P730)+1)/2,"")</f>
        <v/>
      </c>
      <c r="AD730" s="27">
        <f>IF(ISNUMBER($Q730),COUNTIFS($A$14:$A$1213,$A730,$Q$14:$Q$1213,"&gt;"&amp;$Q730)+(COUNTIFS($A$14:$A$1213,$A730,$Q$14:$Q$1213,"="&amp;$Q730)+1)/2,"")</f>
        <v/>
      </c>
      <c r="AE730" s="27">
        <f>IF(ISNUMBER($R730),COUNTIFS($A$14:$A$1213,$A730,$R$14:$R$1213,"&gt;"&amp;$R730)+(COUNTIFS($A$14:$A$1213,$A730,$R$14:$R$1213,"="&amp;$R730)+1)/2,"")</f>
        <v/>
      </c>
      <c r="AF730" s="27">
        <f>IF(ISNUMBER($S730),COUNTIFS($A$14:$A$1213,$A730,$S$14:$S$1213,"&gt;"&amp;$S730)+(COUNTIFS($A$14:$A$1213,$A730,$S$14:$S$1213,"="&amp;$S730)+1)/2,"")</f>
        <v/>
      </c>
      <c r="AG730" s="27">
        <f>IF(ISNUMBER($T730),COUNTIFS($A$14:$A$1213,$A730,$T$14:$T$1213,"&gt;"&amp;$T730)+(COUNTIFS($A$14:$A$1213,$A730,$T$14:$T$1213,"="&amp;$T730)+1)/2,"")</f>
        <v/>
      </c>
      <c r="AH730" s="27">
        <f>IF(COUNT($AC730:$AG730)&lt;2,"",IF(MAX($AC730:$AG730)=MIN($AC730:$AG730),0,1))</f>
        <v/>
      </c>
      <c r="AI730" s="27">
        <f>IF($A730="","",IF(COUNTIF($A$14:$A730,$A730)=1,COUNTIF($AI$13:AI729,"&gt;0")+1,""))</f>
        <v/>
      </c>
      <c r="AO730" s="27">
        <f>IF($A730="","",IF(AND(COUNTIFS($A$14:$A$1213,$A730,$F$14:$F$1213,"&gt;=0")=2,IFERROR(INDEX($M$14:$M$313,MATCH($A730,$H$14:$H$313,0)),"Yes")&lt;&gt;"Yes"),1,0))</f>
        <v/>
      </c>
    </row>
    <row r="731">
      <c r="A731" s="19" t="n"/>
      <c r="B731" s="20" t="n"/>
      <c r="C731" s="21">
        <f>IFERROR(AVERAGE(P731:T731),"")</f>
        <v/>
      </c>
      <c r="D731" s="29" t="n"/>
      <c r="E731" s="29" t="n"/>
      <c r="F731" s="30">
        <f>IF(AND(ISNUMBER($D731),ISNUMBER($E731),$E731&gt;0,$D731&lt;=$E731),$D731/$E731,"")</f>
        <v/>
      </c>
      <c r="P731" s="26" t="n"/>
      <c r="Q731" s="26" t="n"/>
      <c r="R731" s="26" t="n"/>
      <c r="S731" s="26" t="n"/>
      <c r="T731" s="26" t="n"/>
      <c r="V731" s="27">
        <f>IF(ISNUMBER($C731),COUNTIFS($A$14:$A$1213,$A731,$C$14:$C$1213,"&gt;"&amp;$C731)+(COUNTIFS($A$14:$A$1213,$A731,$C$14:$C$1213,"="&amp;$C731)+1)/2,"")</f>
        <v/>
      </c>
      <c r="W731" s="27">
        <f>IF(ISNUMBER($F731),COUNTIFS($A$14:$A$1213,$A731,$F$14:$F$1213,"&gt;"&amp;$F731)+(COUNTIFS($A$14:$A$1213,$A731,$F$14:$F$1213,"="&amp;$F731)+1)/2,"")</f>
        <v/>
      </c>
      <c r="X731" s="27">
        <f>IF(OR(NOT(ISNUMBER($V731)),$AO731=1),"",$V731-(COUNTIFS($A$14:$A$1213,$A731,$C$14:$C$1213,"&gt;=0")+1)/2)</f>
        <v/>
      </c>
      <c r="Y731" s="27">
        <f>IF(OR(NOT(ISNUMBER($W731)),$AO731=1),"",$W731-(COUNTIFS($A$14:$A$1213,$A731,$F$14:$F$1213,"&gt;=0")+1)/2)</f>
        <v/>
      </c>
      <c r="Z731" s="27">
        <f>IF(ISNUMBER($V731),$A731&amp;"|"&amp;$V731,"")</f>
        <v/>
      </c>
      <c r="AA731" s="27">
        <f>IF(ISNUMBER($W731),$A731&amp;"|"&amp;$W731,"")</f>
        <v/>
      </c>
      <c r="AB731" s="27">
        <f>IF(ISNUMBER($F731),$A731&amp;"|"&amp;$F731,"")</f>
        <v/>
      </c>
      <c r="AC731" s="27">
        <f>IF(ISNUMBER($P731),COUNTIFS($A$14:$A$1213,$A731,$P$14:$P$1213,"&gt;"&amp;$P731)+(COUNTIFS($A$14:$A$1213,$A731,$P$14:$P$1213,"="&amp;$P731)+1)/2,"")</f>
        <v/>
      </c>
      <c r="AD731" s="27">
        <f>IF(ISNUMBER($Q731),COUNTIFS($A$14:$A$1213,$A731,$Q$14:$Q$1213,"&gt;"&amp;$Q731)+(COUNTIFS($A$14:$A$1213,$A731,$Q$14:$Q$1213,"="&amp;$Q731)+1)/2,"")</f>
        <v/>
      </c>
      <c r="AE731" s="27">
        <f>IF(ISNUMBER($R731),COUNTIFS($A$14:$A$1213,$A731,$R$14:$R$1213,"&gt;"&amp;$R731)+(COUNTIFS($A$14:$A$1213,$A731,$R$14:$R$1213,"="&amp;$R731)+1)/2,"")</f>
        <v/>
      </c>
      <c r="AF731" s="27">
        <f>IF(ISNUMBER($S731),COUNTIFS($A$14:$A$1213,$A731,$S$14:$S$1213,"&gt;"&amp;$S731)+(COUNTIFS($A$14:$A$1213,$A731,$S$14:$S$1213,"="&amp;$S731)+1)/2,"")</f>
        <v/>
      </c>
      <c r="AG731" s="27">
        <f>IF(ISNUMBER($T731),COUNTIFS($A$14:$A$1213,$A731,$T$14:$T$1213,"&gt;"&amp;$T731)+(COUNTIFS($A$14:$A$1213,$A731,$T$14:$T$1213,"="&amp;$T731)+1)/2,"")</f>
        <v/>
      </c>
      <c r="AH731" s="27">
        <f>IF(COUNT($AC731:$AG731)&lt;2,"",IF(MAX($AC731:$AG731)=MIN($AC731:$AG731),0,1))</f>
        <v/>
      </c>
      <c r="AI731" s="27">
        <f>IF($A731="","",IF(COUNTIF($A$14:$A731,$A731)=1,COUNTIF($AI$13:AI730,"&gt;0")+1,""))</f>
        <v/>
      </c>
      <c r="AO731" s="27">
        <f>IF($A731="","",IF(AND(COUNTIFS($A$14:$A$1213,$A731,$F$14:$F$1213,"&gt;=0")=2,IFERROR(INDEX($M$14:$M$313,MATCH($A731,$H$14:$H$313,0)),"Yes")&lt;&gt;"Yes"),1,0))</f>
        <v/>
      </c>
    </row>
    <row r="732">
      <c r="A732" s="19" t="n"/>
      <c r="B732" s="20" t="n"/>
      <c r="C732" s="21">
        <f>IFERROR(AVERAGE(P732:T732),"")</f>
        <v/>
      </c>
      <c r="D732" s="29" t="n"/>
      <c r="E732" s="29" t="n"/>
      <c r="F732" s="30">
        <f>IF(AND(ISNUMBER($D732),ISNUMBER($E732),$E732&gt;0,$D732&lt;=$E732),$D732/$E732,"")</f>
        <v/>
      </c>
      <c r="P732" s="26" t="n"/>
      <c r="Q732" s="26" t="n"/>
      <c r="R732" s="26" t="n"/>
      <c r="S732" s="26" t="n"/>
      <c r="T732" s="26" t="n"/>
      <c r="V732" s="27">
        <f>IF(ISNUMBER($C732),COUNTIFS($A$14:$A$1213,$A732,$C$14:$C$1213,"&gt;"&amp;$C732)+(COUNTIFS($A$14:$A$1213,$A732,$C$14:$C$1213,"="&amp;$C732)+1)/2,"")</f>
        <v/>
      </c>
      <c r="W732" s="27">
        <f>IF(ISNUMBER($F732),COUNTIFS($A$14:$A$1213,$A732,$F$14:$F$1213,"&gt;"&amp;$F732)+(COUNTIFS($A$14:$A$1213,$A732,$F$14:$F$1213,"="&amp;$F732)+1)/2,"")</f>
        <v/>
      </c>
      <c r="X732" s="27">
        <f>IF(OR(NOT(ISNUMBER($V732)),$AO732=1),"",$V732-(COUNTIFS($A$14:$A$1213,$A732,$C$14:$C$1213,"&gt;=0")+1)/2)</f>
        <v/>
      </c>
      <c r="Y732" s="27">
        <f>IF(OR(NOT(ISNUMBER($W732)),$AO732=1),"",$W732-(COUNTIFS($A$14:$A$1213,$A732,$F$14:$F$1213,"&gt;=0")+1)/2)</f>
        <v/>
      </c>
      <c r="Z732" s="27">
        <f>IF(ISNUMBER($V732),$A732&amp;"|"&amp;$V732,"")</f>
        <v/>
      </c>
      <c r="AA732" s="27">
        <f>IF(ISNUMBER($W732),$A732&amp;"|"&amp;$W732,"")</f>
        <v/>
      </c>
      <c r="AB732" s="27">
        <f>IF(ISNUMBER($F732),$A732&amp;"|"&amp;$F732,"")</f>
        <v/>
      </c>
      <c r="AC732" s="27">
        <f>IF(ISNUMBER($P732),COUNTIFS($A$14:$A$1213,$A732,$P$14:$P$1213,"&gt;"&amp;$P732)+(COUNTIFS($A$14:$A$1213,$A732,$P$14:$P$1213,"="&amp;$P732)+1)/2,"")</f>
        <v/>
      </c>
      <c r="AD732" s="27">
        <f>IF(ISNUMBER($Q732),COUNTIFS($A$14:$A$1213,$A732,$Q$14:$Q$1213,"&gt;"&amp;$Q732)+(COUNTIFS($A$14:$A$1213,$A732,$Q$14:$Q$1213,"="&amp;$Q732)+1)/2,"")</f>
        <v/>
      </c>
      <c r="AE732" s="27">
        <f>IF(ISNUMBER($R732),COUNTIFS($A$14:$A$1213,$A732,$R$14:$R$1213,"&gt;"&amp;$R732)+(COUNTIFS($A$14:$A$1213,$A732,$R$14:$R$1213,"="&amp;$R732)+1)/2,"")</f>
        <v/>
      </c>
      <c r="AF732" s="27">
        <f>IF(ISNUMBER($S732),COUNTIFS($A$14:$A$1213,$A732,$S$14:$S$1213,"&gt;"&amp;$S732)+(COUNTIFS($A$14:$A$1213,$A732,$S$14:$S$1213,"="&amp;$S732)+1)/2,"")</f>
        <v/>
      </c>
      <c r="AG732" s="27">
        <f>IF(ISNUMBER($T732),COUNTIFS($A$14:$A$1213,$A732,$T$14:$T$1213,"&gt;"&amp;$T732)+(COUNTIFS($A$14:$A$1213,$A732,$T$14:$T$1213,"="&amp;$T732)+1)/2,"")</f>
        <v/>
      </c>
      <c r="AH732" s="27">
        <f>IF(COUNT($AC732:$AG732)&lt;2,"",IF(MAX($AC732:$AG732)=MIN($AC732:$AG732),0,1))</f>
        <v/>
      </c>
      <c r="AI732" s="27">
        <f>IF($A732="","",IF(COUNTIF($A$14:$A732,$A732)=1,COUNTIF($AI$13:AI731,"&gt;0")+1,""))</f>
        <v/>
      </c>
      <c r="AO732" s="27">
        <f>IF($A732="","",IF(AND(COUNTIFS($A$14:$A$1213,$A732,$F$14:$F$1213,"&gt;=0")=2,IFERROR(INDEX($M$14:$M$313,MATCH($A732,$H$14:$H$313,0)),"Yes")&lt;&gt;"Yes"),1,0))</f>
        <v/>
      </c>
    </row>
    <row r="733">
      <c r="A733" s="19" t="n"/>
      <c r="B733" s="20" t="n"/>
      <c r="C733" s="21">
        <f>IFERROR(AVERAGE(P733:T733),"")</f>
        <v/>
      </c>
      <c r="D733" s="29" t="n"/>
      <c r="E733" s="29" t="n"/>
      <c r="F733" s="30">
        <f>IF(AND(ISNUMBER($D733),ISNUMBER($E733),$E733&gt;0,$D733&lt;=$E733),$D733/$E733,"")</f>
        <v/>
      </c>
      <c r="P733" s="26" t="n"/>
      <c r="Q733" s="26" t="n"/>
      <c r="R733" s="26" t="n"/>
      <c r="S733" s="26" t="n"/>
      <c r="T733" s="26" t="n"/>
      <c r="V733" s="27">
        <f>IF(ISNUMBER($C733),COUNTIFS($A$14:$A$1213,$A733,$C$14:$C$1213,"&gt;"&amp;$C733)+(COUNTIFS($A$14:$A$1213,$A733,$C$14:$C$1213,"="&amp;$C733)+1)/2,"")</f>
        <v/>
      </c>
      <c r="W733" s="27">
        <f>IF(ISNUMBER($F733),COUNTIFS($A$14:$A$1213,$A733,$F$14:$F$1213,"&gt;"&amp;$F733)+(COUNTIFS($A$14:$A$1213,$A733,$F$14:$F$1213,"="&amp;$F733)+1)/2,"")</f>
        <v/>
      </c>
      <c r="X733" s="27">
        <f>IF(OR(NOT(ISNUMBER($V733)),$AO733=1),"",$V733-(COUNTIFS($A$14:$A$1213,$A733,$C$14:$C$1213,"&gt;=0")+1)/2)</f>
        <v/>
      </c>
      <c r="Y733" s="27">
        <f>IF(OR(NOT(ISNUMBER($W733)),$AO733=1),"",$W733-(COUNTIFS($A$14:$A$1213,$A733,$F$14:$F$1213,"&gt;=0")+1)/2)</f>
        <v/>
      </c>
      <c r="Z733" s="27">
        <f>IF(ISNUMBER($V733),$A733&amp;"|"&amp;$V733,"")</f>
        <v/>
      </c>
      <c r="AA733" s="27">
        <f>IF(ISNUMBER($W733),$A733&amp;"|"&amp;$W733,"")</f>
        <v/>
      </c>
      <c r="AB733" s="27">
        <f>IF(ISNUMBER($F733),$A733&amp;"|"&amp;$F733,"")</f>
        <v/>
      </c>
      <c r="AC733" s="27">
        <f>IF(ISNUMBER($P733),COUNTIFS($A$14:$A$1213,$A733,$P$14:$P$1213,"&gt;"&amp;$P733)+(COUNTIFS($A$14:$A$1213,$A733,$P$14:$P$1213,"="&amp;$P733)+1)/2,"")</f>
        <v/>
      </c>
      <c r="AD733" s="27">
        <f>IF(ISNUMBER($Q733),COUNTIFS($A$14:$A$1213,$A733,$Q$14:$Q$1213,"&gt;"&amp;$Q733)+(COUNTIFS($A$14:$A$1213,$A733,$Q$14:$Q$1213,"="&amp;$Q733)+1)/2,"")</f>
        <v/>
      </c>
      <c r="AE733" s="27">
        <f>IF(ISNUMBER($R733),COUNTIFS($A$14:$A$1213,$A733,$R$14:$R$1213,"&gt;"&amp;$R733)+(COUNTIFS($A$14:$A$1213,$A733,$R$14:$R$1213,"="&amp;$R733)+1)/2,"")</f>
        <v/>
      </c>
      <c r="AF733" s="27">
        <f>IF(ISNUMBER($S733),COUNTIFS($A$14:$A$1213,$A733,$S$14:$S$1213,"&gt;"&amp;$S733)+(COUNTIFS($A$14:$A$1213,$A733,$S$14:$S$1213,"="&amp;$S733)+1)/2,"")</f>
        <v/>
      </c>
      <c r="AG733" s="27">
        <f>IF(ISNUMBER($T733),COUNTIFS($A$14:$A$1213,$A733,$T$14:$T$1213,"&gt;"&amp;$T733)+(COUNTIFS($A$14:$A$1213,$A733,$T$14:$T$1213,"="&amp;$T733)+1)/2,"")</f>
        <v/>
      </c>
      <c r="AH733" s="27">
        <f>IF(COUNT($AC733:$AG733)&lt;2,"",IF(MAX($AC733:$AG733)=MIN($AC733:$AG733),0,1))</f>
        <v/>
      </c>
      <c r="AI733" s="27">
        <f>IF($A733="","",IF(COUNTIF($A$14:$A733,$A733)=1,COUNTIF($AI$13:AI732,"&gt;0")+1,""))</f>
        <v/>
      </c>
      <c r="AO733" s="27">
        <f>IF($A733="","",IF(AND(COUNTIFS($A$14:$A$1213,$A733,$F$14:$F$1213,"&gt;=0")=2,IFERROR(INDEX($M$14:$M$313,MATCH($A733,$H$14:$H$313,0)),"Yes")&lt;&gt;"Yes"),1,0))</f>
        <v/>
      </c>
    </row>
    <row r="734">
      <c r="A734" s="19" t="n"/>
      <c r="B734" s="20" t="n"/>
      <c r="C734" s="21">
        <f>IFERROR(AVERAGE(P734:T734),"")</f>
        <v/>
      </c>
      <c r="D734" s="29" t="n"/>
      <c r="E734" s="29" t="n"/>
      <c r="F734" s="30">
        <f>IF(AND(ISNUMBER($D734),ISNUMBER($E734),$E734&gt;0,$D734&lt;=$E734),$D734/$E734,"")</f>
        <v/>
      </c>
      <c r="P734" s="26" t="n"/>
      <c r="Q734" s="26" t="n"/>
      <c r="R734" s="26" t="n"/>
      <c r="S734" s="26" t="n"/>
      <c r="T734" s="26" t="n"/>
      <c r="V734" s="27">
        <f>IF(ISNUMBER($C734),COUNTIFS($A$14:$A$1213,$A734,$C$14:$C$1213,"&gt;"&amp;$C734)+(COUNTIFS($A$14:$A$1213,$A734,$C$14:$C$1213,"="&amp;$C734)+1)/2,"")</f>
        <v/>
      </c>
      <c r="W734" s="27">
        <f>IF(ISNUMBER($F734),COUNTIFS($A$14:$A$1213,$A734,$F$14:$F$1213,"&gt;"&amp;$F734)+(COUNTIFS($A$14:$A$1213,$A734,$F$14:$F$1213,"="&amp;$F734)+1)/2,"")</f>
        <v/>
      </c>
      <c r="X734" s="27">
        <f>IF(OR(NOT(ISNUMBER($V734)),$AO734=1),"",$V734-(COUNTIFS($A$14:$A$1213,$A734,$C$14:$C$1213,"&gt;=0")+1)/2)</f>
        <v/>
      </c>
      <c r="Y734" s="27">
        <f>IF(OR(NOT(ISNUMBER($W734)),$AO734=1),"",$W734-(COUNTIFS($A$14:$A$1213,$A734,$F$14:$F$1213,"&gt;=0")+1)/2)</f>
        <v/>
      </c>
      <c r="Z734" s="27">
        <f>IF(ISNUMBER($V734),$A734&amp;"|"&amp;$V734,"")</f>
        <v/>
      </c>
      <c r="AA734" s="27">
        <f>IF(ISNUMBER($W734),$A734&amp;"|"&amp;$W734,"")</f>
        <v/>
      </c>
      <c r="AB734" s="27">
        <f>IF(ISNUMBER($F734),$A734&amp;"|"&amp;$F734,"")</f>
        <v/>
      </c>
      <c r="AC734" s="27">
        <f>IF(ISNUMBER($P734),COUNTIFS($A$14:$A$1213,$A734,$P$14:$P$1213,"&gt;"&amp;$P734)+(COUNTIFS($A$14:$A$1213,$A734,$P$14:$P$1213,"="&amp;$P734)+1)/2,"")</f>
        <v/>
      </c>
      <c r="AD734" s="27">
        <f>IF(ISNUMBER($Q734),COUNTIFS($A$14:$A$1213,$A734,$Q$14:$Q$1213,"&gt;"&amp;$Q734)+(COUNTIFS($A$14:$A$1213,$A734,$Q$14:$Q$1213,"="&amp;$Q734)+1)/2,"")</f>
        <v/>
      </c>
      <c r="AE734" s="27">
        <f>IF(ISNUMBER($R734),COUNTIFS($A$14:$A$1213,$A734,$R$14:$R$1213,"&gt;"&amp;$R734)+(COUNTIFS($A$14:$A$1213,$A734,$R$14:$R$1213,"="&amp;$R734)+1)/2,"")</f>
        <v/>
      </c>
      <c r="AF734" s="27">
        <f>IF(ISNUMBER($S734),COUNTIFS($A$14:$A$1213,$A734,$S$14:$S$1213,"&gt;"&amp;$S734)+(COUNTIFS($A$14:$A$1213,$A734,$S$14:$S$1213,"="&amp;$S734)+1)/2,"")</f>
        <v/>
      </c>
      <c r="AG734" s="27">
        <f>IF(ISNUMBER($T734),COUNTIFS($A$14:$A$1213,$A734,$T$14:$T$1213,"&gt;"&amp;$T734)+(COUNTIFS($A$14:$A$1213,$A734,$T$14:$T$1213,"="&amp;$T734)+1)/2,"")</f>
        <v/>
      </c>
      <c r="AH734" s="27">
        <f>IF(COUNT($AC734:$AG734)&lt;2,"",IF(MAX($AC734:$AG734)=MIN($AC734:$AG734),0,1))</f>
        <v/>
      </c>
      <c r="AI734" s="27">
        <f>IF($A734="","",IF(COUNTIF($A$14:$A734,$A734)=1,COUNTIF($AI$13:AI733,"&gt;0")+1,""))</f>
        <v/>
      </c>
      <c r="AO734" s="27">
        <f>IF($A734="","",IF(AND(COUNTIFS($A$14:$A$1213,$A734,$F$14:$F$1213,"&gt;=0")=2,IFERROR(INDEX($M$14:$M$313,MATCH($A734,$H$14:$H$313,0)),"Yes")&lt;&gt;"Yes"),1,0))</f>
        <v/>
      </c>
    </row>
    <row r="735">
      <c r="A735" s="19" t="n"/>
      <c r="B735" s="20" t="n"/>
      <c r="C735" s="21">
        <f>IFERROR(AVERAGE(P735:T735),"")</f>
        <v/>
      </c>
      <c r="D735" s="29" t="n"/>
      <c r="E735" s="29" t="n"/>
      <c r="F735" s="30">
        <f>IF(AND(ISNUMBER($D735),ISNUMBER($E735),$E735&gt;0,$D735&lt;=$E735),$D735/$E735,"")</f>
        <v/>
      </c>
      <c r="P735" s="26" t="n"/>
      <c r="Q735" s="26" t="n"/>
      <c r="R735" s="26" t="n"/>
      <c r="S735" s="26" t="n"/>
      <c r="T735" s="26" t="n"/>
      <c r="V735" s="27">
        <f>IF(ISNUMBER($C735),COUNTIFS($A$14:$A$1213,$A735,$C$14:$C$1213,"&gt;"&amp;$C735)+(COUNTIFS($A$14:$A$1213,$A735,$C$14:$C$1213,"="&amp;$C735)+1)/2,"")</f>
        <v/>
      </c>
      <c r="W735" s="27">
        <f>IF(ISNUMBER($F735),COUNTIFS($A$14:$A$1213,$A735,$F$14:$F$1213,"&gt;"&amp;$F735)+(COUNTIFS($A$14:$A$1213,$A735,$F$14:$F$1213,"="&amp;$F735)+1)/2,"")</f>
        <v/>
      </c>
      <c r="X735" s="27">
        <f>IF(OR(NOT(ISNUMBER($V735)),$AO735=1),"",$V735-(COUNTIFS($A$14:$A$1213,$A735,$C$14:$C$1213,"&gt;=0")+1)/2)</f>
        <v/>
      </c>
      <c r="Y735" s="27">
        <f>IF(OR(NOT(ISNUMBER($W735)),$AO735=1),"",$W735-(COUNTIFS($A$14:$A$1213,$A735,$F$14:$F$1213,"&gt;=0")+1)/2)</f>
        <v/>
      </c>
      <c r="Z735" s="27">
        <f>IF(ISNUMBER($V735),$A735&amp;"|"&amp;$V735,"")</f>
        <v/>
      </c>
      <c r="AA735" s="27">
        <f>IF(ISNUMBER($W735),$A735&amp;"|"&amp;$W735,"")</f>
        <v/>
      </c>
      <c r="AB735" s="27">
        <f>IF(ISNUMBER($F735),$A735&amp;"|"&amp;$F735,"")</f>
        <v/>
      </c>
      <c r="AC735" s="27">
        <f>IF(ISNUMBER($P735),COUNTIFS($A$14:$A$1213,$A735,$P$14:$P$1213,"&gt;"&amp;$P735)+(COUNTIFS($A$14:$A$1213,$A735,$P$14:$P$1213,"="&amp;$P735)+1)/2,"")</f>
        <v/>
      </c>
      <c r="AD735" s="27">
        <f>IF(ISNUMBER($Q735),COUNTIFS($A$14:$A$1213,$A735,$Q$14:$Q$1213,"&gt;"&amp;$Q735)+(COUNTIFS($A$14:$A$1213,$A735,$Q$14:$Q$1213,"="&amp;$Q735)+1)/2,"")</f>
        <v/>
      </c>
      <c r="AE735" s="27">
        <f>IF(ISNUMBER($R735),COUNTIFS($A$14:$A$1213,$A735,$R$14:$R$1213,"&gt;"&amp;$R735)+(COUNTIFS($A$14:$A$1213,$A735,$R$14:$R$1213,"="&amp;$R735)+1)/2,"")</f>
        <v/>
      </c>
      <c r="AF735" s="27">
        <f>IF(ISNUMBER($S735),COUNTIFS($A$14:$A$1213,$A735,$S$14:$S$1213,"&gt;"&amp;$S735)+(COUNTIFS($A$14:$A$1213,$A735,$S$14:$S$1213,"="&amp;$S735)+1)/2,"")</f>
        <v/>
      </c>
      <c r="AG735" s="27">
        <f>IF(ISNUMBER($T735),COUNTIFS($A$14:$A$1213,$A735,$T$14:$T$1213,"&gt;"&amp;$T735)+(COUNTIFS($A$14:$A$1213,$A735,$T$14:$T$1213,"="&amp;$T735)+1)/2,"")</f>
        <v/>
      </c>
      <c r="AH735" s="27">
        <f>IF(COUNT($AC735:$AG735)&lt;2,"",IF(MAX($AC735:$AG735)=MIN($AC735:$AG735),0,1))</f>
        <v/>
      </c>
      <c r="AI735" s="27">
        <f>IF($A735="","",IF(COUNTIF($A$14:$A735,$A735)=1,COUNTIF($AI$13:AI734,"&gt;0")+1,""))</f>
        <v/>
      </c>
      <c r="AO735" s="27">
        <f>IF($A735="","",IF(AND(COUNTIFS($A$14:$A$1213,$A735,$F$14:$F$1213,"&gt;=0")=2,IFERROR(INDEX($M$14:$M$313,MATCH($A735,$H$14:$H$313,0)),"Yes")&lt;&gt;"Yes"),1,0))</f>
        <v/>
      </c>
    </row>
    <row r="736">
      <c r="A736" s="19" t="n"/>
      <c r="B736" s="20" t="n"/>
      <c r="C736" s="21">
        <f>IFERROR(AVERAGE(P736:T736),"")</f>
        <v/>
      </c>
      <c r="D736" s="29" t="n"/>
      <c r="E736" s="29" t="n"/>
      <c r="F736" s="30">
        <f>IF(AND(ISNUMBER($D736),ISNUMBER($E736),$E736&gt;0,$D736&lt;=$E736),$D736/$E736,"")</f>
        <v/>
      </c>
      <c r="P736" s="26" t="n"/>
      <c r="Q736" s="26" t="n"/>
      <c r="R736" s="26" t="n"/>
      <c r="S736" s="26" t="n"/>
      <c r="T736" s="26" t="n"/>
      <c r="V736" s="27">
        <f>IF(ISNUMBER($C736),COUNTIFS($A$14:$A$1213,$A736,$C$14:$C$1213,"&gt;"&amp;$C736)+(COUNTIFS($A$14:$A$1213,$A736,$C$14:$C$1213,"="&amp;$C736)+1)/2,"")</f>
        <v/>
      </c>
      <c r="W736" s="27">
        <f>IF(ISNUMBER($F736),COUNTIFS($A$14:$A$1213,$A736,$F$14:$F$1213,"&gt;"&amp;$F736)+(COUNTIFS($A$14:$A$1213,$A736,$F$14:$F$1213,"="&amp;$F736)+1)/2,"")</f>
        <v/>
      </c>
      <c r="X736" s="27">
        <f>IF(OR(NOT(ISNUMBER($V736)),$AO736=1),"",$V736-(COUNTIFS($A$14:$A$1213,$A736,$C$14:$C$1213,"&gt;=0")+1)/2)</f>
        <v/>
      </c>
      <c r="Y736" s="27">
        <f>IF(OR(NOT(ISNUMBER($W736)),$AO736=1),"",$W736-(COUNTIFS($A$14:$A$1213,$A736,$F$14:$F$1213,"&gt;=0")+1)/2)</f>
        <v/>
      </c>
      <c r="Z736" s="27">
        <f>IF(ISNUMBER($V736),$A736&amp;"|"&amp;$V736,"")</f>
        <v/>
      </c>
      <c r="AA736" s="27">
        <f>IF(ISNUMBER($W736),$A736&amp;"|"&amp;$W736,"")</f>
        <v/>
      </c>
      <c r="AB736" s="27">
        <f>IF(ISNUMBER($F736),$A736&amp;"|"&amp;$F736,"")</f>
        <v/>
      </c>
      <c r="AC736" s="27">
        <f>IF(ISNUMBER($P736),COUNTIFS($A$14:$A$1213,$A736,$P$14:$P$1213,"&gt;"&amp;$P736)+(COUNTIFS($A$14:$A$1213,$A736,$P$14:$P$1213,"="&amp;$P736)+1)/2,"")</f>
        <v/>
      </c>
      <c r="AD736" s="27">
        <f>IF(ISNUMBER($Q736),COUNTIFS($A$14:$A$1213,$A736,$Q$14:$Q$1213,"&gt;"&amp;$Q736)+(COUNTIFS($A$14:$A$1213,$A736,$Q$14:$Q$1213,"="&amp;$Q736)+1)/2,"")</f>
        <v/>
      </c>
      <c r="AE736" s="27">
        <f>IF(ISNUMBER($R736),COUNTIFS($A$14:$A$1213,$A736,$R$14:$R$1213,"&gt;"&amp;$R736)+(COUNTIFS($A$14:$A$1213,$A736,$R$14:$R$1213,"="&amp;$R736)+1)/2,"")</f>
        <v/>
      </c>
      <c r="AF736" s="27">
        <f>IF(ISNUMBER($S736),COUNTIFS($A$14:$A$1213,$A736,$S$14:$S$1213,"&gt;"&amp;$S736)+(COUNTIFS($A$14:$A$1213,$A736,$S$14:$S$1213,"="&amp;$S736)+1)/2,"")</f>
        <v/>
      </c>
      <c r="AG736" s="27">
        <f>IF(ISNUMBER($T736),COUNTIFS($A$14:$A$1213,$A736,$T$14:$T$1213,"&gt;"&amp;$T736)+(COUNTIFS($A$14:$A$1213,$A736,$T$14:$T$1213,"="&amp;$T736)+1)/2,"")</f>
        <v/>
      </c>
      <c r="AH736" s="27">
        <f>IF(COUNT($AC736:$AG736)&lt;2,"",IF(MAX($AC736:$AG736)=MIN($AC736:$AG736),0,1))</f>
        <v/>
      </c>
      <c r="AI736" s="27">
        <f>IF($A736="","",IF(COUNTIF($A$14:$A736,$A736)=1,COUNTIF($AI$13:AI735,"&gt;0")+1,""))</f>
        <v/>
      </c>
      <c r="AO736" s="27">
        <f>IF($A736="","",IF(AND(COUNTIFS($A$14:$A$1213,$A736,$F$14:$F$1213,"&gt;=0")=2,IFERROR(INDEX($M$14:$M$313,MATCH($A736,$H$14:$H$313,0)),"Yes")&lt;&gt;"Yes"),1,0))</f>
        <v/>
      </c>
    </row>
    <row r="737">
      <c r="A737" s="19" t="n"/>
      <c r="B737" s="20" t="n"/>
      <c r="C737" s="21">
        <f>IFERROR(AVERAGE(P737:T737),"")</f>
        <v/>
      </c>
      <c r="D737" s="29" t="n"/>
      <c r="E737" s="29" t="n"/>
      <c r="F737" s="30">
        <f>IF(AND(ISNUMBER($D737),ISNUMBER($E737),$E737&gt;0,$D737&lt;=$E737),$D737/$E737,"")</f>
        <v/>
      </c>
      <c r="P737" s="26" t="n"/>
      <c r="Q737" s="26" t="n"/>
      <c r="R737" s="26" t="n"/>
      <c r="S737" s="26" t="n"/>
      <c r="T737" s="26" t="n"/>
      <c r="V737" s="27">
        <f>IF(ISNUMBER($C737),COUNTIFS($A$14:$A$1213,$A737,$C$14:$C$1213,"&gt;"&amp;$C737)+(COUNTIFS($A$14:$A$1213,$A737,$C$14:$C$1213,"="&amp;$C737)+1)/2,"")</f>
        <v/>
      </c>
      <c r="W737" s="27">
        <f>IF(ISNUMBER($F737),COUNTIFS($A$14:$A$1213,$A737,$F$14:$F$1213,"&gt;"&amp;$F737)+(COUNTIFS($A$14:$A$1213,$A737,$F$14:$F$1213,"="&amp;$F737)+1)/2,"")</f>
        <v/>
      </c>
      <c r="X737" s="27">
        <f>IF(OR(NOT(ISNUMBER($V737)),$AO737=1),"",$V737-(COUNTIFS($A$14:$A$1213,$A737,$C$14:$C$1213,"&gt;=0")+1)/2)</f>
        <v/>
      </c>
      <c r="Y737" s="27">
        <f>IF(OR(NOT(ISNUMBER($W737)),$AO737=1),"",$W737-(COUNTIFS($A$14:$A$1213,$A737,$F$14:$F$1213,"&gt;=0")+1)/2)</f>
        <v/>
      </c>
      <c r="Z737" s="27">
        <f>IF(ISNUMBER($V737),$A737&amp;"|"&amp;$V737,"")</f>
        <v/>
      </c>
      <c r="AA737" s="27">
        <f>IF(ISNUMBER($W737),$A737&amp;"|"&amp;$W737,"")</f>
        <v/>
      </c>
      <c r="AB737" s="27">
        <f>IF(ISNUMBER($F737),$A737&amp;"|"&amp;$F737,"")</f>
        <v/>
      </c>
      <c r="AC737" s="27">
        <f>IF(ISNUMBER($P737),COUNTIFS($A$14:$A$1213,$A737,$P$14:$P$1213,"&gt;"&amp;$P737)+(COUNTIFS($A$14:$A$1213,$A737,$P$14:$P$1213,"="&amp;$P737)+1)/2,"")</f>
        <v/>
      </c>
      <c r="AD737" s="27">
        <f>IF(ISNUMBER($Q737),COUNTIFS($A$14:$A$1213,$A737,$Q$14:$Q$1213,"&gt;"&amp;$Q737)+(COUNTIFS($A$14:$A$1213,$A737,$Q$14:$Q$1213,"="&amp;$Q737)+1)/2,"")</f>
        <v/>
      </c>
      <c r="AE737" s="27">
        <f>IF(ISNUMBER($R737),COUNTIFS($A$14:$A$1213,$A737,$R$14:$R$1213,"&gt;"&amp;$R737)+(COUNTIFS($A$14:$A$1213,$A737,$R$14:$R$1213,"="&amp;$R737)+1)/2,"")</f>
        <v/>
      </c>
      <c r="AF737" s="27">
        <f>IF(ISNUMBER($S737),COUNTIFS($A$14:$A$1213,$A737,$S$14:$S$1213,"&gt;"&amp;$S737)+(COUNTIFS($A$14:$A$1213,$A737,$S$14:$S$1213,"="&amp;$S737)+1)/2,"")</f>
        <v/>
      </c>
      <c r="AG737" s="27">
        <f>IF(ISNUMBER($T737),COUNTIFS($A$14:$A$1213,$A737,$T$14:$T$1213,"&gt;"&amp;$T737)+(COUNTIFS($A$14:$A$1213,$A737,$T$14:$T$1213,"="&amp;$T737)+1)/2,"")</f>
        <v/>
      </c>
      <c r="AH737" s="27">
        <f>IF(COUNT($AC737:$AG737)&lt;2,"",IF(MAX($AC737:$AG737)=MIN($AC737:$AG737),0,1))</f>
        <v/>
      </c>
      <c r="AI737" s="27">
        <f>IF($A737="","",IF(COUNTIF($A$14:$A737,$A737)=1,COUNTIF($AI$13:AI736,"&gt;0")+1,""))</f>
        <v/>
      </c>
      <c r="AO737" s="27">
        <f>IF($A737="","",IF(AND(COUNTIFS($A$14:$A$1213,$A737,$F$14:$F$1213,"&gt;=0")=2,IFERROR(INDEX($M$14:$M$313,MATCH($A737,$H$14:$H$313,0)),"Yes")&lt;&gt;"Yes"),1,0))</f>
        <v/>
      </c>
    </row>
    <row r="738">
      <c r="A738" s="19" t="n"/>
      <c r="B738" s="20" t="n"/>
      <c r="C738" s="21">
        <f>IFERROR(AVERAGE(P738:T738),"")</f>
        <v/>
      </c>
      <c r="D738" s="29" t="n"/>
      <c r="E738" s="29" t="n"/>
      <c r="F738" s="30">
        <f>IF(AND(ISNUMBER($D738),ISNUMBER($E738),$E738&gt;0,$D738&lt;=$E738),$D738/$E738,"")</f>
        <v/>
      </c>
      <c r="P738" s="26" t="n"/>
      <c r="Q738" s="26" t="n"/>
      <c r="R738" s="26" t="n"/>
      <c r="S738" s="26" t="n"/>
      <c r="T738" s="26" t="n"/>
      <c r="V738" s="27">
        <f>IF(ISNUMBER($C738),COUNTIFS($A$14:$A$1213,$A738,$C$14:$C$1213,"&gt;"&amp;$C738)+(COUNTIFS($A$14:$A$1213,$A738,$C$14:$C$1213,"="&amp;$C738)+1)/2,"")</f>
        <v/>
      </c>
      <c r="W738" s="27">
        <f>IF(ISNUMBER($F738),COUNTIFS($A$14:$A$1213,$A738,$F$14:$F$1213,"&gt;"&amp;$F738)+(COUNTIFS($A$14:$A$1213,$A738,$F$14:$F$1213,"="&amp;$F738)+1)/2,"")</f>
        <v/>
      </c>
      <c r="X738" s="27">
        <f>IF(OR(NOT(ISNUMBER($V738)),$AO738=1),"",$V738-(COUNTIFS($A$14:$A$1213,$A738,$C$14:$C$1213,"&gt;=0")+1)/2)</f>
        <v/>
      </c>
      <c r="Y738" s="27">
        <f>IF(OR(NOT(ISNUMBER($W738)),$AO738=1),"",$W738-(COUNTIFS($A$14:$A$1213,$A738,$F$14:$F$1213,"&gt;=0")+1)/2)</f>
        <v/>
      </c>
      <c r="Z738" s="27">
        <f>IF(ISNUMBER($V738),$A738&amp;"|"&amp;$V738,"")</f>
        <v/>
      </c>
      <c r="AA738" s="27">
        <f>IF(ISNUMBER($W738),$A738&amp;"|"&amp;$W738,"")</f>
        <v/>
      </c>
      <c r="AB738" s="27">
        <f>IF(ISNUMBER($F738),$A738&amp;"|"&amp;$F738,"")</f>
        <v/>
      </c>
      <c r="AC738" s="27">
        <f>IF(ISNUMBER($P738),COUNTIFS($A$14:$A$1213,$A738,$P$14:$P$1213,"&gt;"&amp;$P738)+(COUNTIFS($A$14:$A$1213,$A738,$P$14:$P$1213,"="&amp;$P738)+1)/2,"")</f>
        <v/>
      </c>
      <c r="AD738" s="27">
        <f>IF(ISNUMBER($Q738),COUNTIFS($A$14:$A$1213,$A738,$Q$14:$Q$1213,"&gt;"&amp;$Q738)+(COUNTIFS($A$14:$A$1213,$A738,$Q$14:$Q$1213,"="&amp;$Q738)+1)/2,"")</f>
        <v/>
      </c>
      <c r="AE738" s="27">
        <f>IF(ISNUMBER($R738),COUNTIFS($A$14:$A$1213,$A738,$R$14:$R$1213,"&gt;"&amp;$R738)+(COUNTIFS($A$14:$A$1213,$A738,$R$14:$R$1213,"="&amp;$R738)+1)/2,"")</f>
        <v/>
      </c>
      <c r="AF738" s="27">
        <f>IF(ISNUMBER($S738),COUNTIFS($A$14:$A$1213,$A738,$S$14:$S$1213,"&gt;"&amp;$S738)+(COUNTIFS($A$14:$A$1213,$A738,$S$14:$S$1213,"="&amp;$S738)+1)/2,"")</f>
        <v/>
      </c>
      <c r="AG738" s="27">
        <f>IF(ISNUMBER($T738),COUNTIFS($A$14:$A$1213,$A738,$T$14:$T$1213,"&gt;"&amp;$T738)+(COUNTIFS($A$14:$A$1213,$A738,$T$14:$T$1213,"="&amp;$T738)+1)/2,"")</f>
        <v/>
      </c>
      <c r="AH738" s="27">
        <f>IF(COUNT($AC738:$AG738)&lt;2,"",IF(MAX($AC738:$AG738)=MIN($AC738:$AG738),0,1))</f>
        <v/>
      </c>
      <c r="AI738" s="27">
        <f>IF($A738="","",IF(COUNTIF($A$14:$A738,$A738)=1,COUNTIF($AI$13:AI737,"&gt;0")+1,""))</f>
        <v/>
      </c>
      <c r="AO738" s="27">
        <f>IF($A738="","",IF(AND(COUNTIFS($A$14:$A$1213,$A738,$F$14:$F$1213,"&gt;=0")=2,IFERROR(INDEX($M$14:$M$313,MATCH($A738,$H$14:$H$313,0)),"Yes")&lt;&gt;"Yes"),1,0))</f>
        <v/>
      </c>
    </row>
    <row r="739">
      <c r="A739" s="19" t="n"/>
      <c r="B739" s="20" t="n"/>
      <c r="C739" s="21">
        <f>IFERROR(AVERAGE(P739:T739),"")</f>
        <v/>
      </c>
      <c r="D739" s="29" t="n"/>
      <c r="E739" s="29" t="n"/>
      <c r="F739" s="30">
        <f>IF(AND(ISNUMBER($D739),ISNUMBER($E739),$E739&gt;0,$D739&lt;=$E739),$D739/$E739,"")</f>
        <v/>
      </c>
      <c r="P739" s="26" t="n"/>
      <c r="Q739" s="26" t="n"/>
      <c r="R739" s="26" t="n"/>
      <c r="S739" s="26" t="n"/>
      <c r="T739" s="26" t="n"/>
      <c r="V739" s="27">
        <f>IF(ISNUMBER($C739),COUNTIFS($A$14:$A$1213,$A739,$C$14:$C$1213,"&gt;"&amp;$C739)+(COUNTIFS($A$14:$A$1213,$A739,$C$14:$C$1213,"="&amp;$C739)+1)/2,"")</f>
        <v/>
      </c>
      <c r="W739" s="27">
        <f>IF(ISNUMBER($F739),COUNTIFS($A$14:$A$1213,$A739,$F$14:$F$1213,"&gt;"&amp;$F739)+(COUNTIFS($A$14:$A$1213,$A739,$F$14:$F$1213,"="&amp;$F739)+1)/2,"")</f>
        <v/>
      </c>
      <c r="X739" s="27">
        <f>IF(OR(NOT(ISNUMBER($V739)),$AO739=1),"",$V739-(COUNTIFS($A$14:$A$1213,$A739,$C$14:$C$1213,"&gt;=0")+1)/2)</f>
        <v/>
      </c>
      <c r="Y739" s="27">
        <f>IF(OR(NOT(ISNUMBER($W739)),$AO739=1),"",$W739-(COUNTIFS($A$14:$A$1213,$A739,$F$14:$F$1213,"&gt;=0")+1)/2)</f>
        <v/>
      </c>
      <c r="Z739" s="27">
        <f>IF(ISNUMBER($V739),$A739&amp;"|"&amp;$V739,"")</f>
        <v/>
      </c>
      <c r="AA739" s="27">
        <f>IF(ISNUMBER($W739),$A739&amp;"|"&amp;$W739,"")</f>
        <v/>
      </c>
      <c r="AB739" s="27">
        <f>IF(ISNUMBER($F739),$A739&amp;"|"&amp;$F739,"")</f>
        <v/>
      </c>
      <c r="AC739" s="27">
        <f>IF(ISNUMBER($P739),COUNTIFS($A$14:$A$1213,$A739,$P$14:$P$1213,"&gt;"&amp;$P739)+(COUNTIFS($A$14:$A$1213,$A739,$P$14:$P$1213,"="&amp;$P739)+1)/2,"")</f>
        <v/>
      </c>
      <c r="AD739" s="27">
        <f>IF(ISNUMBER($Q739),COUNTIFS($A$14:$A$1213,$A739,$Q$14:$Q$1213,"&gt;"&amp;$Q739)+(COUNTIFS($A$14:$A$1213,$A739,$Q$14:$Q$1213,"="&amp;$Q739)+1)/2,"")</f>
        <v/>
      </c>
      <c r="AE739" s="27">
        <f>IF(ISNUMBER($R739),COUNTIFS($A$14:$A$1213,$A739,$R$14:$R$1213,"&gt;"&amp;$R739)+(COUNTIFS($A$14:$A$1213,$A739,$R$14:$R$1213,"="&amp;$R739)+1)/2,"")</f>
        <v/>
      </c>
      <c r="AF739" s="27">
        <f>IF(ISNUMBER($S739),COUNTIFS($A$14:$A$1213,$A739,$S$14:$S$1213,"&gt;"&amp;$S739)+(COUNTIFS($A$14:$A$1213,$A739,$S$14:$S$1213,"="&amp;$S739)+1)/2,"")</f>
        <v/>
      </c>
      <c r="AG739" s="27">
        <f>IF(ISNUMBER($T739),COUNTIFS($A$14:$A$1213,$A739,$T$14:$T$1213,"&gt;"&amp;$T739)+(COUNTIFS($A$14:$A$1213,$A739,$T$14:$T$1213,"="&amp;$T739)+1)/2,"")</f>
        <v/>
      </c>
      <c r="AH739" s="27">
        <f>IF(COUNT($AC739:$AG739)&lt;2,"",IF(MAX($AC739:$AG739)=MIN($AC739:$AG739),0,1))</f>
        <v/>
      </c>
      <c r="AI739" s="27">
        <f>IF($A739="","",IF(COUNTIF($A$14:$A739,$A739)=1,COUNTIF($AI$13:AI738,"&gt;0")+1,""))</f>
        <v/>
      </c>
      <c r="AO739" s="27">
        <f>IF($A739="","",IF(AND(COUNTIFS($A$14:$A$1213,$A739,$F$14:$F$1213,"&gt;=0")=2,IFERROR(INDEX($M$14:$M$313,MATCH($A739,$H$14:$H$313,0)),"Yes")&lt;&gt;"Yes"),1,0))</f>
        <v/>
      </c>
    </row>
    <row r="740">
      <c r="A740" s="19" t="n"/>
      <c r="B740" s="20" t="n"/>
      <c r="C740" s="21">
        <f>IFERROR(AVERAGE(P740:T740),"")</f>
        <v/>
      </c>
      <c r="D740" s="29" t="n"/>
      <c r="E740" s="29" t="n"/>
      <c r="F740" s="30">
        <f>IF(AND(ISNUMBER($D740),ISNUMBER($E740),$E740&gt;0,$D740&lt;=$E740),$D740/$E740,"")</f>
        <v/>
      </c>
      <c r="P740" s="26" t="n"/>
      <c r="Q740" s="26" t="n"/>
      <c r="R740" s="26" t="n"/>
      <c r="S740" s="26" t="n"/>
      <c r="T740" s="26" t="n"/>
      <c r="V740" s="27">
        <f>IF(ISNUMBER($C740),COUNTIFS($A$14:$A$1213,$A740,$C$14:$C$1213,"&gt;"&amp;$C740)+(COUNTIFS($A$14:$A$1213,$A740,$C$14:$C$1213,"="&amp;$C740)+1)/2,"")</f>
        <v/>
      </c>
      <c r="W740" s="27">
        <f>IF(ISNUMBER($F740),COUNTIFS($A$14:$A$1213,$A740,$F$14:$F$1213,"&gt;"&amp;$F740)+(COUNTIFS($A$14:$A$1213,$A740,$F$14:$F$1213,"="&amp;$F740)+1)/2,"")</f>
        <v/>
      </c>
      <c r="X740" s="27">
        <f>IF(OR(NOT(ISNUMBER($V740)),$AO740=1),"",$V740-(COUNTIFS($A$14:$A$1213,$A740,$C$14:$C$1213,"&gt;=0")+1)/2)</f>
        <v/>
      </c>
      <c r="Y740" s="27">
        <f>IF(OR(NOT(ISNUMBER($W740)),$AO740=1),"",$W740-(COUNTIFS($A$14:$A$1213,$A740,$F$14:$F$1213,"&gt;=0")+1)/2)</f>
        <v/>
      </c>
      <c r="Z740" s="27">
        <f>IF(ISNUMBER($V740),$A740&amp;"|"&amp;$V740,"")</f>
        <v/>
      </c>
      <c r="AA740" s="27">
        <f>IF(ISNUMBER($W740),$A740&amp;"|"&amp;$W740,"")</f>
        <v/>
      </c>
      <c r="AB740" s="27">
        <f>IF(ISNUMBER($F740),$A740&amp;"|"&amp;$F740,"")</f>
        <v/>
      </c>
      <c r="AC740" s="27">
        <f>IF(ISNUMBER($P740),COUNTIFS($A$14:$A$1213,$A740,$P$14:$P$1213,"&gt;"&amp;$P740)+(COUNTIFS($A$14:$A$1213,$A740,$P$14:$P$1213,"="&amp;$P740)+1)/2,"")</f>
        <v/>
      </c>
      <c r="AD740" s="27">
        <f>IF(ISNUMBER($Q740),COUNTIFS($A$14:$A$1213,$A740,$Q$14:$Q$1213,"&gt;"&amp;$Q740)+(COUNTIFS($A$14:$A$1213,$A740,$Q$14:$Q$1213,"="&amp;$Q740)+1)/2,"")</f>
        <v/>
      </c>
      <c r="AE740" s="27">
        <f>IF(ISNUMBER($R740),COUNTIFS($A$14:$A$1213,$A740,$R$14:$R$1213,"&gt;"&amp;$R740)+(COUNTIFS($A$14:$A$1213,$A740,$R$14:$R$1213,"="&amp;$R740)+1)/2,"")</f>
        <v/>
      </c>
      <c r="AF740" s="27">
        <f>IF(ISNUMBER($S740),COUNTIFS($A$14:$A$1213,$A740,$S$14:$S$1213,"&gt;"&amp;$S740)+(COUNTIFS($A$14:$A$1213,$A740,$S$14:$S$1213,"="&amp;$S740)+1)/2,"")</f>
        <v/>
      </c>
      <c r="AG740" s="27">
        <f>IF(ISNUMBER($T740),COUNTIFS($A$14:$A$1213,$A740,$T$14:$T$1213,"&gt;"&amp;$T740)+(COUNTIFS($A$14:$A$1213,$A740,$T$14:$T$1213,"="&amp;$T740)+1)/2,"")</f>
        <v/>
      </c>
      <c r="AH740" s="27">
        <f>IF(COUNT($AC740:$AG740)&lt;2,"",IF(MAX($AC740:$AG740)=MIN($AC740:$AG740),0,1))</f>
        <v/>
      </c>
      <c r="AI740" s="27">
        <f>IF($A740="","",IF(COUNTIF($A$14:$A740,$A740)=1,COUNTIF($AI$13:AI739,"&gt;0")+1,""))</f>
        <v/>
      </c>
      <c r="AO740" s="27">
        <f>IF($A740="","",IF(AND(COUNTIFS($A$14:$A$1213,$A740,$F$14:$F$1213,"&gt;=0")=2,IFERROR(INDEX($M$14:$M$313,MATCH($A740,$H$14:$H$313,0)),"Yes")&lt;&gt;"Yes"),1,0))</f>
        <v/>
      </c>
    </row>
    <row r="741">
      <c r="A741" s="19" t="n"/>
      <c r="B741" s="20" t="n"/>
      <c r="C741" s="21">
        <f>IFERROR(AVERAGE(P741:T741),"")</f>
        <v/>
      </c>
      <c r="D741" s="29" t="n"/>
      <c r="E741" s="29" t="n"/>
      <c r="F741" s="30">
        <f>IF(AND(ISNUMBER($D741),ISNUMBER($E741),$E741&gt;0,$D741&lt;=$E741),$D741/$E741,"")</f>
        <v/>
      </c>
      <c r="P741" s="26" t="n"/>
      <c r="Q741" s="26" t="n"/>
      <c r="R741" s="26" t="n"/>
      <c r="S741" s="26" t="n"/>
      <c r="T741" s="26" t="n"/>
      <c r="V741" s="27">
        <f>IF(ISNUMBER($C741),COUNTIFS($A$14:$A$1213,$A741,$C$14:$C$1213,"&gt;"&amp;$C741)+(COUNTIFS($A$14:$A$1213,$A741,$C$14:$C$1213,"="&amp;$C741)+1)/2,"")</f>
        <v/>
      </c>
      <c r="W741" s="27">
        <f>IF(ISNUMBER($F741),COUNTIFS($A$14:$A$1213,$A741,$F$14:$F$1213,"&gt;"&amp;$F741)+(COUNTIFS($A$14:$A$1213,$A741,$F$14:$F$1213,"="&amp;$F741)+1)/2,"")</f>
        <v/>
      </c>
      <c r="X741" s="27">
        <f>IF(OR(NOT(ISNUMBER($V741)),$AO741=1),"",$V741-(COUNTIFS($A$14:$A$1213,$A741,$C$14:$C$1213,"&gt;=0")+1)/2)</f>
        <v/>
      </c>
      <c r="Y741" s="27">
        <f>IF(OR(NOT(ISNUMBER($W741)),$AO741=1),"",$W741-(COUNTIFS($A$14:$A$1213,$A741,$F$14:$F$1213,"&gt;=0")+1)/2)</f>
        <v/>
      </c>
      <c r="Z741" s="27">
        <f>IF(ISNUMBER($V741),$A741&amp;"|"&amp;$V741,"")</f>
        <v/>
      </c>
      <c r="AA741" s="27">
        <f>IF(ISNUMBER($W741),$A741&amp;"|"&amp;$W741,"")</f>
        <v/>
      </c>
      <c r="AB741" s="27">
        <f>IF(ISNUMBER($F741),$A741&amp;"|"&amp;$F741,"")</f>
        <v/>
      </c>
      <c r="AC741" s="27">
        <f>IF(ISNUMBER($P741),COUNTIFS($A$14:$A$1213,$A741,$P$14:$P$1213,"&gt;"&amp;$P741)+(COUNTIFS($A$14:$A$1213,$A741,$P$14:$P$1213,"="&amp;$P741)+1)/2,"")</f>
        <v/>
      </c>
      <c r="AD741" s="27">
        <f>IF(ISNUMBER($Q741),COUNTIFS($A$14:$A$1213,$A741,$Q$14:$Q$1213,"&gt;"&amp;$Q741)+(COUNTIFS($A$14:$A$1213,$A741,$Q$14:$Q$1213,"="&amp;$Q741)+1)/2,"")</f>
        <v/>
      </c>
      <c r="AE741" s="27">
        <f>IF(ISNUMBER($R741),COUNTIFS($A$14:$A$1213,$A741,$R$14:$R$1213,"&gt;"&amp;$R741)+(COUNTIFS($A$14:$A$1213,$A741,$R$14:$R$1213,"="&amp;$R741)+1)/2,"")</f>
        <v/>
      </c>
      <c r="AF741" s="27">
        <f>IF(ISNUMBER($S741),COUNTIFS($A$14:$A$1213,$A741,$S$14:$S$1213,"&gt;"&amp;$S741)+(COUNTIFS($A$14:$A$1213,$A741,$S$14:$S$1213,"="&amp;$S741)+1)/2,"")</f>
        <v/>
      </c>
      <c r="AG741" s="27">
        <f>IF(ISNUMBER($T741),COUNTIFS($A$14:$A$1213,$A741,$T$14:$T$1213,"&gt;"&amp;$T741)+(COUNTIFS($A$14:$A$1213,$A741,$T$14:$T$1213,"="&amp;$T741)+1)/2,"")</f>
        <v/>
      </c>
      <c r="AH741" s="27">
        <f>IF(COUNT($AC741:$AG741)&lt;2,"",IF(MAX($AC741:$AG741)=MIN($AC741:$AG741),0,1))</f>
        <v/>
      </c>
      <c r="AI741" s="27">
        <f>IF($A741="","",IF(COUNTIF($A$14:$A741,$A741)=1,COUNTIF($AI$13:AI740,"&gt;0")+1,""))</f>
        <v/>
      </c>
      <c r="AO741" s="27">
        <f>IF($A741="","",IF(AND(COUNTIFS($A$14:$A$1213,$A741,$F$14:$F$1213,"&gt;=0")=2,IFERROR(INDEX($M$14:$M$313,MATCH($A741,$H$14:$H$313,0)),"Yes")&lt;&gt;"Yes"),1,0))</f>
        <v/>
      </c>
    </row>
    <row r="742">
      <c r="A742" s="19" t="n"/>
      <c r="B742" s="20" t="n"/>
      <c r="C742" s="21">
        <f>IFERROR(AVERAGE(P742:T742),"")</f>
        <v/>
      </c>
      <c r="D742" s="29" t="n"/>
      <c r="E742" s="29" t="n"/>
      <c r="F742" s="30">
        <f>IF(AND(ISNUMBER($D742),ISNUMBER($E742),$E742&gt;0,$D742&lt;=$E742),$D742/$E742,"")</f>
        <v/>
      </c>
      <c r="P742" s="26" t="n"/>
      <c r="Q742" s="26" t="n"/>
      <c r="R742" s="26" t="n"/>
      <c r="S742" s="26" t="n"/>
      <c r="T742" s="26" t="n"/>
      <c r="V742" s="27">
        <f>IF(ISNUMBER($C742),COUNTIFS($A$14:$A$1213,$A742,$C$14:$C$1213,"&gt;"&amp;$C742)+(COUNTIFS($A$14:$A$1213,$A742,$C$14:$C$1213,"="&amp;$C742)+1)/2,"")</f>
        <v/>
      </c>
      <c r="W742" s="27">
        <f>IF(ISNUMBER($F742),COUNTIFS($A$14:$A$1213,$A742,$F$14:$F$1213,"&gt;"&amp;$F742)+(COUNTIFS($A$14:$A$1213,$A742,$F$14:$F$1213,"="&amp;$F742)+1)/2,"")</f>
        <v/>
      </c>
      <c r="X742" s="27">
        <f>IF(OR(NOT(ISNUMBER($V742)),$AO742=1),"",$V742-(COUNTIFS($A$14:$A$1213,$A742,$C$14:$C$1213,"&gt;=0")+1)/2)</f>
        <v/>
      </c>
      <c r="Y742" s="27">
        <f>IF(OR(NOT(ISNUMBER($W742)),$AO742=1),"",$W742-(COUNTIFS($A$14:$A$1213,$A742,$F$14:$F$1213,"&gt;=0")+1)/2)</f>
        <v/>
      </c>
      <c r="Z742" s="27">
        <f>IF(ISNUMBER($V742),$A742&amp;"|"&amp;$V742,"")</f>
        <v/>
      </c>
      <c r="AA742" s="27">
        <f>IF(ISNUMBER($W742),$A742&amp;"|"&amp;$W742,"")</f>
        <v/>
      </c>
      <c r="AB742" s="27">
        <f>IF(ISNUMBER($F742),$A742&amp;"|"&amp;$F742,"")</f>
        <v/>
      </c>
      <c r="AC742" s="27">
        <f>IF(ISNUMBER($P742),COUNTIFS($A$14:$A$1213,$A742,$P$14:$P$1213,"&gt;"&amp;$P742)+(COUNTIFS($A$14:$A$1213,$A742,$P$14:$P$1213,"="&amp;$P742)+1)/2,"")</f>
        <v/>
      </c>
      <c r="AD742" s="27">
        <f>IF(ISNUMBER($Q742),COUNTIFS($A$14:$A$1213,$A742,$Q$14:$Q$1213,"&gt;"&amp;$Q742)+(COUNTIFS($A$14:$A$1213,$A742,$Q$14:$Q$1213,"="&amp;$Q742)+1)/2,"")</f>
        <v/>
      </c>
      <c r="AE742" s="27">
        <f>IF(ISNUMBER($R742),COUNTIFS($A$14:$A$1213,$A742,$R$14:$R$1213,"&gt;"&amp;$R742)+(COUNTIFS($A$14:$A$1213,$A742,$R$14:$R$1213,"="&amp;$R742)+1)/2,"")</f>
        <v/>
      </c>
      <c r="AF742" s="27">
        <f>IF(ISNUMBER($S742),COUNTIFS($A$14:$A$1213,$A742,$S$14:$S$1213,"&gt;"&amp;$S742)+(COUNTIFS($A$14:$A$1213,$A742,$S$14:$S$1213,"="&amp;$S742)+1)/2,"")</f>
        <v/>
      </c>
      <c r="AG742" s="27">
        <f>IF(ISNUMBER($T742),COUNTIFS($A$14:$A$1213,$A742,$T$14:$T$1213,"&gt;"&amp;$T742)+(COUNTIFS($A$14:$A$1213,$A742,$T$14:$T$1213,"="&amp;$T742)+1)/2,"")</f>
        <v/>
      </c>
      <c r="AH742" s="27">
        <f>IF(COUNT($AC742:$AG742)&lt;2,"",IF(MAX($AC742:$AG742)=MIN($AC742:$AG742),0,1))</f>
        <v/>
      </c>
      <c r="AI742" s="27">
        <f>IF($A742="","",IF(COUNTIF($A$14:$A742,$A742)=1,COUNTIF($AI$13:AI741,"&gt;0")+1,""))</f>
        <v/>
      </c>
      <c r="AO742" s="27">
        <f>IF($A742="","",IF(AND(COUNTIFS($A$14:$A$1213,$A742,$F$14:$F$1213,"&gt;=0")=2,IFERROR(INDEX($M$14:$M$313,MATCH($A742,$H$14:$H$313,0)),"Yes")&lt;&gt;"Yes"),1,0))</f>
        <v/>
      </c>
    </row>
    <row r="743">
      <c r="A743" s="19" t="n"/>
      <c r="B743" s="20" t="n"/>
      <c r="C743" s="21">
        <f>IFERROR(AVERAGE(P743:T743),"")</f>
        <v/>
      </c>
      <c r="D743" s="29" t="n"/>
      <c r="E743" s="29" t="n"/>
      <c r="F743" s="30">
        <f>IF(AND(ISNUMBER($D743),ISNUMBER($E743),$E743&gt;0,$D743&lt;=$E743),$D743/$E743,"")</f>
        <v/>
      </c>
      <c r="P743" s="26" t="n"/>
      <c r="Q743" s="26" t="n"/>
      <c r="R743" s="26" t="n"/>
      <c r="S743" s="26" t="n"/>
      <c r="T743" s="26" t="n"/>
      <c r="V743" s="27">
        <f>IF(ISNUMBER($C743),COUNTIFS($A$14:$A$1213,$A743,$C$14:$C$1213,"&gt;"&amp;$C743)+(COUNTIFS($A$14:$A$1213,$A743,$C$14:$C$1213,"="&amp;$C743)+1)/2,"")</f>
        <v/>
      </c>
      <c r="W743" s="27">
        <f>IF(ISNUMBER($F743),COUNTIFS($A$14:$A$1213,$A743,$F$14:$F$1213,"&gt;"&amp;$F743)+(COUNTIFS($A$14:$A$1213,$A743,$F$14:$F$1213,"="&amp;$F743)+1)/2,"")</f>
        <v/>
      </c>
      <c r="X743" s="27">
        <f>IF(OR(NOT(ISNUMBER($V743)),$AO743=1),"",$V743-(COUNTIFS($A$14:$A$1213,$A743,$C$14:$C$1213,"&gt;=0")+1)/2)</f>
        <v/>
      </c>
      <c r="Y743" s="27">
        <f>IF(OR(NOT(ISNUMBER($W743)),$AO743=1),"",$W743-(COUNTIFS($A$14:$A$1213,$A743,$F$14:$F$1213,"&gt;=0")+1)/2)</f>
        <v/>
      </c>
      <c r="Z743" s="27">
        <f>IF(ISNUMBER($V743),$A743&amp;"|"&amp;$V743,"")</f>
        <v/>
      </c>
      <c r="AA743" s="27">
        <f>IF(ISNUMBER($W743),$A743&amp;"|"&amp;$W743,"")</f>
        <v/>
      </c>
      <c r="AB743" s="27">
        <f>IF(ISNUMBER($F743),$A743&amp;"|"&amp;$F743,"")</f>
        <v/>
      </c>
      <c r="AC743" s="27">
        <f>IF(ISNUMBER($P743),COUNTIFS($A$14:$A$1213,$A743,$P$14:$P$1213,"&gt;"&amp;$P743)+(COUNTIFS($A$14:$A$1213,$A743,$P$14:$P$1213,"="&amp;$P743)+1)/2,"")</f>
        <v/>
      </c>
      <c r="AD743" s="27">
        <f>IF(ISNUMBER($Q743),COUNTIFS($A$14:$A$1213,$A743,$Q$14:$Q$1213,"&gt;"&amp;$Q743)+(COUNTIFS($A$14:$A$1213,$A743,$Q$14:$Q$1213,"="&amp;$Q743)+1)/2,"")</f>
        <v/>
      </c>
      <c r="AE743" s="27">
        <f>IF(ISNUMBER($R743),COUNTIFS($A$14:$A$1213,$A743,$R$14:$R$1213,"&gt;"&amp;$R743)+(COUNTIFS($A$14:$A$1213,$A743,$R$14:$R$1213,"="&amp;$R743)+1)/2,"")</f>
        <v/>
      </c>
      <c r="AF743" s="27">
        <f>IF(ISNUMBER($S743),COUNTIFS($A$14:$A$1213,$A743,$S$14:$S$1213,"&gt;"&amp;$S743)+(COUNTIFS($A$14:$A$1213,$A743,$S$14:$S$1213,"="&amp;$S743)+1)/2,"")</f>
        <v/>
      </c>
      <c r="AG743" s="27">
        <f>IF(ISNUMBER($T743),COUNTIFS($A$14:$A$1213,$A743,$T$14:$T$1213,"&gt;"&amp;$T743)+(COUNTIFS($A$14:$A$1213,$A743,$T$14:$T$1213,"="&amp;$T743)+1)/2,"")</f>
        <v/>
      </c>
      <c r="AH743" s="27">
        <f>IF(COUNT($AC743:$AG743)&lt;2,"",IF(MAX($AC743:$AG743)=MIN($AC743:$AG743),0,1))</f>
        <v/>
      </c>
      <c r="AI743" s="27">
        <f>IF($A743="","",IF(COUNTIF($A$14:$A743,$A743)=1,COUNTIF($AI$13:AI742,"&gt;0")+1,""))</f>
        <v/>
      </c>
      <c r="AO743" s="27">
        <f>IF($A743="","",IF(AND(COUNTIFS($A$14:$A$1213,$A743,$F$14:$F$1213,"&gt;=0")=2,IFERROR(INDEX($M$14:$M$313,MATCH($A743,$H$14:$H$313,0)),"Yes")&lt;&gt;"Yes"),1,0))</f>
        <v/>
      </c>
    </row>
    <row r="744">
      <c r="A744" s="19" t="n"/>
      <c r="B744" s="20" t="n"/>
      <c r="C744" s="21">
        <f>IFERROR(AVERAGE(P744:T744),"")</f>
        <v/>
      </c>
      <c r="D744" s="29" t="n"/>
      <c r="E744" s="29" t="n"/>
      <c r="F744" s="30">
        <f>IF(AND(ISNUMBER($D744),ISNUMBER($E744),$E744&gt;0,$D744&lt;=$E744),$D744/$E744,"")</f>
        <v/>
      </c>
      <c r="P744" s="26" t="n"/>
      <c r="Q744" s="26" t="n"/>
      <c r="R744" s="26" t="n"/>
      <c r="S744" s="26" t="n"/>
      <c r="T744" s="26" t="n"/>
      <c r="V744" s="27">
        <f>IF(ISNUMBER($C744),COUNTIFS($A$14:$A$1213,$A744,$C$14:$C$1213,"&gt;"&amp;$C744)+(COUNTIFS($A$14:$A$1213,$A744,$C$14:$C$1213,"="&amp;$C744)+1)/2,"")</f>
        <v/>
      </c>
      <c r="W744" s="27">
        <f>IF(ISNUMBER($F744),COUNTIFS($A$14:$A$1213,$A744,$F$14:$F$1213,"&gt;"&amp;$F744)+(COUNTIFS($A$14:$A$1213,$A744,$F$14:$F$1213,"="&amp;$F744)+1)/2,"")</f>
        <v/>
      </c>
      <c r="X744" s="27">
        <f>IF(OR(NOT(ISNUMBER($V744)),$AO744=1),"",$V744-(COUNTIFS($A$14:$A$1213,$A744,$C$14:$C$1213,"&gt;=0")+1)/2)</f>
        <v/>
      </c>
      <c r="Y744" s="27">
        <f>IF(OR(NOT(ISNUMBER($W744)),$AO744=1),"",$W744-(COUNTIFS($A$14:$A$1213,$A744,$F$14:$F$1213,"&gt;=0")+1)/2)</f>
        <v/>
      </c>
      <c r="Z744" s="27">
        <f>IF(ISNUMBER($V744),$A744&amp;"|"&amp;$V744,"")</f>
        <v/>
      </c>
      <c r="AA744" s="27">
        <f>IF(ISNUMBER($W744),$A744&amp;"|"&amp;$W744,"")</f>
        <v/>
      </c>
      <c r="AB744" s="27">
        <f>IF(ISNUMBER($F744),$A744&amp;"|"&amp;$F744,"")</f>
        <v/>
      </c>
      <c r="AC744" s="27">
        <f>IF(ISNUMBER($P744),COUNTIFS($A$14:$A$1213,$A744,$P$14:$P$1213,"&gt;"&amp;$P744)+(COUNTIFS($A$14:$A$1213,$A744,$P$14:$P$1213,"="&amp;$P744)+1)/2,"")</f>
        <v/>
      </c>
      <c r="AD744" s="27">
        <f>IF(ISNUMBER($Q744),COUNTIFS($A$14:$A$1213,$A744,$Q$14:$Q$1213,"&gt;"&amp;$Q744)+(COUNTIFS($A$14:$A$1213,$A744,$Q$14:$Q$1213,"="&amp;$Q744)+1)/2,"")</f>
        <v/>
      </c>
      <c r="AE744" s="27">
        <f>IF(ISNUMBER($R744),COUNTIFS($A$14:$A$1213,$A744,$R$14:$R$1213,"&gt;"&amp;$R744)+(COUNTIFS($A$14:$A$1213,$A744,$R$14:$R$1213,"="&amp;$R744)+1)/2,"")</f>
        <v/>
      </c>
      <c r="AF744" s="27">
        <f>IF(ISNUMBER($S744),COUNTIFS($A$14:$A$1213,$A744,$S$14:$S$1213,"&gt;"&amp;$S744)+(COUNTIFS($A$14:$A$1213,$A744,$S$14:$S$1213,"="&amp;$S744)+1)/2,"")</f>
        <v/>
      </c>
      <c r="AG744" s="27">
        <f>IF(ISNUMBER($T744),COUNTIFS($A$14:$A$1213,$A744,$T$14:$T$1213,"&gt;"&amp;$T744)+(COUNTIFS($A$14:$A$1213,$A744,$T$14:$T$1213,"="&amp;$T744)+1)/2,"")</f>
        <v/>
      </c>
      <c r="AH744" s="27">
        <f>IF(COUNT($AC744:$AG744)&lt;2,"",IF(MAX($AC744:$AG744)=MIN($AC744:$AG744),0,1))</f>
        <v/>
      </c>
      <c r="AI744" s="27">
        <f>IF($A744="","",IF(COUNTIF($A$14:$A744,$A744)=1,COUNTIF($AI$13:AI743,"&gt;0")+1,""))</f>
        <v/>
      </c>
      <c r="AO744" s="27">
        <f>IF($A744="","",IF(AND(COUNTIFS($A$14:$A$1213,$A744,$F$14:$F$1213,"&gt;=0")=2,IFERROR(INDEX($M$14:$M$313,MATCH($A744,$H$14:$H$313,0)),"Yes")&lt;&gt;"Yes"),1,0))</f>
        <v/>
      </c>
    </row>
    <row r="745">
      <c r="A745" s="19" t="n"/>
      <c r="B745" s="20" t="n"/>
      <c r="C745" s="21">
        <f>IFERROR(AVERAGE(P745:T745),"")</f>
        <v/>
      </c>
      <c r="D745" s="29" t="n"/>
      <c r="E745" s="29" t="n"/>
      <c r="F745" s="30">
        <f>IF(AND(ISNUMBER($D745),ISNUMBER($E745),$E745&gt;0,$D745&lt;=$E745),$D745/$E745,"")</f>
        <v/>
      </c>
      <c r="P745" s="26" t="n"/>
      <c r="Q745" s="26" t="n"/>
      <c r="R745" s="26" t="n"/>
      <c r="S745" s="26" t="n"/>
      <c r="T745" s="26" t="n"/>
      <c r="V745" s="27">
        <f>IF(ISNUMBER($C745),COUNTIFS($A$14:$A$1213,$A745,$C$14:$C$1213,"&gt;"&amp;$C745)+(COUNTIFS($A$14:$A$1213,$A745,$C$14:$C$1213,"="&amp;$C745)+1)/2,"")</f>
        <v/>
      </c>
      <c r="W745" s="27">
        <f>IF(ISNUMBER($F745),COUNTIFS($A$14:$A$1213,$A745,$F$14:$F$1213,"&gt;"&amp;$F745)+(COUNTIFS($A$14:$A$1213,$A745,$F$14:$F$1213,"="&amp;$F745)+1)/2,"")</f>
        <v/>
      </c>
      <c r="X745" s="27">
        <f>IF(OR(NOT(ISNUMBER($V745)),$AO745=1),"",$V745-(COUNTIFS($A$14:$A$1213,$A745,$C$14:$C$1213,"&gt;=0")+1)/2)</f>
        <v/>
      </c>
      <c r="Y745" s="27">
        <f>IF(OR(NOT(ISNUMBER($W745)),$AO745=1),"",$W745-(COUNTIFS($A$14:$A$1213,$A745,$F$14:$F$1213,"&gt;=0")+1)/2)</f>
        <v/>
      </c>
      <c r="Z745" s="27">
        <f>IF(ISNUMBER($V745),$A745&amp;"|"&amp;$V745,"")</f>
        <v/>
      </c>
      <c r="AA745" s="27">
        <f>IF(ISNUMBER($W745),$A745&amp;"|"&amp;$W745,"")</f>
        <v/>
      </c>
      <c r="AB745" s="27">
        <f>IF(ISNUMBER($F745),$A745&amp;"|"&amp;$F745,"")</f>
        <v/>
      </c>
      <c r="AC745" s="27">
        <f>IF(ISNUMBER($P745),COUNTIFS($A$14:$A$1213,$A745,$P$14:$P$1213,"&gt;"&amp;$P745)+(COUNTIFS($A$14:$A$1213,$A745,$P$14:$P$1213,"="&amp;$P745)+1)/2,"")</f>
        <v/>
      </c>
      <c r="AD745" s="27">
        <f>IF(ISNUMBER($Q745),COUNTIFS($A$14:$A$1213,$A745,$Q$14:$Q$1213,"&gt;"&amp;$Q745)+(COUNTIFS($A$14:$A$1213,$A745,$Q$14:$Q$1213,"="&amp;$Q745)+1)/2,"")</f>
        <v/>
      </c>
      <c r="AE745" s="27">
        <f>IF(ISNUMBER($R745),COUNTIFS($A$14:$A$1213,$A745,$R$14:$R$1213,"&gt;"&amp;$R745)+(COUNTIFS($A$14:$A$1213,$A745,$R$14:$R$1213,"="&amp;$R745)+1)/2,"")</f>
        <v/>
      </c>
      <c r="AF745" s="27">
        <f>IF(ISNUMBER($S745),COUNTIFS($A$14:$A$1213,$A745,$S$14:$S$1213,"&gt;"&amp;$S745)+(COUNTIFS($A$14:$A$1213,$A745,$S$14:$S$1213,"="&amp;$S745)+1)/2,"")</f>
        <v/>
      </c>
      <c r="AG745" s="27">
        <f>IF(ISNUMBER($T745),COUNTIFS($A$14:$A$1213,$A745,$T$14:$T$1213,"&gt;"&amp;$T745)+(COUNTIFS($A$14:$A$1213,$A745,$T$14:$T$1213,"="&amp;$T745)+1)/2,"")</f>
        <v/>
      </c>
      <c r="AH745" s="27">
        <f>IF(COUNT($AC745:$AG745)&lt;2,"",IF(MAX($AC745:$AG745)=MIN($AC745:$AG745),0,1))</f>
        <v/>
      </c>
      <c r="AI745" s="27">
        <f>IF($A745="","",IF(COUNTIF($A$14:$A745,$A745)=1,COUNTIF($AI$13:AI744,"&gt;0")+1,""))</f>
        <v/>
      </c>
      <c r="AO745" s="27">
        <f>IF($A745="","",IF(AND(COUNTIFS($A$14:$A$1213,$A745,$F$14:$F$1213,"&gt;=0")=2,IFERROR(INDEX($M$14:$M$313,MATCH($A745,$H$14:$H$313,0)),"Yes")&lt;&gt;"Yes"),1,0))</f>
        <v/>
      </c>
    </row>
    <row r="746">
      <c r="A746" s="19" t="n"/>
      <c r="B746" s="20" t="n"/>
      <c r="C746" s="21">
        <f>IFERROR(AVERAGE(P746:T746),"")</f>
        <v/>
      </c>
      <c r="D746" s="29" t="n"/>
      <c r="E746" s="29" t="n"/>
      <c r="F746" s="30">
        <f>IF(AND(ISNUMBER($D746),ISNUMBER($E746),$E746&gt;0,$D746&lt;=$E746),$D746/$E746,"")</f>
        <v/>
      </c>
      <c r="P746" s="26" t="n"/>
      <c r="Q746" s="26" t="n"/>
      <c r="R746" s="26" t="n"/>
      <c r="S746" s="26" t="n"/>
      <c r="T746" s="26" t="n"/>
      <c r="V746" s="27">
        <f>IF(ISNUMBER($C746),COUNTIFS($A$14:$A$1213,$A746,$C$14:$C$1213,"&gt;"&amp;$C746)+(COUNTIFS($A$14:$A$1213,$A746,$C$14:$C$1213,"="&amp;$C746)+1)/2,"")</f>
        <v/>
      </c>
      <c r="W746" s="27">
        <f>IF(ISNUMBER($F746),COUNTIFS($A$14:$A$1213,$A746,$F$14:$F$1213,"&gt;"&amp;$F746)+(COUNTIFS($A$14:$A$1213,$A746,$F$14:$F$1213,"="&amp;$F746)+1)/2,"")</f>
        <v/>
      </c>
      <c r="X746" s="27">
        <f>IF(OR(NOT(ISNUMBER($V746)),$AO746=1),"",$V746-(COUNTIFS($A$14:$A$1213,$A746,$C$14:$C$1213,"&gt;=0")+1)/2)</f>
        <v/>
      </c>
      <c r="Y746" s="27">
        <f>IF(OR(NOT(ISNUMBER($W746)),$AO746=1),"",$W746-(COUNTIFS($A$14:$A$1213,$A746,$F$14:$F$1213,"&gt;=0")+1)/2)</f>
        <v/>
      </c>
      <c r="Z746" s="27">
        <f>IF(ISNUMBER($V746),$A746&amp;"|"&amp;$V746,"")</f>
        <v/>
      </c>
      <c r="AA746" s="27">
        <f>IF(ISNUMBER($W746),$A746&amp;"|"&amp;$W746,"")</f>
        <v/>
      </c>
      <c r="AB746" s="27">
        <f>IF(ISNUMBER($F746),$A746&amp;"|"&amp;$F746,"")</f>
        <v/>
      </c>
      <c r="AC746" s="27">
        <f>IF(ISNUMBER($P746),COUNTIFS($A$14:$A$1213,$A746,$P$14:$P$1213,"&gt;"&amp;$P746)+(COUNTIFS($A$14:$A$1213,$A746,$P$14:$P$1213,"="&amp;$P746)+1)/2,"")</f>
        <v/>
      </c>
      <c r="AD746" s="27">
        <f>IF(ISNUMBER($Q746),COUNTIFS($A$14:$A$1213,$A746,$Q$14:$Q$1213,"&gt;"&amp;$Q746)+(COUNTIFS($A$14:$A$1213,$A746,$Q$14:$Q$1213,"="&amp;$Q746)+1)/2,"")</f>
        <v/>
      </c>
      <c r="AE746" s="27">
        <f>IF(ISNUMBER($R746),COUNTIFS($A$14:$A$1213,$A746,$R$14:$R$1213,"&gt;"&amp;$R746)+(COUNTIFS($A$14:$A$1213,$A746,$R$14:$R$1213,"="&amp;$R746)+1)/2,"")</f>
        <v/>
      </c>
      <c r="AF746" s="27">
        <f>IF(ISNUMBER($S746),COUNTIFS($A$14:$A$1213,$A746,$S$14:$S$1213,"&gt;"&amp;$S746)+(COUNTIFS($A$14:$A$1213,$A746,$S$14:$S$1213,"="&amp;$S746)+1)/2,"")</f>
        <v/>
      </c>
      <c r="AG746" s="27">
        <f>IF(ISNUMBER($T746),COUNTIFS($A$14:$A$1213,$A746,$T$14:$T$1213,"&gt;"&amp;$T746)+(COUNTIFS($A$14:$A$1213,$A746,$T$14:$T$1213,"="&amp;$T746)+1)/2,"")</f>
        <v/>
      </c>
      <c r="AH746" s="27">
        <f>IF(COUNT($AC746:$AG746)&lt;2,"",IF(MAX($AC746:$AG746)=MIN($AC746:$AG746),0,1))</f>
        <v/>
      </c>
      <c r="AI746" s="27">
        <f>IF($A746="","",IF(COUNTIF($A$14:$A746,$A746)=1,COUNTIF($AI$13:AI745,"&gt;0")+1,""))</f>
        <v/>
      </c>
      <c r="AO746" s="27">
        <f>IF($A746="","",IF(AND(COUNTIFS($A$14:$A$1213,$A746,$F$14:$F$1213,"&gt;=0")=2,IFERROR(INDEX($M$14:$M$313,MATCH($A746,$H$14:$H$313,0)),"Yes")&lt;&gt;"Yes"),1,0))</f>
        <v/>
      </c>
    </row>
    <row r="747">
      <c r="A747" s="19" t="n"/>
      <c r="B747" s="20" t="n"/>
      <c r="C747" s="21">
        <f>IFERROR(AVERAGE(P747:T747),"")</f>
        <v/>
      </c>
      <c r="D747" s="29" t="n"/>
      <c r="E747" s="29" t="n"/>
      <c r="F747" s="30">
        <f>IF(AND(ISNUMBER($D747),ISNUMBER($E747),$E747&gt;0,$D747&lt;=$E747),$D747/$E747,"")</f>
        <v/>
      </c>
      <c r="P747" s="26" t="n"/>
      <c r="Q747" s="26" t="n"/>
      <c r="R747" s="26" t="n"/>
      <c r="S747" s="26" t="n"/>
      <c r="T747" s="26" t="n"/>
      <c r="V747" s="27">
        <f>IF(ISNUMBER($C747),COUNTIFS($A$14:$A$1213,$A747,$C$14:$C$1213,"&gt;"&amp;$C747)+(COUNTIFS($A$14:$A$1213,$A747,$C$14:$C$1213,"="&amp;$C747)+1)/2,"")</f>
        <v/>
      </c>
      <c r="W747" s="27">
        <f>IF(ISNUMBER($F747),COUNTIFS($A$14:$A$1213,$A747,$F$14:$F$1213,"&gt;"&amp;$F747)+(COUNTIFS($A$14:$A$1213,$A747,$F$14:$F$1213,"="&amp;$F747)+1)/2,"")</f>
        <v/>
      </c>
      <c r="X747" s="27">
        <f>IF(OR(NOT(ISNUMBER($V747)),$AO747=1),"",$V747-(COUNTIFS($A$14:$A$1213,$A747,$C$14:$C$1213,"&gt;=0")+1)/2)</f>
        <v/>
      </c>
      <c r="Y747" s="27">
        <f>IF(OR(NOT(ISNUMBER($W747)),$AO747=1),"",$W747-(COUNTIFS($A$14:$A$1213,$A747,$F$14:$F$1213,"&gt;=0")+1)/2)</f>
        <v/>
      </c>
      <c r="Z747" s="27">
        <f>IF(ISNUMBER($V747),$A747&amp;"|"&amp;$V747,"")</f>
        <v/>
      </c>
      <c r="AA747" s="27">
        <f>IF(ISNUMBER($W747),$A747&amp;"|"&amp;$W747,"")</f>
        <v/>
      </c>
      <c r="AB747" s="27">
        <f>IF(ISNUMBER($F747),$A747&amp;"|"&amp;$F747,"")</f>
        <v/>
      </c>
      <c r="AC747" s="27">
        <f>IF(ISNUMBER($P747),COUNTIFS($A$14:$A$1213,$A747,$P$14:$P$1213,"&gt;"&amp;$P747)+(COUNTIFS($A$14:$A$1213,$A747,$P$14:$P$1213,"="&amp;$P747)+1)/2,"")</f>
        <v/>
      </c>
      <c r="AD747" s="27">
        <f>IF(ISNUMBER($Q747),COUNTIFS($A$14:$A$1213,$A747,$Q$14:$Q$1213,"&gt;"&amp;$Q747)+(COUNTIFS($A$14:$A$1213,$A747,$Q$14:$Q$1213,"="&amp;$Q747)+1)/2,"")</f>
        <v/>
      </c>
      <c r="AE747" s="27">
        <f>IF(ISNUMBER($R747),COUNTIFS($A$14:$A$1213,$A747,$R$14:$R$1213,"&gt;"&amp;$R747)+(COUNTIFS($A$14:$A$1213,$A747,$R$14:$R$1213,"="&amp;$R747)+1)/2,"")</f>
        <v/>
      </c>
      <c r="AF747" s="27">
        <f>IF(ISNUMBER($S747),COUNTIFS($A$14:$A$1213,$A747,$S$14:$S$1213,"&gt;"&amp;$S747)+(COUNTIFS($A$14:$A$1213,$A747,$S$14:$S$1213,"="&amp;$S747)+1)/2,"")</f>
        <v/>
      </c>
      <c r="AG747" s="27">
        <f>IF(ISNUMBER($T747),COUNTIFS($A$14:$A$1213,$A747,$T$14:$T$1213,"&gt;"&amp;$T747)+(COUNTIFS($A$14:$A$1213,$A747,$T$14:$T$1213,"="&amp;$T747)+1)/2,"")</f>
        <v/>
      </c>
      <c r="AH747" s="27">
        <f>IF(COUNT($AC747:$AG747)&lt;2,"",IF(MAX($AC747:$AG747)=MIN($AC747:$AG747),0,1))</f>
        <v/>
      </c>
      <c r="AI747" s="27">
        <f>IF($A747="","",IF(COUNTIF($A$14:$A747,$A747)=1,COUNTIF($AI$13:AI746,"&gt;0")+1,""))</f>
        <v/>
      </c>
      <c r="AO747" s="27">
        <f>IF($A747="","",IF(AND(COUNTIFS($A$14:$A$1213,$A747,$F$14:$F$1213,"&gt;=0")=2,IFERROR(INDEX($M$14:$M$313,MATCH($A747,$H$14:$H$313,0)),"Yes")&lt;&gt;"Yes"),1,0))</f>
        <v/>
      </c>
    </row>
    <row r="748">
      <c r="A748" s="19" t="n"/>
      <c r="B748" s="20" t="n"/>
      <c r="C748" s="21">
        <f>IFERROR(AVERAGE(P748:T748),"")</f>
        <v/>
      </c>
      <c r="D748" s="29" t="n"/>
      <c r="E748" s="29" t="n"/>
      <c r="F748" s="30">
        <f>IF(AND(ISNUMBER($D748),ISNUMBER($E748),$E748&gt;0,$D748&lt;=$E748),$D748/$E748,"")</f>
        <v/>
      </c>
      <c r="P748" s="26" t="n"/>
      <c r="Q748" s="26" t="n"/>
      <c r="R748" s="26" t="n"/>
      <c r="S748" s="26" t="n"/>
      <c r="T748" s="26" t="n"/>
      <c r="V748" s="27">
        <f>IF(ISNUMBER($C748),COUNTIFS($A$14:$A$1213,$A748,$C$14:$C$1213,"&gt;"&amp;$C748)+(COUNTIFS($A$14:$A$1213,$A748,$C$14:$C$1213,"="&amp;$C748)+1)/2,"")</f>
        <v/>
      </c>
      <c r="W748" s="27">
        <f>IF(ISNUMBER($F748),COUNTIFS($A$14:$A$1213,$A748,$F$14:$F$1213,"&gt;"&amp;$F748)+(COUNTIFS($A$14:$A$1213,$A748,$F$14:$F$1213,"="&amp;$F748)+1)/2,"")</f>
        <v/>
      </c>
      <c r="X748" s="27">
        <f>IF(OR(NOT(ISNUMBER($V748)),$AO748=1),"",$V748-(COUNTIFS($A$14:$A$1213,$A748,$C$14:$C$1213,"&gt;=0")+1)/2)</f>
        <v/>
      </c>
      <c r="Y748" s="27">
        <f>IF(OR(NOT(ISNUMBER($W748)),$AO748=1),"",$W748-(COUNTIFS($A$14:$A$1213,$A748,$F$14:$F$1213,"&gt;=0")+1)/2)</f>
        <v/>
      </c>
      <c r="Z748" s="27">
        <f>IF(ISNUMBER($V748),$A748&amp;"|"&amp;$V748,"")</f>
        <v/>
      </c>
      <c r="AA748" s="27">
        <f>IF(ISNUMBER($W748),$A748&amp;"|"&amp;$W748,"")</f>
        <v/>
      </c>
      <c r="AB748" s="27">
        <f>IF(ISNUMBER($F748),$A748&amp;"|"&amp;$F748,"")</f>
        <v/>
      </c>
      <c r="AC748" s="27">
        <f>IF(ISNUMBER($P748),COUNTIFS($A$14:$A$1213,$A748,$P$14:$P$1213,"&gt;"&amp;$P748)+(COUNTIFS($A$14:$A$1213,$A748,$P$14:$P$1213,"="&amp;$P748)+1)/2,"")</f>
        <v/>
      </c>
      <c r="AD748" s="27">
        <f>IF(ISNUMBER($Q748),COUNTIFS($A$14:$A$1213,$A748,$Q$14:$Q$1213,"&gt;"&amp;$Q748)+(COUNTIFS($A$14:$A$1213,$A748,$Q$14:$Q$1213,"="&amp;$Q748)+1)/2,"")</f>
        <v/>
      </c>
      <c r="AE748" s="27">
        <f>IF(ISNUMBER($R748),COUNTIFS($A$14:$A$1213,$A748,$R$14:$R$1213,"&gt;"&amp;$R748)+(COUNTIFS($A$14:$A$1213,$A748,$R$14:$R$1213,"="&amp;$R748)+1)/2,"")</f>
        <v/>
      </c>
      <c r="AF748" s="27">
        <f>IF(ISNUMBER($S748),COUNTIFS($A$14:$A$1213,$A748,$S$14:$S$1213,"&gt;"&amp;$S748)+(COUNTIFS($A$14:$A$1213,$A748,$S$14:$S$1213,"="&amp;$S748)+1)/2,"")</f>
        <v/>
      </c>
      <c r="AG748" s="27">
        <f>IF(ISNUMBER($T748),COUNTIFS($A$14:$A$1213,$A748,$T$14:$T$1213,"&gt;"&amp;$T748)+(COUNTIFS($A$14:$A$1213,$A748,$T$14:$T$1213,"="&amp;$T748)+1)/2,"")</f>
        <v/>
      </c>
      <c r="AH748" s="27">
        <f>IF(COUNT($AC748:$AG748)&lt;2,"",IF(MAX($AC748:$AG748)=MIN($AC748:$AG748),0,1))</f>
        <v/>
      </c>
      <c r="AI748" s="27">
        <f>IF($A748="","",IF(COUNTIF($A$14:$A748,$A748)=1,COUNTIF($AI$13:AI747,"&gt;0")+1,""))</f>
        <v/>
      </c>
      <c r="AO748" s="27">
        <f>IF($A748="","",IF(AND(COUNTIFS($A$14:$A$1213,$A748,$F$14:$F$1213,"&gt;=0")=2,IFERROR(INDEX($M$14:$M$313,MATCH($A748,$H$14:$H$313,0)),"Yes")&lt;&gt;"Yes"),1,0))</f>
        <v/>
      </c>
    </row>
    <row r="749">
      <c r="A749" s="19" t="n"/>
      <c r="B749" s="20" t="n"/>
      <c r="C749" s="21">
        <f>IFERROR(AVERAGE(P749:T749),"")</f>
        <v/>
      </c>
      <c r="D749" s="29" t="n"/>
      <c r="E749" s="29" t="n"/>
      <c r="F749" s="30">
        <f>IF(AND(ISNUMBER($D749),ISNUMBER($E749),$E749&gt;0,$D749&lt;=$E749),$D749/$E749,"")</f>
        <v/>
      </c>
      <c r="P749" s="26" t="n"/>
      <c r="Q749" s="26" t="n"/>
      <c r="R749" s="26" t="n"/>
      <c r="S749" s="26" t="n"/>
      <c r="T749" s="26" t="n"/>
      <c r="V749" s="27">
        <f>IF(ISNUMBER($C749),COUNTIFS($A$14:$A$1213,$A749,$C$14:$C$1213,"&gt;"&amp;$C749)+(COUNTIFS($A$14:$A$1213,$A749,$C$14:$C$1213,"="&amp;$C749)+1)/2,"")</f>
        <v/>
      </c>
      <c r="W749" s="27">
        <f>IF(ISNUMBER($F749),COUNTIFS($A$14:$A$1213,$A749,$F$14:$F$1213,"&gt;"&amp;$F749)+(COUNTIFS($A$14:$A$1213,$A749,$F$14:$F$1213,"="&amp;$F749)+1)/2,"")</f>
        <v/>
      </c>
      <c r="X749" s="27">
        <f>IF(OR(NOT(ISNUMBER($V749)),$AO749=1),"",$V749-(COUNTIFS($A$14:$A$1213,$A749,$C$14:$C$1213,"&gt;=0")+1)/2)</f>
        <v/>
      </c>
      <c r="Y749" s="27">
        <f>IF(OR(NOT(ISNUMBER($W749)),$AO749=1),"",$W749-(COUNTIFS($A$14:$A$1213,$A749,$F$14:$F$1213,"&gt;=0")+1)/2)</f>
        <v/>
      </c>
      <c r="Z749" s="27">
        <f>IF(ISNUMBER($V749),$A749&amp;"|"&amp;$V749,"")</f>
        <v/>
      </c>
      <c r="AA749" s="27">
        <f>IF(ISNUMBER($W749),$A749&amp;"|"&amp;$W749,"")</f>
        <v/>
      </c>
      <c r="AB749" s="27">
        <f>IF(ISNUMBER($F749),$A749&amp;"|"&amp;$F749,"")</f>
        <v/>
      </c>
      <c r="AC749" s="27">
        <f>IF(ISNUMBER($P749),COUNTIFS($A$14:$A$1213,$A749,$P$14:$P$1213,"&gt;"&amp;$P749)+(COUNTIFS($A$14:$A$1213,$A749,$P$14:$P$1213,"="&amp;$P749)+1)/2,"")</f>
        <v/>
      </c>
      <c r="AD749" s="27">
        <f>IF(ISNUMBER($Q749),COUNTIFS($A$14:$A$1213,$A749,$Q$14:$Q$1213,"&gt;"&amp;$Q749)+(COUNTIFS($A$14:$A$1213,$A749,$Q$14:$Q$1213,"="&amp;$Q749)+1)/2,"")</f>
        <v/>
      </c>
      <c r="AE749" s="27">
        <f>IF(ISNUMBER($R749),COUNTIFS($A$14:$A$1213,$A749,$R$14:$R$1213,"&gt;"&amp;$R749)+(COUNTIFS($A$14:$A$1213,$A749,$R$14:$R$1213,"="&amp;$R749)+1)/2,"")</f>
        <v/>
      </c>
      <c r="AF749" s="27">
        <f>IF(ISNUMBER($S749),COUNTIFS($A$14:$A$1213,$A749,$S$14:$S$1213,"&gt;"&amp;$S749)+(COUNTIFS($A$14:$A$1213,$A749,$S$14:$S$1213,"="&amp;$S749)+1)/2,"")</f>
        <v/>
      </c>
      <c r="AG749" s="27">
        <f>IF(ISNUMBER($T749),COUNTIFS($A$14:$A$1213,$A749,$T$14:$T$1213,"&gt;"&amp;$T749)+(COUNTIFS($A$14:$A$1213,$A749,$T$14:$T$1213,"="&amp;$T749)+1)/2,"")</f>
        <v/>
      </c>
      <c r="AH749" s="27">
        <f>IF(COUNT($AC749:$AG749)&lt;2,"",IF(MAX($AC749:$AG749)=MIN($AC749:$AG749),0,1))</f>
        <v/>
      </c>
      <c r="AI749" s="27">
        <f>IF($A749="","",IF(COUNTIF($A$14:$A749,$A749)=1,COUNTIF($AI$13:AI748,"&gt;0")+1,""))</f>
        <v/>
      </c>
      <c r="AO749" s="27">
        <f>IF($A749="","",IF(AND(COUNTIFS($A$14:$A$1213,$A749,$F$14:$F$1213,"&gt;=0")=2,IFERROR(INDEX($M$14:$M$313,MATCH($A749,$H$14:$H$313,0)),"Yes")&lt;&gt;"Yes"),1,0))</f>
        <v/>
      </c>
    </row>
    <row r="750">
      <c r="A750" s="19" t="n"/>
      <c r="B750" s="20" t="n"/>
      <c r="C750" s="21">
        <f>IFERROR(AVERAGE(P750:T750),"")</f>
        <v/>
      </c>
      <c r="D750" s="29" t="n"/>
      <c r="E750" s="29" t="n"/>
      <c r="F750" s="30">
        <f>IF(AND(ISNUMBER($D750),ISNUMBER($E750),$E750&gt;0,$D750&lt;=$E750),$D750/$E750,"")</f>
        <v/>
      </c>
      <c r="P750" s="26" t="n"/>
      <c r="Q750" s="26" t="n"/>
      <c r="R750" s="26" t="n"/>
      <c r="S750" s="26" t="n"/>
      <c r="T750" s="26" t="n"/>
      <c r="V750" s="27">
        <f>IF(ISNUMBER($C750),COUNTIFS($A$14:$A$1213,$A750,$C$14:$C$1213,"&gt;"&amp;$C750)+(COUNTIFS($A$14:$A$1213,$A750,$C$14:$C$1213,"="&amp;$C750)+1)/2,"")</f>
        <v/>
      </c>
      <c r="W750" s="27">
        <f>IF(ISNUMBER($F750),COUNTIFS($A$14:$A$1213,$A750,$F$14:$F$1213,"&gt;"&amp;$F750)+(COUNTIFS($A$14:$A$1213,$A750,$F$14:$F$1213,"="&amp;$F750)+1)/2,"")</f>
        <v/>
      </c>
      <c r="X750" s="27">
        <f>IF(OR(NOT(ISNUMBER($V750)),$AO750=1),"",$V750-(COUNTIFS($A$14:$A$1213,$A750,$C$14:$C$1213,"&gt;=0")+1)/2)</f>
        <v/>
      </c>
      <c r="Y750" s="27">
        <f>IF(OR(NOT(ISNUMBER($W750)),$AO750=1),"",$W750-(COUNTIFS($A$14:$A$1213,$A750,$F$14:$F$1213,"&gt;=0")+1)/2)</f>
        <v/>
      </c>
      <c r="Z750" s="27">
        <f>IF(ISNUMBER($V750),$A750&amp;"|"&amp;$V750,"")</f>
        <v/>
      </c>
      <c r="AA750" s="27">
        <f>IF(ISNUMBER($W750),$A750&amp;"|"&amp;$W750,"")</f>
        <v/>
      </c>
      <c r="AB750" s="27">
        <f>IF(ISNUMBER($F750),$A750&amp;"|"&amp;$F750,"")</f>
        <v/>
      </c>
      <c r="AC750" s="27">
        <f>IF(ISNUMBER($P750),COUNTIFS($A$14:$A$1213,$A750,$P$14:$P$1213,"&gt;"&amp;$P750)+(COUNTIFS($A$14:$A$1213,$A750,$P$14:$P$1213,"="&amp;$P750)+1)/2,"")</f>
        <v/>
      </c>
      <c r="AD750" s="27">
        <f>IF(ISNUMBER($Q750),COUNTIFS($A$14:$A$1213,$A750,$Q$14:$Q$1213,"&gt;"&amp;$Q750)+(COUNTIFS($A$14:$A$1213,$A750,$Q$14:$Q$1213,"="&amp;$Q750)+1)/2,"")</f>
        <v/>
      </c>
      <c r="AE750" s="27">
        <f>IF(ISNUMBER($R750),COUNTIFS($A$14:$A$1213,$A750,$R$14:$R$1213,"&gt;"&amp;$R750)+(COUNTIFS($A$14:$A$1213,$A750,$R$14:$R$1213,"="&amp;$R750)+1)/2,"")</f>
        <v/>
      </c>
      <c r="AF750" s="27">
        <f>IF(ISNUMBER($S750),COUNTIFS($A$14:$A$1213,$A750,$S$14:$S$1213,"&gt;"&amp;$S750)+(COUNTIFS($A$14:$A$1213,$A750,$S$14:$S$1213,"="&amp;$S750)+1)/2,"")</f>
        <v/>
      </c>
      <c r="AG750" s="27">
        <f>IF(ISNUMBER($T750),COUNTIFS($A$14:$A$1213,$A750,$T$14:$T$1213,"&gt;"&amp;$T750)+(COUNTIFS($A$14:$A$1213,$A750,$T$14:$T$1213,"="&amp;$T750)+1)/2,"")</f>
        <v/>
      </c>
      <c r="AH750" s="27">
        <f>IF(COUNT($AC750:$AG750)&lt;2,"",IF(MAX($AC750:$AG750)=MIN($AC750:$AG750),0,1))</f>
        <v/>
      </c>
      <c r="AI750" s="27">
        <f>IF($A750="","",IF(COUNTIF($A$14:$A750,$A750)=1,COUNTIF($AI$13:AI749,"&gt;0")+1,""))</f>
        <v/>
      </c>
      <c r="AO750" s="27">
        <f>IF($A750="","",IF(AND(COUNTIFS($A$14:$A$1213,$A750,$F$14:$F$1213,"&gt;=0")=2,IFERROR(INDEX($M$14:$M$313,MATCH($A750,$H$14:$H$313,0)),"Yes")&lt;&gt;"Yes"),1,0))</f>
        <v/>
      </c>
    </row>
    <row r="751">
      <c r="A751" s="19" t="n"/>
      <c r="B751" s="20" t="n"/>
      <c r="C751" s="21">
        <f>IFERROR(AVERAGE(P751:T751),"")</f>
        <v/>
      </c>
      <c r="D751" s="29" t="n"/>
      <c r="E751" s="29" t="n"/>
      <c r="F751" s="30">
        <f>IF(AND(ISNUMBER($D751),ISNUMBER($E751),$E751&gt;0,$D751&lt;=$E751),$D751/$E751,"")</f>
        <v/>
      </c>
      <c r="P751" s="26" t="n"/>
      <c r="Q751" s="26" t="n"/>
      <c r="R751" s="26" t="n"/>
      <c r="S751" s="26" t="n"/>
      <c r="T751" s="26" t="n"/>
      <c r="V751" s="27">
        <f>IF(ISNUMBER($C751),COUNTIFS($A$14:$A$1213,$A751,$C$14:$C$1213,"&gt;"&amp;$C751)+(COUNTIFS($A$14:$A$1213,$A751,$C$14:$C$1213,"="&amp;$C751)+1)/2,"")</f>
        <v/>
      </c>
      <c r="W751" s="27">
        <f>IF(ISNUMBER($F751),COUNTIFS($A$14:$A$1213,$A751,$F$14:$F$1213,"&gt;"&amp;$F751)+(COUNTIFS($A$14:$A$1213,$A751,$F$14:$F$1213,"="&amp;$F751)+1)/2,"")</f>
        <v/>
      </c>
      <c r="X751" s="27">
        <f>IF(OR(NOT(ISNUMBER($V751)),$AO751=1),"",$V751-(COUNTIFS($A$14:$A$1213,$A751,$C$14:$C$1213,"&gt;=0")+1)/2)</f>
        <v/>
      </c>
      <c r="Y751" s="27">
        <f>IF(OR(NOT(ISNUMBER($W751)),$AO751=1),"",$W751-(COUNTIFS($A$14:$A$1213,$A751,$F$14:$F$1213,"&gt;=0")+1)/2)</f>
        <v/>
      </c>
      <c r="Z751" s="27">
        <f>IF(ISNUMBER($V751),$A751&amp;"|"&amp;$V751,"")</f>
        <v/>
      </c>
      <c r="AA751" s="27">
        <f>IF(ISNUMBER($W751),$A751&amp;"|"&amp;$W751,"")</f>
        <v/>
      </c>
      <c r="AB751" s="27">
        <f>IF(ISNUMBER($F751),$A751&amp;"|"&amp;$F751,"")</f>
        <v/>
      </c>
      <c r="AC751" s="27">
        <f>IF(ISNUMBER($P751),COUNTIFS($A$14:$A$1213,$A751,$P$14:$P$1213,"&gt;"&amp;$P751)+(COUNTIFS($A$14:$A$1213,$A751,$P$14:$P$1213,"="&amp;$P751)+1)/2,"")</f>
        <v/>
      </c>
      <c r="AD751" s="27">
        <f>IF(ISNUMBER($Q751),COUNTIFS($A$14:$A$1213,$A751,$Q$14:$Q$1213,"&gt;"&amp;$Q751)+(COUNTIFS($A$14:$A$1213,$A751,$Q$14:$Q$1213,"="&amp;$Q751)+1)/2,"")</f>
        <v/>
      </c>
      <c r="AE751" s="27">
        <f>IF(ISNUMBER($R751),COUNTIFS($A$14:$A$1213,$A751,$R$14:$R$1213,"&gt;"&amp;$R751)+(COUNTIFS($A$14:$A$1213,$A751,$R$14:$R$1213,"="&amp;$R751)+1)/2,"")</f>
        <v/>
      </c>
      <c r="AF751" s="27">
        <f>IF(ISNUMBER($S751),COUNTIFS($A$14:$A$1213,$A751,$S$14:$S$1213,"&gt;"&amp;$S751)+(COUNTIFS($A$14:$A$1213,$A751,$S$14:$S$1213,"="&amp;$S751)+1)/2,"")</f>
        <v/>
      </c>
      <c r="AG751" s="27">
        <f>IF(ISNUMBER($T751),COUNTIFS($A$14:$A$1213,$A751,$T$14:$T$1213,"&gt;"&amp;$T751)+(COUNTIFS($A$14:$A$1213,$A751,$T$14:$T$1213,"="&amp;$T751)+1)/2,"")</f>
        <v/>
      </c>
      <c r="AH751" s="27">
        <f>IF(COUNT($AC751:$AG751)&lt;2,"",IF(MAX($AC751:$AG751)=MIN($AC751:$AG751),0,1))</f>
        <v/>
      </c>
      <c r="AI751" s="27">
        <f>IF($A751="","",IF(COUNTIF($A$14:$A751,$A751)=1,COUNTIF($AI$13:AI750,"&gt;0")+1,""))</f>
        <v/>
      </c>
      <c r="AO751" s="27">
        <f>IF($A751="","",IF(AND(COUNTIFS($A$14:$A$1213,$A751,$F$14:$F$1213,"&gt;=0")=2,IFERROR(INDEX($M$14:$M$313,MATCH($A751,$H$14:$H$313,0)),"Yes")&lt;&gt;"Yes"),1,0))</f>
        <v/>
      </c>
    </row>
    <row r="752">
      <c r="A752" s="19" t="n"/>
      <c r="B752" s="20" t="n"/>
      <c r="C752" s="21">
        <f>IFERROR(AVERAGE(P752:T752),"")</f>
        <v/>
      </c>
      <c r="D752" s="29" t="n"/>
      <c r="E752" s="29" t="n"/>
      <c r="F752" s="30">
        <f>IF(AND(ISNUMBER($D752),ISNUMBER($E752),$E752&gt;0,$D752&lt;=$E752),$D752/$E752,"")</f>
        <v/>
      </c>
      <c r="P752" s="26" t="n"/>
      <c r="Q752" s="26" t="n"/>
      <c r="R752" s="26" t="n"/>
      <c r="S752" s="26" t="n"/>
      <c r="T752" s="26" t="n"/>
      <c r="V752" s="27">
        <f>IF(ISNUMBER($C752),COUNTIFS($A$14:$A$1213,$A752,$C$14:$C$1213,"&gt;"&amp;$C752)+(COUNTIFS($A$14:$A$1213,$A752,$C$14:$C$1213,"="&amp;$C752)+1)/2,"")</f>
        <v/>
      </c>
      <c r="W752" s="27">
        <f>IF(ISNUMBER($F752),COUNTIFS($A$14:$A$1213,$A752,$F$14:$F$1213,"&gt;"&amp;$F752)+(COUNTIFS($A$14:$A$1213,$A752,$F$14:$F$1213,"="&amp;$F752)+1)/2,"")</f>
        <v/>
      </c>
      <c r="X752" s="27">
        <f>IF(OR(NOT(ISNUMBER($V752)),$AO752=1),"",$V752-(COUNTIFS($A$14:$A$1213,$A752,$C$14:$C$1213,"&gt;=0")+1)/2)</f>
        <v/>
      </c>
      <c r="Y752" s="27">
        <f>IF(OR(NOT(ISNUMBER($W752)),$AO752=1),"",$W752-(COUNTIFS($A$14:$A$1213,$A752,$F$14:$F$1213,"&gt;=0")+1)/2)</f>
        <v/>
      </c>
      <c r="Z752" s="27">
        <f>IF(ISNUMBER($V752),$A752&amp;"|"&amp;$V752,"")</f>
        <v/>
      </c>
      <c r="AA752" s="27">
        <f>IF(ISNUMBER($W752),$A752&amp;"|"&amp;$W752,"")</f>
        <v/>
      </c>
      <c r="AB752" s="27">
        <f>IF(ISNUMBER($F752),$A752&amp;"|"&amp;$F752,"")</f>
        <v/>
      </c>
      <c r="AC752" s="27">
        <f>IF(ISNUMBER($P752),COUNTIFS($A$14:$A$1213,$A752,$P$14:$P$1213,"&gt;"&amp;$P752)+(COUNTIFS($A$14:$A$1213,$A752,$P$14:$P$1213,"="&amp;$P752)+1)/2,"")</f>
        <v/>
      </c>
      <c r="AD752" s="27">
        <f>IF(ISNUMBER($Q752),COUNTIFS($A$14:$A$1213,$A752,$Q$14:$Q$1213,"&gt;"&amp;$Q752)+(COUNTIFS($A$14:$A$1213,$A752,$Q$14:$Q$1213,"="&amp;$Q752)+1)/2,"")</f>
        <v/>
      </c>
      <c r="AE752" s="27">
        <f>IF(ISNUMBER($R752),COUNTIFS($A$14:$A$1213,$A752,$R$14:$R$1213,"&gt;"&amp;$R752)+(COUNTIFS($A$14:$A$1213,$A752,$R$14:$R$1213,"="&amp;$R752)+1)/2,"")</f>
        <v/>
      </c>
      <c r="AF752" s="27">
        <f>IF(ISNUMBER($S752),COUNTIFS($A$14:$A$1213,$A752,$S$14:$S$1213,"&gt;"&amp;$S752)+(COUNTIFS($A$14:$A$1213,$A752,$S$14:$S$1213,"="&amp;$S752)+1)/2,"")</f>
        <v/>
      </c>
      <c r="AG752" s="27">
        <f>IF(ISNUMBER($T752),COUNTIFS($A$14:$A$1213,$A752,$T$14:$T$1213,"&gt;"&amp;$T752)+(COUNTIFS($A$14:$A$1213,$A752,$T$14:$T$1213,"="&amp;$T752)+1)/2,"")</f>
        <v/>
      </c>
      <c r="AH752" s="27">
        <f>IF(COUNT($AC752:$AG752)&lt;2,"",IF(MAX($AC752:$AG752)=MIN($AC752:$AG752),0,1))</f>
        <v/>
      </c>
      <c r="AI752" s="27">
        <f>IF($A752="","",IF(COUNTIF($A$14:$A752,$A752)=1,COUNTIF($AI$13:AI751,"&gt;0")+1,""))</f>
        <v/>
      </c>
      <c r="AO752" s="27">
        <f>IF($A752="","",IF(AND(COUNTIFS($A$14:$A$1213,$A752,$F$14:$F$1213,"&gt;=0")=2,IFERROR(INDEX($M$14:$M$313,MATCH($A752,$H$14:$H$313,0)),"Yes")&lt;&gt;"Yes"),1,0))</f>
        <v/>
      </c>
    </row>
    <row r="753">
      <c r="A753" s="19" t="n"/>
      <c r="B753" s="20" t="n"/>
      <c r="C753" s="21">
        <f>IFERROR(AVERAGE(P753:T753),"")</f>
        <v/>
      </c>
      <c r="D753" s="29" t="n"/>
      <c r="E753" s="29" t="n"/>
      <c r="F753" s="30">
        <f>IF(AND(ISNUMBER($D753),ISNUMBER($E753),$E753&gt;0,$D753&lt;=$E753),$D753/$E753,"")</f>
        <v/>
      </c>
      <c r="P753" s="26" t="n"/>
      <c r="Q753" s="26" t="n"/>
      <c r="R753" s="26" t="n"/>
      <c r="S753" s="26" t="n"/>
      <c r="T753" s="26" t="n"/>
      <c r="V753" s="27">
        <f>IF(ISNUMBER($C753),COUNTIFS($A$14:$A$1213,$A753,$C$14:$C$1213,"&gt;"&amp;$C753)+(COUNTIFS($A$14:$A$1213,$A753,$C$14:$C$1213,"="&amp;$C753)+1)/2,"")</f>
        <v/>
      </c>
      <c r="W753" s="27">
        <f>IF(ISNUMBER($F753),COUNTIFS($A$14:$A$1213,$A753,$F$14:$F$1213,"&gt;"&amp;$F753)+(COUNTIFS($A$14:$A$1213,$A753,$F$14:$F$1213,"="&amp;$F753)+1)/2,"")</f>
        <v/>
      </c>
      <c r="X753" s="27">
        <f>IF(OR(NOT(ISNUMBER($V753)),$AO753=1),"",$V753-(COUNTIFS($A$14:$A$1213,$A753,$C$14:$C$1213,"&gt;=0")+1)/2)</f>
        <v/>
      </c>
      <c r="Y753" s="27">
        <f>IF(OR(NOT(ISNUMBER($W753)),$AO753=1),"",$W753-(COUNTIFS($A$14:$A$1213,$A753,$F$14:$F$1213,"&gt;=0")+1)/2)</f>
        <v/>
      </c>
      <c r="Z753" s="27">
        <f>IF(ISNUMBER($V753),$A753&amp;"|"&amp;$V753,"")</f>
        <v/>
      </c>
      <c r="AA753" s="27">
        <f>IF(ISNUMBER($W753),$A753&amp;"|"&amp;$W753,"")</f>
        <v/>
      </c>
      <c r="AB753" s="27">
        <f>IF(ISNUMBER($F753),$A753&amp;"|"&amp;$F753,"")</f>
        <v/>
      </c>
      <c r="AC753" s="27">
        <f>IF(ISNUMBER($P753),COUNTIFS($A$14:$A$1213,$A753,$P$14:$P$1213,"&gt;"&amp;$P753)+(COUNTIFS($A$14:$A$1213,$A753,$P$14:$P$1213,"="&amp;$P753)+1)/2,"")</f>
        <v/>
      </c>
      <c r="AD753" s="27">
        <f>IF(ISNUMBER($Q753),COUNTIFS($A$14:$A$1213,$A753,$Q$14:$Q$1213,"&gt;"&amp;$Q753)+(COUNTIFS($A$14:$A$1213,$A753,$Q$14:$Q$1213,"="&amp;$Q753)+1)/2,"")</f>
        <v/>
      </c>
      <c r="AE753" s="27">
        <f>IF(ISNUMBER($R753),COUNTIFS($A$14:$A$1213,$A753,$R$14:$R$1213,"&gt;"&amp;$R753)+(COUNTIFS($A$14:$A$1213,$A753,$R$14:$R$1213,"="&amp;$R753)+1)/2,"")</f>
        <v/>
      </c>
      <c r="AF753" s="27">
        <f>IF(ISNUMBER($S753),COUNTIFS($A$14:$A$1213,$A753,$S$14:$S$1213,"&gt;"&amp;$S753)+(COUNTIFS($A$14:$A$1213,$A753,$S$14:$S$1213,"="&amp;$S753)+1)/2,"")</f>
        <v/>
      </c>
      <c r="AG753" s="27">
        <f>IF(ISNUMBER($T753),COUNTIFS($A$14:$A$1213,$A753,$T$14:$T$1213,"&gt;"&amp;$T753)+(COUNTIFS($A$14:$A$1213,$A753,$T$14:$T$1213,"="&amp;$T753)+1)/2,"")</f>
        <v/>
      </c>
      <c r="AH753" s="27">
        <f>IF(COUNT($AC753:$AG753)&lt;2,"",IF(MAX($AC753:$AG753)=MIN($AC753:$AG753),0,1))</f>
        <v/>
      </c>
      <c r="AI753" s="27">
        <f>IF($A753="","",IF(COUNTIF($A$14:$A753,$A753)=1,COUNTIF($AI$13:AI752,"&gt;0")+1,""))</f>
        <v/>
      </c>
      <c r="AO753" s="27">
        <f>IF($A753="","",IF(AND(COUNTIFS($A$14:$A$1213,$A753,$F$14:$F$1213,"&gt;=0")=2,IFERROR(INDEX($M$14:$M$313,MATCH($A753,$H$14:$H$313,0)),"Yes")&lt;&gt;"Yes"),1,0))</f>
        <v/>
      </c>
    </row>
    <row r="754">
      <c r="A754" s="19" t="n"/>
      <c r="B754" s="20" t="n"/>
      <c r="C754" s="21">
        <f>IFERROR(AVERAGE(P754:T754),"")</f>
        <v/>
      </c>
      <c r="D754" s="29" t="n"/>
      <c r="E754" s="29" t="n"/>
      <c r="F754" s="30">
        <f>IF(AND(ISNUMBER($D754),ISNUMBER($E754),$E754&gt;0,$D754&lt;=$E754),$D754/$E754,"")</f>
        <v/>
      </c>
      <c r="P754" s="26" t="n"/>
      <c r="Q754" s="26" t="n"/>
      <c r="R754" s="26" t="n"/>
      <c r="S754" s="26" t="n"/>
      <c r="T754" s="26" t="n"/>
      <c r="V754" s="27">
        <f>IF(ISNUMBER($C754),COUNTIFS($A$14:$A$1213,$A754,$C$14:$C$1213,"&gt;"&amp;$C754)+(COUNTIFS($A$14:$A$1213,$A754,$C$14:$C$1213,"="&amp;$C754)+1)/2,"")</f>
        <v/>
      </c>
      <c r="W754" s="27">
        <f>IF(ISNUMBER($F754),COUNTIFS($A$14:$A$1213,$A754,$F$14:$F$1213,"&gt;"&amp;$F754)+(COUNTIFS($A$14:$A$1213,$A754,$F$14:$F$1213,"="&amp;$F754)+1)/2,"")</f>
        <v/>
      </c>
      <c r="X754" s="27">
        <f>IF(OR(NOT(ISNUMBER($V754)),$AO754=1),"",$V754-(COUNTIFS($A$14:$A$1213,$A754,$C$14:$C$1213,"&gt;=0")+1)/2)</f>
        <v/>
      </c>
      <c r="Y754" s="27">
        <f>IF(OR(NOT(ISNUMBER($W754)),$AO754=1),"",$W754-(COUNTIFS($A$14:$A$1213,$A754,$F$14:$F$1213,"&gt;=0")+1)/2)</f>
        <v/>
      </c>
      <c r="Z754" s="27">
        <f>IF(ISNUMBER($V754),$A754&amp;"|"&amp;$V754,"")</f>
        <v/>
      </c>
      <c r="AA754" s="27">
        <f>IF(ISNUMBER($W754),$A754&amp;"|"&amp;$W754,"")</f>
        <v/>
      </c>
      <c r="AB754" s="27">
        <f>IF(ISNUMBER($F754),$A754&amp;"|"&amp;$F754,"")</f>
        <v/>
      </c>
      <c r="AC754" s="27">
        <f>IF(ISNUMBER($P754),COUNTIFS($A$14:$A$1213,$A754,$P$14:$P$1213,"&gt;"&amp;$P754)+(COUNTIFS($A$14:$A$1213,$A754,$P$14:$P$1213,"="&amp;$P754)+1)/2,"")</f>
        <v/>
      </c>
      <c r="AD754" s="27">
        <f>IF(ISNUMBER($Q754),COUNTIFS($A$14:$A$1213,$A754,$Q$14:$Q$1213,"&gt;"&amp;$Q754)+(COUNTIFS($A$14:$A$1213,$A754,$Q$14:$Q$1213,"="&amp;$Q754)+1)/2,"")</f>
        <v/>
      </c>
      <c r="AE754" s="27">
        <f>IF(ISNUMBER($R754),COUNTIFS($A$14:$A$1213,$A754,$R$14:$R$1213,"&gt;"&amp;$R754)+(COUNTIFS($A$14:$A$1213,$A754,$R$14:$R$1213,"="&amp;$R754)+1)/2,"")</f>
        <v/>
      </c>
      <c r="AF754" s="27">
        <f>IF(ISNUMBER($S754),COUNTIFS($A$14:$A$1213,$A754,$S$14:$S$1213,"&gt;"&amp;$S754)+(COUNTIFS($A$14:$A$1213,$A754,$S$14:$S$1213,"="&amp;$S754)+1)/2,"")</f>
        <v/>
      </c>
      <c r="AG754" s="27">
        <f>IF(ISNUMBER($T754),COUNTIFS($A$14:$A$1213,$A754,$T$14:$T$1213,"&gt;"&amp;$T754)+(COUNTIFS($A$14:$A$1213,$A754,$T$14:$T$1213,"="&amp;$T754)+1)/2,"")</f>
        <v/>
      </c>
      <c r="AH754" s="27">
        <f>IF(COUNT($AC754:$AG754)&lt;2,"",IF(MAX($AC754:$AG754)=MIN($AC754:$AG754),0,1))</f>
        <v/>
      </c>
      <c r="AI754" s="27">
        <f>IF($A754="","",IF(COUNTIF($A$14:$A754,$A754)=1,COUNTIF($AI$13:AI753,"&gt;0")+1,""))</f>
        <v/>
      </c>
      <c r="AO754" s="27">
        <f>IF($A754="","",IF(AND(COUNTIFS($A$14:$A$1213,$A754,$F$14:$F$1213,"&gt;=0")=2,IFERROR(INDEX($M$14:$M$313,MATCH($A754,$H$14:$H$313,0)),"Yes")&lt;&gt;"Yes"),1,0))</f>
        <v/>
      </c>
    </row>
    <row r="755">
      <c r="A755" s="19" t="n"/>
      <c r="B755" s="20" t="n"/>
      <c r="C755" s="21">
        <f>IFERROR(AVERAGE(P755:T755),"")</f>
        <v/>
      </c>
      <c r="D755" s="29" t="n"/>
      <c r="E755" s="29" t="n"/>
      <c r="F755" s="30">
        <f>IF(AND(ISNUMBER($D755),ISNUMBER($E755),$E755&gt;0,$D755&lt;=$E755),$D755/$E755,"")</f>
        <v/>
      </c>
      <c r="P755" s="26" t="n"/>
      <c r="Q755" s="26" t="n"/>
      <c r="R755" s="26" t="n"/>
      <c r="S755" s="26" t="n"/>
      <c r="T755" s="26" t="n"/>
      <c r="V755" s="27">
        <f>IF(ISNUMBER($C755),COUNTIFS($A$14:$A$1213,$A755,$C$14:$C$1213,"&gt;"&amp;$C755)+(COUNTIFS($A$14:$A$1213,$A755,$C$14:$C$1213,"="&amp;$C755)+1)/2,"")</f>
        <v/>
      </c>
      <c r="W755" s="27">
        <f>IF(ISNUMBER($F755),COUNTIFS($A$14:$A$1213,$A755,$F$14:$F$1213,"&gt;"&amp;$F755)+(COUNTIFS($A$14:$A$1213,$A755,$F$14:$F$1213,"="&amp;$F755)+1)/2,"")</f>
        <v/>
      </c>
      <c r="X755" s="27">
        <f>IF(OR(NOT(ISNUMBER($V755)),$AO755=1),"",$V755-(COUNTIFS($A$14:$A$1213,$A755,$C$14:$C$1213,"&gt;=0")+1)/2)</f>
        <v/>
      </c>
      <c r="Y755" s="27">
        <f>IF(OR(NOT(ISNUMBER($W755)),$AO755=1),"",$W755-(COUNTIFS($A$14:$A$1213,$A755,$F$14:$F$1213,"&gt;=0")+1)/2)</f>
        <v/>
      </c>
      <c r="Z755" s="27">
        <f>IF(ISNUMBER($V755),$A755&amp;"|"&amp;$V755,"")</f>
        <v/>
      </c>
      <c r="AA755" s="27">
        <f>IF(ISNUMBER($W755),$A755&amp;"|"&amp;$W755,"")</f>
        <v/>
      </c>
      <c r="AB755" s="27">
        <f>IF(ISNUMBER($F755),$A755&amp;"|"&amp;$F755,"")</f>
        <v/>
      </c>
      <c r="AC755" s="27">
        <f>IF(ISNUMBER($P755),COUNTIFS($A$14:$A$1213,$A755,$P$14:$P$1213,"&gt;"&amp;$P755)+(COUNTIFS($A$14:$A$1213,$A755,$P$14:$P$1213,"="&amp;$P755)+1)/2,"")</f>
        <v/>
      </c>
      <c r="AD755" s="27">
        <f>IF(ISNUMBER($Q755),COUNTIFS($A$14:$A$1213,$A755,$Q$14:$Q$1213,"&gt;"&amp;$Q755)+(COUNTIFS($A$14:$A$1213,$A755,$Q$14:$Q$1213,"="&amp;$Q755)+1)/2,"")</f>
        <v/>
      </c>
      <c r="AE755" s="27">
        <f>IF(ISNUMBER($R755),COUNTIFS($A$14:$A$1213,$A755,$R$14:$R$1213,"&gt;"&amp;$R755)+(COUNTIFS($A$14:$A$1213,$A755,$R$14:$R$1213,"="&amp;$R755)+1)/2,"")</f>
        <v/>
      </c>
      <c r="AF755" s="27">
        <f>IF(ISNUMBER($S755),COUNTIFS($A$14:$A$1213,$A755,$S$14:$S$1213,"&gt;"&amp;$S755)+(COUNTIFS($A$14:$A$1213,$A755,$S$14:$S$1213,"="&amp;$S755)+1)/2,"")</f>
        <v/>
      </c>
      <c r="AG755" s="27">
        <f>IF(ISNUMBER($T755),COUNTIFS($A$14:$A$1213,$A755,$T$14:$T$1213,"&gt;"&amp;$T755)+(COUNTIFS($A$14:$A$1213,$A755,$T$14:$T$1213,"="&amp;$T755)+1)/2,"")</f>
        <v/>
      </c>
      <c r="AH755" s="27">
        <f>IF(COUNT($AC755:$AG755)&lt;2,"",IF(MAX($AC755:$AG755)=MIN($AC755:$AG755),0,1))</f>
        <v/>
      </c>
      <c r="AI755" s="27">
        <f>IF($A755="","",IF(COUNTIF($A$14:$A755,$A755)=1,COUNTIF($AI$13:AI754,"&gt;0")+1,""))</f>
        <v/>
      </c>
      <c r="AO755" s="27">
        <f>IF($A755="","",IF(AND(COUNTIFS($A$14:$A$1213,$A755,$F$14:$F$1213,"&gt;=0")=2,IFERROR(INDEX($M$14:$M$313,MATCH($A755,$H$14:$H$313,0)),"Yes")&lt;&gt;"Yes"),1,0))</f>
        <v/>
      </c>
    </row>
    <row r="756">
      <c r="A756" s="19" t="n"/>
      <c r="B756" s="20" t="n"/>
      <c r="C756" s="21">
        <f>IFERROR(AVERAGE(P756:T756),"")</f>
        <v/>
      </c>
      <c r="D756" s="29" t="n"/>
      <c r="E756" s="29" t="n"/>
      <c r="F756" s="30">
        <f>IF(AND(ISNUMBER($D756),ISNUMBER($E756),$E756&gt;0,$D756&lt;=$E756),$D756/$E756,"")</f>
        <v/>
      </c>
      <c r="P756" s="26" t="n"/>
      <c r="Q756" s="26" t="n"/>
      <c r="R756" s="26" t="n"/>
      <c r="S756" s="26" t="n"/>
      <c r="T756" s="26" t="n"/>
      <c r="V756" s="27">
        <f>IF(ISNUMBER($C756),COUNTIFS($A$14:$A$1213,$A756,$C$14:$C$1213,"&gt;"&amp;$C756)+(COUNTIFS($A$14:$A$1213,$A756,$C$14:$C$1213,"="&amp;$C756)+1)/2,"")</f>
        <v/>
      </c>
      <c r="W756" s="27">
        <f>IF(ISNUMBER($F756),COUNTIFS($A$14:$A$1213,$A756,$F$14:$F$1213,"&gt;"&amp;$F756)+(COUNTIFS($A$14:$A$1213,$A756,$F$14:$F$1213,"="&amp;$F756)+1)/2,"")</f>
        <v/>
      </c>
      <c r="X756" s="27">
        <f>IF(OR(NOT(ISNUMBER($V756)),$AO756=1),"",$V756-(COUNTIFS($A$14:$A$1213,$A756,$C$14:$C$1213,"&gt;=0")+1)/2)</f>
        <v/>
      </c>
      <c r="Y756" s="27">
        <f>IF(OR(NOT(ISNUMBER($W756)),$AO756=1),"",$W756-(COUNTIFS($A$14:$A$1213,$A756,$F$14:$F$1213,"&gt;=0")+1)/2)</f>
        <v/>
      </c>
      <c r="Z756" s="27">
        <f>IF(ISNUMBER($V756),$A756&amp;"|"&amp;$V756,"")</f>
        <v/>
      </c>
      <c r="AA756" s="27">
        <f>IF(ISNUMBER($W756),$A756&amp;"|"&amp;$W756,"")</f>
        <v/>
      </c>
      <c r="AB756" s="27">
        <f>IF(ISNUMBER($F756),$A756&amp;"|"&amp;$F756,"")</f>
        <v/>
      </c>
      <c r="AC756" s="27">
        <f>IF(ISNUMBER($P756),COUNTIFS($A$14:$A$1213,$A756,$P$14:$P$1213,"&gt;"&amp;$P756)+(COUNTIFS($A$14:$A$1213,$A756,$P$14:$P$1213,"="&amp;$P756)+1)/2,"")</f>
        <v/>
      </c>
      <c r="AD756" s="27">
        <f>IF(ISNUMBER($Q756),COUNTIFS($A$14:$A$1213,$A756,$Q$14:$Q$1213,"&gt;"&amp;$Q756)+(COUNTIFS($A$14:$A$1213,$A756,$Q$14:$Q$1213,"="&amp;$Q756)+1)/2,"")</f>
        <v/>
      </c>
      <c r="AE756" s="27">
        <f>IF(ISNUMBER($R756),COUNTIFS($A$14:$A$1213,$A756,$R$14:$R$1213,"&gt;"&amp;$R756)+(COUNTIFS($A$14:$A$1213,$A756,$R$14:$R$1213,"="&amp;$R756)+1)/2,"")</f>
        <v/>
      </c>
      <c r="AF756" s="27">
        <f>IF(ISNUMBER($S756),COUNTIFS($A$14:$A$1213,$A756,$S$14:$S$1213,"&gt;"&amp;$S756)+(COUNTIFS($A$14:$A$1213,$A756,$S$14:$S$1213,"="&amp;$S756)+1)/2,"")</f>
        <v/>
      </c>
      <c r="AG756" s="27">
        <f>IF(ISNUMBER($T756),COUNTIFS($A$14:$A$1213,$A756,$T$14:$T$1213,"&gt;"&amp;$T756)+(COUNTIFS($A$14:$A$1213,$A756,$T$14:$T$1213,"="&amp;$T756)+1)/2,"")</f>
        <v/>
      </c>
      <c r="AH756" s="27">
        <f>IF(COUNT($AC756:$AG756)&lt;2,"",IF(MAX($AC756:$AG756)=MIN($AC756:$AG756),0,1))</f>
        <v/>
      </c>
      <c r="AI756" s="27">
        <f>IF($A756="","",IF(COUNTIF($A$14:$A756,$A756)=1,COUNTIF($AI$13:AI755,"&gt;0")+1,""))</f>
        <v/>
      </c>
      <c r="AO756" s="27">
        <f>IF($A756="","",IF(AND(COUNTIFS($A$14:$A$1213,$A756,$F$14:$F$1213,"&gt;=0")=2,IFERROR(INDEX($M$14:$M$313,MATCH($A756,$H$14:$H$313,0)),"Yes")&lt;&gt;"Yes"),1,0))</f>
        <v/>
      </c>
    </row>
    <row r="757">
      <c r="A757" s="19" t="n"/>
      <c r="B757" s="20" t="n"/>
      <c r="C757" s="21">
        <f>IFERROR(AVERAGE(P757:T757),"")</f>
        <v/>
      </c>
      <c r="D757" s="29" t="n"/>
      <c r="E757" s="29" t="n"/>
      <c r="F757" s="30">
        <f>IF(AND(ISNUMBER($D757),ISNUMBER($E757),$E757&gt;0,$D757&lt;=$E757),$D757/$E757,"")</f>
        <v/>
      </c>
      <c r="P757" s="26" t="n"/>
      <c r="Q757" s="26" t="n"/>
      <c r="R757" s="26" t="n"/>
      <c r="S757" s="26" t="n"/>
      <c r="T757" s="26" t="n"/>
      <c r="V757" s="27">
        <f>IF(ISNUMBER($C757),COUNTIFS($A$14:$A$1213,$A757,$C$14:$C$1213,"&gt;"&amp;$C757)+(COUNTIFS($A$14:$A$1213,$A757,$C$14:$C$1213,"="&amp;$C757)+1)/2,"")</f>
        <v/>
      </c>
      <c r="W757" s="27">
        <f>IF(ISNUMBER($F757),COUNTIFS($A$14:$A$1213,$A757,$F$14:$F$1213,"&gt;"&amp;$F757)+(COUNTIFS($A$14:$A$1213,$A757,$F$14:$F$1213,"="&amp;$F757)+1)/2,"")</f>
        <v/>
      </c>
      <c r="X757" s="27">
        <f>IF(OR(NOT(ISNUMBER($V757)),$AO757=1),"",$V757-(COUNTIFS($A$14:$A$1213,$A757,$C$14:$C$1213,"&gt;=0")+1)/2)</f>
        <v/>
      </c>
      <c r="Y757" s="27">
        <f>IF(OR(NOT(ISNUMBER($W757)),$AO757=1),"",$W757-(COUNTIFS($A$14:$A$1213,$A757,$F$14:$F$1213,"&gt;=0")+1)/2)</f>
        <v/>
      </c>
      <c r="Z757" s="27">
        <f>IF(ISNUMBER($V757),$A757&amp;"|"&amp;$V757,"")</f>
        <v/>
      </c>
      <c r="AA757" s="27">
        <f>IF(ISNUMBER($W757),$A757&amp;"|"&amp;$W757,"")</f>
        <v/>
      </c>
      <c r="AB757" s="27">
        <f>IF(ISNUMBER($F757),$A757&amp;"|"&amp;$F757,"")</f>
        <v/>
      </c>
      <c r="AC757" s="27">
        <f>IF(ISNUMBER($P757),COUNTIFS($A$14:$A$1213,$A757,$P$14:$P$1213,"&gt;"&amp;$P757)+(COUNTIFS($A$14:$A$1213,$A757,$P$14:$P$1213,"="&amp;$P757)+1)/2,"")</f>
        <v/>
      </c>
      <c r="AD757" s="27">
        <f>IF(ISNUMBER($Q757),COUNTIFS($A$14:$A$1213,$A757,$Q$14:$Q$1213,"&gt;"&amp;$Q757)+(COUNTIFS($A$14:$A$1213,$A757,$Q$14:$Q$1213,"="&amp;$Q757)+1)/2,"")</f>
        <v/>
      </c>
      <c r="AE757" s="27">
        <f>IF(ISNUMBER($R757),COUNTIFS($A$14:$A$1213,$A757,$R$14:$R$1213,"&gt;"&amp;$R757)+(COUNTIFS($A$14:$A$1213,$A757,$R$14:$R$1213,"="&amp;$R757)+1)/2,"")</f>
        <v/>
      </c>
      <c r="AF757" s="27">
        <f>IF(ISNUMBER($S757),COUNTIFS($A$14:$A$1213,$A757,$S$14:$S$1213,"&gt;"&amp;$S757)+(COUNTIFS($A$14:$A$1213,$A757,$S$14:$S$1213,"="&amp;$S757)+1)/2,"")</f>
        <v/>
      </c>
      <c r="AG757" s="27">
        <f>IF(ISNUMBER($T757),COUNTIFS($A$14:$A$1213,$A757,$T$14:$T$1213,"&gt;"&amp;$T757)+(COUNTIFS($A$14:$A$1213,$A757,$T$14:$T$1213,"="&amp;$T757)+1)/2,"")</f>
        <v/>
      </c>
      <c r="AH757" s="27">
        <f>IF(COUNT($AC757:$AG757)&lt;2,"",IF(MAX($AC757:$AG757)=MIN($AC757:$AG757),0,1))</f>
        <v/>
      </c>
      <c r="AI757" s="27">
        <f>IF($A757="","",IF(COUNTIF($A$14:$A757,$A757)=1,COUNTIF($AI$13:AI756,"&gt;0")+1,""))</f>
        <v/>
      </c>
      <c r="AO757" s="27">
        <f>IF($A757="","",IF(AND(COUNTIFS($A$14:$A$1213,$A757,$F$14:$F$1213,"&gt;=0")=2,IFERROR(INDEX($M$14:$M$313,MATCH($A757,$H$14:$H$313,0)),"Yes")&lt;&gt;"Yes"),1,0))</f>
        <v/>
      </c>
    </row>
    <row r="758">
      <c r="A758" s="19" t="n"/>
      <c r="B758" s="20" t="n"/>
      <c r="C758" s="21">
        <f>IFERROR(AVERAGE(P758:T758),"")</f>
        <v/>
      </c>
      <c r="D758" s="29" t="n"/>
      <c r="E758" s="29" t="n"/>
      <c r="F758" s="30">
        <f>IF(AND(ISNUMBER($D758),ISNUMBER($E758),$E758&gt;0,$D758&lt;=$E758),$D758/$E758,"")</f>
        <v/>
      </c>
      <c r="P758" s="26" t="n"/>
      <c r="Q758" s="26" t="n"/>
      <c r="R758" s="26" t="n"/>
      <c r="S758" s="26" t="n"/>
      <c r="T758" s="26" t="n"/>
      <c r="V758" s="27">
        <f>IF(ISNUMBER($C758),COUNTIFS($A$14:$A$1213,$A758,$C$14:$C$1213,"&gt;"&amp;$C758)+(COUNTIFS($A$14:$A$1213,$A758,$C$14:$C$1213,"="&amp;$C758)+1)/2,"")</f>
        <v/>
      </c>
      <c r="W758" s="27">
        <f>IF(ISNUMBER($F758),COUNTIFS($A$14:$A$1213,$A758,$F$14:$F$1213,"&gt;"&amp;$F758)+(COUNTIFS($A$14:$A$1213,$A758,$F$14:$F$1213,"="&amp;$F758)+1)/2,"")</f>
        <v/>
      </c>
      <c r="X758" s="27">
        <f>IF(OR(NOT(ISNUMBER($V758)),$AO758=1),"",$V758-(COUNTIFS($A$14:$A$1213,$A758,$C$14:$C$1213,"&gt;=0")+1)/2)</f>
        <v/>
      </c>
      <c r="Y758" s="27">
        <f>IF(OR(NOT(ISNUMBER($W758)),$AO758=1),"",$W758-(COUNTIFS($A$14:$A$1213,$A758,$F$14:$F$1213,"&gt;=0")+1)/2)</f>
        <v/>
      </c>
      <c r="Z758" s="27">
        <f>IF(ISNUMBER($V758),$A758&amp;"|"&amp;$V758,"")</f>
        <v/>
      </c>
      <c r="AA758" s="27">
        <f>IF(ISNUMBER($W758),$A758&amp;"|"&amp;$W758,"")</f>
        <v/>
      </c>
      <c r="AB758" s="27">
        <f>IF(ISNUMBER($F758),$A758&amp;"|"&amp;$F758,"")</f>
        <v/>
      </c>
      <c r="AC758" s="27">
        <f>IF(ISNUMBER($P758),COUNTIFS($A$14:$A$1213,$A758,$P$14:$P$1213,"&gt;"&amp;$P758)+(COUNTIFS($A$14:$A$1213,$A758,$P$14:$P$1213,"="&amp;$P758)+1)/2,"")</f>
        <v/>
      </c>
      <c r="AD758" s="27">
        <f>IF(ISNUMBER($Q758),COUNTIFS($A$14:$A$1213,$A758,$Q$14:$Q$1213,"&gt;"&amp;$Q758)+(COUNTIFS($A$14:$A$1213,$A758,$Q$14:$Q$1213,"="&amp;$Q758)+1)/2,"")</f>
        <v/>
      </c>
      <c r="AE758" s="27">
        <f>IF(ISNUMBER($R758),COUNTIFS($A$14:$A$1213,$A758,$R$14:$R$1213,"&gt;"&amp;$R758)+(COUNTIFS($A$14:$A$1213,$A758,$R$14:$R$1213,"="&amp;$R758)+1)/2,"")</f>
        <v/>
      </c>
      <c r="AF758" s="27">
        <f>IF(ISNUMBER($S758),COUNTIFS($A$14:$A$1213,$A758,$S$14:$S$1213,"&gt;"&amp;$S758)+(COUNTIFS($A$14:$A$1213,$A758,$S$14:$S$1213,"="&amp;$S758)+1)/2,"")</f>
        <v/>
      </c>
      <c r="AG758" s="27">
        <f>IF(ISNUMBER($T758),COUNTIFS($A$14:$A$1213,$A758,$T$14:$T$1213,"&gt;"&amp;$T758)+(COUNTIFS($A$14:$A$1213,$A758,$T$14:$T$1213,"="&amp;$T758)+1)/2,"")</f>
        <v/>
      </c>
      <c r="AH758" s="27">
        <f>IF(COUNT($AC758:$AG758)&lt;2,"",IF(MAX($AC758:$AG758)=MIN($AC758:$AG758),0,1))</f>
        <v/>
      </c>
      <c r="AI758" s="27">
        <f>IF($A758="","",IF(COUNTIF($A$14:$A758,$A758)=1,COUNTIF($AI$13:AI757,"&gt;0")+1,""))</f>
        <v/>
      </c>
      <c r="AO758" s="27">
        <f>IF($A758="","",IF(AND(COUNTIFS($A$14:$A$1213,$A758,$F$14:$F$1213,"&gt;=0")=2,IFERROR(INDEX($M$14:$M$313,MATCH($A758,$H$14:$H$313,0)),"Yes")&lt;&gt;"Yes"),1,0))</f>
        <v/>
      </c>
    </row>
    <row r="759">
      <c r="A759" s="19" t="n"/>
      <c r="B759" s="20" t="n"/>
      <c r="C759" s="21">
        <f>IFERROR(AVERAGE(P759:T759),"")</f>
        <v/>
      </c>
      <c r="D759" s="29" t="n"/>
      <c r="E759" s="29" t="n"/>
      <c r="F759" s="30">
        <f>IF(AND(ISNUMBER($D759),ISNUMBER($E759),$E759&gt;0,$D759&lt;=$E759),$D759/$E759,"")</f>
        <v/>
      </c>
      <c r="P759" s="26" t="n"/>
      <c r="Q759" s="26" t="n"/>
      <c r="R759" s="26" t="n"/>
      <c r="S759" s="26" t="n"/>
      <c r="T759" s="26" t="n"/>
      <c r="V759" s="27">
        <f>IF(ISNUMBER($C759),COUNTIFS($A$14:$A$1213,$A759,$C$14:$C$1213,"&gt;"&amp;$C759)+(COUNTIFS($A$14:$A$1213,$A759,$C$14:$C$1213,"="&amp;$C759)+1)/2,"")</f>
        <v/>
      </c>
      <c r="W759" s="27">
        <f>IF(ISNUMBER($F759),COUNTIFS($A$14:$A$1213,$A759,$F$14:$F$1213,"&gt;"&amp;$F759)+(COUNTIFS($A$14:$A$1213,$A759,$F$14:$F$1213,"="&amp;$F759)+1)/2,"")</f>
        <v/>
      </c>
      <c r="X759" s="27">
        <f>IF(OR(NOT(ISNUMBER($V759)),$AO759=1),"",$V759-(COUNTIFS($A$14:$A$1213,$A759,$C$14:$C$1213,"&gt;=0")+1)/2)</f>
        <v/>
      </c>
      <c r="Y759" s="27">
        <f>IF(OR(NOT(ISNUMBER($W759)),$AO759=1),"",$W759-(COUNTIFS($A$14:$A$1213,$A759,$F$14:$F$1213,"&gt;=0")+1)/2)</f>
        <v/>
      </c>
      <c r="Z759" s="27">
        <f>IF(ISNUMBER($V759),$A759&amp;"|"&amp;$V759,"")</f>
        <v/>
      </c>
      <c r="AA759" s="27">
        <f>IF(ISNUMBER($W759),$A759&amp;"|"&amp;$W759,"")</f>
        <v/>
      </c>
      <c r="AB759" s="27">
        <f>IF(ISNUMBER($F759),$A759&amp;"|"&amp;$F759,"")</f>
        <v/>
      </c>
      <c r="AC759" s="27">
        <f>IF(ISNUMBER($P759),COUNTIFS($A$14:$A$1213,$A759,$P$14:$P$1213,"&gt;"&amp;$P759)+(COUNTIFS($A$14:$A$1213,$A759,$P$14:$P$1213,"="&amp;$P759)+1)/2,"")</f>
        <v/>
      </c>
      <c r="AD759" s="27">
        <f>IF(ISNUMBER($Q759),COUNTIFS($A$14:$A$1213,$A759,$Q$14:$Q$1213,"&gt;"&amp;$Q759)+(COUNTIFS($A$14:$A$1213,$A759,$Q$14:$Q$1213,"="&amp;$Q759)+1)/2,"")</f>
        <v/>
      </c>
      <c r="AE759" s="27">
        <f>IF(ISNUMBER($R759),COUNTIFS($A$14:$A$1213,$A759,$R$14:$R$1213,"&gt;"&amp;$R759)+(COUNTIFS($A$14:$A$1213,$A759,$R$14:$R$1213,"="&amp;$R759)+1)/2,"")</f>
        <v/>
      </c>
      <c r="AF759" s="27">
        <f>IF(ISNUMBER($S759),COUNTIFS($A$14:$A$1213,$A759,$S$14:$S$1213,"&gt;"&amp;$S759)+(COUNTIFS($A$14:$A$1213,$A759,$S$14:$S$1213,"="&amp;$S759)+1)/2,"")</f>
        <v/>
      </c>
      <c r="AG759" s="27">
        <f>IF(ISNUMBER($T759),COUNTIFS($A$14:$A$1213,$A759,$T$14:$T$1213,"&gt;"&amp;$T759)+(COUNTIFS($A$14:$A$1213,$A759,$T$14:$T$1213,"="&amp;$T759)+1)/2,"")</f>
        <v/>
      </c>
      <c r="AH759" s="27">
        <f>IF(COUNT($AC759:$AG759)&lt;2,"",IF(MAX($AC759:$AG759)=MIN($AC759:$AG759),0,1))</f>
        <v/>
      </c>
      <c r="AI759" s="27">
        <f>IF($A759="","",IF(COUNTIF($A$14:$A759,$A759)=1,COUNTIF($AI$13:AI758,"&gt;0")+1,""))</f>
        <v/>
      </c>
      <c r="AO759" s="27">
        <f>IF($A759="","",IF(AND(COUNTIFS($A$14:$A$1213,$A759,$F$14:$F$1213,"&gt;=0")=2,IFERROR(INDEX($M$14:$M$313,MATCH($A759,$H$14:$H$313,0)),"Yes")&lt;&gt;"Yes"),1,0))</f>
        <v/>
      </c>
    </row>
    <row r="760">
      <c r="A760" s="19" t="n"/>
      <c r="B760" s="20" t="n"/>
      <c r="C760" s="21">
        <f>IFERROR(AVERAGE(P760:T760),"")</f>
        <v/>
      </c>
      <c r="D760" s="29" t="n"/>
      <c r="E760" s="29" t="n"/>
      <c r="F760" s="30">
        <f>IF(AND(ISNUMBER($D760),ISNUMBER($E760),$E760&gt;0,$D760&lt;=$E760),$D760/$E760,"")</f>
        <v/>
      </c>
      <c r="P760" s="26" t="n"/>
      <c r="Q760" s="26" t="n"/>
      <c r="R760" s="26" t="n"/>
      <c r="S760" s="26" t="n"/>
      <c r="T760" s="26" t="n"/>
      <c r="V760" s="27">
        <f>IF(ISNUMBER($C760),COUNTIFS($A$14:$A$1213,$A760,$C$14:$C$1213,"&gt;"&amp;$C760)+(COUNTIFS($A$14:$A$1213,$A760,$C$14:$C$1213,"="&amp;$C760)+1)/2,"")</f>
        <v/>
      </c>
      <c r="W760" s="27">
        <f>IF(ISNUMBER($F760),COUNTIFS($A$14:$A$1213,$A760,$F$14:$F$1213,"&gt;"&amp;$F760)+(COUNTIFS($A$14:$A$1213,$A760,$F$14:$F$1213,"="&amp;$F760)+1)/2,"")</f>
        <v/>
      </c>
      <c r="X760" s="27">
        <f>IF(OR(NOT(ISNUMBER($V760)),$AO760=1),"",$V760-(COUNTIFS($A$14:$A$1213,$A760,$C$14:$C$1213,"&gt;=0")+1)/2)</f>
        <v/>
      </c>
      <c r="Y760" s="27">
        <f>IF(OR(NOT(ISNUMBER($W760)),$AO760=1),"",$W760-(COUNTIFS($A$14:$A$1213,$A760,$F$14:$F$1213,"&gt;=0")+1)/2)</f>
        <v/>
      </c>
      <c r="Z760" s="27">
        <f>IF(ISNUMBER($V760),$A760&amp;"|"&amp;$V760,"")</f>
        <v/>
      </c>
      <c r="AA760" s="27">
        <f>IF(ISNUMBER($W760),$A760&amp;"|"&amp;$W760,"")</f>
        <v/>
      </c>
      <c r="AB760" s="27">
        <f>IF(ISNUMBER($F760),$A760&amp;"|"&amp;$F760,"")</f>
        <v/>
      </c>
      <c r="AC760" s="27">
        <f>IF(ISNUMBER($P760),COUNTIFS($A$14:$A$1213,$A760,$P$14:$P$1213,"&gt;"&amp;$P760)+(COUNTIFS($A$14:$A$1213,$A760,$P$14:$P$1213,"="&amp;$P760)+1)/2,"")</f>
        <v/>
      </c>
      <c r="AD760" s="27">
        <f>IF(ISNUMBER($Q760),COUNTIFS($A$14:$A$1213,$A760,$Q$14:$Q$1213,"&gt;"&amp;$Q760)+(COUNTIFS($A$14:$A$1213,$A760,$Q$14:$Q$1213,"="&amp;$Q760)+1)/2,"")</f>
        <v/>
      </c>
      <c r="AE760" s="27">
        <f>IF(ISNUMBER($R760),COUNTIFS($A$14:$A$1213,$A760,$R$14:$R$1213,"&gt;"&amp;$R760)+(COUNTIFS($A$14:$A$1213,$A760,$R$14:$R$1213,"="&amp;$R760)+1)/2,"")</f>
        <v/>
      </c>
      <c r="AF760" s="27">
        <f>IF(ISNUMBER($S760),COUNTIFS($A$14:$A$1213,$A760,$S$14:$S$1213,"&gt;"&amp;$S760)+(COUNTIFS($A$14:$A$1213,$A760,$S$14:$S$1213,"="&amp;$S760)+1)/2,"")</f>
        <v/>
      </c>
      <c r="AG760" s="27">
        <f>IF(ISNUMBER($T760),COUNTIFS($A$14:$A$1213,$A760,$T$14:$T$1213,"&gt;"&amp;$T760)+(COUNTIFS($A$14:$A$1213,$A760,$T$14:$T$1213,"="&amp;$T760)+1)/2,"")</f>
        <v/>
      </c>
      <c r="AH760" s="27">
        <f>IF(COUNT($AC760:$AG760)&lt;2,"",IF(MAX($AC760:$AG760)=MIN($AC760:$AG760),0,1))</f>
        <v/>
      </c>
      <c r="AI760" s="27">
        <f>IF($A760="","",IF(COUNTIF($A$14:$A760,$A760)=1,COUNTIF($AI$13:AI759,"&gt;0")+1,""))</f>
        <v/>
      </c>
      <c r="AO760" s="27">
        <f>IF($A760="","",IF(AND(COUNTIFS($A$14:$A$1213,$A760,$F$14:$F$1213,"&gt;=0")=2,IFERROR(INDEX($M$14:$M$313,MATCH($A760,$H$14:$H$313,0)),"Yes")&lt;&gt;"Yes"),1,0))</f>
        <v/>
      </c>
    </row>
    <row r="761">
      <c r="A761" s="19" t="n"/>
      <c r="B761" s="20" t="n"/>
      <c r="C761" s="21">
        <f>IFERROR(AVERAGE(P761:T761),"")</f>
        <v/>
      </c>
      <c r="D761" s="29" t="n"/>
      <c r="E761" s="29" t="n"/>
      <c r="F761" s="30">
        <f>IF(AND(ISNUMBER($D761),ISNUMBER($E761),$E761&gt;0,$D761&lt;=$E761),$D761/$E761,"")</f>
        <v/>
      </c>
      <c r="P761" s="26" t="n"/>
      <c r="Q761" s="26" t="n"/>
      <c r="R761" s="26" t="n"/>
      <c r="S761" s="26" t="n"/>
      <c r="T761" s="26" t="n"/>
      <c r="V761" s="27">
        <f>IF(ISNUMBER($C761),COUNTIFS($A$14:$A$1213,$A761,$C$14:$C$1213,"&gt;"&amp;$C761)+(COUNTIFS($A$14:$A$1213,$A761,$C$14:$C$1213,"="&amp;$C761)+1)/2,"")</f>
        <v/>
      </c>
      <c r="W761" s="27">
        <f>IF(ISNUMBER($F761),COUNTIFS($A$14:$A$1213,$A761,$F$14:$F$1213,"&gt;"&amp;$F761)+(COUNTIFS($A$14:$A$1213,$A761,$F$14:$F$1213,"="&amp;$F761)+1)/2,"")</f>
        <v/>
      </c>
      <c r="X761" s="27">
        <f>IF(OR(NOT(ISNUMBER($V761)),$AO761=1),"",$V761-(COUNTIFS($A$14:$A$1213,$A761,$C$14:$C$1213,"&gt;=0")+1)/2)</f>
        <v/>
      </c>
      <c r="Y761" s="27">
        <f>IF(OR(NOT(ISNUMBER($W761)),$AO761=1),"",$W761-(COUNTIFS($A$14:$A$1213,$A761,$F$14:$F$1213,"&gt;=0")+1)/2)</f>
        <v/>
      </c>
      <c r="Z761" s="27">
        <f>IF(ISNUMBER($V761),$A761&amp;"|"&amp;$V761,"")</f>
        <v/>
      </c>
      <c r="AA761" s="27">
        <f>IF(ISNUMBER($W761),$A761&amp;"|"&amp;$W761,"")</f>
        <v/>
      </c>
      <c r="AB761" s="27">
        <f>IF(ISNUMBER($F761),$A761&amp;"|"&amp;$F761,"")</f>
        <v/>
      </c>
      <c r="AC761" s="27">
        <f>IF(ISNUMBER($P761),COUNTIFS($A$14:$A$1213,$A761,$P$14:$P$1213,"&gt;"&amp;$P761)+(COUNTIFS($A$14:$A$1213,$A761,$P$14:$P$1213,"="&amp;$P761)+1)/2,"")</f>
        <v/>
      </c>
      <c r="AD761" s="27">
        <f>IF(ISNUMBER($Q761),COUNTIFS($A$14:$A$1213,$A761,$Q$14:$Q$1213,"&gt;"&amp;$Q761)+(COUNTIFS($A$14:$A$1213,$A761,$Q$14:$Q$1213,"="&amp;$Q761)+1)/2,"")</f>
        <v/>
      </c>
      <c r="AE761" s="27">
        <f>IF(ISNUMBER($R761),COUNTIFS($A$14:$A$1213,$A761,$R$14:$R$1213,"&gt;"&amp;$R761)+(COUNTIFS($A$14:$A$1213,$A761,$R$14:$R$1213,"="&amp;$R761)+1)/2,"")</f>
        <v/>
      </c>
      <c r="AF761" s="27">
        <f>IF(ISNUMBER($S761),COUNTIFS($A$14:$A$1213,$A761,$S$14:$S$1213,"&gt;"&amp;$S761)+(COUNTIFS($A$14:$A$1213,$A761,$S$14:$S$1213,"="&amp;$S761)+1)/2,"")</f>
        <v/>
      </c>
      <c r="AG761" s="27">
        <f>IF(ISNUMBER($T761),COUNTIFS($A$14:$A$1213,$A761,$T$14:$T$1213,"&gt;"&amp;$T761)+(COUNTIFS($A$14:$A$1213,$A761,$T$14:$T$1213,"="&amp;$T761)+1)/2,"")</f>
        <v/>
      </c>
      <c r="AH761" s="27">
        <f>IF(COUNT($AC761:$AG761)&lt;2,"",IF(MAX($AC761:$AG761)=MIN($AC761:$AG761),0,1))</f>
        <v/>
      </c>
      <c r="AI761" s="27">
        <f>IF($A761="","",IF(COUNTIF($A$14:$A761,$A761)=1,COUNTIF($AI$13:AI760,"&gt;0")+1,""))</f>
        <v/>
      </c>
      <c r="AO761" s="27">
        <f>IF($A761="","",IF(AND(COUNTIFS($A$14:$A$1213,$A761,$F$14:$F$1213,"&gt;=0")=2,IFERROR(INDEX($M$14:$M$313,MATCH($A761,$H$14:$H$313,0)),"Yes")&lt;&gt;"Yes"),1,0))</f>
        <v/>
      </c>
    </row>
    <row r="762">
      <c r="A762" s="19" t="n"/>
      <c r="B762" s="20" t="n"/>
      <c r="C762" s="21">
        <f>IFERROR(AVERAGE(P762:T762),"")</f>
        <v/>
      </c>
      <c r="D762" s="29" t="n"/>
      <c r="E762" s="29" t="n"/>
      <c r="F762" s="30">
        <f>IF(AND(ISNUMBER($D762),ISNUMBER($E762),$E762&gt;0,$D762&lt;=$E762),$D762/$E762,"")</f>
        <v/>
      </c>
      <c r="P762" s="26" t="n"/>
      <c r="Q762" s="26" t="n"/>
      <c r="R762" s="26" t="n"/>
      <c r="S762" s="26" t="n"/>
      <c r="T762" s="26" t="n"/>
      <c r="V762" s="27">
        <f>IF(ISNUMBER($C762),COUNTIFS($A$14:$A$1213,$A762,$C$14:$C$1213,"&gt;"&amp;$C762)+(COUNTIFS($A$14:$A$1213,$A762,$C$14:$C$1213,"="&amp;$C762)+1)/2,"")</f>
        <v/>
      </c>
      <c r="W762" s="27">
        <f>IF(ISNUMBER($F762),COUNTIFS($A$14:$A$1213,$A762,$F$14:$F$1213,"&gt;"&amp;$F762)+(COUNTIFS($A$14:$A$1213,$A762,$F$14:$F$1213,"="&amp;$F762)+1)/2,"")</f>
        <v/>
      </c>
      <c r="X762" s="27">
        <f>IF(OR(NOT(ISNUMBER($V762)),$AO762=1),"",$V762-(COUNTIFS($A$14:$A$1213,$A762,$C$14:$C$1213,"&gt;=0")+1)/2)</f>
        <v/>
      </c>
      <c r="Y762" s="27">
        <f>IF(OR(NOT(ISNUMBER($W762)),$AO762=1),"",$W762-(COUNTIFS($A$14:$A$1213,$A762,$F$14:$F$1213,"&gt;=0")+1)/2)</f>
        <v/>
      </c>
      <c r="Z762" s="27">
        <f>IF(ISNUMBER($V762),$A762&amp;"|"&amp;$V762,"")</f>
        <v/>
      </c>
      <c r="AA762" s="27">
        <f>IF(ISNUMBER($W762),$A762&amp;"|"&amp;$W762,"")</f>
        <v/>
      </c>
      <c r="AB762" s="27">
        <f>IF(ISNUMBER($F762),$A762&amp;"|"&amp;$F762,"")</f>
        <v/>
      </c>
      <c r="AC762" s="27">
        <f>IF(ISNUMBER($P762),COUNTIFS($A$14:$A$1213,$A762,$P$14:$P$1213,"&gt;"&amp;$P762)+(COUNTIFS($A$14:$A$1213,$A762,$P$14:$P$1213,"="&amp;$P762)+1)/2,"")</f>
        <v/>
      </c>
      <c r="AD762" s="27">
        <f>IF(ISNUMBER($Q762),COUNTIFS($A$14:$A$1213,$A762,$Q$14:$Q$1213,"&gt;"&amp;$Q762)+(COUNTIFS($A$14:$A$1213,$A762,$Q$14:$Q$1213,"="&amp;$Q762)+1)/2,"")</f>
        <v/>
      </c>
      <c r="AE762" s="27">
        <f>IF(ISNUMBER($R762),COUNTIFS($A$14:$A$1213,$A762,$R$14:$R$1213,"&gt;"&amp;$R762)+(COUNTIFS($A$14:$A$1213,$A762,$R$14:$R$1213,"="&amp;$R762)+1)/2,"")</f>
        <v/>
      </c>
      <c r="AF762" s="27">
        <f>IF(ISNUMBER($S762),COUNTIFS($A$14:$A$1213,$A762,$S$14:$S$1213,"&gt;"&amp;$S762)+(COUNTIFS($A$14:$A$1213,$A762,$S$14:$S$1213,"="&amp;$S762)+1)/2,"")</f>
        <v/>
      </c>
      <c r="AG762" s="27">
        <f>IF(ISNUMBER($T762),COUNTIFS($A$14:$A$1213,$A762,$T$14:$T$1213,"&gt;"&amp;$T762)+(COUNTIFS($A$14:$A$1213,$A762,$T$14:$T$1213,"="&amp;$T762)+1)/2,"")</f>
        <v/>
      </c>
      <c r="AH762" s="27">
        <f>IF(COUNT($AC762:$AG762)&lt;2,"",IF(MAX($AC762:$AG762)=MIN($AC762:$AG762),0,1))</f>
        <v/>
      </c>
      <c r="AI762" s="27">
        <f>IF($A762="","",IF(COUNTIF($A$14:$A762,$A762)=1,COUNTIF($AI$13:AI761,"&gt;0")+1,""))</f>
        <v/>
      </c>
      <c r="AO762" s="27">
        <f>IF($A762="","",IF(AND(COUNTIFS($A$14:$A$1213,$A762,$F$14:$F$1213,"&gt;=0")=2,IFERROR(INDEX($M$14:$M$313,MATCH($A762,$H$14:$H$313,0)),"Yes")&lt;&gt;"Yes"),1,0))</f>
        <v/>
      </c>
    </row>
    <row r="763">
      <c r="A763" s="19" t="n"/>
      <c r="B763" s="20" t="n"/>
      <c r="C763" s="21">
        <f>IFERROR(AVERAGE(P763:T763),"")</f>
        <v/>
      </c>
      <c r="D763" s="29" t="n"/>
      <c r="E763" s="29" t="n"/>
      <c r="F763" s="30">
        <f>IF(AND(ISNUMBER($D763),ISNUMBER($E763),$E763&gt;0,$D763&lt;=$E763),$D763/$E763,"")</f>
        <v/>
      </c>
      <c r="P763" s="26" t="n"/>
      <c r="Q763" s="26" t="n"/>
      <c r="R763" s="26" t="n"/>
      <c r="S763" s="26" t="n"/>
      <c r="T763" s="26" t="n"/>
      <c r="V763" s="27">
        <f>IF(ISNUMBER($C763),COUNTIFS($A$14:$A$1213,$A763,$C$14:$C$1213,"&gt;"&amp;$C763)+(COUNTIFS($A$14:$A$1213,$A763,$C$14:$C$1213,"="&amp;$C763)+1)/2,"")</f>
        <v/>
      </c>
      <c r="W763" s="27">
        <f>IF(ISNUMBER($F763),COUNTIFS($A$14:$A$1213,$A763,$F$14:$F$1213,"&gt;"&amp;$F763)+(COUNTIFS($A$14:$A$1213,$A763,$F$14:$F$1213,"="&amp;$F763)+1)/2,"")</f>
        <v/>
      </c>
      <c r="X763" s="27">
        <f>IF(OR(NOT(ISNUMBER($V763)),$AO763=1),"",$V763-(COUNTIFS($A$14:$A$1213,$A763,$C$14:$C$1213,"&gt;=0")+1)/2)</f>
        <v/>
      </c>
      <c r="Y763" s="27">
        <f>IF(OR(NOT(ISNUMBER($W763)),$AO763=1),"",$W763-(COUNTIFS($A$14:$A$1213,$A763,$F$14:$F$1213,"&gt;=0")+1)/2)</f>
        <v/>
      </c>
      <c r="Z763" s="27">
        <f>IF(ISNUMBER($V763),$A763&amp;"|"&amp;$V763,"")</f>
        <v/>
      </c>
      <c r="AA763" s="27">
        <f>IF(ISNUMBER($W763),$A763&amp;"|"&amp;$W763,"")</f>
        <v/>
      </c>
      <c r="AB763" s="27">
        <f>IF(ISNUMBER($F763),$A763&amp;"|"&amp;$F763,"")</f>
        <v/>
      </c>
      <c r="AC763" s="27">
        <f>IF(ISNUMBER($P763),COUNTIFS($A$14:$A$1213,$A763,$P$14:$P$1213,"&gt;"&amp;$P763)+(COUNTIFS($A$14:$A$1213,$A763,$P$14:$P$1213,"="&amp;$P763)+1)/2,"")</f>
        <v/>
      </c>
      <c r="AD763" s="27">
        <f>IF(ISNUMBER($Q763),COUNTIFS($A$14:$A$1213,$A763,$Q$14:$Q$1213,"&gt;"&amp;$Q763)+(COUNTIFS($A$14:$A$1213,$A763,$Q$14:$Q$1213,"="&amp;$Q763)+1)/2,"")</f>
        <v/>
      </c>
      <c r="AE763" s="27">
        <f>IF(ISNUMBER($R763),COUNTIFS($A$14:$A$1213,$A763,$R$14:$R$1213,"&gt;"&amp;$R763)+(COUNTIFS($A$14:$A$1213,$A763,$R$14:$R$1213,"="&amp;$R763)+1)/2,"")</f>
        <v/>
      </c>
      <c r="AF763" s="27">
        <f>IF(ISNUMBER($S763),COUNTIFS($A$14:$A$1213,$A763,$S$14:$S$1213,"&gt;"&amp;$S763)+(COUNTIFS($A$14:$A$1213,$A763,$S$14:$S$1213,"="&amp;$S763)+1)/2,"")</f>
        <v/>
      </c>
      <c r="AG763" s="27">
        <f>IF(ISNUMBER($T763),COUNTIFS($A$14:$A$1213,$A763,$T$14:$T$1213,"&gt;"&amp;$T763)+(COUNTIFS($A$14:$A$1213,$A763,$T$14:$T$1213,"="&amp;$T763)+1)/2,"")</f>
        <v/>
      </c>
      <c r="AH763" s="27">
        <f>IF(COUNT($AC763:$AG763)&lt;2,"",IF(MAX($AC763:$AG763)=MIN($AC763:$AG763),0,1))</f>
        <v/>
      </c>
      <c r="AI763" s="27">
        <f>IF($A763="","",IF(COUNTIF($A$14:$A763,$A763)=1,COUNTIF($AI$13:AI762,"&gt;0")+1,""))</f>
        <v/>
      </c>
      <c r="AO763" s="27">
        <f>IF($A763="","",IF(AND(COUNTIFS($A$14:$A$1213,$A763,$F$14:$F$1213,"&gt;=0")=2,IFERROR(INDEX($M$14:$M$313,MATCH($A763,$H$14:$H$313,0)),"Yes")&lt;&gt;"Yes"),1,0))</f>
        <v/>
      </c>
    </row>
    <row r="764">
      <c r="A764" s="19" t="n"/>
      <c r="B764" s="20" t="n"/>
      <c r="C764" s="21">
        <f>IFERROR(AVERAGE(P764:T764),"")</f>
        <v/>
      </c>
      <c r="D764" s="29" t="n"/>
      <c r="E764" s="29" t="n"/>
      <c r="F764" s="30">
        <f>IF(AND(ISNUMBER($D764),ISNUMBER($E764),$E764&gt;0,$D764&lt;=$E764),$D764/$E764,"")</f>
        <v/>
      </c>
      <c r="P764" s="26" t="n"/>
      <c r="Q764" s="26" t="n"/>
      <c r="R764" s="26" t="n"/>
      <c r="S764" s="26" t="n"/>
      <c r="T764" s="26" t="n"/>
      <c r="V764" s="27">
        <f>IF(ISNUMBER($C764),COUNTIFS($A$14:$A$1213,$A764,$C$14:$C$1213,"&gt;"&amp;$C764)+(COUNTIFS($A$14:$A$1213,$A764,$C$14:$C$1213,"="&amp;$C764)+1)/2,"")</f>
        <v/>
      </c>
      <c r="W764" s="27">
        <f>IF(ISNUMBER($F764),COUNTIFS($A$14:$A$1213,$A764,$F$14:$F$1213,"&gt;"&amp;$F764)+(COUNTIFS($A$14:$A$1213,$A764,$F$14:$F$1213,"="&amp;$F764)+1)/2,"")</f>
        <v/>
      </c>
      <c r="X764" s="27">
        <f>IF(OR(NOT(ISNUMBER($V764)),$AO764=1),"",$V764-(COUNTIFS($A$14:$A$1213,$A764,$C$14:$C$1213,"&gt;=0")+1)/2)</f>
        <v/>
      </c>
      <c r="Y764" s="27">
        <f>IF(OR(NOT(ISNUMBER($W764)),$AO764=1),"",$W764-(COUNTIFS($A$14:$A$1213,$A764,$F$14:$F$1213,"&gt;=0")+1)/2)</f>
        <v/>
      </c>
      <c r="Z764" s="27">
        <f>IF(ISNUMBER($V764),$A764&amp;"|"&amp;$V764,"")</f>
        <v/>
      </c>
      <c r="AA764" s="27">
        <f>IF(ISNUMBER($W764),$A764&amp;"|"&amp;$W764,"")</f>
        <v/>
      </c>
      <c r="AB764" s="27">
        <f>IF(ISNUMBER($F764),$A764&amp;"|"&amp;$F764,"")</f>
        <v/>
      </c>
      <c r="AC764" s="27">
        <f>IF(ISNUMBER($P764),COUNTIFS($A$14:$A$1213,$A764,$P$14:$P$1213,"&gt;"&amp;$P764)+(COUNTIFS($A$14:$A$1213,$A764,$P$14:$P$1213,"="&amp;$P764)+1)/2,"")</f>
        <v/>
      </c>
      <c r="AD764" s="27">
        <f>IF(ISNUMBER($Q764),COUNTIFS($A$14:$A$1213,$A764,$Q$14:$Q$1213,"&gt;"&amp;$Q764)+(COUNTIFS($A$14:$A$1213,$A764,$Q$14:$Q$1213,"="&amp;$Q764)+1)/2,"")</f>
        <v/>
      </c>
      <c r="AE764" s="27">
        <f>IF(ISNUMBER($R764),COUNTIFS($A$14:$A$1213,$A764,$R$14:$R$1213,"&gt;"&amp;$R764)+(COUNTIFS($A$14:$A$1213,$A764,$R$14:$R$1213,"="&amp;$R764)+1)/2,"")</f>
        <v/>
      </c>
      <c r="AF764" s="27">
        <f>IF(ISNUMBER($S764),COUNTIFS($A$14:$A$1213,$A764,$S$14:$S$1213,"&gt;"&amp;$S764)+(COUNTIFS($A$14:$A$1213,$A764,$S$14:$S$1213,"="&amp;$S764)+1)/2,"")</f>
        <v/>
      </c>
      <c r="AG764" s="27">
        <f>IF(ISNUMBER($T764),COUNTIFS($A$14:$A$1213,$A764,$T$14:$T$1213,"&gt;"&amp;$T764)+(COUNTIFS($A$14:$A$1213,$A764,$T$14:$T$1213,"="&amp;$T764)+1)/2,"")</f>
        <v/>
      </c>
      <c r="AH764" s="27">
        <f>IF(COUNT($AC764:$AG764)&lt;2,"",IF(MAX($AC764:$AG764)=MIN($AC764:$AG764),0,1))</f>
        <v/>
      </c>
      <c r="AI764" s="27">
        <f>IF($A764="","",IF(COUNTIF($A$14:$A764,$A764)=1,COUNTIF($AI$13:AI763,"&gt;0")+1,""))</f>
        <v/>
      </c>
      <c r="AO764" s="27">
        <f>IF($A764="","",IF(AND(COUNTIFS($A$14:$A$1213,$A764,$F$14:$F$1213,"&gt;=0")=2,IFERROR(INDEX($M$14:$M$313,MATCH($A764,$H$14:$H$313,0)),"Yes")&lt;&gt;"Yes"),1,0))</f>
        <v/>
      </c>
    </row>
    <row r="765">
      <c r="A765" s="19" t="n"/>
      <c r="B765" s="20" t="n"/>
      <c r="C765" s="21">
        <f>IFERROR(AVERAGE(P765:T765),"")</f>
        <v/>
      </c>
      <c r="D765" s="29" t="n"/>
      <c r="E765" s="29" t="n"/>
      <c r="F765" s="30">
        <f>IF(AND(ISNUMBER($D765),ISNUMBER($E765),$E765&gt;0,$D765&lt;=$E765),$D765/$E765,"")</f>
        <v/>
      </c>
      <c r="P765" s="26" t="n"/>
      <c r="Q765" s="26" t="n"/>
      <c r="R765" s="26" t="n"/>
      <c r="S765" s="26" t="n"/>
      <c r="T765" s="26" t="n"/>
      <c r="V765" s="27">
        <f>IF(ISNUMBER($C765),COUNTIFS($A$14:$A$1213,$A765,$C$14:$C$1213,"&gt;"&amp;$C765)+(COUNTIFS($A$14:$A$1213,$A765,$C$14:$C$1213,"="&amp;$C765)+1)/2,"")</f>
        <v/>
      </c>
      <c r="W765" s="27">
        <f>IF(ISNUMBER($F765),COUNTIFS($A$14:$A$1213,$A765,$F$14:$F$1213,"&gt;"&amp;$F765)+(COUNTIFS($A$14:$A$1213,$A765,$F$14:$F$1213,"="&amp;$F765)+1)/2,"")</f>
        <v/>
      </c>
      <c r="X765" s="27">
        <f>IF(OR(NOT(ISNUMBER($V765)),$AO765=1),"",$V765-(COUNTIFS($A$14:$A$1213,$A765,$C$14:$C$1213,"&gt;=0")+1)/2)</f>
        <v/>
      </c>
      <c r="Y765" s="27">
        <f>IF(OR(NOT(ISNUMBER($W765)),$AO765=1),"",$W765-(COUNTIFS($A$14:$A$1213,$A765,$F$14:$F$1213,"&gt;=0")+1)/2)</f>
        <v/>
      </c>
      <c r="Z765" s="27">
        <f>IF(ISNUMBER($V765),$A765&amp;"|"&amp;$V765,"")</f>
        <v/>
      </c>
      <c r="AA765" s="27">
        <f>IF(ISNUMBER($W765),$A765&amp;"|"&amp;$W765,"")</f>
        <v/>
      </c>
      <c r="AB765" s="27">
        <f>IF(ISNUMBER($F765),$A765&amp;"|"&amp;$F765,"")</f>
        <v/>
      </c>
      <c r="AC765" s="27">
        <f>IF(ISNUMBER($P765),COUNTIFS($A$14:$A$1213,$A765,$P$14:$P$1213,"&gt;"&amp;$P765)+(COUNTIFS($A$14:$A$1213,$A765,$P$14:$P$1213,"="&amp;$P765)+1)/2,"")</f>
        <v/>
      </c>
      <c r="AD765" s="27">
        <f>IF(ISNUMBER($Q765),COUNTIFS($A$14:$A$1213,$A765,$Q$14:$Q$1213,"&gt;"&amp;$Q765)+(COUNTIFS($A$14:$A$1213,$A765,$Q$14:$Q$1213,"="&amp;$Q765)+1)/2,"")</f>
        <v/>
      </c>
      <c r="AE765" s="27">
        <f>IF(ISNUMBER($R765),COUNTIFS($A$14:$A$1213,$A765,$R$14:$R$1213,"&gt;"&amp;$R765)+(COUNTIFS($A$14:$A$1213,$A765,$R$14:$R$1213,"="&amp;$R765)+1)/2,"")</f>
        <v/>
      </c>
      <c r="AF765" s="27">
        <f>IF(ISNUMBER($S765),COUNTIFS($A$14:$A$1213,$A765,$S$14:$S$1213,"&gt;"&amp;$S765)+(COUNTIFS($A$14:$A$1213,$A765,$S$14:$S$1213,"="&amp;$S765)+1)/2,"")</f>
        <v/>
      </c>
      <c r="AG765" s="27">
        <f>IF(ISNUMBER($T765),COUNTIFS($A$14:$A$1213,$A765,$T$14:$T$1213,"&gt;"&amp;$T765)+(COUNTIFS($A$14:$A$1213,$A765,$T$14:$T$1213,"="&amp;$T765)+1)/2,"")</f>
        <v/>
      </c>
      <c r="AH765" s="27">
        <f>IF(COUNT($AC765:$AG765)&lt;2,"",IF(MAX($AC765:$AG765)=MIN($AC765:$AG765),0,1))</f>
        <v/>
      </c>
      <c r="AI765" s="27">
        <f>IF($A765="","",IF(COUNTIF($A$14:$A765,$A765)=1,COUNTIF($AI$13:AI764,"&gt;0")+1,""))</f>
        <v/>
      </c>
      <c r="AO765" s="27">
        <f>IF($A765="","",IF(AND(COUNTIFS($A$14:$A$1213,$A765,$F$14:$F$1213,"&gt;=0")=2,IFERROR(INDEX($M$14:$M$313,MATCH($A765,$H$14:$H$313,0)),"Yes")&lt;&gt;"Yes"),1,0))</f>
        <v/>
      </c>
    </row>
    <row r="766">
      <c r="A766" s="19" t="n"/>
      <c r="B766" s="20" t="n"/>
      <c r="C766" s="21">
        <f>IFERROR(AVERAGE(P766:T766),"")</f>
        <v/>
      </c>
      <c r="D766" s="29" t="n"/>
      <c r="E766" s="29" t="n"/>
      <c r="F766" s="30">
        <f>IF(AND(ISNUMBER($D766),ISNUMBER($E766),$E766&gt;0,$D766&lt;=$E766),$D766/$E766,"")</f>
        <v/>
      </c>
      <c r="P766" s="26" t="n"/>
      <c r="Q766" s="26" t="n"/>
      <c r="R766" s="26" t="n"/>
      <c r="S766" s="26" t="n"/>
      <c r="T766" s="26" t="n"/>
      <c r="V766" s="27">
        <f>IF(ISNUMBER($C766),COUNTIFS($A$14:$A$1213,$A766,$C$14:$C$1213,"&gt;"&amp;$C766)+(COUNTIFS($A$14:$A$1213,$A766,$C$14:$C$1213,"="&amp;$C766)+1)/2,"")</f>
        <v/>
      </c>
      <c r="W766" s="27">
        <f>IF(ISNUMBER($F766),COUNTIFS($A$14:$A$1213,$A766,$F$14:$F$1213,"&gt;"&amp;$F766)+(COUNTIFS($A$14:$A$1213,$A766,$F$14:$F$1213,"="&amp;$F766)+1)/2,"")</f>
        <v/>
      </c>
      <c r="X766" s="27">
        <f>IF(OR(NOT(ISNUMBER($V766)),$AO766=1),"",$V766-(COUNTIFS($A$14:$A$1213,$A766,$C$14:$C$1213,"&gt;=0")+1)/2)</f>
        <v/>
      </c>
      <c r="Y766" s="27">
        <f>IF(OR(NOT(ISNUMBER($W766)),$AO766=1),"",$W766-(COUNTIFS($A$14:$A$1213,$A766,$F$14:$F$1213,"&gt;=0")+1)/2)</f>
        <v/>
      </c>
      <c r="Z766" s="27">
        <f>IF(ISNUMBER($V766),$A766&amp;"|"&amp;$V766,"")</f>
        <v/>
      </c>
      <c r="AA766" s="27">
        <f>IF(ISNUMBER($W766),$A766&amp;"|"&amp;$W766,"")</f>
        <v/>
      </c>
      <c r="AB766" s="27">
        <f>IF(ISNUMBER($F766),$A766&amp;"|"&amp;$F766,"")</f>
        <v/>
      </c>
      <c r="AC766" s="27">
        <f>IF(ISNUMBER($P766),COUNTIFS($A$14:$A$1213,$A766,$P$14:$P$1213,"&gt;"&amp;$P766)+(COUNTIFS($A$14:$A$1213,$A766,$P$14:$P$1213,"="&amp;$P766)+1)/2,"")</f>
        <v/>
      </c>
      <c r="AD766" s="27">
        <f>IF(ISNUMBER($Q766),COUNTIFS($A$14:$A$1213,$A766,$Q$14:$Q$1213,"&gt;"&amp;$Q766)+(COUNTIFS($A$14:$A$1213,$A766,$Q$14:$Q$1213,"="&amp;$Q766)+1)/2,"")</f>
        <v/>
      </c>
      <c r="AE766" s="27">
        <f>IF(ISNUMBER($R766),COUNTIFS($A$14:$A$1213,$A766,$R$14:$R$1213,"&gt;"&amp;$R766)+(COUNTIFS($A$14:$A$1213,$A766,$R$14:$R$1213,"="&amp;$R766)+1)/2,"")</f>
        <v/>
      </c>
      <c r="AF766" s="27">
        <f>IF(ISNUMBER($S766),COUNTIFS($A$14:$A$1213,$A766,$S$14:$S$1213,"&gt;"&amp;$S766)+(COUNTIFS($A$14:$A$1213,$A766,$S$14:$S$1213,"="&amp;$S766)+1)/2,"")</f>
        <v/>
      </c>
      <c r="AG766" s="27">
        <f>IF(ISNUMBER($T766),COUNTIFS($A$14:$A$1213,$A766,$T$14:$T$1213,"&gt;"&amp;$T766)+(COUNTIFS($A$14:$A$1213,$A766,$T$14:$T$1213,"="&amp;$T766)+1)/2,"")</f>
        <v/>
      </c>
      <c r="AH766" s="27">
        <f>IF(COUNT($AC766:$AG766)&lt;2,"",IF(MAX($AC766:$AG766)=MIN($AC766:$AG766),0,1))</f>
        <v/>
      </c>
      <c r="AI766" s="27">
        <f>IF($A766="","",IF(COUNTIF($A$14:$A766,$A766)=1,COUNTIF($AI$13:AI765,"&gt;0")+1,""))</f>
        <v/>
      </c>
      <c r="AO766" s="27">
        <f>IF($A766="","",IF(AND(COUNTIFS($A$14:$A$1213,$A766,$F$14:$F$1213,"&gt;=0")=2,IFERROR(INDEX($M$14:$M$313,MATCH($A766,$H$14:$H$313,0)),"Yes")&lt;&gt;"Yes"),1,0))</f>
        <v/>
      </c>
    </row>
    <row r="767">
      <c r="A767" s="19" t="n"/>
      <c r="B767" s="20" t="n"/>
      <c r="C767" s="21">
        <f>IFERROR(AVERAGE(P767:T767),"")</f>
        <v/>
      </c>
      <c r="D767" s="29" t="n"/>
      <c r="E767" s="29" t="n"/>
      <c r="F767" s="30">
        <f>IF(AND(ISNUMBER($D767),ISNUMBER($E767),$E767&gt;0,$D767&lt;=$E767),$D767/$E767,"")</f>
        <v/>
      </c>
      <c r="P767" s="26" t="n"/>
      <c r="Q767" s="26" t="n"/>
      <c r="R767" s="26" t="n"/>
      <c r="S767" s="26" t="n"/>
      <c r="T767" s="26" t="n"/>
      <c r="V767" s="27">
        <f>IF(ISNUMBER($C767),COUNTIFS($A$14:$A$1213,$A767,$C$14:$C$1213,"&gt;"&amp;$C767)+(COUNTIFS($A$14:$A$1213,$A767,$C$14:$C$1213,"="&amp;$C767)+1)/2,"")</f>
        <v/>
      </c>
      <c r="W767" s="27">
        <f>IF(ISNUMBER($F767),COUNTIFS($A$14:$A$1213,$A767,$F$14:$F$1213,"&gt;"&amp;$F767)+(COUNTIFS($A$14:$A$1213,$A767,$F$14:$F$1213,"="&amp;$F767)+1)/2,"")</f>
        <v/>
      </c>
      <c r="X767" s="27">
        <f>IF(OR(NOT(ISNUMBER($V767)),$AO767=1),"",$V767-(COUNTIFS($A$14:$A$1213,$A767,$C$14:$C$1213,"&gt;=0")+1)/2)</f>
        <v/>
      </c>
      <c r="Y767" s="27">
        <f>IF(OR(NOT(ISNUMBER($W767)),$AO767=1),"",$W767-(COUNTIFS($A$14:$A$1213,$A767,$F$14:$F$1213,"&gt;=0")+1)/2)</f>
        <v/>
      </c>
      <c r="Z767" s="27">
        <f>IF(ISNUMBER($V767),$A767&amp;"|"&amp;$V767,"")</f>
        <v/>
      </c>
      <c r="AA767" s="27">
        <f>IF(ISNUMBER($W767),$A767&amp;"|"&amp;$W767,"")</f>
        <v/>
      </c>
      <c r="AB767" s="27">
        <f>IF(ISNUMBER($F767),$A767&amp;"|"&amp;$F767,"")</f>
        <v/>
      </c>
      <c r="AC767" s="27">
        <f>IF(ISNUMBER($P767),COUNTIFS($A$14:$A$1213,$A767,$P$14:$P$1213,"&gt;"&amp;$P767)+(COUNTIFS($A$14:$A$1213,$A767,$P$14:$P$1213,"="&amp;$P767)+1)/2,"")</f>
        <v/>
      </c>
      <c r="AD767" s="27">
        <f>IF(ISNUMBER($Q767),COUNTIFS($A$14:$A$1213,$A767,$Q$14:$Q$1213,"&gt;"&amp;$Q767)+(COUNTIFS($A$14:$A$1213,$A767,$Q$14:$Q$1213,"="&amp;$Q767)+1)/2,"")</f>
        <v/>
      </c>
      <c r="AE767" s="27">
        <f>IF(ISNUMBER($R767),COUNTIFS($A$14:$A$1213,$A767,$R$14:$R$1213,"&gt;"&amp;$R767)+(COUNTIFS($A$14:$A$1213,$A767,$R$14:$R$1213,"="&amp;$R767)+1)/2,"")</f>
        <v/>
      </c>
      <c r="AF767" s="27">
        <f>IF(ISNUMBER($S767),COUNTIFS($A$14:$A$1213,$A767,$S$14:$S$1213,"&gt;"&amp;$S767)+(COUNTIFS($A$14:$A$1213,$A767,$S$14:$S$1213,"="&amp;$S767)+1)/2,"")</f>
        <v/>
      </c>
      <c r="AG767" s="27">
        <f>IF(ISNUMBER($T767),COUNTIFS($A$14:$A$1213,$A767,$T$14:$T$1213,"&gt;"&amp;$T767)+(COUNTIFS($A$14:$A$1213,$A767,$T$14:$T$1213,"="&amp;$T767)+1)/2,"")</f>
        <v/>
      </c>
      <c r="AH767" s="27">
        <f>IF(COUNT($AC767:$AG767)&lt;2,"",IF(MAX($AC767:$AG767)=MIN($AC767:$AG767),0,1))</f>
        <v/>
      </c>
      <c r="AI767" s="27">
        <f>IF($A767="","",IF(COUNTIF($A$14:$A767,$A767)=1,COUNTIF($AI$13:AI766,"&gt;0")+1,""))</f>
        <v/>
      </c>
      <c r="AO767" s="27">
        <f>IF($A767="","",IF(AND(COUNTIFS($A$14:$A$1213,$A767,$F$14:$F$1213,"&gt;=0")=2,IFERROR(INDEX($M$14:$M$313,MATCH($A767,$H$14:$H$313,0)),"Yes")&lt;&gt;"Yes"),1,0))</f>
        <v/>
      </c>
    </row>
    <row r="768">
      <c r="A768" s="19" t="n"/>
      <c r="B768" s="20" t="n"/>
      <c r="C768" s="21">
        <f>IFERROR(AVERAGE(P768:T768),"")</f>
        <v/>
      </c>
      <c r="D768" s="29" t="n"/>
      <c r="E768" s="29" t="n"/>
      <c r="F768" s="30">
        <f>IF(AND(ISNUMBER($D768),ISNUMBER($E768),$E768&gt;0,$D768&lt;=$E768),$D768/$E768,"")</f>
        <v/>
      </c>
      <c r="P768" s="26" t="n"/>
      <c r="Q768" s="26" t="n"/>
      <c r="R768" s="26" t="n"/>
      <c r="S768" s="26" t="n"/>
      <c r="T768" s="26" t="n"/>
      <c r="V768" s="27">
        <f>IF(ISNUMBER($C768),COUNTIFS($A$14:$A$1213,$A768,$C$14:$C$1213,"&gt;"&amp;$C768)+(COUNTIFS($A$14:$A$1213,$A768,$C$14:$C$1213,"="&amp;$C768)+1)/2,"")</f>
        <v/>
      </c>
      <c r="W768" s="27">
        <f>IF(ISNUMBER($F768),COUNTIFS($A$14:$A$1213,$A768,$F$14:$F$1213,"&gt;"&amp;$F768)+(COUNTIFS($A$14:$A$1213,$A768,$F$14:$F$1213,"="&amp;$F768)+1)/2,"")</f>
        <v/>
      </c>
      <c r="X768" s="27">
        <f>IF(OR(NOT(ISNUMBER($V768)),$AO768=1),"",$V768-(COUNTIFS($A$14:$A$1213,$A768,$C$14:$C$1213,"&gt;=0")+1)/2)</f>
        <v/>
      </c>
      <c r="Y768" s="27">
        <f>IF(OR(NOT(ISNUMBER($W768)),$AO768=1),"",$W768-(COUNTIFS($A$14:$A$1213,$A768,$F$14:$F$1213,"&gt;=0")+1)/2)</f>
        <v/>
      </c>
      <c r="Z768" s="27">
        <f>IF(ISNUMBER($V768),$A768&amp;"|"&amp;$V768,"")</f>
        <v/>
      </c>
      <c r="AA768" s="27">
        <f>IF(ISNUMBER($W768),$A768&amp;"|"&amp;$W768,"")</f>
        <v/>
      </c>
      <c r="AB768" s="27">
        <f>IF(ISNUMBER($F768),$A768&amp;"|"&amp;$F768,"")</f>
        <v/>
      </c>
      <c r="AC768" s="27">
        <f>IF(ISNUMBER($P768),COUNTIFS($A$14:$A$1213,$A768,$P$14:$P$1213,"&gt;"&amp;$P768)+(COUNTIFS($A$14:$A$1213,$A768,$P$14:$P$1213,"="&amp;$P768)+1)/2,"")</f>
        <v/>
      </c>
      <c r="AD768" s="27">
        <f>IF(ISNUMBER($Q768),COUNTIFS($A$14:$A$1213,$A768,$Q$14:$Q$1213,"&gt;"&amp;$Q768)+(COUNTIFS($A$14:$A$1213,$A768,$Q$14:$Q$1213,"="&amp;$Q768)+1)/2,"")</f>
        <v/>
      </c>
      <c r="AE768" s="27">
        <f>IF(ISNUMBER($R768),COUNTIFS($A$14:$A$1213,$A768,$R$14:$R$1213,"&gt;"&amp;$R768)+(COUNTIFS($A$14:$A$1213,$A768,$R$14:$R$1213,"="&amp;$R768)+1)/2,"")</f>
        <v/>
      </c>
      <c r="AF768" s="27">
        <f>IF(ISNUMBER($S768),COUNTIFS($A$14:$A$1213,$A768,$S$14:$S$1213,"&gt;"&amp;$S768)+(COUNTIFS($A$14:$A$1213,$A768,$S$14:$S$1213,"="&amp;$S768)+1)/2,"")</f>
        <v/>
      </c>
      <c r="AG768" s="27">
        <f>IF(ISNUMBER($T768),COUNTIFS($A$14:$A$1213,$A768,$T$14:$T$1213,"&gt;"&amp;$T768)+(COUNTIFS($A$14:$A$1213,$A768,$T$14:$T$1213,"="&amp;$T768)+1)/2,"")</f>
        <v/>
      </c>
      <c r="AH768" s="27">
        <f>IF(COUNT($AC768:$AG768)&lt;2,"",IF(MAX($AC768:$AG768)=MIN($AC768:$AG768),0,1))</f>
        <v/>
      </c>
      <c r="AI768" s="27">
        <f>IF($A768="","",IF(COUNTIF($A$14:$A768,$A768)=1,COUNTIF($AI$13:AI767,"&gt;0")+1,""))</f>
        <v/>
      </c>
      <c r="AO768" s="27">
        <f>IF($A768="","",IF(AND(COUNTIFS($A$14:$A$1213,$A768,$F$14:$F$1213,"&gt;=0")=2,IFERROR(INDEX($M$14:$M$313,MATCH($A768,$H$14:$H$313,0)),"Yes")&lt;&gt;"Yes"),1,0))</f>
        <v/>
      </c>
    </row>
    <row r="769">
      <c r="A769" s="19" t="n"/>
      <c r="B769" s="20" t="n"/>
      <c r="C769" s="21">
        <f>IFERROR(AVERAGE(P769:T769),"")</f>
        <v/>
      </c>
      <c r="D769" s="29" t="n"/>
      <c r="E769" s="29" t="n"/>
      <c r="F769" s="30">
        <f>IF(AND(ISNUMBER($D769),ISNUMBER($E769),$E769&gt;0,$D769&lt;=$E769),$D769/$E769,"")</f>
        <v/>
      </c>
      <c r="P769" s="26" t="n"/>
      <c r="Q769" s="26" t="n"/>
      <c r="R769" s="26" t="n"/>
      <c r="S769" s="26" t="n"/>
      <c r="T769" s="26" t="n"/>
      <c r="V769" s="27">
        <f>IF(ISNUMBER($C769),COUNTIFS($A$14:$A$1213,$A769,$C$14:$C$1213,"&gt;"&amp;$C769)+(COUNTIFS($A$14:$A$1213,$A769,$C$14:$C$1213,"="&amp;$C769)+1)/2,"")</f>
        <v/>
      </c>
      <c r="W769" s="27">
        <f>IF(ISNUMBER($F769),COUNTIFS($A$14:$A$1213,$A769,$F$14:$F$1213,"&gt;"&amp;$F769)+(COUNTIFS($A$14:$A$1213,$A769,$F$14:$F$1213,"="&amp;$F769)+1)/2,"")</f>
        <v/>
      </c>
      <c r="X769" s="27">
        <f>IF(OR(NOT(ISNUMBER($V769)),$AO769=1),"",$V769-(COUNTIFS($A$14:$A$1213,$A769,$C$14:$C$1213,"&gt;=0")+1)/2)</f>
        <v/>
      </c>
      <c r="Y769" s="27">
        <f>IF(OR(NOT(ISNUMBER($W769)),$AO769=1),"",$W769-(COUNTIFS($A$14:$A$1213,$A769,$F$14:$F$1213,"&gt;=0")+1)/2)</f>
        <v/>
      </c>
      <c r="Z769" s="27">
        <f>IF(ISNUMBER($V769),$A769&amp;"|"&amp;$V769,"")</f>
        <v/>
      </c>
      <c r="AA769" s="27">
        <f>IF(ISNUMBER($W769),$A769&amp;"|"&amp;$W769,"")</f>
        <v/>
      </c>
      <c r="AB769" s="27">
        <f>IF(ISNUMBER($F769),$A769&amp;"|"&amp;$F769,"")</f>
        <v/>
      </c>
      <c r="AC769" s="27">
        <f>IF(ISNUMBER($P769),COUNTIFS($A$14:$A$1213,$A769,$P$14:$P$1213,"&gt;"&amp;$P769)+(COUNTIFS($A$14:$A$1213,$A769,$P$14:$P$1213,"="&amp;$P769)+1)/2,"")</f>
        <v/>
      </c>
      <c r="AD769" s="27">
        <f>IF(ISNUMBER($Q769),COUNTIFS($A$14:$A$1213,$A769,$Q$14:$Q$1213,"&gt;"&amp;$Q769)+(COUNTIFS($A$14:$A$1213,$A769,$Q$14:$Q$1213,"="&amp;$Q769)+1)/2,"")</f>
        <v/>
      </c>
      <c r="AE769" s="27">
        <f>IF(ISNUMBER($R769),COUNTIFS($A$14:$A$1213,$A769,$R$14:$R$1213,"&gt;"&amp;$R769)+(COUNTIFS($A$14:$A$1213,$A769,$R$14:$R$1213,"="&amp;$R769)+1)/2,"")</f>
        <v/>
      </c>
      <c r="AF769" s="27">
        <f>IF(ISNUMBER($S769),COUNTIFS($A$14:$A$1213,$A769,$S$14:$S$1213,"&gt;"&amp;$S769)+(COUNTIFS($A$14:$A$1213,$A769,$S$14:$S$1213,"="&amp;$S769)+1)/2,"")</f>
        <v/>
      </c>
      <c r="AG769" s="27">
        <f>IF(ISNUMBER($T769),COUNTIFS($A$14:$A$1213,$A769,$T$14:$T$1213,"&gt;"&amp;$T769)+(COUNTIFS($A$14:$A$1213,$A769,$T$14:$T$1213,"="&amp;$T769)+1)/2,"")</f>
        <v/>
      </c>
      <c r="AH769" s="27">
        <f>IF(COUNT($AC769:$AG769)&lt;2,"",IF(MAX($AC769:$AG769)=MIN($AC769:$AG769),0,1))</f>
        <v/>
      </c>
      <c r="AI769" s="27">
        <f>IF($A769="","",IF(COUNTIF($A$14:$A769,$A769)=1,COUNTIF($AI$13:AI768,"&gt;0")+1,""))</f>
        <v/>
      </c>
      <c r="AO769" s="27">
        <f>IF($A769="","",IF(AND(COUNTIFS($A$14:$A$1213,$A769,$F$14:$F$1213,"&gt;=0")=2,IFERROR(INDEX($M$14:$M$313,MATCH($A769,$H$14:$H$313,0)),"Yes")&lt;&gt;"Yes"),1,0))</f>
        <v/>
      </c>
    </row>
    <row r="770">
      <c r="A770" s="19" t="n"/>
      <c r="B770" s="20" t="n"/>
      <c r="C770" s="21">
        <f>IFERROR(AVERAGE(P770:T770),"")</f>
        <v/>
      </c>
      <c r="D770" s="29" t="n"/>
      <c r="E770" s="29" t="n"/>
      <c r="F770" s="30">
        <f>IF(AND(ISNUMBER($D770),ISNUMBER($E770),$E770&gt;0,$D770&lt;=$E770),$D770/$E770,"")</f>
        <v/>
      </c>
      <c r="P770" s="26" t="n"/>
      <c r="Q770" s="26" t="n"/>
      <c r="R770" s="26" t="n"/>
      <c r="S770" s="26" t="n"/>
      <c r="T770" s="26" t="n"/>
      <c r="V770" s="27">
        <f>IF(ISNUMBER($C770),COUNTIFS($A$14:$A$1213,$A770,$C$14:$C$1213,"&gt;"&amp;$C770)+(COUNTIFS($A$14:$A$1213,$A770,$C$14:$C$1213,"="&amp;$C770)+1)/2,"")</f>
        <v/>
      </c>
      <c r="W770" s="27">
        <f>IF(ISNUMBER($F770),COUNTIFS($A$14:$A$1213,$A770,$F$14:$F$1213,"&gt;"&amp;$F770)+(COUNTIFS($A$14:$A$1213,$A770,$F$14:$F$1213,"="&amp;$F770)+1)/2,"")</f>
        <v/>
      </c>
      <c r="X770" s="27">
        <f>IF(OR(NOT(ISNUMBER($V770)),$AO770=1),"",$V770-(COUNTIFS($A$14:$A$1213,$A770,$C$14:$C$1213,"&gt;=0")+1)/2)</f>
        <v/>
      </c>
      <c r="Y770" s="27">
        <f>IF(OR(NOT(ISNUMBER($W770)),$AO770=1),"",$W770-(COUNTIFS($A$14:$A$1213,$A770,$F$14:$F$1213,"&gt;=0")+1)/2)</f>
        <v/>
      </c>
      <c r="Z770" s="27">
        <f>IF(ISNUMBER($V770),$A770&amp;"|"&amp;$V770,"")</f>
        <v/>
      </c>
      <c r="AA770" s="27">
        <f>IF(ISNUMBER($W770),$A770&amp;"|"&amp;$W770,"")</f>
        <v/>
      </c>
      <c r="AB770" s="27">
        <f>IF(ISNUMBER($F770),$A770&amp;"|"&amp;$F770,"")</f>
        <v/>
      </c>
      <c r="AC770" s="27">
        <f>IF(ISNUMBER($P770),COUNTIFS($A$14:$A$1213,$A770,$P$14:$P$1213,"&gt;"&amp;$P770)+(COUNTIFS($A$14:$A$1213,$A770,$P$14:$P$1213,"="&amp;$P770)+1)/2,"")</f>
        <v/>
      </c>
      <c r="AD770" s="27">
        <f>IF(ISNUMBER($Q770),COUNTIFS($A$14:$A$1213,$A770,$Q$14:$Q$1213,"&gt;"&amp;$Q770)+(COUNTIFS($A$14:$A$1213,$A770,$Q$14:$Q$1213,"="&amp;$Q770)+1)/2,"")</f>
        <v/>
      </c>
      <c r="AE770" s="27">
        <f>IF(ISNUMBER($R770),COUNTIFS($A$14:$A$1213,$A770,$R$14:$R$1213,"&gt;"&amp;$R770)+(COUNTIFS($A$14:$A$1213,$A770,$R$14:$R$1213,"="&amp;$R770)+1)/2,"")</f>
        <v/>
      </c>
      <c r="AF770" s="27">
        <f>IF(ISNUMBER($S770),COUNTIFS($A$14:$A$1213,$A770,$S$14:$S$1213,"&gt;"&amp;$S770)+(COUNTIFS($A$14:$A$1213,$A770,$S$14:$S$1213,"="&amp;$S770)+1)/2,"")</f>
        <v/>
      </c>
      <c r="AG770" s="27">
        <f>IF(ISNUMBER($T770),COUNTIFS($A$14:$A$1213,$A770,$T$14:$T$1213,"&gt;"&amp;$T770)+(COUNTIFS($A$14:$A$1213,$A770,$T$14:$T$1213,"="&amp;$T770)+1)/2,"")</f>
        <v/>
      </c>
      <c r="AH770" s="27">
        <f>IF(COUNT($AC770:$AG770)&lt;2,"",IF(MAX($AC770:$AG770)=MIN($AC770:$AG770),0,1))</f>
        <v/>
      </c>
      <c r="AI770" s="27">
        <f>IF($A770="","",IF(COUNTIF($A$14:$A770,$A770)=1,COUNTIF($AI$13:AI769,"&gt;0")+1,""))</f>
        <v/>
      </c>
      <c r="AO770" s="27">
        <f>IF($A770="","",IF(AND(COUNTIFS($A$14:$A$1213,$A770,$F$14:$F$1213,"&gt;=0")=2,IFERROR(INDEX($M$14:$M$313,MATCH($A770,$H$14:$H$313,0)),"Yes")&lt;&gt;"Yes"),1,0))</f>
        <v/>
      </c>
    </row>
    <row r="771">
      <c r="A771" s="19" t="n"/>
      <c r="B771" s="20" t="n"/>
      <c r="C771" s="21">
        <f>IFERROR(AVERAGE(P771:T771),"")</f>
        <v/>
      </c>
      <c r="D771" s="29" t="n"/>
      <c r="E771" s="29" t="n"/>
      <c r="F771" s="30">
        <f>IF(AND(ISNUMBER($D771),ISNUMBER($E771),$E771&gt;0,$D771&lt;=$E771),$D771/$E771,"")</f>
        <v/>
      </c>
      <c r="P771" s="26" t="n"/>
      <c r="Q771" s="26" t="n"/>
      <c r="R771" s="26" t="n"/>
      <c r="S771" s="26" t="n"/>
      <c r="T771" s="26" t="n"/>
      <c r="V771" s="27">
        <f>IF(ISNUMBER($C771),COUNTIFS($A$14:$A$1213,$A771,$C$14:$C$1213,"&gt;"&amp;$C771)+(COUNTIFS($A$14:$A$1213,$A771,$C$14:$C$1213,"="&amp;$C771)+1)/2,"")</f>
        <v/>
      </c>
      <c r="W771" s="27">
        <f>IF(ISNUMBER($F771),COUNTIFS($A$14:$A$1213,$A771,$F$14:$F$1213,"&gt;"&amp;$F771)+(COUNTIFS($A$14:$A$1213,$A771,$F$14:$F$1213,"="&amp;$F771)+1)/2,"")</f>
        <v/>
      </c>
      <c r="X771" s="27">
        <f>IF(OR(NOT(ISNUMBER($V771)),$AO771=1),"",$V771-(COUNTIFS($A$14:$A$1213,$A771,$C$14:$C$1213,"&gt;=0")+1)/2)</f>
        <v/>
      </c>
      <c r="Y771" s="27">
        <f>IF(OR(NOT(ISNUMBER($W771)),$AO771=1),"",$W771-(COUNTIFS($A$14:$A$1213,$A771,$F$14:$F$1213,"&gt;=0")+1)/2)</f>
        <v/>
      </c>
      <c r="Z771" s="27">
        <f>IF(ISNUMBER($V771),$A771&amp;"|"&amp;$V771,"")</f>
        <v/>
      </c>
      <c r="AA771" s="27">
        <f>IF(ISNUMBER($W771),$A771&amp;"|"&amp;$W771,"")</f>
        <v/>
      </c>
      <c r="AB771" s="27">
        <f>IF(ISNUMBER($F771),$A771&amp;"|"&amp;$F771,"")</f>
        <v/>
      </c>
      <c r="AC771" s="27">
        <f>IF(ISNUMBER($P771),COUNTIFS($A$14:$A$1213,$A771,$P$14:$P$1213,"&gt;"&amp;$P771)+(COUNTIFS($A$14:$A$1213,$A771,$P$14:$P$1213,"="&amp;$P771)+1)/2,"")</f>
        <v/>
      </c>
      <c r="AD771" s="27">
        <f>IF(ISNUMBER($Q771),COUNTIFS($A$14:$A$1213,$A771,$Q$14:$Q$1213,"&gt;"&amp;$Q771)+(COUNTIFS($A$14:$A$1213,$A771,$Q$14:$Q$1213,"="&amp;$Q771)+1)/2,"")</f>
        <v/>
      </c>
      <c r="AE771" s="27">
        <f>IF(ISNUMBER($R771),COUNTIFS($A$14:$A$1213,$A771,$R$14:$R$1213,"&gt;"&amp;$R771)+(COUNTIFS($A$14:$A$1213,$A771,$R$14:$R$1213,"="&amp;$R771)+1)/2,"")</f>
        <v/>
      </c>
      <c r="AF771" s="27">
        <f>IF(ISNUMBER($S771),COUNTIFS($A$14:$A$1213,$A771,$S$14:$S$1213,"&gt;"&amp;$S771)+(COUNTIFS($A$14:$A$1213,$A771,$S$14:$S$1213,"="&amp;$S771)+1)/2,"")</f>
        <v/>
      </c>
      <c r="AG771" s="27">
        <f>IF(ISNUMBER($T771),COUNTIFS($A$14:$A$1213,$A771,$T$14:$T$1213,"&gt;"&amp;$T771)+(COUNTIFS($A$14:$A$1213,$A771,$T$14:$T$1213,"="&amp;$T771)+1)/2,"")</f>
        <v/>
      </c>
      <c r="AH771" s="27">
        <f>IF(COUNT($AC771:$AG771)&lt;2,"",IF(MAX($AC771:$AG771)=MIN($AC771:$AG771),0,1))</f>
        <v/>
      </c>
      <c r="AI771" s="27">
        <f>IF($A771="","",IF(COUNTIF($A$14:$A771,$A771)=1,COUNTIF($AI$13:AI770,"&gt;0")+1,""))</f>
        <v/>
      </c>
      <c r="AO771" s="27">
        <f>IF($A771="","",IF(AND(COUNTIFS($A$14:$A$1213,$A771,$F$14:$F$1213,"&gt;=0")=2,IFERROR(INDEX($M$14:$M$313,MATCH($A771,$H$14:$H$313,0)),"Yes")&lt;&gt;"Yes"),1,0))</f>
        <v/>
      </c>
    </row>
    <row r="772">
      <c r="A772" s="19" t="n"/>
      <c r="B772" s="20" t="n"/>
      <c r="C772" s="21">
        <f>IFERROR(AVERAGE(P772:T772),"")</f>
        <v/>
      </c>
      <c r="D772" s="29" t="n"/>
      <c r="E772" s="29" t="n"/>
      <c r="F772" s="30">
        <f>IF(AND(ISNUMBER($D772),ISNUMBER($E772),$E772&gt;0,$D772&lt;=$E772),$D772/$E772,"")</f>
        <v/>
      </c>
      <c r="P772" s="26" t="n"/>
      <c r="Q772" s="26" t="n"/>
      <c r="R772" s="26" t="n"/>
      <c r="S772" s="26" t="n"/>
      <c r="T772" s="26" t="n"/>
      <c r="V772" s="27">
        <f>IF(ISNUMBER($C772),COUNTIFS($A$14:$A$1213,$A772,$C$14:$C$1213,"&gt;"&amp;$C772)+(COUNTIFS($A$14:$A$1213,$A772,$C$14:$C$1213,"="&amp;$C772)+1)/2,"")</f>
        <v/>
      </c>
      <c r="W772" s="27">
        <f>IF(ISNUMBER($F772),COUNTIFS($A$14:$A$1213,$A772,$F$14:$F$1213,"&gt;"&amp;$F772)+(COUNTIFS($A$14:$A$1213,$A772,$F$14:$F$1213,"="&amp;$F772)+1)/2,"")</f>
        <v/>
      </c>
      <c r="X772" s="27">
        <f>IF(OR(NOT(ISNUMBER($V772)),$AO772=1),"",$V772-(COUNTIFS($A$14:$A$1213,$A772,$C$14:$C$1213,"&gt;=0")+1)/2)</f>
        <v/>
      </c>
      <c r="Y772" s="27">
        <f>IF(OR(NOT(ISNUMBER($W772)),$AO772=1),"",$W772-(COUNTIFS($A$14:$A$1213,$A772,$F$14:$F$1213,"&gt;=0")+1)/2)</f>
        <v/>
      </c>
      <c r="Z772" s="27">
        <f>IF(ISNUMBER($V772),$A772&amp;"|"&amp;$V772,"")</f>
        <v/>
      </c>
      <c r="AA772" s="27">
        <f>IF(ISNUMBER($W772),$A772&amp;"|"&amp;$W772,"")</f>
        <v/>
      </c>
      <c r="AB772" s="27">
        <f>IF(ISNUMBER($F772),$A772&amp;"|"&amp;$F772,"")</f>
        <v/>
      </c>
      <c r="AC772" s="27">
        <f>IF(ISNUMBER($P772),COUNTIFS($A$14:$A$1213,$A772,$P$14:$P$1213,"&gt;"&amp;$P772)+(COUNTIFS($A$14:$A$1213,$A772,$P$14:$P$1213,"="&amp;$P772)+1)/2,"")</f>
        <v/>
      </c>
      <c r="AD772" s="27">
        <f>IF(ISNUMBER($Q772),COUNTIFS($A$14:$A$1213,$A772,$Q$14:$Q$1213,"&gt;"&amp;$Q772)+(COUNTIFS($A$14:$A$1213,$A772,$Q$14:$Q$1213,"="&amp;$Q772)+1)/2,"")</f>
        <v/>
      </c>
      <c r="AE772" s="27">
        <f>IF(ISNUMBER($R772),COUNTIFS($A$14:$A$1213,$A772,$R$14:$R$1213,"&gt;"&amp;$R772)+(COUNTIFS($A$14:$A$1213,$A772,$R$14:$R$1213,"="&amp;$R772)+1)/2,"")</f>
        <v/>
      </c>
      <c r="AF772" s="27">
        <f>IF(ISNUMBER($S772),COUNTIFS($A$14:$A$1213,$A772,$S$14:$S$1213,"&gt;"&amp;$S772)+(COUNTIFS($A$14:$A$1213,$A772,$S$14:$S$1213,"="&amp;$S772)+1)/2,"")</f>
        <v/>
      </c>
      <c r="AG772" s="27">
        <f>IF(ISNUMBER($T772),COUNTIFS($A$14:$A$1213,$A772,$T$14:$T$1213,"&gt;"&amp;$T772)+(COUNTIFS($A$14:$A$1213,$A772,$T$14:$T$1213,"="&amp;$T772)+1)/2,"")</f>
        <v/>
      </c>
      <c r="AH772" s="27">
        <f>IF(COUNT($AC772:$AG772)&lt;2,"",IF(MAX($AC772:$AG772)=MIN($AC772:$AG772),0,1))</f>
        <v/>
      </c>
      <c r="AI772" s="27">
        <f>IF($A772="","",IF(COUNTIF($A$14:$A772,$A772)=1,COUNTIF($AI$13:AI771,"&gt;0")+1,""))</f>
        <v/>
      </c>
      <c r="AO772" s="27">
        <f>IF($A772="","",IF(AND(COUNTIFS($A$14:$A$1213,$A772,$F$14:$F$1213,"&gt;=0")=2,IFERROR(INDEX($M$14:$M$313,MATCH($A772,$H$14:$H$313,0)),"Yes")&lt;&gt;"Yes"),1,0))</f>
        <v/>
      </c>
    </row>
    <row r="773">
      <c r="A773" s="19" t="n"/>
      <c r="B773" s="20" t="n"/>
      <c r="C773" s="21">
        <f>IFERROR(AVERAGE(P773:T773),"")</f>
        <v/>
      </c>
      <c r="D773" s="29" t="n"/>
      <c r="E773" s="29" t="n"/>
      <c r="F773" s="30">
        <f>IF(AND(ISNUMBER($D773),ISNUMBER($E773),$E773&gt;0,$D773&lt;=$E773),$D773/$E773,"")</f>
        <v/>
      </c>
      <c r="P773" s="26" t="n"/>
      <c r="Q773" s="26" t="n"/>
      <c r="R773" s="26" t="n"/>
      <c r="S773" s="26" t="n"/>
      <c r="T773" s="26" t="n"/>
      <c r="V773" s="27">
        <f>IF(ISNUMBER($C773),COUNTIFS($A$14:$A$1213,$A773,$C$14:$C$1213,"&gt;"&amp;$C773)+(COUNTIFS($A$14:$A$1213,$A773,$C$14:$C$1213,"="&amp;$C773)+1)/2,"")</f>
        <v/>
      </c>
      <c r="W773" s="27">
        <f>IF(ISNUMBER($F773),COUNTIFS($A$14:$A$1213,$A773,$F$14:$F$1213,"&gt;"&amp;$F773)+(COUNTIFS($A$14:$A$1213,$A773,$F$14:$F$1213,"="&amp;$F773)+1)/2,"")</f>
        <v/>
      </c>
      <c r="X773" s="27">
        <f>IF(OR(NOT(ISNUMBER($V773)),$AO773=1),"",$V773-(COUNTIFS($A$14:$A$1213,$A773,$C$14:$C$1213,"&gt;=0")+1)/2)</f>
        <v/>
      </c>
      <c r="Y773" s="27">
        <f>IF(OR(NOT(ISNUMBER($W773)),$AO773=1),"",$W773-(COUNTIFS($A$14:$A$1213,$A773,$F$14:$F$1213,"&gt;=0")+1)/2)</f>
        <v/>
      </c>
      <c r="Z773" s="27">
        <f>IF(ISNUMBER($V773),$A773&amp;"|"&amp;$V773,"")</f>
        <v/>
      </c>
      <c r="AA773" s="27">
        <f>IF(ISNUMBER($W773),$A773&amp;"|"&amp;$W773,"")</f>
        <v/>
      </c>
      <c r="AB773" s="27">
        <f>IF(ISNUMBER($F773),$A773&amp;"|"&amp;$F773,"")</f>
        <v/>
      </c>
      <c r="AC773" s="27">
        <f>IF(ISNUMBER($P773),COUNTIFS($A$14:$A$1213,$A773,$P$14:$P$1213,"&gt;"&amp;$P773)+(COUNTIFS($A$14:$A$1213,$A773,$P$14:$P$1213,"="&amp;$P773)+1)/2,"")</f>
        <v/>
      </c>
      <c r="AD773" s="27">
        <f>IF(ISNUMBER($Q773),COUNTIFS($A$14:$A$1213,$A773,$Q$14:$Q$1213,"&gt;"&amp;$Q773)+(COUNTIFS($A$14:$A$1213,$A773,$Q$14:$Q$1213,"="&amp;$Q773)+1)/2,"")</f>
        <v/>
      </c>
      <c r="AE773" s="27">
        <f>IF(ISNUMBER($R773),COUNTIFS($A$14:$A$1213,$A773,$R$14:$R$1213,"&gt;"&amp;$R773)+(COUNTIFS($A$14:$A$1213,$A773,$R$14:$R$1213,"="&amp;$R773)+1)/2,"")</f>
        <v/>
      </c>
      <c r="AF773" s="27">
        <f>IF(ISNUMBER($S773),COUNTIFS($A$14:$A$1213,$A773,$S$14:$S$1213,"&gt;"&amp;$S773)+(COUNTIFS($A$14:$A$1213,$A773,$S$14:$S$1213,"="&amp;$S773)+1)/2,"")</f>
        <v/>
      </c>
      <c r="AG773" s="27">
        <f>IF(ISNUMBER($T773),COUNTIFS($A$14:$A$1213,$A773,$T$14:$T$1213,"&gt;"&amp;$T773)+(COUNTIFS($A$14:$A$1213,$A773,$T$14:$T$1213,"="&amp;$T773)+1)/2,"")</f>
        <v/>
      </c>
      <c r="AH773" s="27">
        <f>IF(COUNT($AC773:$AG773)&lt;2,"",IF(MAX($AC773:$AG773)=MIN($AC773:$AG773),0,1))</f>
        <v/>
      </c>
      <c r="AI773" s="27">
        <f>IF($A773="","",IF(COUNTIF($A$14:$A773,$A773)=1,COUNTIF($AI$13:AI772,"&gt;0")+1,""))</f>
        <v/>
      </c>
      <c r="AO773" s="27">
        <f>IF($A773="","",IF(AND(COUNTIFS($A$14:$A$1213,$A773,$F$14:$F$1213,"&gt;=0")=2,IFERROR(INDEX($M$14:$M$313,MATCH($A773,$H$14:$H$313,0)),"Yes")&lt;&gt;"Yes"),1,0))</f>
        <v/>
      </c>
    </row>
    <row r="774">
      <c r="A774" s="19" t="n"/>
      <c r="B774" s="20" t="n"/>
      <c r="C774" s="21">
        <f>IFERROR(AVERAGE(P774:T774),"")</f>
        <v/>
      </c>
      <c r="D774" s="29" t="n"/>
      <c r="E774" s="29" t="n"/>
      <c r="F774" s="30">
        <f>IF(AND(ISNUMBER($D774),ISNUMBER($E774),$E774&gt;0,$D774&lt;=$E774),$D774/$E774,"")</f>
        <v/>
      </c>
      <c r="P774" s="26" t="n"/>
      <c r="Q774" s="26" t="n"/>
      <c r="R774" s="26" t="n"/>
      <c r="S774" s="26" t="n"/>
      <c r="T774" s="26" t="n"/>
      <c r="V774" s="27">
        <f>IF(ISNUMBER($C774),COUNTIFS($A$14:$A$1213,$A774,$C$14:$C$1213,"&gt;"&amp;$C774)+(COUNTIFS($A$14:$A$1213,$A774,$C$14:$C$1213,"="&amp;$C774)+1)/2,"")</f>
        <v/>
      </c>
      <c r="W774" s="27">
        <f>IF(ISNUMBER($F774),COUNTIFS($A$14:$A$1213,$A774,$F$14:$F$1213,"&gt;"&amp;$F774)+(COUNTIFS($A$14:$A$1213,$A774,$F$14:$F$1213,"="&amp;$F774)+1)/2,"")</f>
        <v/>
      </c>
      <c r="X774" s="27">
        <f>IF(OR(NOT(ISNUMBER($V774)),$AO774=1),"",$V774-(COUNTIFS($A$14:$A$1213,$A774,$C$14:$C$1213,"&gt;=0")+1)/2)</f>
        <v/>
      </c>
      <c r="Y774" s="27">
        <f>IF(OR(NOT(ISNUMBER($W774)),$AO774=1),"",$W774-(COUNTIFS($A$14:$A$1213,$A774,$F$14:$F$1213,"&gt;=0")+1)/2)</f>
        <v/>
      </c>
      <c r="Z774" s="27">
        <f>IF(ISNUMBER($V774),$A774&amp;"|"&amp;$V774,"")</f>
        <v/>
      </c>
      <c r="AA774" s="27">
        <f>IF(ISNUMBER($W774),$A774&amp;"|"&amp;$W774,"")</f>
        <v/>
      </c>
      <c r="AB774" s="27">
        <f>IF(ISNUMBER($F774),$A774&amp;"|"&amp;$F774,"")</f>
        <v/>
      </c>
      <c r="AC774" s="27">
        <f>IF(ISNUMBER($P774),COUNTIFS($A$14:$A$1213,$A774,$P$14:$P$1213,"&gt;"&amp;$P774)+(COUNTIFS($A$14:$A$1213,$A774,$P$14:$P$1213,"="&amp;$P774)+1)/2,"")</f>
        <v/>
      </c>
      <c r="AD774" s="27">
        <f>IF(ISNUMBER($Q774),COUNTIFS($A$14:$A$1213,$A774,$Q$14:$Q$1213,"&gt;"&amp;$Q774)+(COUNTIFS($A$14:$A$1213,$A774,$Q$14:$Q$1213,"="&amp;$Q774)+1)/2,"")</f>
        <v/>
      </c>
      <c r="AE774" s="27">
        <f>IF(ISNUMBER($R774),COUNTIFS($A$14:$A$1213,$A774,$R$14:$R$1213,"&gt;"&amp;$R774)+(COUNTIFS($A$14:$A$1213,$A774,$R$14:$R$1213,"="&amp;$R774)+1)/2,"")</f>
        <v/>
      </c>
      <c r="AF774" s="27">
        <f>IF(ISNUMBER($S774),COUNTIFS($A$14:$A$1213,$A774,$S$14:$S$1213,"&gt;"&amp;$S774)+(COUNTIFS($A$14:$A$1213,$A774,$S$14:$S$1213,"="&amp;$S774)+1)/2,"")</f>
        <v/>
      </c>
      <c r="AG774" s="27">
        <f>IF(ISNUMBER($T774),COUNTIFS($A$14:$A$1213,$A774,$T$14:$T$1213,"&gt;"&amp;$T774)+(COUNTIFS($A$14:$A$1213,$A774,$T$14:$T$1213,"="&amp;$T774)+1)/2,"")</f>
        <v/>
      </c>
      <c r="AH774" s="27">
        <f>IF(COUNT($AC774:$AG774)&lt;2,"",IF(MAX($AC774:$AG774)=MIN($AC774:$AG774),0,1))</f>
        <v/>
      </c>
      <c r="AI774" s="27">
        <f>IF($A774="","",IF(COUNTIF($A$14:$A774,$A774)=1,COUNTIF($AI$13:AI773,"&gt;0")+1,""))</f>
        <v/>
      </c>
      <c r="AO774" s="27">
        <f>IF($A774="","",IF(AND(COUNTIFS($A$14:$A$1213,$A774,$F$14:$F$1213,"&gt;=0")=2,IFERROR(INDEX($M$14:$M$313,MATCH($A774,$H$14:$H$313,0)),"Yes")&lt;&gt;"Yes"),1,0))</f>
        <v/>
      </c>
    </row>
    <row r="775">
      <c r="A775" s="19" t="n"/>
      <c r="B775" s="20" t="n"/>
      <c r="C775" s="21">
        <f>IFERROR(AVERAGE(P775:T775),"")</f>
        <v/>
      </c>
      <c r="D775" s="29" t="n"/>
      <c r="E775" s="29" t="n"/>
      <c r="F775" s="30">
        <f>IF(AND(ISNUMBER($D775),ISNUMBER($E775),$E775&gt;0,$D775&lt;=$E775),$D775/$E775,"")</f>
        <v/>
      </c>
      <c r="P775" s="26" t="n"/>
      <c r="Q775" s="26" t="n"/>
      <c r="R775" s="26" t="n"/>
      <c r="S775" s="26" t="n"/>
      <c r="T775" s="26" t="n"/>
      <c r="V775" s="27">
        <f>IF(ISNUMBER($C775),COUNTIFS($A$14:$A$1213,$A775,$C$14:$C$1213,"&gt;"&amp;$C775)+(COUNTIFS($A$14:$A$1213,$A775,$C$14:$C$1213,"="&amp;$C775)+1)/2,"")</f>
        <v/>
      </c>
      <c r="W775" s="27">
        <f>IF(ISNUMBER($F775),COUNTIFS($A$14:$A$1213,$A775,$F$14:$F$1213,"&gt;"&amp;$F775)+(COUNTIFS($A$14:$A$1213,$A775,$F$14:$F$1213,"="&amp;$F775)+1)/2,"")</f>
        <v/>
      </c>
      <c r="X775" s="27">
        <f>IF(OR(NOT(ISNUMBER($V775)),$AO775=1),"",$V775-(COUNTIFS($A$14:$A$1213,$A775,$C$14:$C$1213,"&gt;=0")+1)/2)</f>
        <v/>
      </c>
      <c r="Y775" s="27">
        <f>IF(OR(NOT(ISNUMBER($W775)),$AO775=1),"",$W775-(COUNTIFS($A$14:$A$1213,$A775,$F$14:$F$1213,"&gt;=0")+1)/2)</f>
        <v/>
      </c>
      <c r="Z775" s="27">
        <f>IF(ISNUMBER($V775),$A775&amp;"|"&amp;$V775,"")</f>
        <v/>
      </c>
      <c r="AA775" s="27">
        <f>IF(ISNUMBER($W775),$A775&amp;"|"&amp;$W775,"")</f>
        <v/>
      </c>
      <c r="AB775" s="27">
        <f>IF(ISNUMBER($F775),$A775&amp;"|"&amp;$F775,"")</f>
        <v/>
      </c>
      <c r="AC775" s="27">
        <f>IF(ISNUMBER($P775),COUNTIFS($A$14:$A$1213,$A775,$P$14:$P$1213,"&gt;"&amp;$P775)+(COUNTIFS($A$14:$A$1213,$A775,$P$14:$P$1213,"="&amp;$P775)+1)/2,"")</f>
        <v/>
      </c>
      <c r="AD775" s="27">
        <f>IF(ISNUMBER($Q775),COUNTIFS($A$14:$A$1213,$A775,$Q$14:$Q$1213,"&gt;"&amp;$Q775)+(COUNTIFS($A$14:$A$1213,$A775,$Q$14:$Q$1213,"="&amp;$Q775)+1)/2,"")</f>
        <v/>
      </c>
      <c r="AE775" s="27">
        <f>IF(ISNUMBER($R775),COUNTIFS($A$14:$A$1213,$A775,$R$14:$R$1213,"&gt;"&amp;$R775)+(COUNTIFS($A$14:$A$1213,$A775,$R$14:$R$1213,"="&amp;$R775)+1)/2,"")</f>
        <v/>
      </c>
      <c r="AF775" s="27">
        <f>IF(ISNUMBER($S775),COUNTIFS($A$14:$A$1213,$A775,$S$14:$S$1213,"&gt;"&amp;$S775)+(COUNTIFS($A$14:$A$1213,$A775,$S$14:$S$1213,"="&amp;$S775)+1)/2,"")</f>
        <v/>
      </c>
      <c r="AG775" s="27">
        <f>IF(ISNUMBER($T775),COUNTIFS($A$14:$A$1213,$A775,$T$14:$T$1213,"&gt;"&amp;$T775)+(COUNTIFS($A$14:$A$1213,$A775,$T$14:$T$1213,"="&amp;$T775)+1)/2,"")</f>
        <v/>
      </c>
      <c r="AH775" s="27">
        <f>IF(COUNT($AC775:$AG775)&lt;2,"",IF(MAX($AC775:$AG775)=MIN($AC775:$AG775),0,1))</f>
        <v/>
      </c>
      <c r="AI775" s="27">
        <f>IF($A775="","",IF(COUNTIF($A$14:$A775,$A775)=1,COUNTIF($AI$13:AI774,"&gt;0")+1,""))</f>
        <v/>
      </c>
      <c r="AO775" s="27">
        <f>IF($A775="","",IF(AND(COUNTIFS($A$14:$A$1213,$A775,$F$14:$F$1213,"&gt;=0")=2,IFERROR(INDEX($M$14:$M$313,MATCH($A775,$H$14:$H$313,0)),"Yes")&lt;&gt;"Yes"),1,0))</f>
        <v/>
      </c>
    </row>
    <row r="776">
      <c r="A776" s="19" t="n"/>
      <c r="B776" s="20" t="n"/>
      <c r="C776" s="21">
        <f>IFERROR(AVERAGE(P776:T776),"")</f>
        <v/>
      </c>
      <c r="D776" s="29" t="n"/>
      <c r="E776" s="29" t="n"/>
      <c r="F776" s="30">
        <f>IF(AND(ISNUMBER($D776),ISNUMBER($E776),$E776&gt;0,$D776&lt;=$E776),$D776/$E776,"")</f>
        <v/>
      </c>
      <c r="P776" s="26" t="n"/>
      <c r="Q776" s="26" t="n"/>
      <c r="R776" s="26" t="n"/>
      <c r="S776" s="26" t="n"/>
      <c r="T776" s="26" t="n"/>
      <c r="V776" s="27">
        <f>IF(ISNUMBER($C776),COUNTIFS($A$14:$A$1213,$A776,$C$14:$C$1213,"&gt;"&amp;$C776)+(COUNTIFS($A$14:$A$1213,$A776,$C$14:$C$1213,"="&amp;$C776)+1)/2,"")</f>
        <v/>
      </c>
      <c r="W776" s="27">
        <f>IF(ISNUMBER($F776),COUNTIFS($A$14:$A$1213,$A776,$F$14:$F$1213,"&gt;"&amp;$F776)+(COUNTIFS($A$14:$A$1213,$A776,$F$14:$F$1213,"="&amp;$F776)+1)/2,"")</f>
        <v/>
      </c>
      <c r="X776" s="27">
        <f>IF(OR(NOT(ISNUMBER($V776)),$AO776=1),"",$V776-(COUNTIFS($A$14:$A$1213,$A776,$C$14:$C$1213,"&gt;=0")+1)/2)</f>
        <v/>
      </c>
      <c r="Y776" s="27">
        <f>IF(OR(NOT(ISNUMBER($W776)),$AO776=1),"",$W776-(COUNTIFS($A$14:$A$1213,$A776,$F$14:$F$1213,"&gt;=0")+1)/2)</f>
        <v/>
      </c>
      <c r="Z776" s="27">
        <f>IF(ISNUMBER($V776),$A776&amp;"|"&amp;$V776,"")</f>
        <v/>
      </c>
      <c r="AA776" s="27">
        <f>IF(ISNUMBER($W776),$A776&amp;"|"&amp;$W776,"")</f>
        <v/>
      </c>
      <c r="AB776" s="27">
        <f>IF(ISNUMBER($F776),$A776&amp;"|"&amp;$F776,"")</f>
        <v/>
      </c>
      <c r="AC776" s="27">
        <f>IF(ISNUMBER($P776),COUNTIFS($A$14:$A$1213,$A776,$P$14:$P$1213,"&gt;"&amp;$P776)+(COUNTIFS($A$14:$A$1213,$A776,$P$14:$P$1213,"="&amp;$P776)+1)/2,"")</f>
        <v/>
      </c>
      <c r="AD776" s="27">
        <f>IF(ISNUMBER($Q776),COUNTIFS($A$14:$A$1213,$A776,$Q$14:$Q$1213,"&gt;"&amp;$Q776)+(COUNTIFS($A$14:$A$1213,$A776,$Q$14:$Q$1213,"="&amp;$Q776)+1)/2,"")</f>
        <v/>
      </c>
      <c r="AE776" s="27">
        <f>IF(ISNUMBER($R776),COUNTIFS($A$14:$A$1213,$A776,$R$14:$R$1213,"&gt;"&amp;$R776)+(COUNTIFS($A$14:$A$1213,$A776,$R$14:$R$1213,"="&amp;$R776)+1)/2,"")</f>
        <v/>
      </c>
      <c r="AF776" s="27">
        <f>IF(ISNUMBER($S776),COUNTIFS($A$14:$A$1213,$A776,$S$14:$S$1213,"&gt;"&amp;$S776)+(COUNTIFS($A$14:$A$1213,$A776,$S$14:$S$1213,"="&amp;$S776)+1)/2,"")</f>
        <v/>
      </c>
      <c r="AG776" s="27">
        <f>IF(ISNUMBER($T776),COUNTIFS($A$14:$A$1213,$A776,$T$14:$T$1213,"&gt;"&amp;$T776)+(COUNTIFS($A$14:$A$1213,$A776,$T$14:$T$1213,"="&amp;$T776)+1)/2,"")</f>
        <v/>
      </c>
      <c r="AH776" s="27">
        <f>IF(COUNT($AC776:$AG776)&lt;2,"",IF(MAX($AC776:$AG776)=MIN($AC776:$AG776),0,1))</f>
        <v/>
      </c>
      <c r="AI776" s="27">
        <f>IF($A776="","",IF(COUNTIF($A$14:$A776,$A776)=1,COUNTIF($AI$13:AI775,"&gt;0")+1,""))</f>
        <v/>
      </c>
      <c r="AO776" s="27">
        <f>IF($A776="","",IF(AND(COUNTIFS($A$14:$A$1213,$A776,$F$14:$F$1213,"&gt;=0")=2,IFERROR(INDEX($M$14:$M$313,MATCH($A776,$H$14:$H$313,0)),"Yes")&lt;&gt;"Yes"),1,0))</f>
        <v/>
      </c>
    </row>
    <row r="777">
      <c r="A777" s="19" t="n"/>
      <c r="B777" s="20" t="n"/>
      <c r="C777" s="21">
        <f>IFERROR(AVERAGE(P777:T777),"")</f>
        <v/>
      </c>
      <c r="D777" s="29" t="n"/>
      <c r="E777" s="29" t="n"/>
      <c r="F777" s="30">
        <f>IF(AND(ISNUMBER($D777),ISNUMBER($E777),$E777&gt;0,$D777&lt;=$E777),$D777/$E777,"")</f>
        <v/>
      </c>
      <c r="P777" s="26" t="n"/>
      <c r="Q777" s="26" t="n"/>
      <c r="R777" s="26" t="n"/>
      <c r="S777" s="26" t="n"/>
      <c r="T777" s="26" t="n"/>
      <c r="V777" s="27">
        <f>IF(ISNUMBER($C777),COUNTIFS($A$14:$A$1213,$A777,$C$14:$C$1213,"&gt;"&amp;$C777)+(COUNTIFS($A$14:$A$1213,$A777,$C$14:$C$1213,"="&amp;$C777)+1)/2,"")</f>
        <v/>
      </c>
      <c r="W777" s="27">
        <f>IF(ISNUMBER($F777),COUNTIFS($A$14:$A$1213,$A777,$F$14:$F$1213,"&gt;"&amp;$F777)+(COUNTIFS($A$14:$A$1213,$A777,$F$14:$F$1213,"="&amp;$F777)+1)/2,"")</f>
        <v/>
      </c>
      <c r="X777" s="27">
        <f>IF(OR(NOT(ISNUMBER($V777)),$AO777=1),"",$V777-(COUNTIFS($A$14:$A$1213,$A777,$C$14:$C$1213,"&gt;=0")+1)/2)</f>
        <v/>
      </c>
      <c r="Y777" s="27">
        <f>IF(OR(NOT(ISNUMBER($W777)),$AO777=1),"",$W777-(COUNTIFS($A$14:$A$1213,$A777,$F$14:$F$1213,"&gt;=0")+1)/2)</f>
        <v/>
      </c>
      <c r="Z777" s="27">
        <f>IF(ISNUMBER($V777),$A777&amp;"|"&amp;$V777,"")</f>
        <v/>
      </c>
      <c r="AA777" s="27">
        <f>IF(ISNUMBER($W777),$A777&amp;"|"&amp;$W777,"")</f>
        <v/>
      </c>
      <c r="AB777" s="27">
        <f>IF(ISNUMBER($F777),$A777&amp;"|"&amp;$F777,"")</f>
        <v/>
      </c>
      <c r="AC777" s="27">
        <f>IF(ISNUMBER($P777),COUNTIFS($A$14:$A$1213,$A777,$P$14:$P$1213,"&gt;"&amp;$P777)+(COUNTIFS($A$14:$A$1213,$A777,$P$14:$P$1213,"="&amp;$P777)+1)/2,"")</f>
        <v/>
      </c>
      <c r="AD777" s="27">
        <f>IF(ISNUMBER($Q777),COUNTIFS($A$14:$A$1213,$A777,$Q$14:$Q$1213,"&gt;"&amp;$Q777)+(COUNTIFS($A$14:$A$1213,$A777,$Q$14:$Q$1213,"="&amp;$Q777)+1)/2,"")</f>
        <v/>
      </c>
      <c r="AE777" s="27">
        <f>IF(ISNUMBER($R777),COUNTIFS($A$14:$A$1213,$A777,$R$14:$R$1213,"&gt;"&amp;$R777)+(COUNTIFS($A$14:$A$1213,$A777,$R$14:$R$1213,"="&amp;$R777)+1)/2,"")</f>
        <v/>
      </c>
      <c r="AF777" s="27">
        <f>IF(ISNUMBER($S777),COUNTIFS($A$14:$A$1213,$A777,$S$14:$S$1213,"&gt;"&amp;$S777)+(COUNTIFS($A$14:$A$1213,$A777,$S$14:$S$1213,"="&amp;$S777)+1)/2,"")</f>
        <v/>
      </c>
      <c r="AG777" s="27">
        <f>IF(ISNUMBER($T777),COUNTIFS($A$14:$A$1213,$A777,$T$14:$T$1213,"&gt;"&amp;$T777)+(COUNTIFS($A$14:$A$1213,$A777,$T$14:$T$1213,"="&amp;$T777)+1)/2,"")</f>
        <v/>
      </c>
      <c r="AH777" s="27">
        <f>IF(COUNT($AC777:$AG777)&lt;2,"",IF(MAX($AC777:$AG777)=MIN($AC777:$AG777),0,1))</f>
        <v/>
      </c>
      <c r="AI777" s="27">
        <f>IF($A777="","",IF(COUNTIF($A$14:$A777,$A777)=1,COUNTIF($AI$13:AI776,"&gt;0")+1,""))</f>
        <v/>
      </c>
      <c r="AO777" s="27">
        <f>IF($A777="","",IF(AND(COUNTIFS($A$14:$A$1213,$A777,$F$14:$F$1213,"&gt;=0")=2,IFERROR(INDEX($M$14:$M$313,MATCH($A777,$H$14:$H$313,0)),"Yes")&lt;&gt;"Yes"),1,0))</f>
        <v/>
      </c>
    </row>
    <row r="778">
      <c r="A778" s="19" t="n"/>
      <c r="B778" s="20" t="n"/>
      <c r="C778" s="21">
        <f>IFERROR(AVERAGE(P778:T778),"")</f>
        <v/>
      </c>
      <c r="D778" s="29" t="n"/>
      <c r="E778" s="29" t="n"/>
      <c r="F778" s="30">
        <f>IF(AND(ISNUMBER($D778),ISNUMBER($E778),$E778&gt;0,$D778&lt;=$E778),$D778/$E778,"")</f>
        <v/>
      </c>
      <c r="P778" s="26" t="n"/>
      <c r="Q778" s="26" t="n"/>
      <c r="R778" s="26" t="n"/>
      <c r="S778" s="26" t="n"/>
      <c r="T778" s="26" t="n"/>
      <c r="V778" s="27">
        <f>IF(ISNUMBER($C778),COUNTIFS($A$14:$A$1213,$A778,$C$14:$C$1213,"&gt;"&amp;$C778)+(COUNTIFS($A$14:$A$1213,$A778,$C$14:$C$1213,"="&amp;$C778)+1)/2,"")</f>
        <v/>
      </c>
      <c r="W778" s="27">
        <f>IF(ISNUMBER($F778),COUNTIFS($A$14:$A$1213,$A778,$F$14:$F$1213,"&gt;"&amp;$F778)+(COUNTIFS($A$14:$A$1213,$A778,$F$14:$F$1213,"="&amp;$F778)+1)/2,"")</f>
        <v/>
      </c>
      <c r="X778" s="27">
        <f>IF(OR(NOT(ISNUMBER($V778)),$AO778=1),"",$V778-(COUNTIFS($A$14:$A$1213,$A778,$C$14:$C$1213,"&gt;=0")+1)/2)</f>
        <v/>
      </c>
      <c r="Y778" s="27">
        <f>IF(OR(NOT(ISNUMBER($W778)),$AO778=1),"",$W778-(COUNTIFS($A$14:$A$1213,$A778,$F$14:$F$1213,"&gt;=0")+1)/2)</f>
        <v/>
      </c>
      <c r="Z778" s="27">
        <f>IF(ISNUMBER($V778),$A778&amp;"|"&amp;$V778,"")</f>
        <v/>
      </c>
      <c r="AA778" s="27">
        <f>IF(ISNUMBER($W778),$A778&amp;"|"&amp;$W778,"")</f>
        <v/>
      </c>
      <c r="AB778" s="27">
        <f>IF(ISNUMBER($F778),$A778&amp;"|"&amp;$F778,"")</f>
        <v/>
      </c>
      <c r="AC778" s="27">
        <f>IF(ISNUMBER($P778),COUNTIFS($A$14:$A$1213,$A778,$P$14:$P$1213,"&gt;"&amp;$P778)+(COUNTIFS($A$14:$A$1213,$A778,$P$14:$P$1213,"="&amp;$P778)+1)/2,"")</f>
        <v/>
      </c>
      <c r="AD778" s="27">
        <f>IF(ISNUMBER($Q778),COUNTIFS($A$14:$A$1213,$A778,$Q$14:$Q$1213,"&gt;"&amp;$Q778)+(COUNTIFS($A$14:$A$1213,$A778,$Q$14:$Q$1213,"="&amp;$Q778)+1)/2,"")</f>
        <v/>
      </c>
      <c r="AE778" s="27">
        <f>IF(ISNUMBER($R778),COUNTIFS($A$14:$A$1213,$A778,$R$14:$R$1213,"&gt;"&amp;$R778)+(COUNTIFS($A$14:$A$1213,$A778,$R$14:$R$1213,"="&amp;$R778)+1)/2,"")</f>
        <v/>
      </c>
      <c r="AF778" s="27">
        <f>IF(ISNUMBER($S778),COUNTIFS($A$14:$A$1213,$A778,$S$14:$S$1213,"&gt;"&amp;$S778)+(COUNTIFS($A$14:$A$1213,$A778,$S$14:$S$1213,"="&amp;$S778)+1)/2,"")</f>
        <v/>
      </c>
      <c r="AG778" s="27">
        <f>IF(ISNUMBER($T778),COUNTIFS($A$14:$A$1213,$A778,$T$14:$T$1213,"&gt;"&amp;$T778)+(COUNTIFS($A$14:$A$1213,$A778,$T$14:$T$1213,"="&amp;$T778)+1)/2,"")</f>
        <v/>
      </c>
      <c r="AH778" s="27">
        <f>IF(COUNT($AC778:$AG778)&lt;2,"",IF(MAX($AC778:$AG778)=MIN($AC778:$AG778),0,1))</f>
        <v/>
      </c>
      <c r="AI778" s="27">
        <f>IF($A778="","",IF(COUNTIF($A$14:$A778,$A778)=1,COUNTIF($AI$13:AI777,"&gt;0")+1,""))</f>
        <v/>
      </c>
      <c r="AO778" s="27">
        <f>IF($A778="","",IF(AND(COUNTIFS($A$14:$A$1213,$A778,$F$14:$F$1213,"&gt;=0")=2,IFERROR(INDEX($M$14:$M$313,MATCH($A778,$H$14:$H$313,0)),"Yes")&lt;&gt;"Yes"),1,0))</f>
        <v/>
      </c>
    </row>
    <row r="779">
      <c r="A779" s="19" t="n"/>
      <c r="B779" s="20" t="n"/>
      <c r="C779" s="21">
        <f>IFERROR(AVERAGE(P779:T779),"")</f>
        <v/>
      </c>
      <c r="D779" s="29" t="n"/>
      <c r="E779" s="29" t="n"/>
      <c r="F779" s="30">
        <f>IF(AND(ISNUMBER($D779),ISNUMBER($E779),$E779&gt;0,$D779&lt;=$E779),$D779/$E779,"")</f>
        <v/>
      </c>
      <c r="P779" s="26" t="n"/>
      <c r="Q779" s="26" t="n"/>
      <c r="R779" s="26" t="n"/>
      <c r="S779" s="26" t="n"/>
      <c r="T779" s="26" t="n"/>
      <c r="V779" s="27">
        <f>IF(ISNUMBER($C779),COUNTIFS($A$14:$A$1213,$A779,$C$14:$C$1213,"&gt;"&amp;$C779)+(COUNTIFS($A$14:$A$1213,$A779,$C$14:$C$1213,"="&amp;$C779)+1)/2,"")</f>
        <v/>
      </c>
      <c r="W779" s="27">
        <f>IF(ISNUMBER($F779),COUNTIFS($A$14:$A$1213,$A779,$F$14:$F$1213,"&gt;"&amp;$F779)+(COUNTIFS($A$14:$A$1213,$A779,$F$14:$F$1213,"="&amp;$F779)+1)/2,"")</f>
        <v/>
      </c>
      <c r="X779" s="27">
        <f>IF(OR(NOT(ISNUMBER($V779)),$AO779=1),"",$V779-(COUNTIFS($A$14:$A$1213,$A779,$C$14:$C$1213,"&gt;=0")+1)/2)</f>
        <v/>
      </c>
      <c r="Y779" s="27">
        <f>IF(OR(NOT(ISNUMBER($W779)),$AO779=1),"",$W779-(COUNTIFS($A$14:$A$1213,$A779,$F$14:$F$1213,"&gt;=0")+1)/2)</f>
        <v/>
      </c>
      <c r="Z779" s="27">
        <f>IF(ISNUMBER($V779),$A779&amp;"|"&amp;$V779,"")</f>
        <v/>
      </c>
      <c r="AA779" s="27">
        <f>IF(ISNUMBER($W779),$A779&amp;"|"&amp;$W779,"")</f>
        <v/>
      </c>
      <c r="AB779" s="27">
        <f>IF(ISNUMBER($F779),$A779&amp;"|"&amp;$F779,"")</f>
        <v/>
      </c>
      <c r="AC779" s="27">
        <f>IF(ISNUMBER($P779),COUNTIFS($A$14:$A$1213,$A779,$P$14:$P$1213,"&gt;"&amp;$P779)+(COUNTIFS($A$14:$A$1213,$A779,$P$14:$P$1213,"="&amp;$P779)+1)/2,"")</f>
        <v/>
      </c>
      <c r="AD779" s="27">
        <f>IF(ISNUMBER($Q779),COUNTIFS($A$14:$A$1213,$A779,$Q$14:$Q$1213,"&gt;"&amp;$Q779)+(COUNTIFS($A$14:$A$1213,$A779,$Q$14:$Q$1213,"="&amp;$Q779)+1)/2,"")</f>
        <v/>
      </c>
      <c r="AE779" s="27">
        <f>IF(ISNUMBER($R779),COUNTIFS($A$14:$A$1213,$A779,$R$14:$R$1213,"&gt;"&amp;$R779)+(COUNTIFS($A$14:$A$1213,$A779,$R$14:$R$1213,"="&amp;$R779)+1)/2,"")</f>
        <v/>
      </c>
      <c r="AF779" s="27">
        <f>IF(ISNUMBER($S779),COUNTIFS($A$14:$A$1213,$A779,$S$14:$S$1213,"&gt;"&amp;$S779)+(COUNTIFS($A$14:$A$1213,$A779,$S$14:$S$1213,"="&amp;$S779)+1)/2,"")</f>
        <v/>
      </c>
      <c r="AG779" s="27">
        <f>IF(ISNUMBER($T779),COUNTIFS($A$14:$A$1213,$A779,$T$14:$T$1213,"&gt;"&amp;$T779)+(COUNTIFS($A$14:$A$1213,$A779,$T$14:$T$1213,"="&amp;$T779)+1)/2,"")</f>
        <v/>
      </c>
      <c r="AH779" s="27">
        <f>IF(COUNT($AC779:$AG779)&lt;2,"",IF(MAX($AC779:$AG779)=MIN($AC779:$AG779),0,1))</f>
        <v/>
      </c>
      <c r="AI779" s="27">
        <f>IF($A779="","",IF(COUNTIF($A$14:$A779,$A779)=1,COUNTIF($AI$13:AI778,"&gt;0")+1,""))</f>
        <v/>
      </c>
      <c r="AO779" s="27">
        <f>IF($A779="","",IF(AND(COUNTIFS($A$14:$A$1213,$A779,$F$14:$F$1213,"&gt;=0")=2,IFERROR(INDEX($M$14:$M$313,MATCH($A779,$H$14:$H$313,0)),"Yes")&lt;&gt;"Yes"),1,0))</f>
        <v/>
      </c>
    </row>
    <row r="780">
      <c r="A780" s="19" t="n"/>
      <c r="B780" s="20" t="n"/>
      <c r="C780" s="21">
        <f>IFERROR(AVERAGE(P780:T780),"")</f>
        <v/>
      </c>
      <c r="D780" s="29" t="n"/>
      <c r="E780" s="29" t="n"/>
      <c r="F780" s="30">
        <f>IF(AND(ISNUMBER($D780),ISNUMBER($E780),$E780&gt;0,$D780&lt;=$E780),$D780/$E780,"")</f>
        <v/>
      </c>
      <c r="P780" s="26" t="n"/>
      <c r="Q780" s="26" t="n"/>
      <c r="R780" s="26" t="n"/>
      <c r="S780" s="26" t="n"/>
      <c r="T780" s="26" t="n"/>
      <c r="V780" s="27">
        <f>IF(ISNUMBER($C780),COUNTIFS($A$14:$A$1213,$A780,$C$14:$C$1213,"&gt;"&amp;$C780)+(COUNTIFS($A$14:$A$1213,$A780,$C$14:$C$1213,"="&amp;$C780)+1)/2,"")</f>
        <v/>
      </c>
      <c r="W780" s="27">
        <f>IF(ISNUMBER($F780),COUNTIFS($A$14:$A$1213,$A780,$F$14:$F$1213,"&gt;"&amp;$F780)+(COUNTIFS($A$14:$A$1213,$A780,$F$14:$F$1213,"="&amp;$F780)+1)/2,"")</f>
        <v/>
      </c>
      <c r="X780" s="27">
        <f>IF(OR(NOT(ISNUMBER($V780)),$AO780=1),"",$V780-(COUNTIFS($A$14:$A$1213,$A780,$C$14:$C$1213,"&gt;=0")+1)/2)</f>
        <v/>
      </c>
      <c r="Y780" s="27">
        <f>IF(OR(NOT(ISNUMBER($W780)),$AO780=1),"",$W780-(COUNTIFS($A$14:$A$1213,$A780,$F$14:$F$1213,"&gt;=0")+1)/2)</f>
        <v/>
      </c>
      <c r="Z780" s="27">
        <f>IF(ISNUMBER($V780),$A780&amp;"|"&amp;$V780,"")</f>
        <v/>
      </c>
      <c r="AA780" s="27">
        <f>IF(ISNUMBER($W780),$A780&amp;"|"&amp;$W780,"")</f>
        <v/>
      </c>
      <c r="AB780" s="27">
        <f>IF(ISNUMBER($F780),$A780&amp;"|"&amp;$F780,"")</f>
        <v/>
      </c>
      <c r="AC780" s="27">
        <f>IF(ISNUMBER($P780),COUNTIFS($A$14:$A$1213,$A780,$P$14:$P$1213,"&gt;"&amp;$P780)+(COUNTIFS($A$14:$A$1213,$A780,$P$14:$P$1213,"="&amp;$P780)+1)/2,"")</f>
        <v/>
      </c>
      <c r="AD780" s="27">
        <f>IF(ISNUMBER($Q780),COUNTIFS($A$14:$A$1213,$A780,$Q$14:$Q$1213,"&gt;"&amp;$Q780)+(COUNTIFS($A$14:$A$1213,$A780,$Q$14:$Q$1213,"="&amp;$Q780)+1)/2,"")</f>
        <v/>
      </c>
      <c r="AE780" s="27">
        <f>IF(ISNUMBER($R780),COUNTIFS($A$14:$A$1213,$A780,$R$14:$R$1213,"&gt;"&amp;$R780)+(COUNTIFS($A$14:$A$1213,$A780,$R$14:$R$1213,"="&amp;$R780)+1)/2,"")</f>
        <v/>
      </c>
      <c r="AF780" s="27">
        <f>IF(ISNUMBER($S780),COUNTIFS($A$14:$A$1213,$A780,$S$14:$S$1213,"&gt;"&amp;$S780)+(COUNTIFS($A$14:$A$1213,$A780,$S$14:$S$1213,"="&amp;$S780)+1)/2,"")</f>
        <v/>
      </c>
      <c r="AG780" s="27">
        <f>IF(ISNUMBER($T780),COUNTIFS($A$14:$A$1213,$A780,$T$14:$T$1213,"&gt;"&amp;$T780)+(COUNTIFS($A$14:$A$1213,$A780,$T$14:$T$1213,"="&amp;$T780)+1)/2,"")</f>
        <v/>
      </c>
      <c r="AH780" s="27">
        <f>IF(COUNT($AC780:$AG780)&lt;2,"",IF(MAX($AC780:$AG780)=MIN($AC780:$AG780),0,1))</f>
        <v/>
      </c>
      <c r="AI780" s="27">
        <f>IF($A780="","",IF(COUNTIF($A$14:$A780,$A780)=1,COUNTIF($AI$13:AI779,"&gt;0")+1,""))</f>
        <v/>
      </c>
      <c r="AO780" s="27">
        <f>IF($A780="","",IF(AND(COUNTIFS($A$14:$A$1213,$A780,$F$14:$F$1213,"&gt;=0")=2,IFERROR(INDEX($M$14:$M$313,MATCH($A780,$H$14:$H$313,0)),"Yes")&lt;&gt;"Yes"),1,0))</f>
        <v/>
      </c>
    </row>
    <row r="781">
      <c r="A781" s="19" t="n"/>
      <c r="B781" s="20" t="n"/>
      <c r="C781" s="21">
        <f>IFERROR(AVERAGE(P781:T781),"")</f>
        <v/>
      </c>
      <c r="D781" s="29" t="n"/>
      <c r="E781" s="29" t="n"/>
      <c r="F781" s="30">
        <f>IF(AND(ISNUMBER($D781),ISNUMBER($E781),$E781&gt;0,$D781&lt;=$E781),$D781/$E781,"")</f>
        <v/>
      </c>
      <c r="P781" s="26" t="n"/>
      <c r="Q781" s="26" t="n"/>
      <c r="R781" s="26" t="n"/>
      <c r="S781" s="26" t="n"/>
      <c r="T781" s="26" t="n"/>
      <c r="V781" s="27">
        <f>IF(ISNUMBER($C781),COUNTIFS($A$14:$A$1213,$A781,$C$14:$C$1213,"&gt;"&amp;$C781)+(COUNTIFS($A$14:$A$1213,$A781,$C$14:$C$1213,"="&amp;$C781)+1)/2,"")</f>
        <v/>
      </c>
      <c r="W781" s="27">
        <f>IF(ISNUMBER($F781),COUNTIFS($A$14:$A$1213,$A781,$F$14:$F$1213,"&gt;"&amp;$F781)+(COUNTIFS($A$14:$A$1213,$A781,$F$14:$F$1213,"="&amp;$F781)+1)/2,"")</f>
        <v/>
      </c>
      <c r="X781" s="27">
        <f>IF(OR(NOT(ISNUMBER($V781)),$AO781=1),"",$V781-(COUNTIFS($A$14:$A$1213,$A781,$C$14:$C$1213,"&gt;=0")+1)/2)</f>
        <v/>
      </c>
      <c r="Y781" s="27">
        <f>IF(OR(NOT(ISNUMBER($W781)),$AO781=1),"",$W781-(COUNTIFS($A$14:$A$1213,$A781,$F$14:$F$1213,"&gt;=0")+1)/2)</f>
        <v/>
      </c>
      <c r="Z781" s="27">
        <f>IF(ISNUMBER($V781),$A781&amp;"|"&amp;$V781,"")</f>
        <v/>
      </c>
      <c r="AA781" s="27">
        <f>IF(ISNUMBER($W781),$A781&amp;"|"&amp;$W781,"")</f>
        <v/>
      </c>
      <c r="AB781" s="27">
        <f>IF(ISNUMBER($F781),$A781&amp;"|"&amp;$F781,"")</f>
        <v/>
      </c>
      <c r="AC781" s="27">
        <f>IF(ISNUMBER($P781),COUNTIFS($A$14:$A$1213,$A781,$P$14:$P$1213,"&gt;"&amp;$P781)+(COUNTIFS($A$14:$A$1213,$A781,$P$14:$P$1213,"="&amp;$P781)+1)/2,"")</f>
        <v/>
      </c>
      <c r="AD781" s="27">
        <f>IF(ISNUMBER($Q781),COUNTIFS($A$14:$A$1213,$A781,$Q$14:$Q$1213,"&gt;"&amp;$Q781)+(COUNTIFS($A$14:$A$1213,$A781,$Q$14:$Q$1213,"="&amp;$Q781)+1)/2,"")</f>
        <v/>
      </c>
      <c r="AE781" s="27">
        <f>IF(ISNUMBER($R781),COUNTIFS($A$14:$A$1213,$A781,$R$14:$R$1213,"&gt;"&amp;$R781)+(COUNTIFS($A$14:$A$1213,$A781,$R$14:$R$1213,"="&amp;$R781)+1)/2,"")</f>
        <v/>
      </c>
      <c r="AF781" s="27">
        <f>IF(ISNUMBER($S781),COUNTIFS($A$14:$A$1213,$A781,$S$14:$S$1213,"&gt;"&amp;$S781)+(COUNTIFS($A$14:$A$1213,$A781,$S$14:$S$1213,"="&amp;$S781)+1)/2,"")</f>
        <v/>
      </c>
      <c r="AG781" s="27">
        <f>IF(ISNUMBER($T781),COUNTIFS($A$14:$A$1213,$A781,$T$14:$T$1213,"&gt;"&amp;$T781)+(COUNTIFS($A$14:$A$1213,$A781,$T$14:$T$1213,"="&amp;$T781)+1)/2,"")</f>
        <v/>
      </c>
      <c r="AH781" s="27">
        <f>IF(COUNT($AC781:$AG781)&lt;2,"",IF(MAX($AC781:$AG781)=MIN($AC781:$AG781),0,1))</f>
        <v/>
      </c>
      <c r="AI781" s="27">
        <f>IF($A781="","",IF(COUNTIF($A$14:$A781,$A781)=1,COUNTIF($AI$13:AI780,"&gt;0")+1,""))</f>
        <v/>
      </c>
      <c r="AO781" s="27">
        <f>IF($A781="","",IF(AND(COUNTIFS($A$14:$A$1213,$A781,$F$14:$F$1213,"&gt;=0")=2,IFERROR(INDEX($M$14:$M$313,MATCH($A781,$H$14:$H$313,0)),"Yes")&lt;&gt;"Yes"),1,0))</f>
        <v/>
      </c>
    </row>
    <row r="782">
      <c r="A782" s="19" t="n"/>
      <c r="B782" s="20" t="n"/>
      <c r="C782" s="21">
        <f>IFERROR(AVERAGE(P782:T782),"")</f>
        <v/>
      </c>
      <c r="D782" s="29" t="n"/>
      <c r="E782" s="29" t="n"/>
      <c r="F782" s="30">
        <f>IF(AND(ISNUMBER($D782),ISNUMBER($E782),$E782&gt;0,$D782&lt;=$E782),$D782/$E782,"")</f>
        <v/>
      </c>
      <c r="P782" s="26" t="n"/>
      <c r="Q782" s="26" t="n"/>
      <c r="R782" s="26" t="n"/>
      <c r="S782" s="26" t="n"/>
      <c r="T782" s="26" t="n"/>
      <c r="V782" s="27">
        <f>IF(ISNUMBER($C782),COUNTIFS($A$14:$A$1213,$A782,$C$14:$C$1213,"&gt;"&amp;$C782)+(COUNTIFS($A$14:$A$1213,$A782,$C$14:$C$1213,"="&amp;$C782)+1)/2,"")</f>
        <v/>
      </c>
      <c r="W782" s="27">
        <f>IF(ISNUMBER($F782),COUNTIFS($A$14:$A$1213,$A782,$F$14:$F$1213,"&gt;"&amp;$F782)+(COUNTIFS($A$14:$A$1213,$A782,$F$14:$F$1213,"="&amp;$F782)+1)/2,"")</f>
        <v/>
      </c>
      <c r="X782" s="27">
        <f>IF(OR(NOT(ISNUMBER($V782)),$AO782=1),"",$V782-(COUNTIFS($A$14:$A$1213,$A782,$C$14:$C$1213,"&gt;=0")+1)/2)</f>
        <v/>
      </c>
      <c r="Y782" s="27">
        <f>IF(OR(NOT(ISNUMBER($W782)),$AO782=1),"",$W782-(COUNTIFS($A$14:$A$1213,$A782,$F$14:$F$1213,"&gt;=0")+1)/2)</f>
        <v/>
      </c>
      <c r="Z782" s="27">
        <f>IF(ISNUMBER($V782),$A782&amp;"|"&amp;$V782,"")</f>
        <v/>
      </c>
      <c r="AA782" s="27">
        <f>IF(ISNUMBER($W782),$A782&amp;"|"&amp;$W782,"")</f>
        <v/>
      </c>
      <c r="AB782" s="27">
        <f>IF(ISNUMBER($F782),$A782&amp;"|"&amp;$F782,"")</f>
        <v/>
      </c>
      <c r="AC782" s="27">
        <f>IF(ISNUMBER($P782),COUNTIFS($A$14:$A$1213,$A782,$P$14:$P$1213,"&gt;"&amp;$P782)+(COUNTIFS($A$14:$A$1213,$A782,$P$14:$P$1213,"="&amp;$P782)+1)/2,"")</f>
        <v/>
      </c>
      <c r="AD782" s="27">
        <f>IF(ISNUMBER($Q782),COUNTIFS($A$14:$A$1213,$A782,$Q$14:$Q$1213,"&gt;"&amp;$Q782)+(COUNTIFS($A$14:$A$1213,$A782,$Q$14:$Q$1213,"="&amp;$Q782)+1)/2,"")</f>
        <v/>
      </c>
      <c r="AE782" s="27">
        <f>IF(ISNUMBER($R782),COUNTIFS($A$14:$A$1213,$A782,$R$14:$R$1213,"&gt;"&amp;$R782)+(COUNTIFS($A$14:$A$1213,$A782,$R$14:$R$1213,"="&amp;$R782)+1)/2,"")</f>
        <v/>
      </c>
      <c r="AF782" s="27">
        <f>IF(ISNUMBER($S782),COUNTIFS($A$14:$A$1213,$A782,$S$14:$S$1213,"&gt;"&amp;$S782)+(COUNTIFS($A$14:$A$1213,$A782,$S$14:$S$1213,"="&amp;$S782)+1)/2,"")</f>
        <v/>
      </c>
      <c r="AG782" s="27">
        <f>IF(ISNUMBER($T782),COUNTIFS($A$14:$A$1213,$A782,$T$14:$T$1213,"&gt;"&amp;$T782)+(COUNTIFS($A$14:$A$1213,$A782,$T$14:$T$1213,"="&amp;$T782)+1)/2,"")</f>
        <v/>
      </c>
      <c r="AH782" s="27">
        <f>IF(COUNT($AC782:$AG782)&lt;2,"",IF(MAX($AC782:$AG782)=MIN($AC782:$AG782),0,1))</f>
        <v/>
      </c>
      <c r="AI782" s="27">
        <f>IF($A782="","",IF(COUNTIF($A$14:$A782,$A782)=1,COUNTIF($AI$13:AI781,"&gt;0")+1,""))</f>
        <v/>
      </c>
      <c r="AO782" s="27">
        <f>IF($A782="","",IF(AND(COUNTIFS($A$14:$A$1213,$A782,$F$14:$F$1213,"&gt;=0")=2,IFERROR(INDEX($M$14:$M$313,MATCH($A782,$H$14:$H$313,0)),"Yes")&lt;&gt;"Yes"),1,0))</f>
        <v/>
      </c>
    </row>
    <row r="783">
      <c r="A783" s="19" t="n"/>
      <c r="B783" s="20" t="n"/>
      <c r="C783" s="21">
        <f>IFERROR(AVERAGE(P783:T783),"")</f>
        <v/>
      </c>
      <c r="D783" s="29" t="n"/>
      <c r="E783" s="29" t="n"/>
      <c r="F783" s="30">
        <f>IF(AND(ISNUMBER($D783),ISNUMBER($E783),$E783&gt;0,$D783&lt;=$E783),$D783/$E783,"")</f>
        <v/>
      </c>
      <c r="P783" s="26" t="n"/>
      <c r="Q783" s="26" t="n"/>
      <c r="R783" s="26" t="n"/>
      <c r="S783" s="26" t="n"/>
      <c r="T783" s="26" t="n"/>
      <c r="V783" s="27">
        <f>IF(ISNUMBER($C783),COUNTIFS($A$14:$A$1213,$A783,$C$14:$C$1213,"&gt;"&amp;$C783)+(COUNTIFS($A$14:$A$1213,$A783,$C$14:$C$1213,"="&amp;$C783)+1)/2,"")</f>
        <v/>
      </c>
      <c r="W783" s="27">
        <f>IF(ISNUMBER($F783),COUNTIFS($A$14:$A$1213,$A783,$F$14:$F$1213,"&gt;"&amp;$F783)+(COUNTIFS($A$14:$A$1213,$A783,$F$14:$F$1213,"="&amp;$F783)+1)/2,"")</f>
        <v/>
      </c>
      <c r="X783" s="27">
        <f>IF(OR(NOT(ISNUMBER($V783)),$AO783=1),"",$V783-(COUNTIFS($A$14:$A$1213,$A783,$C$14:$C$1213,"&gt;=0")+1)/2)</f>
        <v/>
      </c>
      <c r="Y783" s="27">
        <f>IF(OR(NOT(ISNUMBER($W783)),$AO783=1),"",$W783-(COUNTIFS($A$14:$A$1213,$A783,$F$14:$F$1213,"&gt;=0")+1)/2)</f>
        <v/>
      </c>
      <c r="Z783" s="27">
        <f>IF(ISNUMBER($V783),$A783&amp;"|"&amp;$V783,"")</f>
        <v/>
      </c>
      <c r="AA783" s="27">
        <f>IF(ISNUMBER($W783),$A783&amp;"|"&amp;$W783,"")</f>
        <v/>
      </c>
      <c r="AB783" s="27">
        <f>IF(ISNUMBER($F783),$A783&amp;"|"&amp;$F783,"")</f>
        <v/>
      </c>
      <c r="AC783" s="27">
        <f>IF(ISNUMBER($P783),COUNTIFS($A$14:$A$1213,$A783,$P$14:$P$1213,"&gt;"&amp;$P783)+(COUNTIFS($A$14:$A$1213,$A783,$P$14:$P$1213,"="&amp;$P783)+1)/2,"")</f>
        <v/>
      </c>
      <c r="AD783" s="27">
        <f>IF(ISNUMBER($Q783),COUNTIFS($A$14:$A$1213,$A783,$Q$14:$Q$1213,"&gt;"&amp;$Q783)+(COUNTIFS($A$14:$A$1213,$A783,$Q$14:$Q$1213,"="&amp;$Q783)+1)/2,"")</f>
        <v/>
      </c>
      <c r="AE783" s="27">
        <f>IF(ISNUMBER($R783),COUNTIFS($A$14:$A$1213,$A783,$R$14:$R$1213,"&gt;"&amp;$R783)+(COUNTIFS($A$14:$A$1213,$A783,$R$14:$R$1213,"="&amp;$R783)+1)/2,"")</f>
        <v/>
      </c>
      <c r="AF783" s="27">
        <f>IF(ISNUMBER($S783),COUNTIFS($A$14:$A$1213,$A783,$S$14:$S$1213,"&gt;"&amp;$S783)+(COUNTIFS($A$14:$A$1213,$A783,$S$14:$S$1213,"="&amp;$S783)+1)/2,"")</f>
        <v/>
      </c>
      <c r="AG783" s="27">
        <f>IF(ISNUMBER($T783),COUNTIFS($A$14:$A$1213,$A783,$T$14:$T$1213,"&gt;"&amp;$T783)+(COUNTIFS($A$14:$A$1213,$A783,$T$14:$T$1213,"="&amp;$T783)+1)/2,"")</f>
        <v/>
      </c>
      <c r="AH783" s="27">
        <f>IF(COUNT($AC783:$AG783)&lt;2,"",IF(MAX($AC783:$AG783)=MIN($AC783:$AG783),0,1))</f>
        <v/>
      </c>
      <c r="AI783" s="27">
        <f>IF($A783="","",IF(COUNTIF($A$14:$A783,$A783)=1,COUNTIF($AI$13:AI782,"&gt;0")+1,""))</f>
        <v/>
      </c>
      <c r="AO783" s="27">
        <f>IF($A783="","",IF(AND(COUNTIFS($A$14:$A$1213,$A783,$F$14:$F$1213,"&gt;=0")=2,IFERROR(INDEX($M$14:$M$313,MATCH($A783,$H$14:$H$313,0)),"Yes")&lt;&gt;"Yes"),1,0))</f>
        <v/>
      </c>
    </row>
    <row r="784">
      <c r="A784" s="19" t="n"/>
      <c r="B784" s="20" t="n"/>
      <c r="C784" s="21">
        <f>IFERROR(AVERAGE(P784:T784),"")</f>
        <v/>
      </c>
      <c r="D784" s="29" t="n"/>
      <c r="E784" s="29" t="n"/>
      <c r="F784" s="30">
        <f>IF(AND(ISNUMBER($D784),ISNUMBER($E784),$E784&gt;0,$D784&lt;=$E784),$D784/$E784,"")</f>
        <v/>
      </c>
      <c r="P784" s="26" t="n"/>
      <c r="Q784" s="26" t="n"/>
      <c r="R784" s="26" t="n"/>
      <c r="S784" s="26" t="n"/>
      <c r="T784" s="26" t="n"/>
      <c r="V784" s="27">
        <f>IF(ISNUMBER($C784),COUNTIFS($A$14:$A$1213,$A784,$C$14:$C$1213,"&gt;"&amp;$C784)+(COUNTIFS($A$14:$A$1213,$A784,$C$14:$C$1213,"="&amp;$C784)+1)/2,"")</f>
        <v/>
      </c>
      <c r="W784" s="27">
        <f>IF(ISNUMBER($F784),COUNTIFS($A$14:$A$1213,$A784,$F$14:$F$1213,"&gt;"&amp;$F784)+(COUNTIFS($A$14:$A$1213,$A784,$F$14:$F$1213,"="&amp;$F784)+1)/2,"")</f>
        <v/>
      </c>
      <c r="X784" s="27">
        <f>IF(OR(NOT(ISNUMBER($V784)),$AO784=1),"",$V784-(COUNTIFS($A$14:$A$1213,$A784,$C$14:$C$1213,"&gt;=0")+1)/2)</f>
        <v/>
      </c>
      <c r="Y784" s="27">
        <f>IF(OR(NOT(ISNUMBER($W784)),$AO784=1),"",$W784-(COUNTIFS($A$14:$A$1213,$A784,$F$14:$F$1213,"&gt;=0")+1)/2)</f>
        <v/>
      </c>
      <c r="Z784" s="27">
        <f>IF(ISNUMBER($V784),$A784&amp;"|"&amp;$V784,"")</f>
        <v/>
      </c>
      <c r="AA784" s="27">
        <f>IF(ISNUMBER($W784),$A784&amp;"|"&amp;$W784,"")</f>
        <v/>
      </c>
      <c r="AB784" s="27">
        <f>IF(ISNUMBER($F784),$A784&amp;"|"&amp;$F784,"")</f>
        <v/>
      </c>
      <c r="AC784" s="27">
        <f>IF(ISNUMBER($P784),COUNTIFS($A$14:$A$1213,$A784,$P$14:$P$1213,"&gt;"&amp;$P784)+(COUNTIFS($A$14:$A$1213,$A784,$P$14:$P$1213,"="&amp;$P784)+1)/2,"")</f>
        <v/>
      </c>
      <c r="AD784" s="27">
        <f>IF(ISNUMBER($Q784),COUNTIFS($A$14:$A$1213,$A784,$Q$14:$Q$1213,"&gt;"&amp;$Q784)+(COUNTIFS($A$14:$A$1213,$A784,$Q$14:$Q$1213,"="&amp;$Q784)+1)/2,"")</f>
        <v/>
      </c>
      <c r="AE784" s="27">
        <f>IF(ISNUMBER($R784),COUNTIFS($A$14:$A$1213,$A784,$R$14:$R$1213,"&gt;"&amp;$R784)+(COUNTIFS($A$14:$A$1213,$A784,$R$14:$R$1213,"="&amp;$R784)+1)/2,"")</f>
        <v/>
      </c>
      <c r="AF784" s="27">
        <f>IF(ISNUMBER($S784),COUNTIFS($A$14:$A$1213,$A784,$S$14:$S$1213,"&gt;"&amp;$S784)+(COUNTIFS($A$14:$A$1213,$A784,$S$14:$S$1213,"="&amp;$S784)+1)/2,"")</f>
        <v/>
      </c>
      <c r="AG784" s="27">
        <f>IF(ISNUMBER($T784),COUNTIFS($A$14:$A$1213,$A784,$T$14:$T$1213,"&gt;"&amp;$T784)+(COUNTIFS($A$14:$A$1213,$A784,$T$14:$T$1213,"="&amp;$T784)+1)/2,"")</f>
        <v/>
      </c>
      <c r="AH784" s="27">
        <f>IF(COUNT($AC784:$AG784)&lt;2,"",IF(MAX($AC784:$AG784)=MIN($AC784:$AG784),0,1))</f>
        <v/>
      </c>
      <c r="AI784" s="27">
        <f>IF($A784="","",IF(COUNTIF($A$14:$A784,$A784)=1,COUNTIF($AI$13:AI783,"&gt;0")+1,""))</f>
        <v/>
      </c>
      <c r="AO784" s="27">
        <f>IF($A784="","",IF(AND(COUNTIFS($A$14:$A$1213,$A784,$F$14:$F$1213,"&gt;=0")=2,IFERROR(INDEX($M$14:$M$313,MATCH($A784,$H$14:$H$313,0)),"Yes")&lt;&gt;"Yes"),1,0))</f>
        <v/>
      </c>
    </row>
    <row r="785">
      <c r="A785" s="19" t="n"/>
      <c r="B785" s="20" t="n"/>
      <c r="C785" s="21">
        <f>IFERROR(AVERAGE(P785:T785),"")</f>
        <v/>
      </c>
      <c r="D785" s="29" t="n"/>
      <c r="E785" s="29" t="n"/>
      <c r="F785" s="30">
        <f>IF(AND(ISNUMBER($D785),ISNUMBER($E785),$E785&gt;0,$D785&lt;=$E785),$D785/$E785,"")</f>
        <v/>
      </c>
      <c r="P785" s="26" t="n"/>
      <c r="Q785" s="26" t="n"/>
      <c r="R785" s="26" t="n"/>
      <c r="S785" s="26" t="n"/>
      <c r="T785" s="26" t="n"/>
      <c r="V785" s="27">
        <f>IF(ISNUMBER($C785),COUNTIFS($A$14:$A$1213,$A785,$C$14:$C$1213,"&gt;"&amp;$C785)+(COUNTIFS($A$14:$A$1213,$A785,$C$14:$C$1213,"="&amp;$C785)+1)/2,"")</f>
        <v/>
      </c>
      <c r="W785" s="27">
        <f>IF(ISNUMBER($F785),COUNTIFS($A$14:$A$1213,$A785,$F$14:$F$1213,"&gt;"&amp;$F785)+(COUNTIFS($A$14:$A$1213,$A785,$F$14:$F$1213,"="&amp;$F785)+1)/2,"")</f>
        <v/>
      </c>
      <c r="X785" s="27">
        <f>IF(OR(NOT(ISNUMBER($V785)),$AO785=1),"",$V785-(COUNTIFS($A$14:$A$1213,$A785,$C$14:$C$1213,"&gt;=0")+1)/2)</f>
        <v/>
      </c>
      <c r="Y785" s="27">
        <f>IF(OR(NOT(ISNUMBER($W785)),$AO785=1),"",$W785-(COUNTIFS($A$14:$A$1213,$A785,$F$14:$F$1213,"&gt;=0")+1)/2)</f>
        <v/>
      </c>
      <c r="Z785" s="27">
        <f>IF(ISNUMBER($V785),$A785&amp;"|"&amp;$V785,"")</f>
        <v/>
      </c>
      <c r="AA785" s="27">
        <f>IF(ISNUMBER($W785),$A785&amp;"|"&amp;$W785,"")</f>
        <v/>
      </c>
      <c r="AB785" s="27">
        <f>IF(ISNUMBER($F785),$A785&amp;"|"&amp;$F785,"")</f>
        <v/>
      </c>
      <c r="AC785" s="27">
        <f>IF(ISNUMBER($P785),COUNTIFS($A$14:$A$1213,$A785,$P$14:$P$1213,"&gt;"&amp;$P785)+(COUNTIFS($A$14:$A$1213,$A785,$P$14:$P$1213,"="&amp;$P785)+1)/2,"")</f>
        <v/>
      </c>
      <c r="AD785" s="27">
        <f>IF(ISNUMBER($Q785),COUNTIFS($A$14:$A$1213,$A785,$Q$14:$Q$1213,"&gt;"&amp;$Q785)+(COUNTIFS($A$14:$A$1213,$A785,$Q$14:$Q$1213,"="&amp;$Q785)+1)/2,"")</f>
        <v/>
      </c>
      <c r="AE785" s="27">
        <f>IF(ISNUMBER($R785),COUNTIFS($A$14:$A$1213,$A785,$R$14:$R$1213,"&gt;"&amp;$R785)+(COUNTIFS($A$14:$A$1213,$A785,$R$14:$R$1213,"="&amp;$R785)+1)/2,"")</f>
        <v/>
      </c>
      <c r="AF785" s="27">
        <f>IF(ISNUMBER($S785),COUNTIFS($A$14:$A$1213,$A785,$S$14:$S$1213,"&gt;"&amp;$S785)+(COUNTIFS($A$14:$A$1213,$A785,$S$14:$S$1213,"="&amp;$S785)+1)/2,"")</f>
        <v/>
      </c>
      <c r="AG785" s="27">
        <f>IF(ISNUMBER($T785),COUNTIFS($A$14:$A$1213,$A785,$T$14:$T$1213,"&gt;"&amp;$T785)+(COUNTIFS($A$14:$A$1213,$A785,$T$14:$T$1213,"="&amp;$T785)+1)/2,"")</f>
        <v/>
      </c>
      <c r="AH785" s="27">
        <f>IF(COUNT($AC785:$AG785)&lt;2,"",IF(MAX($AC785:$AG785)=MIN($AC785:$AG785),0,1))</f>
        <v/>
      </c>
      <c r="AI785" s="27">
        <f>IF($A785="","",IF(COUNTIF($A$14:$A785,$A785)=1,COUNTIF($AI$13:AI784,"&gt;0")+1,""))</f>
        <v/>
      </c>
      <c r="AO785" s="27">
        <f>IF($A785="","",IF(AND(COUNTIFS($A$14:$A$1213,$A785,$F$14:$F$1213,"&gt;=0")=2,IFERROR(INDEX($M$14:$M$313,MATCH($A785,$H$14:$H$313,0)),"Yes")&lt;&gt;"Yes"),1,0))</f>
        <v/>
      </c>
    </row>
    <row r="786">
      <c r="A786" s="19" t="n"/>
      <c r="B786" s="20" t="n"/>
      <c r="C786" s="21">
        <f>IFERROR(AVERAGE(P786:T786),"")</f>
        <v/>
      </c>
      <c r="D786" s="29" t="n"/>
      <c r="E786" s="29" t="n"/>
      <c r="F786" s="30">
        <f>IF(AND(ISNUMBER($D786),ISNUMBER($E786),$E786&gt;0,$D786&lt;=$E786),$D786/$E786,"")</f>
        <v/>
      </c>
      <c r="P786" s="26" t="n"/>
      <c r="Q786" s="26" t="n"/>
      <c r="R786" s="26" t="n"/>
      <c r="S786" s="26" t="n"/>
      <c r="T786" s="26" t="n"/>
      <c r="V786" s="27">
        <f>IF(ISNUMBER($C786),COUNTIFS($A$14:$A$1213,$A786,$C$14:$C$1213,"&gt;"&amp;$C786)+(COUNTIFS($A$14:$A$1213,$A786,$C$14:$C$1213,"="&amp;$C786)+1)/2,"")</f>
        <v/>
      </c>
      <c r="W786" s="27">
        <f>IF(ISNUMBER($F786),COUNTIFS($A$14:$A$1213,$A786,$F$14:$F$1213,"&gt;"&amp;$F786)+(COUNTIFS($A$14:$A$1213,$A786,$F$14:$F$1213,"="&amp;$F786)+1)/2,"")</f>
        <v/>
      </c>
      <c r="X786" s="27">
        <f>IF(OR(NOT(ISNUMBER($V786)),$AO786=1),"",$V786-(COUNTIFS($A$14:$A$1213,$A786,$C$14:$C$1213,"&gt;=0")+1)/2)</f>
        <v/>
      </c>
      <c r="Y786" s="27">
        <f>IF(OR(NOT(ISNUMBER($W786)),$AO786=1),"",$W786-(COUNTIFS($A$14:$A$1213,$A786,$F$14:$F$1213,"&gt;=0")+1)/2)</f>
        <v/>
      </c>
      <c r="Z786" s="27">
        <f>IF(ISNUMBER($V786),$A786&amp;"|"&amp;$V786,"")</f>
        <v/>
      </c>
      <c r="AA786" s="27">
        <f>IF(ISNUMBER($W786),$A786&amp;"|"&amp;$W786,"")</f>
        <v/>
      </c>
      <c r="AB786" s="27">
        <f>IF(ISNUMBER($F786),$A786&amp;"|"&amp;$F786,"")</f>
        <v/>
      </c>
      <c r="AC786" s="27">
        <f>IF(ISNUMBER($P786),COUNTIFS($A$14:$A$1213,$A786,$P$14:$P$1213,"&gt;"&amp;$P786)+(COUNTIFS($A$14:$A$1213,$A786,$P$14:$P$1213,"="&amp;$P786)+1)/2,"")</f>
        <v/>
      </c>
      <c r="AD786" s="27">
        <f>IF(ISNUMBER($Q786),COUNTIFS($A$14:$A$1213,$A786,$Q$14:$Q$1213,"&gt;"&amp;$Q786)+(COUNTIFS($A$14:$A$1213,$A786,$Q$14:$Q$1213,"="&amp;$Q786)+1)/2,"")</f>
        <v/>
      </c>
      <c r="AE786" s="27">
        <f>IF(ISNUMBER($R786),COUNTIFS($A$14:$A$1213,$A786,$R$14:$R$1213,"&gt;"&amp;$R786)+(COUNTIFS($A$14:$A$1213,$A786,$R$14:$R$1213,"="&amp;$R786)+1)/2,"")</f>
        <v/>
      </c>
      <c r="AF786" s="27">
        <f>IF(ISNUMBER($S786),COUNTIFS($A$14:$A$1213,$A786,$S$14:$S$1213,"&gt;"&amp;$S786)+(COUNTIFS($A$14:$A$1213,$A786,$S$14:$S$1213,"="&amp;$S786)+1)/2,"")</f>
        <v/>
      </c>
      <c r="AG786" s="27">
        <f>IF(ISNUMBER($T786),COUNTIFS($A$14:$A$1213,$A786,$T$14:$T$1213,"&gt;"&amp;$T786)+(COUNTIFS($A$14:$A$1213,$A786,$T$14:$T$1213,"="&amp;$T786)+1)/2,"")</f>
        <v/>
      </c>
      <c r="AH786" s="27">
        <f>IF(COUNT($AC786:$AG786)&lt;2,"",IF(MAX($AC786:$AG786)=MIN($AC786:$AG786),0,1))</f>
        <v/>
      </c>
      <c r="AI786" s="27">
        <f>IF($A786="","",IF(COUNTIF($A$14:$A786,$A786)=1,COUNTIF($AI$13:AI785,"&gt;0")+1,""))</f>
        <v/>
      </c>
      <c r="AO786" s="27">
        <f>IF($A786="","",IF(AND(COUNTIFS($A$14:$A$1213,$A786,$F$14:$F$1213,"&gt;=0")=2,IFERROR(INDEX($M$14:$M$313,MATCH($A786,$H$14:$H$313,0)),"Yes")&lt;&gt;"Yes"),1,0))</f>
        <v/>
      </c>
    </row>
    <row r="787">
      <c r="A787" s="19" t="n"/>
      <c r="B787" s="20" t="n"/>
      <c r="C787" s="21">
        <f>IFERROR(AVERAGE(P787:T787),"")</f>
        <v/>
      </c>
      <c r="D787" s="29" t="n"/>
      <c r="E787" s="29" t="n"/>
      <c r="F787" s="30">
        <f>IF(AND(ISNUMBER($D787),ISNUMBER($E787),$E787&gt;0,$D787&lt;=$E787),$D787/$E787,"")</f>
        <v/>
      </c>
      <c r="P787" s="26" t="n"/>
      <c r="Q787" s="26" t="n"/>
      <c r="R787" s="26" t="n"/>
      <c r="S787" s="26" t="n"/>
      <c r="T787" s="26" t="n"/>
      <c r="V787" s="27">
        <f>IF(ISNUMBER($C787),COUNTIFS($A$14:$A$1213,$A787,$C$14:$C$1213,"&gt;"&amp;$C787)+(COUNTIFS($A$14:$A$1213,$A787,$C$14:$C$1213,"="&amp;$C787)+1)/2,"")</f>
        <v/>
      </c>
      <c r="W787" s="27">
        <f>IF(ISNUMBER($F787),COUNTIFS($A$14:$A$1213,$A787,$F$14:$F$1213,"&gt;"&amp;$F787)+(COUNTIFS($A$14:$A$1213,$A787,$F$14:$F$1213,"="&amp;$F787)+1)/2,"")</f>
        <v/>
      </c>
      <c r="X787" s="27">
        <f>IF(OR(NOT(ISNUMBER($V787)),$AO787=1),"",$V787-(COUNTIFS($A$14:$A$1213,$A787,$C$14:$C$1213,"&gt;=0")+1)/2)</f>
        <v/>
      </c>
      <c r="Y787" s="27">
        <f>IF(OR(NOT(ISNUMBER($W787)),$AO787=1),"",$W787-(COUNTIFS($A$14:$A$1213,$A787,$F$14:$F$1213,"&gt;=0")+1)/2)</f>
        <v/>
      </c>
      <c r="Z787" s="27">
        <f>IF(ISNUMBER($V787),$A787&amp;"|"&amp;$V787,"")</f>
        <v/>
      </c>
      <c r="AA787" s="27">
        <f>IF(ISNUMBER($W787),$A787&amp;"|"&amp;$W787,"")</f>
        <v/>
      </c>
      <c r="AB787" s="27">
        <f>IF(ISNUMBER($F787),$A787&amp;"|"&amp;$F787,"")</f>
        <v/>
      </c>
      <c r="AC787" s="27">
        <f>IF(ISNUMBER($P787),COUNTIFS($A$14:$A$1213,$A787,$P$14:$P$1213,"&gt;"&amp;$P787)+(COUNTIFS($A$14:$A$1213,$A787,$P$14:$P$1213,"="&amp;$P787)+1)/2,"")</f>
        <v/>
      </c>
      <c r="AD787" s="27">
        <f>IF(ISNUMBER($Q787),COUNTIFS($A$14:$A$1213,$A787,$Q$14:$Q$1213,"&gt;"&amp;$Q787)+(COUNTIFS($A$14:$A$1213,$A787,$Q$14:$Q$1213,"="&amp;$Q787)+1)/2,"")</f>
        <v/>
      </c>
      <c r="AE787" s="27">
        <f>IF(ISNUMBER($R787),COUNTIFS($A$14:$A$1213,$A787,$R$14:$R$1213,"&gt;"&amp;$R787)+(COUNTIFS($A$14:$A$1213,$A787,$R$14:$R$1213,"="&amp;$R787)+1)/2,"")</f>
        <v/>
      </c>
      <c r="AF787" s="27">
        <f>IF(ISNUMBER($S787),COUNTIFS($A$14:$A$1213,$A787,$S$14:$S$1213,"&gt;"&amp;$S787)+(COUNTIFS($A$14:$A$1213,$A787,$S$14:$S$1213,"="&amp;$S787)+1)/2,"")</f>
        <v/>
      </c>
      <c r="AG787" s="27">
        <f>IF(ISNUMBER($T787),COUNTIFS($A$14:$A$1213,$A787,$T$14:$T$1213,"&gt;"&amp;$T787)+(COUNTIFS($A$14:$A$1213,$A787,$T$14:$T$1213,"="&amp;$T787)+1)/2,"")</f>
        <v/>
      </c>
      <c r="AH787" s="27">
        <f>IF(COUNT($AC787:$AG787)&lt;2,"",IF(MAX($AC787:$AG787)=MIN($AC787:$AG787),0,1))</f>
        <v/>
      </c>
      <c r="AI787" s="27">
        <f>IF($A787="","",IF(COUNTIF($A$14:$A787,$A787)=1,COUNTIF($AI$13:AI786,"&gt;0")+1,""))</f>
        <v/>
      </c>
      <c r="AO787" s="27">
        <f>IF($A787="","",IF(AND(COUNTIFS($A$14:$A$1213,$A787,$F$14:$F$1213,"&gt;=0")=2,IFERROR(INDEX($M$14:$M$313,MATCH($A787,$H$14:$H$313,0)),"Yes")&lt;&gt;"Yes"),1,0))</f>
        <v/>
      </c>
    </row>
    <row r="788">
      <c r="A788" s="19" t="n"/>
      <c r="B788" s="20" t="n"/>
      <c r="C788" s="21">
        <f>IFERROR(AVERAGE(P788:T788),"")</f>
        <v/>
      </c>
      <c r="D788" s="29" t="n"/>
      <c r="E788" s="29" t="n"/>
      <c r="F788" s="30">
        <f>IF(AND(ISNUMBER($D788),ISNUMBER($E788),$E788&gt;0,$D788&lt;=$E788),$D788/$E788,"")</f>
        <v/>
      </c>
      <c r="P788" s="26" t="n"/>
      <c r="Q788" s="26" t="n"/>
      <c r="R788" s="26" t="n"/>
      <c r="S788" s="26" t="n"/>
      <c r="T788" s="26" t="n"/>
      <c r="V788" s="27">
        <f>IF(ISNUMBER($C788),COUNTIFS($A$14:$A$1213,$A788,$C$14:$C$1213,"&gt;"&amp;$C788)+(COUNTIFS($A$14:$A$1213,$A788,$C$14:$C$1213,"="&amp;$C788)+1)/2,"")</f>
        <v/>
      </c>
      <c r="W788" s="27">
        <f>IF(ISNUMBER($F788),COUNTIFS($A$14:$A$1213,$A788,$F$14:$F$1213,"&gt;"&amp;$F788)+(COUNTIFS($A$14:$A$1213,$A788,$F$14:$F$1213,"="&amp;$F788)+1)/2,"")</f>
        <v/>
      </c>
      <c r="X788" s="27">
        <f>IF(OR(NOT(ISNUMBER($V788)),$AO788=1),"",$V788-(COUNTIFS($A$14:$A$1213,$A788,$C$14:$C$1213,"&gt;=0")+1)/2)</f>
        <v/>
      </c>
      <c r="Y788" s="27">
        <f>IF(OR(NOT(ISNUMBER($W788)),$AO788=1),"",$W788-(COUNTIFS($A$14:$A$1213,$A788,$F$14:$F$1213,"&gt;=0")+1)/2)</f>
        <v/>
      </c>
      <c r="Z788" s="27">
        <f>IF(ISNUMBER($V788),$A788&amp;"|"&amp;$V788,"")</f>
        <v/>
      </c>
      <c r="AA788" s="27">
        <f>IF(ISNUMBER($W788),$A788&amp;"|"&amp;$W788,"")</f>
        <v/>
      </c>
      <c r="AB788" s="27">
        <f>IF(ISNUMBER($F788),$A788&amp;"|"&amp;$F788,"")</f>
        <v/>
      </c>
      <c r="AC788" s="27">
        <f>IF(ISNUMBER($P788),COUNTIFS($A$14:$A$1213,$A788,$P$14:$P$1213,"&gt;"&amp;$P788)+(COUNTIFS($A$14:$A$1213,$A788,$P$14:$P$1213,"="&amp;$P788)+1)/2,"")</f>
        <v/>
      </c>
      <c r="AD788" s="27">
        <f>IF(ISNUMBER($Q788),COUNTIFS($A$14:$A$1213,$A788,$Q$14:$Q$1213,"&gt;"&amp;$Q788)+(COUNTIFS($A$14:$A$1213,$A788,$Q$14:$Q$1213,"="&amp;$Q788)+1)/2,"")</f>
        <v/>
      </c>
      <c r="AE788" s="27">
        <f>IF(ISNUMBER($R788),COUNTIFS($A$14:$A$1213,$A788,$R$14:$R$1213,"&gt;"&amp;$R788)+(COUNTIFS($A$14:$A$1213,$A788,$R$14:$R$1213,"="&amp;$R788)+1)/2,"")</f>
        <v/>
      </c>
      <c r="AF788" s="27">
        <f>IF(ISNUMBER($S788),COUNTIFS($A$14:$A$1213,$A788,$S$14:$S$1213,"&gt;"&amp;$S788)+(COUNTIFS($A$14:$A$1213,$A788,$S$14:$S$1213,"="&amp;$S788)+1)/2,"")</f>
        <v/>
      </c>
      <c r="AG788" s="27">
        <f>IF(ISNUMBER($T788),COUNTIFS($A$14:$A$1213,$A788,$T$14:$T$1213,"&gt;"&amp;$T788)+(COUNTIFS($A$14:$A$1213,$A788,$T$14:$T$1213,"="&amp;$T788)+1)/2,"")</f>
        <v/>
      </c>
      <c r="AH788" s="27">
        <f>IF(COUNT($AC788:$AG788)&lt;2,"",IF(MAX($AC788:$AG788)=MIN($AC788:$AG788),0,1))</f>
        <v/>
      </c>
      <c r="AI788" s="27">
        <f>IF($A788="","",IF(COUNTIF($A$14:$A788,$A788)=1,COUNTIF($AI$13:AI787,"&gt;0")+1,""))</f>
        <v/>
      </c>
      <c r="AO788" s="27">
        <f>IF($A788="","",IF(AND(COUNTIFS($A$14:$A$1213,$A788,$F$14:$F$1213,"&gt;=0")=2,IFERROR(INDEX($M$14:$M$313,MATCH($A788,$H$14:$H$313,0)),"Yes")&lt;&gt;"Yes"),1,0))</f>
        <v/>
      </c>
    </row>
    <row r="789">
      <c r="A789" s="19" t="n"/>
      <c r="B789" s="20" t="n"/>
      <c r="C789" s="21">
        <f>IFERROR(AVERAGE(P789:T789),"")</f>
        <v/>
      </c>
      <c r="D789" s="29" t="n"/>
      <c r="E789" s="29" t="n"/>
      <c r="F789" s="30">
        <f>IF(AND(ISNUMBER($D789),ISNUMBER($E789),$E789&gt;0,$D789&lt;=$E789),$D789/$E789,"")</f>
        <v/>
      </c>
      <c r="P789" s="26" t="n"/>
      <c r="Q789" s="26" t="n"/>
      <c r="R789" s="26" t="n"/>
      <c r="S789" s="26" t="n"/>
      <c r="T789" s="26" t="n"/>
      <c r="V789" s="27">
        <f>IF(ISNUMBER($C789),COUNTIFS($A$14:$A$1213,$A789,$C$14:$C$1213,"&gt;"&amp;$C789)+(COUNTIFS($A$14:$A$1213,$A789,$C$14:$C$1213,"="&amp;$C789)+1)/2,"")</f>
        <v/>
      </c>
      <c r="W789" s="27">
        <f>IF(ISNUMBER($F789),COUNTIFS($A$14:$A$1213,$A789,$F$14:$F$1213,"&gt;"&amp;$F789)+(COUNTIFS($A$14:$A$1213,$A789,$F$14:$F$1213,"="&amp;$F789)+1)/2,"")</f>
        <v/>
      </c>
      <c r="X789" s="27">
        <f>IF(OR(NOT(ISNUMBER($V789)),$AO789=1),"",$V789-(COUNTIFS($A$14:$A$1213,$A789,$C$14:$C$1213,"&gt;=0")+1)/2)</f>
        <v/>
      </c>
      <c r="Y789" s="27">
        <f>IF(OR(NOT(ISNUMBER($W789)),$AO789=1),"",$W789-(COUNTIFS($A$14:$A$1213,$A789,$F$14:$F$1213,"&gt;=0")+1)/2)</f>
        <v/>
      </c>
      <c r="Z789" s="27">
        <f>IF(ISNUMBER($V789),$A789&amp;"|"&amp;$V789,"")</f>
        <v/>
      </c>
      <c r="AA789" s="27">
        <f>IF(ISNUMBER($W789),$A789&amp;"|"&amp;$W789,"")</f>
        <v/>
      </c>
      <c r="AB789" s="27">
        <f>IF(ISNUMBER($F789),$A789&amp;"|"&amp;$F789,"")</f>
        <v/>
      </c>
      <c r="AC789" s="27">
        <f>IF(ISNUMBER($P789),COUNTIFS($A$14:$A$1213,$A789,$P$14:$P$1213,"&gt;"&amp;$P789)+(COUNTIFS($A$14:$A$1213,$A789,$P$14:$P$1213,"="&amp;$P789)+1)/2,"")</f>
        <v/>
      </c>
      <c r="AD789" s="27">
        <f>IF(ISNUMBER($Q789),COUNTIFS($A$14:$A$1213,$A789,$Q$14:$Q$1213,"&gt;"&amp;$Q789)+(COUNTIFS($A$14:$A$1213,$A789,$Q$14:$Q$1213,"="&amp;$Q789)+1)/2,"")</f>
        <v/>
      </c>
      <c r="AE789" s="27">
        <f>IF(ISNUMBER($R789),COUNTIFS($A$14:$A$1213,$A789,$R$14:$R$1213,"&gt;"&amp;$R789)+(COUNTIFS($A$14:$A$1213,$A789,$R$14:$R$1213,"="&amp;$R789)+1)/2,"")</f>
        <v/>
      </c>
      <c r="AF789" s="27">
        <f>IF(ISNUMBER($S789),COUNTIFS($A$14:$A$1213,$A789,$S$14:$S$1213,"&gt;"&amp;$S789)+(COUNTIFS($A$14:$A$1213,$A789,$S$14:$S$1213,"="&amp;$S789)+1)/2,"")</f>
        <v/>
      </c>
      <c r="AG789" s="27">
        <f>IF(ISNUMBER($T789),COUNTIFS($A$14:$A$1213,$A789,$T$14:$T$1213,"&gt;"&amp;$T789)+(COUNTIFS($A$14:$A$1213,$A789,$T$14:$T$1213,"="&amp;$T789)+1)/2,"")</f>
        <v/>
      </c>
      <c r="AH789" s="27">
        <f>IF(COUNT($AC789:$AG789)&lt;2,"",IF(MAX($AC789:$AG789)=MIN($AC789:$AG789),0,1))</f>
        <v/>
      </c>
      <c r="AI789" s="27">
        <f>IF($A789="","",IF(COUNTIF($A$14:$A789,$A789)=1,COUNTIF($AI$13:AI788,"&gt;0")+1,""))</f>
        <v/>
      </c>
      <c r="AO789" s="27">
        <f>IF($A789="","",IF(AND(COUNTIFS($A$14:$A$1213,$A789,$F$14:$F$1213,"&gt;=0")=2,IFERROR(INDEX($M$14:$M$313,MATCH($A789,$H$14:$H$313,0)),"Yes")&lt;&gt;"Yes"),1,0))</f>
        <v/>
      </c>
    </row>
    <row r="790">
      <c r="A790" s="19" t="n"/>
      <c r="B790" s="20" t="n"/>
      <c r="C790" s="21">
        <f>IFERROR(AVERAGE(P790:T790),"")</f>
        <v/>
      </c>
      <c r="D790" s="29" t="n"/>
      <c r="E790" s="29" t="n"/>
      <c r="F790" s="30">
        <f>IF(AND(ISNUMBER($D790),ISNUMBER($E790),$E790&gt;0,$D790&lt;=$E790),$D790/$E790,"")</f>
        <v/>
      </c>
      <c r="P790" s="26" t="n"/>
      <c r="Q790" s="26" t="n"/>
      <c r="R790" s="26" t="n"/>
      <c r="S790" s="26" t="n"/>
      <c r="T790" s="26" t="n"/>
      <c r="V790" s="27">
        <f>IF(ISNUMBER($C790),COUNTIFS($A$14:$A$1213,$A790,$C$14:$C$1213,"&gt;"&amp;$C790)+(COUNTIFS($A$14:$A$1213,$A790,$C$14:$C$1213,"="&amp;$C790)+1)/2,"")</f>
        <v/>
      </c>
      <c r="W790" s="27">
        <f>IF(ISNUMBER($F790),COUNTIFS($A$14:$A$1213,$A790,$F$14:$F$1213,"&gt;"&amp;$F790)+(COUNTIFS($A$14:$A$1213,$A790,$F$14:$F$1213,"="&amp;$F790)+1)/2,"")</f>
        <v/>
      </c>
      <c r="X790" s="27">
        <f>IF(OR(NOT(ISNUMBER($V790)),$AO790=1),"",$V790-(COUNTIFS($A$14:$A$1213,$A790,$C$14:$C$1213,"&gt;=0")+1)/2)</f>
        <v/>
      </c>
      <c r="Y790" s="27">
        <f>IF(OR(NOT(ISNUMBER($W790)),$AO790=1),"",$W790-(COUNTIFS($A$14:$A$1213,$A790,$F$14:$F$1213,"&gt;=0")+1)/2)</f>
        <v/>
      </c>
      <c r="Z790" s="27">
        <f>IF(ISNUMBER($V790),$A790&amp;"|"&amp;$V790,"")</f>
        <v/>
      </c>
      <c r="AA790" s="27">
        <f>IF(ISNUMBER($W790),$A790&amp;"|"&amp;$W790,"")</f>
        <v/>
      </c>
      <c r="AB790" s="27">
        <f>IF(ISNUMBER($F790),$A790&amp;"|"&amp;$F790,"")</f>
        <v/>
      </c>
      <c r="AC790" s="27">
        <f>IF(ISNUMBER($P790),COUNTIFS($A$14:$A$1213,$A790,$P$14:$P$1213,"&gt;"&amp;$P790)+(COUNTIFS($A$14:$A$1213,$A790,$P$14:$P$1213,"="&amp;$P790)+1)/2,"")</f>
        <v/>
      </c>
      <c r="AD790" s="27">
        <f>IF(ISNUMBER($Q790),COUNTIFS($A$14:$A$1213,$A790,$Q$14:$Q$1213,"&gt;"&amp;$Q790)+(COUNTIFS($A$14:$A$1213,$A790,$Q$14:$Q$1213,"="&amp;$Q790)+1)/2,"")</f>
        <v/>
      </c>
      <c r="AE790" s="27">
        <f>IF(ISNUMBER($R790),COUNTIFS($A$14:$A$1213,$A790,$R$14:$R$1213,"&gt;"&amp;$R790)+(COUNTIFS($A$14:$A$1213,$A790,$R$14:$R$1213,"="&amp;$R790)+1)/2,"")</f>
        <v/>
      </c>
      <c r="AF790" s="27">
        <f>IF(ISNUMBER($S790),COUNTIFS($A$14:$A$1213,$A790,$S$14:$S$1213,"&gt;"&amp;$S790)+(COUNTIFS($A$14:$A$1213,$A790,$S$14:$S$1213,"="&amp;$S790)+1)/2,"")</f>
        <v/>
      </c>
      <c r="AG790" s="27">
        <f>IF(ISNUMBER($T790),COUNTIFS($A$14:$A$1213,$A790,$T$14:$T$1213,"&gt;"&amp;$T790)+(COUNTIFS($A$14:$A$1213,$A790,$T$14:$T$1213,"="&amp;$T790)+1)/2,"")</f>
        <v/>
      </c>
      <c r="AH790" s="27">
        <f>IF(COUNT($AC790:$AG790)&lt;2,"",IF(MAX($AC790:$AG790)=MIN($AC790:$AG790),0,1))</f>
        <v/>
      </c>
      <c r="AI790" s="27">
        <f>IF($A790="","",IF(COUNTIF($A$14:$A790,$A790)=1,COUNTIF($AI$13:AI789,"&gt;0")+1,""))</f>
        <v/>
      </c>
      <c r="AO790" s="27">
        <f>IF($A790="","",IF(AND(COUNTIFS($A$14:$A$1213,$A790,$F$14:$F$1213,"&gt;=0")=2,IFERROR(INDEX($M$14:$M$313,MATCH($A790,$H$14:$H$313,0)),"Yes")&lt;&gt;"Yes"),1,0))</f>
        <v/>
      </c>
    </row>
    <row r="791">
      <c r="A791" s="19" t="n"/>
      <c r="B791" s="20" t="n"/>
      <c r="C791" s="21">
        <f>IFERROR(AVERAGE(P791:T791),"")</f>
        <v/>
      </c>
      <c r="D791" s="29" t="n"/>
      <c r="E791" s="29" t="n"/>
      <c r="F791" s="30">
        <f>IF(AND(ISNUMBER($D791),ISNUMBER($E791),$E791&gt;0,$D791&lt;=$E791),$D791/$E791,"")</f>
        <v/>
      </c>
      <c r="P791" s="26" t="n"/>
      <c r="Q791" s="26" t="n"/>
      <c r="R791" s="26" t="n"/>
      <c r="S791" s="26" t="n"/>
      <c r="T791" s="26" t="n"/>
      <c r="V791" s="27">
        <f>IF(ISNUMBER($C791),COUNTIFS($A$14:$A$1213,$A791,$C$14:$C$1213,"&gt;"&amp;$C791)+(COUNTIFS($A$14:$A$1213,$A791,$C$14:$C$1213,"="&amp;$C791)+1)/2,"")</f>
        <v/>
      </c>
      <c r="W791" s="27">
        <f>IF(ISNUMBER($F791),COUNTIFS($A$14:$A$1213,$A791,$F$14:$F$1213,"&gt;"&amp;$F791)+(COUNTIFS($A$14:$A$1213,$A791,$F$14:$F$1213,"="&amp;$F791)+1)/2,"")</f>
        <v/>
      </c>
      <c r="X791" s="27">
        <f>IF(OR(NOT(ISNUMBER($V791)),$AO791=1),"",$V791-(COUNTIFS($A$14:$A$1213,$A791,$C$14:$C$1213,"&gt;=0")+1)/2)</f>
        <v/>
      </c>
      <c r="Y791" s="27">
        <f>IF(OR(NOT(ISNUMBER($W791)),$AO791=1),"",$W791-(COUNTIFS($A$14:$A$1213,$A791,$F$14:$F$1213,"&gt;=0")+1)/2)</f>
        <v/>
      </c>
      <c r="Z791" s="27">
        <f>IF(ISNUMBER($V791),$A791&amp;"|"&amp;$V791,"")</f>
        <v/>
      </c>
      <c r="AA791" s="27">
        <f>IF(ISNUMBER($W791),$A791&amp;"|"&amp;$W791,"")</f>
        <v/>
      </c>
      <c r="AB791" s="27">
        <f>IF(ISNUMBER($F791),$A791&amp;"|"&amp;$F791,"")</f>
        <v/>
      </c>
      <c r="AC791" s="27">
        <f>IF(ISNUMBER($P791),COUNTIFS($A$14:$A$1213,$A791,$P$14:$P$1213,"&gt;"&amp;$P791)+(COUNTIFS($A$14:$A$1213,$A791,$P$14:$P$1213,"="&amp;$P791)+1)/2,"")</f>
        <v/>
      </c>
      <c r="AD791" s="27">
        <f>IF(ISNUMBER($Q791),COUNTIFS($A$14:$A$1213,$A791,$Q$14:$Q$1213,"&gt;"&amp;$Q791)+(COUNTIFS($A$14:$A$1213,$A791,$Q$14:$Q$1213,"="&amp;$Q791)+1)/2,"")</f>
        <v/>
      </c>
      <c r="AE791" s="27">
        <f>IF(ISNUMBER($R791),COUNTIFS($A$14:$A$1213,$A791,$R$14:$R$1213,"&gt;"&amp;$R791)+(COUNTIFS($A$14:$A$1213,$A791,$R$14:$R$1213,"="&amp;$R791)+1)/2,"")</f>
        <v/>
      </c>
      <c r="AF791" s="27">
        <f>IF(ISNUMBER($S791),COUNTIFS($A$14:$A$1213,$A791,$S$14:$S$1213,"&gt;"&amp;$S791)+(COUNTIFS($A$14:$A$1213,$A791,$S$14:$S$1213,"="&amp;$S791)+1)/2,"")</f>
        <v/>
      </c>
      <c r="AG791" s="27">
        <f>IF(ISNUMBER($T791),COUNTIFS($A$14:$A$1213,$A791,$T$14:$T$1213,"&gt;"&amp;$T791)+(COUNTIFS($A$14:$A$1213,$A791,$T$14:$T$1213,"="&amp;$T791)+1)/2,"")</f>
        <v/>
      </c>
      <c r="AH791" s="27">
        <f>IF(COUNT($AC791:$AG791)&lt;2,"",IF(MAX($AC791:$AG791)=MIN($AC791:$AG791),0,1))</f>
        <v/>
      </c>
      <c r="AI791" s="27">
        <f>IF($A791="","",IF(COUNTIF($A$14:$A791,$A791)=1,COUNTIF($AI$13:AI790,"&gt;0")+1,""))</f>
        <v/>
      </c>
      <c r="AO791" s="27">
        <f>IF($A791="","",IF(AND(COUNTIFS($A$14:$A$1213,$A791,$F$14:$F$1213,"&gt;=0")=2,IFERROR(INDEX($M$14:$M$313,MATCH($A791,$H$14:$H$313,0)),"Yes")&lt;&gt;"Yes"),1,0))</f>
        <v/>
      </c>
    </row>
    <row r="792">
      <c r="A792" s="19" t="n"/>
      <c r="B792" s="20" t="n"/>
      <c r="C792" s="21">
        <f>IFERROR(AVERAGE(P792:T792),"")</f>
        <v/>
      </c>
      <c r="D792" s="29" t="n"/>
      <c r="E792" s="29" t="n"/>
      <c r="F792" s="30">
        <f>IF(AND(ISNUMBER($D792),ISNUMBER($E792),$E792&gt;0,$D792&lt;=$E792),$D792/$E792,"")</f>
        <v/>
      </c>
      <c r="P792" s="26" t="n"/>
      <c r="Q792" s="26" t="n"/>
      <c r="R792" s="26" t="n"/>
      <c r="S792" s="26" t="n"/>
      <c r="T792" s="26" t="n"/>
      <c r="V792" s="27">
        <f>IF(ISNUMBER($C792),COUNTIFS($A$14:$A$1213,$A792,$C$14:$C$1213,"&gt;"&amp;$C792)+(COUNTIFS($A$14:$A$1213,$A792,$C$14:$C$1213,"="&amp;$C792)+1)/2,"")</f>
        <v/>
      </c>
      <c r="W792" s="27">
        <f>IF(ISNUMBER($F792),COUNTIFS($A$14:$A$1213,$A792,$F$14:$F$1213,"&gt;"&amp;$F792)+(COUNTIFS($A$14:$A$1213,$A792,$F$14:$F$1213,"="&amp;$F792)+1)/2,"")</f>
        <v/>
      </c>
      <c r="X792" s="27">
        <f>IF(OR(NOT(ISNUMBER($V792)),$AO792=1),"",$V792-(COUNTIFS($A$14:$A$1213,$A792,$C$14:$C$1213,"&gt;=0")+1)/2)</f>
        <v/>
      </c>
      <c r="Y792" s="27">
        <f>IF(OR(NOT(ISNUMBER($W792)),$AO792=1),"",$W792-(COUNTIFS($A$14:$A$1213,$A792,$F$14:$F$1213,"&gt;=0")+1)/2)</f>
        <v/>
      </c>
      <c r="Z792" s="27">
        <f>IF(ISNUMBER($V792),$A792&amp;"|"&amp;$V792,"")</f>
        <v/>
      </c>
      <c r="AA792" s="27">
        <f>IF(ISNUMBER($W792),$A792&amp;"|"&amp;$W792,"")</f>
        <v/>
      </c>
      <c r="AB792" s="27">
        <f>IF(ISNUMBER($F792),$A792&amp;"|"&amp;$F792,"")</f>
        <v/>
      </c>
      <c r="AC792" s="27">
        <f>IF(ISNUMBER($P792),COUNTIFS($A$14:$A$1213,$A792,$P$14:$P$1213,"&gt;"&amp;$P792)+(COUNTIFS($A$14:$A$1213,$A792,$P$14:$P$1213,"="&amp;$P792)+1)/2,"")</f>
        <v/>
      </c>
      <c r="AD792" s="27">
        <f>IF(ISNUMBER($Q792),COUNTIFS($A$14:$A$1213,$A792,$Q$14:$Q$1213,"&gt;"&amp;$Q792)+(COUNTIFS($A$14:$A$1213,$A792,$Q$14:$Q$1213,"="&amp;$Q792)+1)/2,"")</f>
        <v/>
      </c>
      <c r="AE792" s="27">
        <f>IF(ISNUMBER($R792),COUNTIFS($A$14:$A$1213,$A792,$R$14:$R$1213,"&gt;"&amp;$R792)+(COUNTIFS($A$14:$A$1213,$A792,$R$14:$R$1213,"="&amp;$R792)+1)/2,"")</f>
        <v/>
      </c>
      <c r="AF792" s="27">
        <f>IF(ISNUMBER($S792),COUNTIFS($A$14:$A$1213,$A792,$S$14:$S$1213,"&gt;"&amp;$S792)+(COUNTIFS($A$14:$A$1213,$A792,$S$14:$S$1213,"="&amp;$S792)+1)/2,"")</f>
        <v/>
      </c>
      <c r="AG792" s="27">
        <f>IF(ISNUMBER($T792),COUNTIFS($A$14:$A$1213,$A792,$T$14:$T$1213,"&gt;"&amp;$T792)+(COUNTIFS($A$14:$A$1213,$A792,$T$14:$T$1213,"="&amp;$T792)+1)/2,"")</f>
        <v/>
      </c>
      <c r="AH792" s="27">
        <f>IF(COUNT($AC792:$AG792)&lt;2,"",IF(MAX($AC792:$AG792)=MIN($AC792:$AG792),0,1))</f>
        <v/>
      </c>
      <c r="AI792" s="27">
        <f>IF($A792="","",IF(COUNTIF($A$14:$A792,$A792)=1,COUNTIF($AI$13:AI791,"&gt;0")+1,""))</f>
        <v/>
      </c>
      <c r="AO792" s="27">
        <f>IF($A792="","",IF(AND(COUNTIFS($A$14:$A$1213,$A792,$F$14:$F$1213,"&gt;=0")=2,IFERROR(INDEX($M$14:$M$313,MATCH($A792,$H$14:$H$313,0)),"Yes")&lt;&gt;"Yes"),1,0))</f>
        <v/>
      </c>
    </row>
    <row r="793">
      <c r="A793" s="19" t="n"/>
      <c r="B793" s="20" t="n"/>
      <c r="C793" s="21">
        <f>IFERROR(AVERAGE(P793:T793),"")</f>
        <v/>
      </c>
      <c r="D793" s="29" t="n"/>
      <c r="E793" s="29" t="n"/>
      <c r="F793" s="30">
        <f>IF(AND(ISNUMBER($D793),ISNUMBER($E793),$E793&gt;0,$D793&lt;=$E793),$D793/$E793,"")</f>
        <v/>
      </c>
      <c r="P793" s="26" t="n"/>
      <c r="Q793" s="26" t="n"/>
      <c r="R793" s="26" t="n"/>
      <c r="S793" s="26" t="n"/>
      <c r="T793" s="26" t="n"/>
      <c r="V793" s="27">
        <f>IF(ISNUMBER($C793),COUNTIFS($A$14:$A$1213,$A793,$C$14:$C$1213,"&gt;"&amp;$C793)+(COUNTIFS($A$14:$A$1213,$A793,$C$14:$C$1213,"="&amp;$C793)+1)/2,"")</f>
        <v/>
      </c>
      <c r="W793" s="27">
        <f>IF(ISNUMBER($F793),COUNTIFS($A$14:$A$1213,$A793,$F$14:$F$1213,"&gt;"&amp;$F793)+(COUNTIFS($A$14:$A$1213,$A793,$F$14:$F$1213,"="&amp;$F793)+1)/2,"")</f>
        <v/>
      </c>
      <c r="X793" s="27">
        <f>IF(OR(NOT(ISNUMBER($V793)),$AO793=1),"",$V793-(COUNTIFS($A$14:$A$1213,$A793,$C$14:$C$1213,"&gt;=0")+1)/2)</f>
        <v/>
      </c>
      <c r="Y793" s="27">
        <f>IF(OR(NOT(ISNUMBER($W793)),$AO793=1),"",$W793-(COUNTIFS($A$14:$A$1213,$A793,$F$14:$F$1213,"&gt;=0")+1)/2)</f>
        <v/>
      </c>
      <c r="Z793" s="27">
        <f>IF(ISNUMBER($V793),$A793&amp;"|"&amp;$V793,"")</f>
        <v/>
      </c>
      <c r="AA793" s="27">
        <f>IF(ISNUMBER($W793),$A793&amp;"|"&amp;$W793,"")</f>
        <v/>
      </c>
      <c r="AB793" s="27">
        <f>IF(ISNUMBER($F793),$A793&amp;"|"&amp;$F793,"")</f>
        <v/>
      </c>
      <c r="AC793" s="27">
        <f>IF(ISNUMBER($P793),COUNTIFS($A$14:$A$1213,$A793,$P$14:$P$1213,"&gt;"&amp;$P793)+(COUNTIFS($A$14:$A$1213,$A793,$P$14:$P$1213,"="&amp;$P793)+1)/2,"")</f>
        <v/>
      </c>
      <c r="AD793" s="27">
        <f>IF(ISNUMBER($Q793),COUNTIFS($A$14:$A$1213,$A793,$Q$14:$Q$1213,"&gt;"&amp;$Q793)+(COUNTIFS($A$14:$A$1213,$A793,$Q$14:$Q$1213,"="&amp;$Q793)+1)/2,"")</f>
        <v/>
      </c>
      <c r="AE793" s="27">
        <f>IF(ISNUMBER($R793),COUNTIFS($A$14:$A$1213,$A793,$R$14:$R$1213,"&gt;"&amp;$R793)+(COUNTIFS($A$14:$A$1213,$A793,$R$14:$R$1213,"="&amp;$R793)+1)/2,"")</f>
        <v/>
      </c>
      <c r="AF793" s="27">
        <f>IF(ISNUMBER($S793),COUNTIFS($A$14:$A$1213,$A793,$S$14:$S$1213,"&gt;"&amp;$S793)+(COUNTIFS($A$14:$A$1213,$A793,$S$14:$S$1213,"="&amp;$S793)+1)/2,"")</f>
        <v/>
      </c>
      <c r="AG793" s="27">
        <f>IF(ISNUMBER($T793),COUNTIFS($A$14:$A$1213,$A793,$T$14:$T$1213,"&gt;"&amp;$T793)+(COUNTIFS($A$14:$A$1213,$A793,$T$14:$T$1213,"="&amp;$T793)+1)/2,"")</f>
        <v/>
      </c>
      <c r="AH793" s="27">
        <f>IF(COUNT($AC793:$AG793)&lt;2,"",IF(MAX($AC793:$AG793)=MIN($AC793:$AG793),0,1))</f>
        <v/>
      </c>
      <c r="AI793" s="27">
        <f>IF($A793="","",IF(COUNTIF($A$14:$A793,$A793)=1,COUNTIF($AI$13:AI792,"&gt;0")+1,""))</f>
        <v/>
      </c>
      <c r="AO793" s="27">
        <f>IF($A793="","",IF(AND(COUNTIFS($A$14:$A$1213,$A793,$F$14:$F$1213,"&gt;=0")=2,IFERROR(INDEX($M$14:$M$313,MATCH($A793,$H$14:$H$313,0)),"Yes")&lt;&gt;"Yes"),1,0))</f>
        <v/>
      </c>
    </row>
    <row r="794">
      <c r="A794" s="19" t="n"/>
      <c r="B794" s="20" t="n"/>
      <c r="C794" s="21">
        <f>IFERROR(AVERAGE(P794:T794),"")</f>
        <v/>
      </c>
      <c r="D794" s="29" t="n"/>
      <c r="E794" s="29" t="n"/>
      <c r="F794" s="30">
        <f>IF(AND(ISNUMBER($D794),ISNUMBER($E794),$E794&gt;0,$D794&lt;=$E794),$D794/$E794,"")</f>
        <v/>
      </c>
      <c r="P794" s="26" t="n"/>
      <c r="Q794" s="26" t="n"/>
      <c r="R794" s="26" t="n"/>
      <c r="S794" s="26" t="n"/>
      <c r="T794" s="26" t="n"/>
      <c r="V794" s="27">
        <f>IF(ISNUMBER($C794),COUNTIFS($A$14:$A$1213,$A794,$C$14:$C$1213,"&gt;"&amp;$C794)+(COUNTIFS($A$14:$A$1213,$A794,$C$14:$C$1213,"="&amp;$C794)+1)/2,"")</f>
        <v/>
      </c>
      <c r="W794" s="27">
        <f>IF(ISNUMBER($F794),COUNTIFS($A$14:$A$1213,$A794,$F$14:$F$1213,"&gt;"&amp;$F794)+(COUNTIFS($A$14:$A$1213,$A794,$F$14:$F$1213,"="&amp;$F794)+1)/2,"")</f>
        <v/>
      </c>
      <c r="X794" s="27">
        <f>IF(OR(NOT(ISNUMBER($V794)),$AO794=1),"",$V794-(COUNTIFS($A$14:$A$1213,$A794,$C$14:$C$1213,"&gt;=0")+1)/2)</f>
        <v/>
      </c>
      <c r="Y794" s="27">
        <f>IF(OR(NOT(ISNUMBER($W794)),$AO794=1),"",$W794-(COUNTIFS($A$14:$A$1213,$A794,$F$14:$F$1213,"&gt;=0")+1)/2)</f>
        <v/>
      </c>
      <c r="Z794" s="27">
        <f>IF(ISNUMBER($V794),$A794&amp;"|"&amp;$V794,"")</f>
        <v/>
      </c>
      <c r="AA794" s="27">
        <f>IF(ISNUMBER($W794),$A794&amp;"|"&amp;$W794,"")</f>
        <v/>
      </c>
      <c r="AB794" s="27">
        <f>IF(ISNUMBER($F794),$A794&amp;"|"&amp;$F794,"")</f>
        <v/>
      </c>
      <c r="AC794" s="27">
        <f>IF(ISNUMBER($P794),COUNTIFS($A$14:$A$1213,$A794,$P$14:$P$1213,"&gt;"&amp;$P794)+(COUNTIFS($A$14:$A$1213,$A794,$P$14:$P$1213,"="&amp;$P794)+1)/2,"")</f>
        <v/>
      </c>
      <c r="AD794" s="27">
        <f>IF(ISNUMBER($Q794),COUNTIFS($A$14:$A$1213,$A794,$Q$14:$Q$1213,"&gt;"&amp;$Q794)+(COUNTIFS($A$14:$A$1213,$A794,$Q$14:$Q$1213,"="&amp;$Q794)+1)/2,"")</f>
        <v/>
      </c>
      <c r="AE794" s="27">
        <f>IF(ISNUMBER($R794),COUNTIFS($A$14:$A$1213,$A794,$R$14:$R$1213,"&gt;"&amp;$R794)+(COUNTIFS($A$14:$A$1213,$A794,$R$14:$R$1213,"="&amp;$R794)+1)/2,"")</f>
        <v/>
      </c>
      <c r="AF794" s="27">
        <f>IF(ISNUMBER($S794),COUNTIFS($A$14:$A$1213,$A794,$S$14:$S$1213,"&gt;"&amp;$S794)+(COUNTIFS($A$14:$A$1213,$A794,$S$14:$S$1213,"="&amp;$S794)+1)/2,"")</f>
        <v/>
      </c>
      <c r="AG794" s="27">
        <f>IF(ISNUMBER($T794),COUNTIFS($A$14:$A$1213,$A794,$T$14:$T$1213,"&gt;"&amp;$T794)+(COUNTIFS($A$14:$A$1213,$A794,$T$14:$T$1213,"="&amp;$T794)+1)/2,"")</f>
        <v/>
      </c>
      <c r="AH794" s="27">
        <f>IF(COUNT($AC794:$AG794)&lt;2,"",IF(MAX($AC794:$AG794)=MIN($AC794:$AG794),0,1))</f>
        <v/>
      </c>
      <c r="AI794" s="27">
        <f>IF($A794="","",IF(COUNTIF($A$14:$A794,$A794)=1,COUNTIF($AI$13:AI793,"&gt;0")+1,""))</f>
        <v/>
      </c>
      <c r="AO794" s="27">
        <f>IF($A794="","",IF(AND(COUNTIFS($A$14:$A$1213,$A794,$F$14:$F$1213,"&gt;=0")=2,IFERROR(INDEX($M$14:$M$313,MATCH($A794,$H$14:$H$313,0)),"Yes")&lt;&gt;"Yes"),1,0))</f>
        <v/>
      </c>
    </row>
    <row r="795">
      <c r="A795" s="19" t="n"/>
      <c r="B795" s="20" t="n"/>
      <c r="C795" s="21">
        <f>IFERROR(AVERAGE(P795:T795),"")</f>
        <v/>
      </c>
      <c r="D795" s="29" t="n"/>
      <c r="E795" s="29" t="n"/>
      <c r="F795" s="30">
        <f>IF(AND(ISNUMBER($D795),ISNUMBER($E795),$E795&gt;0,$D795&lt;=$E795),$D795/$E795,"")</f>
        <v/>
      </c>
      <c r="P795" s="26" t="n"/>
      <c r="Q795" s="26" t="n"/>
      <c r="R795" s="26" t="n"/>
      <c r="S795" s="26" t="n"/>
      <c r="T795" s="26" t="n"/>
      <c r="V795" s="27">
        <f>IF(ISNUMBER($C795),COUNTIFS($A$14:$A$1213,$A795,$C$14:$C$1213,"&gt;"&amp;$C795)+(COUNTIFS($A$14:$A$1213,$A795,$C$14:$C$1213,"="&amp;$C795)+1)/2,"")</f>
        <v/>
      </c>
      <c r="W795" s="27">
        <f>IF(ISNUMBER($F795),COUNTIFS($A$14:$A$1213,$A795,$F$14:$F$1213,"&gt;"&amp;$F795)+(COUNTIFS($A$14:$A$1213,$A795,$F$14:$F$1213,"="&amp;$F795)+1)/2,"")</f>
        <v/>
      </c>
      <c r="X795" s="27">
        <f>IF(OR(NOT(ISNUMBER($V795)),$AO795=1),"",$V795-(COUNTIFS($A$14:$A$1213,$A795,$C$14:$C$1213,"&gt;=0")+1)/2)</f>
        <v/>
      </c>
      <c r="Y795" s="27">
        <f>IF(OR(NOT(ISNUMBER($W795)),$AO795=1),"",$W795-(COUNTIFS($A$14:$A$1213,$A795,$F$14:$F$1213,"&gt;=0")+1)/2)</f>
        <v/>
      </c>
      <c r="Z795" s="27">
        <f>IF(ISNUMBER($V795),$A795&amp;"|"&amp;$V795,"")</f>
        <v/>
      </c>
      <c r="AA795" s="27">
        <f>IF(ISNUMBER($W795),$A795&amp;"|"&amp;$W795,"")</f>
        <v/>
      </c>
      <c r="AB795" s="27">
        <f>IF(ISNUMBER($F795),$A795&amp;"|"&amp;$F795,"")</f>
        <v/>
      </c>
      <c r="AC795" s="27">
        <f>IF(ISNUMBER($P795),COUNTIFS($A$14:$A$1213,$A795,$P$14:$P$1213,"&gt;"&amp;$P795)+(COUNTIFS($A$14:$A$1213,$A795,$P$14:$P$1213,"="&amp;$P795)+1)/2,"")</f>
        <v/>
      </c>
      <c r="AD795" s="27">
        <f>IF(ISNUMBER($Q795),COUNTIFS($A$14:$A$1213,$A795,$Q$14:$Q$1213,"&gt;"&amp;$Q795)+(COUNTIFS($A$14:$A$1213,$A795,$Q$14:$Q$1213,"="&amp;$Q795)+1)/2,"")</f>
        <v/>
      </c>
      <c r="AE795" s="27">
        <f>IF(ISNUMBER($R795),COUNTIFS($A$14:$A$1213,$A795,$R$14:$R$1213,"&gt;"&amp;$R795)+(COUNTIFS($A$14:$A$1213,$A795,$R$14:$R$1213,"="&amp;$R795)+1)/2,"")</f>
        <v/>
      </c>
      <c r="AF795" s="27">
        <f>IF(ISNUMBER($S795),COUNTIFS($A$14:$A$1213,$A795,$S$14:$S$1213,"&gt;"&amp;$S795)+(COUNTIFS($A$14:$A$1213,$A795,$S$14:$S$1213,"="&amp;$S795)+1)/2,"")</f>
        <v/>
      </c>
      <c r="AG795" s="27">
        <f>IF(ISNUMBER($T795),COUNTIFS($A$14:$A$1213,$A795,$T$14:$T$1213,"&gt;"&amp;$T795)+(COUNTIFS($A$14:$A$1213,$A795,$T$14:$T$1213,"="&amp;$T795)+1)/2,"")</f>
        <v/>
      </c>
      <c r="AH795" s="27">
        <f>IF(COUNT($AC795:$AG795)&lt;2,"",IF(MAX($AC795:$AG795)=MIN($AC795:$AG795),0,1))</f>
        <v/>
      </c>
      <c r="AI795" s="27">
        <f>IF($A795="","",IF(COUNTIF($A$14:$A795,$A795)=1,COUNTIF($AI$13:AI794,"&gt;0")+1,""))</f>
        <v/>
      </c>
      <c r="AO795" s="27">
        <f>IF($A795="","",IF(AND(COUNTIFS($A$14:$A$1213,$A795,$F$14:$F$1213,"&gt;=0")=2,IFERROR(INDEX($M$14:$M$313,MATCH($A795,$H$14:$H$313,0)),"Yes")&lt;&gt;"Yes"),1,0))</f>
        <v/>
      </c>
    </row>
    <row r="796">
      <c r="A796" s="19" t="n"/>
      <c r="B796" s="20" t="n"/>
      <c r="C796" s="21">
        <f>IFERROR(AVERAGE(P796:T796),"")</f>
        <v/>
      </c>
      <c r="D796" s="29" t="n"/>
      <c r="E796" s="29" t="n"/>
      <c r="F796" s="30">
        <f>IF(AND(ISNUMBER($D796),ISNUMBER($E796),$E796&gt;0,$D796&lt;=$E796),$D796/$E796,"")</f>
        <v/>
      </c>
      <c r="P796" s="26" t="n"/>
      <c r="Q796" s="26" t="n"/>
      <c r="R796" s="26" t="n"/>
      <c r="S796" s="26" t="n"/>
      <c r="T796" s="26" t="n"/>
      <c r="V796" s="27">
        <f>IF(ISNUMBER($C796),COUNTIFS($A$14:$A$1213,$A796,$C$14:$C$1213,"&gt;"&amp;$C796)+(COUNTIFS($A$14:$A$1213,$A796,$C$14:$C$1213,"="&amp;$C796)+1)/2,"")</f>
        <v/>
      </c>
      <c r="W796" s="27">
        <f>IF(ISNUMBER($F796),COUNTIFS($A$14:$A$1213,$A796,$F$14:$F$1213,"&gt;"&amp;$F796)+(COUNTIFS($A$14:$A$1213,$A796,$F$14:$F$1213,"="&amp;$F796)+1)/2,"")</f>
        <v/>
      </c>
      <c r="X796" s="27">
        <f>IF(OR(NOT(ISNUMBER($V796)),$AO796=1),"",$V796-(COUNTIFS($A$14:$A$1213,$A796,$C$14:$C$1213,"&gt;=0")+1)/2)</f>
        <v/>
      </c>
      <c r="Y796" s="27">
        <f>IF(OR(NOT(ISNUMBER($W796)),$AO796=1),"",$W796-(COUNTIFS($A$14:$A$1213,$A796,$F$14:$F$1213,"&gt;=0")+1)/2)</f>
        <v/>
      </c>
      <c r="Z796" s="27">
        <f>IF(ISNUMBER($V796),$A796&amp;"|"&amp;$V796,"")</f>
        <v/>
      </c>
      <c r="AA796" s="27">
        <f>IF(ISNUMBER($W796),$A796&amp;"|"&amp;$W796,"")</f>
        <v/>
      </c>
      <c r="AB796" s="27">
        <f>IF(ISNUMBER($F796),$A796&amp;"|"&amp;$F796,"")</f>
        <v/>
      </c>
      <c r="AC796" s="27">
        <f>IF(ISNUMBER($P796),COUNTIFS($A$14:$A$1213,$A796,$P$14:$P$1213,"&gt;"&amp;$P796)+(COUNTIFS($A$14:$A$1213,$A796,$P$14:$P$1213,"="&amp;$P796)+1)/2,"")</f>
        <v/>
      </c>
      <c r="AD796" s="27">
        <f>IF(ISNUMBER($Q796),COUNTIFS($A$14:$A$1213,$A796,$Q$14:$Q$1213,"&gt;"&amp;$Q796)+(COUNTIFS($A$14:$A$1213,$A796,$Q$14:$Q$1213,"="&amp;$Q796)+1)/2,"")</f>
        <v/>
      </c>
      <c r="AE796" s="27">
        <f>IF(ISNUMBER($R796),COUNTIFS($A$14:$A$1213,$A796,$R$14:$R$1213,"&gt;"&amp;$R796)+(COUNTIFS($A$14:$A$1213,$A796,$R$14:$R$1213,"="&amp;$R796)+1)/2,"")</f>
        <v/>
      </c>
      <c r="AF796" s="27">
        <f>IF(ISNUMBER($S796),COUNTIFS($A$14:$A$1213,$A796,$S$14:$S$1213,"&gt;"&amp;$S796)+(COUNTIFS($A$14:$A$1213,$A796,$S$14:$S$1213,"="&amp;$S796)+1)/2,"")</f>
        <v/>
      </c>
      <c r="AG796" s="27">
        <f>IF(ISNUMBER($T796),COUNTIFS($A$14:$A$1213,$A796,$T$14:$T$1213,"&gt;"&amp;$T796)+(COUNTIFS($A$14:$A$1213,$A796,$T$14:$T$1213,"="&amp;$T796)+1)/2,"")</f>
        <v/>
      </c>
      <c r="AH796" s="27">
        <f>IF(COUNT($AC796:$AG796)&lt;2,"",IF(MAX($AC796:$AG796)=MIN($AC796:$AG796),0,1))</f>
        <v/>
      </c>
      <c r="AI796" s="27">
        <f>IF($A796="","",IF(COUNTIF($A$14:$A796,$A796)=1,COUNTIF($AI$13:AI795,"&gt;0")+1,""))</f>
        <v/>
      </c>
      <c r="AO796" s="27">
        <f>IF($A796="","",IF(AND(COUNTIFS($A$14:$A$1213,$A796,$F$14:$F$1213,"&gt;=0")=2,IFERROR(INDEX($M$14:$M$313,MATCH($A796,$H$14:$H$313,0)),"Yes")&lt;&gt;"Yes"),1,0))</f>
        <v/>
      </c>
    </row>
    <row r="797">
      <c r="A797" s="19" t="n"/>
      <c r="B797" s="20" t="n"/>
      <c r="C797" s="21">
        <f>IFERROR(AVERAGE(P797:T797),"")</f>
        <v/>
      </c>
      <c r="D797" s="29" t="n"/>
      <c r="E797" s="29" t="n"/>
      <c r="F797" s="30">
        <f>IF(AND(ISNUMBER($D797),ISNUMBER($E797),$E797&gt;0,$D797&lt;=$E797),$D797/$E797,"")</f>
        <v/>
      </c>
      <c r="P797" s="26" t="n"/>
      <c r="Q797" s="26" t="n"/>
      <c r="R797" s="26" t="n"/>
      <c r="S797" s="26" t="n"/>
      <c r="T797" s="26" t="n"/>
      <c r="V797" s="27">
        <f>IF(ISNUMBER($C797),COUNTIFS($A$14:$A$1213,$A797,$C$14:$C$1213,"&gt;"&amp;$C797)+(COUNTIFS($A$14:$A$1213,$A797,$C$14:$C$1213,"="&amp;$C797)+1)/2,"")</f>
        <v/>
      </c>
      <c r="W797" s="27">
        <f>IF(ISNUMBER($F797),COUNTIFS($A$14:$A$1213,$A797,$F$14:$F$1213,"&gt;"&amp;$F797)+(COUNTIFS($A$14:$A$1213,$A797,$F$14:$F$1213,"="&amp;$F797)+1)/2,"")</f>
        <v/>
      </c>
      <c r="X797" s="27">
        <f>IF(OR(NOT(ISNUMBER($V797)),$AO797=1),"",$V797-(COUNTIFS($A$14:$A$1213,$A797,$C$14:$C$1213,"&gt;=0")+1)/2)</f>
        <v/>
      </c>
      <c r="Y797" s="27">
        <f>IF(OR(NOT(ISNUMBER($W797)),$AO797=1),"",$W797-(COUNTIFS($A$14:$A$1213,$A797,$F$14:$F$1213,"&gt;=0")+1)/2)</f>
        <v/>
      </c>
      <c r="Z797" s="27">
        <f>IF(ISNUMBER($V797),$A797&amp;"|"&amp;$V797,"")</f>
        <v/>
      </c>
      <c r="AA797" s="27">
        <f>IF(ISNUMBER($W797),$A797&amp;"|"&amp;$W797,"")</f>
        <v/>
      </c>
      <c r="AB797" s="27">
        <f>IF(ISNUMBER($F797),$A797&amp;"|"&amp;$F797,"")</f>
        <v/>
      </c>
      <c r="AC797" s="27">
        <f>IF(ISNUMBER($P797),COUNTIFS($A$14:$A$1213,$A797,$P$14:$P$1213,"&gt;"&amp;$P797)+(COUNTIFS($A$14:$A$1213,$A797,$P$14:$P$1213,"="&amp;$P797)+1)/2,"")</f>
        <v/>
      </c>
      <c r="AD797" s="27">
        <f>IF(ISNUMBER($Q797),COUNTIFS($A$14:$A$1213,$A797,$Q$14:$Q$1213,"&gt;"&amp;$Q797)+(COUNTIFS($A$14:$A$1213,$A797,$Q$14:$Q$1213,"="&amp;$Q797)+1)/2,"")</f>
        <v/>
      </c>
      <c r="AE797" s="27">
        <f>IF(ISNUMBER($R797),COUNTIFS($A$14:$A$1213,$A797,$R$14:$R$1213,"&gt;"&amp;$R797)+(COUNTIFS($A$14:$A$1213,$A797,$R$14:$R$1213,"="&amp;$R797)+1)/2,"")</f>
        <v/>
      </c>
      <c r="AF797" s="27">
        <f>IF(ISNUMBER($S797),COUNTIFS($A$14:$A$1213,$A797,$S$14:$S$1213,"&gt;"&amp;$S797)+(COUNTIFS($A$14:$A$1213,$A797,$S$14:$S$1213,"="&amp;$S797)+1)/2,"")</f>
        <v/>
      </c>
      <c r="AG797" s="27">
        <f>IF(ISNUMBER($T797),COUNTIFS($A$14:$A$1213,$A797,$T$14:$T$1213,"&gt;"&amp;$T797)+(COUNTIFS($A$14:$A$1213,$A797,$T$14:$T$1213,"="&amp;$T797)+1)/2,"")</f>
        <v/>
      </c>
      <c r="AH797" s="27">
        <f>IF(COUNT($AC797:$AG797)&lt;2,"",IF(MAX($AC797:$AG797)=MIN($AC797:$AG797),0,1))</f>
        <v/>
      </c>
      <c r="AI797" s="27">
        <f>IF($A797="","",IF(COUNTIF($A$14:$A797,$A797)=1,COUNTIF($AI$13:AI796,"&gt;0")+1,""))</f>
        <v/>
      </c>
      <c r="AO797" s="27">
        <f>IF($A797="","",IF(AND(COUNTIFS($A$14:$A$1213,$A797,$F$14:$F$1213,"&gt;=0")=2,IFERROR(INDEX($M$14:$M$313,MATCH($A797,$H$14:$H$313,0)),"Yes")&lt;&gt;"Yes"),1,0))</f>
        <v/>
      </c>
    </row>
    <row r="798">
      <c r="A798" s="19" t="n"/>
      <c r="B798" s="20" t="n"/>
      <c r="C798" s="21">
        <f>IFERROR(AVERAGE(P798:T798),"")</f>
        <v/>
      </c>
      <c r="D798" s="29" t="n"/>
      <c r="E798" s="29" t="n"/>
      <c r="F798" s="30">
        <f>IF(AND(ISNUMBER($D798),ISNUMBER($E798),$E798&gt;0,$D798&lt;=$E798),$D798/$E798,"")</f>
        <v/>
      </c>
      <c r="P798" s="26" t="n"/>
      <c r="Q798" s="26" t="n"/>
      <c r="R798" s="26" t="n"/>
      <c r="S798" s="26" t="n"/>
      <c r="T798" s="26" t="n"/>
      <c r="V798" s="27">
        <f>IF(ISNUMBER($C798),COUNTIFS($A$14:$A$1213,$A798,$C$14:$C$1213,"&gt;"&amp;$C798)+(COUNTIFS($A$14:$A$1213,$A798,$C$14:$C$1213,"="&amp;$C798)+1)/2,"")</f>
        <v/>
      </c>
      <c r="W798" s="27">
        <f>IF(ISNUMBER($F798),COUNTIFS($A$14:$A$1213,$A798,$F$14:$F$1213,"&gt;"&amp;$F798)+(COUNTIFS($A$14:$A$1213,$A798,$F$14:$F$1213,"="&amp;$F798)+1)/2,"")</f>
        <v/>
      </c>
      <c r="X798" s="27">
        <f>IF(OR(NOT(ISNUMBER($V798)),$AO798=1),"",$V798-(COUNTIFS($A$14:$A$1213,$A798,$C$14:$C$1213,"&gt;=0")+1)/2)</f>
        <v/>
      </c>
      <c r="Y798" s="27">
        <f>IF(OR(NOT(ISNUMBER($W798)),$AO798=1),"",$W798-(COUNTIFS($A$14:$A$1213,$A798,$F$14:$F$1213,"&gt;=0")+1)/2)</f>
        <v/>
      </c>
      <c r="Z798" s="27">
        <f>IF(ISNUMBER($V798),$A798&amp;"|"&amp;$V798,"")</f>
        <v/>
      </c>
      <c r="AA798" s="27">
        <f>IF(ISNUMBER($W798),$A798&amp;"|"&amp;$W798,"")</f>
        <v/>
      </c>
      <c r="AB798" s="27">
        <f>IF(ISNUMBER($F798),$A798&amp;"|"&amp;$F798,"")</f>
        <v/>
      </c>
      <c r="AC798" s="27">
        <f>IF(ISNUMBER($P798),COUNTIFS($A$14:$A$1213,$A798,$P$14:$P$1213,"&gt;"&amp;$P798)+(COUNTIFS($A$14:$A$1213,$A798,$P$14:$P$1213,"="&amp;$P798)+1)/2,"")</f>
        <v/>
      </c>
      <c r="AD798" s="27">
        <f>IF(ISNUMBER($Q798),COUNTIFS($A$14:$A$1213,$A798,$Q$14:$Q$1213,"&gt;"&amp;$Q798)+(COUNTIFS($A$14:$A$1213,$A798,$Q$14:$Q$1213,"="&amp;$Q798)+1)/2,"")</f>
        <v/>
      </c>
      <c r="AE798" s="27">
        <f>IF(ISNUMBER($R798),COUNTIFS($A$14:$A$1213,$A798,$R$14:$R$1213,"&gt;"&amp;$R798)+(COUNTIFS($A$14:$A$1213,$A798,$R$14:$R$1213,"="&amp;$R798)+1)/2,"")</f>
        <v/>
      </c>
      <c r="AF798" s="27">
        <f>IF(ISNUMBER($S798),COUNTIFS($A$14:$A$1213,$A798,$S$14:$S$1213,"&gt;"&amp;$S798)+(COUNTIFS($A$14:$A$1213,$A798,$S$14:$S$1213,"="&amp;$S798)+1)/2,"")</f>
        <v/>
      </c>
      <c r="AG798" s="27">
        <f>IF(ISNUMBER($T798),COUNTIFS($A$14:$A$1213,$A798,$T$14:$T$1213,"&gt;"&amp;$T798)+(COUNTIFS($A$14:$A$1213,$A798,$T$14:$T$1213,"="&amp;$T798)+1)/2,"")</f>
        <v/>
      </c>
      <c r="AH798" s="27">
        <f>IF(COUNT($AC798:$AG798)&lt;2,"",IF(MAX($AC798:$AG798)=MIN($AC798:$AG798),0,1))</f>
        <v/>
      </c>
      <c r="AI798" s="27">
        <f>IF($A798="","",IF(COUNTIF($A$14:$A798,$A798)=1,COUNTIF($AI$13:AI797,"&gt;0")+1,""))</f>
        <v/>
      </c>
      <c r="AO798" s="27">
        <f>IF($A798="","",IF(AND(COUNTIFS($A$14:$A$1213,$A798,$F$14:$F$1213,"&gt;=0")=2,IFERROR(INDEX($M$14:$M$313,MATCH($A798,$H$14:$H$313,0)),"Yes")&lt;&gt;"Yes"),1,0))</f>
        <v/>
      </c>
    </row>
    <row r="799">
      <c r="A799" s="19" t="n"/>
      <c r="B799" s="20" t="n"/>
      <c r="C799" s="21">
        <f>IFERROR(AVERAGE(P799:T799),"")</f>
        <v/>
      </c>
      <c r="D799" s="29" t="n"/>
      <c r="E799" s="29" t="n"/>
      <c r="F799" s="30">
        <f>IF(AND(ISNUMBER($D799),ISNUMBER($E799),$E799&gt;0,$D799&lt;=$E799),$D799/$E799,"")</f>
        <v/>
      </c>
      <c r="P799" s="26" t="n"/>
      <c r="Q799" s="26" t="n"/>
      <c r="R799" s="26" t="n"/>
      <c r="S799" s="26" t="n"/>
      <c r="T799" s="26" t="n"/>
      <c r="V799" s="27">
        <f>IF(ISNUMBER($C799),COUNTIFS($A$14:$A$1213,$A799,$C$14:$C$1213,"&gt;"&amp;$C799)+(COUNTIFS($A$14:$A$1213,$A799,$C$14:$C$1213,"="&amp;$C799)+1)/2,"")</f>
        <v/>
      </c>
      <c r="W799" s="27">
        <f>IF(ISNUMBER($F799),COUNTIFS($A$14:$A$1213,$A799,$F$14:$F$1213,"&gt;"&amp;$F799)+(COUNTIFS($A$14:$A$1213,$A799,$F$14:$F$1213,"="&amp;$F799)+1)/2,"")</f>
        <v/>
      </c>
      <c r="X799" s="27">
        <f>IF(OR(NOT(ISNUMBER($V799)),$AO799=1),"",$V799-(COUNTIFS($A$14:$A$1213,$A799,$C$14:$C$1213,"&gt;=0")+1)/2)</f>
        <v/>
      </c>
      <c r="Y799" s="27">
        <f>IF(OR(NOT(ISNUMBER($W799)),$AO799=1),"",$W799-(COUNTIFS($A$14:$A$1213,$A799,$F$14:$F$1213,"&gt;=0")+1)/2)</f>
        <v/>
      </c>
      <c r="Z799" s="27">
        <f>IF(ISNUMBER($V799),$A799&amp;"|"&amp;$V799,"")</f>
        <v/>
      </c>
      <c r="AA799" s="27">
        <f>IF(ISNUMBER($W799),$A799&amp;"|"&amp;$W799,"")</f>
        <v/>
      </c>
      <c r="AB799" s="27">
        <f>IF(ISNUMBER($F799),$A799&amp;"|"&amp;$F799,"")</f>
        <v/>
      </c>
      <c r="AC799" s="27">
        <f>IF(ISNUMBER($P799),COUNTIFS($A$14:$A$1213,$A799,$P$14:$P$1213,"&gt;"&amp;$P799)+(COUNTIFS($A$14:$A$1213,$A799,$P$14:$P$1213,"="&amp;$P799)+1)/2,"")</f>
        <v/>
      </c>
      <c r="AD799" s="27">
        <f>IF(ISNUMBER($Q799),COUNTIFS($A$14:$A$1213,$A799,$Q$14:$Q$1213,"&gt;"&amp;$Q799)+(COUNTIFS($A$14:$A$1213,$A799,$Q$14:$Q$1213,"="&amp;$Q799)+1)/2,"")</f>
        <v/>
      </c>
      <c r="AE799" s="27">
        <f>IF(ISNUMBER($R799),COUNTIFS($A$14:$A$1213,$A799,$R$14:$R$1213,"&gt;"&amp;$R799)+(COUNTIFS($A$14:$A$1213,$A799,$R$14:$R$1213,"="&amp;$R799)+1)/2,"")</f>
        <v/>
      </c>
      <c r="AF799" s="27">
        <f>IF(ISNUMBER($S799),COUNTIFS($A$14:$A$1213,$A799,$S$14:$S$1213,"&gt;"&amp;$S799)+(COUNTIFS($A$14:$A$1213,$A799,$S$14:$S$1213,"="&amp;$S799)+1)/2,"")</f>
        <v/>
      </c>
      <c r="AG799" s="27">
        <f>IF(ISNUMBER($T799),COUNTIFS($A$14:$A$1213,$A799,$T$14:$T$1213,"&gt;"&amp;$T799)+(COUNTIFS($A$14:$A$1213,$A799,$T$14:$T$1213,"="&amp;$T799)+1)/2,"")</f>
        <v/>
      </c>
      <c r="AH799" s="27">
        <f>IF(COUNT($AC799:$AG799)&lt;2,"",IF(MAX($AC799:$AG799)=MIN($AC799:$AG799),0,1))</f>
        <v/>
      </c>
      <c r="AI799" s="27">
        <f>IF($A799="","",IF(COUNTIF($A$14:$A799,$A799)=1,COUNTIF($AI$13:AI798,"&gt;0")+1,""))</f>
        <v/>
      </c>
      <c r="AO799" s="27">
        <f>IF($A799="","",IF(AND(COUNTIFS($A$14:$A$1213,$A799,$F$14:$F$1213,"&gt;=0")=2,IFERROR(INDEX($M$14:$M$313,MATCH($A799,$H$14:$H$313,0)),"Yes")&lt;&gt;"Yes"),1,0))</f>
        <v/>
      </c>
    </row>
    <row r="800">
      <c r="A800" s="19" t="n"/>
      <c r="B800" s="20" t="n"/>
      <c r="C800" s="21">
        <f>IFERROR(AVERAGE(P800:T800),"")</f>
        <v/>
      </c>
      <c r="D800" s="29" t="n"/>
      <c r="E800" s="29" t="n"/>
      <c r="F800" s="30">
        <f>IF(AND(ISNUMBER($D800),ISNUMBER($E800),$E800&gt;0,$D800&lt;=$E800),$D800/$E800,"")</f>
        <v/>
      </c>
      <c r="P800" s="26" t="n"/>
      <c r="Q800" s="26" t="n"/>
      <c r="R800" s="26" t="n"/>
      <c r="S800" s="26" t="n"/>
      <c r="T800" s="26" t="n"/>
      <c r="V800" s="27">
        <f>IF(ISNUMBER($C800),COUNTIFS($A$14:$A$1213,$A800,$C$14:$C$1213,"&gt;"&amp;$C800)+(COUNTIFS($A$14:$A$1213,$A800,$C$14:$C$1213,"="&amp;$C800)+1)/2,"")</f>
        <v/>
      </c>
      <c r="W800" s="27">
        <f>IF(ISNUMBER($F800),COUNTIFS($A$14:$A$1213,$A800,$F$14:$F$1213,"&gt;"&amp;$F800)+(COUNTIFS($A$14:$A$1213,$A800,$F$14:$F$1213,"="&amp;$F800)+1)/2,"")</f>
        <v/>
      </c>
      <c r="X800" s="27">
        <f>IF(OR(NOT(ISNUMBER($V800)),$AO800=1),"",$V800-(COUNTIFS($A$14:$A$1213,$A800,$C$14:$C$1213,"&gt;=0")+1)/2)</f>
        <v/>
      </c>
      <c r="Y800" s="27">
        <f>IF(OR(NOT(ISNUMBER($W800)),$AO800=1),"",$W800-(COUNTIFS($A$14:$A$1213,$A800,$F$14:$F$1213,"&gt;=0")+1)/2)</f>
        <v/>
      </c>
      <c r="Z800" s="27">
        <f>IF(ISNUMBER($V800),$A800&amp;"|"&amp;$V800,"")</f>
        <v/>
      </c>
      <c r="AA800" s="27">
        <f>IF(ISNUMBER($W800),$A800&amp;"|"&amp;$W800,"")</f>
        <v/>
      </c>
      <c r="AB800" s="27">
        <f>IF(ISNUMBER($F800),$A800&amp;"|"&amp;$F800,"")</f>
        <v/>
      </c>
      <c r="AC800" s="27">
        <f>IF(ISNUMBER($P800),COUNTIFS($A$14:$A$1213,$A800,$P$14:$P$1213,"&gt;"&amp;$P800)+(COUNTIFS($A$14:$A$1213,$A800,$P$14:$P$1213,"="&amp;$P800)+1)/2,"")</f>
        <v/>
      </c>
      <c r="AD800" s="27">
        <f>IF(ISNUMBER($Q800),COUNTIFS($A$14:$A$1213,$A800,$Q$14:$Q$1213,"&gt;"&amp;$Q800)+(COUNTIFS($A$14:$A$1213,$A800,$Q$14:$Q$1213,"="&amp;$Q800)+1)/2,"")</f>
        <v/>
      </c>
      <c r="AE800" s="27">
        <f>IF(ISNUMBER($R800),COUNTIFS($A$14:$A$1213,$A800,$R$14:$R$1213,"&gt;"&amp;$R800)+(COUNTIFS($A$14:$A$1213,$A800,$R$14:$R$1213,"="&amp;$R800)+1)/2,"")</f>
        <v/>
      </c>
      <c r="AF800" s="27">
        <f>IF(ISNUMBER($S800),COUNTIFS($A$14:$A$1213,$A800,$S$14:$S$1213,"&gt;"&amp;$S800)+(COUNTIFS($A$14:$A$1213,$A800,$S$14:$S$1213,"="&amp;$S800)+1)/2,"")</f>
        <v/>
      </c>
      <c r="AG800" s="27">
        <f>IF(ISNUMBER($T800),COUNTIFS($A$14:$A$1213,$A800,$T$14:$T$1213,"&gt;"&amp;$T800)+(COUNTIFS($A$14:$A$1213,$A800,$T$14:$T$1213,"="&amp;$T800)+1)/2,"")</f>
        <v/>
      </c>
      <c r="AH800" s="27">
        <f>IF(COUNT($AC800:$AG800)&lt;2,"",IF(MAX($AC800:$AG800)=MIN($AC800:$AG800),0,1))</f>
        <v/>
      </c>
      <c r="AI800" s="27">
        <f>IF($A800="","",IF(COUNTIF($A$14:$A800,$A800)=1,COUNTIF($AI$13:AI799,"&gt;0")+1,""))</f>
        <v/>
      </c>
      <c r="AO800" s="27">
        <f>IF($A800="","",IF(AND(COUNTIFS($A$14:$A$1213,$A800,$F$14:$F$1213,"&gt;=0")=2,IFERROR(INDEX($M$14:$M$313,MATCH($A800,$H$14:$H$313,0)),"Yes")&lt;&gt;"Yes"),1,0))</f>
        <v/>
      </c>
    </row>
    <row r="801">
      <c r="A801" s="19" t="n"/>
      <c r="B801" s="20" t="n"/>
      <c r="C801" s="21">
        <f>IFERROR(AVERAGE(P801:T801),"")</f>
        <v/>
      </c>
      <c r="D801" s="29" t="n"/>
      <c r="E801" s="29" t="n"/>
      <c r="F801" s="30">
        <f>IF(AND(ISNUMBER($D801),ISNUMBER($E801),$E801&gt;0,$D801&lt;=$E801),$D801/$E801,"")</f>
        <v/>
      </c>
      <c r="P801" s="26" t="n"/>
      <c r="Q801" s="26" t="n"/>
      <c r="R801" s="26" t="n"/>
      <c r="S801" s="26" t="n"/>
      <c r="T801" s="26" t="n"/>
      <c r="V801" s="27">
        <f>IF(ISNUMBER($C801),COUNTIFS($A$14:$A$1213,$A801,$C$14:$C$1213,"&gt;"&amp;$C801)+(COUNTIFS($A$14:$A$1213,$A801,$C$14:$C$1213,"="&amp;$C801)+1)/2,"")</f>
        <v/>
      </c>
      <c r="W801" s="27">
        <f>IF(ISNUMBER($F801),COUNTIFS($A$14:$A$1213,$A801,$F$14:$F$1213,"&gt;"&amp;$F801)+(COUNTIFS($A$14:$A$1213,$A801,$F$14:$F$1213,"="&amp;$F801)+1)/2,"")</f>
        <v/>
      </c>
      <c r="X801" s="27">
        <f>IF(OR(NOT(ISNUMBER($V801)),$AO801=1),"",$V801-(COUNTIFS($A$14:$A$1213,$A801,$C$14:$C$1213,"&gt;=0")+1)/2)</f>
        <v/>
      </c>
      <c r="Y801" s="27">
        <f>IF(OR(NOT(ISNUMBER($W801)),$AO801=1),"",$W801-(COUNTIFS($A$14:$A$1213,$A801,$F$14:$F$1213,"&gt;=0")+1)/2)</f>
        <v/>
      </c>
      <c r="Z801" s="27">
        <f>IF(ISNUMBER($V801),$A801&amp;"|"&amp;$V801,"")</f>
        <v/>
      </c>
      <c r="AA801" s="27">
        <f>IF(ISNUMBER($W801),$A801&amp;"|"&amp;$W801,"")</f>
        <v/>
      </c>
      <c r="AB801" s="27">
        <f>IF(ISNUMBER($F801),$A801&amp;"|"&amp;$F801,"")</f>
        <v/>
      </c>
      <c r="AC801" s="27">
        <f>IF(ISNUMBER($P801),COUNTIFS($A$14:$A$1213,$A801,$P$14:$P$1213,"&gt;"&amp;$P801)+(COUNTIFS($A$14:$A$1213,$A801,$P$14:$P$1213,"="&amp;$P801)+1)/2,"")</f>
        <v/>
      </c>
      <c r="AD801" s="27">
        <f>IF(ISNUMBER($Q801),COUNTIFS($A$14:$A$1213,$A801,$Q$14:$Q$1213,"&gt;"&amp;$Q801)+(COUNTIFS($A$14:$A$1213,$A801,$Q$14:$Q$1213,"="&amp;$Q801)+1)/2,"")</f>
        <v/>
      </c>
      <c r="AE801" s="27">
        <f>IF(ISNUMBER($R801),COUNTIFS($A$14:$A$1213,$A801,$R$14:$R$1213,"&gt;"&amp;$R801)+(COUNTIFS($A$14:$A$1213,$A801,$R$14:$R$1213,"="&amp;$R801)+1)/2,"")</f>
        <v/>
      </c>
      <c r="AF801" s="27">
        <f>IF(ISNUMBER($S801),COUNTIFS($A$14:$A$1213,$A801,$S$14:$S$1213,"&gt;"&amp;$S801)+(COUNTIFS($A$14:$A$1213,$A801,$S$14:$S$1213,"="&amp;$S801)+1)/2,"")</f>
        <v/>
      </c>
      <c r="AG801" s="27">
        <f>IF(ISNUMBER($T801),COUNTIFS($A$14:$A$1213,$A801,$T$14:$T$1213,"&gt;"&amp;$T801)+(COUNTIFS($A$14:$A$1213,$A801,$T$14:$T$1213,"="&amp;$T801)+1)/2,"")</f>
        <v/>
      </c>
      <c r="AH801" s="27">
        <f>IF(COUNT($AC801:$AG801)&lt;2,"",IF(MAX($AC801:$AG801)=MIN($AC801:$AG801),0,1))</f>
        <v/>
      </c>
      <c r="AI801" s="27">
        <f>IF($A801="","",IF(COUNTIF($A$14:$A801,$A801)=1,COUNTIF($AI$13:AI800,"&gt;0")+1,""))</f>
        <v/>
      </c>
      <c r="AO801" s="27">
        <f>IF($A801="","",IF(AND(COUNTIFS($A$14:$A$1213,$A801,$F$14:$F$1213,"&gt;=0")=2,IFERROR(INDEX($M$14:$M$313,MATCH($A801,$H$14:$H$313,0)),"Yes")&lt;&gt;"Yes"),1,0))</f>
        <v/>
      </c>
    </row>
    <row r="802">
      <c r="A802" s="19" t="n"/>
      <c r="B802" s="20" t="n"/>
      <c r="C802" s="21">
        <f>IFERROR(AVERAGE(P802:T802),"")</f>
        <v/>
      </c>
      <c r="D802" s="29" t="n"/>
      <c r="E802" s="29" t="n"/>
      <c r="F802" s="30">
        <f>IF(AND(ISNUMBER($D802),ISNUMBER($E802),$E802&gt;0,$D802&lt;=$E802),$D802/$E802,"")</f>
        <v/>
      </c>
      <c r="P802" s="26" t="n"/>
      <c r="Q802" s="26" t="n"/>
      <c r="R802" s="26" t="n"/>
      <c r="S802" s="26" t="n"/>
      <c r="T802" s="26" t="n"/>
      <c r="V802" s="27">
        <f>IF(ISNUMBER($C802),COUNTIFS($A$14:$A$1213,$A802,$C$14:$C$1213,"&gt;"&amp;$C802)+(COUNTIFS($A$14:$A$1213,$A802,$C$14:$C$1213,"="&amp;$C802)+1)/2,"")</f>
        <v/>
      </c>
      <c r="W802" s="27">
        <f>IF(ISNUMBER($F802),COUNTIFS($A$14:$A$1213,$A802,$F$14:$F$1213,"&gt;"&amp;$F802)+(COUNTIFS($A$14:$A$1213,$A802,$F$14:$F$1213,"="&amp;$F802)+1)/2,"")</f>
        <v/>
      </c>
      <c r="X802" s="27">
        <f>IF(OR(NOT(ISNUMBER($V802)),$AO802=1),"",$V802-(COUNTIFS($A$14:$A$1213,$A802,$C$14:$C$1213,"&gt;=0")+1)/2)</f>
        <v/>
      </c>
      <c r="Y802" s="27">
        <f>IF(OR(NOT(ISNUMBER($W802)),$AO802=1),"",$W802-(COUNTIFS($A$14:$A$1213,$A802,$F$14:$F$1213,"&gt;=0")+1)/2)</f>
        <v/>
      </c>
      <c r="Z802" s="27">
        <f>IF(ISNUMBER($V802),$A802&amp;"|"&amp;$V802,"")</f>
        <v/>
      </c>
      <c r="AA802" s="27">
        <f>IF(ISNUMBER($W802),$A802&amp;"|"&amp;$W802,"")</f>
        <v/>
      </c>
      <c r="AB802" s="27">
        <f>IF(ISNUMBER($F802),$A802&amp;"|"&amp;$F802,"")</f>
        <v/>
      </c>
      <c r="AC802" s="27">
        <f>IF(ISNUMBER($P802),COUNTIFS($A$14:$A$1213,$A802,$P$14:$P$1213,"&gt;"&amp;$P802)+(COUNTIFS($A$14:$A$1213,$A802,$P$14:$P$1213,"="&amp;$P802)+1)/2,"")</f>
        <v/>
      </c>
      <c r="AD802" s="27">
        <f>IF(ISNUMBER($Q802),COUNTIFS($A$14:$A$1213,$A802,$Q$14:$Q$1213,"&gt;"&amp;$Q802)+(COUNTIFS($A$14:$A$1213,$A802,$Q$14:$Q$1213,"="&amp;$Q802)+1)/2,"")</f>
        <v/>
      </c>
      <c r="AE802" s="27">
        <f>IF(ISNUMBER($R802),COUNTIFS($A$14:$A$1213,$A802,$R$14:$R$1213,"&gt;"&amp;$R802)+(COUNTIFS($A$14:$A$1213,$A802,$R$14:$R$1213,"="&amp;$R802)+1)/2,"")</f>
        <v/>
      </c>
      <c r="AF802" s="27">
        <f>IF(ISNUMBER($S802),COUNTIFS($A$14:$A$1213,$A802,$S$14:$S$1213,"&gt;"&amp;$S802)+(COUNTIFS($A$14:$A$1213,$A802,$S$14:$S$1213,"="&amp;$S802)+1)/2,"")</f>
        <v/>
      </c>
      <c r="AG802" s="27">
        <f>IF(ISNUMBER($T802),COUNTIFS($A$14:$A$1213,$A802,$T$14:$T$1213,"&gt;"&amp;$T802)+(COUNTIFS($A$14:$A$1213,$A802,$T$14:$T$1213,"="&amp;$T802)+1)/2,"")</f>
        <v/>
      </c>
      <c r="AH802" s="27">
        <f>IF(COUNT($AC802:$AG802)&lt;2,"",IF(MAX($AC802:$AG802)=MIN($AC802:$AG802),0,1))</f>
        <v/>
      </c>
      <c r="AI802" s="27">
        <f>IF($A802="","",IF(COUNTIF($A$14:$A802,$A802)=1,COUNTIF($AI$13:AI801,"&gt;0")+1,""))</f>
        <v/>
      </c>
      <c r="AO802" s="27">
        <f>IF($A802="","",IF(AND(COUNTIFS($A$14:$A$1213,$A802,$F$14:$F$1213,"&gt;=0")=2,IFERROR(INDEX($M$14:$M$313,MATCH($A802,$H$14:$H$313,0)),"Yes")&lt;&gt;"Yes"),1,0))</f>
        <v/>
      </c>
    </row>
    <row r="803">
      <c r="A803" s="19" t="n"/>
      <c r="B803" s="20" t="n"/>
      <c r="C803" s="21">
        <f>IFERROR(AVERAGE(P803:T803),"")</f>
        <v/>
      </c>
      <c r="D803" s="29" t="n"/>
      <c r="E803" s="29" t="n"/>
      <c r="F803" s="30">
        <f>IF(AND(ISNUMBER($D803),ISNUMBER($E803),$E803&gt;0,$D803&lt;=$E803),$D803/$E803,"")</f>
        <v/>
      </c>
      <c r="P803" s="26" t="n"/>
      <c r="Q803" s="26" t="n"/>
      <c r="R803" s="26" t="n"/>
      <c r="S803" s="26" t="n"/>
      <c r="T803" s="26" t="n"/>
      <c r="V803" s="27">
        <f>IF(ISNUMBER($C803),COUNTIFS($A$14:$A$1213,$A803,$C$14:$C$1213,"&gt;"&amp;$C803)+(COUNTIFS($A$14:$A$1213,$A803,$C$14:$C$1213,"="&amp;$C803)+1)/2,"")</f>
        <v/>
      </c>
      <c r="W803" s="27">
        <f>IF(ISNUMBER($F803),COUNTIFS($A$14:$A$1213,$A803,$F$14:$F$1213,"&gt;"&amp;$F803)+(COUNTIFS($A$14:$A$1213,$A803,$F$14:$F$1213,"="&amp;$F803)+1)/2,"")</f>
        <v/>
      </c>
      <c r="X803" s="27">
        <f>IF(OR(NOT(ISNUMBER($V803)),$AO803=1),"",$V803-(COUNTIFS($A$14:$A$1213,$A803,$C$14:$C$1213,"&gt;=0")+1)/2)</f>
        <v/>
      </c>
      <c r="Y803" s="27">
        <f>IF(OR(NOT(ISNUMBER($W803)),$AO803=1),"",$W803-(COUNTIFS($A$14:$A$1213,$A803,$F$14:$F$1213,"&gt;=0")+1)/2)</f>
        <v/>
      </c>
      <c r="Z803" s="27">
        <f>IF(ISNUMBER($V803),$A803&amp;"|"&amp;$V803,"")</f>
        <v/>
      </c>
      <c r="AA803" s="27">
        <f>IF(ISNUMBER($W803),$A803&amp;"|"&amp;$W803,"")</f>
        <v/>
      </c>
      <c r="AB803" s="27">
        <f>IF(ISNUMBER($F803),$A803&amp;"|"&amp;$F803,"")</f>
        <v/>
      </c>
      <c r="AC803" s="27">
        <f>IF(ISNUMBER($P803),COUNTIFS($A$14:$A$1213,$A803,$P$14:$P$1213,"&gt;"&amp;$P803)+(COUNTIFS($A$14:$A$1213,$A803,$P$14:$P$1213,"="&amp;$P803)+1)/2,"")</f>
        <v/>
      </c>
      <c r="AD803" s="27">
        <f>IF(ISNUMBER($Q803),COUNTIFS($A$14:$A$1213,$A803,$Q$14:$Q$1213,"&gt;"&amp;$Q803)+(COUNTIFS($A$14:$A$1213,$A803,$Q$14:$Q$1213,"="&amp;$Q803)+1)/2,"")</f>
        <v/>
      </c>
      <c r="AE803" s="27">
        <f>IF(ISNUMBER($R803),COUNTIFS($A$14:$A$1213,$A803,$R$14:$R$1213,"&gt;"&amp;$R803)+(COUNTIFS($A$14:$A$1213,$A803,$R$14:$R$1213,"="&amp;$R803)+1)/2,"")</f>
        <v/>
      </c>
      <c r="AF803" s="27">
        <f>IF(ISNUMBER($S803),COUNTIFS($A$14:$A$1213,$A803,$S$14:$S$1213,"&gt;"&amp;$S803)+(COUNTIFS($A$14:$A$1213,$A803,$S$14:$S$1213,"="&amp;$S803)+1)/2,"")</f>
        <v/>
      </c>
      <c r="AG803" s="27">
        <f>IF(ISNUMBER($T803),COUNTIFS($A$14:$A$1213,$A803,$T$14:$T$1213,"&gt;"&amp;$T803)+(COUNTIFS($A$14:$A$1213,$A803,$T$14:$T$1213,"="&amp;$T803)+1)/2,"")</f>
        <v/>
      </c>
      <c r="AH803" s="27">
        <f>IF(COUNT($AC803:$AG803)&lt;2,"",IF(MAX($AC803:$AG803)=MIN($AC803:$AG803),0,1))</f>
        <v/>
      </c>
      <c r="AI803" s="27">
        <f>IF($A803="","",IF(COUNTIF($A$14:$A803,$A803)=1,COUNTIF($AI$13:AI802,"&gt;0")+1,""))</f>
        <v/>
      </c>
      <c r="AO803" s="27">
        <f>IF($A803="","",IF(AND(COUNTIFS($A$14:$A$1213,$A803,$F$14:$F$1213,"&gt;=0")=2,IFERROR(INDEX($M$14:$M$313,MATCH($A803,$H$14:$H$313,0)),"Yes")&lt;&gt;"Yes"),1,0))</f>
        <v/>
      </c>
    </row>
    <row r="804">
      <c r="A804" s="19" t="n"/>
      <c r="B804" s="20" t="n"/>
      <c r="C804" s="21">
        <f>IFERROR(AVERAGE(P804:T804),"")</f>
        <v/>
      </c>
      <c r="D804" s="29" t="n"/>
      <c r="E804" s="29" t="n"/>
      <c r="F804" s="30">
        <f>IF(AND(ISNUMBER($D804),ISNUMBER($E804),$E804&gt;0,$D804&lt;=$E804),$D804/$E804,"")</f>
        <v/>
      </c>
      <c r="P804" s="26" t="n"/>
      <c r="Q804" s="26" t="n"/>
      <c r="R804" s="26" t="n"/>
      <c r="S804" s="26" t="n"/>
      <c r="T804" s="26" t="n"/>
      <c r="V804" s="27">
        <f>IF(ISNUMBER($C804),COUNTIFS($A$14:$A$1213,$A804,$C$14:$C$1213,"&gt;"&amp;$C804)+(COUNTIFS($A$14:$A$1213,$A804,$C$14:$C$1213,"="&amp;$C804)+1)/2,"")</f>
        <v/>
      </c>
      <c r="W804" s="27">
        <f>IF(ISNUMBER($F804),COUNTIFS($A$14:$A$1213,$A804,$F$14:$F$1213,"&gt;"&amp;$F804)+(COUNTIFS($A$14:$A$1213,$A804,$F$14:$F$1213,"="&amp;$F804)+1)/2,"")</f>
        <v/>
      </c>
      <c r="X804" s="27">
        <f>IF(OR(NOT(ISNUMBER($V804)),$AO804=1),"",$V804-(COUNTIFS($A$14:$A$1213,$A804,$C$14:$C$1213,"&gt;=0")+1)/2)</f>
        <v/>
      </c>
      <c r="Y804" s="27">
        <f>IF(OR(NOT(ISNUMBER($W804)),$AO804=1),"",$W804-(COUNTIFS($A$14:$A$1213,$A804,$F$14:$F$1213,"&gt;=0")+1)/2)</f>
        <v/>
      </c>
      <c r="Z804" s="27">
        <f>IF(ISNUMBER($V804),$A804&amp;"|"&amp;$V804,"")</f>
        <v/>
      </c>
      <c r="AA804" s="27">
        <f>IF(ISNUMBER($W804),$A804&amp;"|"&amp;$W804,"")</f>
        <v/>
      </c>
      <c r="AB804" s="27">
        <f>IF(ISNUMBER($F804),$A804&amp;"|"&amp;$F804,"")</f>
        <v/>
      </c>
      <c r="AC804" s="27">
        <f>IF(ISNUMBER($P804),COUNTIFS($A$14:$A$1213,$A804,$P$14:$P$1213,"&gt;"&amp;$P804)+(COUNTIFS($A$14:$A$1213,$A804,$P$14:$P$1213,"="&amp;$P804)+1)/2,"")</f>
        <v/>
      </c>
      <c r="AD804" s="27">
        <f>IF(ISNUMBER($Q804),COUNTIFS($A$14:$A$1213,$A804,$Q$14:$Q$1213,"&gt;"&amp;$Q804)+(COUNTIFS($A$14:$A$1213,$A804,$Q$14:$Q$1213,"="&amp;$Q804)+1)/2,"")</f>
        <v/>
      </c>
      <c r="AE804" s="27">
        <f>IF(ISNUMBER($R804),COUNTIFS($A$14:$A$1213,$A804,$R$14:$R$1213,"&gt;"&amp;$R804)+(COUNTIFS($A$14:$A$1213,$A804,$R$14:$R$1213,"="&amp;$R804)+1)/2,"")</f>
        <v/>
      </c>
      <c r="AF804" s="27">
        <f>IF(ISNUMBER($S804),COUNTIFS($A$14:$A$1213,$A804,$S$14:$S$1213,"&gt;"&amp;$S804)+(COUNTIFS($A$14:$A$1213,$A804,$S$14:$S$1213,"="&amp;$S804)+1)/2,"")</f>
        <v/>
      </c>
      <c r="AG804" s="27">
        <f>IF(ISNUMBER($T804),COUNTIFS($A$14:$A$1213,$A804,$T$14:$T$1213,"&gt;"&amp;$T804)+(COUNTIFS($A$14:$A$1213,$A804,$T$14:$T$1213,"="&amp;$T804)+1)/2,"")</f>
        <v/>
      </c>
      <c r="AH804" s="27">
        <f>IF(COUNT($AC804:$AG804)&lt;2,"",IF(MAX($AC804:$AG804)=MIN($AC804:$AG804),0,1))</f>
        <v/>
      </c>
      <c r="AI804" s="27">
        <f>IF($A804="","",IF(COUNTIF($A$14:$A804,$A804)=1,COUNTIF($AI$13:AI803,"&gt;0")+1,""))</f>
        <v/>
      </c>
      <c r="AO804" s="27">
        <f>IF($A804="","",IF(AND(COUNTIFS($A$14:$A$1213,$A804,$F$14:$F$1213,"&gt;=0")=2,IFERROR(INDEX($M$14:$M$313,MATCH($A804,$H$14:$H$313,0)),"Yes")&lt;&gt;"Yes"),1,0))</f>
        <v/>
      </c>
    </row>
    <row r="805">
      <c r="A805" s="19" t="n"/>
      <c r="B805" s="20" t="n"/>
      <c r="C805" s="21">
        <f>IFERROR(AVERAGE(P805:T805),"")</f>
        <v/>
      </c>
      <c r="D805" s="29" t="n"/>
      <c r="E805" s="29" t="n"/>
      <c r="F805" s="30">
        <f>IF(AND(ISNUMBER($D805),ISNUMBER($E805),$E805&gt;0,$D805&lt;=$E805),$D805/$E805,"")</f>
        <v/>
      </c>
      <c r="P805" s="26" t="n"/>
      <c r="Q805" s="26" t="n"/>
      <c r="R805" s="26" t="n"/>
      <c r="S805" s="26" t="n"/>
      <c r="T805" s="26" t="n"/>
      <c r="V805" s="27">
        <f>IF(ISNUMBER($C805),COUNTIFS($A$14:$A$1213,$A805,$C$14:$C$1213,"&gt;"&amp;$C805)+(COUNTIFS($A$14:$A$1213,$A805,$C$14:$C$1213,"="&amp;$C805)+1)/2,"")</f>
        <v/>
      </c>
      <c r="W805" s="27">
        <f>IF(ISNUMBER($F805),COUNTIFS($A$14:$A$1213,$A805,$F$14:$F$1213,"&gt;"&amp;$F805)+(COUNTIFS($A$14:$A$1213,$A805,$F$14:$F$1213,"="&amp;$F805)+1)/2,"")</f>
        <v/>
      </c>
      <c r="X805" s="27">
        <f>IF(OR(NOT(ISNUMBER($V805)),$AO805=1),"",$V805-(COUNTIFS($A$14:$A$1213,$A805,$C$14:$C$1213,"&gt;=0")+1)/2)</f>
        <v/>
      </c>
      <c r="Y805" s="27">
        <f>IF(OR(NOT(ISNUMBER($W805)),$AO805=1),"",$W805-(COUNTIFS($A$14:$A$1213,$A805,$F$14:$F$1213,"&gt;=0")+1)/2)</f>
        <v/>
      </c>
      <c r="Z805" s="27">
        <f>IF(ISNUMBER($V805),$A805&amp;"|"&amp;$V805,"")</f>
        <v/>
      </c>
      <c r="AA805" s="27">
        <f>IF(ISNUMBER($W805),$A805&amp;"|"&amp;$W805,"")</f>
        <v/>
      </c>
      <c r="AB805" s="27">
        <f>IF(ISNUMBER($F805),$A805&amp;"|"&amp;$F805,"")</f>
        <v/>
      </c>
      <c r="AC805" s="27">
        <f>IF(ISNUMBER($P805),COUNTIFS($A$14:$A$1213,$A805,$P$14:$P$1213,"&gt;"&amp;$P805)+(COUNTIFS($A$14:$A$1213,$A805,$P$14:$P$1213,"="&amp;$P805)+1)/2,"")</f>
        <v/>
      </c>
      <c r="AD805" s="27">
        <f>IF(ISNUMBER($Q805),COUNTIFS($A$14:$A$1213,$A805,$Q$14:$Q$1213,"&gt;"&amp;$Q805)+(COUNTIFS($A$14:$A$1213,$A805,$Q$14:$Q$1213,"="&amp;$Q805)+1)/2,"")</f>
        <v/>
      </c>
      <c r="AE805" s="27">
        <f>IF(ISNUMBER($R805),COUNTIFS($A$14:$A$1213,$A805,$R$14:$R$1213,"&gt;"&amp;$R805)+(COUNTIFS($A$14:$A$1213,$A805,$R$14:$R$1213,"="&amp;$R805)+1)/2,"")</f>
        <v/>
      </c>
      <c r="AF805" s="27">
        <f>IF(ISNUMBER($S805),COUNTIFS($A$14:$A$1213,$A805,$S$14:$S$1213,"&gt;"&amp;$S805)+(COUNTIFS($A$14:$A$1213,$A805,$S$14:$S$1213,"="&amp;$S805)+1)/2,"")</f>
        <v/>
      </c>
      <c r="AG805" s="27">
        <f>IF(ISNUMBER($T805),COUNTIFS($A$14:$A$1213,$A805,$T$14:$T$1213,"&gt;"&amp;$T805)+(COUNTIFS($A$14:$A$1213,$A805,$T$14:$T$1213,"="&amp;$T805)+1)/2,"")</f>
        <v/>
      </c>
      <c r="AH805" s="27">
        <f>IF(COUNT($AC805:$AG805)&lt;2,"",IF(MAX($AC805:$AG805)=MIN($AC805:$AG805),0,1))</f>
        <v/>
      </c>
      <c r="AI805" s="27">
        <f>IF($A805="","",IF(COUNTIF($A$14:$A805,$A805)=1,COUNTIF($AI$13:AI804,"&gt;0")+1,""))</f>
        <v/>
      </c>
      <c r="AO805" s="27">
        <f>IF($A805="","",IF(AND(COUNTIFS($A$14:$A$1213,$A805,$F$14:$F$1213,"&gt;=0")=2,IFERROR(INDEX($M$14:$M$313,MATCH($A805,$H$14:$H$313,0)),"Yes")&lt;&gt;"Yes"),1,0))</f>
        <v/>
      </c>
    </row>
    <row r="806">
      <c r="A806" s="19" t="n"/>
      <c r="B806" s="20" t="n"/>
      <c r="C806" s="21">
        <f>IFERROR(AVERAGE(P806:T806),"")</f>
        <v/>
      </c>
      <c r="D806" s="29" t="n"/>
      <c r="E806" s="29" t="n"/>
      <c r="F806" s="30">
        <f>IF(AND(ISNUMBER($D806),ISNUMBER($E806),$E806&gt;0,$D806&lt;=$E806),$D806/$E806,"")</f>
        <v/>
      </c>
      <c r="P806" s="26" t="n"/>
      <c r="Q806" s="26" t="n"/>
      <c r="R806" s="26" t="n"/>
      <c r="S806" s="26" t="n"/>
      <c r="T806" s="26" t="n"/>
      <c r="V806" s="27">
        <f>IF(ISNUMBER($C806),COUNTIFS($A$14:$A$1213,$A806,$C$14:$C$1213,"&gt;"&amp;$C806)+(COUNTIFS($A$14:$A$1213,$A806,$C$14:$C$1213,"="&amp;$C806)+1)/2,"")</f>
        <v/>
      </c>
      <c r="W806" s="27">
        <f>IF(ISNUMBER($F806),COUNTIFS($A$14:$A$1213,$A806,$F$14:$F$1213,"&gt;"&amp;$F806)+(COUNTIFS($A$14:$A$1213,$A806,$F$14:$F$1213,"="&amp;$F806)+1)/2,"")</f>
        <v/>
      </c>
      <c r="X806" s="27">
        <f>IF(OR(NOT(ISNUMBER($V806)),$AO806=1),"",$V806-(COUNTIFS($A$14:$A$1213,$A806,$C$14:$C$1213,"&gt;=0")+1)/2)</f>
        <v/>
      </c>
      <c r="Y806" s="27">
        <f>IF(OR(NOT(ISNUMBER($W806)),$AO806=1),"",$W806-(COUNTIFS($A$14:$A$1213,$A806,$F$14:$F$1213,"&gt;=0")+1)/2)</f>
        <v/>
      </c>
      <c r="Z806" s="27">
        <f>IF(ISNUMBER($V806),$A806&amp;"|"&amp;$V806,"")</f>
        <v/>
      </c>
      <c r="AA806" s="27">
        <f>IF(ISNUMBER($W806),$A806&amp;"|"&amp;$W806,"")</f>
        <v/>
      </c>
      <c r="AB806" s="27">
        <f>IF(ISNUMBER($F806),$A806&amp;"|"&amp;$F806,"")</f>
        <v/>
      </c>
      <c r="AC806" s="27">
        <f>IF(ISNUMBER($P806),COUNTIFS($A$14:$A$1213,$A806,$P$14:$P$1213,"&gt;"&amp;$P806)+(COUNTIFS($A$14:$A$1213,$A806,$P$14:$P$1213,"="&amp;$P806)+1)/2,"")</f>
        <v/>
      </c>
      <c r="AD806" s="27">
        <f>IF(ISNUMBER($Q806),COUNTIFS($A$14:$A$1213,$A806,$Q$14:$Q$1213,"&gt;"&amp;$Q806)+(COUNTIFS($A$14:$A$1213,$A806,$Q$14:$Q$1213,"="&amp;$Q806)+1)/2,"")</f>
        <v/>
      </c>
      <c r="AE806" s="27">
        <f>IF(ISNUMBER($R806),COUNTIFS($A$14:$A$1213,$A806,$R$14:$R$1213,"&gt;"&amp;$R806)+(COUNTIFS($A$14:$A$1213,$A806,$R$14:$R$1213,"="&amp;$R806)+1)/2,"")</f>
        <v/>
      </c>
      <c r="AF806" s="27">
        <f>IF(ISNUMBER($S806),COUNTIFS($A$14:$A$1213,$A806,$S$14:$S$1213,"&gt;"&amp;$S806)+(COUNTIFS($A$14:$A$1213,$A806,$S$14:$S$1213,"="&amp;$S806)+1)/2,"")</f>
        <v/>
      </c>
      <c r="AG806" s="27">
        <f>IF(ISNUMBER($T806),COUNTIFS($A$14:$A$1213,$A806,$T$14:$T$1213,"&gt;"&amp;$T806)+(COUNTIFS($A$14:$A$1213,$A806,$T$14:$T$1213,"="&amp;$T806)+1)/2,"")</f>
        <v/>
      </c>
      <c r="AH806" s="27">
        <f>IF(COUNT($AC806:$AG806)&lt;2,"",IF(MAX($AC806:$AG806)=MIN($AC806:$AG806),0,1))</f>
        <v/>
      </c>
      <c r="AI806" s="27">
        <f>IF($A806="","",IF(COUNTIF($A$14:$A806,$A806)=1,COUNTIF($AI$13:AI805,"&gt;0")+1,""))</f>
        <v/>
      </c>
      <c r="AO806" s="27">
        <f>IF($A806="","",IF(AND(COUNTIFS($A$14:$A$1213,$A806,$F$14:$F$1213,"&gt;=0")=2,IFERROR(INDEX($M$14:$M$313,MATCH($A806,$H$14:$H$313,0)),"Yes")&lt;&gt;"Yes"),1,0))</f>
        <v/>
      </c>
    </row>
    <row r="807">
      <c r="A807" s="19" t="n"/>
      <c r="B807" s="20" t="n"/>
      <c r="C807" s="21">
        <f>IFERROR(AVERAGE(P807:T807),"")</f>
        <v/>
      </c>
      <c r="D807" s="29" t="n"/>
      <c r="E807" s="29" t="n"/>
      <c r="F807" s="30">
        <f>IF(AND(ISNUMBER($D807),ISNUMBER($E807),$E807&gt;0,$D807&lt;=$E807),$D807/$E807,"")</f>
        <v/>
      </c>
      <c r="P807" s="26" t="n"/>
      <c r="Q807" s="26" t="n"/>
      <c r="R807" s="26" t="n"/>
      <c r="S807" s="26" t="n"/>
      <c r="T807" s="26" t="n"/>
      <c r="V807" s="27">
        <f>IF(ISNUMBER($C807),COUNTIFS($A$14:$A$1213,$A807,$C$14:$C$1213,"&gt;"&amp;$C807)+(COUNTIFS($A$14:$A$1213,$A807,$C$14:$C$1213,"="&amp;$C807)+1)/2,"")</f>
        <v/>
      </c>
      <c r="W807" s="27">
        <f>IF(ISNUMBER($F807),COUNTIFS($A$14:$A$1213,$A807,$F$14:$F$1213,"&gt;"&amp;$F807)+(COUNTIFS($A$14:$A$1213,$A807,$F$14:$F$1213,"="&amp;$F807)+1)/2,"")</f>
        <v/>
      </c>
      <c r="X807" s="27">
        <f>IF(OR(NOT(ISNUMBER($V807)),$AO807=1),"",$V807-(COUNTIFS($A$14:$A$1213,$A807,$C$14:$C$1213,"&gt;=0")+1)/2)</f>
        <v/>
      </c>
      <c r="Y807" s="27">
        <f>IF(OR(NOT(ISNUMBER($W807)),$AO807=1),"",$W807-(COUNTIFS($A$14:$A$1213,$A807,$F$14:$F$1213,"&gt;=0")+1)/2)</f>
        <v/>
      </c>
      <c r="Z807" s="27">
        <f>IF(ISNUMBER($V807),$A807&amp;"|"&amp;$V807,"")</f>
        <v/>
      </c>
      <c r="AA807" s="27">
        <f>IF(ISNUMBER($W807),$A807&amp;"|"&amp;$W807,"")</f>
        <v/>
      </c>
      <c r="AB807" s="27">
        <f>IF(ISNUMBER($F807),$A807&amp;"|"&amp;$F807,"")</f>
        <v/>
      </c>
      <c r="AC807" s="27">
        <f>IF(ISNUMBER($P807),COUNTIFS($A$14:$A$1213,$A807,$P$14:$P$1213,"&gt;"&amp;$P807)+(COUNTIFS($A$14:$A$1213,$A807,$P$14:$P$1213,"="&amp;$P807)+1)/2,"")</f>
        <v/>
      </c>
      <c r="AD807" s="27">
        <f>IF(ISNUMBER($Q807),COUNTIFS($A$14:$A$1213,$A807,$Q$14:$Q$1213,"&gt;"&amp;$Q807)+(COUNTIFS($A$14:$A$1213,$A807,$Q$14:$Q$1213,"="&amp;$Q807)+1)/2,"")</f>
        <v/>
      </c>
      <c r="AE807" s="27">
        <f>IF(ISNUMBER($R807),COUNTIFS($A$14:$A$1213,$A807,$R$14:$R$1213,"&gt;"&amp;$R807)+(COUNTIFS($A$14:$A$1213,$A807,$R$14:$R$1213,"="&amp;$R807)+1)/2,"")</f>
        <v/>
      </c>
      <c r="AF807" s="27">
        <f>IF(ISNUMBER($S807),COUNTIFS($A$14:$A$1213,$A807,$S$14:$S$1213,"&gt;"&amp;$S807)+(COUNTIFS($A$14:$A$1213,$A807,$S$14:$S$1213,"="&amp;$S807)+1)/2,"")</f>
        <v/>
      </c>
      <c r="AG807" s="27">
        <f>IF(ISNUMBER($T807),COUNTIFS($A$14:$A$1213,$A807,$T$14:$T$1213,"&gt;"&amp;$T807)+(COUNTIFS($A$14:$A$1213,$A807,$T$14:$T$1213,"="&amp;$T807)+1)/2,"")</f>
        <v/>
      </c>
      <c r="AH807" s="27">
        <f>IF(COUNT($AC807:$AG807)&lt;2,"",IF(MAX($AC807:$AG807)=MIN($AC807:$AG807),0,1))</f>
        <v/>
      </c>
      <c r="AI807" s="27">
        <f>IF($A807="","",IF(COUNTIF($A$14:$A807,$A807)=1,COUNTIF($AI$13:AI806,"&gt;0")+1,""))</f>
        <v/>
      </c>
      <c r="AO807" s="27">
        <f>IF($A807="","",IF(AND(COUNTIFS($A$14:$A$1213,$A807,$F$14:$F$1213,"&gt;=0")=2,IFERROR(INDEX($M$14:$M$313,MATCH($A807,$H$14:$H$313,0)),"Yes")&lt;&gt;"Yes"),1,0))</f>
        <v/>
      </c>
    </row>
    <row r="808">
      <c r="A808" s="19" t="n"/>
      <c r="B808" s="20" t="n"/>
      <c r="C808" s="21">
        <f>IFERROR(AVERAGE(P808:T808),"")</f>
        <v/>
      </c>
      <c r="D808" s="29" t="n"/>
      <c r="E808" s="29" t="n"/>
      <c r="F808" s="30">
        <f>IF(AND(ISNUMBER($D808),ISNUMBER($E808),$E808&gt;0,$D808&lt;=$E808),$D808/$E808,"")</f>
        <v/>
      </c>
      <c r="P808" s="26" t="n"/>
      <c r="Q808" s="26" t="n"/>
      <c r="R808" s="26" t="n"/>
      <c r="S808" s="26" t="n"/>
      <c r="T808" s="26" t="n"/>
      <c r="V808" s="27">
        <f>IF(ISNUMBER($C808),COUNTIFS($A$14:$A$1213,$A808,$C$14:$C$1213,"&gt;"&amp;$C808)+(COUNTIFS($A$14:$A$1213,$A808,$C$14:$C$1213,"="&amp;$C808)+1)/2,"")</f>
        <v/>
      </c>
      <c r="W808" s="27">
        <f>IF(ISNUMBER($F808),COUNTIFS($A$14:$A$1213,$A808,$F$14:$F$1213,"&gt;"&amp;$F808)+(COUNTIFS($A$14:$A$1213,$A808,$F$14:$F$1213,"="&amp;$F808)+1)/2,"")</f>
        <v/>
      </c>
      <c r="X808" s="27">
        <f>IF(OR(NOT(ISNUMBER($V808)),$AO808=1),"",$V808-(COUNTIFS($A$14:$A$1213,$A808,$C$14:$C$1213,"&gt;=0")+1)/2)</f>
        <v/>
      </c>
      <c r="Y808" s="27">
        <f>IF(OR(NOT(ISNUMBER($W808)),$AO808=1),"",$W808-(COUNTIFS($A$14:$A$1213,$A808,$F$14:$F$1213,"&gt;=0")+1)/2)</f>
        <v/>
      </c>
      <c r="Z808" s="27">
        <f>IF(ISNUMBER($V808),$A808&amp;"|"&amp;$V808,"")</f>
        <v/>
      </c>
      <c r="AA808" s="27">
        <f>IF(ISNUMBER($W808),$A808&amp;"|"&amp;$W808,"")</f>
        <v/>
      </c>
      <c r="AB808" s="27">
        <f>IF(ISNUMBER($F808),$A808&amp;"|"&amp;$F808,"")</f>
        <v/>
      </c>
      <c r="AC808" s="27">
        <f>IF(ISNUMBER($P808),COUNTIFS($A$14:$A$1213,$A808,$P$14:$P$1213,"&gt;"&amp;$P808)+(COUNTIFS($A$14:$A$1213,$A808,$P$14:$P$1213,"="&amp;$P808)+1)/2,"")</f>
        <v/>
      </c>
      <c r="AD808" s="27">
        <f>IF(ISNUMBER($Q808),COUNTIFS($A$14:$A$1213,$A808,$Q$14:$Q$1213,"&gt;"&amp;$Q808)+(COUNTIFS($A$14:$A$1213,$A808,$Q$14:$Q$1213,"="&amp;$Q808)+1)/2,"")</f>
        <v/>
      </c>
      <c r="AE808" s="27">
        <f>IF(ISNUMBER($R808),COUNTIFS($A$14:$A$1213,$A808,$R$14:$R$1213,"&gt;"&amp;$R808)+(COUNTIFS($A$14:$A$1213,$A808,$R$14:$R$1213,"="&amp;$R808)+1)/2,"")</f>
        <v/>
      </c>
      <c r="AF808" s="27">
        <f>IF(ISNUMBER($S808),COUNTIFS($A$14:$A$1213,$A808,$S$14:$S$1213,"&gt;"&amp;$S808)+(COUNTIFS($A$14:$A$1213,$A808,$S$14:$S$1213,"="&amp;$S808)+1)/2,"")</f>
        <v/>
      </c>
      <c r="AG808" s="27">
        <f>IF(ISNUMBER($T808),COUNTIFS($A$14:$A$1213,$A808,$T$14:$T$1213,"&gt;"&amp;$T808)+(COUNTIFS($A$14:$A$1213,$A808,$T$14:$T$1213,"="&amp;$T808)+1)/2,"")</f>
        <v/>
      </c>
      <c r="AH808" s="27">
        <f>IF(COUNT($AC808:$AG808)&lt;2,"",IF(MAX($AC808:$AG808)=MIN($AC808:$AG808),0,1))</f>
        <v/>
      </c>
      <c r="AI808" s="27">
        <f>IF($A808="","",IF(COUNTIF($A$14:$A808,$A808)=1,COUNTIF($AI$13:AI807,"&gt;0")+1,""))</f>
        <v/>
      </c>
      <c r="AO808" s="27">
        <f>IF($A808="","",IF(AND(COUNTIFS($A$14:$A$1213,$A808,$F$14:$F$1213,"&gt;=0")=2,IFERROR(INDEX($M$14:$M$313,MATCH($A808,$H$14:$H$313,0)),"Yes")&lt;&gt;"Yes"),1,0))</f>
        <v/>
      </c>
    </row>
    <row r="809">
      <c r="A809" s="19" t="n"/>
      <c r="B809" s="20" t="n"/>
      <c r="C809" s="21">
        <f>IFERROR(AVERAGE(P809:T809),"")</f>
        <v/>
      </c>
      <c r="D809" s="29" t="n"/>
      <c r="E809" s="29" t="n"/>
      <c r="F809" s="30">
        <f>IF(AND(ISNUMBER($D809),ISNUMBER($E809),$E809&gt;0,$D809&lt;=$E809),$D809/$E809,"")</f>
        <v/>
      </c>
      <c r="P809" s="26" t="n"/>
      <c r="Q809" s="26" t="n"/>
      <c r="R809" s="26" t="n"/>
      <c r="S809" s="26" t="n"/>
      <c r="T809" s="26" t="n"/>
      <c r="V809" s="27">
        <f>IF(ISNUMBER($C809),COUNTIFS($A$14:$A$1213,$A809,$C$14:$C$1213,"&gt;"&amp;$C809)+(COUNTIFS($A$14:$A$1213,$A809,$C$14:$C$1213,"="&amp;$C809)+1)/2,"")</f>
        <v/>
      </c>
      <c r="W809" s="27">
        <f>IF(ISNUMBER($F809),COUNTIFS($A$14:$A$1213,$A809,$F$14:$F$1213,"&gt;"&amp;$F809)+(COUNTIFS($A$14:$A$1213,$A809,$F$14:$F$1213,"="&amp;$F809)+1)/2,"")</f>
        <v/>
      </c>
      <c r="X809" s="27">
        <f>IF(OR(NOT(ISNUMBER($V809)),$AO809=1),"",$V809-(COUNTIFS($A$14:$A$1213,$A809,$C$14:$C$1213,"&gt;=0")+1)/2)</f>
        <v/>
      </c>
      <c r="Y809" s="27">
        <f>IF(OR(NOT(ISNUMBER($W809)),$AO809=1),"",$W809-(COUNTIFS($A$14:$A$1213,$A809,$F$14:$F$1213,"&gt;=0")+1)/2)</f>
        <v/>
      </c>
      <c r="Z809" s="27">
        <f>IF(ISNUMBER($V809),$A809&amp;"|"&amp;$V809,"")</f>
        <v/>
      </c>
      <c r="AA809" s="27">
        <f>IF(ISNUMBER($W809),$A809&amp;"|"&amp;$W809,"")</f>
        <v/>
      </c>
      <c r="AB809" s="27">
        <f>IF(ISNUMBER($F809),$A809&amp;"|"&amp;$F809,"")</f>
        <v/>
      </c>
      <c r="AC809" s="27">
        <f>IF(ISNUMBER($P809),COUNTIFS($A$14:$A$1213,$A809,$P$14:$P$1213,"&gt;"&amp;$P809)+(COUNTIFS($A$14:$A$1213,$A809,$P$14:$P$1213,"="&amp;$P809)+1)/2,"")</f>
        <v/>
      </c>
      <c r="AD809" s="27">
        <f>IF(ISNUMBER($Q809),COUNTIFS($A$14:$A$1213,$A809,$Q$14:$Q$1213,"&gt;"&amp;$Q809)+(COUNTIFS($A$14:$A$1213,$A809,$Q$14:$Q$1213,"="&amp;$Q809)+1)/2,"")</f>
        <v/>
      </c>
      <c r="AE809" s="27">
        <f>IF(ISNUMBER($R809),COUNTIFS($A$14:$A$1213,$A809,$R$14:$R$1213,"&gt;"&amp;$R809)+(COUNTIFS($A$14:$A$1213,$A809,$R$14:$R$1213,"="&amp;$R809)+1)/2,"")</f>
        <v/>
      </c>
      <c r="AF809" s="27">
        <f>IF(ISNUMBER($S809),COUNTIFS($A$14:$A$1213,$A809,$S$14:$S$1213,"&gt;"&amp;$S809)+(COUNTIFS($A$14:$A$1213,$A809,$S$14:$S$1213,"="&amp;$S809)+1)/2,"")</f>
        <v/>
      </c>
      <c r="AG809" s="27">
        <f>IF(ISNUMBER($T809),COUNTIFS($A$14:$A$1213,$A809,$T$14:$T$1213,"&gt;"&amp;$T809)+(COUNTIFS($A$14:$A$1213,$A809,$T$14:$T$1213,"="&amp;$T809)+1)/2,"")</f>
        <v/>
      </c>
      <c r="AH809" s="27">
        <f>IF(COUNT($AC809:$AG809)&lt;2,"",IF(MAX($AC809:$AG809)=MIN($AC809:$AG809),0,1))</f>
        <v/>
      </c>
      <c r="AI809" s="27">
        <f>IF($A809="","",IF(COUNTIF($A$14:$A809,$A809)=1,COUNTIF($AI$13:AI808,"&gt;0")+1,""))</f>
        <v/>
      </c>
      <c r="AO809" s="27">
        <f>IF($A809="","",IF(AND(COUNTIFS($A$14:$A$1213,$A809,$F$14:$F$1213,"&gt;=0")=2,IFERROR(INDEX($M$14:$M$313,MATCH($A809,$H$14:$H$313,0)),"Yes")&lt;&gt;"Yes"),1,0))</f>
        <v/>
      </c>
    </row>
    <row r="810">
      <c r="A810" s="19" t="n"/>
      <c r="B810" s="20" t="n"/>
      <c r="C810" s="21">
        <f>IFERROR(AVERAGE(P810:T810),"")</f>
        <v/>
      </c>
      <c r="D810" s="29" t="n"/>
      <c r="E810" s="29" t="n"/>
      <c r="F810" s="30">
        <f>IF(AND(ISNUMBER($D810),ISNUMBER($E810),$E810&gt;0,$D810&lt;=$E810),$D810/$E810,"")</f>
        <v/>
      </c>
      <c r="P810" s="26" t="n"/>
      <c r="Q810" s="26" t="n"/>
      <c r="R810" s="26" t="n"/>
      <c r="S810" s="26" t="n"/>
      <c r="T810" s="26" t="n"/>
      <c r="V810" s="27">
        <f>IF(ISNUMBER($C810),COUNTIFS($A$14:$A$1213,$A810,$C$14:$C$1213,"&gt;"&amp;$C810)+(COUNTIFS($A$14:$A$1213,$A810,$C$14:$C$1213,"="&amp;$C810)+1)/2,"")</f>
        <v/>
      </c>
      <c r="W810" s="27">
        <f>IF(ISNUMBER($F810),COUNTIFS($A$14:$A$1213,$A810,$F$14:$F$1213,"&gt;"&amp;$F810)+(COUNTIFS($A$14:$A$1213,$A810,$F$14:$F$1213,"="&amp;$F810)+1)/2,"")</f>
        <v/>
      </c>
      <c r="X810" s="27">
        <f>IF(OR(NOT(ISNUMBER($V810)),$AO810=1),"",$V810-(COUNTIFS($A$14:$A$1213,$A810,$C$14:$C$1213,"&gt;=0")+1)/2)</f>
        <v/>
      </c>
      <c r="Y810" s="27">
        <f>IF(OR(NOT(ISNUMBER($W810)),$AO810=1),"",$W810-(COUNTIFS($A$14:$A$1213,$A810,$F$14:$F$1213,"&gt;=0")+1)/2)</f>
        <v/>
      </c>
      <c r="Z810" s="27">
        <f>IF(ISNUMBER($V810),$A810&amp;"|"&amp;$V810,"")</f>
        <v/>
      </c>
      <c r="AA810" s="27">
        <f>IF(ISNUMBER($W810),$A810&amp;"|"&amp;$W810,"")</f>
        <v/>
      </c>
      <c r="AB810" s="27">
        <f>IF(ISNUMBER($F810),$A810&amp;"|"&amp;$F810,"")</f>
        <v/>
      </c>
      <c r="AC810" s="27">
        <f>IF(ISNUMBER($P810),COUNTIFS($A$14:$A$1213,$A810,$P$14:$P$1213,"&gt;"&amp;$P810)+(COUNTIFS($A$14:$A$1213,$A810,$P$14:$P$1213,"="&amp;$P810)+1)/2,"")</f>
        <v/>
      </c>
      <c r="AD810" s="27">
        <f>IF(ISNUMBER($Q810),COUNTIFS($A$14:$A$1213,$A810,$Q$14:$Q$1213,"&gt;"&amp;$Q810)+(COUNTIFS($A$14:$A$1213,$A810,$Q$14:$Q$1213,"="&amp;$Q810)+1)/2,"")</f>
        <v/>
      </c>
      <c r="AE810" s="27">
        <f>IF(ISNUMBER($R810),COUNTIFS($A$14:$A$1213,$A810,$R$14:$R$1213,"&gt;"&amp;$R810)+(COUNTIFS($A$14:$A$1213,$A810,$R$14:$R$1213,"="&amp;$R810)+1)/2,"")</f>
        <v/>
      </c>
      <c r="AF810" s="27">
        <f>IF(ISNUMBER($S810),COUNTIFS($A$14:$A$1213,$A810,$S$14:$S$1213,"&gt;"&amp;$S810)+(COUNTIFS($A$14:$A$1213,$A810,$S$14:$S$1213,"="&amp;$S810)+1)/2,"")</f>
        <v/>
      </c>
      <c r="AG810" s="27">
        <f>IF(ISNUMBER($T810),COUNTIFS($A$14:$A$1213,$A810,$T$14:$T$1213,"&gt;"&amp;$T810)+(COUNTIFS($A$14:$A$1213,$A810,$T$14:$T$1213,"="&amp;$T810)+1)/2,"")</f>
        <v/>
      </c>
      <c r="AH810" s="27">
        <f>IF(COUNT($AC810:$AG810)&lt;2,"",IF(MAX($AC810:$AG810)=MIN($AC810:$AG810),0,1))</f>
        <v/>
      </c>
      <c r="AI810" s="27">
        <f>IF($A810="","",IF(COUNTIF($A$14:$A810,$A810)=1,COUNTIF($AI$13:AI809,"&gt;0")+1,""))</f>
        <v/>
      </c>
      <c r="AO810" s="27">
        <f>IF($A810="","",IF(AND(COUNTIFS($A$14:$A$1213,$A810,$F$14:$F$1213,"&gt;=0")=2,IFERROR(INDEX($M$14:$M$313,MATCH($A810,$H$14:$H$313,0)),"Yes")&lt;&gt;"Yes"),1,0))</f>
        <v/>
      </c>
    </row>
    <row r="811">
      <c r="A811" s="19" t="n"/>
      <c r="B811" s="20" t="n"/>
      <c r="C811" s="21">
        <f>IFERROR(AVERAGE(P811:T811),"")</f>
        <v/>
      </c>
      <c r="D811" s="29" t="n"/>
      <c r="E811" s="29" t="n"/>
      <c r="F811" s="30">
        <f>IF(AND(ISNUMBER($D811),ISNUMBER($E811),$E811&gt;0,$D811&lt;=$E811),$D811/$E811,"")</f>
        <v/>
      </c>
      <c r="P811" s="26" t="n"/>
      <c r="Q811" s="26" t="n"/>
      <c r="R811" s="26" t="n"/>
      <c r="S811" s="26" t="n"/>
      <c r="T811" s="26" t="n"/>
      <c r="V811" s="27">
        <f>IF(ISNUMBER($C811),COUNTIFS($A$14:$A$1213,$A811,$C$14:$C$1213,"&gt;"&amp;$C811)+(COUNTIFS($A$14:$A$1213,$A811,$C$14:$C$1213,"="&amp;$C811)+1)/2,"")</f>
        <v/>
      </c>
      <c r="W811" s="27">
        <f>IF(ISNUMBER($F811),COUNTIFS($A$14:$A$1213,$A811,$F$14:$F$1213,"&gt;"&amp;$F811)+(COUNTIFS($A$14:$A$1213,$A811,$F$14:$F$1213,"="&amp;$F811)+1)/2,"")</f>
        <v/>
      </c>
      <c r="X811" s="27">
        <f>IF(OR(NOT(ISNUMBER($V811)),$AO811=1),"",$V811-(COUNTIFS($A$14:$A$1213,$A811,$C$14:$C$1213,"&gt;=0")+1)/2)</f>
        <v/>
      </c>
      <c r="Y811" s="27">
        <f>IF(OR(NOT(ISNUMBER($W811)),$AO811=1),"",$W811-(COUNTIFS($A$14:$A$1213,$A811,$F$14:$F$1213,"&gt;=0")+1)/2)</f>
        <v/>
      </c>
      <c r="Z811" s="27">
        <f>IF(ISNUMBER($V811),$A811&amp;"|"&amp;$V811,"")</f>
        <v/>
      </c>
      <c r="AA811" s="27">
        <f>IF(ISNUMBER($W811),$A811&amp;"|"&amp;$W811,"")</f>
        <v/>
      </c>
      <c r="AB811" s="27">
        <f>IF(ISNUMBER($F811),$A811&amp;"|"&amp;$F811,"")</f>
        <v/>
      </c>
      <c r="AC811" s="27">
        <f>IF(ISNUMBER($P811),COUNTIFS($A$14:$A$1213,$A811,$P$14:$P$1213,"&gt;"&amp;$P811)+(COUNTIFS($A$14:$A$1213,$A811,$P$14:$P$1213,"="&amp;$P811)+1)/2,"")</f>
        <v/>
      </c>
      <c r="AD811" s="27">
        <f>IF(ISNUMBER($Q811),COUNTIFS($A$14:$A$1213,$A811,$Q$14:$Q$1213,"&gt;"&amp;$Q811)+(COUNTIFS($A$14:$A$1213,$A811,$Q$14:$Q$1213,"="&amp;$Q811)+1)/2,"")</f>
        <v/>
      </c>
      <c r="AE811" s="27">
        <f>IF(ISNUMBER($R811),COUNTIFS($A$14:$A$1213,$A811,$R$14:$R$1213,"&gt;"&amp;$R811)+(COUNTIFS($A$14:$A$1213,$A811,$R$14:$R$1213,"="&amp;$R811)+1)/2,"")</f>
        <v/>
      </c>
      <c r="AF811" s="27">
        <f>IF(ISNUMBER($S811),COUNTIFS($A$14:$A$1213,$A811,$S$14:$S$1213,"&gt;"&amp;$S811)+(COUNTIFS($A$14:$A$1213,$A811,$S$14:$S$1213,"="&amp;$S811)+1)/2,"")</f>
        <v/>
      </c>
      <c r="AG811" s="27">
        <f>IF(ISNUMBER($T811),COUNTIFS($A$14:$A$1213,$A811,$T$14:$T$1213,"&gt;"&amp;$T811)+(COUNTIFS($A$14:$A$1213,$A811,$T$14:$T$1213,"="&amp;$T811)+1)/2,"")</f>
        <v/>
      </c>
      <c r="AH811" s="27">
        <f>IF(COUNT($AC811:$AG811)&lt;2,"",IF(MAX($AC811:$AG811)=MIN($AC811:$AG811),0,1))</f>
        <v/>
      </c>
      <c r="AI811" s="27">
        <f>IF($A811="","",IF(COUNTIF($A$14:$A811,$A811)=1,COUNTIF($AI$13:AI810,"&gt;0")+1,""))</f>
        <v/>
      </c>
      <c r="AO811" s="27">
        <f>IF($A811="","",IF(AND(COUNTIFS($A$14:$A$1213,$A811,$F$14:$F$1213,"&gt;=0")=2,IFERROR(INDEX($M$14:$M$313,MATCH($A811,$H$14:$H$313,0)),"Yes")&lt;&gt;"Yes"),1,0))</f>
        <v/>
      </c>
    </row>
    <row r="812">
      <c r="A812" s="19" t="n"/>
      <c r="B812" s="20" t="n"/>
      <c r="C812" s="21">
        <f>IFERROR(AVERAGE(P812:T812),"")</f>
        <v/>
      </c>
      <c r="D812" s="29" t="n"/>
      <c r="E812" s="29" t="n"/>
      <c r="F812" s="30">
        <f>IF(AND(ISNUMBER($D812),ISNUMBER($E812),$E812&gt;0,$D812&lt;=$E812),$D812/$E812,"")</f>
        <v/>
      </c>
      <c r="P812" s="26" t="n"/>
      <c r="Q812" s="26" t="n"/>
      <c r="R812" s="26" t="n"/>
      <c r="S812" s="26" t="n"/>
      <c r="T812" s="26" t="n"/>
      <c r="V812" s="27">
        <f>IF(ISNUMBER($C812),COUNTIFS($A$14:$A$1213,$A812,$C$14:$C$1213,"&gt;"&amp;$C812)+(COUNTIFS($A$14:$A$1213,$A812,$C$14:$C$1213,"="&amp;$C812)+1)/2,"")</f>
        <v/>
      </c>
      <c r="W812" s="27">
        <f>IF(ISNUMBER($F812),COUNTIFS($A$14:$A$1213,$A812,$F$14:$F$1213,"&gt;"&amp;$F812)+(COUNTIFS($A$14:$A$1213,$A812,$F$14:$F$1213,"="&amp;$F812)+1)/2,"")</f>
        <v/>
      </c>
      <c r="X812" s="27">
        <f>IF(OR(NOT(ISNUMBER($V812)),$AO812=1),"",$V812-(COUNTIFS($A$14:$A$1213,$A812,$C$14:$C$1213,"&gt;=0")+1)/2)</f>
        <v/>
      </c>
      <c r="Y812" s="27">
        <f>IF(OR(NOT(ISNUMBER($W812)),$AO812=1),"",$W812-(COUNTIFS($A$14:$A$1213,$A812,$F$14:$F$1213,"&gt;=0")+1)/2)</f>
        <v/>
      </c>
      <c r="Z812" s="27">
        <f>IF(ISNUMBER($V812),$A812&amp;"|"&amp;$V812,"")</f>
        <v/>
      </c>
      <c r="AA812" s="27">
        <f>IF(ISNUMBER($W812),$A812&amp;"|"&amp;$W812,"")</f>
        <v/>
      </c>
      <c r="AB812" s="27">
        <f>IF(ISNUMBER($F812),$A812&amp;"|"&amp;$F812,"")</f>
        <v/>
      </c>
      <c r="AC812" s="27">
        <f>IF(ISNUMBER($P812),COUNTIFS($A$14:$A$1213,$A812,$P$14:$P$1213,"&gt;"&amp;$P812)+(COUNTIFS($A$14:$A$1213,$A812,$P$14:$P$1213,"="&amp;$P812)+1)/2,"")</f>
        <v/>
      </c>
      <c r="AD812" s="27">
        <f>IF(ISNUMBER($Q812),COUNTIFS($A$14:$A$1213,$A812,$Q$14:$Q$1213,"&gt;"&amp;$Q812)+(COUNTIFS($A$14:$A$1213,$A812,$Q$14:$Q$1213,"="&amp;$Q812)+1)/2,"")</f>
        <v/>
      </c>
      <c r="AE812" s="27">
        <f>IF(ISNUMBER($R812),COUNTIFS($A$14:$A$1213,$A812,$R$14:$R$1213,"&gt;"&amp;$R812)+(COUNTIFS($A$14:$A$1213,$A812,$R$14:$R$1213,"="&amp;$R812)+1)/2,"")</f>
        <v/>
      </c>
      <c r="AF812" s="27">
        <f>IF(ISNUMBER($S812),COUNTIFS($A$14:$A$1213,$A812,$S$14:$S$1213,"&gt;"&amp;$S812)+(COUNTIFS($A$14:$A$1213,$A812,$S$14:$S$1213,"="&amp;$S812)+1)/2,"")</f>
        <v/>
      </c>
      <c r="AG812" s="27">
        <f>IF(ISNUMBER($T812),COUNTIFS($A$14:$A$1213,$A812,$T$14:$T$1213,"&gt;"&amp;$T812)+(COUNTIFS($A$14:$A$1213,$A812,$T$14:$T$1213,"="&amp;$T812)+1)/2,"")</f>
        <v/>
      </c>
      <c r="AH812" s="27">
        <f>IF(COUNT($AC812:$AG812)&lt;2,"",IF(MAX($AC812:$AG812)=MIN($AC812:$AG812),0,1))</f>
        <v/>
      </c>
      <c r="AI812" s="27">
        <f>IF($A812="","",IF(COUNTIF($A$14:$A812,$A812)=1,COUNTIF($AI$13:AI811,"&gt;0")+1,""))</f>
        <v/>
      </c>
      <c r="AO812" s="27">
        <f>IF($A812="","",IF(AND(COUNTIFS($A$14:$A$1213,$A812,$F$14:$F$1213,"&gt;=0")=2,IFERROR(INDEX($M$14:$M$313,MATCH($A812,$H$14:$H$313,0)),"Yes")&lt;&gt;"Yes"),1,0))</f>
        <v/>
      </c>
    </row>
    <row r="813">
      <c r="A813" s="19" t="n"/>
      <c r="B813" s="20" t="n"/>
      <c r="C813" s="21">
        <f>IFERROR(AVERAGE(P813:T813),"")</f>
        <v/>
      </c>
      <c r="D813" s="29" t="n"/>
      <c r="E813" s="29" t="n"/>
      <c r="F813" s="30">
        <f>IF(AND(ISNUMBER($D813),ISNUMBER($E813),$E813&gt;0,$D813&lt;=$E813),$D813/$E813,"")</f>
        <v/>
      </c>
      <c r="P813" s="26" t="n"/>
      <c r="Q813" s="26" t="n"/>
      <c r="R813" s="26" t="n"/>
      <c r="S813" s="26" t="n"/>
      <c r="T813" s="26" t="n"/>
      <c r="V813" s="27">
        <f>IF(ISNUMBER($C813),COUNTIFS($A$14:$A$1213,$A813,$C$14:$C$1213,"&gt;"&amp;$C813)+(COUNTIFS($A$14:$A$1213,$A813,$C$14:$C$1213,"="&amp;$C813)+1)/2,"")</f>
        <v/>
      </c>
      <c r="W813" s="27">
        <f>IF(ISNUMBER($F813),COUNTIFS($A$14:$A$1213,$A813,$F$14:$F$1213,"&gt;"&amp;$F813)+(COUNTIFS($A$14:$A$1213,$A813,$F$14:$F$1213,"="&amp;$F813)+1)/2,"")</f>
        <v/>
      </c>
      <c r="X813" s="27">
        <f>IF(OR(NOT(ISNUMBER($V813)),$AO813=1),"",$V813-(COUNTIFS($A$14:$A$1213,$A813,$C$14:$C$1213,"&gt;=0")+1)/2)</f>
        <v/>
      </c>
      <c r="Y813" s="27">
        <f>IF(OR(NOT(ISNUMBER($W813)),$AO813=1),"",$W813-(COUNTIFS($A$14:$A$1213,$A813,$F$14:$F$1213,"&gt;=0")+1)/2)</f>
        <v/>
      </c>
      <c r="Z813" s="27">
        <f>IF(ISNUMBER($V813),$A813&amp;"|"&amp;$V813,"")</f>
        <v/>
      </c>
      <c r="AA813" s="27">
        <f>IF(ISNUMBER($W813),$A813&amp;"|"&amp;$W813,"")</f>
        <v/>
      </c>
      <c r="AB813" s="27">
        <f>IF(ISNUMBER($F813),$A813&amp;"|"&amp;$F813,"")</f>
        <v/>
      </c>
      <c r="AC813" s="27">
        <f>IF(ISNUMBER($P813),COUNTIFS($A$14:$A$1213,$A813,$P$14:$P$1213,"&gt;"&amp;$P813)+(COUNTIFS($A$14:$A$1213,$A813,$P$14:$P$1213,"="&amp;$P813)+1)/2,"")</f>
        <v/>
      </c>
      <c r="AD813" s="27">
        <f>IF(ISNUMBER($Q813),COUNTIFS($A$14:$A$1213,$A813,$Q$14:$Q$1213,"&gt;"&amp;$Q813)+(COUNTIFS($A$14:$A$1213,$A813,$Q$14:$Q$1213,"="&amp;$Q813)+1)/2,"")</f>
        <v/>
      </c>
      <c r="AE813" s="27">
        <f>IF(ISNUMBER($R813),COUNTIFS($A$14:$A$1213,$A813,$R$14:$R$1213,"&gt;"&amp;$R813)+(COUNTIFS($A$14:$A$1213,$A813,$R$14:$R$1213,"="&amp;$R813)+1)/2,"")</f>
        <v/>
      </c>
      <c r="AF813" s="27">
        <f>IF(ISNUMBER($S813),COUNTIFS($A$14:$A$1213,$A813,$S$14:$S$1213,"&gt;"&amp;$S813)+(COUNTIFS($A$14:$A$1213,$A813,$S$14:$S$1213,"="&amp;$S813)+1)/2,"")</f>
        <v/>
      </c>
      <c r="AG813" s="27">
        <f>IF(ISNUMBER($T813),COUNTIFS($A$14:$A$1213,$A813,$T$14:$T$1213,"&gt;"&amp;$T813)+(COUNTIFS($A$14:$A$1213,$A813,$T$14:$T$1213,"="&amp;$T813)+1)/2,"")</f>
        <v/>
      </c>
      <c r="AH813" s="27">
        <f>IF(COUNT($AC813:$AG813)&lt;2,"",IF(MAX($AC813:$AG813)=MIN($AC813:$AG813),0,1))</f>
        <v/>
      </c>
      <c r="AI813" s="27">
        <f>IF($A813="","",IF(COUNTIF($A$14:$A813,$A813)=1,COUNTIF($AI$13:AI812,"&gt;0")+1,""))</f>
        <v/>
      </c>
      <c r="AO813" s="27">
        <f>IF($A813="","",IF(AND(COUNTIFS($A$14:$A$1213,$A813,$F$14:$F$1213,"&gt;=0")=2,IFERROR(INDEX($M$14:$M$313,MATCH($A813,$H$14:$H$313,0)),"Yes")&lt;&gt;"Yes"),1,0))</f>
        <v/>
      </c>
    </row>
    <row r="814">
      <c r="A814" s="19" t="n"/>
      <c r="B814" s="20" t="n"/>
      <c r="C814" s="21">
        <f>IFERROR(AVERAGE(P814:T814),"")</f>
        <v/>
      </c>
      <c r="D814" s="29" t="n"/>
      <c r="E814" s="29" t="n"/>
      <c r="F814" s="30">
        <f>IF(AND(ISNUMBER($D814),ISNUMBER($E814),$E814&gt;0,$D814&lt;=$E814),$D814/$E814,"")</f>
        <v/>
      </c>
      <c r="P814" s="26" t="n"/>
      <c r="Q814" s="26" t="n"/>
      <c r="R814" s="26" t="n"/>
      <c r="S814" s="26" t="n"/>
      <c r="T814" s="26" t="n"/>
      <c r="V814" s="27">
        <f>IF(ISNUMBER($C814),COUNTIFS($A$14:$A$1213,$A814,$C$14:$C$1213,"&gt;"&amp;$C814)+(COUNTIFS($A$14:$A$1213,$A814,$C$14:$C$1213,"="&amp;$C814)+1)/2,"")</f>
        <v/>
      </c>
      <c r="W814" s="27">
        <f>IF(ISNUMBER($F814),COUNTIFS($A$14:$A$1213,$A814,$F$14:$F$1213,"&gt;"&amp;$F814)+(COUNTIFS($A$14:$A$1213,$A814,$F$14:$F$1213,"="&amp;$F814)+1)/2,"")</f>
        <v/>
      </c>
      <c r="X814" s="27">
        <f>IF(OR(NOT(ISNUMBER($V814)),$AO814=1),"",$V814-(COUNTIFS($A$14:$A$1213,$A814,$C$14:$C$1213,"&gt;=0")+1)/2)</f>
        <v/>
      </c>
      <c r="Y814" s="27">
        <f>IF(OR(NOT(ISNUMBER($W814)),$AO814=1),"",$W814-(COUNTIFS($A$14:$A$1213,$A814,$F$14:$F$1213,"&gt;=0")+1)/2)</f>
        <v/>
      </c>
      <c r="Z814" s="27">
        <f>IF(ISNUMBER($V814),$A814&amp;"|"&amp;$V814,"")</f>
        <v/>
      </c>
      <c r="AA814" s="27">
        <f>IF(ISNUMBER($W814),$A814&amp;"|"&amp;$W814,"")</f>
        <v/>
      </c>
      <c r="AB814" s="27">
        <f>IF(ISNUMBER($F814),$A814&amp;"|"&amp;$F814,"")</f>
        <v/>
      </c>
      <c r="AC814" s="27">
        <f>IF(ISNUMBER($P814),COUNTIFS($A$14:$A$1213,$A814,$P$14:$P$1213,"&gt;"&amp;$P814)+(COUNTIFS($A$14:$A$1213,$A814,$P$14:$P$1213,"="&amp;$P814)+1)/2,"")</f>
        <v/>
      </c>
      <c r="AD814" s="27">
        <f>IF(ISNUMBER($Q814),COUNTIFS($A$14:$A$1213,$A814,$Q$14:$Q$1213,"&gt;"&amp;$Q814)+(COUNTIFS($A$14:$A$1213,$A814,$Q$14:$Q$1213,"="&amp;$Q814)+1)/2,"")</f>
        <v/>
      </c>
      <c r="AE814" s="27">
        <f>IF(ISNUMBER($R814),COUNTIFS($A$14:$A$1213,$A814,$R$14:$R$1213,"&gt;"&amp;$R814)+(COUNTIFS($A$14:$A$1213,$A814,$R$14:$R$1213,"="&amp;$R814)+1)/2,"")</f>
        <v/>
      </c>
      <c r="AF814" s="27">
        <f>IF(ISNUMBER($S814),COUNTIFS($A$14:$A$1213,$A814,$S$14:$S$1213,"&gt;"&amp;$S814)+(COUNTIFS($A$14:$A$1213,$A814,$S$14:$S$1213,"="&amp;$S814)+1)/2,"")</f>
        <v/>
      </c>
      <c r="AG814" s="27">
        <f>IF(ISNUMBER($T814),COUNTIFS($A$14:$A$1213,$A814,$T$14:$T$1213,"&gt;"&amp;$T814)+(COUNTIFS($A$14:$A$1213,$A814,$T$14:$T$1213,"="&amp;$T814)+1)/2,"")</f>
        <v/>
      </c>
      <c r="AH814" s="27">
        <f>IF(COUNT($AC814:$AG814)&lt;2,"",IF(MAX($AC814:$AG814)=MIN($AC814:$AG814),0,1))</f>
        <v/>
      </c>
      <c r="AI814" s="27">
        <f>IF($A814="","",IF(COUNTIF($A$14:$A814,$A814)=1,COUNTIF($AI$13:AI813,"&gt;0")+1,""))</f>
        <v/>
      </c>
      <c r="AO814" s="27">
        <f>IF($A814="","",IF(AND(COUNTIFS($A$14:$A$1213,$A814,$F$14:$F$1213,"&gt;=0")=2,IFERROR(INDEX($M$14:$M$313,MATCH($A814,$H$14:$H$313,0)),"Yes")&lt;&gt;"Yes"),1,0))</f>
        <v/>
      </c>
    </row>
    <row r="815">
      <c r="A815" s="19" t="n"/>
      <c r="B815" s="20" t="n"/>
      <c r="C815" s="21">
        <f>IFERROR(AVERAGE(P815:T815),"")</f>
        <v/>
      </c>
      <c r="D815" s="29" t="n"/>
      <c r="E815" s="29" t="n"/>
      <c r="F815" s="30">
        <f>IF(AND(ISNUMBER($D815),ISNUMBER($E815),$E815&gt;0,$D815&lt;=$E815),$D815/$E815,"")</f>
        <v/>
      </c>
      <c r="P815" s="26" t="n"/>
      <c r="Q815" s="26" t="n"/>
      <c r="R815" s="26" t="n"/>
      <c r="S815" s="26" t="n"/>
      <c r="T815" s="26" t="n"/>
      <c r="V815" s="27">
        <f>IF(ISNUMBER($C815),COUNTIFS($A$14:$A$1213,$A815,$C$14:$C$1213,"&gt;"&amp;$C815)+(COUNTIFS($A$14:$A$1213,$A815,$C$14:$C$1213,"="&amp;$C815)+1)/2,"")</f>
        <v/>
      </c>
      <c r="W815" s="27">
        <f>IF(ISNUMBER($F815),COUNTIFS($A$14:$A$1213,$A815,$F$14:$F$1213,"&gt;"&amp;$F815)+(COUNTIFS($A$14:$A$1213,$A815,$F$14:$F$1213,"="&amp;$F815)+1)/2,"")</f>
        <v/>
      </c>
      <c r="X815" s="27">
        <f>IF(OR(NOT(ISNUMBER($V815)),$AO815=1),"",$V815-(COUNTIFS($A$14:$A$1213,$A815,$C$14:$C$1213,"&gt;=0")+1)/2)</f>
        <v/>
      </c>
      <c r="Y815" s="27">
        <f>IF(OR(NOT(ISNUMBER($W815)),$AO815=1),"",$W815-(COUNTIFS($A$14:$A$1213,$A815,$F$14:$F$1213,"&gt;=0")+1)/2)</f>
        <v/>
      </c>
      <c r="Z815" s="27">
        <f>IF(ISNUMBER($V815),$A815&amp;"|"&amp;$V815,"")</f>
        <v/>
      </c>
      <c r="AA815" s="27">
        <f>IF(ISNUMBER($W815),$A815&amp;"|"&amp;$W815,"")</f>
        <v/>
      </c>
      <c r="AB815" s="27">
        <f>IF(ISNUMBER($F815),$A815&amp;"|"&amp;$F815,"")</f>
        <v/>
      </c>
      <c r="AC815" s="27">
        <f>IF(ISNUMBER($P815),COUNTIFS($A$14:$A$1213,$A815,$P$14:$P$1213,"&gt;"&amp;$P815)+(COUNTIFS($A$14:$A$1213,$A815,$P$14:$P$1213,"="&amp;$P815)+1)/2,"")</f>
        <v/>
      </c>
      <c r="AD815" s="27">
        <f>IF(ISNUMBER($Q815),COUNTIFS($A$14:$A$1213,$A815,$Q$14:$Q$1213,"&gt;"&amp;$Q815)+(COUNTIFS($A$14:$A$1213,$A815,$Q$14:$Q$1213,"="&amp;$Q815)+1)/2,"")</f>
        <v/>
      </c>
      <c r="AE815" s="27">
        <f>IF(ISNUMBER($R815),COUNTIFS($A$14:$A$1213,$A815,$R$14:$R$1213,"&gt;"&amp;$R815)+(COUNTIFS($A$14:$A$1213,$A815,$R$14:$R$1213,"="&amp;$R815)+1)/2,"")</f>
        <v/>
      </c>
      <c r="AF815" s="27">
        <f>IF(ISNUMBER($S815),COUNTIFS($A$14:$A$1213,$A815,$S$14:$S$1213,"&gt;"&amp;$S815)+(COUNTIFS($A$14:$A$1213,$A815,$S$14:$S$1213,"="&amp;$S815)+1)/2,"")</f>
        <v/>
      </c>
      <c r="AG815" s="27">
        <f>IF(ISNUMBER($T815),COUNTIFS($A$14:$A$1213,$A815,$T$14:$T$1213,"&gt;"&amp;$T815)+(COUNTIFS($A$14:$A$1213,$A815,$T$14:$T$1213,"="&amp;$T815)+1)/2,"")</f>
        <v/>
      </c>
      <c r="AH815" s="27">
        <f>IF(COUNT($AC815:$AG815)&lt;2,"",IF(MAX($AC815:$AG815)=MIN($AC815:$AG815),0,1))</f>
        <v/>
      </c>
      <c r="AI815" s="27">
        <f>IF($A815="","",IF(COUNTIF($A$14:$A815,$A815)=1,COUNTIF($AI$13:AI814,"&gt;0")+1,""))</f>
        <v/>
      </c>
      <c r="AO815" s="27">
        <f>IF($A815="","",IF(AND(COUNTIFS($A$14:$A$1213,$A815,$F$14:$F$1213,"&gt;=0")=2,IFERROR(INDEX($M$14:$M$313,MATCH($A815,$H$14:$H$313,0)),"Yes")&lt;&gt;"Yes"),1,0))</f>
        <v/>
      </c>
    </row>
    <row r="816">
      <c r="A816" s="19" t="n"/>
      <c r="B816" s="20" t="n"/>
      <c r="C816" s="21">
        <f>IFERROR(AVERAGE(P816:T816),"")</f>
        <v/>
      </c>
      <c r="D816" s="29" t="n"/>
      <c r="E816" s="29" t="n"/>
      <c r="F816" s="30">
        <f>IF(AND(ISNUMBER($D816),ISNUMBER($E816),$E816&gt;0,$D816&lt;=$E816),$D816/$E816,"")</f>
        <v/>
      </c>
      <c r="P816" s="26" t="n"/>
      <c r="Q816" s="26" t="n"/>
      <c r="R816" s="26" t="n"/>
      <c r="S816" s="26" t="n"/>
      <c r="T816" s="26" t="n"/>
      <c r="V816" s="27">
        <f>IF(ISNUMBER($C816),COUNTIFS($A$14:$A$1213,$A816,$C$14:$C$1213,"&gt;"&amp;$C816)+(COUNTIFS($A$14:$A$1213,$A816,$C$14:$C$1213,"="&amp;$C816)+1)/2,"")</f>
        <v/>
      </c>
      <c r="W816" s="27">
        <f>IF(ISNUMBER($F816),COUNTIFS($A$14:$A$1213,$A816,$F$14:$F$1213,"&gt;"&amp;$F816)+(COUNTIFS($A$14:$A$1213,$A816,$F$14:$F$1213,"="&amp;$F816)+1)/2,"")</f>
        <v/>
      </c>
      <c r="X816" s="27">
        <f>IF(OR(NOT(ISNUMBER($V816)),$AO816=1),"",$V816-(COUNTIFS($A$14:$A$1213,$A816,$C$14:$C$1213,"&gt;=0")+1)/2)</f>
        <v/>
      </c>
      <c r="Y816" s="27">
        <f>IF(OR(NOT(ISNUMBER($W816)),$AO816=1),"",$W816-(COUNTIFS($A$14:$A$1213,$A816,$F$14:$F$1213,"&gt;=0")+1)/2)</f>
        <v/>
      </c>
      <c r="Z816" s="27">
        <f>IF(ISNUMBER($V816),$A816&amp;"|"&amp;$V816,"")</f>
        <v/>
      </c>
      <c r="AA816" s="27">
        <f>IF(ISNUMBER($W816),$A816&amp;"|"&amp;$W816,"")</f>
        <v/>
      </c>
      <c r="AB816" s="27">
        <f>IF(ISNUMBER($F816),$A816&amp;"|"&amp;$F816,"")</f>
        <v/>
      </c>
      <c r="AC816" s="27">
        <f>IF(ISNUMBER($P816),COUNTIFS($A$14:$A$1213,$A816,$P$14:$P$1213,"&gt;"&amp;$P816)+(COUNTIFS($A$14:$A$1213,$A816,$P$14:$P$1213,"="&amp;$P816)+1)/2,"")</f>
        <v/>
      </c>
      <c r="AD816" s="27">
        <f>IF(ISNUMBER($Q816),COUNTIFS($A$14:$A$1213,$A816,$Q$14:$Q$1213,"&gt;"&amp;$Q816)+(COUNTIFS($A$14:$A$1213,$A816,$Q$14:$Q$1213,"="&amp;$Q816)+1)/2,"")</f>
        <v/>
      </c>
      <c r="AE816" s="27">
        <f>IF(ISNUMBER($R816),COUNTIFS($A$14:$A$1213,$A816,$R$14:$R$1213,"&gt;"&amp;$R816)+(COUNTIFS($A$14:$A$1213,$A816,$R$14:$R$1213,"="&amp;$R816)+1)/2,"")</f>
        <v/>
      </c>
      <c r="AF816" s="27">
        <f>IF(ISNUMBER($S816),COUNTIFS($A$14:$A$1213,$A816,$S$14:$S$1213,"&gt;"&amp;$S816)+(COUNTIFS($A$14:$A$1213,$A816,$S$14:$S$1213,"="&amp;$S816)+1)/2,"")</f>
        <v/>
      </c>
      <c r="AG816" s="27">
        <f>IF(ISNUMBER($T816),COUNTIFS($A$14:$A$1213,$A816,$T$14:$T$1213,"&gt;"&amp;$T816)+(COUNTIFS($A$14:$A$1213,$A816,$T$14:$T$1213,"="&amp;$T816)+1)/2,"")</f>
        <v/>
      </c>
      <c r="AH816" s="27">
        <f>IF(COUNT($AC816:$AG816)&lt;2,"",IF(MAX($AC816:$AG816)=MIN($AC816:$AG816),0,1))</f>
        <v/>
      </c>
      <c r="AI816" s="27">
        <f>IF($A816="","",IF(COUNTIF($A$14:$A816,$A816)=1,COUNTIF($AI$13:AI815,"&gt;0")+1,""))</f>
        <v/>
      </c>
      <c r="AO816" s="27">
        <f>IF($A816="","",IF(AND(COUNTIFS($A$14:$A$1213,$A816,$F$14:$F$1213,"&gt;=0")=2,IFERROR(INDEX($M$14:$M$313,MATCH($A816,$H$14:$H$313,0)),"Yes")&lt;&gt;"Yes"),1,0))</f>
        <v/>
      </c>
    </row>
    <row r="817">
      <c r="A817" s="19" t="n"/>
      <c r="B817" s="20" t="n"/>
      <c r="C817" s="21">
        <f>IFERROR(AVERAGE(P817:T817),"")</f>
        <v/>
      </c>
      <c r="D817" s="29" t="n"/>
      <c r="E817" s="29" t="n"/>
      <c r="F817" s="30">
        <f>IF(AND(ISNUMBER($D817),ISNUMBER($E817),$E817&gt;0,$D817&lt;=$E817),$D817/$E817,"")</f>
        <v/>
      </c>
      <c r="P817" s="26" t="n"/>
      <c r="Q817" s="26" t="n"/>
      <c r="R817" s="26" t="n"/>
      <c r="S817" s="26" t="n"/>
      <c r="T817" s="26" t="n"/>
      <c r="V817" s="27">
        <f>IF(ISNUMBER($C817),COUNTIFS($A$14:$A$1213,$A817,$C$14:$C$1213,"&gt;"&amp;$C817)+(COUNTIFS($A$14:$A$1213,$A817,$C$14:$C$1213,"="&amp;$C817)+1)/2,"")</f>
        <v/>
      </c>
      <c r="W817" s="27">
        <f>IF(ISNUMBER($F817),COUNTIFS($A$14:$A$1213,$A817,$F$14:$F$1213,"&gt;"&amp;$F817)+(COUNTIFS($A$14:$A$1213,$A817,$F$14:$F$1213,"="&amp;$F817)+1)/2,"")</f>
        <v/>
      </c>
      <c r="X817" s="27">
        <f>IF(OR(NOT(ISNUMBER($V817)),$AO817=1),"",$V817-(COUNTIFS($A$14:$A$1213,$A817,$C$14:$C$1213,"&gt;=0")+1)/2)</f>
        <v/>
      </c>
      <c r="Y817" s="27">
        <f>IF(OR(NOT(ISNUMBER($W817)),$AO817=1),"",$W817-(COUNTIFS($A$14:$A$1213,$A817,$F$14:$F$1213,"&gt;=0")+1)/2)</f>
        <v/>
      </c>
      <c r="Z817" s="27">
        <f>IF(ISNUMBER($V817),$A817&amp;"|"&amp;$V817,"")</f>
        <v/>
      </c>
      <c r="AA817" s="27">
        <f>IF(ISNUMBER($W817),$A817&amp;"|"&amp;$W817,"")</f>
        <v/>
      </c>
      <c r="AB817" s="27">
        <f>IF(ISNUMBER($F817),$A817&amp;"|"&amp;$F817,"")</f>
        <v/>
      </c>
      <c r="AC817" s="27">
        <f>IF(ISNUMBER($P817),COUNTIFS($A$14:$A$1213,$A817,$P$14:$P$1213,"&gt;"&amp;$P817)+(COUNTIFS($A$14:$A$1213,$A817,$P$14:$P$1213,"="&amp;$P817)+1)/2,"")</f>
        <v/>
      </c>
      <c r="AD817" s="27">
        <f>IF(ISNUMBER($Q817),COUNTIFS($A$14:$A$1213,$A817,$Q$14:$Q$1213,"&gt;"&amp;$Q817)+(COUNTIFS($A$14:$A$1213,$A817,$Q$14:$Q$1213,"="&amp;$Q817)+1)/2,"")</f>
        <v/>
      </c>
      <c r="AE817" s="27">
        <f>IF(ISNUMBER($R817),COUNTIFS($A$14:$A$1213,$A817,$R$14:$R$1213,"&gt;"&amp;$R817)+(COUNTIFS($A$14:$A$1213,$A817,$R$14:$R$1213,"="&amp;$R817)+1)/2,"")</f>
        <v/>
      </c>
      <c r="AF817" s="27">
        <f>IF(ISNUMBER($S817),COUNTIFS($A$14:$A$1213,$A817,$S$14:$S$1213,"&gt;"&amp;$S817)+(COUNTIFS($A$14:$A$1213,$A817,$S$14:$S$1213,"="&amp;$S817)+1)/2,"")</f>
        <v/>
      </c>
      <c r="AG817" s="27">
        <f>IF(ISNUMBER($T817),COUNTIFS($A$14:$A$1213,$A817,$T$14:$T$1213,"&gt;"&amp;$T817)+(COUNTIFS($A$14:$A$1213,$A817,$T$14:$T$1213,"="&amp;$T817)+1)/2,"")</f>
        <v/>
      </c>
      <c r="AH817" s="27">
        <f>IF(COUNT($AC817:$AG817)&lt;2,"",IF(MAX($AC817:$AG817)=MIN($AC817:$AG817),0,1))</f>
        <v/>
      </c>
      <c r="AI817" s="27">
        <f>IF($A817="","",IF(COUNTIF($A$14:$A817,$A817)=1,COUNTIF($AI$13:AI816,"&gt;0")+1,""))</f>
        <v/>
      </c>
      <c r="AO817" s="27">
        <f>IF($A817="","",IF(AND(COUNTIFS($A$14:$A$1213,$A817,$F$14:$F$1213,"&gt;=0")=2,IFERROR(INDEX($M$14:$M$313,MATCH($A817,$H$14:$H$313,0)),"Yes")&lt;&gt;"Yes"),1,0))</f>
        <v/>
      </c>
    </row>
    <row r="818">
      <c r="A818" s="19" t="n"/>
      <c r="B818" s="20" t="n"/>
      <c r="C818" s="21">
        <f>IFERROR(AVERAGE(P818:T818),"")</f>
        <v/>
      </c>
      <c r="D818" s="29" t="n"/>
      <c r="E818" s="29" t="n"/>
      <c r="F818" s="30">
        <f>IF(AND(ISNUMBER($D818),ISNUMBER($E818),$E818&gt;0,$D818&lt;=$E818),$D818/$E818,"")</f>
        <v/>
      </c>
      <c r="P818" s="26" t="n"/>
      <c r="Q818" s="26" t="n"/>
      <c r="R818" s="26" t="n"/>
      <c r="S818" s="26" t="n"/>
      <c r="T818" s="26" t="n"/>
      <c r="V818" s="27">
        <f>IF(ISNUMBER($C818),COUNTIFS($A$14:$A$1213,$A818,$C$14:$C$1213,"&gt;"&amp;$C818)+(COUNTIFS($A$14:$A$1213,$A818,$C$14:$C$1213,"="&amp;$C818)+1)/2,"")</f>
        <v/>
      </c>
      <c r="W818" s="27">
        <f>IF(ISNUMBER($F818),COUNTIFS($A$14:$A$1213,$A818,$F$14:$F$1213,"&gt;"&amp;$F818)+(COUNTIFS($A$14:$A$1213,$A818,$F$14:$F$1213,"="&amp;$F818)+1)/2,"")</f>
        <v/>
      </c>
      <c r="X818" s="27">
        <f>IF(OR(NOT(ISNUMBER($V818)),$AO818=1),"",$V818-(COUNTIFS($A$14:$A$1213,$A818,$C$14:$C$1213,"&gt;=0")+1)/2)</f>
        <v/>
      </c>
      <c r="Y818" s="27">
        <f>IF(OR(NOT(ISNUMBER($W818)),$AO818=1),"",$W818-(COUNTIFS($A$14:$A$1213,$A818,$F$14:$F$1213,"&gt;=0")+1)/2)</f>
        <v/>
      </c>
      <c r="Z818" s="27">
        <f>IF(ISNUMBER($V818),$A818&amp;"|"&amp;$V818,"")</f>
        <v/>
      </c>
      <c r="AA818" s="27">
        <f>IF(ISNUMBER($W818),$A818&amp;"|"&amp;$W818,"")</f>
        <v/>
      </c>
      <c r="AB818" s="27">
        <f>IF(ISNUMBER($F818),$A818&amp;"|"&amp;$F818,"")</f>
        <v/>
      </c>
      <c r="AC818" s="27">
        <f>IF(ISNUMBER($P818),COUNTIFS($A$14:$A$1213,$A818,$P$14:$P$1213,"&gt;"&amp;$P818)+(COUNTIFS($A$14:$A$1213,$A818,$P$14:$P$1213,"="&amp;$P818)+1)/2,"")</f>
        <v/>
      </c>
      <c r="AD818" s="27">
        <f>IF(ISNUMBER($Q818),COUNTIFS($A$14:$A$1213,$A818,$Q$14:$Q$1213,"&gt;"&amp;$Q818)+(COUNTIFS($A$14:$A$1213,$A818,$Q$14:$Q$1213,"="&amp;$Q818)+1)/2,"")</f>
        <v/>
      </c>
      <c r="AE818" s="27">
        <f>IF(ISNUMBER($R818),COUNTIFS($A$14:$A$1213,$A818,$R$14:$R$1213,"&gt;"&amp;$R818)+(COUNTIFS($A$14:$A$1213,$A818,$R$14:$R$1213,"="&amp;$R818)+1)/2,"")</f>
        <v/>
      </c>
      <c r="AF818" s="27">
        <f>IF(ISNUMBER($S818),COUNTIFS($A$14:$A$1213,$A818,$S$14:$S$1213,"&gt;"&amp;$S818)+(COUNTIFS($A$14:$A$1213,$A818,$S$14:$S$1213,"="&amp;$S818)+1)/2,"")</f>
        <v/>
      </c>
      <c r="AG818" s="27">
        <f>IF(ISNUMBER($T818),COUNTIFS($A$14:$A$1213,$A818,$T$14:$T$1213,"&gt;"&amp;$T818)+(COUNTIFS($A$14:$A$1213,$A818,$T$14:$T$1213,"="&amp;$T818)+1)/2,"")</f>
        <v/>
      </c>
      <c r="AH818" s="27">
        <f>IF(COUNT($AC818:$AG818)&lt;2,"",IF(MAX($AC818:$AG818)=MIN($AC818:$AG818),0,1))</f>
        <v/>
      </c>
      <c r="AI818" s="27">
        <f>IF($A818="","",IF(COUNTIF($A$14:$A818,$A818)=1,COUNTIF($AI$13:AI817,"&gt;0")+1,""))</f>
        <v/>
      </c>
      <c r="AO818" s="27">
        <f>IF($A818="","",IF(AND(COUNTIFS($A$14:$A$1213,$A818,$F$14:$F$1213,"&gt;=0")=2,IFERROR(INDEX($M$14:$M$313,MATCH($A818,$H$14:$H$313,0)),"Yes")&lt;&gt;"Yes"),1,0))</f>
        <v/>
      </c>
    </row>
    <row r="819">
      <c r="A819" s="19" t="n"/>
      <c r="B819" s="20" t="n"/>
      <c r="C819" s="21">
        <f>IFERROR(AVERAGE(P819:T819),"")</f>
        <v/>
      </c>
      <c r="D819" s="29" t="n"/>
      <c r="E819" s="29" t="n"/>
      <c r="F819" s="30">
        <f>IF(AND(ISNUMBER($D819),ISNUMBER($E819),$E819&gt;0,$D819&lt;=$E819),$D819/$E819,"")</f>
        <v/>
      </c>
      <c r="P819" s="26" t="n"/>
      <c r="Q819" s="26" t="n"/>
      <c r="R819" s="26" t="n"/>
      <c r="S819" s="26" t="n"/>
      <c r="T819" s="26" t="n"/>
      <c r="V819" s="27">
        <f>IF(ISNUMBER($C819),COUNTIFS($A$14:$A$1213,$A819,$C$14:$C$1213,"&gt;"&amp;$C819)+(COUNTIFS($A$14:$A$1213,$A819,$C$14:$C$1213,"="&amp;$C819)+1)/2,"")</f>
        <v/>
      </c>
      <c r="W819" s="27">
        <f>IF(ISNUMBER($F819),COUNTIFS($A$14:$A$1213,$A819,$F$14:$F$1213,"&gt;"&amp;$F819)+(COUNTIFS($A$14:$A$1213,$A819,$F$14:$F$1213,"="&amp;$F819)+1)/2,"")</f>
        <v/>
      </c>
      <c r="X819" s="27">
        <f>IF(OR(NOT(ISNUMBER($V819)),$AO819=1),"",$V819-(COUNTIFS($A$14:$A$1213,$A819,$C$14:$C$1213,"&gt;=0")+1)/2)</f>
        <v/>
      </c>
      <c r="Y819" s="27">
        <f>IF(OR(NOT(ISNUMBER($W819)),$AO819=1),"",$W819-(COUNTIFS($A$14:$A$1213,$A819,$F$14:$F$1213,"&gt;=0")+1)/2)</f>
        <v/>
      </c>
      <c r="Z819" s="27">
        <f>IF(ISNUMBER($V819),$A819&amp;"|"&amp;$V819,"")</f>
        <v/>
      </c>
      <c r="AA819" s="27">
        <f>IF(ISNUMBER($W819),$A819&amp;"|"&amp;$W819,"")</f>
        <v/>
      </c>
      <c r="AB819" s="27">
        <f>IF(ISNUMBER($F819),$A819&amp;"|"&amp;$F819,"")</f>
        <v/>
      </c>
      <c r="AC819" s="27">
        <f>IF(ISNUMBER($P819),COUNTIFS($A$14:$A$1213,$A819,$P$14:$P$1213,"&gt;"&amp;$P819)+(COUNTIFS($A$14:$A$1213,$A819,$P$14:$P$1213,"="&amp;$P819)+1)/2,"")</f>
        <v/>
      </c>
      <c r="AD819" s="27">
        <f>IF(ISNUMBER($Q819),COUNTIFS($A$14:$A$1213,$A819,$Q$14:$Q$1213,"&gt;"&amp;$Q819)+(COUNTIFS($A$14:$A$1213,$A819,$Q$14:$Q$1213,"="&amp;$Q819)+1)/2,"")</f>
        <v/>
      </c>
      <c r="AE819" s="27">
        <f>IF(ISNUMBER($R819),COUNTIFS($A$14:$A$1213,$A819,$R$14:$R$1213,"&gt;"&amp;$R819)+(COUNTIFS($A$14:$A$1213,$A819,$R$14:$R$1213,"="&amp;$R819)+1)/2,"")</f>
        <v/>
      </c>
      <c r="AF819" s="27">
        <f>IF(ISNUMBER($S819),COUNTIFS($A$14:$A$1213,$A819,$S$14:$S$1213,"&gt;"&amp;$S819)+(COUNTIFS($A$14:$A$1213,$A819,$S$14:$S$1213,"="&amp;$S819)+1)/2,"")</f>
        <v/>
      </c>
      <c r="AG819" s="27">
        <f>IF(ISNUMBER($T819),COUNTIFS($A$14:$A$1213,$A819,$T$14:$T$1213,"&gt;"&amp;$T819)+(COUNTIFS($A$14:$A$1213,$A819,$T$14:$T$1213,"="&amp;$T819)+1)/2,"")</f>
        <v/>
      </c>
      <c r="AH819" s="27">
        <f>IF(COUNT($AC819:$AG819)&lt;2,"",IF(MAX($AC819:$AG819)=MIN($AC819:$AG819),0,1))</f>
        <v/>
      </c>
      <c r="AI819" s="27">
        <f>IF($A819="","",IF(COUNTIF($A$14:$A819,$A819)=1,COUNTIF($AI$13:AI818,"&gt;0")+1,""))</f>
        <v/>
      </c>
      <c r="AO819" s="27">
        <f>IF($A819="","",IF(AND(COUNTIFS($A$14:$A$1213,$A819,$F$14:$F$1213,"&gt;=0")=2,IFERROR(INDEX($M$14:$M$313,MATCH($A819,$H$14:$H$313,0)),"Yes")&lt;&gt;"Yes"),1,0))</f>
        <v/>
      </c>
    </row>
    <row r="820">
      <c r="A820" s="19" t="n"/>
      <c r="B820" s="20" t="n"/>
      <c r="C820" s="21">
        <f>IFERROR(AVERAGE(P820:T820),"")</f>
        <v/>
      </c>
      <c r="D820" s="29" t="n"/>
      <c r="E820" s="29" t="n"/>
      <c r="F820" s="30">
        <f>IF(AND(ISNUMBER($D820),ISNUMBER($E820),$E820&gt;0,$D820&lt;=$E820),$D820/$E820,"")</f>
        <v/>
      </c>
      <c r="P820" s="26" t="n"/>
      <c r="Q820" s="26" t="n"/>
      <c r="R820" s="26" t="n"/>
      <c r="S820" s="26" t="n"/>
      <c r="T820" s="26" t="n"/>
      <c r="V820" s="27">
        <f>IF(ISNUMBER($C820),COUNTIFS($A$14:$A$1213,$A820,$C$14:$C$1213,"&gt;"&amp;$C820)+(COUNTIFS($A$14:$A$1213,$A820,$C$14:$C$1213,"="&amp;$C820)+1)/2,"")</f>
        <v/>
      </c>
      <c r="W820" s="27">
        <f>IF(ISNUMBER($F820),COUNTIFS($A$14:$A$1213,$A820,$F$14:$F$1213,"&gt;"&amp;$F820)+(COUNTIFS($A$14:$A$1213,$A820,$F$14:$F$1213,"="&amp;$F820)+1)/2,"")</f>
        <v/>
      </c>
      <c r="X820" s="27">
        <f>IF(OR(NOT(ISNUMBER($V820)),$AO820=1),"",$V820-(COUNTIFS($A$14:$A$1213,$A820,$C$14:$C$1213,"&gt;=0")+1)/2)</f>
        <v/>
      </c>
      <c r="Y820" s="27">
        <f>IF(OR(NOT(ISNUMBER($W820)),$AO820=1),"",$W820-(COUNTIFS($A$14:$A$1213,$A820,$F$14:$F$1213,"&gt;=0")+1)/2)</f>
        <v/>
      </c>
      <c r="Z820" s="27">
        <f>IF(ISNUMBER($V820),$A820&amp;"|"&amp;$V820,"")</f>
        <v/>
      </c>
      <c r="AA820" s="27">
        <f>IF(ISNUMBER($W820),$A820&amp;"|"&amp;$W820,"")</f>
        <v/>
      </c>
      <c r="AB820" s="27">
        <f>IF(ISNUMBER($F820),$A820&amp;"|"&amp;$F820,"")</f>
        <v/>
      </c>
      <c r="AC820" s="27">
        <f>IF(ISNUMBER($P820),COUNTIFS($A$14:$A$1213,$A820,$P$14:$P$1213,"&gt;"&amp;$P820)+(COUNTIFS($A$14:$A$1213,$A820,$P$14:$P$1213,"="&amp;$P820)+1)/2,"")</f>
        <v/>
      </c>
      <c r="AD820" s="27">
        <f>IF(ISNUMBER($Q820),COUNTIFS($A$14:$A$1213,$A820,$Q$14:$Q$1213,"&gt;"&amp;$Q820)+(COUNTIFS($A$14:$A$1213,$A820,$Q$14:$Q$1213,"="&amp;$Q820)+1)/2,"")</f>
        <v/>
      </c>
      <c r="AE820" s="27">
        <f>IF(ISNUMBER($R820),COUNTIFS($A$14:$A$1213,$A820,$R$14:$R$1213,"&gt;"&amp;$R820)+(COUNTIFS($A$14:$A$1213,$A820,$R$14:$R$1213,"="&amp;$R820)+1)/2,"")</f>
        <v/>
      </c>
      <c r="AF820" s="27">
        <f>IF(ISNUMBER($S820),COUNTIFS($A$14:$A$1213,$A820,$S$14:$S$1213,"&gt;"&amp;$S820)+(COUNTIFS($A$14:$A$1213,$A820,$S$14:$S$1213,"="&amp;$S820)+1)/2,"")</f>
        <v/>
      </c>
      <c r="AG820" s="27">
        <f>IF(ISNUMBER($T820),COUNTIFS($A$14:$A$1213,$A820,$T$14:$T$1213,"&gt;"&amp;$T820)+(COUNTIFS($A$14:$A$1213,$A820,$T$14:$T$1213,"="&amp;$T820)+1)/2,"")</f>
        <v/>
      </c>
      <c r="AH820" s="27">
        <f>IF(COUNT($AC820:$AG820)&lt;2,"",IF(MAX($AC820:$AG820)=MIN($AC820:$AG820),0,1))</f>
        <v/>
      </c>
      <c r="AI820" s="27">
        <f>IF($A820="","",IF(COUNTIF($A$14:$A820,$A820)=1,COUNTIF($AI$13:AI819,"&gt;0")+1,""))</f>
        <v/>
      </c>
      <c r="AO820" s="27">
        <f>IF($A820="","",IF(AND(COUNTIFS($A$14:$A$1213,$A820,$F$14:$F$1213,"&gt;=0")=2,IFERROR(INDEX($M$14:$M$313,MATCH($A820,$H$14:$H$313,0)),"Yes")&lt;&gt;"Yes"),1,0))</f>
        <v/>
      </c>
    </row>
    <row r="821">
      <c r="A821" s="19" t="n"/>
      <c r="B821" s="20" t="n"/>
      <c r="C821" s="21">
        <f>IFERROR(AVERAGE(P821:T821),"")</f>
        <v/>
      </c>
      <c r="D821" s="29" t="n"/>
      <c r="E821" s="29" t="n"/>
      <c r="F821" s="30">
        <f>IF(AND(ISNUMBER($D821),ISNUMBER($E821),$E821&gt;0,$D821&lt;=$E821),$D821/$E821,"")</f>
        <v/>
      </c>
      <c r="P821" s="26" t="n"/>
      <c r="Q821" s="26" t="n"/>
      <c r="R821" s="26" t="n"/>
      <c r="S821" s="26" t="n"/>
      <c r="T821" s="26" t="n"/>
      <c r="V821" s="27">
        <f>IF(ISNUMBER($C821),COUNTIFS($A$14:$A$1213,$A821,$C$14:$C$1213,"&gt;"&amp;$C821)+(COUNTIFS($A$14:$A$1213,$A821,$C$14:$C$1213,"="&amp;$C821)+1)/2,"")</f>
        <v/>
      </c>
      <c r="W821" s="27">
        <f>IF(ISNUMBER($F821),COUNTIFS($A$14:$A$1213,$A821,$F$14:$F$1213,"&gt;"&amp;$F821)+(COUNTIFS($A$14:$A$1213,$A821,$F$14:$F$1213,"="&amp;$F821)+1)/2,"")</f>
        <v/>
      </c>
      <c r="X821" s="27">
        <f>IF(OR(NOT(ISNUMBER($V821)),$AO821=1),"",$V821-(COUNTIFS($A$14:$A$1213,$A821,$C$14:$C$1213,"&gt;=0")+1)/2)</f>
        <v/>
      </c>
      <c r="Y821" s="27">
        <f>IF(OR(NOT(ISNUMBER($W821)),$AO821=1),"",$W821-(COUNTIFS($A$14:$A$1213,$A821,$F$14:$F$1213,"&gt;=0")+1)/2)</f>
        <v/>
      </c>
      <c r="Z821" s="27">
        <f>IF(ISNUMBER($V821),$A821&amp;"|"&amp;$V821,"")</f>
        <v/>
      </c>
      <c r="AA821" s="27">
        <f>IF(ISNUMBER($W821),$A821&amp;"|"&amp;$W821,"")</f>
        <v/>
      </c>
      <c r="AB821" s="27">
        <f>IF(ISNUMBER($F821),$A821&amp;"|"&amp;$F821,"")</f>
        <v/>
      </c>
      <c r="AC821" s="27">
        <f>IF(ISNUMBER($P821),COUNTIFS($A$14:$A$1213,$A821,$P$14:$P$1213,"&gt;"&amp;$P821)+(COUNTIFS($A$14:$A$1213,$A821,$P$14:$P$1213,"="&amp;$P821)+1)/2,"")</f>
        <v/>
      </c>
      <c r="AD821" s="27">
        <f>IF(ISNUMBER($Q821),COUNTIFS($A$14:$A$1213,$A821,$Q$14:$Q$1213,"&gt;"&amp;$Q821)+(COUNTIFS($A$14:$A$1213,$A821,$Q$14:$Q$1213,"="&amp;$Q821)+1)/2,"")</f>
        <v/>
      </c>
      <c r="AE821" s="27">
        <f>IF(ISNUMBER($R821),COUNTIFS($A$14:$A$1213,$A821,$R$14:$R$1213,"&gt;"&amp;$R821)+(COUNTIFS($A$14:$A$1213,$A821,$R$14:$R$1213,"="&amp;$R821)+1)/2,"")</f>
        <v/>
      </c>
      <c r="AF821" s="27">
        <f>IF(ISNUMBER($S821),COUNTIFS($A$14:$A$1213,$A821,$S$14:$S$1213,"&gt;"&amp;$S821)+(COUNTIFS($A$14:$A$1213,$A821,$S$14:$S$1213,"="&amp;$S821)+1)/2,"")</f>
        <v/>
      </c>
      <c r="AG821" s="27">
        <f>IF(ISNUMBER($T821),COUNTIFS($A$14:$A$1213,$A821,$T$14:$T$1213,"&gt;"&amp;$T821)+(COUNTIFS($A$14:$A$1213,$A821,$T$14:$T$1213,"="&amp;$T821)+1)/2,"")</f>
        <v/>
      </c>
      <c r="AH821" s="27">
        <f>IF(COUNT($AC821:$AG821)&lt;2,"",IF(MAX($AC821:$AG821)=MIN($AC821:$AG821),0,1))</f>
        <v/>
      </c>
      <c r="AI821" s="27">
        <f>IF($A821="","",IF(COUNTIF($A$14:$A821,$A821)=1,COUNTIF($AI$13:AI820,"&gt;0")+1,""))</f>
        <v/>
      </c>
      <c r="AO821" s="27">
        <f>IF($A821="","",IF(AND(COUNTIFS($A$14:$A$1213,$A821,$F$14:$F$1213,"&gt;=0")=2,IFERROR(INDEX($M$14:$M$313,MATCH($A821,$H$14:$H$313,0)),"Yes")&lt;&gt;"Yes"),1,0))</f>
        <v/>
      </c>
    </row>
    <row r="822">
      <c r="A822" s="19" t="n"/>
      <c r="B822" s="20" t="n"/>
      <c r="C822" s="21">
        <f>IFERROR(AVERAGE(P822:T822),"")</f>
        <v/>
      </c>
      <c r="D822" s="29" t="n"/>
      <c r="E822" s="29" t="n"/>
      <c r="F822" s="30">
        <f>IF(AND(ISNUMBER($D822),ISNUMBER($E822),$E822&gt;0,$D822&lt;=$E822),$D822/$E822,"")</f>
        <v/>
      </c>
      <c r="P822" s="26" t="n"/>
      <c r="Q822" s="26" t="n"/>
      <c r="R822" s="26" t="n"/>
      <c r="S822" s="26" t="n"/>
      <c r="T822" s="26" t="n"/>
      <c r="V822" s="27">
        <f>IF(ISNUMBER($C822),COUNTIFS($A$14:$A$1213,$A822,$C$14:$C$1213,"&gt;"&amp;$C822)+(COUNTIFS($A$14:$A$1213,$A822,$C$14:$C$1213,"="&amp;$C822)+1)/2,"")</f>
        <v/>
      </c>
      <c r="W822" s="27">
        <f>IF(ISNUMBER($F822),COUNTIFS($A$14:$A$1213,$A822,$F$14:$F$1213,"&gt;"&amp;$F822)+(COUNTIFS($A$14:$A$1213,$A822,$F$14:$F$1213,"="&amp;$F822)+1)/2,"")</f>
        <v/>
      </c>
      <c r="X822" s="27">
        <f>IF(OR(NOT(ISNUMBER($V822)),$AO822=1),"",$V822-(COUNTIFS($A$14:$A$1213,$A822,$C$14:$C$1213,"&gt;=0")+1)/2)</f>
        <v/>
      </c>
      <c r="Y822" s="27">
        <f>IF(OR(NOT(ISNUMBER($W822)),$AO822=1),"",$W822-(COUNTIFS($A$14:$A$1213,$A822,$F$14:$F$1213,"&gt;=0")+1)/2)</f>
        <v/>
      </c>
      <c r="Z822" s="27">
        <f>IF(ISNUMBER($V822),$A822&amp;"|"&amp;$V822,"")</f>
        <v/>
      </c>
      <c r="AA822" s="27">
        <f>IF(ISNUMBER($W822),$A822&amp;"|"&amp;$W822,"")</f>
        <v/>
      </c>
      <c r="AB822" s="27">
        <f>IF(ISNUMBER($F822),$A822&amp;"|"&amp;$F822,"")</f>
        <v/>
      </c>
      <c r="AC822" s="27">
        <f>IF(ISNUMBER($P822),COUNTIFS($A$14:$A$1213,$A822,$P$14:$P$1213,"&gt;"&amp;$P822)+(COUNTIFS($A$14:$A$1213,$A822,$P$14:$P$1213,"="&amp;$P822)+1)/2,"")</f>
        <v/>
      </c>
      <c r="AD822" s="27">
        <f>IF(ISNUMBER($Q822),COUNTIFS($A$14:$A$1213,$A822,$Q$14:$Q$1213,"&gt;"&amp;$Q822)+(COUNTIFS($A$14:$A$1213,$A822,$Q$14:$Q$1213,"="&amp;$Q822)+1)/2,"")</f>
        <v/>
      </c>
      <c r="AE822" s="27">
        <f>IF(ISNUMBER($R822),COUNTIFS($A$14:$A$1213,$A822,$R$14:$R$1213,"&gt;"&amp;$R822)+(COUNTIFS($A$14:$A$1213,$A822,$R$14:$R$1213,"="&amp;$R822)+1)/2,"")</f>
        <v/>
      </c>
      <c r="AF822" s="27">
        <f>IF(ISNUMBER($S822),COUNTIFS($A$14:$A$1213,$A822,$S$14:$S$1213,"&gt;"&amp;$S822)+(COUNTIFS($A$14:$A$1213,$A822,$S$14:$S$1213,"="&amp;$S822)+1)/2,"")</f>
        <v/>
      </c>
      <c r="AG822" s="27">
        <f>IF(ISNUMBER($T822),COUNTIFS($A$14:$A$1213,$A822,$T$14:$T$1213,"&gt;"&amp;$T822)+(COUNTIFS($A$14:$A$1213,$A822,$T$14:$T$1213,"="&amp;$T822)+1)/2,"")</f>
        <v/>
      </c>
      <c r="AH822" s="27">
        <f>IF(COUNT($AC822:$AG822)&lt;2,"",IF(MAX($AC822:$AG822)=MIN($AC822:$AG822),0,1))</f>
        <v/>
      </c>
      <c r="AI822" s="27">
        <f>IF($A822="","",IF(COUNTIF($A$14:$A822,$A822)=1,COUNTIF($AI$13:AI821,"&gt;0")+1,""))</f>
        <v/>
      </c>
      <c r="AO822" s="27">
        <f>IF($A822="","",IF(AND(COUNTIFS($A$14:$A$1213,$A822,$F$14:$F$1213,"&gt;=0")=2,IFERROR(INDEX($M$14:$M$313,MATCH($A822,$H$14:$H$313,0)),"Yes")&lt;&gt;"Yes"),1,0))</f>
        <v/>
      </c>
    </row>
    <row r="823">
      <c r="A823" s="19" t="n"/>
      <c r="B823" s="20" t="n"/>
      <c r="C823" s="21">
        <f>IFERROR(AVERAGE(P823:T823),"")</f>
        <v/>
      </c>
      <c r="D823" s="29" t="n"/>
      <c r="E823" s="29" t="n"/>
      <c r="F823" s="30">
        <f>IF(AND(ISNUMBER($D823),ISNUMBER($E823),$E823&gt;0,$D823&lt;=$E823),$D823/$E823,"")</f>
        <v/>
      </c>
      <c r="P823" s="26" t="n"/>
      <c r="Q823" s="26" t="n"/>
      <c r="R823" s="26" t="n"/>
      <c r="S823" s="26" t="n"/>
      <c r="T823" s="26" t="n"/>
      <c r="V823" s="27">
        <f>IF(ISNUMBER($C823),COUNTIFS($A$14:$A$1213,$A823,$C$14:$C$1213,"&gt;"&amp;$C823)+(COUNTIFS($A$14:$A$1213,$A823,$C$14:$C$1213,"="&amp;$C823)+1)/2,"")</f>
        <v/>
      </c>
      <c r="W823" s="27">
        <f>IF(ISNUMBER($F823),COUNTIFS($A$14:$A$1213,$A823,$F$14:$F$1213,"&gt;"&amp;$F823)+(COUNTIFS($A$14:$A$1213,$A823,$F$14:$F$1213,"="&amp;$F823)+1)/2,"")</f>
        <v/>
      </c>
      <c r="X823" s="27">
        <f>IF(OR(NOT(ISNUMBER($V823)),$AO823=1),"",$V823-(COUNTIFS($A$14:$A$1213,$A823,$C$14:$C$1213,"&gt;=0")+1)/2)</f>
        <v/>
      </c>
      <c r="Y823" s="27">
        <f>IF(OR(NOT(ISNUMBER($W823)),$AO823=1),"",$W823-(COUNTIFS($A$14:$A$1213,$A823,$F$14:$F$1213,"&gt;=0")+1)/2)</f>
        <v/>
      </c>
      <c r="Z823" s="27">
        <f>IF(ISNUMBER($V823),$A823&amp;"|"&amp;$V823,"")</f>
        <v/>
      </c>
      <c r="AA823" s="27">
        <f>IF(ISNUMBER($W823),$A823&amp;"|"&amp;$W823,"")</f>
        <v/>
      </c>
      <c r="AB823" s="27">
        <f>IF(ISNUMBER($F823),$A823&amp;"|"&amp;$F823,"")</f>
        <v/>
      </c>
      <c r="AC823" s="27">
        <f>IF(ISNUMBER($P823),COUNTIFS($A$14:$A$1213,$A823,$P$14:$P$1213,"&gt;"&amp;$P823)+(COUNTIFS($A$14:$A$1213,$A823,$P$14:$P$1213,"="&amp;$P823)+1)/2,"")</f>
        <v/>
      </c>
      <c r="AD823" s="27">
        <f>IF(ISNUMBER($Q823),COUNTIFS($A$14:$A$1213,$A823,$Q$14:$Q$1213,"&gt;"&amp;$Q823)+(COUNTIFS($A$14:$A$1213,$A823,$Q$14:$Q$1213,"="&amp;$Q823)+1)/2,"")</f>
        <v/>
      </c>
      <c r="AE823" s="27">
        <f>IF(ISNUMBER($R823),COUNTIFS($A$14:$A$1213,$A823,$R$14:$R$1213,"&gt;"&amp;$R823)+(COUNTIFS($A$14:$A$1213,$A823,$R$14:$R$1213,"="&amp;$R823)+1)/2,"")</f>
        <v/>
      </c>
      <c r="AF823" s="27">
        <f>IF(ISNUMBER($S823),COUNTIFS($A$14:$A$1213,$A823,$S$14:$S$1213,"&gt;"&amp;$S823)+(COUNTIFS($A$14:$A$1213,$A823,$S$14:$S$1213,"="&amp;$S823)+1)/2,"")</f>
        <v/>
      </c>
      <c r="AG823" s="27">
        <f>IF(ISNUMBER($T823),COUNTIFS($A$14:$A$1213,$A823,$T$14:$T$1213,"&gt;"&amp;$T823)+(COUNTIFS($A$14:$A$1213,$A823,$T$14:$T$1213,"="&amp;$T823)+1)/2,"")</f>
        <v/>
      </c>
      <c r="AH823" s="27">
        <f>IF(COUNT($AC823:$AG823)&lt;2,"",IF(MAX($AC823:$AG823)=MIN($AC823:$AG823),0,1))</f>
        <v/>
      </c>
      <c r="AI823" s="27">
        <f>IF($A823="","",IF(COUNTIF($A$14:$A823,$A823)=1,COUNTIF($AI$13:AI822,"&gt;0")+1,""))</f>
        <v/>
      </c>
      <c r="AO823" s="27">
        <f>IF($A823="","",IF(AND(COUNTIFS($A$14:$A$1213,$A823,$F$14:$F$1213,"&gt;=0")=2,IFERROR(INDEX($M$14:$M$313,MATCH($A823,$H$14:$H$313,0)),"Yes")&lt;&gt;"Yes"),1,0))</f>
        <v/>
      </c>
    </row>
    <row r="824">
      <c r="A824" s="19" t="n"/>
      <c r="B824" s="20" t="n"/>
      <c r="C824" s="21">
        <f>IFERROR(AVERAGE(P824:T824),"")</f>
        <v/>
      </c>
      <c r="D824" s="29" t="n"/>
      <c r="E824" s="29" t="n"/>
      <c r="F824" s="30">
        <f>IF(AND(ISNUMBER($D824),ISNUMBER($E824),$E824&gt;0,$D824&lt;=$E824),$D824/$E824,"")</f>
        <v/>
      </c>
      <c r="P824" s="26" t="n"/>
      <c r="Q824" s="26" t="n"/>
      <c r="R824" s="26" t="n"/>
      <c r="S824" s="26" t="n"/>
      <c r="T824" s="26" t="n"/>
      <c r="V824" s="27">
        <f>IF(ISNUMBER($C824),COUNTIFS($A$14:$A$1213,$A824,$C$14:$C$1213,"&gt;"&amp;$C824)+(COUNTIFS($A$14:$A$1213,$A824,$C$14:$C$1213,"="&amp;$C824)+1)/2,"")</f>
        <v/>
      </c>
      <c r="W824" s="27">
        <f>IF(ISNUMBER($F824),COUNTIFS($A$14:$A$1213,$A824,$F$14:$F$1213,"&gt;"&amp;$F824)+(COUNTIFS($A$14:$A$1213,$A824,$F$14:$F$1213,"="&amp;$F824)+1)/2,"")</f>
        <v/>
      </c>
      <c r="X824" s="27">
        <f>IF(OR(NOT(ISNUMBER($V824)),$AO824=1),"",$V824-(COUNTIFS($A$14:$A$1213,$A824,$C$14:$C$1213,"&gt;=0")+1)/2)</f>
        <v/>
      </c>
      <c r="Y824" s="27">
        <f>IF(OR(NOT(ISNUMBER($W824)),$AO824=1),"",$W824-(COUNTIFS($A$14:$A$1213,$A824,$F$14:$F$1213,"&gt;=0")+1)/2)</f>
        <v/>
      </c>
      <c r="Z824" s="27">
        <f>IF(ISNUMBER($V824),$A824&amp;"|"&amp;$V824,"")</f>
        <v/>
      </c>
      <c r="AA824" s="27">
        <f>IF(ISNUMBER($W824),$A824&amp;"|"&amp;$W824,"")</f>
        <v/>
      </c>
      <c r="AB824" s="27">
        <f>IF(ISNUMBER($F824),$A824&amp;"|"&amp;$F824,"")</f>
        <v/>
      </c>
      <c r="AC824" s="27">
        <f>IF(ISNUMBER($P824),COUNTIFS($A$14:$A$1213,$A824,$P$14:$P$1213,"&gt;"&amp;$P824)+(COUNTIFS($A$14:$A$1213,$A824,$P$14:$P$1213,"="&amp;$P824)+1)/2,"")</f>
        <v/>
      </c>
      <c r="AD824" s="27">
        <f>IF(ISNUMBER($Q824),COUNTIFS($A$14:$A$1213,$A824,$Q$14:$Q$1213,"&gt;"&amp;$Q824)+(COUNTIFS($A$14:$A$1213,$A824,$Q$14:$Q$1213,"="&amp;$Q824)+1)/2,"")</f>
        <v/>
      </c>
      <c r="AE824" s="27">
        <f>IF(ISNUMBER($R824),COUNTIFS($A$14:$A$1213,$A824,$R$14:$R$1213,"&gt;"&amp;$R824)+(COUNTIFS($A$14:$A$1213,$A824,$R$14:$R$1213,"="&amp;$R824)+1)/2,"")</f>
        <v/>
      </c>
      <c r="AF824" s="27">
        <f>IF(ISNUMBER($S824),COUNTIFS($A$14:$A$1213,$A824,$S$14:$S$1213,"&gt;"&amp;$S824)+(COUNTIFS($A$14:$A$1213,$A824,$S$14:$S$1213,"="&amp;$S824)+1)/2,"")</f>
        <v/>
      </c>
      <c r="AG824" s="27">
        <f>IF(ISNUMBER($T824),COUNTIFS($A$14:$A$1213,$A824,$T$14:$T$1213,"&gt;"&amp;$T824)+(COUNTIFS($A$14:$A$1213,$A824,$T$14:$T$1213,"="&amp;$T824)+1)/2,"")</f>
        <v/>
      </c>
      <c r="AH824" s="27">
        <f>IF(COUNT($AC824:$AG824)&lt;2,"",IF(MAX($AC824:$AG824)=MIN($AC824:$AG824),0,1))</f>
        <v/>
      </c>
      <c r="AI824" s="27">
        <f>IF($A824="","",IF(COUNTIF($A$14:$A824,$A824)=1,COUNTIF($AI$13:AI823,"&gt;0")+1,""))</f>
        <v/>
      </c>
      <c r="AO824" s="27">
        <f>IF($A824="","",IF(AND(COUNTIFS($A$14:$A$1213,$A824,$F$14:$F$1213,"&gt;=0")=2,IFERROR(INDEX($M$14:$M$313,MATCH($A824,$H$14:$H$313,0)),"Yes")&lt;&gt;"Yes"),1,0))</f>
        <v/>
      </c>
    </row>
    <row r="825">
      <c r="A825" s="19" t="n"/>
      <c r="B825" s="20" t="n"/>
      <c r="C825" s="21">
        <f>IFERROR(AVERAGE(P825:T825),"")</f>
        <v/>
      </c>
      <c r="D825" s="29" t="n"/>
      <c r="E825" s="29" t="n"/>
      <c r="F825" s="30">
        <f>IF(AND(ISNUMBER($D825),ISNUMBER($E825),$E825&gt;0,$D825&lt;=$E825),$D825/$E825,"")</f>
        <v/>
      </c>
      <c r="P825" s="26" t="n"/>
      <c r="Q825" s="26" t="n"/>
      <c r="R825" s="26" t="n"/>
      <c r="S825" s="26" t="n"/>
      <c r="T825" s="26" t="n"/>
      <c r="V825" s="27">
        <f>IF(ISNUMBER($C825),COUNTIFS($A$14:$A$1213,$A825,$C$14:$C$1213,"&gt;"&amp;$C825)+(COUNTIFS($A$14:$A$1213,$A825,$C$14:$C$1213,"="&amp;$C825)+1)/2,"")</f>
        <v/>
      </c>
      <c r="W825" s="27">
        <f>IF(ISNUMBER($F825),COUNTIFS($A$14:$A$1213,$A825,$F$14:$F$1213,"&gt;"&amp;$F825)+(COUNTIFS($A$14:$A$1213,$A825,$F$14:$F$1213,"="&amp;$F825)+1)/2,"")</f>
        <v/>
      </c>
      <c r="X825" s="27">
        <f>IF(OR(NOT(ISNUMBER($V825)),$AO825=1),"",$V825-(COUNTIFS($A$14:$A$1213,$A825,$C$14:$C$1213,"&gt;=0")+1)/2)</f>
        <v/>
      </c>
      <c r="Y825" s="27">
        <f>IF(OR(NOT(ISNUMBER($W825)),$AO825=1),"",$W825-(COUNTIFS($A$14:$A$1213,$A825,$F$14:$F$1213,"&gt;=0")+1)/2)</f>
        <v/>
      </c>
      <c r="Z825" s="27">
        <f>IF(ISNUMBER($V825),$A825&amp;"|"&amp;$V825,"")</f>
        <v/>
      </c>
      <c r="AA825" s="27">
        <f>IF(ISNUMBER($W825),$A825&amp;"|"&amp;$W825,"")</f>
        <v/>
      </c>
      <c r="AB825" s="27">
        <f>IF(ISNUMBER($F825),$A825&amp;"|"&amp;$F825,"")</f>
        <v/>
      </c>
      <c r="AC825" s="27">
        <f>IF(ISNUMBER($P825),COUNTIFS($A$14:$A$1213,$A825,$P$14:$P$1213,"&gt;"&amp;$P825)+(COUNTIFS($A$14:$A$1213,$A825,$P$14:$P$1213,"="&amp;$P825)+1)/2,"")</f>
        <v/>
      </c>
      <c r="AD825" s="27">
        <f>IF(ISNUMBER($Q825),COUNTIFS($A$14:$A$1213,$A825,$Q$14:$Q$1213,"&gt;"&amp;$Q825)+(COUNTIFS($A$14:$A$1213,$A825,$Q$14:$Q$1213,"="&amp;$Q825)+1)/2,"")</f>
        <v/>
      </c>
      <c r="AE825" s="27">
        <f>IF(ISNUMBER($R825),COUNTIFS($A$14:$A$1213,$A825,$R$14:$R$1213,"&gt;"&amp;$R825)+(COUNTIFS($A$14:$A$1213,$A825,$R$14:$R$1213,"="&amp;$R825)+1)/2,"")</f>
        <v/>
      </c>
      <c r="AF825" s="27">
        <f>IF(ISNUMBER($S825),COUNTIFS($A$14:$A$1213,$A825,$S$14:$S$1213,"&gt;"&amp;$S825)+(COUNTIFS($A$14:$A$1213,$A825,$S$14:$S$1213,"="&amp;$S825)+1)/2,"")</f>
        <v/>
      </c>
      <c r="AG825" s="27">
        <f>IF(ISNUMBER($T825),COUNTIFS($A$14:$A$1213,$A825,$T$14:$T$1213,"&gt;"&amp;$T825)+(COUNTIFS($A$14:$A$1213,$A825,$T$14:$T$1213,"="&amp;$T825)+1)/2,"")</f>
        <v/>
      </c>
      <c r="AH825" s="27">
        <f>IF(COUNT($AC825:$AG825)&lt;2,"",IF(MAX($AC825:$AG825)=MIN($AC825:$AG825),0,1))</f>
        <v/>
      </c>
      <c r="AI825" s="27">
        <f>IF($A825="","",IF(COUNTIF($A$14:$A825,$A825)=1,COUNTIF($AI$13:AI824,"&gt;0")+1,""))</f>
        <v/>
      </c>
      <c r="AO825" s="27">
        <f>IF($A825="","",IF(AND(COUNTIFS($A$14:$A$1213,$A825,$F$14:$F$1213,"&gt;=0")=2,IFERROR(INDEX($M$14:$M$313,MATCH($A825,$H$14:$H$313,0)),"Yes")&lt;&gt;"Yes"),1,0))</f>
        <v/>
      </c>
    </row>
    <row r="826">
      <c r="A826" s="19" t="n"/>
      <c r="B826" s="20" t="n"/>
      <c r="C826" s="21">
        <f>IFERROR(AVERAGE(P826:T826),"")</f>
        <v/>
      </c>
      <c r="D826" s="29" t="n"/>
      <c r="E826" s="29" t="n"/>
      <c r="F826" s="30">
        <f>IF(AND(ISNUMBER($D826),ISNUMBER($E826),$E826&gt;0,$D826&lt;=$E826),$D826/$E826,"")</f>
        <v/>
      </c>
      <c r="P826" s="26" t="n"/>
      <c r="Q826" s="26" t="n"/>
      <c r="R826" s="26" t="n"/>
      <c r="S826" s="26" t="n"/>
      <c r="T826" s="26" t="n"/>
      <c r="V826" s="27">
        <f>IF(ISNUMBER($C826),COUNTIFS($A$14:$A$1213,$A826,$C$14:$C$1213,"&gt;"&amp;$C826)+(COUNTIFS($A$14:$A$1213,$A826,$C$14:$C$1213,"="&amp;$C826)+1)/2,"")</f>
        <v/>
      </c>
      <c r="W826" s="27">
        <f>IF(ISNUMBER($F826),COUNTIFS($A$14:$A$1213,$A826,$F$14:$F$1213,"&gt;"&amp;$F826)+(COUNTIFS($A$14:$A$1213,$A826,$F$14:$F$1213,"="&amp;$F826)+1)/2,"")</f>
        <v/>
      </c>
      <c r="X826" s="27">
        <f>IF(OR(NOT(ISNUMBER($V826)),$AO826=1),"",$V826-(COUNTIFS($A$14:$A$1213,$A826,$C$14:$C$1213,"&gt;=0")+1)/2)</f>
        <v/>
      </c>
      <c r="Y826" s="27">
        <f>IF(OR(NOT(ISNUMBER($W826)),$AO826=1),"",$W826-(COUNTIFS($A$14:$A$1213,$A826,$F$14:$F$1213,"&gt;=0")+1)/2)</f>
        <v/>
      </c>
      <c r="Z826" s="27">
        <f>IF(ISNUMBER($V826),$A826&amp;"|"&amp;$V826,"")</f>
        <v/>
      </c>
      <c r="AA826" s="27">
        <f>IF(ISNUMBER($W826),$A826&amp;"|"&amp;$W826,"")</f>
        <v/>
      </c>
      <c r="AB826" s="27">
        <f>IF(ISNUMBER($F826),$A826&amp;"|"&amp;$F826,"")</f>
        <v/>
      </c>
      <c r="AC826" s="27">
        <f>IF(ISNUMBER($P826),COUNTIFS($A$14:$A$1213,$A826,$P$14:$P$1213,"&gt;"&amp;$P826)+(COUNTIFS($A$14:$A$1213,$A826,$P$14:$P$1213,"="&amp;$P826)+1)/2,"")</f>
        <v/>
      </c>
      <c r="AD826" s="27">
        <f>IF(ISNUMBER($Q826),COUNTIFS($A$14:$A$1213,$A826,$Q$14:$Q$1213,"&gt;"&amp;$Q826)+(COUNTIFS($A$14:$A$1213,$A826,$Q$14:$Q$1213,"="&amp;$Q826)+1)/2,"")</f>
        <v/>
      </c>
      <c r="AE826" s="27">
        <f>IF(ISNUMBER($R826),COUNTIFS($A$14:$A$1213,$A826,$R$14:$R$1213,"&gt;"&amp;$R826)+(COUNTIFS($A$14:$A$1213,$A826,$R$14:$R$1213,"="&amp;$R826)+1)/2,"")</f>
        <v/>
      </c>
      <c r="AF826" s="27">
        <f>IF(ISNUMBER($S826),COUNTIFS($A$14:$A$1213,$A826,$S$14:$S$1213,"&gt;"&amp;$S826)+(COUNTIFS($A$14:$A$1213,$A826,$S$14:$S$1213,"="&amp;$S826)+1)/2,"")</f>
        <v/>
      </c>
      <c r="AG826" s="27">
        <f>IF(ISNUMBER($T826),COUNTIFS($A$14:$A$1213,$A826,$T$14:$T$1213,"&gt;"&amp;$T826)+(COUNTIFS($A$14:$A$1213,$A826,$T$14:$T$1213,"="&amp;$T826)+1)/2,"")</f>
        <v/>
      </c>
      <c r="AH826" s="27">
        <f>IF(COUNT($AC826:$AG826)&lt;2,"",IF(MAX($AC826:$AG826)=MIN($AC826:$AG826),0,1))</f>
        <v/>
      </c>
      <c r="AI826" s="27">
        <f>IF($A826="","",IF(COUNTIF($A$14:$A826,$A826)=1,COUNTIF($AI$13:AI825,"&gt;0")+1,""))</f>
        <v/>
      </c>
      <c r="AO826" s="27">
        <f>IF($A826="","",IF(AND(COUNTIFS($A$14:$A$1213,$A826,$F$14:$F$1213,"&gt;=0")=2,IFERROR(INDEX($M$14:$M$313,MATCH($A826,$H$14:$H$313,0)),"Yes")&lt;&gt;"Yes"),1,0))</f>
        <v/>
      </c>
    </row>
    <row r="827">
      <c r="A827" s="19" t="n"/>
      <c r="B827" s="20" t="n"/>
      <c r="C827" s="21">
        <f>IFERROR(AVERAGE(P827:T827),"")</f>
        <v/>
      </c>
      <c r="D827" s="29" t="n"/>
      <c r="E827" s="29" t="n"/>
      <c r="F827" s="30">
        <f>IF(AND(ISNUMBER($D827),ISNUMBER($E827),$E827&gt;0,$D827&lt;=$E827),$D827/$E827,"")</f>
        <v/>
      </c>
      <c r="P827" s="26" t="n"/>
      <c r="Q827" s="26" t="n"/>
      <c r="R827" s="26" t="n"/>
      <c r="S827" s="26" t="n"/>
      <c r="T827" s="26" t="n"/>
      <c r="V827" s="27">
        <f>IF(ISNUMBER($C827),COUNTIFS($A$14:$A$1213,$A827,$C$14:$C$1213,"&gt;"&amp;$C827)+(COUNTIFS($A$14:$A$1213,$A827,$C$14:$C$1213,"="&amp;$C827)+1)/2,"")</f>
        <v/>
      </c>
      <c r="W827" s="27">
        <f>IF(ISNUMBER($F827),COUNTIFS($A$14:$A$1213,$A827,$F$14:$F$1213,"&gt;"&amp;$F827)+(COUNTIFS($A$14:$A$1213,$A827,$F$14:$F$1213,"="&amp;$F827)+1)/2,"")</f>
        <v/>
      </c>
      <c r="X827" s="27">
        <f>IF(OR(NOT(ISNUMBER($V827)),$AO827=1),"",$V827-(COUNTIFS($A$14:$A$1213,$A827,$C$14:$C$1213,"&gt;=0")+1)/2)</f>
        <v/>
      </c>
      <c r="Y827" s="27">
        <f>IF(OR(NOT(ISNUMBER($W827)),$AO827=1),"",$W827-(COUNTIFS($A$14:$A$1213,$A827,$F$14:$F$1213,"&gt;=0")+1)/2)</f>
        <v/>
      </c>
      <c r="Z827" s="27">
        <f>IF(ISNUMBER($V827),$A827&amp;"|"&amp;$V827,"")</f>
        <v/>
      </c>
      <c r="AA827" s="27">
        <f>IF(ISNUMBER($W827),$A827&amp;"|"&amp;$W827,"")</f>
        <v/>
      </c>
      <c r="AB827" s="27">
        <f>IF(ISNUMBER($F827),$A827&amp;"|"&amp;$F827,"")</f>
        <v/>
      </c>
      <c r="AC827" s="27">
        <f>IF(ISNUMBER($P827),COUNTIFS($A$14:$A$1213,$A827,$P$14:$P$1213,"&gt;"&amp;$P827)+(COUNTIFS($A$14:$A$1213,$A827,$P$14:$P$1213,"="&amp;$P827)+1)/2,"")</f>
        <v/>
      </c>
      <c r="AD827" s="27">
        <f>IF(ISNUMBER($Q827),COUNTIFS($A$14:$A$1213,$A827,$Q$14:$Q$1213,"&gt;"&amp;$Q827)+(COUNTIFS($A$14:$A$1213,$A827,$Q$14:$Q$1213,"="&amp;$Q827)+1)/2,"")</f>
        <v/>
      </c>
      <c r="AE827" s="27">
        <f>IF(ISNUMBER($R827),COUNTIFS($A$14:$A$1213,$A827,$R$14:$R$1213,"&gt;"&amp;$R827)+(COUNTIFS($A$14:$A$1213,$A827,$R$14:$R$1213,"="&amp;$R827)+1)/2,"")</f>
        <v/>
      </c>
      <c r="AF827" s="27">
        <f>IF(ISNUMBER($S827),COUNTIFS($A$14:$A$1213,$A827,$S$14:$S$1213,"&gt;"&amp;$S827)+(COUNTIFS($A$14:$A$1213,$A827,$S$14:$S$1213,"="&amp;$S827)+1)/2,"")</f>
        <v/>
      </c>
      <c r="AG827" s="27">
        <f>IF(ISNUMBER($T827),COUNTIFS($A$14:$A$1213,$A827,$T$14:$T$1213,"&gt;"&amp;$T827)+(COUNTIFS($A$14:$A$1213,$A827,$T$14:$T$1213,"="&amp;$T827)+1)/2,"")</f>
        <v/>
      </c>
      <c r="AH827" s="27">
        <f>IF(COUNT($AC827:$AG827)&lt;2,"",IF(MAX($AC827:$AG827)=MIN($AC827:$AG827),0,1))</f>
        <v/>
      </c>
      <c r="AI827" s="27">
        <f>IF($A827="","",IF(COUNTIF($A$14:$A827,$A827)=1,COUNTIF($AI$13:AI826,"&gt;0")+1,""))</f>
        <v/>
      </c>
      <c r="AO827" s="27">
        <f>IF($A827="","",IF(AND(COUNTIFS($A$14:$A$1213,$A827,$F$14:$F$1213,"&gt;=0")=2,IFERROR(INDEX($M$14:$M$313,MATCH($A827,$H$14:$H$313,0)),"Yes")&lt;&gt;"Yes"),1,0))</f>
        <v/>
      </c>
    </row>
    <row r="828">
      <c r="A828" s="19" t="n"/>
      <c r="B828" s="20" t="n"/>
      <c r="C828" s="21">
        <f>IFERROR(AVERAGE(P828:T828),"")</f>
        <v/>
      </c>
      <c r="D828" s="29" t="n"/>
      <c r="E828" s="29" t="n"/>
      <c r="F828" s="30">
        <f>IF(AND(ISNUMBER($D828),ISNUMBER($E828),$E828&gt;0,$D828&lt;=$E828),$D828/$E828,"")</f>
        <v/>
      </c>
      <c r="P828" s="26" t="n"/>
      <c r="Q828" s="26" t="n"/>
      <c r="R828" s="26" t="n"/>
      <c r="S828" s="26" t="n"/>
      <c r="T828" s="26" t="n"/>
      <c r="V828" s="27">
        <f>IF(ISNUMBER($C828),COUNTIFS($A$14:$A$1213,$A828,$C$14:$C$1213,"&gt;"&amp;$C828)+(COUNTIFS($A$14:$A$1213,$A828,$C$14:$C$1213,"="&amp;$C828)+1)/2,"")</f>
        <v/>
      </c>
      <c r="W828" s="27">
        <f>IF(ISNUMBER($F828),COUNTIFS($A$14:$A$1213,$A828,$F$14:$F$1213,"&gt;"&amp;$F828)+(COUNTIFS($A$14:$A$1213,$A828,$F$14:$F$1213,"="&amp;$F828)+1)/2,"")</f>
        <v/>
      </c>
      <c r="X828" s="27">
        <f>IF(OR(NOT(ISNUMBER($V828)),$AO828=1),"",$V828-(COUNTIFS($A$14:$A$1213,$A828,$C$14:$C$1213,"&gt;=0")+1)/2)</f>
        <v/>
      </c>
      <c r="Y828" s="27">
        <f>IF(OR(NOT(ISNUMBER($W828)),$AO828=1),"",$W828-(COUNTIFS($A$14:$A$1213,$A828,$F$14:$F$1213,"&gt;=0")+1)/2)</f>
        <v/>
      </c>
      <c r="Z828" s="27">
        <f>IF(ISNUMBER($V828),$A828&amp;"|"&amp;$V828,"")</f>
        <v/>
      </c>
      <c r="AA828" s="27">
        <f>IF(ISNUMBER($W828),$A828&amp;"|"&amp;$W828,"")</f>
        <v/>
      </c>
      <c r="AB828" s="27">
        <f>IF(ISNUMBER($F828),$A828&amp;"|"&amp;$F828,"")</f>
        <v/>
      </c>
      <c r="AC828" s="27">
        <f>IF(ISNUMBER($P828),COUNTIFS($A$14:$A$1213,$A828,$P$14:$P$1213,"&gt;"&amp;$P828)+(COUNTIFS($A$14:$A$1213,$A828,$P$14:$P$1213,"="&amp;$P828)+1)/2,"")</f>
        <v/>
      </c>
      <c r="AD828" s="27">
        <f>IF(ISNUMBER($Q828),COUNTIFS($A$14:$A$1213,$A828,$Q$14:$Q$1213,"&gt;"&amp;$Q828)+(COUNTIFS($A$14:$A$1213,$A828,$Q$14:$Q$1213,"="&amp;$Q828)+1)/2,"")</f>
        <v/>
      </c>
      <c r="AE828" s="27">
        <f>IF(ISNUMBER($R828),COUNTIFS($A$14:$A$1213,$A828,$R$14:$R$1213,"&gt;"&amp;$R828)+(COUNTIFS($A$14:$A$1213,$A828,$R$14:$R$1213,"="&amp;$R828)+1)/2,"")</f>
        <v/>
      </c>
      <c r="AF828" s="27">
        <f>IF(ISNUMBER($S828),COUNTIFS($A$14:$A$1213,$A828,$S$14:$S$1213,"&gt;"&amp;$S828)+(COUNTIFS($A$14:$A$1213,$A828,$S$14:$S$1213,"="&amp;$S828)+1)/2,"")</f>
        <v/>
      </c>
      <c r="AG828" s="27">
        <f>IF(ISNUMBER($T828),COUNTIFS($A$14:$A$1213,$A828,$T$14:$T$1213,"&gt;"&amp;$T828)+(COUNTIFS($A$14:$A$1213,$A828,$T$14:$T$1213,"="&amp;$T828)+1)/2,"")</f>
        <v/>
      </c>
      <c r="AH828" s="27">
        <f>IF(COUNT($AC828:$AG828)&lt;2,"",IF(MAX($AC828:$AG828)=MIN($AC828:$AG828),0,1))</f>
        <v/>
      </c>
      <c r="AI828" s="27">
        <f>IF($A828="","",IF(COUNTIF($A$14:$A828,$A828)=1,COUNTIF($AI$13:AI827,"&gt;0")+1,""))</f>
        <v/>
      </c>
      <c r="AO828" s="27">
        <f>IF($A828="","",IF(AND(COUNTIFS($A$14:$A$1213,$A828,$F$14:$F$1213,"&gt;=0")=2,IFERROR(INDEX($M$14:$M$313,MATCH($A828,$H$14:$H$313,0)),"Yes")&lt;&gt;"Yes"),1,0))</f>
        <v/>
      </c>
    </row>
    <row r="829">
      <c r="A829" s="19" t="n"/>
      <c r="B829" s="20" t="n"/>
      <c r="C829" s="21">
        <f>IFERROR(AVERAGE(P829:T829),"")</f>
        <v/>
      </c>
      <c r="D829" s="29" t="n"/>
      <c r="E829" s="29" t="n"/>
      <c r="F829" s="30">
        <f>IF(AND(ISNUMBER($D829),ISNUMBER($E829),$E829&gt;0,$D829&lt;=$E829),$D829/$E829,"")</f>
        <v/>
      </c>
      <c r="P829" s="26" t="n"/>
      <c r="Q829" s="26" t="n"/>
      <c r="R829" s="26" t="n"/>
      <c r="S829" s="26" t="n"/>
      <c r="T829" s="26" t="n"/>
      <c r="V829" s="27">
        <f>IF(ISNUMBER($C829),COUNTIFS($A$14:$A$1213,$A829,$C$14:$C$1213,"&gt;"&amp;$C829)+(COUNTIFS($A$14:$A$1213,$A829,$C$14:$C$1213,"="&amp;$C829)+1)/2,"")</f>
        <v/>
      </c>
      <c r="W829" s="27">
        <f>IF(ISNUMBER($F829),COUNTIFS($A$14:$A$1213,$A829,$F$14:$F$1213,"&gt;"&amp;$F829)+(COUNTIFS($A$14:$A$1213,$A829,$F$14:$F$1213,"="&amp;$F829)+1)/2,"")</f>
        <v/>
      </c>
      <c r="X829" s="27">
        <f>IF(OR(NOT(ISNUMBER($V829)),$AO829=1),"",$V829-(COUNTIFS($A$14:$A$1213,$A829,$C$14:$C$1213,"&gt;=0")+1)/2)</f>
        <v/>
      </c>
      <c r="Y829" s="27">
        <f>IF(OR(NOT(ISNUMBER($W829)),$AO829=1),"",$W829-(COUNTIFS($A$14:$A$1213,$A829,$F$14:$F$1213,"&gt;=0")+1)/2)</f>
        <v/>
      </c>
      <c r="Z829" s="27">
        <f>IF(ISNUMBER($V829),$A829&amp;"|"&amp;$V829,"")</f>
        <v/>
      </c>
      <c r="AA829" s="27">
        <f>IF(ISNUMBER($W829),$A829&amp;"|"&amp;$W829,"")</f>
        <v/>
      </c>
      <c r="AB829" s="27">
        <f>IF(ISNUMBER($F829),$A829&amp;"|"&amp;$F829,"")</f>
        <v/>
      </c>
      <c r="AC829" s="27">
        <f>IF(ISNUMBER($P829),COUNTIFS($A$14:$A$1213,$A829,$P$14:$P$1213,"&gt;"&amp;$P829)+(COUNTIFS($A$14:$A$1213,$A829,$P$14:$P$1213,"="&amp;$P829)+1)/2,"")</f>
        <v/>
      </c>
      <c r="AD829" s="27">
        <f>IF(ISNUMBER($Q829),COUNTIFS($A$14:$A$1213,$A829,$Q$14:$Q$1213,"&gt;"&amp;$Q829)+(COUNTIFS($A$14:$A$1213,$A829,$Q$14:$Q$1213,"="&amp;$Q829)+1)/2,"")</f>
        <v/>
      </c>
      <c r="AE829" s="27">
        <f>IF(ISNUMBER($R829),COUNTIFS($A$14:$A$1213,$A829,$R$14:$R$1213,"&gt;"&amp;$R829)+(COUNTIFS($A$14:$A$1213,$A829,$R$14:$R$1213,"="&amp;$R829)+1)/2,"")</f>
        <v/>
      </c>
      <c r="AF829" s="27">
        <f>IF(ISNUMBER($S829),COUNTIFS($A$14:$A$1213,$A829,$S$14:$S$1213,"&gt;"&amp;$S829)+(COUNTIFS($A$14:$A$1213,$A829,$S$14:$S$1213,"="&amp;$S829)+1)/2,"")</f>
        <v/>
      </c>
      <c r="AG829" s="27">
        <f>IF(ISNUMBER($T829),COUNTIFS($A$14:$A$1213,$A829,$T$14:$T$1213,"&gt;"&amp;$T829)+(COUNTIFS($A$14:$A$1213,$A829,$T$14:$T$1213,"="&amp;$T829)+1)/2,"")</f>
        <v/>
      </c>
      <c r="AH829" s="27">
        <f>IF(COUNT($AC829:$AG829)&lt;2,"",IF(MAX($AC829:$AG829)=MIN($AC829:$AG829),0,1))</f>
        <v/>
      </c>
      <c r="AI829" s="27">
        <f>IF($A829="","",IF(COUNTIF($A$14:$A829,$A829)=1,COUNTIF($AI$13:AI828,"&gt;0")+1,""))</f>
        <v/>
      </c>
      <c r="AO829" s="27">
        <f>IF($A829="","",IF(AND(COUNTIFS($A$14:$A$1213,$A829,$F$14:$F$1213,"&gt;=0")=2,IFERROR(INDEX($M$14:$M$313,MATCH($A829,$H$14:$H$313,0)),"Yes")&lt;&gt;"Yes"),1,0))</f>
        <v/>
      </c>
    </row>
    <row r="830">
      <c r="A830" s="19" t="n"/>
      <c r="B830" s="20" t="n"/>
      <c r="C830" s="21">
        <f>IFERROR(AVERAGE(P830:T830),"")</f>
        <v/>
      </c>
      <c r="D830" s="29" t="n"/>
      <c r="E830" s="29" t="n"/>
      <c r="F830" s="30">
        <f>IF(AND(ISNUMBER($D830),ISNUMBER($E830),$E830&gt;0,$D830&lt;=$E830),$D830/$E830,"")</f>
        <v/>
      </c>
      <c r="P830" s="26" t="n"/>
      <c r="Q830" s="26" t="n"/>
      <c r="R830" s="26" t="n"/>
      <c r="S830" s="26" t="n"/>
      <c r="T830" s="26" t="n"/>
      <c r="V830" s="27">
        <f>IF(ISNUMBER($C830),COUNTIFS($A$14:$A$1213,$A830,$C$14:$C$1213,"&gt;"&amp;$C830)+(COUNTIFS($A$14:$A$1213,$A830,$C$14:$C$1213,"="&amp;$C830)+1)/2,"")</f>
        <v/>
      </c>
      <c r="W830" s="27">
        <f>IF(ISNUMBER($F830),COUNTIFS($A$14:$A$1213,$A830,$F$14:$F$1213,"&gt;"&amp;$F830)+(COUNTIFS($A$14:$A$1213,$A830,$F$14:$F$1213,"="&amp;$F830)+1)/2,"")</f>
        <v/>
      </c>
      <c r="X830" s="27">
        <f>IF(OR(NOT(ISNUMBER($V830)),$AO830=1),"",$V830-(COUNTIFS($A$14:$A$1213,$A830,$C$14:$C$1213,"&gt;=0")+1)/2)</f>
        <v/>
      </c>
      <c r="Y830" s="27">
        <f>IF(OR(NOT(ISNUMBER($W830)),$AO830=1),"",$W830-(COUNTIFS($A$14:$A$1213,$A830,$F$14:$F$1213,"&gt;=0")+1)/2)</f>
        <v/>
      </c>
      <c r="Z830" s="27">
        <f>IF(ISNUMBER($V830),$A830&amp;"|"&amp;$V830,"")</f>
        <v/>
      </c>
      <c r="AA830" s="27">
        <f>IF(ISNUMBER($W830),$A830&amp;"|"&amp;$W830,"")</f>
        <v/>
      </c>
      <c r="AB830" s="27">
        <f>IF(ISNUMBER($F830),$A830&amp;"|"&amp;$F830,"")</f>
        <v/>
      </c>
      <c r="AC830" s="27">
        <f>IF(ISNUMBER($P830),COUNTIFS($A$14:$A$1213,$A830,$P$14:$P$1213,"&gt;"&amp;$P830)+(COUNTIFS($A$14:$A$1213,$A830,$P$14:$P$1213,"="&amp;$P830)+1)/2,"")</f>
        <v/>
      </c>
      <c r="AD830" s="27">
        <f>IF(ISNUMBER($Q830),COUNTIFS($A$14:$A$1213,$A830,$Q$14:$Q$1213,"&gt;"&amp;$Q830)+(COUNTIFS($A$14:$A$1213,$A830,$Q$14:$Q$1213,"="&amp;$Q830)+1)/2,"")</f>
        <v/>
      </c>
      <c r="AE830" s="27">
        <f>IF(ISNUMBER($R830),COUNTIFS($A$14:$A$1213,$A830,$R$14:$R$1213,"&gt;"&amp;$R830)+(COUNTIFS($A$14:$A$1213,$A830,$R$14:$R$1213,"="&amp;$R830)+1)/2,"")</f>
        <v/>
      </c>
      <c r="AF830" s="27">
        <f>IF(ISNUMBER($S830),COUNTIFS($A$14:$A$1213,$A830,$S$14:$S$1213,"&gt;"&amp;$S830)+(COUNTIFS($A$14:$A$1213,$A830,$S$14:$S$1213,"="&amp;$S830)+1)/2,"")</f>
        <v/>
      </c>
      <c r="AG830" s="27">
        <f>IF(ISNUMBER($T830),COUNTIFS($A$14:$A$1213,$A830,$T$14:$T$1213,"&gt;"&amp;$T830)+(COUNTIFS($A$14:$A$1213,$A830,$T$14:$T$1213,"="&amp;$T830)+1)/2,"")</f>
        <v/>
      </c>
      <c r="AH830" s="27">
        <f>IF(COUNT($AC830:$AG830)&lt;2,"",IF(MAX($AC830:$AG830)=MIN($AC830:$AG830),0,1))</f>
        <v/>
      </c>
      <c r="AI830" s="27">
        <f>IF($A830="","",IF(COUNTIF($A$14:$A830,$A830)=1,COUNTIF($AI$13:AI829,"&gt;0")+1,""))</f>
        <v/>
      </c>
      <c r="AO830" s="27">
        <f>IF($A830="","",IF(AND(COUNTIFS($A$14:$A$1213,$A830,$F$14:$F$1213,"&gt;=0")=2,IFERROR(INDEX($M$14:$M$313,MATCH($A830,$H$14:$H$313,0)),"Yes")&lt;&gt;"Yes"),1,0))</f>
        <v/>
      </c>
    </row>
    <row r="831">
      <c r="A831" s="19" t="n"/>
      <c r="B831" s="20" t="n"/>
      <c r="C831" s="21">
        <f>IFERROR(AVERAGE(P831:T831),"")</f>
        <v/>
      </c>
      <c r="D831" s="29" t="n"/>
      <c r="E831" s="29" t="n"/>
      <c r="F831" s="30">
        <f>IF(AND(ISNUMBER($D831),ISNUMBER($E831),$E831&gt;0,$D831&lt;=$E831),$D831/$E831,"")</f>
        <v/>
      </c>
      <c r="P831" s="26" t="n"/>
      <c r="Q831" s="26" t="n"/>
      <c r="R831" s="26" t="n"/>
      <c r="S831" s="26" t="n"/>
      <c r="T831" s="26" t="n"/>
      <c r="V831" s="27">
        <f>IF(ISNUMBER($C831),COUNTIFS($A$14:$A$1213,$A831,$C$14:$C$1213,"&gt;"&amp;$C831)+(COUNTIFS($A$14:$A$1213,$A831,$C$14:$C$1213,"="&amp;$C831)+1)/2,"")</f>
        <v/>
      </c>
      <c r="W831" s="27">
        <f>IF(ISNUMBER($F831),COUNTIFS($A$14:$A$1213,$A831,$F$14:$F$1213,"&gt;"&amp;$F831)+(COUNTIFS($A$14:$A$1213,$A831,$F$14:$F$1213,"="&amp;$F831)+1)/2,"")</f>
        <v/>
      </c>
      <c r="X831" s="27">
        <f>IF(OR(NOT(ISNUMBER($V831)),$AO831=1),"",$V831-(COUNTIFS($A$14:$A$1213,$A831,$C$14:$C$1213,"&gt;=0")+1)/2)</f>
        <v/>
      </c>
      <c r="Y831" s="27">
        <f>IF(OR(NOT(ISNUMBER($W831)),$AO831=1),"",$W831-(COUNTIFS($A$14:$A$1213,$A831,$F$14:$F$1213,"&gt;=0")+1)/2)</f>
        <v/>
      </c>
      <c r="Z831" s="27">
        <f>IF(ISNUMBER($V831),$A831&amp;"|"&amp;$V831,"")</f>
        <v/>
      </c>
      <c r="AA831" s="27">
        <f>IF(ISNUMBER($W831),$A831&amp;"|"&amp;$W831,"")</f>
        <v/>
      </c>
      <c r="AB831" s="27">
        <f>IF(ISNUMBER($F831),$A831&amp;"|"&amp;$F831,"")</f>
        <v/>
      </c>
      <c r="AC831" s="27">
        <f>IF(ISNUMBER($P831),COUNTIFS($A$14:$A$1213,$A831,$P$14:$P$1213,"&gt;"&amp;$P831)+(COUNTIFS($A$14:$A$1213,$A831,$P$14:$P$1213,"="&amp;$P831)+1)/2,"")</f>
        <v/>
      </c>
      <c r="AD831" s="27">
        <f>IF(ISNUMBER($Q831),COUNTIFS($A$14:$A$1213,$A831,$Q$14:$Q$1213,"&gt;"&amp;$Q831)+(COUNTIFS($A$14:$A$1213,$A831,$Q$14:$Q$1213,"="&amp;$Q831)+1)/2,"")</f>
        <v/>
      </c>
      <c r="AE831" s="27">
        <f>IF(ISNUMBER($R831),COUNTIFS($A$14:$A$1213,$A831,$R$14:$R$1213,"&gt;"&amp;$R831)+(COUNTIFS($A$14:$A$1213,$A831,$R$14:$R$1213,"="&amp;$R831)+1)/2,"")</f>
        <v/>
      </c>
      <c r="AF831" s="27">
        <f>IF(ISNUMBER($S831),COUNTIFS($A$14:$A$1213,$A831,$S$14:$S$1213,"&gt;"&amp;$S831)+(COUNTIFS($A$14:$A$1213,$A831,$S$14:$S$1213,"="&amp;$S831)+1)/2,"")</f>
        <v/>
      </c>
      <c r="AG831" s="27">
        <f>IF(ISNUMBER($T831),COUNTIFS($A$14:$A$1213,$A831,$T$14:$T$1213,"&gt;"&amp;$T831)+(COUNTIFS($A$14:$A$1213,$A831,$T$14:$T$1213,"="&amp;$T831)+1)/2,"")</f>
        <v/>
      </c>
      <c r="AH831" s="27">
        <f>IF(COUNT($AC831:$AG831)&lt;2,"",IF(MAX($AC831:$AG831)=MIN($AC831:$AG831),0,1))</f>
        <v/>
      </c>
      <c r="AI831" s="27">
        <f>IF($A831="","",IF(COUNTIF($A$14:$A831,$A831)=1,COUNTIF($AI$13:AI830,"&gt;0")+1,""))</f>
        <v/>
      </c>
      <c r="AO831" s="27">
        <f>IF($A831="","",IF(AND(COUNTIFS($A$14:$A$1213,$A831,$F$14:$F$1213,"&gt;=0")=2,IFERROR(INDEX($M$14:$M$313,MATCH($A831,$H$14:$H$313,0)),"Yes")&lt;&gt;"Yes"),1,0))</f>
        <v/>
      </c>
    </row>
    <row r="832">
      <c r="A832" s="19" t="n"/>
      <c r="B832" s="20" t="n"/>
      <c r="C832" s="21">
        <f>IFERROR(AVERAGE(P832:T832),"")</f>
        <v/>
      </c>
      <c r="D832" s="29" t="n"/>
      <c r="E832" s="29" t="n"/>
      <c r="F832" s="30">
        <f>IF(AND(ISNUMBER($D832),ISNUMBER($E832),$E832&gt;0,$D832&lt;=$E832),$D832/$E832,"")</f>
        <v/>
      </c>
      <c r="P832" s="26" t="n"/>
      <c r="Q832" s="26" t="n"/>
      <c r="R832" s="26" t="n"/>
      <c r="S832" s="26" t="n"/>
      <c r="T832" s="26" t="n"/>
      <c r="V832" s="27">
        <f>IF(ISNUMBER($C832),COUNTIFS($A$14:$A$1213,$A832,$C$14:$C$1213,"&gt;"&amp;$C832)+(COUNTIFS($A$14:$A$1213,$A832,$C$14:$C$1213,"="&amp;$C832)+1)/2,"")</f>
        <v/>
      </c>
      <c r="W832" s="27">
        <f>IF(ISNUMBER($F832),COUNTIFS($A$14:$A$1213,$A832,$F$14:$F$1213,"&gt;"&amp;$F832)+(COUNTIFS($A$14:$A$1213,$A832,$F$14:$F$1213,"="&amp;$F832)+1)/2,"")</f>
        <v/>
      </c>
      <c r="X832" s="27">
        <f>IF(OR(NOT(ISNUMBER($V832)),$AO832=1),"",$V832-(COUNTIFS($A$14:$A$1213,$A832,$C$14:$C$1213,"&gt;=0")+1)/2)</f>
        <v/>
      </c>
      <c r="Y832" s="27">
        <f>IF(OR(NOT(ISNUMBER($W832)),$AO832=1),"",$W832-(COUNTIFS($A$14:$A$1213,$A832,$F$14:$F$1213,"&gt;=0")+1)/2)</f>
        <v/>
      </c>
      <c r="Z832" s="27">
        <f>IF(ISNUMBER($V832),$A832&amp;"|"&amp;$V832,"")</f>
        <v/>
      </c>
      <c r="AA832" s="27">
        <f>IF(ISNUMBER($W832),$A832&amp;"|"&amp;$W832,"")</f>
        <v/>
      </c>
      <c r="AB832" s="27">
        <f>IF(ISNUMBER($F832),$A832&amp;"|"&amp;$F832,"")</f>
        <v/>
      </c>
      <c r="AC832" s="27">
        <f>IF(ISNUMBER($P832),COUNTIFS($A$14:$A$1213,$A832,$P$14:$P$1213,"&gt;"&amp;$P832)+(COUNTIFS($A$14:$A$1213,$A832,$P$14:$P$1213,"="&amp;$P832)+1)/2,"")</f>
        <v/>
      </c>
      <c r="AD832" s="27">
        <f>IF(ISNUMBER($Q832),COUNTIFS($A$14:$A$1213,$A832,$Q$14:$Q$1213,"&gt;"&amp;$Q832)+(COUNTIFS($A$14:$A$1213,$A832,$Q$14:$Q$1213,"="&amp;$Q832)+1)/2,"")</f>
        <v/>
      </c>
      <c r="AE832" s="27">
        <f>IF(ISNUMBER($R832),COUNTIFS($A$14:$A$1213,$A832,$R$14:$R$1213,"&gt;"&amp;$R832)+(COUNTIFS($A$14:$A$1213,$A832,$R$14:$R$1213,"="&amp;$R832)+1)/2,"")</f>
        <v/>
      </c>
      <c r="AF832" s="27">
        <f>IF(ISNUMBER($S832),COUNTIFS($A$14:$A$1213,$A832,$S$14:$S$1213,"&gt;"&amp;$S832)+(COUNTIFS($A$14:$A$1213,$A832,$S$14:$S$1213,"="&amp;$S832)+1)/2,"")</f>
        <v/>
      </c>
      <c r="AG832" s="27">
        <f>IF(ISNUMBER($T832),COUNTIFS($A$14:$A$1213,$A832,$T$14:$T$1213,"&gt;"&amp;$T832)+(COUNTIFS($A$14:$A$1213,$A832,$T$14:$T$1213,"="&amp;$T832)+1)/2,"")</f>
        <v/>
      </c>
      <c r="AH832" s="27">
        <f>IF(COUNT($AC832:$AG832)&lt;2,"",IF(MAX($AC832:$AG832)=MIN($AC832:$AG832),0,1))</f>
        <v/>
      </c>
      <c r="AI832" s="27">
        <f>IF($A832="","",IF(COUNTIF($A$14:$A832,$A832)=1,COUNTIF($AI$13:AI831,"&gt;0")+1,""))</f>
        <v/>
      </c>
      <c r="AO832" s="27">
        <f>IF($A832="","",IF(AND(COUNTIFS($A$14:$A$1213,$A832,$F$14:$F$1213,"&gt;=0")=2,IFERROR(INDEX($M$14:$M$313,MATCH($A832,$H$14:$H$313,0)),"Yes")&lt;&gt;"Yes"),1,0))</f>
        <v/>
      </c>
    </row>
    <row r="833">
      <c r="A833" s="19" t="n"/>
      <c r="B833" s="20" t="n"/>
      <c r="C833" s="21">
        <f>IFERROR(AVERAGE(P833:T833),"")</f>
        <v/>
      </c>
      <c r="D833" s="29" t="n"/>
      <c r="E833" s="29" t="n"/>
      <c r="F833" s="30">
        <f>IF(AND(ISNUMBER($D833),ISNUMBER($E833),$E833&gt;0,$D833&lt;=$E833),$D833/$E833,"")</f>
        <v/>
      </c>
      <c r="P833" s="26" t="n"/>
      <c r="Q833" s="26" t="n"/>
      <c r="R833" s="26" t="n"/>
      <c r="S833" s="26" t="n"/>
      <c r="T833" s="26" t="n"/>
      <c r="V833" s="27">
        <f>IF(ISNUMBER($C833),COUNTIFS($A$14:$A$1213,$A833,$C$14:$C$1213,"&gt;"&amp;$C833)+(COUNTIFS($A$14:$A$1213,$A833,$C$14:$C$1213,"="&amp;$C833)+1)/2,"")</f>
        <v/>
      </c>
      <c r="W833" s="27">
        <f>IF(ISNUMBER($F833),COUNTIFS($A$14:$A$1213,$A833,$F$14:$F$1213,"&gt;"&amp;$F833)+(COUNTIFS($A$14:$A$1213,$A833,$F$14:$F$1213,"="&amp;$F833)+1)/2,"")</f>
        <v/>
      </c>
      <c r="X833" s="27">
        <f>IF(OR(NOT(ISNUMBER($V833)),$AO833=1),"",$V833-(COUNTIFS($A$14:$A$1213,$A833,$C$14:$C$1213,"&gt;=0")+1)/2)</f>
        <v/>
      </c>
      <c r="Y833" s="27">
        <f>IF(OR(NOT(ISNUMBER($W833)),$AO833=1),"",$W833-(COUNTIFS($A$14:$A$1213,$A833,$F$14:$F$1213,"&gt;=0")+1)/2)</f>
        <v/>
      </c>
      <c r="Z833" s="27">
        <f>IF(ISNUMBER($V833),$A833&amp;"|"&amp;$V833,"")</f>
        <v/>
      </c>
      <c r="AA833" s="27">
        <f>IF(ISNUMBER($W833),$A833&amp;"|"&amp;$W833,"")</f>
        <v/>
      </c>
      <c r="AB833" s="27">
        <f>IF(ISNUMBER($F833),$A833&amp;"|"&amp;$F833,"")</f>
        <v/>
      </c>
      <c r="AC833" s="27">
        <f>IF(ISNUMBER($P833),COUNTIFS($A$14:$A$1213,$A833,$P$14:$P$1213,"&gt;"&amp;$P833)+(COUNTIFS($A$14:$A$1213,$A833,$P$14:$P$1213,"="&amp;$P833)+1)/2,"")</f>
        <v/>
      </c>
      <c r="AD833" s="27">
        <f>IF(ISNUMBER($Q833),COUNTIFS($A$14:$A$1213,$A833,$Q$14:$Q$1213,"&gt;"&amp;$Q833)+(COUNTIFS($A$14:$A$1213,$A833,$Q$14:$Q$1213,"="&amp;$Q833)+1)/2,"")</f>
        <v/>
      </c>
      <c r="AE833" s="27">
        <f>IF(ISNUMBER($R833),COUNTIFS($A$14:$A$1213,$A833,$R$14:$R$1213,"&gt;"&amp;$R833)+(COUNTIFS($A$14:$A$1213,$A833,$R$14:$R$1213,"="&amp;$R833)+1)/2,"")</f>
        <v/>
      </c>
      <c r="AF833" s="27">
        <f>IF(ISNUMBER($S833),COUNTIFS($A$14:$A$1213,$A833,$S$14:$S$1213,"&gt;"&amp;$S833)+(COUNTIFS($A$14:$A$1213,$A833,$S$14:$S$1213,"="&amp;$S833)+1)/2,"")</f>
        <v/>
      </c>
      <c r="AG833" s="27">
        <f>IF(ISNUMBER($T833),COUNTIFS($A$14:$A$1213,$A833,$T$14:$T$1213,"&gt;"&amp;$T833)+(COUNTIFS($A$14:$A$1213,$A833,$T$14:$T$1213,"="&amp;$T833)+1)/2,"")</f>
        <v/>
      </c>
      <c r="AH833" s="27">
        <f>IF(COUNT($AC833:$AG833)&lt;2,"",IF(MAX($AC833:$AG833)=MIN($AC833:$AG833),0,1))</f>
        <v/>
      </c>
      <c r="AI833" s="27">
        <f>IF($A833="","",IF(COUNTIF($A$14:$A833,$A833)=1,COUNTIF($AI$13:AI832,"&gt;0")+1,""))</f>
        <v/>
      </c>
      <c r="AO833" s="27">
        <f>IF($A833="","",IF(AND(COUNTIFS($A$14:$A$1213,$A833,$F$14:$F$1213,"&gt;=0")=2,IFERROR(INDEX($M$14:$M$313,MATCH($A833,$H$14:$H$313,0)),"Yes")&lt;&gt;"Yes"),1,0))</f>
        <v/>
      </c>
    </row>
    <row r="834">
      <c r="A834" s="19" t="n"/>
      <c r="B834" s="20" t="n"/>
      <c r="C834" s="21">
        <f>IFERROR(AVERAGE(P834:T834),"")</f>
        <v/>
      </c>
      <c r="D834" s="29" t="n"/>
      <c r="E834" s="29" t="n"/>
      <c r="F834" s="30">
        <f>IF(AND(ISNUMBER($D834),ISNUMBER($E834),$E834&gt;0,$D834&lt;=$E834),$D834/$E834,"")</f>
        <v/>
      </c>
      <c r="P834" s="26" t="n"/>
      <c r="Q834" s="26" t="n"/>
      <c r="R834" s="26" t="n"/>
      <c r="S834" s="26" t="n"/>
      <c r="T834" s="26" t="n"/>
      <c r="V834" s="27">
        <f>IF(ISNUMBER($C834),COUNTIFS($A$14:$A$1213,$A834,$C$14:$C$1213,"&gt;"&amp;$C834)+(COUNTIFS($A$14:$A$1213,$A834,$C$14:$C$1213,"="&amp;$C834)+1)/2,"")</f>
        <v/>
      </c>
      <c r="W834" s="27">
        <f>IF(ISNUMBER($F834),COUNTIFS($A$14:$A$1213,$A834,$F$14:$F$1213,"&gt;"&amp;$F834)+(COUNTIFS($A$14:$A$1213,$A834,$F$14:$F$1213,"="&amp;$F834)+1)/2,"")</f>
        <v/>
      </c>
      <c r="X834" s="27">
        <f>IF(OR(NOT(ISNUMBER($V834)),$AO834=1),"",$V834-(COUNTIFS($A$14:$A$1213,$A834,$C$14:$C$1213,"&gt;=0")+1)/2)</f>
        <v/>
      </c>
      <c r="Y834" s="27">
        <f>IF(OR(NOT(ISNUMBER($W834)),$AO834=1),"",$W834-(COUNTIFS($A$14:$A$1213,$A834,$F$14:$F$1213,"&gt;=0")+1)/2)</f>
        <v/>
      </c>
      <c r="Z834" s="27">
        <f>IF(ISNUMBER($V834),$A834&amp;"|"&amp;$V834,"")</f>
        <v/>
      </c>
      <c r="AA834" s="27">
        <f>IF(ISNUMBER($W834),$A834&amp;"|"&amp;$W834,"")</f>
        <v/>
      </c>
      <c r="AB834" s="27">
        <f>IF(ISNUMBER($F834),$A834&amp;"|"&amp;$F834,"")</f>
        <v/>
      </c>
      <c r="AC834" s="27">
        <f>IF(ISNUMBER($P834),COUNTIFS($A$14:$A$1213,$A834,$P$14:$P$1213,"&gt;"&amp;$P834)+(COUNTIFS($A$14:$A$1213,$A834,$P$14:$P$1213,"="&amp;$P834)+1)/2,"")</f>
        <v/>
      </c>
      <c r="AD834" s="27">
        <f>IF(ISNUMBER($Q834),COUNTIFS($A$14:$A$1213,$A834,$Q$14:$Q$1213,"&gt;"&amp;$Q834)+(COUNTIFS($A$14:$A$1213,$A834,$Q$14:$Q$1213,"="&amp;$Q834)+1)/2,"")</f>
        <v/>
      </c>
      <c r="AE834" s="27">
        <f>IF(ISNUMBER($R834),COUNTIFS($A$14:$A$1213,$A834,$R$14:$R$1213,"&gt;"&amp;$R834)+(COUNTIFS($A$14:$A$1213,$A834,$R$14:$R$1213,"="&amp;$R834)+1)/2,"")</f>
        <v/>
      </c>
      <c r="AF834" s="27">
        <f>IF(ISNUMBER($S834),COUNTIFS($A$14:$A$1213,$A834,$S$14:$S$1213,"&gt;"&amp;$S834)+(COUNTIFS($A$14:$A$1213,$A834,$S$14:$S$1213,"="&amp;$S834)+1)/2,"")</f>
        <v/>
      </c>
      <c r="AG834" s="27">
        <f>IF(ISNUMBER($T834),COUNTIFS($A$14:$A$1213,$A834,$T$14:$T$1213,"&gt;"&amp;$T834)+(COUNTIFS($A$14:$A$1213,$A834,$T$14:$T$1213,"="&amp;$T834)+1)/2,"")</f>
        <v/>
      </c>
      <c r="AH834" s="27">
        <f>IF(COUNT($AC834:$AG834)&lt;2,"",IF(MAX($AC834:$AG834)=MIN($AC834:$AG834),0,1))</f>
        <v/>
      </c>
      <c r="AI834" s="27">
        <f>IF($A834="","",IF(COUNTIF($A$14:$A834,$A834)=1,COUNTIF($AI$13:AI833,"&gt;0")+1,""))</f>
        <v/>
      </c>
      <c r="AO834" s="27">
        <f>IF($A834="","",IF(AND(COUNTIFS($A$14:$A$1213,$A834,$F$14:$F$1213,"&gt;=0")=2,IFERROR(INDEX($M$14:$M$313,MATCH($A834,$H$14:$H$313,0)),"Yes")&lt;&gt;"Yes"),1,0))</f>
        <v/>
      </c>
    </row>
    <row r="835">
      <c r="A835" s="19" t="n"/>
      <c r="B835" s="20" t="n"/>
      <c r="C835" s="21">
        <f>IFERROR(AVERAGE(P835:T835),"")</f>
        <v/>
      </c>
      <c r="D835" s="29" t="n"/>
      <c r="E835" s="29" t="n"/>
      <c r="F835" s="30">
        <f>IF(AND(ISNUMBER($D835),ISNUMBER($E835),$E835&gt;0,$D835&lt;=$E835),$D835/$E835,"")</f>
        <v/>
      </c>
      <c r="P835" s="26" t="n"/>
      <c r="Q835" s="26" t="n"/>
      <c r="R835" s="26" t="n"/>
      <c r="S835" s="26" t="n"/>
      <c r="T835" s="26" t="n"/>
      <c r="V835" s="27">
        <f>IF(ISNUMBER($C835),COUNTIFS($A$14:$A$1213,$A835,$C$14:$C$1213,"&gt;"&amp;$C835)+(COUNTIFS($A$14:$A$1213,$A835,$C$14:$C$1213,"="&amp;$C835)+1)/2,"")</f>
        <v/>
      </c>
      <c r="W835" s="27">
        <f>IF(ISNUMBER($F835),COUNTIFS($A$14:$A$1213,$A835,$F$14:$F$1213,"&gt;"&amp;$F835)+(COUNTIFS($A$14:$A$1213,$A835,$F$14:$F$1213,"="&amp;$F835)+1)/2,"")</f>
        <v/>
      </c>
      <c r="X835" s="27">
        <f>IF(OR(NOT(ISNUMBER($V835)),$AO835=1),"",$V835-(COUNTIFS($A$14:$A$1213,$A835,$C$14:$C$1213,"&gt;=0")+1)/2)</f>
        <v/>
      </c>
      <c r="Y835" s="27">
        <f>IF(OR(NOT(ISNUMBER($W835)),$AO835=1),"",$W835-(COUNTIFS($A$14:$A$1213,$A835,$F$14:$F$1213,"&gt;=0")+1)/2)</f>
        <v/>
      </c>
      <c r="Z835" s="27">
        <f>IF(ISNUMBER($V835),$A835&amp;"|"&amp;$V835,"")</f>
        <v/>
      </c>
      <c r="AA835" s="27">
        <f>IF(ISNUMBER($W835),$A835&amp;"|"&amp;$W835,"")</f>
        <v/>
      </c>
      <c r="AB835" s="27">
        <f>IF(ISNUMBER($F835),$A835&amp;"|"&amp;$F835,"")</f>
        <v/>
      </c>
      <c r="AC835" s="27">
        <f>IF(ISNUMBER($P835),COUNTIFS($A$14:$A$1213,$A835,$P$14:$P$1213,"&gt;"&amp;$P835)+(COUNTIFS($A$14:$A$1213,$A835,$P$14:$P$1213,"="&amp;$P835)+1)/2,"")</f>
        <v/>
      </c>
      <c r="AD835" s="27">
        <f>IF(ISNUMBER($Q835),COUNTIFS($A$14:$A$1213,$A835,$Q$14:$Q$1213,"&gt;"&amp;$Q835)+(COUNTIFS($A$14:$A$1213,$A835,$Q$14:$Q$1213,"="&amp;$Q835)+1)/2,"")</f>
        <v/>
      </c>
      <c r="AE835" s="27">
        <f>IF(ISNUMBER($R835),COUNTIFS($A$14:$A$1213,$A835,$R$14:$R$1213,"&gt;"&amp;$R835)+(COUNTIFS($A$14:$A$1213,$A835,$R$14:$R$1213,"="&amp;$R835)+1)/2,"")</f>
        <v/>
      </c>
      <c r="AF835" s="27">
        <f>IF(ISNUMBER($S835),COUNTIFS($A$14:$A$1213,$A835,$S$14:$S$1213,"&gt;"&amp;$S835)+(COUNTIFS($A$14:$A$1213,$A835,$S$14:$S$1213,"="&amp;$S835)+1)/2,"")</f>
        <v/>
      </c>
      <c r="AG835" s="27">
        <f>IF(ISNUMBER($T835),COUNTIFS($A$14:$A$1213,$A835,$T$14:$T$1213,"&gt;"&amp;$T835)+(COUNTIFS($A$14:$A$1213,$A835,$T$14:$T$1213,"="&amp;$T835)+1)/2,"")</f>
        <v/>
      </c>
      <c r="AH835" s="27">
        <f>IF(COUNT($AC835:$AG835)&lt;2,"",IF(MAX($AC835:$AG835)=MIN($AC835:$AG835),0,1))</f>
        <v/>
      </c>
      <c r="AI835" s="27">
        <f>IF($A835="","",IF(COUNTIF($A$14:$A835,$A835)=1,COUNTIF($AI$13:AI834,"&gt;0")+1,""))</f>
        <v/>
      </c>
      <c r="AO835" s="27">
        <f>IF($A835="","",IF(AND(COUNTIFS($A$14:$A$1213,$A835,$F$14:$F$1213,"&gt;=0")=2,IFERROR(INDEX($M$14:$M$313,MATCH($A835,$H$14:$H$313,0)),"Yes")&lt;&gt;"Yes"),1,0))</f>
        <v/>
      </c>
    </row>
    <row r="836">
      <c r="A836" s="19" t="n"/>
      <c r="B836" s="20" t="n"/>
      <c r="C836" s="21">
        <f>IFERROR(AVERAGE(P836:T836),"")</f>
        <v/>
      </c>
      <c r="D836" s="29" t="n"/>
      <c r="E836" s="29" t="n"/>
      <c r="F836" s="30">
        <f>IF(AND(ISNUMBER($D836),ISNUMBER($E836),$E836&gt;0,$D836&lt;=$E836),$D836/$E836,"")</f>
        <v/>
      </c>
      <c r="P836" s="26" t="n"/>
      <c r="Q836" s="26" t="n"/>
      <c r="R836" s="26" t="n"/>
      <c r="S836" s="26" t="n"/>
      <c r="T836" s="26" t="n"/>
      <c r="V836" s="27">
        <f>IF(ISNUMBER($C836),COUNTIFS($A$14:$A$1213,$A836,$C$14:$C$1213,"&gt;"&amp;$C836)+(COUNTIFS($A$14:$A$1213,$A836,$C$14:$C$1213,"="&amp;$C836)+1)/2,"")</f>
        <v/>
      </c>
      <c r="W836" s="27">
        <f>IF(ISNUMBER($F836),COUNTIFS($A$14:$A$1213,$A836,$F$14:$F$1213,"&gt;"&amp;$F836)+(COUNTIFS($A$14:$A$1213,$A836,$F$14:$F$1213,"="&amp;$F836)+1)/2,"")</f>
        <v/>
      </c>
      <c r="X836" s="27">
        <f>IF(OR(NOT(ISNUMBER($V836)),$AO836=1),"",$V836-(COUNTIFS($A$14:$A$1213,$A836,$C$14:$C$1213,"&gt;=0")+1)/2)</f>
        <v/>
      </c>
      <c r="Y836" s="27">
        <f>IF(OR(NOT(ISNUMBER($W836)),$AO836=1),"",$W836-(COUNTIFS($A$14:$A$1213,$A836,$F$14:$F$1213,"&gt;=0")+1)/2)</f>
        <v/>
      </c>
      <c r="Z836" s="27">
        <f>IF(ISNUMBER($V836),$A836&amp;"|"&amp;$V836,"")</f>
        <v/>
      </c>
      <c r="AA836" s="27">
        <f>IF(ISNUMBER($W836),$A836&amp;"|"&amp;$W836,"")</f>
        <v/>
      </c>
      <c r="AB836" s="27">
        <f>IF(ISNUMBER($F836),$A836&amp;"|"&amp;$F836,"")</f>
        <v/>
      </c>
      <c r="AC836" s="27">
        <f>IF(ISNUMBER($P836),COUNTIFS($A$14:$A$1213,$A836,$P$14:$P$1213,"&gt;"&amp;$P836)+(COUNTIFS($A$14:$A$1213,$A836,$P$14:$P$1213,"="&amp;$P836)+1)/2,"")</f>
        <v/>
      </c>
      <c r="AD836" s="27">
        <f>IF(ISNUMBER($Q836),COUNTIFS($A$14:$A$1213,$A836,$Q$14:$Q$1213,"&gt;"&amp;$Q836)+(COUNTIFS($A$14:$A$1213,$A836,$Q$14:$Q$1213,"="&amp;$Q836)+1)/2,"")</f>
        <v/>
      </c>
      <c r="AE836" s="27">
        <f>IF(ISNUMBER($R836),COUNTIFS($A$14:$A$1213,$A836,$R$14:$R$1213,"&gt;"&amp;$R836)+(COUNTIFS($A$14:$A$1213,$A836,$R$14:$R$1213,"="&amp;$R836)+1)/2,"")</f>
        <v/>
      </c>
      <c r="AF836" s="27">
        <f>IF(ISNUMBER($S836),COUNTIFS($A$14:$A$1213,$A836,$S$14:$S$1213,"&gt;"&amp;$S836)+(COUNTIFS($A$14:$A$1213,$A836,$S$14:$S$1213,"="&amp;$S836)+1)/2,"")</f>
        <v/>
      </c>
      <c r="AG836" s="27">
        <f>IF(ISNUMBER($T836),COUNTIFS($A$14:$A$1213,$A836,$T$14:$T$1213,"&gt;"&amp;$T836)+(COUNTIFS($A$14:$A$1213,$A836,$T$14:$T$1213,"="&amp;$T836)+1)/2,"")</f>
        <v/>
      </c>
      <c r="AH836" s="27">
        <f>IF(COUNT($AC836:$AG836)&lt;2,"",IF(MAX($AC836:$AG836)=MIN($AC836:$AG836),0,1))</f>
        <v/>
      </c>
      <c r="AI836" s="27">
        <f>IF($A836="","",IF(COUNTIF($A$14:$A836,$A836)=1,COUNTIF($AI$13:AI835,"&gt;0")+1,""))</f>
        <v/>
      </c>
      <c r="AO836" s="27">
        <f>IF($A836="","",IF(AND(COUNTIFS($A$14:$A$1213,$A836,$F$14:$F$1213,"&gt;=0")=2,IFERROR(INDEX($M$14:$M$313,MATCH($A836,$H$14:$H$313,0)),"Yes")&lt;&gt;"Yes"),1,0))</f>
        <v/>
      </c>
    </row>
    <row r="837">
      <c r="A837" s="19" t="n"/>
      <c r="B837" s="20" t="n"/>
      <c r="C837" s="21">
        <f>IFERROR(AVERAGE(P837:T837),"")</f>
        <v/>
      </c>
      <c r="D837" s="29" t="n"/>
      <c r="E837" s="29" t="n"/>
      <c r="F837" s="30">
        <f>IF(AND(ISNUMBER($D837),ISNUMBER($E837),$E837&gt;0,$D837&lt;=$E837),$D837/$E837,"")</f>
        <v/>
      </c>
      <c r="P837" s="26" t="n"/>
      <c r="Q837" s="26" t="n"/>
      <c r="R837" s="26" t="n"/>
      <c r="S837" s="26" t="n"/>
      <c r="T837" s="26" t="n"/>
      <c r="V837" s="27">
        <f>IF(ISNUMBER($C837),COUNTIFS($A$14:$A$1213,$A837,$C$14:$C$1213,"&gt;"&amp;$C837)+(COUNTIFS($A$14:$A$1213,$A837,$C$14:$C$1213,"="&amp;$C837)+1)/2,"")</f>
        <v/>
      </c>
      <c r="W837" s="27">
        <f>IF(ISNUMBER($F837),COUNTIFS($A$14:$A$1213,$A837,$F$14:$F$1213,"&gt;"&amp;$F837)+(COUNTIFS($A$14:$A$1213,$A837,$F$14:$F$1213,"="&amp;$F837)+1)/2,"")</f>
        <v/>
      </c>
      <c r="X837" s="27">
        <f>IF(OR(NOT(ISNUMBER($V837)),$AO837=1),"",$V837-(COUNTIFS($A$14:$A$1213,$A837,$C$14:$C$1213,"&gt;=0")+1)/2)</f>
        <v/>
      </c>
      <c r="Y837" s="27">
        <f>IF(OR(NOT(ISNUMBER($W837)),$AO837=1),"",$W837-(COUNTIFS($A$14:$A$1213,$A837,$F$14:$F$1213,"&gt;=0")+1)/2)</f>
        <v/>
      </c>
      <c r="Z837" s="27">
        <f>IF(ISNUMBER($V837),$A837&amp;"|"&amp;$V837,"")</f>
        <v/>
      </c>
      <c r="AA837" s="27">
        <f>IF(ISNUMBER($W837),$A837&amp;"|"&amp;$W837,"")</f>
        <v/>
      </c>
      <c r="AB837" s="27">
        <f>IF(ISNUMBER($F837),$A837&amp;"|"&amp;$F837,"")</f>
        <v/>
      </c>
      <c r="AC837" s="27">
        <f>IF(ISNUMBER($P837),COUNTIFS($A$14:$A$1213,$A837,$P$14:$P$1213,"&gt;"&amp;$P837)+(COUNTIFS($A$14:$A$1213,$A837,$P$14:$P$1213,"="&amp;$P837)+1)/2,"")</f>
        <v/>
      </c>
      <c r="AD837" s="27">
        <f>IF(ISNUMBER($Q837),COUNTIFS($A$14:$A$1213,$A837,$Q$14:$Q$1213,"&gt;"&amp;$Q837)+(COUNTIFS($A$14:$A$1213,$A837,$Q$14:$Q$1213,"="&amp;$Q837)+1)/2,"")</f>
        <v/>
      </c>
      <c r="AE837" s="27">
        <f>IF(ISNUMBER($R837),COUNTIFS($A$14:$A$1213,$A837,$R$14:$R$1213,"&gt;"&amp;$R837)+(COUNTIFS($A$14:$A$1213,$A837,$R$14:$R$1213,"="&amp;$R837)+1)/2,"")</f>
        <v/>
      </c>
      <c r="AF837" s="27">
        <f>IF(ISNUMBER($S837),COUNTIFS($A$14:$A$1213,$A837,$S$14:$S$1213,"&gt;"&amp;$S837)+(COUNTIFS($A$14:$A$1213,$A837,$S$14:$S$1213,"="&amp;$S837)+1)/2,"")</f>
        <v/>
      </c>
      <c r="AG837" s="27">
        <f>IF(ISNUMBER($T837),COUNTIFS($A$14:$A$1213,$A837,$T$14:$T$1213,"&gt;"&amp;$T837)+(COUNTIFS($A$14:$A$1213,$A837,$T$14:$T$1213,"="&amp;$T837)+1)/2,"")</f>
        <v/>
      </c>
      <c r="AH837" s="27">
        <f>IF(COUNT($AC837:$AG837)&lt;2,"",IF(MAX($AC837:$AG837)=MIN($AC837:$AG837),0,1))</f>
        <v/>
      </c>
      <c r="AI837" s="27">
        <f>IF($A837="","",IF(COUNTIF($A$14:$A837,$A837)=1,COUNTIF($AI$13:AI836,"&gt;0")+1,""))</f>
        <v/>
      </c>
      <c r="AO837" s="27">
        <f>IF($A837="","",IF(AND(COUNTIFS($A$14:$A$1213,$A837,$F$14:$F$1213,"&gt;=0")=2,IFERROR(INDEX($M$14:$M$313,MATCH($A837,$H$14:$H$313,0)),"Yes")&lt;&gt;"Yes"),1,0))</f>
        <v/>
      </c>
    </row>
    <row r="838">
      <c r="A838" s="19" t="n"/>
      <c r="B838" s="20" t="n"/>
      <c r="C838" s="21">
        <f>IFERROR(AVERAGE(P838:T838),"")</f>
        <v/>
      </c>
      <c r="D838" s="29" t="n"/>
      <c r="E838" s="29" t="n"/>
      <c r="F838" s="30">
        <f>IF(AND(ISNUMBER($D838),ISNUMBER($E838),$E838&gt;0,$D838&lt;=$E838),$D838/$E838,"")</f>
        <v/>
      </c>
      <c r="P838" s="26" t="n"/>
      <c r="Q838" s="26" t="n"/>
      <c r="R838" s="26" t="n"/>
      <c r="S838" s="26" t="n"/>
      <c r="T838" s="26" t="n"/>
      <c r="V838" s="27">
        <f>IF(ISNUMBER($C838),COUNTIFS($A$14:$A$1213,$A838,$C$14:$C$1213,"&gt;"&amp;$C838)+(COUNTIFS($A$14:$A$1213,$A838,$C$14:$C$1213,"="&amp;$C838)+1)/2,"")</f>
        <v/>
      </c>
      <c r="W838" s="27">
        <f>IF(ISNUMBER($F838),COUNTIFS($A$14:$A$1213,$A838,$F$14:$F$1213,"&gt;"&amp;$F838)+(COUNTIFS($A$14:$A$1213,$A838,$F$14:$F$1213,"="&amp;$F838)+1)/2,"")</f>
        <v/>
      </c>
      <c r="X838" s="27">
        <f>IF(OR(NOT(ISNUMBER($V838)),$AO838=1),"",$V838-(COUNTIFS($A$14:$A$1213,$A838,$C$14:$C$1213,"&gt;=0")+1)/2)</f>
        <v/>
      </c>
      <c r="Y838" s="27">
        <f>IF(OR(NOT(ISNUMBER($W838)),$AO838=1),"",$W838-(COUNTIFS($A$14:$A$1213,$A838,$F$14:$F$1213,"&gt;=0")+1)/2)</f>
        <v/>
      </c>
      <c r="Z838" s="27">
        <f>IF(ISNUMBER($V838),$A838&amp;"|"&amp;$V838,"")</f>
        <v/>
      </c>
      <c r="AA838" s="27">
        <f>IF(ISNUMBER($W838),$A838&amp;"|"&amp;$W838,"")</f>
        <v/>
      </c>
      <c r="AB838" s="27">
        <f>IF(ISNUMBER($F838),$A838&amp;"|"&amp;$F838,"")</f>
        <v/>
      </c>
      <c r="AC838" s="27">
        <f>IF(ISNUMBER($P838),COUNTIFS($A$14:$A$1213,$A838,$P$14:$P$1213,"&gt;"&amp;$P838)+(COUNTIFS($A$14:$A$1213,$A838,$P$14:$P$1213,"="&amp;$P838)+1)/2,"")</f>
        <v/>
      </c>
      <c r="AD838" s="27">
        <f>IF(ISNUMBER($Q838),COUNTIFS($A$14:$A$1213,$A838,$Q$14:$Q$1213,"&gt;"&amp;$Q838)+(COUNTIFS($A$14:$A$1213,$A838,$Q$14:$Q$1213,"="&amp;$Q838)+1)/2,"")</f>
        <v/>
      </c>
      <c r="AE838" s="27">
        <f>IF(ISNUMBER($R838),COUNTIFS($A$14:$A$1213,$A838,$R$14:$R$1213,"&gt;"&amp;$R838)+(COUNTIFS($A$14:$A$1213,$A838,$R$14:$R$1213,"="&amp;$R838)+1)/2,"")</f>
        <v/>
      </c>
      <c r="AF838" s="27">
        <f>IF(ISNUMBER($S838),COUNTIFS($A$14:$A$1213,$A838,$S$14:$S$1213,"&gt;"&amp;$S838)+(COUNTIFS($A$14:$A$1213,$A838,$S$14:$S$1213,"="&amp;$S838)+1)/2,"")</f>
        <v/>
      </c>
      <c r="AG838" s="27">
        <f>IF(ISNUMBER($T838),COUNTIFS($A$14:$A$1213,$A838,$T$14:$T$1213,"&gt;"&amp;$T838)+(COUNTIFS($A$14:$A$1213,$A838,$T$14:$T$1213,"="&amp;$T838)+1)/2,"")</f>
        <v/>
      </c>
      <c r="AH838" s="27">
        <f>IF(COUNT($AC838:$AG838)&lt;2,"",IF(MAX($AC838:$AG838)=MIN($AC838:$AG838),0,1))</f>
        <v/>
      </c>
      <c r="AI838" s="27">
        <f>IF($A838="","",IF(COUNTIF($A$14:$A838,$A838)=1,COUNTIF($AI$13:AI837,"&gt;0")+1,""))</f>
        <v/>
      </c>
      <c r="AO838" s="27">
        <f>IF($A838="","",IF(AND(COUNTIFS($A$14:$A$1213,$A838,$F$14:$F$1213,"&gt;=0")=2,IFERROR(INDEX($M$14:$M$313,MATCH($A838,$H$14:$H$313,0)),"Yes")&lt;&gt;"Yes"),1,0))</f>
        <v/>
      </c>
    </row>
    <row r="839">
      <c r="A839" s="19" t="n"/>
      <c r="B839" s="20" t="n"/>
      <c r="C839" s="21">
        <f>IFERROR(AVERAGE(P839:T839),"")</f>
        <v/>
      </c>
      <c r="D839" s="29" t="n"/>
      <c r="E839" s="29" t="n"/>
      <c r="F839" s="30">
        <f>IF(AND(ISNUMBER($D839),ISNUMBER($E839),$E839&gt;0,$D839&lt;=$E839),$D839/$E839,"")</f>
        <v/>
      </c>
      <c r="P839" s="26" t="n"/>
      <c r="Q839" s="26" t="n"/>
      <c r="R839" s="26" t="n"/>
      <c r="S839" s="26" t="n"/>
      <c r="T839" s="26" t="n"/>
      <c r="V839" s="27">
        <f>IF(ISNUMBER($C839),COUNTIFS($A$14:$A$1213,$A839,$C$14:$C$1213,"&gt;"&amp;$C839)+(COUNTIFS($A$14:$A$1213,$A839,$C$14:$C$1213,"="&amp;$C839)+1)/2,"")</f>
        <v/>
      </c>
      <c r="W839" s="27">
        <f>IF(ISNUMBER($F839),COUNTIFS($A$14:$A$1213,$A839,$F$14:$F$1213,"&gt;"&amp;$F839)+(COUNTIFS($A$14:$A$1213,$A839,$F$14:$F$1213,"="&amp;$F839)+1)/2,"")</f>
        <v/>
      </c>
      <c r="X839" s="27">
        <f>IF(OR(NOT(ISNUMBER($V839)),$AO839=1),"",$V839-(COUNTIFS($A$14:$A$1213,$A839,$C$14:$C$1213,"&gt;=0")+1)/2)</f>
        <v/>
      </c>
      <c r="Y839" s="27">
        <f>IF(OR(NOT(ISNUMBER($W839)),$AO839=1),"",$W839-(COUNTIFS($A$14:$A$1213,$A839,$F$14:$F$1213,"&gt;=0")+1)/2)</f>
        <v/>
      </c>
      <c r="Z839" s="27">
        <f>IF(ISNUMBER($V839),$A839&amp;"|"&amp;$V839,"")</f>
        <v/>
      </c>
      <c r="AA839" s="27">
        <f>IF(ISNUMBER($W839),$A839&amp;"|"&amp;$W839,"")</f>
        <v/>
      </c>
      <c r="AB839" s="27">
        <f>IF(ISNUMBER($F839),$A839&amp;"|"&amp;$F839,"")</f>
        <v/>
      </c>
      <c r="AC839" s="27">
        <f>IF(ISNUMBER($P839),COUNTIFS($A$14:$A$1213,$A839,$P$14:$P$1213,"&gt;"&amp;$P839)+(COUNTIFS($A$14:$A$1213,$A839,$P$14:$P$1213,"="&amp;$P839)+1)/2,"")</f>
        <v/>
      </c>
      <c r="AD839" s="27">
        <f>IF(ISNUMBER($Q839),COUNTIFS($A$14:$A$1213,$A839,$Q$14:$Q$1213,"&gt;"&amp;$Q839)+(COUNTIFS($A$14:$A$1213,$A839,$Q$14:$Q$1213,"="&amp;$Q839)+1)/2,"")</f>
        <v/>
      </c>
      <c r="AE839" s="27">
        <f>IF(ISNUMBER($R839),COUNTIFS($A$14:$A$1213,$A839,$R$14:$R$1213,"&gt;"&amp;$R839)+(COUNTIFS($A$14:$A$1213,$A839,$R$14:$R$1213,"="&amp;$R839)+1)/2,"")</f>
        <v/>
      </c>
      <c r="AF839" s="27">
        <f>IF(ISNUMBER($S839),COUNTIFS($A$14:$A$1213,$A839,$S$14:$S$1213,"&gt;"&amp;$S839)+(COUNTIFS($A$14:$A$1213,$A839,$S$14:$S$1213,"="&amp;$S839)+1)/2,"")</f>
        <v/>
      </c>
      <c r="AG839" s="27">
        <f>IF(ISNUMBER($T839),COUNTIFS($A$14:$A$1213,$A839,$T$14:$T$1213,"&gt;"&amp;$T839)+(COUNTIFS($A$14:$A$1213,$A839,$T$14:$T$1213,"="&amp;$T839)+1)/2,"")</f>
        <v/>
      </c>
      <c r="AH839" s="27">
        <f>IF(COUNT($AC839:$AG839)&lt;2,"",IF(MAX($AC839:$AG839)=MIN($AC839:$AG839),0,1))</f>
        <v/>
      </c>
      <c r="AI839" s="27">
        <f>IF($A839="","",IF(COUNTIF($A$14:$A839,$A839)=1,COUNTIF($AI$13:AI838,"&gt;0")+1,""))</f>
        <v/>
      </c>
      <c r="AO839" s="27">
        <f>IF($A839="","",IF(AND(COUNTIFS($A$14:$A$1213,$A839,$F$14:$F$1213,"&gt;=0")=2,IFERROR(INDEX($M$14:$M$313,MATCH($A839,$H$14:$H$313,0)),"Yes")&lt;&gt;"Yes"),1,0))</f>
        <v/>
      </c>
    </row>
    <row r="840">
      <c r="A840" s="19" t="n"/>
      <c r="B840" s="20" t="n"/>
      <c r="C840" s="21">
        <f>IFERROR(AVERAGE(P840:T840),"")</f>
        <v/>
      </c>
      <c r="D840" s="29" t="n"/>
      <c r="E840" s="29" t="n"/>
      <c r="F840" s="30">
        <f>IF(AND(ISNUMBER($D840),ISNUMBER($E840),$E840&gt;0,$D840&lt;=$E840),$D840/$E840,"")</f>
        <v/>
      </c>
      <c r="P840" s="26" t="n"/>
      <c r="Q840" s="26" t="n"/>
      <c r="R840" s="26" t="n"/>
      <c r="S840" s="26" t="n"/>
      <c r="T840" s="26" t="n"/>
      <c r="V840" s="27">
        <f>IF(ISNUMBER($C840),COUNTIFS($A$14:$A$1213,$A840,$C$14:$C$1213,"&gt;"&amp;$C840)+(COUNTIFS($A$14:$A$1213,$A840,$C$14:$C$1213,"="&amp;$C840)+1)/2,"")</f>
        <v/>
      </c>
      <c r="W840" s="27">
        <f>IF(ISNUMBER($F840),COUNTIFS($A$14:$A$1213,$A840,$F$14:$F$1213,"&gt;"&amp;$F840)+(COUNTIFS($A$14:$A$1213,$A840,$F$14:$F$1213,"="&amp;$F840)+1)/2,"")</f>
        <v/>
      </c>
      <c r="X840" s="27">
        <f>IF(OR(NOT(ISNUMBER($V840)),$AO840=1),"",$V840-(COUNTIFS($A$14:$A$1213,$A840,$C$14:$C$1213,"&gt;=0")+1)/2)</f>
        <v/>
      </c>
      <c r="Y840" s="27">
        <f>IF(OR(NOT(ISNUMBER($W840)),$AO840=1),"",$W840-(COUNTIFS($A$14:$A$1213,$A840,$F$14:$F$1213,"&gt;=0")+1)/2)</f>
        <v/>
      </c>
      <c r="Z840" s="27">
        <f>IF(ISNUMBER($V840),$A840&amp;"|"&amp;$V840,"")</f>
        <v/>
      </c>
      <c r="AA840" s="27">
        <f>IF(ISNUMBER($W840),$A840&amp;"|"&amp;$W840,"")</f>
        <v/>
      </c>
      <c r="AB840" s="27">
        <f>IF(ISNUMBER($F840),$A840&amp;"|"&amp;$F840,"")</f>
        <v/>
      </c>
      <c r="AC840" s="27">
        <f>IF(ISNUMBER($P840),COUNTIFS($A$14:$A$1213,$A840,$P$14:$P$1213,"&gt;"&amp;$P840)+(COUNTIFS($A$14:$A$1213,$A840,$P$14:$P$1213,"="&amp;$P840)+1)/2,"")</f>
        <v/>
      </c>
      <c r="AD840" s="27">
        <f>IF(ISNUMBER($Q840),COUNTIFS($A$14:$A$1213,$A840,$Q$14:$Q$1213,"&gt;"&amp;$Q840)+(COUNTIFS($A$14:$A$1213,$A840,$Q$14:$Q$1213,"="&amp;$Q840)+1)/2,"")</f>
        <v/>
      </c>
      <c r="AE840" s="27">
        <f>IF(ISNUMBER($R840),COUNTIFS($A$14:$A$1213,$A840,$R$14:$R$1213,"&gt;"&amp;$R840)+(COUNTIFS($A$14:$A$1213,$A840,$R$14:$R$1213,"="&amp;$R840)+1)/2,"")</f>
        <v/>
      </c>
      <c r="AF840" s="27">
        <f>IF(ISNUMBER($S840),COUNTIFS($A$14:$A$1213,$A840,$S$14:$S$1213,"&gt;"&amp;$S840)+(COUNTIFS($A$14:$A$1213,$A840,$S$14:$S$1213,"="&amp;$S840)+1)/2,"")</f>
        <v/>
      </c>
      <c r="AG840" s="27">
        <f>IF(ISNUMBER($T840),COUNTIFS($A$14:$A$1213,$A840,$T$14:$T$1213,"&gt;"&amp;$T840)+(COUNTIFS($A$14:$A$1213,$A840,$T$14:$T$1213,"="&amp;$T840)+1)/2,"")</f>
        <v/>
      </c>
      <c r="AH840" s="27">
        <f>IF(COUNT($AC840:$AG840)&lt;2,"",IF(MAX($AC840:$AG840)=MIN($AC840:$AG840),0,1))</f>
        <v/>
      </c>
      <c r="AI840" s="27">
        <f>IF($A840="","",IF(COUNTIF($A$14:$A840,$A840)=1,COUNTIF($AI$13:AI839,"&gt;0")+1,""))</f>
        <v/>
      </c>
      <c r="AO840" s="27">
        <f>IF($A840="","",IF(AND(COUNTIFS($A$14:$A$1213,$A840,$F$14:$F$1213,"&gt;=0")=2,IFERROR(INDEX($M$14:$M$313,MATCH($A840,$H$14:$H$313,0)),"Yes")&lt;&gt;"Yes"),1,0))</f>
        <v/>
      </c>
    </row>
    <row r="841">
      <c r="A841" s="19" t="n"/>
      <c r="B841" s="20" t="n"/>
      <c r="C841" s="21">
        <f>IFERROR(AVERAGE(P841:T841),"")</f>
        <v/>
      </c>
      <c r="D841" s="29" t="n"/>
      <c r="E841" s="29" t="n"/>
      <c r="F841" s="30">
        <f>IF(AND(ISNUMBER($D841),ISNUMBER($E841),$E841&gt;0,$D841&lt;=$E841),$D841/$E841,"")</f>
        <v/>
      </c>
      <c r="P841" s="26" t="n"/>
      <c r="Q841" s="26" t="n"/>
      <c r="R841" s="26" t="n"/>
      <c r="S841" s="26" t="n"/>
      <c r="T841" s="26" t="n"/>
      <c r="V841" s="27">
        <f>IF(ISNUMBER($C841),COUNTIFS($A$14:$A$1213,$A841,$C$14:$C$1213,"&gt;"&amp;$C841)+(COUNTIFS($A$14:$A$1213,$A841,$C$14:$C$1213,"="&amp;$C841)+1)/2,"")</f>
        <v/>
      </c>
      <c r="W841" s="27">
        <f>IF(ISNUMBER($F841),COUNTIFS($A$14:$A$1213,$A841,$F$14:$F$1213,"&gt;"&amp;$F841)+(COUNTIFS($A$14:$A$1213,$A841,$F$14:$F$1213,"="&amp;$F841)+1)/2,"")</f>
        <v/>
      </c>
      <c r="X841" s="27">
        <f>IF(OR(NOT(ISNUMBER($V841)),$AO841=1),"",$V841-(COUNTIFS($A$14:$A$1213,$A841,$C$14:$C$1213,"&gt;=0")+1)/2)</f>
        <v/>
      </c>
      <c r="Y841" s="27">
        <f>IF(OR(NOT(ISNUMBER($W841)),$AO841=1),"",$W841-(COUNTIFS($A$14:$A$1213,$A841,$F$14:$F$1213,"&gt;=0")+1)/2)</f>
        <v/>
      </c>
      <c r="Z841" s="27">
        <f>IF(ISNUMBER($V841),$A841&amp;"|"&amp;$V841,"")</f>
        <v/>
      </c>
      <c r="AA841" s="27">
        <f>IF(ISNUMBER($W841),$A841&amp;"|"&amp;$W841,"")</f>
        <v/>
      </c>
      <c r="AB841" s="27">
        <f>IF(ISNUMBER($F841),$A841&amp;"|"&amp;$F841,"")</f>
        <v/>
      </c>
      <c r="AC841" s="27">
        <f>IF(ISNUMBER($P841),COUNTIFS($A$14:$A$1213,$A841,$P$14:$P$1213,"&gt;"&amp;$P841)+(COUNTIFS($A$14:$A$1213,$A841,$P$14:$P$1213,"="&amp;$P841)+1)/2,"")</f>
        <v/>
      </c>
      <c r="AD841" s="27">
        <f>IF(ISNUMBER($Q841),COUNTIFS($A$14:$A$1213,$A841,$Q$14:$Q$1213,"&gt;"&amp;$Q841)+(COUNTIFS($A$14:$A$1213,$A841,$Q$14:$Q$1213,"="&amp;$Q841)+1)/2,"")</f>
        <v/>
      </c>
      <c r="AE841" s="27">
        <f>IF(ISNUMBER($R841),COUNTIFS($A$14:$A$1213,$A841,$R$14:$R$1213,"&gt;"&amp;$R841)+(COUNTIFS($A$14:$A$1213,$A841,$R$14:$R$1213,"="&amp;$R841)+1)/2,"")</f>
        <v/>
      </c>
      <c r="AF841" s="27">
        <f>IF(ISNUMBER($S841),COUNTIFS($A$14:$A$1213,$A841,$S$14:$S$1213,"&gt;"&amp;$S841)+(COUNTIFS($A$14:$A$1213,$A841,$S$14:$S$1213,"="&amp;$S841)+1)/2,"")</f>
        <v/>
      </c>
      <c r="AG841" s="27">
        <f>IF(ISNUMBER($T841),COUNTIFS($A$14:$A$1213,$A841,$T$14:$T$1213,"&gt;"&amp;$T841)+(COUNTIFS($A$14:$A$1213,$A841,$T$14:$T$1213,"="&amp;$T841)+1)/2,"")</f>
        <v/>
      </c>
      <c r="AH841" s="27">
        <f>IF(COUNT($AC841:$AG841)&lt;2,"",IF(MAX($AC841:$AG841)=MIN($AC841:$AG841),0,1))</f>
        <v/>
      </c>
      <c r="AI841" s="27">
        <f>IF($A841="","",IF(COUNTIF($A$14:$A841,$A841)=1,COUNTIF($AI$13:AI840,"&gt;0")+1,""))</f>
        <v/>
      </c>
      <c r="AO841" s="27">
        <f>IF($A841="","",IF(AND(COUNTIFS($A$14:$A$1213,$A841,$F$14:$F$1213,"&gt;=0")=2,IFERROR(INDEX($M$14:$M$313,MATCH($A841,$H$14:$H$313,0)),"Yes")&lt;&gt;"Yes"),1,0))</f>
        <v/>
      </c>
    </row>
    <row r="842">
      <c r="A842" s="19" t="n"/>
      <c r="B842" s="20" t="n"/>
      <c r="C842" s="21">
        <f>IFERROR(AVERAGE(P842:T842),"")</f>
        <v/>
      </c>
      <c r="D842" s="29" t="n"/>
      <c r="E842" s="29" t="n"/>
      <c r="F842" s="30">
        <f>IF(AND(ISNUMBER($D842),ISNUMBER($E842),$E842&gt;0,$D842&lt;=$E842),$D842/$E842,"")</f>
        <v/>
      </c>
      <c r="P842" s="26" t="n"/>
      <c r="Q842" s="26" t="n"/>
      <c r="R842" s="26" t="n"/>
      <c r="S842" s="26" t="n"/>
      <c r="T842" s="26" t="n"/>
      <c r="V842" s="27">
        <f>IF(ISNUMBER($C842),COUNTIFS($A$14:$A$1213,$A842,$C$14:$C$1213,"&gt;"&amp;$C842)+(COUNTIFS($A$14:$A$1213,$A842,$C$14:$C$1213,"="&amp;$C842)+1)/2,"")</f>
        <v/>
      </c>
      <c r="W842" s="27">
        <f>IF(ISNUMBER($F842),COUNTIFS($A$14:$A$1213,$A842,$F$14:$F$1213,"&gt;"&amp;$F842)+(COUNTIFS($A$14:$A$1213,$A842,$F$14:$F$1213,"="&amp;$F842)+1)/2,"")</f>
        <v/>
      </c>
      <c r="X842" s="27">
        <f>IF(OR(NOT(ISNUMBER($V842)),$AO842=1),"",$V842-(COUNTIFS($A$14:$A$1213,$A842,$C$14:$C$1213,"&gt;=0")+1)/2)</f>
        <v/>
      </c>
      <c r="Y842" s="27">
        <f>IF(OR(NOT(ISNUMBER($W842)),$AO842=1),"",$W842-(COUNTIFS($A$14:$A$1213,$A842,$F$14:$F$1213,"&gt;=0")+1)/2)</f>
        <v/>
      </c>
      <c r="Z842" s="27">
        <f>IF(ISNUMBER($V842),$A842&amp;"|"&amp;$V842,"")</f>
        <v/>
      </c>
      <c r="AA842" s="27">
        <f>IF(ISNUMBER($W842),$A842&amp;"|"&amp;$W842,"")</f>
        <v/>
      </c>
      <c r="AB842" s="27">
        <f>IF(ISNUMBER($F842),$A842&amp;"|"&amp;$F842,"")</f>
        <v/>
      </c>
      <c r="AC842" s="27">
        <f>IF(ISNUMBER($P842),COUNTIFS($A$14:$A$1213,$A842,$P$14:$P$1213,"&gt;"&amp;$P842)+(COUNTIFS($A$14:$A$1213,$A842,$P$14:$P$1213,"="&amp;$P842)+1)/2,"")</f>
        <v/>
      </c>
      <c r="AD842" s="27">
        <f>IF(ISNUMBER($Q842),COUNTIFS($A$14:$A$1213,$A842,$Q$14:$Q$1213,"&gt;"&amp;$Q842)+(COUNTIFS($A$14:$A$1213,$A842,$Q$14:$Q$1213,"="&amp;$Q842)+1)/2,"")</f>
        <v/>
      </c>
      <c r="AE842" s="27">
        <f>IF(ISNUMBER($R842),COUNTIFS($A$14:$A$1213,$A842,$R$14:$R$1213,"&gt;"&amp;$R842)+(COUNTIFS($A$14:$A$1213,$A842,$R$14:$R$1213,"="&amp;$R842)+1)/2,"")</f>
        <v/>
      </c>
      <c r="AF842" s="27">
        <f>IF(ISNUMBER($S842),COUNTIFS($A$14:$A$1213,$A842,$S$14:$S$1213,"&gt;"&amp;$S842)+(COUNTIFS($A$14:$A$1213,$A842,$S$14:$S$1213,"="&amp;$S842)+1)/2,"")</f>
        <v/>
      </c>
      <c r="AG842" s="27">
        <f>IF(ISNUMBER($T842),COUNTIFS($A$14:$A$1213,$A842,$T$14:$T$1213,"&gt;"&amp;$T842)+(COUNTIFS($A$14:$A$1213,$A842,$T$14:$T$1213,"="&amp;$T842)+1)/2,"")</f>
        <v/>
      </c>
      <c r="AH842" s="27">
        <f>IF(COUNT($AC842:$AG842)&lt;2,"",IF(MAX($AC842:$AG842)=MIN($AC842:$AG842),0,1))</f>
        <v/>
      </c>
      <c r="AI842" s="27">
        <f>IF($A842="","",IF(COUNTIF($A$14:$A842,$A842)=1,COUNTIF($AI$13:AI841,"&gt;0")+1,""))</f>
        <v/>
      </c>
      <c r="AO842" s="27">
        <f>IF($A842="","",IF(AND(COUNTIFS($A$14:$A$1213,$A842,$F$14:$F$1213,"&gt;=0")=2,IFERROR(INDEX($M$14:$M$313,MATCH($A842,$H$14:$H$313,0)),"Yes")&lt;&gt;"Yes"),1,0))</f>
        <v/>
      </c>
    </row>
    <row r="843">
      <c r="A843" s="19" t="n"/>
      <c r="B843" s="20" t="n"/>
      <c r="C843" s="21">
        <f>IFERROR(AVERAGE(P843:T843),"")</f>
        <v/>
      </c>
      <c r="D843" s="29" t="n"/>
      <c r="E843" s="29" t="n"/>
      <c r="F843" s="30">
        <f>IF(AND(ISNUMBER($D843),ISNUMBER($E843),$E843&gt;0,$D843&lt;=$E843),$D843/$E843,"")</f>
        <v/>
      </c>
      <c r="P843" s="26" t="n"/>
      <c r="Q843" s="26" t="n"/>
      <c r="R843" s="26" t="n"/>
      <c r="S843" s="26" t="n"/>
      <c r="T843" s="26" t="n"/>
      <c r="V843" s="27">
        <f>IF(ISNUMBER($C843),COUNTIFS($A$14:$A$1213,$A843,$C$14:$C$1213,"&gt;"&amp;$C843)+(COUNTIFS($A$14:$A$1213,$A843,$C$14:$C$1213,"="&amp;$C843)+1)/2,"")</f>
        <v/>
      </c>
      <c r="W843" s="27">
        <f>IF(ISNUMBER($F843),COUNTIFS($A$14:$A$1213,$A843,$F$14:$F$1213,"&gt;"&amp;$F843)+(COUNTIFS($A$14:$A$1213,$A843,$F$14:$F$1213,"="&amp;$F843)+1)/2,"")</f>
        <v/>
      </c>
      <c r="X843" s="27">
        <f>IF(OR(NOT(ISNUMBER($V843)),$AO843=1),"",$V843-(COUNTIFS($A$14:$A$1213,$A843,$C$14:$C$1213,"&gt;=0")+1)/2)</f>
        <v/>
      </c>
      <c r="Y843" s="27">
        <f>IF(OR(NOT(ISNUMBER($W843)),$AO843=1),"",$W843-(COUNTIFS($A$14:$A$1213,$A843,$F$14:$F$1213,"&gt;=0")+1)/2)</f>
        <v/>
      </c>
      <c r="Z843" s="27">
        <f>IF(ISNUMBER($V843),$A843&amp;"|"&amp;$V843,"")</f>
        <v/>
      </c>
      <c r="AA843" s="27">
        <f>IF(ISNUMBER($W843),$A843&amp;"|"&amp;$W843,"")</f>
        <v/>
      </c>
      <c r="AB843" s="27">
        <f>IF(ISNUMBER($F843),$A843&amp;"|"&amp;$F843,"")</f>
        <v/>
      </c>
      <c r="AC843" s="27">
        <f>IF(ISNUMBER($P843),COUNTIFS($A$14:$A$1213,$A843,$P$14:$P$1213,"&gt;"&amp;$P843)+(COUNTIFS($A$14:$A$1213,$A843,$P$14:$P$1213,"="&amp;$P843)+1)/2,"")</f>
        <v/>
      </c>
      <c r="AD843" s="27">
        <f>IF(ISNUMBER($Q843),COUNTIFS($A$14:$A$1213,$A843,$Q$14:$Q$1213,"&gt;"&amp;$Q843)+(COUNTIFS($A$14:$A$1213,$A843,$Q$14:$Q$1213,"="&amp;$Q843)+1)/2,"")</f>
        <v/>
      </c>
      <c r="AE843" s="27">
        <f>IF(ISNUMBER($R843),COUNTIFS($A$14:$A$1213,$A843,$R$14:$R$1213,"&gt;"&amp;$R843)+(COUNTIFS($A$14:$A$1213,$A843,$R$14:$R$1213,"="&amp;$R843)+1)/2,"")</f>
        <v/>
      </c>
      <c r="AF843" s="27">
        <f>IF(ISNUMBER($S843),COUNTIFS($A$14:$A$1213,$A843,$S$14:$S$1213,"&gt;"&amp;$S843)+(COUNTIFS($A$14:$A$1213,$A843,$S$14:$S$1213,"="&amp;$S843)+1)/2,"")</f>
        <v/>
      </c>
      <c r="AG843" s="27">
        <f>IF(ISNUMBER($T843),COUNTIFS($A$14:$A$1213,$A843,$T$14:$T$1213,"&gt;"&amp;$T843)+(COUNTIFS($A$14:$A$1213,$A843,$T$14:$T$1213,"="&amp;$T843)+1)/2,"")</f>
        <v/>
      </c>
      <c r="AH843" s="27">
        <f>IF(COUNT($AC843:$AG843)&lt;2,"",IF(MAX($AC843:$AG843)=MIN($AC843:$AG843),0,1))</f>
        <v/>
      </c>
      <c r="AI843" s="27">
        <f>IF($A843="","",IF(COUNTIF($A$14:$A843,$A843)=1,COUNTIF($AI$13:AI842,"&gt;0")+1,""))</f>
        <v/>
      </c>
      <c r="AO843" s="27">
        <f>IF($A843="","",IF(AND(COUNTIFS($A$14:$A$1213,$A843,$F$14:$F$1213,"&gt;=0")=2,IFERROR(INDEX($M$14:$M$313,MATCH($A843,$H$14:$H$313,0)),"Yes")&lt;&gt;"Yes"),1,0))</f>
        <v/>
      </c>
    </row>
    <row r="844">
      <c r="A844" s="19" t="n"/>
      <c r="B844" s="20" t="n"/>
      <c r="C844" s="21">
        <f>IFERROR(AVERAGE(P844:T844),"")</f>
        <v/>
      </c>
      <c r="D844" s="29" t="n"/>
      <c r="E844" s="29" t="n"/>
      <c r="F844" s="30">
        <f>IF(AND(ISNUMBER($D844),ISNUMBER($E844),$E844&gt;0,$D844&lt;=$E844),$D844/$E844,"")</f>
        <v/>
      </c>
      <c r="P844" s="26" t="n"/>
      <c r="Q844" s="26" t="n"/>
      <c r="R844" s="26" t="n"/>
      <c r="S844" s="26" t="n"/>
      <c r="T844" s="26" t="n"/>
      <c r="V844" s="27">
        <f>IF(ISNUMBER($C844),COUNTIFS($A$14:$A$1213,$A844,$C$14:$C$1213,"&gt;"&amp;$C844)+(COUNTIFS($A$14:$A$1213,$A844,$C$14:$C$1213,"="&amp;$C844)+1)/2,"")</f>
        <v/>
      </c>
      <c r="W844" s="27">
        <f>IF(ISNUMBER($F844),COUNTIFS($A$14:$A$1213,$A844,$F$14:$F$1213,"&gt;"&amp;$F844)+(COUNTIFS($A$14:$A$1213,$A844,$F$14:$F$1213,"="&amp;$F844)+1)/2,"")</f>
        <v/>
      </c>
      <c r="X844" s="27">
        <f>IF(OR(NOT(ISNUMBER($V844)),$AO844=1),"",$V844-(COUNTIFS($A$14:$A$1213,$A844,$C$14:$C$1213,"&gt;=0")+1)/2)</f>
        <v/>
      </c>
      <c r="Y844" s="27">
        <f>IF(OR(NOT(ISNUMBER($W844)),$AO844=1),"",$W844-(COUNTIFS($A$14:$A$1213,$A844,$F$14:$F$1213,"&gt;=0")+1)/2)</f>
        <v/>
      </c>
      <c r="Z844" s="27">
        <f>IF(ISNUMBER($V844),$A844&amp;"|"&amp;$V844,"")</f>
        <v/>
      </c>
      <c r="AA844" s="27">
        <f>IF(ISNUMBER($W844),$A844&amp;"|"&amp;$W844,"")</f>
        <v/>
      </c>
      <c r="AB844" s="27">
        <f>IF(ISNUMBER($F844),$A844&amp;"|"&amp;$F844,"")</f>
        <v/>
      </c>
      <c r="AC844" s="27">
        <f>IF(ISNUMBER($P844),COUNTIFS($A$14:$A$1213,$A844,$P$14:$P$1213,"&gt;"&amp;$P844)+(COUNTIFS($A$14:$A$1213,$A844,$P$14:$P$1213,"="&amp;$P844)+1)/2,"")</f>
        <v/>
      </c>
      <c r="AD844" s="27">
        <f>IF(ISNUMBER($Q844),COUNTIFS($A$14:$A$1213,$A844,$Q$14:$Q$1213,"&gt;"&amp;$Q844)+(COUNTIFS($A$14:$A$1213,$A844,$Q$14:$Q$1213,"="&amp;$Q844)+1)/2,"")</f>
        <v/>
      </c>
      <c r="AE844" s="27">
        <f>IF(ISNUMBER($R844),COUNTIFS($A$14:$A$1213,$A844,$R$14:$R$1213,"&gt;"&amp;$R844)+(COUNTIFS($A$14:$A$1213,$A844,$R$14:$R$1213,"="&amp;$R844)+1)/2,"")</f>
        <v/>
      </c>
      <c r="AF844" s="27">
        <f>IF(ISNUMBER($S844),COUNTIFS($A$14:$A$1213,$A844,$S$14:$S$1213,"&gt;"&amp;$S844)+(COUNTIFS($A$14:$A$1213,$A844,$S$14:$S$1213,"="&amp;$S844)+1)/2,"")</f>
        <v/>
      </c>
      <c r="AG844" s="27">
        <f>IF(ISNUMBER($T844),COUNTIFS($A$14:$A$1213,$A844,$T$14:$T$1213,"&gt;"&amp;$T844)+(COUNTIFS($A$14:$A$1213,$A844,$T$14:$T$1213,"="&amp;$T844)+1)/2,"")</f>
        <v/>
      </c>
      <c r="AH844" s="27">
        <f>IF(COUNT($AC844:$AG844)&lt;2,"",IF(MAX($AC844:$AG844)=MIN($AC844:$AG844),0,1))</f>
        <v/>
      </c>
      <c r="AI844" s="27">
        <f>IF($A844="","",IF(COUNTIF($A$14:$A844,$A844)=1,COUNTIF($AI$13:AI843,"&gt;0")+1,""))</f>
        <v/>
      </c>
      <c r="AO844" s="27">
        <f>IF($A844="","",IF(AND(COUNTIFS($A$14:$A$1213,$A844,$F$14:$F$1213,"&gt;=0")=2,IFERROR(INDEX($M$14:$M$313,MATCH($A844,$H$14:$H$313,0)),"Yes")&lt;&gt;"Yes"),1,0))</f>
        <v/>
      </c>
    </row>
    <row r="845">
      <c r="A845" s="19" t="n"/>
      <c r="B845" s="20" t="n"/>
      <c r="C845" s="21">
        <f>IFERROR(AVERAGE(P845:T845),"")</f>
        <v/>
      </c>
      <c r="D845" s="29" t="n"/>
      <c r="E845" s="29" t="n"/>
      <c r="F845" s="30">
        <f>IF(AND(ISNUMBER($D845),ISNUMBER($E845),$E845&gt;0,$D845&lt;=$E845),$D845/$E845,"")</f>
        <v/>
      </c>
      <c r="P845" s="26" t="n"/>
      <c r="Q845" s="26" t="n"/>
      <c r="R845" s="26" t="n"/>
      <c r="S845" s="26" t="n"/>
      <c r="T845" s="26" t="n"/>
      <c r="V845" s="27">
        <f>IF(ISNUMBER($C845),COUNTIFS($A$14:$A$1213,$A845,$C$14:$C$1213,"&gt;"&amp;$C845)+(COUNTIFS($A$14:$A$1213,$A845,$C$14:$C$1213,"="&amp;$C845)+1)/2,"")</f>
        <v/>
      </c>
      <c r="W845" s="27">
        <f>IF(ISNUMBER($F845),COUNTIFS($A$14:$A$1213,$A845,$F$14:$F$1213,"&gt;"&amp;$F845)+(COUNTIFS($A$14:$A$1213,$A845,$F$14:$F$1213,"="&amp;$F845)+1)/2,"")</f>
        <v/>
      </c>
      <c r="X845" s="27">
        <f>IF(OR(NOT(ISNUMBER($V845)),$AO845=1),"",$V845-(COUNTIFS($A$14:$A$1213,$A845,$C$14:$C$1213,"&gt;=0")+1)/2)</f>
        <v/>
      </c>
      <c r="Y845" s="27">
        <f>IF(OR(NOT(ISNUMBER($W845)),$AO845=1),"",$W845-(COUNTIFS($A$14:$A$1213,$A845,$F$14:$F$1213,"&gt;=0")+1)/2)</f>
        <v/>
      </c>
      <c r="Z845" s="27">
        <f>IF(ISNUMBER($V845),$A845&amp;"|"&amp;$V845,"")</f>
        <v/>
      </c>
      <c r="AA845" s="27">
        <f>IF(ISNUMBER($W845),$A845&amp;"|"&amp;$W845,"")</f>
        <v/>
      </c>
      <c r="AB845" s="27">
        <f>IF(ISNUMBER($F845),$A845&amp;"|"&amp;$F845,"")</f>
        <v/>
      </c>
      <c r="AC845" s="27">
        <f>IF(ISNUMBER($P845),COUNTIFS($A$14:$A$1213,$A845,$P$14:$P$1213,"&gt;"&amp;$P845)+(COUNTIFS($A$14:$A$1213,$A845,$P$14:$P$1213,"="&amp;$P845)+1)/2,"")</f>
        <v/>
      </c>
      <c r="AD845" s="27">
        <f>IF(ISNUMBER($Q845),COUNTIFS($A$14:$A$1213,$A845,$Q$14:$Q$1213,"&gt;"&amp;$Q845)+(COUNTIFS($A$14:$A$1213,$A845,$Q$14:$Q$1213,"="&amp;$Q845)+1)/2,"")</f>
        <v/>
      </c>
      <c r="AE845" s="27">
        <f>IF(ISNUMBER($R845),COUNTIFS($A$14:$A$1213,$A845,$R$14:$R$1213,"&gt;"&amp;$R845)+(COUNTIFS($A$14:$A$1213,$A845,$R$14:$R$1213,"="&amp;$R845)+1)/2,"")</f>
        <v/>
      </c>
      <c r="AF845" s="27">
        <f>IF(ISNUMBER($S845),COUNTIFS($A$14:$A$1213,$A845,$S$14:$S$1213,"&gt;"&amp;$S845)+(COUNTIFS($A$14:$A$1213,$A845,$S$14:$S$1213,"="&amp;$S845)+1)/2,"")</f>
        <v/>
      </c>
      <c r="AG845" s="27">
        <f>IF(ISNUMBER($T845),COUNTIFS($A$14:$A$1213,$A845,$T$14:$T$1213,"&gt;"&amp;$T845)+(COUNTIFS($A$14:$A$1213,$A845,$T$14:$T$1213,"="&amp;$T845)+1)/2,"")</f>
        <v/>
      </c>
      <c r="AH845" s="27">
        <f>IF(COUNT($AC845:$AG845)&lt;2,"",IF(MAX($AC845:$AG845)=MIN($AC845:$AG845),0,1))</f>
        <v/>
      </c>
      <c r="AI845" s="27">
        <f>IF($A845="","",IF(COUNTIF($A$14:$A845,$A845)=1,COUNTIF($AI$13:AI844,"&gt;0")+1,""))</f>
        <v/>
      </c>
      <c r="AO845" s="27">
        <f>IF($A845="","",IF(AND(COUNTIFS($A$14:$A$1213,$A845,$F$14:$F$1213,"&gt;=0")=2,IFERROR(INDEX($M$14:$M$313,MATCH($A845,$H$14:$H$313,0)),"Yes")&lt;&gt;"Yes"),1,0))</f>
        <v/>
      </c>
    </row>
    <row r="846">
      <c r="A846" s="19" t="n"/>
      <c r="B846" s="20" t="n"/>
      <c r="C846" s="21">
        <f>IFERROR(AVERAGE(P846:T846),"")</f>
        <v/>
      </c>
      <c r="D846" s="29" t="n"/>
      <c r="E846" s="29" t="n"/>
      <c r="F846" s="30">
        <f>IF(AND(ISNUMBER($D846),ISNUMBER($E846),$E846&gt;0,$D846&lt;=$E846),$D846/$E846,"")</f>
        <v/>
      </c>
      <c r="P846" s="26" t="n"/>
      <c r="Q846" s="26" t="n"/>
      <c r="R846" s="26" t="n"/>
      <c r="S846" s="26" t="n"/>
      <c r="T846" s="26" t="n"/>
      <c r="V846" s="27">
        <f>IF(ISNUMBER($C846),COUNTIFS($A$14:$A$1213,$A846,$C$14:$C$1213,"&gt;"&amp;$C846)+(COUNTIFS($A$14:$A$1213,$A846,$C$14:$C$1213,"="&amp;$C846)+1)/2,"")</f>
        <v/>
      </c>
      <c r="W846" s="27">
        <f>IF(ISNUMBER($F846),COUNTIFS($A$14:$A$1213,$A846,$F$14:$F$1213,"&gt;"&amp;$F846)+(COUNTIFS($A$14:$A$1213,$A846,$F$14:$F$1213,"="&amp;$F846)+1)/2,"")</f>
        <v/>
      </c>
      <c r="X846" s="27">
        <f>IF(OR(NOT(ISNUMBER($V846)),$AO846=1),"",$V846-(COUNTIFS($A$14:$A$1213,$A846,$C$14:$C$1213,"&gt;=0")+1)/2)</f>
        <v/>
      </c>
      <c r="Y846" s="27">
        <f>IF(OR(NOT(ISNUMBER($W846)),$AO846=1),"",$W846-(COUNTIFS($A$14:$A$1213,$A846,$F$14:$F$1213,"&gt;=0")+1)/2)</f>
        <v/>
      </c>
      <c r="Z846" s="27">
        <f>IF(ISNUMBER($V846),$A846&amp;"|"&amp;$V846,"")</f>
        <v/>
      </c>
      <c r="AA846" s="27">
        <f>IF(ISNUMBER($W846),$A846&amp;"|"&amp;$W846,"")</f>
        <v/>
      </c>
      <c r="AB846" s="27">
        <f>IF(ISNUMBER($F846),$A846&amp;"|"&amp;$F846,"")</f>
        <v/>
      </c>
      <c r="AC846" s="27">
        <f>IF(ISNUMBER($P846),COUNTIFS($A$14:$A$1213,$A846,$P$14:$P$1213,"&gt;"&amp;$P846)+(COUNTIFS($A$14:$A$1213,$A846,$P$14:$P$1213,"="&amp;$P846)+1)/2,"")</f>
        <v/>
      </c>
      <c r="AD846" s="27">
        <f>IF(ISNUMBER($Q846),COUNTIFS($A$14:$A$1213,$A846,$Q$14:$Q$1213,"&gt;"&amp;$Q846)+(COUNTIFS($A$14:$A$1213,$A846,$Q$14:$Q$1213,"="&amp;$Q846)+1)/2,"")</f>
        <v/>
      </c>
      <c r="AE846" s="27">
        <f>IF(ISNUMBER($R846),COUNTIFS($A$14:$A$1213,$A846,$R$14:$R$1213,"&gt;"&amp;$R846)+(COUNTIFS($A$14:$A$1213,$A846,$R$14:$R$1213,"="&amp;$R846)+1)/2,"")</f>
        <v/>
      </c>
      <c r="AF846" s="27">
        <f>IF(ISNUMBER($S846),COUNTIFS($A$14:$A$1213,$A846,$S$14:$S$1213,"&gt;"&amp;$S846)+(COUNTIFS($A$14:$A$1213,$A846,$S$14:$S$1213,"="&amp;$S846)+1)/2,"")</f>
        <v/>
      </c>
      <c r="AG846" s="27">
        <f>IF(ISNUMBER($T846),COUNTIFS($A$14:$A$1213,$A846,$T$14:$T$1213,"&gt;"&amp;$T846)+(COUNTIFS($A$14:$A$1213,$A846,$T$14:$T$1213,"="&amp;$T846)+1)/2,"")</f>
        <v/>
      </c>
      <c r="AH846" s="27">
        <f>IF(COUNT($AC846:$AG846)&lt;2,"",IF(MAX($AC846:$AG846)=MIN($AC846:$AG846),0,1))</f>
        <v/>
      </c>
      <c r="AI846" s="27">
        <f>IF($A846="","",IF(COUNTIF($A$14:$A846,$A846)=1,COUNTIF($AI$13:AI845,"&gt;0")+1,""))</f>
        <v/>
      </c>
      <c r="AO846" s="27">
        <f>IF($A846="","",IF(AND(COUNTIFS($A$14:$A$1213,$A846,$F$14:$F$1213,"&gt;=0")=2,IFERROR(INDEX($M$14:$M$313,MATCH($A846,$H$14:$H$313,0)),"Yes")&lt;&gt;"Yes"),1,0))</f>
        <v/>
      </c>
    </row>
    <row r="847">
      <c r="A847" s="19" t="n"/>
      <c r="B847" s="20" t="n"/>
      <c r="C847" s="21">
        <f>IFERROR(AVERAGE(P847:T847),"")</f>
        <v/>
      </c>
      <c r="D847" s="29" t="n"/>
      <c r="E847" s="29" t="n"/>
      <c r="F847" s="30">
        <f>IF(AND(ISNUMBER($D847),ISNUMBER($E847),$E847&gt;0,$D847&lt;=$E847),$D847/$E847,"")</f>
        <v/>
      </c>
      <c r="P847" s="26" t="n"/>
      <c r="Q847" s="26" t="n"/>
      <c r="R847" s="26" t="n"/>
      <c r="S847" s="26" t="n"/>
      <c r="T847" s="26" t="n"/>
      <c r="V847" s="27">
        <f>IF(ISNUMBER($C847),COUNTIFS($A$14:$A$1213,$A847,$C$14:$C$1213,"&gt;"&amp;$C847)+(COUNTIFS($A$14:$A$1213,$A847,$C$14:$C$1213,"="&amp;$C847)+1)/2,"")</f>
        <v/>
      </c>
      <c r="W847" s="27">
        <f>IF(ISNUMBER($F847),COUNTIFS($A$14:$A$1213,$A847,$F$14:$F$1213,"&gt;"&amp;$F847)+(COUNTIFS($A$14:$A$1213,$A847,$F$14:$F$1213,"="&amp;$F847)+1)/2,"")</f>
        <v/>
      </c>
      <c r="X847" s="27">
        <f>IF(OR(NOT(ISNUMBER($V847)),$AO847=1),"",$V847-(COUNTIFS($A$14:$A$1213,$A847,$C$14:$C$1213,"&gt;=0")+1)/2)</f>
        <v/>
      </c>
      <c r="Y847" s="27">
        <f>IF(OR(NOT(ISNUMBER($W847)),$AO847=1),"",$W847-(COUNTIFS($A$14:$A$1213,$A847,$F$14:$F$1213,"&gt;=0")+1)/2)</f>
        <v/>
      </c>
      <c r="Z847" s="27">
        <f>IF(ISNUMBER($V847),$A847&amp;"|"&amp;$V847,"")</f>
        <v/>
      </c>
      <c r="AA847" s="27">
        <f>IF(ISNUMBER($W847),$A847&amp;"|"&amp;$W847,"")</f>
        <v/>
      </c>
      <c r="AB847" s="27">
        <f>IF(ISNUMBER($F847),$A847&amp;"|"&amp;$F847,"")</f>
        <v/>
      </c>
      <c r="AC847" s="27">
        <f>IF(ISNUMBER($P847),COUNTIFS($A$14:$A$1213,$A847,$P$14:$P$1213,"&gt;"&amp;$P847)+(COUNTIFS($A$14:$A$1213,$A847,$P$14:$P$1213,"="&amp;$P847)+1)/2,"")</f>
        <v/>
      </c>
      <c r="AD847" s="27">
        <f>IF(ISNUMBER($Q847),COUNTIFS($A$14:$A$1213,$A847,$Q$14:$Q$1213,"&gt;"&amp;$Q847)+(COUNTIFS($A$14:$A$1213,$A847,$Q$14:$Q$1213,"="&amp;$Q847)+1)/2,"")</f>
        <v/>
      </c>
      <c r="AE847" s="27">
        <f>IF(ISNUMBER($R847),COUNTIFS($A$14:$A$1213,$A847,$R$14:$R$1213,"&gt;"&amp;$R847)+(COUNTIFS($A$14:$A$1213,$A847,$R$14:$R$1213,"="&amp;$R847)+1)/2,"")</f>
        <v/>
      </c>
      <c r="AF847" s="27">
        <f>IF(ISNUMBER($S847),COUNTIFS($A$14:$A$1213,$A847,$S$14:$S$1213,"&gt;"&amp;$S847)+(COUNTIFS($A$14:$A$1213,$A847,$S$14:$S$1213,"="&amp;$S847)+1)/2,"")</f>
        <v/>
      </c>
      <c r="AG847" s="27">
        <f>IF(ISNUMBER($T847),COUNTIFS($A$14:$A$1213,$A847,$T$14:$T$1213,"&gt;"&amp;$T847)+(COUNTIFS($A$14:$A$1213,$A847,$T$14:$T$1213,"="&amp;$T847)+1)/2,"")</f>
        <v/>
      </c>
      <c r="AH847" s="27">
        <f>IF(COUNT($AC847:$AG847)&lt;2,"",IF(MAX($AC847:$AG847)=MIN($AC847:$AG847),0,1))</f>
        <v/>
      </c>
      <c r="AI847" s="27">
        <f>IF($A847="","",IF(COUNTIF($A$14:$A847,$A847)=1,COUNTIF($AI$13:AI846,"&gt;0")+1,""))</f>
        <v/>
      </c>
      <c r="AO847" s="27">
        <f>IF($A847="","",IF(AND(COUNTIFS($A$14:$A$1213,$A847,$F$14:$F$1213,"&gt;=0")=2,IFERROR(INDEX($M$14:$M$313,MATCH($A847,$H$14:$H$313,0)),"Yes")&lt;&gt;"Yes"),1,0))</f>
        <v/>
      </c>
    </row>
    <row r="848">
      <c r="A848" s="19" t="n"/>
      <c r="B848" s="20" t="n"/>
      <c r="C848" s="21">
        <f>IFERROR(AVERAGE(P848:T848),"")</f>
        <v/>
      </c>
      <c r="D848" s="29" t="n"/>
      <c r="E848" s="29" t="n"/>
      <c r="F848" s="30">
        <f>IF(AND(ISNUMBER($D848),ISNUMBER($E848),$E848&gt;0,$D848&lt;=$E848),$D848/$E848,"")</f>
        <v/>
      </c>
      <c r="P848" s="26" t="n"/>
      <c r="Q848" s="26" t="n"/>
      <c r="R848" s="26" t="n"/>
      <c r="S848" s="26" t="n"/>
      <c r="T848" s="26" t="n"/>
      <c r="V848" s="27">
        <f>IF(ISNUMBER($C848),COUNTIFS($A$14:$A$1213,$A848,$C$14:$C$1213,"&gt;"&amp;$C848)+(COUNTIFS($A$14:$A$1213,$A848,$C$14:$C$1213,"="&amp;$C848)+1)/2,"")</f>
        <v/>
      </c>
      <c r="W848" s="27">
        <f>IF(ISNUMBER($F848),COUNTIFS($A$14:$A$1213,$A848,$F$14:$F$1213,"&gt;"&amp;$F848)+(COUNTIFS($A$14:$A$1213,$A848,$F$14:$F$1213,"="&amp;$F848)+1)/2,"")</f>
        <v/>
      </c>
      <c r="X848" s="27">
        <f>IF(OR(NOT(ISNUMBER($V848)),$AO848=1),"",$V848-(COUNTIFS($A$14:$A$1213,$A848,$C$14:$C$1213,"&gt;=0")+1)/2)</f>
        <v/>
      </c>
      <c r="Y848" s="27">
        <f>IF(OR(NOT(ISNUMBER($W848)),$AO848=1),"",$W848-(COUNTIFS($A$14:$A$1213,$A848,$F$14:$F$1213,"&gt;=0")+1)/2)</f>
        <v/>
      </c>
      <c r="Z848" s="27">
        <f>IF(ISNUMBER($V848),$A848&amp;"|"&amp;$V848,"")</f>
        <v/>
      </c>
      <c r="AA848" s="27">
        <f>IF(ISNUMBER($W848),$A848&amp;"|"&amp;$W848,"")</f>
        <v/>
      </c>
      <c r="AB848" s="27">
        <f>IF(ISNUMBER($F848),$A848&amp;"|"&amp;$F848,"")</f>
        <v/>
      </c>
      <c r="AC848" s="27">
        <f>IF(ISNUMBER($P848),COUNTIFS($A$14:$A$1213,$A848,$P$14:$P$1213,"&gt;"&amp;$P848)+(COUNTIFS($A$14:$A$1213,$A848,$P$14:$P$1213,"="&amp;$P848)+1)/2,"")</f>
        <v/>
      </c>
      <c r="AD848" s="27">
        <f>IF(ISNUMBER($Q848),COUNTIFS($A$14:$A$1213,$A848,$Q$14:$Q$1213,"&gt;"&amp;$Q848)+(COUNTIFS($A$14:$A$1213,$A848,$Q$14:$Q$1213,"="&amp;$Q848)+1)/2,"")</f>
        <v/>
      </c>
      <c r="AE848" s="27">
        <f>IF(ISNUMBER($R848),COUNTIFS($A$14:$A$1213,$A848,$R$14:$R$1213,"&gt;"&amp;$R848)+(COUNTIFS($A$14:$A$1213,$A848,$R$14:$R$1213,"="&amp;$R848)+1)/2,"")</f>
        <v/>
      </c>
      <c r="AF848" s="27">
        <f>IF(ISNUMBER($S848),COUNTIFS($A$14:$A$1213,$A848,$S$14:$S$1213,"&gt;"&amp;$S848)+(COUNTIFS($A$14:$A$1213,$A848,$S$14:$S$1213,"="&amp;$S848)+1)/2,"")</f>
        <v/>
      </c>
      <c r="AG848" s="27">
        <f>IF(ISNUMBER($T848),COUNTIFS($A$14:$A$1213,$A848,$T$14:$T$1213,"&gt;"&amp;$T848)+(COUNTIFS($A$14:$A$1213,$A848,$T$14:$T$1213,"="&amp;$T848)+1)/2,"")</f>
        <v/>
      </c>
      <c r="AH848" s="27">
        <f>IF(COUNT($AC848:$AG848)&lt;2,"",IF(MAX($AC848:$AG848)=MIN($AC848:$AG848),0,1))</f>
        <v/>
      </c>
      <c r="AI848" s="27">
        <f>IF($A848="","",IF(COUNTIF($A$14:$A848,$A848)=1,COUNTIF($AI$13:AI847,"&gt;0")+1,""))</f>
        <v/>
      </c>
      <c r="AO848" s="27">
        <f>IF($A848="","",IF(AND(COUNTIFS($A$14:$A$1213,$A848,$F$14:$F$1213,"&gt;=0")=2,IFERROR(INDEX($M$14:$M$313,MATCH($A848,$H$14:$H$313,0)),"Yes")&lt;&gt;"Yes"),1,0))</f>
        <v/>
      </c>
    </row>
    <row r="849">
      <c r="A849" s="19" t="n"/>
      <c r="B849" s="20" t="n"/>
      <c r="C849" s="21">
        <f>IFERROR(AVERAGE(P849:T849),"")</f>
        <v/>
      </c>
      <c r="D849" s="29" t="n"/>
      <c r="E849" s="29" t="n"/>
      <c r="F849" s="30">
        <f>IF(AND(ISNUMBER($D849),ISNUMBER($E849),$E849&gt;0,$D849&lt;=$E849),$D849/$E849,"")</f>
        <v/>
      </c>
      <c r="P849" s="26" t="n"/>
      <c r="Q849" s="26" t="n"/>
      <c r="R849" s="26" t="n"/>
      <c r="S849" s="26" t="n"/>
      <c r="T849" s="26" t="n"/>
      <c r="V849" s="27">
        <f>IF(ISNUMBER($C849),COUNTIFS($A$14:$A$1213,$A849,$C$14:$C$1213,"&gt;"&amp;$C849)+(COUNTIFS($A$14:$A$1213,$A849,$C$14:$C$1213,"="&amp;$C849)+1)/2,"")</f>
        <v/>
      </c>
      <c r="W849" s="27">
        <f>IF(ISNUMBER($F849),COUNTIFS($A$14:$A$1213,$A849,$F$14:$F$1213,"&gt;"&amp;$F849)+(COUNTIFS($A$14:$A$1213,$A849,$F$14:$F$1213,"="&amp;$F849)+1)/2,"")</f>
        <v/>
      </c>
      <c r="X849" s="27">
        <f>IF(OR(NOT(ISNUMBER($V849)),$AO849=1),"",$V849-(COUNTIFS($A$14:$A$1213,$A849,$C$14:$C$1213,"&gt;=0")+1)/2)</f>
        <v/>
      </c>
      <c r="Y849" s="27">
        <f>IF(OR(NOT(ISNUMBER($W849)),$AO849=1),"",$W849-(COUNTIFS($A$14:$A$1213,$A849,$F$14:$F$1213,"&gt;=0")+1)/2)</f>
        <v/>
      </c>
      <c r="Z849" s="27">
        <f>IF(ISNUMBER($V849),$A849&amp;"|"&amp;$V849,"")</f>
        <v/>
      </c>
      <c r="AA849" s="27">
        <f>IF(ISNUMBER($W849),$A849&amp;"|"&amp;$W849,"")</f>
        <v/>
      </c>
      <c r="AB849" s="27">
        <f>IF(ISNUMBER($F849),$A849&amp;"|"&amp;$F849,"")</f>
        <v/>
      </c>
      <c r="AC849" s="27">
        <f>IF(ISNUMBER($P849),COUNTIFS($A$14:$A$1213,$A849,$P$14:$P$1213,"&gt;"&amp;$P849)+(COUNTIFS($A$14:$A$1213,$A849,$P$14:$P$1213,"="&amp;$P849)+1)/2,"")</f>
        <v/>
      </c>
      <c r="AD849" s="27">
        <f>IF(ISNUMBER($Q849),COUNTIFS($A$14:$A$1213,$A849,$Q$14:$Q$1213,"&gt;"&amp;$Q849)+(COUNTIFS($A$14:$A$1213,$A849,$Q$14:$Q$1213,"="&amp;$Q849)+1)/2,"")</f>
        <v/>
      </c>
      <c r="AE849" s="27">
        <f>IF(ISNUMBER($R849),COUNTIFS($A$14:$A$1213,$A849,$R$14:$R$1213,"&gt;"&amp;$R849)+(COUNTIFS($A$14:$A$1213,$A849,$R$14:$R$1213,"="&amp;$R849)+1)/2,"")</f>
        <v/>
      </c>
      <c r="AF849" s="27">
        <f>IF(ISNUMBER($S849),COUNTIFS($A$14:$A$1213,$A849,$S$14:$S$1213,"&gt;"&amp;$S849)+(COUNTIFS($A$14:$A$1213,$A849,$S$14:$S$1213,"="&amp;$S849)+1)/2,"")</f>
        <v/>
      </c>
      <c r="AG849" s="27">
        <f>IF(ISNUMBER($T849),COUNTIFS($A$14:$A$1213,$A849,$T$14:$T$1213,"&gt;"&amp;$T849)+(COUNTIFS($A$14:$A$1213,$A849,$T$14:$T$1213,"="&amp;$T849)+1)/2,"")</f>
        <v/>
      </c>
      <c r="AH849" s="27">
        <f>IF(COUNT($AC849:$AG849)&lt;2,"",IF(MAX($AC849:$AG849)=MIN($AC849:$AG849),0,1))</f>
        <v/>
      </c>
      <c r="AI849" s="27">
        <f>IF($A849="","",IF(COUNTIF($A$14:$A849,$A849)=1,COUNTIF($AI$13:AI848,"&gt;0")+1,""))</f>
        <v/>
      </c>
      <c r="AO849" s="27">
        <f>IF($A849="","",IF(AND(COUNTIFS($A$14:$A$1213,$A849,$F$14:$F$1213,"&gt;=0")=2,IFERROR(INDEX($M$14:$M$313,MATCH($A849,$H$14:$H$313,0)),"Yes")&lt;&gt;"Yes"),1,0))</f>
        <v/>
      </c>
    </row>
    <row r="850">
      <c r="A850" s="19" t="n"/>
      <c r="B850" s="20" t="n"/>
      <c r="C850" s="21">
        <f>IFERROR(AVERAGE(P850:T850),"")</f>
        <v/>
      </c>
      <c r="D850" s="29" t="n"/>
      <c r="E850" s="29" t="n"/>
      <c r="F850" s="30">
        <f>IF(AND(ISNUMBER($D850),ISNUMBER($E850),$E850&gt;0,$D850&lt;=$E850),$D850/$E850,"")</f>
        <v/>
      </c>
      <c r="P850" s="26" t="n"/>
      <c r="Q850" s="26" t="n"/>
      <c r="R850" s="26" t="n"/>
      <c r="S850" s="26" t="n"/>
      <c r="T850" s="26" t="n"/>
      <c r="V850" s="27">
        <f>IF(ISNUMBER($C850),COUNTIFS($A$14:$A$1213,$A850,$C$14:$C$1213,"&gt;"&amp;$C850)+(COUNTIFS($A$14:$A$1213,$A850,$C$14:$C$1213,"="&amp;$C850)+1)/2,"")</f>
        <v/>
      </c>
      <c r="W850" s="27">
        <f>IF(ISNUMBER($F850),COUNTIFS($A$14:$A$1213,$A850,$F$14:$F$1213,"&gt;"&amp;$F850)+(COUNTIFS($A$14:$A$1213,$A850,$F$14:$F$1213,"="&amp;$F850)+1)/2,"")</f>
        <v/>
      </c>
      <c r="X850" s="27">
        <f>IF(OR(NOT(ISNUMBER($V850)),$AO850=1),"",$V850-(COUNTIFS($A$14:$A$1213,$A850,$C$14:$C$1213,"&gt;=0")+1)/2)</f>
        <v/>
      </c>
      <c r="Y850" s="27">
        <f>IF(OR(NOT(ISNUMBER($W850)),$AO850=1),"",$W850-(COUNTIFS($A$14:$A$1213,$A850,$F$14:$F$1213,"&gt;=0")+1)/2)</f>
        <v/>
      </c>
      <c r="Z850" s="27">
        <f>IF(ISNUMBER($V850),$A850&amp;"|"&amp;$V850,"")</f>
        <v/>
      </c>
      <c r="AA850" s="27">
        <f>IF(ISNUMBER($W850),$A850&amp;"|"&amp;$W850,"")</f>
        <v/>
      </c>
      <c r="AB850" s="27">
        <f>IF(ISNUMBER($F850),$A850&amp;"|"&amp;$F850,"")</f>
        <v/>
      </c>
      <c r="AC850" s="27">
        <f>IF(ISNUMBER($P850),COUNTIFS($A$14:$A$1213,$A850,$P$14:$P$1213,"&gt;"&amp;$P850)+(COUNTIFS($A$14:$A$1213,$A850,$P$14:$P$1213,"="&amp;$P850)+1)/2,"")</f>
        <v/>
      </c>
      <c r="AD850" s="27">
        <f>IF(ISNUMBER($Q850),COUNTIFS($A$14:$A$1213,$A850,$Q$14:$Q$1213,"&gt;"&amp;$Q850)+(COUNTIFS($A$14:$A$1213,$A850,$Q$14:$Q$1213,"="&amp;$Q850)+1)/2,"")</f>
        <v/>
      </c>
      <c r="AE850" s="27">
        <f>IF(ISNUMBER($R850),COUNTIFS($A$14:$A$1213,$A850,$R$14:$R$1213,"&gt;"&amp;$R850)+(COUNTIFS($A$14:$A$1213,$A850,$R$14:$R$1213,"="&amp;$R850)+1)/2,"")</f>
        <v/>
      </c>
      <c r="AF850" s="27">
        <f>IF(ISNUMBER($S850),COUNTIFS($A$14:$A$1213,$A850,$S$14:$S$1213,"&gt;"&amp;$S850)+(COUNTIFS($A$14:$A$1213,$A850,$S$14:$S$1213,"="&amp;$S850)+1)/2,"")</f>
        <v/>
      </c>
      <c r="AG850" s="27">
        <f>IF(ISNUMBER($T850),COUNTIFS($A$14:$A$1213,$A850,$T$14:$T$1213,"&gt;"&amp;$T850)+(COUNTIFS($A$14:$A$1213,$A850,$T$14:$T$1213,"="&amp;$T850)+1)/2,"")</f>
        <v/>
      </c>
      <c r="AH850" s="27">
        <f>IF(COUNT($AC850:$AG850)&lt;2,"",IF(MAX($AC850:$AG850)=MIN($AC850:$AG850),0,1))</f>
        <v/>
      </c>
      <c r="AI850" s="27">
        <f>IF($A850="","",IF(COUNTIF($A$14:$A850,$A850)=1,COUNTIF($AI$13:AI849,"&gt;0")+1,""))</f>
        <v/>
      </c>
      <c r="AO850" s="27">
        <f>IF($A850="","",IF(AND(COUNTIFS($A$14:$A$1213,$A850,$F$14:$F$1213,"&gt;=0")=2,IFERROR(INDEX($M$14:$M$313,MATCH($A850,$H$14:$H$313,0)),"Yes")&lt;&gt;"Yes"),1,0))</f>
        <v/>
      </c>
    </row>
    <row r="851">
      <c r="A851" s="19" t="n"/>
      <c r="B851" s="20" t="n"/>
      <c r="C851" s="21">
        <f>IFERROR(AVERAGE(P851:T851),"")</f>
        <v/>
      </c>
      <c r="D851" s="29" t="n"/>
      <c r="E851" s="29" t="n"/>
      <c r="F851" s="30">
        <f>IF(AND(ISNUMBER($D851),ISNUMBER($E851),$E851&gt;0,$D851&lt;=$E851),$D851/$E851,"")</f>
        <v/>
      </c>
      <c r="P851" s="26" t="n"/>
      <c r="Q851" s="26" t="n"/>
      <c r="R851" s="26" t="n"/>
      <c r="S851" s="26" t="n"/>
      <c r="T851" s="26" t="n"/>
      <c r="V851" s="27">
        <f>IF(ISNUMBER($C851),COUNTIFS($A$14:$A$1213,$A851,$C$14:$C$1213,"&gt;"&amp;$C851)+(COUNTIFS($A$14:$A$1213,$A851,$C$14:$C$1213,"="&amp;$C851)+1)/2,"")</f>
        <v/>
      </c>
      <c r="W851" s="27">
        <f>IF(ISNUMBER($F851),COUNTIFS($A$14:$A$1213,$A851,$F$14:$F$1213,"&gt;"&amp;$F851)+(COUNTIFS($A$14:$A$1213,$A851,$F$14:$F$1213,"="&amp;$F851)+1)/2,"")</f>
        <v/>
      </c>
      <c r="X851" s="27">
        <f>IF(OR(NOT(ISNUMBER($V851)),$AO851=1),"",$V851-(COUNTIFS($A$14:$A$1213,$A851,$C$14:$C$1213,"&gt;=0")+1)/2)</f>
        <v/>
      </c>
      <c r="Y851" s="27">
        <f>IF(OR(NOT(ISNUMBER($W851)),$AO851=1),"",$W851-(COUNTIFS($A$14:$A$1213,$A851,$F$14:$F$1213,"&gt;=0")+1)/2)</f>
        <v/>
      </c>
      <c r="Z851" s="27">
        <f>IF(ISNUMBER($V851),$A851&amp;"|"&amp;$V851,"")</f>
        <v/>
      </c>
      <c r="AA851" s="27">
        <f>IF(ISNUMBER($W851),$A851&amp;"|"&amp;$W851,"")</f>
        <v/>
      </c>
      <c r="AB851" s="27">
        <f>IF(ISNUMBER($F851),$A851&amp;"|"&amp;$F851,"")</f>
        <v/>
      </c>
      <c r="AC851" s="27">
        <f>IF(ISNUMBER($P851),COUNTIFS($A$14:$A$1213,$A851,$P$14:$P$1213,"&gt;"&amp;$P851)+(COUNTIFS($A$14:$A$1213,$A851,$P$14:$P$1213,"="&amp;$P851)+1)/2,"")</f>
        <v/>
      </c>
      <c r="AD851" s="27">
        <f>IF(ISNUMBER($Q851),COUNTIFS($A$14:$A$1213,$A851,$Q$14:$Q$1213,"&gt;"&amp;$Q851)+(COUNTIFS($A$14:$A$1213,$A851,$Q$14:$Q$1213,"="&amp;$Q851)+1)/2,"")</f>
        <v/>
      </c>
      <c r="AE851" s="27">
        <f>IF(ISNUMBER($R851),COUNTIFS($A$14:$A$1213,$A851,$R$14:$R$1213,"&gt;"&amp;$R851)+(COUNTIFS($A$14:$A$1213,$A851,$R$14:$R$1213,"="&amp;$R851)+1)/2,"")</f>
        <v/>
      </c>
      <c r="AF851" s="27">
        <f>IF(ISNUMBER($S851),COUNTIFS($A$14:$A$1213,$A851,$S$14:$S$1213,"&gt;"&amp;$S851)+(COUNTIFS($A$14:$A$1213,$A851,$S$14:$S$1213,"="&amp;$S851)+1)/2,"")</f>
        <v/>
      </c>
      <c r="AG851" s="27">
        <f>IF(ISNUMBER($T851),COUNTIFS($A$14:$A$1213,$A851,$T$14:$T$1213,"&gt;"&amp;$T851)+(COUNTIFS($A$14:$A$1213,$A851,$T$14:$T$1213,"="&amp;$T851)+1)/2,"")</f>
        <v/>
      </c>
      <c r="AH851" s="27">
        <f>IF(COUNT($AC851:$AG851)&lt;2,"",IF(MAX($AC851:$AG851)=MIN($AC851:$AG851),0,1))</f>
        <v/>
      </c>
      <c r="AI851" s="27">
        <f>IF($A851="","",IF(COUNTIF($A$14:$A851,$A851)=1,COUNTIF($AI$13:AI850,"&gt;0")+1,""))</f>
        <v/>
      </c>
      <c r="AO851" s="27">
        <f>IF($A851="","",IF(AND(COUNTIFS($A$14:$A$1213,$A851,$F$14:$F$1213,"&gt;=0")=2,IFERROR(INDEX($M$14:$M$313,MATCH($A851,$H$14:$H$313,0)),"Yes")&lt;&gt;"Yes"),1,0))</f>
        <v/>
      </c>
    </row>
    <row r="852">
      <c r="A852" s="19" t="n"/>
      <c r="B852" s="20" t="n"/>
      <c r="C852" s="21">
        <f>IFERROR(AVERAGE(P852:T852),"")</f>
        <v/>
      </c>
      <c r="D852" s="29" t="n"/>
      <c r="E852" s="29" t="n"/>
      <c r="F852" s="30">
        <f>IF(AND(ISNUMBER($D852),ISNUMBER($E852),$E852&gt;0,$D852&lt;=$E852),$D852/$E852,"")</f>
        <v/>
      </c>
      <c r="P852" s="26" t="n"/>
      <c r="Q852" s="26" t="n"/>
      <c r="R852" s="26" t="n"/>
      <c r="S852" s="26" t="n"/>
      <c r="T852" s="26" t="n"/>
      <c r="V852" s="27">
        <f>IF(ISNUMBER($C852),COUNTIFS($A$14:$A$1213,$A852,$C$14:$C$1213,"&gt;"&amp;$C852)+(COUNTIFS($A$14:$A$1213,$A852,$C$14:$C$1213,"="&amp;$C852)+1)/2,"")</f>
        <v/>
      </c>
      <c r="W852" s="27">
        <f>IF(ISNUMBER($F852),COUNTIFS($A$14:$A$1213,$A852,$F$14:$F$1213,"&gt;"&amp;$F852)+(COUNTIFS($A$14:$A$1213,$A852,$F$14:$F$1213,"="&amp;$F852)+1)/2,"")</f>
        <v/>
      </c>
      <c r="X852" s="27">
        <f>IF(OR(NOT(ISNUMBER($V852)),$AO852=1),"",$V852-(COUNTIFS($A$14:$A$1213,$A852,$C$14:$C$1213,"&gt;=0")+1)/2)</f>
        <v/>
      </c>
      <c r="Y852" s="27">
        <f>IF(OR(NOT(ISNUMBER($W852)),$AO852=1),"",$W852-(COUNTIFS($A$14:$A$1213,$A852,$F$14:$F$1213,"&gt;=0")+1)/2)</f>
        <v/>
      </c>
      <c r="Z852" s="27">
        <f>IF(ISNUMBER($V852),$A852&amp;"|"&amp;$V852,"")</f>
        <v/>
      </c>
      <c r="AA852" s="27">
        <f>IF(ISNUMBER($W852),$A852&amp;"|"&amp;$W852,"")</f>
        <v/>
      </c>
      <c r="AB852" s="27">
        <f>IF(ISNUMBER($F852),$A852&amp;"|"&amp;$F852,"")</f>
        <v/>
      </c>
      <c r="AC852" s="27">
        <f>IF(ISNUMBER($P852),COUNTIFS($A$14:$A$1213,$A852,$P$14:$P$1213,"&gt;"&amp;$P852)+(COUNTIFS($A$14:$A$1213,$A852,$P$14:$P$1213,"="&amp;$P852)+1)/2,"")</f>
        <v/>
      </c>
      <c r="AD852" s="27">
        <f>IF(ISNUMBER($Q852),COUNTIFS($A$14:$A$1213,$A852,$Q$14:$Q$1213,"&gt;"&amp;$Q852)+(COUNTIFS($A$14:$A$1213,$A852,$Q$14:$Q$1213,"="&amp;$Q852)+1)/2,"")</f>
        <v/>
      </c>
      <c r="AE852" s="27">
        <f>IF(ISNUMBER($R852),COUNTIFS($A$14:$A$1213,$A852,$R$14:$R$1213,"&gt;"&amp;$R852)+(COUNTIFS($A$14:$A$1213,$A852,$R$14:$R$1213,"="&amp;$R852)+1)/2,"")</f>
        <v/>
      </c>
      <c r="AF852" s="27">
        <f>IF(ISNUMBER($S852),COUNTIFS($A$14:$A$1213,$A852,$S$14:$S$1213,"&gt;"&amp;$S852)+(COUNTIFS($A$14:$A$1213,$A852,$S$14:$S$1213,"="&amp;$S852)+1)/2,"")</f>
        <v/>
      </c>
      <c r="AG852" s="27">
        <f>IF(ISNUMBER($T852),COUNTIFS($A$14:$A$1213,$A852,$T$14:$T$1213,"&gt;"&amp;$T852)+(COUNTIFS($A$14:$A$1213,$A852,$T$14:$T$1213,"="&amp;$T852)+1)/2,"")</f>
        <v/>
      </c>
      <c r="AH852" s="27">
        <f>IF(COUNT($AC852:$AG852)&lt;2,"",IF(MAX($AC852:$AG852)=MIN($AC852:$AG852),0,1))</f>
        <v/>
      </c>
      <c r="AI852" s="27">
        <f>IF($A852="","",IF(COUNTIF($A$14:$A852,$A852)=1,COUNTIF($AI$13:AI851,"&gt;0")+1,""))</f>
        <v/>
      </c>
      <c r="AO852" s="27">
        <f>IF($A852="","",IF(AND(COUNTIFS($A$14:$A$1213,$A852,$F$14:$F$1213,"&gt;=0")=2,IFERROR(INDEX($M$14:$M$313,MATCH($A852,$H$14:$H$313,0)),"Yes")&lt;&gt;"Yes"),1,0))</f>
        <v/>
      </c>
    </row>
    <row r="853">
      <c r="A853" s="19" t="n"/>
      <c r="B853" s="20" t="n"/>
      <c r="C853" s="21">
        <f>IFERROR(AVERAGE(P853:T853),"")</f>
        <v/>
      </c>
      <c r="D853" s="29" t="n"/>
      <c r="E853" s="29" t="n"/>
      <c r="F853" s="30">
        <f>IF(AND(ISNUMBER($D853),ISNUMBER($E853),$E853&gt;0,$D853&lt;=$E853),$D853/$E853,"")</f>
        <v/>
      </c>
      <c r="P853" s="26" t="n"/>
      <c r="Q853" s="26" t="n"/>
      <c r="R853" s="26" t="n"/>
      <c r="S853" s="26" t="n"/>
      <c r="T853" s="26" t="n"/>
      <c r="V853" s="27">
        <f>IF(ISNUMBER($C853),COUNTIFS($A$14:$A$1213,$A853,$C$14:$C$1213,"&gt;"&amp;$C853)+(COUNTIFS($A$14:$A$1213,$A853,$C$14:$C$1213,"="&amp;$C853)+1)/2,"")</f>
        <v/>
      </c>
      <c r="W853" s="27">
        <f>IF(ISNUMBER($F853),COUNTIFS($A$14:$A$1213,$A853,$F$14:$F$1213,"&gt;"&amp;$F853)+(COUNTIFS($A$14:$A$1213,$A853,$F$14:$F$1213,"="&amp;$F853)+1)/2,"")</f>
        <v/>
      </c>
      <c r="X853" s="27">
        <f>IF(OR(NOT(ISNUMBER($V853)),$AO853=1),"",$V853-(COUNTIFS($A$14:$A$1213,$A853,$C$14:$C$1213,"&gt;=0")+1)/2)</f>
        <v/>
      </c>
      <c r="Y853" s="27">
        <f>IF(OR(NOT(ISNUMBER($W853)),$AO853=1),"",$W853-(COUNTIFS($A$14:$A$1213,$A853,$F$14:$F$1213,"&gt;=0")+1)/2)</f>
        <v/>
      </c>
      <c r="Z853" s="27">
        <f>IF(ISNUMBER($V853),$A853&amp;"|"&amp;$V853,"")</f>
        <v/>
      </c>
      <c r="AA853" s="27">
        <f>IF(ISNUMBER($W853),$A853&amp;"|"&amp;$W853,"")</f>
        <v/>
      </c>
      <c r="AB853" s="27">
        <f>IF(ISNUMBER($F853),$A853&amp;"|"&amp;$F853,"")</f>
        <v/>
      </c>
      <c r="AC853" s="27">
        <f>IF(ISNUMBER($P853),COUNTIFS($A$14:$A$1213,$A853,$P$14:$P$1213,"&gt;"&amp;$P853)+(COUNTIFS($A$14:$A$1213,$A853,$P$14:$P$1213,"="&amp;$P853)+1)/2,"")</f>
        <v/>
      </c>
      <c r="AD853" s="27">
        <f>IF(ISNUMBER($Q853),COUNTIFS($A$14:$A$1213,$A853,$Q$14:$Q$1213,"&gt;"&amp;$Q853)+(COUNTIFS($A$14:$A$1213,$A853,$Q$14:$Q$1213,"="&amp;$Q853)+1)/2,"")</f>
        <v/>
      </c>
      <c r="AE853" s="27">
        <f>IF(ISNUMBER($R853),COUNTIFS($A$14:$A$1213,$A853,$R$14:$R$1213,"&gt;"&amp;$R853)+(COUNTIFS($A$14:$A$1213,$A853,$R$14:$R$1213,"="&amp;$R853)+1)/2,"")</f>
        <v/>
      </c>
      <c r="AF853" s="27">
        <f>IF(ISNUMBER($S853),COUNTIFS($A$14:$A$1213,$A853,$S$14:$S$1213,"&gt;"&amp;$S853)+(COUNTIFS($A$14:$A$1213,$A853,$S$14:$S$1213,"="&amp;$S853)+1)/2,"")</f>
        <v/>
      </c>
      <c r="AG853" s="27">
        <f>IF(ISNUMBER($T853),COUNTIFS($A$14:$A$1213,$A853,$T$14:$T$1213,"&gt;"&amp;$T853)+(COUNTIFS($A$14:$A$1213,$A853,$T$14:$T$1213,"="&amp;$T853)+1)/2,"")</f>
        <v/>
      </c>
      <c r="AH853" s="27">
        <f>IF(COUNT($AC853:$AG853)&lt;2,"",IF(MAX($AC853:$AG853)=MIN($AC853:$AG853),0,1))</f>
        <v/>
      </c>
      <c r="AI853" s="27">
        <f>IF($A853="","",IF(COUNTIF($A$14:$A853,$A853)=1,COUNTIF($AI$13:AI852,"&gt;0")+1,""))</f>
        <v/>
      </c>
      <c r="AO853" s="27">
        <f>IF($A853="","",IF(AND(COUNTIFS($A$14:$A$1213,$A853,$F$14:$F$1213,"&gt;=0")=2,IFERROR(INDEX($M$14:$M$313,MATCH($A853,$H$14:$H$313,0)),"Yes")&lt;&gt;"Yes"),1,0))</f>
        <v/>
      </c>
    </row>
    <row r="854">
      <c r="A854" s="19" t="n"/>
      <c r="B854" s="20" t="n"/>
      <c r="C854" s="21">
        <f>IFERROR(AVERAGE(P854:T854),"")</f>
        <v/>
      </c>
      <c r="D854" s="29" t="n"/>
      <c r="E854" s="29" t="n"/>
      <c r="F854" s="30">
        <f>IF(AND(ISNUMBER($D854),ISNUMBER($E854),$E854&gt;0,$D854&lt;=$E854),$D854/$E854,"")</f>
        <v/>
      </c>
      <c r="P854" s="26" t="n"/>
      <c r="Q854" s="26" t="n"/>
      <c r="R854" s="26" t="n"/>
      <c r="S854" s="26" t="n"/>
      <c r="T854" s="26" t="n"/>
      <c r="V854" s="27">
        <f>IF(ISNUMBER($C854),COUNTIFS($A$14:$A$1213,$A854,$C$14:$C$1213,"&gt;"&amp;$C854)+(COUNTIFS($A$14:$A$1213,$A854,$C$14:$C$1213,"="&amp;$C854)+1)/2,"")</f>
        <v/>
      </c>
      <c r="W854" s="27">
        <f>IF(ISNUMBER($F854),COUNTIFS($A$14:$A$1213,$A854,$F$14:$F$1213,"&gt;"&amp;$F854)+(COUNTIFS($A$14:$A$1213,$A854,$F$14:$F$1213,"="&amp;$F854)+1)/2,"")</f>
        <v/>
      </c>
      <c r="X854" s="27">
        <f>IF(OR(NOT(ISNUMBER($V854)),$AO854=1),"",$V854-(COUNTIFS($A$14:$A$1213,$A854,$C$14:$C$1213,"&gt;=0")+1)/2)</f>
        <v/>
      </c>
      <c r="Y854" s="27">
        <f>IF(OR(NOT(ISNUMBER($W854)),$AO854=1),"",$W854-(COUNTIFS($A$14:$A$1213,$A854,$F$14:$F$1213,"&gt;=0")+1)/2)</f>
        <v/>
      </c>
      <c r="Z854" s="27">
        <f>IF(ISNUMBER($V854),$A854&amp;"|"&amp;$V854,"")</f>
        <v/>
      </c>
      <c r="AA854" s="27">
        <f>IF(ISNUMBER($W854),$A854&amp;"|"&amp;$W854,"")</f>
        <v/>
      </c>
      <c r="AB854" s="27">
        <f>IF(ISNUMBER($F854),$A854&amp;"|"&amp;$F854,"")</f>
        <v/>
      </c>
      <c r="AC854" s="27">
        <f>IF(ISNUMBER($P854),COUNTIFS($A$14:$A$1213,$A854,$P$14:$P$1213,"&gt;"&amp;$P854)+(COUNTIFS($A$14:$A$1213,$A854,$P$14:$P$1213,"="&amp;$P854)+1)/2,"")</f>
        <v/>
      </c>
      <c r="AD854" s="27">
        <f>IF(ISNUMBER($Q854),COUNTIFS($A$14:$A$1213,$A854,$Q$14:$Q$1213,"&gt;"&amp;$Q854)+(COUNTIFS($A$14:$A$1213,$A854,$Q$14:$Q$1213,"="&amp;$Q854)+1)/2,"")</f>
        <v/>
      </c>
      <c r="AE854" s="27">
        <f>IF(ISNUMBER($R854),COUNTIFS($A$14:$A$1213,$A854,$R$14:$R$1213,"&gt;"&amp;$R854)+(COUNTIFS($A$14:$A$1213,$A854,$R$14:$R$1213,"="&amp;$R854)+1)/2,"")</f>
        <v/>
      </c>
      <c r="AF854" s="27">
        <f>IF(ISNUMBER($S854),COUNTIFS($A$14:$A$1213,$A854,$S$14:$S$1213,"&gt;"&amp;$S854)+(COUNTIFS($A$14:$A$1213,$A854,$S$14:$S$1213,"="&amp;$S854)+1)/2,"")</f>
        <v/>
      </c>
      <c r="AG854" s="27">
        <f>IF(ISNUMBER($T854),COUNTIFS($A$14:$A$1213,$A854,$T$14:$T$1213,"&gt;"&amp;$T854)+(COUNTIFS($A$14:$A$1213,$A854,$T$14:$T$1213,"="&amp;$T854)+1)/2,"")</f>
        <v/>
      </c>
      <c r="AH854" s="27">
        <f>IF(COUNT($AC854:$AG854)&lt;2,"",IF(MAX($AC854:$AG854)=MIN($AC854:$AG854),0,1))</f>
        <v/>
      </c>
      <c r="AI854" s="27">
        <f>IF($A854="","",IF(COUNTIF($A$14:$A854,$A854)=1,COUNTIF($AI$13:AI853,"&gt;0")+1,""))</f>
        <v/>
      </c>
      <c r="AO854" s="27">
        <f>IF($A854="","",IF(AND(COUNTIFS($A$14:$A$1213,$A854,$F$14:$F$1213,"&gt;=0")=2,IFERROR(INDEX($M$14:$M$313,MATCH($A854,$H$14:$H$313,0)),"Yes")&lt;&gt;"Yes"),1,0))</f>
        <v/>
      </c>
    </row>
    <row r="855">
      <c r="A855" s="19" t="n"/>
      <c r="B855" s="20" t="n"/>
      <c r="C855" s="21">
        <f>IFERROR(AVERAGE(P855:T855),"")</f>
        <v/>
      </c>
      <c r="D855" s="29" t="n"/>
      <c r="E855" s="29" t="n"/>
      <c r="F855" s="30">
        <f>IF(AND(ISNUMBER($D855),ISNUMBER($E855),$E855&gt;0,$D855&lt;=$E855),$D855/$E855,"")</f>
        <v/>
      </c>
      <c r="P855" s="26" t="n"/>
      <c r="Q855" s="26" t="n"/>
      <c r="R855" s="26" t="n"/>
      <c r="S855" s="26" t="n"/>
      <c r="T855" s="26" t="n"/>
      <c r="V855" s="27">
        <f>IF(ISNUMBER($C855),COUNTIFS($A$14:$A$1213,$A855,$C$14:$C$1213,"&gt;"&amp;$C855)+(COUNTIFS($A$14:$A$1213,$A855,$C$14:$C$1213,"="&amp;$C855)+1)/2,"")</f>
        <v/>
      </c>
      <c r="W855" s="27">
        <f>IF(ISNUMBER($F855),COUNTIFS($A$14:$A$1213,$A855,$F$14:$F$1213,"&gt;"&amp;$F855)+(COUNTIFS($A$14:$A$1213,$A855,$F$14:$F$1213,"="&amp;$F855)+1)/2,"")</f>
        <v/>
      </c>
      <c r="X855" s="27">
        <f>IF(OR(NOT(ISNUMBER($V855)),$AO855=1),"",$V855-(COUNTIFS($A$14:$A$1213,$A855,$C$14:$C$1213,"&gt;=0")+1)/2)</f>
        <v/>
      </c>
      <c r="Y855" s="27">
        <f>IF(OR(NOT(ISNUMBER($W855)),$AO855=1),"",$W855-(COUNTIFS($A$14:$A$1213,$A855,$F$14:$F$1213,"&gt;=0")+1)/2)</f>
        <v/>
      </c>
      <c r="Z855" s="27">
        <f>IF(ISNUMBER($V855),$A855&amp;"|"&amp;$V855,"")</f>
        <v/>
      </c>
      <c r="AA855" s="27">
        <f>IF(ISNUMBER($W855),$A855&amp;"|"&amp;$W855,"")</f>
        <v/>
      </c>
      <c r="AB855" s="27">
        <f>IF(ISNUMBER($F855),$A855&amp;"|"&amp;$F855,"")</f>
        <v/>
      </c>
      <c r="AC855" s="27">
        <f>IF(ISNUMBER($P855),COUNTIFS($A$14:$A$1213,$A855,$P$14:$P$1213,"&gt;"&amp;$P855)+(COUNTIFS($A$14:$A$1213,$A855,$P$14:$P$1213,"="&amp;$P855)+1)/2,"")</f>
        <v/>
      </c>
      <c r="AD855" s="27">
        <f>IF(ISNUMBER($Q855),COUNTIFS($A$14:$A$1213,$A855,$Q$14:$Q$1213,"&gt;"&amp;$Q855)+(COUNTIFS($A$14:$A$1213,$A855,$Q$14:$Q$1213,"="&amp;$Q855)+1)/2,"")</f>
        <v/>
      </c>
      <c r="AE855" s="27">
        <f>IF(ISNUMBER($R855),COUNTIFS($A$14:$A$1213,$A855,$R$14:$R$1213,"&gt;"&amp;$R855)+(COUNTIFS($A$14:$A$1213,$A855,$R$14:$R$1213,"="&amp;$R855)+1)/2,"")</f>
        <v/>
      </c>
      <c r="AF855" s="27">
        <f>IF(ISNUMBER($S855),COUNTIFS($A$14:$A$1213,$A855,$S$14:$S$1213,"&gt;"&amp;$S855)+(COUNTIFS($A$14:$A$1213,$A855,$S$14:$S$1213,"="&amp;$S855)+1)/2,"")</f>
        <v/>
      </c>
      <c r="AG855" s="27">
        <f>IF(ISNUMBER($T855),COUNTIFS($A$14:$A$1213,$A855,$T$14:$T$1213,"&gt;"&amp;$T855)+(COUNTIFS($A$14:$A$1213,$A855,$T$14:$T$1213,"="&amp;$T855)+1)/2,"")</f>
        <v/>
      </c>
      <c r="AH855" s="27">
        <f>IF(COUNT($AC855:$AG855)&lt;2,"",IF(MAX($AC855:$AG855)=MIN($AC855:$AG855),0,1))</f>
        <v/>
      </c>
      <c r="AI855" s="27">
        <f>IF($A855="","",IF(COUNTIF($A$14:$A855,$A855)=1,COUNTIF($AI$13:AI854,"&gt;0")+1,""))</f>
        <v/>
      </c>
      <c r="AO855" s="27">
        <f>IF($A855="","",IF(AND(COUNTIFS($A$14:$A$1213,$A855,$F$14:$F$1213,"&gt;=0")=2,IFERROR(INDEX($M$14:$M$313,MATCH($A855,$H$14:$H$313,0)),"Yes")&lt;&gt;"Yes"),1,0))</f>
        <v/>
      </c>
    </row>
    <row r="856">
      <c r="A856" s="19" t="n"/>
      <c r="B856" s="20" t="n"/>
      <c r="C856" s="21">
        <f>IFERROR(AVERAGE(P856:T856),"")</f>
        <v/>
      </c>
      <c r="D856" s="29" t="n"/>
      <c r="E856" s="29" t="n"/>
      <c r="F856" s="30">
        <f>IF(AND(ISNUMBER($D856),ISNUMBER($E856),$E856&gt;0,$D856&lt;=$E856),$D856/$E856,"")</f>
        <v/>
      </c>
      <c r="P856" s="26" t="n"/>
      <c r="Q856" s="26" t="n"/>
      <c r="R856" s="26" t="n"/>
      <c r="S856" s="26" t="n"/>
      <c r="T856" s="26" t="n"/>
      <c r="V856" s="27">
        <f>IF(ISNUMBER($C856),COUNTIFS($A$14:$A$1213,$A856,$C$14:$C$1213,"&gt;"&amp;$C856)+(COUNTIFS($A$14:$A$1213,$A856,$C$14:$C$1213,"="&amp;$C856)+1)/2,"")</f>
        <v/>
      </c>
      <c r="W856" s="27">
        <f>IF(ISNUMBER($F856),COUNTIFS($A$14:$A$1213,$A856,$F$14:$F$1213,"&gt;"&amp;$F856)+(COUNTIFS($A$14:$A$1213,$A856,$F$14:$F$1213,"="&amp;$F856)+1)/2,"")</f>
        <v/>
      </c>
      <c r="X856" s="27">
        <f>IF(OR(NOT(ISNUMBER($V856)),$AO856=1),"",$V856-(COUNTIFS($A$14:$A$1213,$A856,$C$14:$C$1213,"&gt;=0")+1)/2)</f>
        <v/>
      </c>
      <c r="Y856" s="27">
        <f>IF(OR(NOT(ISNUMBER($W856)),$AO856=1),"",$W856-(COUNTIFS($A$14:$A$1213,$A856,$F$14:$F$1213,"&gt;=0")+1)/2)</f>
        <v/>
      </c>
      <c r="Z856" s="27">
        <f>IF(ISNUMBER($V856),$A856&amp;"|"&amp;$V856,"")</f>
        <v/>
      </c>
      <c r="AA856" s="27">
        <f>IF(ISNUMBER($W856),$A856&amp;"|"&amp;$W856,"")</f>
        <v/>
      </c>
      <c r="AB856" s="27">
        <f>IF(ISNUMBER($F856),$A856&amp;"|"&amp;$F856,"")</f>
        <v/>
      </c>
      <c r="AC856" s="27">
        <f>IF(ISNUMBER($P856),COUNTIFS($A$14:$A$1213,$A856,$P$14:$P$1213,"&gt;"&amp;$P856)+(COUNTIFS($A$14:$A$1213,$A856,$P$14:$P$1213,"="&amp;$P856)+1)/2,"")</f>
        <v/>
      </c>
      <c r="AD856" s="27">
        <f>IF(ISNUMBER($Q856),COUNTIFS($A$14:$A$1213,$A856,$Q$14:$Q$1213,"&gt;"&amp;$Q856)+(COUNTIFS($A$14:$A$1213,$A856,$Q$14:$Q$1213,"="&amp;$Q856)+1)/2,"")</f>
        <v/>
      </c>
      <c r="AE856" s="27">
        <f>IF(ISNUMBER($R856),COUNTIFS($A$14:$A$1213,$A856,$R$14:$R$1213,"&gt;"&amp;$R856)+(COUNTIFS($A$14:$A$1213,$A856,$R$14:$R$1213,"="&amp;$R856)+1)/2,"")</f>
        <v/>
      </c>
      <c r="AF856" s="27">
        <f>IF(ISNUMBER($S856),COUNTIFS($A$14:$A$1213,$A856,$S$14:$S$1213,"&gt;"&amp;$S856)+(COUNTIFS($A$14:$A$1213,$A856,$S$14:$S$1213,"="&amp;$S856)+1)/2,"")</f>
        <v/>
      </c>
      <c r="AG856" s="27">
        <f>IF(ISNUMBER($T856),COUNTIFS($A$14:$A$1213,$A856,$T$14:$T$1213,"&gt;"&amp;$T856)+(COUNTIFS($A$14:$A$1213,$A856,$T$14:$T$1213,"="&amp;$T856)+1)/2,"")</f>
        <v/>
      </c>
      <c r="AH856" s="27">
        <f>IF(COUNT($AC856:$AG856)&lt;2,"",IF(MAX($AC856:$AG856)=MIN($AC856:$AG856),0,1))</f>
        <v/>
      </c>
      <c r="AI856" s="27">
        <f>IF($A856="","",IF(COUNTIF($A$14:$A856,$A856)=1,COUNTIF($AI$13:AI855,"&gt;0")+1,""))</f>
        <v/>
      </c>
      <c r="AO856" s="27">
        <f>IF($A856="","",IF(AND(COUNTIFS($A$14:$A$1213,$A856,$F$14:$F$1213,"&gt;=0")=2,IFERROR(INDEX($M$14:$M$313,MATCH($A856,$H$14:$H$313,0)),"Yes")&lt;&gt;"Yes"),1,0))</f>
        <v/>
      </c>
    </row>
    <row r="857">
      <c r="A857" s="19" t="n"/>
      <c r="B857" s="20" t="n"/>
      <c r="C857" s="21">
        <f>IFERROR(AVERAGE(P857:T857),"")</f>
        <v/>
      </c>
      <c r="D857" s="29" t="n"/>
      <c r="E857" s="29" t="n"/>
      <c r="F857" s="30">
        <f>IF(AND(ISNUMBER($D857),ISNUMBER($E857),$E857&gt;0,$D857&lt;=$E857),$D857/$E857,"")</f>
        <v/>
      </c>
      <c r="P857" s="26" t="n"/>
      <c r="Q857" s="26" t="n"/>
      <c r="R857" s="26" t="n"/>
      <c r="S857" s="26" t="n"/>
      <c r="T857" s="26" t="n"/>
      <c r="V857" s="27">
        <f>IF(ISNUMBER($C857),COUNTIFS($A$14:$A$1213,$A857,$C$14:$C$1213,"&gt;"&amp;$C857)+(COUNTIFS($A$14:$A$1213,$A857,$C$14:$C$1213,"="&amp;$C857)+1)/2,"")</f>
        <v/>
      </c>
      <c r="W857" s="27">
        <f>IF(ISNUMBER($F857),COUNTIFS($A$14:$A$1213,$A857,$F$14:$F$1213,"&gt;"&amp;$F857)+(COUNTIFS($A$14:$A$1213,$A857,$F$14:$F$1213,"="&amp;$F857)+1)/2,"")</f>
        <v/>
      </c>
      <c r="X857" s="27">
        <f>IF(OR(NOT(ISNUMBER($V857)),$AO857=1),"",$V857-(COUNTIFS($A$14:$A$1213,$A857,$C$14:$C$1213,"&gt;=0")+1)/2)</f>
        <v/>
      </c>
      <c r="Y857" s="27">
        <f>IF(OR(NOT(ISNUMBER($W857)),$AO857=1),"",$W857-(COUNTIFS($A$14:$A$1213,$A857,$F$14:$F$1213,"&gt;=0")+1)/2)</f>
        <v/>
      </c>
      <c r="Z857" s="27">
        <f>IF(ISNUMBER($V857),$A857&amp;"|"&amp;$V857,"")</f>
        <v/>
      </c>
      <c r="AA857" s="27">
        <f>IF(ISNUMBER($W857),$A857&amp;"|"&amp;$W857,"")</f>
        <v/>
      </c>
      <c r="AB857" s="27">
        <f>IF(ISNUMBER($F857),$A857&amp;"|"&amp;$F857,"")</f>
        <v/>
      </c>
      <c r="AC857" s="27">
        <f>IF(ISNUMBER($P857),COUNTIFS($A$14:$A$1213,$A857,$P$14:$P$1213,"&gt;"&amp;$P857)+(COUNTIFS($A$14:$A$1213,$A857,$P$14:$P$1213,"="&amp;$P857)+1)/2,"")</f>
        <v/>
      </c>
      <c r="AD857" s="27">
        <f>IF(ISNUMBER($Q857),COUNTIFS($A$14:$A$1213,$A857,$Q$14:$Q$1213,"&gt;"&amp;$Q857)+(COUNTIFS($A$14:$A$1213,$A857,$Q$14:$Q$1213,"="&amp;$Q857)+1)/2,"")</f>
        <v/>
      </c>
      <c r="AE857" s="27">
        <f>IF(ISNUMBER($R857),COUNTIFS($A$14:$A$1213,$A857,$R$14:$R$1213,"&gt;"&amp;$R857)+(COUNTIFS($A$14:$A$1213,$A857,$R$14:$R$1213,"="&amp;$R857)+1)/2,"")</f>
        <v/>
      </c>
      <c r="AF857" s="27">
        <f>IF(ISNUMBER($S857),COUNTIFS($A$14:$A$1213,$A857,$S$14:$S$1213,"&gt;"&amp;$S857)+(COUNTIFS($A$14:$A$1213,$A857,$S$14:$S$1213,"="&amp;$S857)+1)/2,"")</f>
        <v/>
      </c>
      <c r="AG857" s="27">
        <f>IF(ISNUMBER($T857),COUNTIFS($A$14:$A$1213,$A857,$T$14:$T$1213,"&gt;"&amp;$T857)+(COUNTIFS($A$14:$A$1213,$A857,$T$14:$T$1213,"="&amp;$T857)+1)/2,"")</f>
        <v/>
      </c>
      <c r="AH857" s="27">
        <f>IF(COUNT($AC857:$AG857)&lt;2,"",IF(MAX($AC857:$AG857)=MIN($AC857:$AG857),0,1))</f>
        <v/>
      </c>
      <c r="AI857" s="27">
        <f>IF($A857="","",IF(COUNTIF($A$14:$A857,$A857)=1,COUNTIF($AI$13:AI856,"&gt;0")+1,""))</f>
        <v/>
      </c>
      <c r="AO857" s="27">
        <f>IF($A857="","",IF(AND(COUNTIFS($A$14:$A$1213,$A857,$F$14:$F$1213,"&gt;=0")=2,IFERROR(INDEX($M$14:$M$313,MATCH($A857,$H$14:$H$313,0)),"Yes")&lt;&gt;"Yes"),1,0))</f>
        <v/>
      </c>
    </row>
    <row r="858">
      <c r="A858" s="19" t="n"/>
      <c r="B858" s="20" t="n"/>
      <c r="C858" s="21">
        <f>IFERROR(AVERAGE(P858:T858),"")</f>
        <v/>
      </c>
      <c r="D858" s="29" t="n"/>
      <c r="E858" s="29" t="n"/>
      <c r="F858" s="30">
        <f>IF(AND(ISNUMBER($D858),ISNUMBER($E858),$E858&gt;0,$D858&lt;=$E858),$D858/$E858,"")</f>
        <v/>
      </c>
      <c r="P858" s="26" t="n"/>
      <c r="Q858" s="26" t="n"/>
      <c r="R858" s="26" t="n"/>
      <c r="S858" s="26" t="n"/>
      <c r="T858" s="26" t="n"/>
      <c r="V858" s="27">
        <f>IF(ISNUMBER($C858),COUNTIFS($A$14:$A$1213,$A858,$C$14:$C$1213,"&gt;"&amp;$C858)+(COUNTIFS($A$14:$A$1213,$A858,$C$14:$C$1213,"="&amp;$C858)+1)/2,"")</f>
        <v/>
      </c>
      <c r="W858" s="27">
        <f>IF(ISNUMBER($F858),COUNTIFS($A$14:$A$1213,$A858,$F$14:$F$1213,"&gt;"&amp;$F858)+(COUNTIFS($A$14:$A$1213,$A858,$F$14:$F$1213,"="&amp;$F858)+1)/2,"")</f>
        <v/>
      </c>
      <c r="X858" s="27">
        <f>IF(OR(NOT(ISNUMBER($V858)),$AO858=1),"",$V858-(COUNTIFS($A$14:$A$1213,$A858,$C$14:$C$1213,"&gt;=0")+1)/2)</f>
        <v/>
      </c>
      <c r="Y858" s="27">
        <f>IF(OR(NOT(ISNUMBER($W858)),$AO858=1),"",$W858-(COUNTIFS($A$14:$A$1213,$A858,$F$14:$F$1213,"&gt;=0")+1)/2)</f>
        <v/>
      </c>
      <c r="Z858" s="27">
        <f>IF(ISNUMBER($V858),$A858&amp;"|"&amp;$V858,"")</f>
        <v/>
      </c>
      <c r="AA858" s="27">
        <f>IF(ISNUMBER($W858),$A858&amp;"|"&amp;$W858,"")</f>
        <v/>
      </c>
      <c r="AB858" s="27">
        <f>IF(ISNUMBER($F858),$A858&amp;"|"&amp;$F858,"")</f>
        <v/>
      </c>
      <c r="AC858" s="27">
        <f>IF(ISNUMBER($P858),COUNTIFS($A$14:$A$1213,$A858,$P$14:$P$1213,"&gt;"&amp;$P858)+(COUNTIFS($A$14:$A$1213,$A858,$P$14:$P$1213,"="&amp;$P858)+1)/2,"")</f>
        <v/>
      </c>
      <c r="AD858" s="27">
        <f>IF(ISNUMBER($Q858),COUNTIFS($A$14:$A$1213,$A858,$Q$14:$Q$1213,"&gt;"&amp;$Q858)+(COUNTIFS($A$14:$A$1213,$A858,$Q$14:$Q$1213,"="&amp;$Q858)+1)/2,"")</f>
        <v/>
      </c>
      <c r="AE858" s="27">
        <f>IF(ISNUMBER($R858),COUNTIFS($A$14:$A$1213,$A858,$R$14:$R$1213,"&gt;"&amp;$R858)+(COUNTIFS($A$14:$A$1213,$A858,$R$14:$R$1213,"="&amp;$R858)+1)/2,"")</f>
        <v/>
      </c>
      <c r="AF858" s="27">
        <f>IF(ISNUMBER($S858),COUNTIFS($A$14:$A$1213,$A858,$S$14:$S$1213,"&gt;"&amp;$S858)+(COUNTIFS($A$14:$A$1213,$A858,$S$14:$S$1213,"="&amp;$S858)+1)/2,"")</f>
        <v/>
      </c>
      <c r="AG858" s="27">
        <f>IF(ISNUMBER($T858),COUNTIFS($A$14:$A$1213,$A858,$T$14:$T$1213,"&gt;"&amp;$T858)+(COUNTIFS($A$14:$A$1213,$A858,$T$14:$T$1213,"="&amp;$T858)+1)/2,"")</f>
        <v/>
      </c>
      <c r="AH858" s="27">
        <f>IF(COUNT($AC858:$AG858)&lt;2,"",IF(MAX($AC858:$AG858)=MIN($AC858:$AG858),0,1))</f>
        <v/>
      </c>
      <c r="AI858" s="27">
        <f>IF($A858="","",IF(COUNTIF($A$14:$A858,$A858)=1,COUNTIF($AI$13:AI857,"&gt;0")+1,""))</f>
        <v/>
      </c>
      <c r="AO858" s="27">
        <f>IF($A858="","",IF(AND(COUNTIFS($A$14:$A$1213,$A858,$F$14:$F$1213,"&gt;=0")=2,IFERROR(INDEX($M$14:$M$313,MATCH($A858,$H$14:$H$313,0)),"Yes")&lt;&gt;"Yes"),1,0))</f>
        <v/>
      </c>
    </row>
    <row r="859">
      <c r="A859" s="19" t="n"/>
      <c r="B859" s="20" t="n"/>
      <c r="C859" s="21">
        <f>IFERROR(AVERAGE(P859:T859),"")</f>
        <v/>
      </c>
      <c r="D859" s="29" t="n"/>
      <c r="E859" s="29" t="n"/>
      <c r="F859" s="30">
        <f>IF(AND(ISNUMBER($D859),ISNUMBER($E859),$E859&gt;0,$D859&lt;=$E859),$D859/$E859,"")</f>
        <v/>
      </c>
      <c r="P859" s="26" t="n"/>
      <c r="Q859" s="26" t="n"/>
      <c r="R859" s="26" t="n"/>
      <c r="S859" s="26" t="n"/>
      <c r="T859" s="26" t="n"/>
      <c r="V859" s="27">
        <f>IF(ISNUMBER($C859),COUNTIFS($A$14:$A$1213,$A859,$C$14:$C$1213,"&gt;"&amp;$C859)+(COUNTIFS($A$14:$A$1213,$A859,$C$14:$C$1213,"="&amp;$C859)+1)/2,"")</f>
        <v/>
      </c>
      <c r="W859" s="27">
        <f>IF(ISNUMBER($F859),COUNTIFS($A$14:$A$1213,$A859,$F$14:$F$1213,"&gt;"&amp;$F859)+(COUNTIFS($A$14:$A$1213,$A859,$F$14:$F$1213,"="&amp;$F859)+1)/2,"")</f>
        <v/>
      </c>
      <c r="X859" s="27">
        <f>IF(OR(NOT(ISNUMBER($V859)),$AO859=1),"",$V859-(COUNTIFS($A$14:$A$1213,$A859,$C$14:$C$1213,"&gt;=0")+1)/2)</f>
        <v/>
      </c>
      <c r="Y859" s="27">
        <f>IF(OR(NOT(ISNUMBER($W859)),$AO859=1),"",$W859-(COUNTIFS($A$14:$A$1213,$A859,$F$14:$F$1213,"&gt;=0")+1)/2)</f>
        <v/>
      </c>
      <c r="Z859" s="27">
        <f>IF(ISNUMBER($V859),$A859&amp;"|"&amp;$V859,"")</f>
        <v/>
      </c>
      <c r="AA859" s="27">
        <f>IF(ISNUMBER($W859),$A859&amp;"|"&amp;$W859,"")</f>
        <v/>
      </c>
      <c r="AB859" s="27">
        <f>IF(ISNUMBER($F859),$A859&amp;"|"&amp;$F859,"")</f>
        <v/>
      </c>
      <c r="AC859" s="27">
        <f>IF(ISNUMBER($P859),COUNTIFS($A$14:$A$1213,$A859,$P$14:$P$1213,"&gt;"&amp;$P859)+(COUNTIFS($A$14:$A$1213,$A859,$P$14:$P$1213,"="&amp;$P859)+1)/2,"")</f>
        <v/>
      </c>
      <c r="AD859" s="27">
        <f>IF(ISNUMBER($Q859),COUNTIFS($A$14:$A$1213,$A859,$Q$14:$Q$1213,"&gt;"&amp;$Q859)+(COUNTIFS($A$14:$A$1213,$A859,$Q$14:$Q$1213,"="&amp;$Q859)+1)/2,"")</f>
        <v/>
      </c>
      <c r="AE859" s="27">
        <f>IF(ISNUMBER($R859),COUNTIFS($A$14:$A$1213,$A859,$R$14:$R$1213,"&gt;"&amp;$R859)+(COUNTIFS($A$14:$A$1213,$A859,$R$14:$R$1213,"="&amp;$R859)+1)/2,"")</f>
        <v/>
      </c>
      <c r="AF859" s="27">
        <f>IF(ISNUMBER($S859),COUNTIFS($A$14:$A$1213,$A859,$S$14:$S$1213,"&gt;"&amp;$S859)+(COUNTIFS($A$14:$A$1213,$A859,$S$14:$S$1213,"="&amp;$S859)+1)/2,"")</f>
        <v/>
      </c>
      <c r="AG859" s="27">
        <f>IF(ISNUMBER($T859),COUNTIFS($A$14:$A$1213,$A859,$T$14:$T$1213,"&gt;"&amp;$T859)+(COUNTIFS($A$14:$A$1213,$A859,$T$14:$T$1213,"="&amp;$T859)+1)/2,"")</f>
        <v/>
      </c>
      <c r="AH859" s="27">
        <f>IF(COUNT($AC859:$AG859)&lt;2,"",IF(MAX($AC859:$AG859)=MIN($AC859:$AG859),0,1))</f>
        <v/>
      </c>
      <c r="AI859" s="27">
        <f>IF($A859="","",IF(COUNTIF($A$14:$A859,$A859)=1,COUNTIF($AI$13:AI858,"&gt;0")+1,""))</f>
        <v/>
      </c>
      <c r="AO859" s="27">
        <f>IF($A859="","",IF(AND(COUNTIFS($A$14:$A$1213,$A859,$F$14:$F$1213,"&gt;=0")=2,IFERROR(INDEX($M$14:$M$313,MATCH($A859,$H$14:$H$313,0)),"Yes")&lt;&gt;"Yes"),1,0))</f>
        <v/>
      </c>
    </row>
    <row r="860">
      <c r="A860" s="19" t="n"/>
      <c r="B860" s="20" t="n"/>
      <c r="C860" s="21">
        <f>IFERROR(AVERAGE(P860:T860),"")</f>
        <v/>
      </c>
      <c r="D860" s="29" t="n"/>
      <c r="E860" s="29" t="n"/>
      <c r="F860" s="30">
        <f>IF(AND(ISNUMBER($D860),ISNUMBER($E860),$E860&gt;0,$D860&lt;=$E860),$D860/$E860,"")</f>
        <v/>
      </c>
      <c r="P860" s="26" t="n"/>
      <c r="Q860" s="26" t="n"/>
      <c r="R860" s="26" t="n"/>
      <c r="S860" s="26" t="n"/>
      <c r="T860" s="26" t="n"/>
      <c r="V860" s="27">
        <f>IF(ISNUMBER($C860),COUNTIFS($A$14:$A$1213,$A860,$C$14:$C$1213,"&gt;"&amp;$C860)+(COUNTIFS($A$14:$A$1213,$A860,$C$14:$C$1213,"="&amp;$C860)+1)/2,"")</f>
        <v/>
      </c>
      <c r="W860" s="27">
        <f>IF(ISNUMBER($F860),COUNTIFS($A$14:$A$1213,$A860,$F$14:$F$1213,"&gt;"&amp;$F860)+(COUNTIFS($A$14:$A$1213,$A860,$F$14:$F$1213,"="&amp;$F860)+1)/2,"")</f>
        <v/>
      </c>
      <c r="X860" s="27">
        <f>IF(OR(NOT(ISNUMBER($V860)),$AO860=1),"",$V860-(COUNTIFS($A$14:$A$1213,$A860,$C$14:$C$1213,"&gt;=0")+1)/2)</f>
        <v/>
      </c>
      <c r="Y860" s="27">
        <f>IF(OR(NOT(ISNUMBER($W860)),$AO860=1),"",$W860-(COUNTIFS($A$14:$A$1213,$A860,$F$14:$F$1213,"&gt;=0")+1)/2)</f>
        <v/>
      </c>
      <c r="Z860" s="27">
        <f>IF(ISNUMBER($V860),$A860&amp;"|"&amp;$V860,"")</f>
        <v/>
      </c>
      <c r="AA860" s="27">
        <f>IF(ISNUMBER($W860),$A860&amp;"|"&amp;$W860,"")</f>
        <v/>
      </c>
      <c r="AB860" s="27">
        <f>IF(ISNUMBER($F860),$A860&amp;"|"&amp;$F860,"")</f>
        <v/>
      </c>
      <c r="AC860" s="27">
        <f>IF(ISNUMBER($P860),COUNTIFS($A$14:$A$1213,$A860,$P$14:$P$1213,"&gt;"&amp;$P860)+(COUNTIFS($A$14:$A$1213,$A860,$P$14:$P$1213,"="&amp;$P860)+1)/2,"")</f>
        <v/>
      </c>
      <c r="AD860" s="27">
        <f>IF(ISNUMBER($Q860),COUNTIFS($A$14:$A$1213,$A860,$Q$14:$Q$1213,"&gt;"&amp;$Q860)+(COUNTIFS($A$14:$A$1213,$A860,$Q$14:$Q$1213,"="&amp;$Q860)+1)/2,"")</f>
        <v/>
      </c>
      <c r="AE860" s="27">
        <f>IF(ISNUMBER($R860),COUNTIFS($A$14:$A$1213,$A860,$R$14:$R$1213,"&gt;"&amp;$R860)+(COUNTIFS($A$14:$A$1213,$A860,$R$14:$R$1213,"="&amp;$R860)+1)/2,"")</f>
        <v/>
      </c>
      <c r="AF860" s="27">
        <f>IF(ISNUMBER($S860),COUNTIFS($A$14:$A$1213,$A860,$S$14:$S$1213,"&gt;"&amp;$S860)+(COUNTIFS($A$14:$A$1213,$A860,$S$14:$S$1213,"="&amp;$S860)+1)/2,"")</f>
        <v/>
      </c>
      <c r="AG860" s="27">
        <f>IF(ISNUMBER($T860),COUNTIFS($A$14:$A$1213,$A860,$T$14:$T$1213,"&gt;"&amp;$T860)+(COUNTIFS($A$14:$A$1213,$A860,$T$14:$T$1213,"="&amp;$T860)+1)/2,"")</f>
        <v/>
      </c>
      <c r="AH860" s="27">
        <f>IF(COUNT($AC860:$AG860)&lt;2,"",IF(MAX($AC860:$AG860)=MIN($AC860:$AG860),0,1))</f>
        <v/>
      </c>
      <c r="AI860" s="27">
        <f>IF($A860="","",IF(COUNTIF($A$14:$A860,$A860)=1,COUNTIF($AI$13:AI859,"&gt;0")+1,""))</f>
        <v/>
      </c>
      <c r="AO860" s="27">
        <f>IF($A860="","",IF(AND(COUNTIFS($A$14:$A$1213,$A860,$F$14:$F$1213,"&gt;=0")=2,IFERROR(INDEX($M$14:$M$313,MATCH($A860,$H$14:$H$313,0)),"Yes")&lt;&gt;"Yes"),1,0))</f>
        <v/>
      </c>
    </row>
    <row r="861">
      <c r="A861" s="19" t="n"/>
      <c r="B861" s="20" t="n"/>
      <c r="C861" s="21">
        <f>IFERROR(AVERAGE(P861:T861),"")</f>
        <v/>
      </c>
      <c r="D861" s="29" t="n"/>
      <c r="E861" s="29" t="n"/>
      <c r="F861" s="30">
        <f>IF(AND(ISNUMBER($D861),ISNUMBER($E861),$E861&gt;0,$D861&lt;=$E861),$D861/$E861,"")</f>
        <v/>
      </c>
      <c r="P861" s="26" t="n"/>
      <c r="Q861" s="26" t="n"/>
      <c r="R861" s="26" t="n"/>
      <c r="S861" s="26" t="n"/>
      <c r="T861" s="26" t="n"/>
      <c r="V861" s="27">
        <f>IF(ISNUMBER($C861),COUNTIFS($A$14:$A$1213,$A861,$C$14:$C$1213,"&gt;"&amp;$C861)+(COUNTIFS($A$14:$A$1213,$A861,$C$14:$C$1213,"="&amp;$C861)+1)/2,"")</f>
        <v/>
      </c>
      <c r="W861" s="27">
        <f>IF(ISNUMBER($F861),COUNTIFS($A$14:$A$1213,$A861,$F$14:$F$1213,"&gt;"&amp;$F861)+(COUNTIFS($A$14:$A$1213,$A861,$F$14:$F$1213,"="&amp;$F861)+1)/2,"")</f>
        <v/>
      </c>
      <c r="X861" s="27">
        <f>IF(OR(NOT(ISNUMBER($V861)),$AO861=1),"",$V861-(COUNTIFS($A$14:$A$1213,$A861,$C$14:$C$1213,"&gt;=0")+1)/2)</f>
        <v/>
      </c>
      <c r="Y861" s="27">
        <f>IF(OR(NOT(ISNUMBER($W861)),$AO861=1),"",$W861-(COUNTIFS($A$14:$A$1213,$A861,$F$14:$F$1213,"&gt;=0")+1)/2)</f>
        <v/>
      </c>
      <c r="Z861" s="27">
        <f>IF(ISNUMBER($V861),$A861&amp;"|"&amp;$V861,"")</f>
        <v/>
      </c>
      <c r="AA861" s="27">
        <f>IF(ISNUMBER($W861),$A861&amp;"|"&amp;$W861,"")</f>
        <v/>
      </c>
      <c r="AB861" s="27">
        <f>IF(ISNUMBER($F861),$A861&amp;"|"&amp;$F861,"")</f>
        <v/>
      </c>
      <c r="AC861" s="27">
        <f>IF(ISNUMBER($P861),COUNTIFS($A$14:$A$1213,$A861,$P$14:$P$1213,"&gt;"&amp;$P861)+(COUNTIFS($A$14:$A$1213,$A861,$P$14:$P$1213,"="&amp;$P861)+1)/2,"")</f>
        <v/>
      </c>
      <c r="AD861" s="27">
        <f>IF(ISNUMBER($Q861),COUNTIFS($A$14:$A$1213,$A861,$Q$14:$Q$1213,"&gt;"&amp;$Q861)+(COUNTIFS($A$14:$A$1213,$A861,$Q$14:$Q$1213,"="&amp;$Q861)+1)/2,"")</f>
        <v/>
      </c>
      <c r="AE861" s="27">
        <f>IF(ISNUMBER($R861),COUNTIFS($A$14:$A$1213,$A861,$R$14:$R$1213,"&gt;"&amp;$R861)+(COUNTIFS($A$14:$A$1213,$A861,$R$14:$R$1213,"="&amp;$R861)+1)/2,"")</f>
        <v/>
      </c>
      <c r="AF861" s="27">
        <f>IF(ISNUMBER($S861),COUNTIFS($A$14:$A$1213,$A861,$S$14:$S$1213,"&gt;"&amp;$S861)+(COUNTIFS($A$14:$A$1213,$A861,$S$14:$S$1213,"="&amp;$S861)+1)/2,"")</f>
        <v/>
      </c>
      <c r="AG861" s="27">
        <f>IF(ISNUMBER($T861),COUNTIFS($A$14:$A$1213,$A861,$T$14:$T$1213,"&gt;"&amp;$T861)+(COUNTIFS($A$14:$A$1213,$A861,$T$14:$T$1213,"="&amp;$T861)+1)/2,"")</f>
        <v/>
      </c>
      <c r="AH861" s="27">
        <f>IF(COUNT($AC861:$AG861)&lt;2,"",IF(MAX($AC861:$AG861)=MIN($AC861:$AG861),0,1))</f>
        <v/>
      </c>
      <c r="AI861" s="27">
        <f>IF($A861="","",IF(COUNTIF($A$14:$A861,$A861)=1,COUNTIF($AI$13:AI860,"&gt;0")+1,""))</f>
        <v/>
      </c>
      <c r="AO861" s="27">
        <f>IF($A861="","",IF(AND(COUNTIFS($A$14:$A$1213,$A861,$F$14:$F$1213,"&gt;=0")=2,IFERROR(INDEX($M$14:$M$313,MATCH($A861,$H$14:$H$313,0)),"Yes")&lt;&gt;"Yes"),1,0))</f>
        <v/>
      </c>
    </row>
    <row r="862">
      <c r="A862" s="19" t="n"/>
      <c r="B862" s="20" t="n"/>
      <c r="C862" s="21">
        <f>IFERROR(AVERAGE(P862:T862),"")</f>
        <v/>
      </c>
      <c r="D862" s="29" t="n"/>
      <c r="E862" s="29" t="n"/>
      <c r="F862" s="30">
        <f>IF(AND(ISNUMBER($D862),ISNUMBER($E862),$E862&gt;0,$D862&lt;=$E862),$D862/$E862,"")</f>
        <v/>
      </c>
      <c r="P862" s="26" t="n"/>
      <c r="Q862" s="26" t="n"/>
      <c r="R862" s="26" t="n"/>
      <c r="S862" s="26" t="n"/>
      <c r="T862" s="26" t="n"/>
      <c r="V862" s="27">
        <f>IF(ISNUMBER($C862),COUNTIFS($A$14:$A$1213,$A862,$C$14:$C$1213,"&gt;"&amp;$C862)+(COUNTIFS($A$14:$A$1213,$A862,$C$14:$C$1213,"="&amp;$C862)+1)/2,"")</f>
        <v/>
      </c>
      <c r="W862" s="27">
        <f>IF(ISNUMBER($F862),COUNTIFS($A$14:$A$1213,$A862,$F$14:$F$1213,"&gt;"&amp;$F862)+(COUNTIFS($A$14:$A$1213,$A862,$F$14:$F$1213,"="&amp;$F862)+1)/2,"")</f>
        <v/>
      </c>
      <c r="X862" s="27">
        <f>IF(OR(NOT(ISNUMBER($V862)),$AO862=1),"",$V862-(COUNTIFS($A$14:$A$1213,$A862,$C$14:$C$1213,"&gt;=0")+1)/2)</f>
        <v/>
      </c>
      <c r="Y862" s="27">
        <f>IF(OR(NOT(ISNUMBER($W862)),$AO862=1),"",$W862-(COUNTIFS($A$14:$A$1213,$A862,$F$14:$F$1213,"&gt;=0")+1)/2)</f>
        <v/>
      </c>
      <c r="Z862" s="27">
        <f>IF(ISNUMBER($V862),$A862&amp;"|"&amp;$V862,"")</f>
        <v/>
      </c>
      <c r="AA862" s="27">
        <f>IF(ISNUMBER($W862),$A862&amp;"|"&amp;$W862,"")</f>
        <v/>
      </c>
      <c r="AB862" s="27">
        <f>IF(ISNUMBER($F862),$A862&amp;"|"&amp;$F862,"")</f>
        <v/>
      </c>
      <c r="AC862" s="27">
        <f>IF(ISNUMBER($P862),COUNTIFS($A$14:$A$1213,$A862,$P$14:$P$1213,"&gt;"&amp;$P862)+(COUNTIFS($A$14:$A$1213,$A862,$P$14:$P$1213,"="&amp;$P862)+1)/2,"")</f>
        <v/>
      </c>
      <c r="AD862" s="27">
        <f>IF(ISNUMBER($Q862),COUNTIFS($A$14:$A$1213,$A862,$Q$14:$Q$1213,"&gt;"&amp;$Q862)+(COUNTIFS($A$14:$A$1213,$A862,$Q$14:$Q$1213,"="&amp;$Q862)+1)/2,"")</f>
        <v/>
      </c>
      <c r="AE862" s="27">
        <f>IF(ISNUMBER($R862),COUNTIFS($A$14:$A$1213,$A862,$R$14:$R$1213,"&gt;"&amp;$R862)+(COUNTIFS($A$14:$A$1213,$A862,$R$14:$R$1213,"="&amp;$R862)+1)/2,"")</f>
        <v/>
      </c>
      <c r="AF862" s="27">
        <f>IF(ISNUMBER($S862),COUNTIFS($A$14:$A$1213,$A862,$S$14:$S$1213,"&gt;"&amp;$S862)+(COUNTIFS($A$14:$A$1213,$A862,$S$14:$S$1213,"="&amp;$S862)+1)/2,"")</f>
        <v/>
      </c>
      <c r="AG862" s="27">
        <f>IF(ISNUMBER($T862),COUNTIFS($A$14:$A$1213,$A862,$T$14:$T$1213,"&gt;"&amp;$T862)+(COUNTIFS($A$14:$A$1213,$A862,$T$14:$T$1213,"="&amp;$T862)+1)/2,"")</f>
        <v/>
      </c>
      <c r="AH862" s="27">
        <f>IF(COUNT($AC862:$AG862)&lt;2,"",IF(MAX($AC862:$AG862)=MIN($AC862:$AG862),0,1))</f>
        <v/>
      </c>
      <c r="AI862" s="27">
        <f>IF($A862="","",IF(COUNTIF($A$14:$A862,$A862)=1,COUNTIF($AI$13:AI861,"&gt;0")+1,""))</f>
        <v/>
      </c>
      <c r="AO862" s="27">
        <f>IF($A862="","",IF(AND(COUNTIFS($A$14:$A$1213,$A862,$F$14:$F$1213,"&gt;=0")=2,IFERROR(INDEX($M$14:$M$313,MATCH($A862,$H$14:$H$313,0)),"Yes")&lt;&gt;"Yes"),1,0))</f>
        <v/>
      </c>
    </row>
    <row r="863">
      <c r="A863" s="19" t="n"/>
      <c r="B863" s="20" t="n"/>
      <c r="C863" s="21">
        <f>IFERROR(AVERAGE(P863:T863),"")</f>
        <v/>
      </c>
      <c r="D863" s="29" t="n"/>
      <c r="E863" s="29" t="n"/>
      <c r="F863" s="30">
        <f>IF(AND(ISNUMBER($D863),ISNUMBER($E863),$E863&gt;0,$D863&lt;=$E863),$D863/$E863,"")</f>
        <v/>
      </c>
      <c r="P863" s="26" t="n"/>
      <c r="Q863" s="26" t="n"/>
      <c r="R863" s="26" t="n"/>
      <c r="S863" s="26" t="n"/>
      <c r="T863" s="26" t="n"/>
      <c r="V863" s="27">
        <f>IF(ISNUMBER($C863),COUNTIFS($A$14:$A$1213,$A863,$C$14:$C$1213,"&gt;"&amp;$C863)+(COUNTIFS($A$14:$A$1213,$A863,$C$14:$C$1213,"="&amp;$C863)+1)/2,"")</f>
        <v/>
      </c>
      <c r="W863" s="27">
        <f>IF(ISNUMBER($F863),COUNTIFS($A$14:$A$1213,$A863,$F$14:$F$1213,"&gt;"&amp;$F863)+(COUNTIFS($A$14:$A$1213,$A863,$F$14:$F$1213,"="&amp;$F863)+1)/2,"")</f>
        <v/>
      </c>
      <c r="X863" s="27">
        <f>IF(OR(NOT(ISNUMBER($V863)),$AO863=1),"",$V863-(COUNTIFS($A$14:$A$1213,$A863,$C$14:$C$1213,"&gt;=0")+1)/2)</f>
        <v/>
      </c>
      <c r="Y863" s="27">
        <f>IF(OR(NOT(ISNUMBER($W863)),$AO863=1),"",$W863-(COUNTIFS($A$14:$A$1213,$A863,$F$14:$F$1213,"&gt;=0")+1)/2)</f>
        <v/>
      </c>
      <c r="Z863" s="27">
        <f>IF(ISNUMBER($V863),$A863&amp;"|"&amp;$V863,"")</f>
        <v/>
      </c>
      <c r="AA863" s="27">
        <f>IF(ISNUMBER($W863),$A863&amp;"|"&amp;$W863,"")</f>
        <v/>
      </c>
      <c r="AB863" s="27">
        <f>IF(ISNUMBER($F863),$A863&amp;"|"&amp;$F863,"")</f>
        <v/>
      </c>
      <c r="AC863" s="27">
        <f>IF(ISNUMBER($P863),COUNTIFS($A$14:$A$1213,$A863,$P$14:$P$1213,"&gt;"&amp;$P863)+(COUNTIFS($A$14:$A$1213,$A863,$P$14:$P$1213,"="&amp;$P863)+1)/2,"")</f>
        <v/>
      </c>
      <c r="AD863" s="27">
        <f>IF(ISNUMBER($Q863),COUNTIFS($A$14:$A$1213,$A863,$Q$14:$Q$1213,"&gt;"&amp;$Q863)+(COUNTIFS($A$14:$A$1213,$A863,$Q$14:$Q$1213,"="&amp;$Q863)+1)/2,"")</f>
        <v/>
      </c>
      <c r="AE863" s="27">
        <f>IF(ISNUMBER($R863),COUNTIFS($A$14:$A$1213,$A863,$R$14:$R$1213,"&gt;"&amp;$R863)+(COUNTIFS($A$14:$A$1213,$A863,$R$14:$R$1213,"="&amp;$R863)+1)/2,"")</f>
        <v/>
      </c>
      <c r="AF863" s="27">
        <f>IF(ISNUMBER($S863),COUNTIFS($A$14:$A$1213,$A863,$S$14:$S$1213,"&gt;"&amp;$S863)+(COUNTIFS($A$14:$A$1213,$A863,$S$14:$S$1213,"="&amp;$S863)+1)/2,"")</f>
        <v/>
      </c>
      <c r="AG863" s="27">
        <f>IF(ISNUMBER($T863),COUNTIFS($A$14:$A$1213,$A863,$T$14:$T$1213,"&gt;"&amp;$T863)+(COUNTIFS($A$14:$A$1213,$A863,$T$14:$T$1213,"="&amp;$T863)+1)/2,"")</f>
        <v/>
      </c>
      <c r="AH863" s="27">
        <f>IF(COUNT($AC863:$AG863)&lt;2,"",IF(MAX($AC863:$AG863)=MIN($AC863:$AG863),0,1))</f>
        <v/>
      </c>
      <c r="AI863" s="27">
        <f>IF($A863="","",IF(COUNTIF($A$14:$A863,$A863)=1,COUNTIF($AI$13:AI862,"&gt;0")+1,""))</f>
        <v/>
      </c>
      <c r="AO863" s="27">
        <f>IF($A863="","",IF(AND(COUNTIFS($A$14:$A$1213,$A863,$F$14:$F$1213,"&gt;=0")=2,IFERROR(INDEX($M$14:$M$313,MATCH($A863,$H$14:$H$313,0)),"Yes")&lt;&gt;"Yes"),1,0))</f>
        <v/>
      </c>
    </row>
    <row r="864">
      <c r="A864" s="19" t="n"/>
      <c r="B864" s="20" t="n"/>
      <c r="C864" s="21">
        <f>IFERROR(AVERAGE(P864:T864),"")</f>
        <v/>
      </c>
      <c r="D864" s="29" t="n"/>
      <c r="E864" s="29" t="n"/>
      <c r="F864" s="30">
        <f>IF(AND(ISNUMBER($D864),ISNUMBER($E864),$E864&gt;0,$D864&lt;=$E864),$D864/$E864,"")</f>
        <v/>
      </c>
      <c r="P864" s="26" t="n"/>
      <c r="Q864" s="26" t="n"/>
      <c r="R864" s="26" t="n"/>
      <c r="S864" s="26" t="n"/>
      <c r="T864" s="26" t="n"/>
      <c r="V864" s="27">
        <f>IF(ISNUMBER($C864),COUNTIFS($A$14:$A$1213,$A864,$C$14:$C$1213,"&gt;"&amp;$C864)+(COUNTIFS($A$14:$A$1213,$A864,$C$14:$C$1213,"="&amp;$C864)+1)/2,"")</f>
        <v/>
      </c>
      <c r="W864" s="27">
        <f>IF(ISNUMBER($F864),COUNTIFS($A$14:$A$1213,$A864,$F$14:$F$1213,"&gt;"&amp;$F864)+(COUNTIFS($A$14:$A$1213,$A864,$F$14:$F$1213,"="&amp;$F864)+1)/2,"")</f>
        <v/>
      </c>
      <c r="X864" s="27">
        <f>IF(OR(NOT(ISNUMBER($V864)),$AO864=1),"",$V864-(COUNTIFS($A$14:$A$1213,$A864,$C$14:$C$1213,"&gt;=0")+1)/2)</f>
        <v/>
      </c>
      <c r="Y864" s="27">
        <f>IF(OR(NOT(ISNUMBER($W864)),$AO864=1),"",$W864-(COUNTIFS($A$14:$A$1213,$A864,$F$14:$F$1213,"&gt;=0")+1)/2)</f>
        <v/>
      </c>
      <c r="Z864" s="27">
        <f>IF(ISNUMBER($V864),$A864&amp;"|"&amp;$V864,"")</f>
        <v/>
      </c>
      <c r="AA864" s="27">
        <f>IF(ISNUMBER($W864),$A864&amp;"|"&amp;$W864,"")</f>
        <v/>
      </c>
      <c r="AB864" s="27">
        <f>IF(ISNUMBER($F864),$A864&amp;"|"&amp;$F864,"")</f>
        <v/>
      </c>
      <c r="AC864" s="27">
        <f>IF(ISNUMBER($P864),COUNTIFS($A$14:$A$1213,$A864,$P$14:$P$1213,"&gt;"&amp;$P864)+(COUNTIFS($A$14:$A$1213,$A864,$P$14:$P$1213,"="&amp;$P864)+1)/2,"")</f>
        <v/>
      </c>
      <c r="AD864" s="27">
        <f>IF(ISNUMBER($Q864),COUNTIFS($A$14:$A$1213,$A864,$Q$14:$Q$1213,"&gt;"&amp;$Q864)+(COUNTIFS($A$14:$A$1213,$A864,$Q$14:$Q$1213,"="&amp;$Q864)+1)/2,"")</f>
        <v/>
      </c>
      <c r="AE864" s="27">
        <f>IF(ISNUMBER($R864),COUNTIFS($A$14:$A$1213,$A864,$R$14:$R$1213,"&gt;"&amp;$R864)+(COUNTIFS($A$14:$A$1213,$A864,$R$14:$R$1213,"="&amp;$R864)+1)/2,"")</f>
        <v/>
      </c>
      <c r="AF864" s="27">
        <f>IF(ISNUMBER($S864),COUNTIFS($A$14:$A$1213,$A864,$S$14:$S$1213,"&gt;"&amp;$S864)+(COUNTIFS($A$14:$A$1213,$A864,$S$14:$S$1213,"="&amp;$S864)+1)/2,"")</f>
        <v/>
      </c>
      <c r="AG864" s="27">
        <f>IF(ISNUMBER($T864),COUNTIFS($A$14:$A$1213,$A864,$T$14:$T$1213,"&gt;"&amp;$T864)+(COUNTIFS($A$14:$A$1213,$A864,$T$14:$T$1213,"="&amp;$T864)+1)/2,"")</f>
        <v/>
      </c>
      <c r="AH864" s="27">
        <f>IF(COUNT($AC864:$AG864)&lt;2,"",IF(MAX($AC864:$AG864)=MIN($AC864:$AG864),0,1))</f>
        <v/>
      </c>
      <c r="AI864" s="27">
        <f>IF($A864="","",IF(COUNTIF($A$14:$A864,$A864)=1,COUNTIF($AI$13:AI863,"&gt;0")+1,""))</f>
        <v/>
      </c>
      <c r="AO864" s="27">
        <f>IF($A864="","",IF(AND(COUNTIFS($A$14:$A$1213,$A864,$F$14:$F$1213,"&gt;=0")=2,IFERROR(INDEX($M$14:$M$313,MATCH($A864,$H$14:$H$313,0)),"Yes")&lt;&gt;"Yes"),1,0))</f>
        <v/>
      </c>
    </row>
    <row r="865">
      <c r="A865" s="19" t="n"/>
      <c r="B865" s="20" t="n"/>
      <c r="C865" s="21">
        <f>IFERROR(AVERAGE(P865:T865),"")</f>
        <v/>
      </c>
      <c r="D865" s="29" t="n"/>
      <c r="E865" s="29" t="n"/>
      <c r="F865" s="30">
        <f>IF(AND(ISNUMBER($D865),ISNUMBER($E865),$E865&gt;0,$D865&lt;=$E865),$D865/$E865,"")</f>
        <v/>
      </c>
      <c r="P865" s="26" t="n"/>
      <c r="Q865" s="26" t="n"/>
      <c r="R865" s="26" t="n"/>
      <c r="S865" s="26" t="n"/>
      <c r="T865" s="26" t="n"/>
      <c r="V865" s="27">
        <f>IF(ISNUMBER($C865),COUNTIFS($A$14:$A$1213,$A865,$C$14:$C$1213,"&gt;"&amp;$C865)+(COUNTIFS($A$14:$A$1213,$A865,$C$14:$C$1213,"="&amp;$C865)+1)/2,"")</f>
        <v/>
      </c>
      <c r="W865" s="27">
        <f>IF(ISNUMBER($F865),COUNTIFS($A$14:$A$1213,$A865,$F$14:$F$1213,"&gt;"&amp;$F865)+(COUNTIFS($A$14:$A$1213,$A865,$F$14:$F$1213,"="&amp;$F865)+1)/2,"")</f>
        <v/>
      </c>
      <c r="X865" s="27">
        <f>IF(OR(NOT(ISNUMBER($V865)),$AO865=1),"",$V865-(COUNTIFS($A$14:$A$1213,$A865,$C$14:$C$1213,"&gt;=0")+1)/2)</f>
        <v/>
      </c>
      <c r="Y865" s="27">
        <f>IF(OR(NOT(ISNUMBER($W865)),$AO865=1),"",$W865-(COUNTIFS($A$14:$A$1213,$A865,$F$14:$F$1213,"&gt;=0")+1)/2)</f>
        <v/>
      </c>
      <c r="Z865" s="27">
        <f>IF(ISNUMBER($V865),$A865&amp;"|"&amp;$V865,"")</f>
        <v/>
      </c>
      <c r="AA865" s="27">
        <f>IF(ISNUMBER($W865),$A865&amp;"|"&amp;$W865,"")</f>
        <v/>
      </c>
      <c r="AB865" s="27">
        <f>IF(ISNUMBER($F865),$A865&amp;"|"&amp;$F865,"")</f>
        <v/>
      </c>
      <c r="AC865" s="27">
        <f>IF(ISNUMBER($P865),COUNTIFS($A$14:$A$1213,$A865,$P$14:$P$1213,"&gt;"&amp;$P865)+(COUNTIFS($A$14:$A$1213,$A865,$P$14:$P$1213,"="&amp;$P865)+1)/2,"")</f>
        <v/>
      </c>
      <c r="AD865" s="27">
        <f>IF(ISNUMBER($Q865),COUNTIFS($A$14:$A$1213,$A865,$Q$14:$Q$1213,"&gt;"&amp;$Q865)+(COUNTIFS($A$14:$A$1213,$A865,$Q$14:$Q$1213,"="&amp;$Q865)+1)/2,"")</f>
        <v/>
      </c>
      <c r="AE865" s="27">
        <f>IF(ISNUMBER($R865),COUNTIFS($A$14:$A$1213,$A865,$R$14:$R$1213,"&gt;"&amp;$R865)+(COUNTIFS($A$14:$A$1213,$A865,$R$14:$R$1213,"="&amp;$R865)+1)/2,"")</f>
        <v/>
      </c>
      <c r="AF865" s="27">
        <f>IF(ISNUMBER($S865),COUNTIFS($A$14:$A$1213,$A865,$S$14:$S$1213,"&gt;"&amp;$S865)+(COUNTIFS($A$14:$A$1213,$A865,$S$14:$S$1213,"="&amp;$S865)+1)/2,"")</f>
        <v/>
      </c>
      <c r="AG865" s="27">
        <f>IF(ISNUMBER($T865),COUNTIFS($A$14:$A$1213,$A865,$T$14:$T$1213,"&gt;"&amp;$T865)+(COUNTIFS($A$14:$A$1213,$A865,$T$14:$T$1213,"="&amp;$T865)+1)/2,"")</f>
        <v/>
      </c>
      <c r="AH865" s="27">
        <f>IF(COUNT($AC865:$AG865)&lt;2,"",IF(MAX($AC865:$AG865)=MIN($AC865:$AG865),0,1))</f>
        <v/>
      </c>
      <c r="AI865" s="27">
        <f>IF($A865="","",IF(COUNTIF($A$14:$A865,$A865)=1,COUNTIF($AI$13:AI864,"&gt;0")+1,""))</f>
        <v/>
      </c>
      <c r="AO865" s="27">
        <f>IF($A865="","",IF(AND(COUNTIFS($A$14:$A$1213,$A865,$F$14:$F$1213,"&gt;=0")=2,IFERROR(INDEX($M$14:$M$313,MATCH($A865,$H$14:$H$313,0)),"Yes")&lt;&gt;"Yes"),1,0))</f>
        <v/>
      </c>
    </row>
    <row r="866">
      <c r="A866" s="19" t="n"/>
      <c r="B866" s="20" t="n"/>
      <c r="C866" s="21">
        <f>IFERROR(AVERAGE(P866:T866),"")</f>
        <v/>
      </c>
      <c r="D866" s="29" t="n"/>
      <c r="E866" s="29" t="n"/>
      <c r="F866" s="30">
        <f>IF(AND(ISNUMBER($D866),ISNUMBER($E866),$E866&gt;0,$D866&lt;=$E866),$D866/$E866,"")</f>
        <v/>
      </c>
      <c r="P866" s="26" t="n"/>
      <c r="Q866" s="26" t="n"/>
      <c r="R866" s="26" t="n"/>
      <c r="S866" s="26" t="n"/>
      <c r="T866" s="26" t="n"/>
      <c r="V866" s="27">
        <f>IF(ISNUMBER($C866),COUNTIFS($A$14:$A$1213,$A866,$C$14:$C$1213,"&gt;"&amp;$C866)+(COUNTIFS($A$14:$A$1213,$A866,$C$14:$C$1213,"="&amp;$C866)+1)/2,"")</f>
        <v/>
      </c>
      <c r="W866" s="27">
        <f>IF(ISNUMBER($F866),COUNTIFS($A$14:$A$1213,$A866,$F$14:$F$1213,"&gt;"&amp;$F866)+(COUNTIFS($A$14:$A$1213,$A866,$F$14:$F$1213,"="&amp;$F866)+1)/2,"")</f>
        <v/>
      </c>
      <c r="X866" s="27">
        <f>IF(OR(NOT(ISNUMBER($V866)),$AO866=1),"",$V866-(COUNTIFS($A$14:$A$1213,$A866,$C$14:$C$1213,"&gt;=0")+1)/2)</f>
        <v/>
      </c>
      <c r="Y866" s="27">
        <f>IF(OR(NOT(ISNUMBER($W866)),$AO866=1),"",$W866-(COUNTIFS($A$14:$A$1213,$A866,$F$14:$F$1213,"&gt;=0")+1)/2)</f>
        <v/>
      </c>
      <c r="Z866" s="27">
        <f>IF(ISNUMBER($V866),$A866&amp;"|"&amp;$V866,"")</f>
        <v/>
      </c>
      <c r="AA866" s="27">
        <f>IF(ISNUMBER($W866),$A866&amp;"|"&amp;$W866,"")</f>
        <v/>
      </c>
      <c r="AB866" s="27">
        <f>IF(ISNUMBER($F866),$A866&amp;"|"&amp;$F866,"")</f>
        <v/>
      </c>
      <c r="AC866" s="27">
        <f>IF(ISNUMBER($P866),COUNTIFS($A$14:$A$1213,$A866,$P$14:$P$1213,"&gt;"&amp;$P866)+(COUNTIFS($A$14:$A$1213,$A866,$P$14:$P$1213,"="&amp;$P866)+1)/2,"")</f>
        <v/>
      </c>
      <c r="AD866" s="27">
        <f>IF(ISNUMBER($Q866),COUNTIFS($A$14:$A$1213,$A866,$Q$14:$Q$1213,"&gt;"&amp;$Q866)+(COUNTIFS($A$14:$A$1213,$A866,$Q$14:$Q$1213,"="&amp;$Q866)+1)/2,"")</f>
        <v/>
      </c>
      <c r="AE866" s="27">
        <f>IF(ISNUMBER($R866),COUNTIFS($A$14:$A$1213,$A866,$R$14:$R$1213,"&gt;"&amp;$R866)+(COUNTIFS($A$14:$A$1213,$A866,$R$14:$R$1213,"="&amp;$R866)+1)/2,"")</f>
        <v/>
      </c>
      <c r="AF866" s="27">
        <f>IF(ISNUMBER($S866),COUNTIFS($A$14:$A$1213,$A866,$S$14:$S$1213,"&gt;"&amp;$S866)+(COUNTIFS($A$14:$A$1213,$A866,$S$14:$S$1213,"="&amp;$S866)+1)/2,"")</f>
        <v/>
      </c>
      <c r="AG866" s="27">
        <f>IF(ISNUMBER($T866),COUNTIFS($A$14:$A$1213,$A866,$T$14:$T$1213,"&gt;"&amp;$T866)+(COUNTIFS($A$14:$A$1213,$A866,$T$14:$T$1213,"="&amp;$T866)+1)/2,"")</f>
        <v/>
      </c>
      <c r="AH866" s="27">
        <f>IF(COUNT($AC866:$AG866)&lt;2,"",IF(MAX($AC866:$AG866)=MIN($AC866:$AG866),0,1))</f>
        <v/>
      </c>
      <c r="AI866" s="27">
        <f>IF($A866="","",IF(COUNTIF($A$14:$A866,$A866)=1,COUNTIF($AI$13:AI865,"&gt;0")+1,""))</f>
        <v/>
      </c>
      <c r="AO866" s="27">
        <f>IF($A866="","",IF(AND(COUNTIFS($A$14:$A$1213,$A866,$F$14:$F$1213,"&gt;=0")=2,IFERROR(INDEX($M$14:$M$313,MATCH($A866,$H$14:$H$313,0)),"Yes")&lt;&gt;"Yes"),1,0))</f>
        <v/>
      </c>
    </row>
    <row r="867">
      <c r="A867" s="19" t="n"/>
      <c r="B867" s="20" t="n"/>
      <c r="C867" s="21">
        <f>IFERROR(AVERAGE(P867:T867),"")</f>
        <v/>
      </c>
      <c r="D867" s="29" t="n"/>
      <c r="E867" s="29" t="n"/>
      <c r="F867" s="30">
        <f>IF(AND(ISNUMBER($D867),ISNUMBER($E867),$E867&gt;0,$D867&lt;=$E867),$D867/$E867,"")</f>
        <v/>
      </c>
      <c r="P867" s="26" t="n"/>
      <c r="Q867" s="26" t="n"/>
      <c r="R867" s="26" t="n"/>
      <c r="S867" s="26" t="n"/>
      <c r="T867" s="26" t="n"/>
      <c r="V867" s="27">
        <f>IF(ISNUMBER($C867),COUNTIFS($A$14:$A$1213,$A867,$C$14:$C$1213,"&gt;"&amp;$C867)+(COUNTIFS($A$14:$A$1213,$A867,$C$14:$C$1213,"="&amp;$C867)+1)/2,"")</f>
        <v/>
      </c>
      <c r="W867" s="27">
        <f>IF(ISNUMBER($F867),COUNTIFS($A$14:$A$1213,$A867,$F$14:$F$1213,"&gt;"&amp;$F867)+(COUNTIFS($A$14:$A$1213,$A867,$F$14:$F$1213,"="&amp;$F867)+1)/2,"")</f>
        <v/>
      </c>
      <c r="X867" s="27">
        <f>IF(OR(NOT(ISNUMBER($V867)),$AO867=1),"",$V867-(COUNTIFS($A$14:$A$1213,$A867,$C$14:$C$1213,"&gt;=0")+1)/2)</f>
        <v/>
      </c>
      <c r="Y867" s="27">
        <f>IF(OR(NOT(ISNUMBER($W867)),$AO867=1),"",$W867-(COUNTIFS($A$14:$A$1213,$A867,$F$14:$F$1213,"&gt;=0")+1)/2)</f>
        <v/>
      </c>
      <c r="Z867" s="27">
        <f>IF(ISNUMBER($V867),$A867&amp;"|"&amp;$V867,"")</f>
        <v/>
      </c>
      <c r="AA867" s="27">
        <f>IF(ISNUMBER($W867),$A867&amp;"|"&amp;$W867,"")</f>
        <v/>
      </c>
      <c r="AB867" s="27">
        <f>IF(ISNUMBER($F867),$A867&amp;"|"&amp;$F867,"")</f>
        <v/>
      </c>
      <c r="AC867" s="27">
        <f>IF(ISNUMBER($P867),COUNTIFS($A$14:$A$1213,$A867,$P$14:$P$1213,"&gt;"&amp;$P867)+(COUNTIFS($A$14:$A$1213,$A867,$P$14:$P$1213,"="&amp;$P867)+1)/2,"")</f>
        <v/>
      </c>
      <c r="AD867" s="27">
        <f>IF(ISNUMBER($Q867),COUNTIFS($A$14:$A$1213,$A867,$Q$14:$Q$1213,"&gt;"&amp;$Q867)+(COUNTIFS($A$14:$A$1213,$A867,$Q$14:$Q$1213,"="&amp;$Q867)+1)/2,"")</f>
        <v/>
      </c>
      <c r="AE867" s="27">
        <f>IF(ISNUMBER($R867),COUNTIFS($A$14:$A$1213,$A867,$R$14:$R$1213,"&gt;"&amp;$R867)+(COUNTIFS($A$14:$A$1213,$A867,$R$14:$R$1213,"="&amp;$R867)+1)/2,"")</f>
        <v/>
      </c>
      <c r="AF867" s="27">
        <f>IF(ISNUMBER($S867),COUNTIFS($A$14:$A$1213,$A867,$S$14:$S$1213,"&gt;"&amp;$S867)+(COUNTIFS($A$14:$A$1213,$A867,$S$14:$S$1213,"="&amp;$S867)+1)/2,"")</f>
        <v/>
      </c>
      <c r="AG867" s="27">
        <f>IF(ISNUMBER($T867),COUNTIFS($A$14:$A$1213,$A867,$T$14:$T$1213,"&gt;"&amp;$T867)+(COUNTIFS($A$14:$A$1213,$A867,$T$14:$T$1213,"="&amp;$T867)+1)/2,"")</f>
        <v/>
      </c>
      <c r="AH867" s="27">
        <f>IF(COUNT($AC867:$AG867)&lt;2,"",IF(MAX($AC867:$AG867)=MIN($AC867:$AG867),0,1))</f>
        <v/>
      </c>
      <c r="AI867" s="27">
        <f>IF($A867="","",IF(COUNTIF($A$14:$A867,$A867)=1,COUNTIF($AI$13:AI866,"&gt;0")+1,""))</f>
        <v/>
      </c>
      <c r="AO867" s="27">
        <f>IF($A867="","",IF(AND(COUNTIFS($A$14:$A$1213,$A867,$F$14:$F$1213,"&gt;=0")=2,IFERROR(INDEX($M$14:$M$313,MATCH($A867,$H$14:$H$313,0)),"Yes")&lt;&gt;"Yes"),1,0))</f>
        <v/>
      </c>
    </row>
    <row r="868">
      <c r="A868" s="19" t="n"/>
      <c r="B868" s="20" t="n"/>
      <c r="C868" s="21">
        <f>IFERROR(AVERAGE(P868:T868),"")</f>
        <v/>
      </c>
      <c r="D868" s="29" t="n"/>
      <c r="E868" s="29" t="n"/>
      <c r="F868" s="30">
        <f>IF(AND(ISNUMBER($D868),ISNUMBER($E868),$E868&gt;0,$D868&lt;=$E868),$D868/$E868,"")</f>
        <v/>
      </c>
      <c r="P868" s="26" t="n"/>
      <c r="Q868" s="26" t="n"/>
      <c r="R868" s="26" t="n"/>
      <c r="S868" s="26" t="n"/>
      <c r="T868" s="26" t="n"/>
      <c r="V868" s="27">
        <f>IF(ISNUMBER($C868),COUNTIFS($A$14:$A$1213,$A868,$C$14:$C$1213,"&gt;"&amp;$C868)+(COUNTIFS($A$14:$A$1213,$A868,$C$14:$C$1213,"="&amp;$C868)+1)/2,"")</f>
        <v/>
      </c>
      <c r="W868" s="27">
        <f>IF(ISNUMBER($F868),COUNTIFS($A$14:$A$1213,$A868,$F$14:$F$1213,"&gt;"&amp;$F868)+(COUNTIFS($A$14:$A$1213,$A868,$F$14:$F$1213,"="&amp;$F868)+1)/2,"")</f>
        <v/>
      </c>
      <c r="X868" s="27">
        <f>IF(OR(NOT(ISNUMBER($V868)),$AO868=1),"",$V868-(COUNTIFS($A$14:$A$1213,$A868,$C$14:$C$1213,"&gt;=0")+1)/2)</f>
        <v/>
      </c>
      <c r="Y868" s="27">
        <f>IF(OR(NOT(ISNUMBER($W868)),$AO868=1),"",$W868-(COUNTIFS($A$14:$A$1213,$A868,$F$14:$F$1213,"&gt;=0")+1)/2)</f>
        <v/>
      </c>
      <c r="Z868" s="27">
        <f>IF(ISNUMBER($V868),$A868&amp;"|"&amp;$V868,"")</f>
        <v/>
      </c>
      <c r="AA868" s="27">
        <f>IF(ISNUMBER($W868),$A868&amp;"|"&amp;$W868,"")</f>
        <v/>
      </c>
      <c r="AB868" s="27">
        <f>IF(ISNUMBER($F868),$A868&amp;"|"&amp;$F868,"")</f>
        <v/>
      </c>
      <c r="AC868" s="27">
        <f>IF(ISNUMBER($P868),COUNTIFS($A$14:$A$1213,$A868,$P$14:$P$1213,"&gt;"&amp;$P868)+(COUNTIFS($A$14:$A$1213,$A868,$P$14:$P$1213,"="&amp;$P868)+1)/2,"")</f>
        <v/>
      </c>
      <c r="AD868" s="27">
        <f>IF(ISNUMBER($Q868),COUNTIFS($A$14:$A$1213,$A868,$Q$14:$Q$1213,"&gt;"&amp;$Q868)+(COUNTIFS($A$14:$A$1213,$A868,$Q$14:$Q$1213,"="&amp;$Q868)+1)/2,"")</f>
        <v/>
      </c>
      <c r="AE868" s="27">
        <f>IF(ISNUMBER($R868),COUNTIFS($A$14:$A$1213,$A868,$R$14:$R$1213,"&gt;"&amp;$R868)+(COUNTIFS($A$14:$A$1213,$A868,$R$14:$R$1213,"="&amp;$R868)+1)/2,"")</f>
        <v/>
      </c>
      <c r="AF868" s="27">
        <f>IF(ISNUMBER($S868),COUNTIFS($A$14:$A$1213,$A868,$S$14:$S$1213,"&gt;"&amp;$S868)+(COUNTIFS($A$14:$A$1213,$A868,$S$14:$S$1213,"="&amp;$S868)+1)/2,"")</f>
        <v/>
      </c>
      <c r="AG868" s="27">
        <f>IF(ISNUMBER($T868),COUNTIFS($A$14:$A$1213,$A868,$T$14:$T$1213,"&gt;"&amp;$T868)+(COUNTIFS($A$14:$A$1213,$A868,$T$14:$T$1213,"="&amp;$T868)+1)/2,"")</f>
        <v/>
      </c>
      <c r="AH868" s="27">
        <f>IF(COUNT($AC868:$AG868)&lt;2,"",IF(MAX($AC868:$AG868)=MIN($AC868:$AG868),0,1))</f>
        <v/>
      </c>
      <c r="AI868" s="27">
        <f>IF($A868="","",IF(COUNTIF($A$14:$A868,$A868)=1,COUNTIF($AI$13:AI867,"&gt;0")+1,""))</f>
        <v/>
      </c>
      <c r="AO868" s="27">
        <f>IF($A868="","",IF(AND(COUNTIFS($A$14:$A$1213,$A868,$F$14:$F$1213,"&gt;=0")=2,IFERROR(INDEX($M$14:$M$313,MATCH($A868,$H$14:$H$313,0)),"Yes")&lt;&gt;"Yes"),1,0))</f>
        <v/>
      </c>
    </row>
    <row r="869">
      <c r="A869" s="19" t="n"/>
      <c r="B869" s="20" t="n"/>
      <c r="C869" s="21">
        <f>IFERROR(AVERAGE(P869:T869),"")</f>
        <v/>
      </c>
      <c r="D869" s="29" t="n"/>
      <c r="E869" s="29" t="n"/>
      <c r="F869" s="30">
        <f>IF(AND(ISNUMBER($D869),ISNUMBER($E869),$E869&gt;0,$D869&lt;=$E869),$D869/$E869,"")</f>
        <v/>
      </c>
      <c r="P869" s="26" t="n"/>
      <c r="Q869" s="26" t="n"/>
      <c r="R869" s="26" t="n"/>
      <c r="S869" s="26" t="n"/>
      <c r="T869" s="26" t="n"/>
      <c r="V869" s="27">
        <f>IF(ISNUMBER($C869),COUNTIFS($A$14:$A$1213,$A869,$C$14:$C$1213,"&gt;"&amp;$C869)+(COUNTIFS($A$14:$A$1213,$A869,$C$14:$C$1213,"="&amp;$C869)+1)/2,"")</f>
        <v/>
      </c>
      <c r="W869" s="27">
        <f>IF(ISNUMBER($F869),COUNTIFS($A$14:$A$1213,$A869,$F$14:$F$1213,"&gt;"&amp;$F869)+(COUNTIFS($A$14:$A$1213,$A869,$F$14:$F$1213,"="&amp;$F869)+1)/2,"")</f>
        <v/>
      </c>
      <c r="X869" s="27">
        <f>IF(OR(NOT(ISNUMBER($V869)),$AO869=1),"",$V869-(COUNTIFS($A$14:$A$1213,$A869,$C$14:$C$1213,"&gt;=0")+1)/2)</f>
        <v/>
      </c>
      <c r="Y869" s="27">
        <f>IF(OR(NOT(ISNUMBER($W869)),$AO869=1),"",$W869-(COUNTIFS($A$14:$A$1213,$A869,$F$14:$F$1213,"&gt;=0")+1)/2)</f>
        <v/>
      </c>
      <c r="Z869" s="27">
        <f>IF(ISNUMBER($V869),$A869&amp;"|"&amp;$V869,"")</f>
        <v/>
      </c>
      <c r="AA869" s="27">
        <f>IF(ISNUMBER($W869),$A869&amp;"|"&amp;$W869,"")</f>
        <v/>
      </c>
      <c r="AB869" s="27">
        <f>IF(ISNUMBER($F869),$A869&amp;"|"&amp;$F869,"")</f>
        <v/>
      </c>
      <c r="AC869" s="27">
        <f>IF(ISNUMBER($P869),COUNTIFS($A$14:$A$1213,$A869,$P$14:$P$1213,"&gt;"&amp;$P869)+(COUNTIFS($A$14:$A$1213,$A869,$P$14:$P$1213,"="&amp;$P869)+1)/2,"")</f>
        <v/>
      </c>
      <c r="AD869" s="27">
        <f>IF(ISNUMBER($Q869),COUNTIFS($A$14:$A$1213,$A869,$Q$14:$Q$1213,"&gt;"&amp;$Q869)+(COUNTIFS($A$14:$A$1213,$A869,$Q$14:$Q$1213,"="&amp;$Q869)+1)/2,"")</f>
        <v/>
      </c>
      <c r="AE869" s="27">
        <f>IF(ISNUMBER($R869),COUNTIFS($A$14:$A$1213,$A869,$R$14:$R$1213,"&gt;"&amp;$R869)+(COUNTIFS($A$14:$A$1213,$A869,$R$14:$R$1213,"="&amp;$R869)+1)/2,"")</f>
        <v/>
      </c>
      <c r="AF869" s="27">
        <f>IF(ISNUMBER($S869),COUNTIFS($A$14:$A$1213,$A869,$S$14:$S$1213,"&gt;"&amp;$S869)+(COUNTIFS($A$14:$A$1213,$A869,$S$14:$S$1213,"="&amp;$S869)+1)/2,"")</f>
        <v/>
      </c>
      <c r="AG869" s="27">
        <f>IF(ISNUMBER($T869),COUNTIFS($A$14:$A$1213,$A869,$T$14:$T$1213,"&gt;"&amp;$T869)+(COUNTIFS($A$14:$A$1213,$A869,$T$14:$T$1213,"="&amp;$T869)+1)/2,"")</f>
        <v/>
      </c>
      <c r="AH869" s="27">
        <f>IF(COUNT($AC869:$AG869)&lt;2,"",IF(MAX($AC869:$AG869)=MIN($AC869:$AG869),0,1))</f>
        <v/>
      </c>
      <c r="AI869" s="27">
        <f>IF($A869="","",IF(COUNTIF($A$14:$A869,$A869)=1,COUNTIF($AI$13:AI868,"&gt;0")+1,""))</f>
        <v/>
      </c>
      <c r="AO869" s="27">
        <f>IF($A869="","",IF(AND(COUNTIFS($A$14:$A$1213,$A869,$F$14:$F$1213,"&gt;=0")=2,IFERROR(INDEX($M$14:$M$313,MATCH($A869,$H$14:$H$313,0)),"Yes")&lt;&gt;"Yes"),1,0))</f>
        <v/>
      </c>
    </row>
    <row r="870">
      <c r="A870" s="19" t="n"/>
      <c r="B870" s="20" t="n"/>
      <c r="C870" s="21">
        <f>IFERROR(AVERAGE(P870:T870),"")</f>
        <v/>
      </c>
      <c r="D870" s="29" t="n"/>
      <c r="E870" s="29" t="n"/>
      <c r="F870" s="30">
        <f>IF(AND(ISNUMBER($D870),ISNUMBER($E870),$E870&gt;0,$D870&lt;=$E870),$D870/$E870,"")</f>
        <v/>
      </c>
      <c r="P870" s="26" t="n"/>
      <c r="Q870" s="26" t="n"/>
      <c r="R870" s="26" t="n"/>
      <c r="S870" s="26" t="n"/>
      <c r="T870" s="26" t="n"/>
      <c r="V870" s="27">
        <f>IF(ISNUMBER($C870),COUNTIFS($A$14:$A$1213,$A870,$C$14:$C$1213,"&gt;"&amp;$C870)+(COUNTIFS($A$14:$A$1213,$A870,$C$14:$C$1213,"="&amp;$C870)+1)/2,"")</f>
        <v/>
      </c>
      <c r="W870" s="27">
        <f>IF(ISNUMBER($F870),COUNTIFS($A$14:$A$1213,$A870,$F$14:$F$1213,"&gt;"&amp;$F870)+(COUNTIFS($A$14:$A$1213,$A870,$F$14:$F$1213,"="&amp;$F870)+1)/2,"")</f>
        <v/>
      </c>
      <c r="X870" s="27">
        <f>IF(OR(NOT(ISNUMBER($V870)),$AO870=1),"",$V870-(COUNTIFS($A$14:$A$1213,$A870,$C$14:$C$1213,"&gt;=0")+1)/2)</f>
        <v/>
      </c>
      <c r="Y870" s="27">
        <f>IF(OR(NOT(ISNUMBER($W870)),$AO870=1),"",$W870-(COUNTIFS($A$14:$A$1213,$A870,$F$14:$F$1213,"&gt;=0")+1)/2)</f>
        <v/>
      </c>
      <c r="Z870" s="27">
        <f>IF(ISNUMBER($V870),$A870&amp;"|"&amp;$V870,"")</f>
        <v/>
      </c>
      <c r="AA870" s="27">
        <f>IF(ISNUMBER($W870),$A870&amp;"|"&amp;$W870,"")</f>
        <v/>
      </c>
      <c r="AB870" s="27">
        <f>IF(ISNUMBER($F870),$A870&amp;"|"&amp;$F870,"")</f>
        <v/>
      </c>
      <c r="AC870" s="27">
        <f>IF(ISNUMBER($P870),COUNTIFS($A$14:$A$1213,$A870,$P$14:$P$1213,"&gt;"&amp;$P870)+(COUNTIFS($A$14:$A$1213,$A870,$P$14:$P$1213,"="&amp;$P870)+1)/2,"")</f>
        <v/>
      </c>
      <c r="AD870" s="27">
        <f>IF(ISNUMBER($Q870),COUNTIFS($A$14:$A$1213,$A870,$Q$14:$Q$1213,"&gt;"&amp;$Q870)+(COUNTIFS($A$14:$A$1213,$A870,$Q$14:$Q$1213,"="&amp;$Q870)+1)/2,"")</f>
        <v/>
      </c>
      <c r="AE870" s="27">
        <f>IF(ISNUMBER($R870),COUNTIFS($A$14:$A$1213,$A870,$R$14:$R$1213,"&gt;"&amp;$R870)+(COUNTIFS($A$14:$A$1213,$A870,$R$14:$R$1213,"="&amp;$R870)+1)/2,"")</f>
        <v/>
      </c>
      <c r="AF870" s="27">
        <f>IF(ISNUMBER($S870),COUNTIFS($A$14:$A$1213,$A870,$S$14:$S$1213,"&gt;"&amp;$S870)+(COUNTIFS($A$14:$A$1213,$A870,$S$14:$S$1213,"="&amp;$S870)+1)/2,"")</f>
        <v/>
      </c>
      <c r="AG870" s="27">
        <f>IF(ISNUMBER($T870),COUNTIFS($A$14:$A$1213,$A870,$T$14:$T$1213,"&gt;"&amp;$T870)+(COUNTIFS($A$14:$A$1213,$A870,$T$14:$T$1213,"="&amp;$T870)+1)/2,"")</f>
        <v/>
      </c>
      <c r="AH870" s="27">
        <f>IF(COUNT($AC870:$AG870)&lt;2,"",IF(MAX($AC870:$AG870)=MIN($AC870:$AG870),0,1))</f>
        <v/>
      </c>
      <c r="AI870" s="27">
        <f>IF($A870="","",IF(COUNTIF($A$14:$A870,$A870)=1,COUNTIF($AI$13:AI869,"&gt;0")+1,""))</f>
        <v/>
      </c>
      <c r="AO870" s="27">
        <f>IF($A870="","",IF(AND(COUNTIFS($A$14:$A$1213,$A870,$F$14:$F$1213,"&gt;=0")=2,IFERROR(INDEX($M$14:$M$313,MATCH($A870,$H$14:$H$313,0)),"Yes")&lt;&gt;"Yes"),1,0))</f>
        <v/>
      </c>
    </row>
    <row r="871">
      <c r="A871" s="19" t="n"/>
      <c r="B871" s="20" t="n"/>
      <c r="C871" s="21">
        <f>IFERROR(AVERAGE(P871:T871),"")</f>
        <v/>
      </c>
      <c r="D871" s="29" t="n"/>
      <c r="E871" s="29" t="n"/>
      <c r="F871" s="30">
        <f>IF(AND(ISNUMBER($D871),ISNUMBER($E871),$E871&gt;0,$D871&lt;=$E871),$D871/$E871,"")</f>
        <v/>
      </c>
      <c r="P871" s="26" t="n"/>
      <c r="Q871" s="26" t="n"/>
      <c r="R871" s="26" t="n"/>
      <c r="S871" s="26" t="n"/>
      <c r="T871" s="26" t="n"/>
      <c r="V871" s="27">
        <f>IF(ISNUMBER($C871),COUNTIFS($A$14:$A$1213,$A871,$C$14:$C$1213,"&gt;"&amp;$C871)+(COUNTIFS($A$14:$A$1213,$A871,$C$14:$C$1213,"="&amp;$C871)+1)/2,"")</f>
        <v/>
      </c>
      <c r="W871" s="27">
        <f>IF(ISNUMBER($F871),COUNTIFS($A$14:$A$1213,$A871,$F$14:$F$1213,"&gt;"&amp;$F871)+(COUNTIFS($A$14:$A$1213,$A871,$F$14:$F$1213,"="&amp;$F871)+1)/2,"")</f>
        <v/>
      </c>
      <c r="X871" s="27">
        <f>IF(OR(NOT(ISNUMBER($V871)),$AO871=1),"",$V871-(COUNTIFS($A$14:$A$1213,$A871,$C$14:$C$1213,"&gt;=0")+1)/2)</f>
        <v/>
      </c>
      <c r="Y871" s="27">
        <f>IF(OR(NOT(ISNUMBER($W871)),$AO871=1),"",$W871-(COUNTIFS($A$14:$A$1213,$A871,$F$14:$F$1213,"&gt;=0")+1)/2)</f>
        <v/>
      </c>
      <c r="Z871" s="27">
        <f>IF(ISNUMBER($V871),$A871&amp;"|"&amp;$V871,"")</f>
        <v/>
      </c>
      <c r="AA871" s="27">
        <f>IF(ISNUMBER($W871),$A871&amp;"|"&amp;$W871,"")</f>
        <v/>
      </c>
      <c r="AB871" s="27">
        <f>IF(ISNUMBER($F871),$A871&amp;"|"&amp;$F871,"")</f>
        <v/>
      </c>
      <c r="AC871" s="27">
        <f>IF(ISNUMBER($P871),COUNTIFS($A$14:$A$1213,$A871,$P$14:$P$1213,"&gt;"&amp;$P871)+(COUNTIFS($A$14:$A$1213,$A871,$P$14:$P$1213,"="&amp;$P871)+1)/2,"")</f>
        <v/>
      </c>
      <c r="AD871" s="27">
        <f>IF(ISNUMBER($Q871),COUNTIFS($A$14:$A$1213,$A871,$Q$14:$Q$1213,"&gt;"&amp;$Q871)+(COUNTIFS($A$14:$A$1213,$A871,$Q$14:$Q$1213,"="&amp;$Q871)+1)/2,"")</f>
        <v/>
      </c>
      <c r="AE871" s="27">
        <f>IF(ISNUMBER($R871),COUNTIFS($A$14:$A$1213,$A871,$R$14:$R$1213,"&gt;"&amp;$R871)+(COUNTIFS($A$14:$A$1213,$A871,$R$14:$R$1213,"="&amp;$R871)+1)/2,"")</f>
        <v/>
      </c>
      <c r="AF871" s="27">
        <f>IF(ISNUMBER($S871),COUNTIFS($A$14:$A$1213,$A871,$S$14:$S$1213,"&gt;"&amp;$S871)+(COUNTIFS($A$14:$A$1213,$A871,$S$14:$S$1213,"="&amp;$S871)+1)/2,"")</f>
        <v/>
      </c>
      <c r="AG871" s="27">
        <f>IF(ISNUMBER($T871),COUNTIFS($A$14:$A$1213,$A871,$T$14:$T$1213,"&gt;"&amp;$T871)+(COUNTIFS($A$14:$A$1213,$A871,$T$14:$T$1213,"="&amp;$T871)+1)/2,"")</f>
        <v/>
      </c>
      <c r="AH871" s="27">
        <f>IF(COUNT($AC871:$AG871)&lt;2,"",IF(MAX($AC871:$AG871)=MIN($AC871:$AG871),0,1))</f>
        <v/>
      </c>
      <c r="AI871" s="27">
        <f>IF($A871="","",IF(COUNTIF($A$14:$A871,$A871)=1,COUNTIF($AI$13:AI870,"&gt;0")+1,""))</f>
        <v/>
      </c>
      <c r="AO871" s="27">
        <f>IF($A871="","",IF(AND(COUNTIFS($A$14:$A$1213,$A871,$F$14:$F$1213,"&gt;=0")=2,IFERROR(INDEX($M$14:$M$313,MATCH($A871,$H$14:$H$313,0)),"Yes")&lt;&gt;"Yes"),1,0))</f>
        <v/>
      </c>
    </row>
    <row r="872">
      <c r="A872" s="19" t="n"/>
      <c r="B872" s="20" t="n"/>
      <c r="C872" s="21">
        <f>IFERROR(AVERAGE(P872:T872),"")</f>
        <v/>
      </c>
      <c r="D872" s="29" t="n"/>
      <c r="E872" s="29" t="n"/>
      <c r="F872" s="30">
        <f>IF(AND(ISNUMBER($D872),ISNUMBER($E872),$E872&gt;0,$D872&lt;=$E872),$D872/$E872,"")</f>
        <v/>
      </c>
      <c r="P872" s="26" t="n"/>
      <c r="Q872" s="26" t="n"/>
      <c r="R872" s="26" t="n"/>
      <c r="S872" s="26" t="n"/>
      <c r="T872" s="26" t="n"/>
      <c r="V872" s="27">
        <f>IF(ISNUMBER($C872),COUNTIFS($A$14:$A$1213,$A872,$C$14:$C$1213,"&gt;"&amp;$C872)+(COUNTIFS($A$14:$A$1213,$A872,$C$14:$C$1213,"="&amp;$C872)+1)/2,"")</f>
        <v/>
      </c>
      <c r="W872" s="27">
        <f>IF(ISNUMBER($F872),COUNTIFS($A$14:$A$1213,$A872,$F$14:$F$1213,"&gt;"&amp;$F872)+(COUNTIFS($A$14:$A$1213,$A872,$F$14:$F$1213,"="&amp;$F872)+1)/2,"")</f>
        <v/>
      </c>
      <c r="X872" s="27">
        <f>IF(OR(NOT(ISNUMBER($V872)),$AO872=1),"",$V872-(COUNTIFS($A$14:$A$1213,$A872,$C$14:$C$1213,"&gt;=0")+1)/2)</f>
        <v/>
      </c>
      <c r="Y872" s="27">
        <f>IF(OR(NOT(ISNUMBER($W872)),$AO872=1),"",$W872-(COUNTIFS($A$14:$A$1213,$A872,$F$14:$F$1213,"&gt;=0")+1)/2)</f>
        <v/>
      </c>
      <c r="Z872" s="27">
        <f>IF(ISNUMBER($V872),$A872&amp;"|"&amp;$V872,"")</f>
        <v/>
      </c>
      <c r="AA872" s="27">
        <f>IF(ISNUMBER($W872),$A872&amp;"|"&amp;$W872,"")</f>
        <v/>
      </c>
      <c r="AB872" s="27">
        <f>IF(ISNUMBER($F872),$A872&amp;"|"&amp;$F872,"")</f>
        <v/>
      </c>
      <c r="AC872" s="27">
        <f>IF(ISNUMBER($P872),COUNTIFS($A$14:$A$1213,$A872,$P$14:$P$1213,"&gt;"&amp;$P872)+(COUNTIFS($A$14:$A$1213,$A872,$P$14:$P$1213,"="&amp;$P872)+1)/2,"")</f>
        <v/>
      </c>
      <c r="AD872" s="27">
        <f>IF(ISNUMBER($Q872),COUNTIFS($A$14:$A$1213,$A872,$Q$14:$Q$1213,"&gt;"&amp;$Q872)+(COUNTIFS($A$14:$A$1213,$A872,$Q$14:$Q$1213,"="&amp;$Q872)+1)/2,"")</f>
        <v/>
      </c>
      <c r="AE872" s="27">
        <f>IF(ISNUMBER($R872),COUNTIFS($A$14:$A$1213,$A872,$R$14:$R$1213,"&gt;"&amp;$R872)+(COUNTIFS($A$14:$A$1213,$A872,$R$14:$R$1213,"="&amp;$R872)+1)/2,"")</f>
        <v/>
      </c>
      <c r="AF872" s="27">
        <f>IF(ISNUMBER($S872),COUNTIFS($A$14:$A$1213,$A872,$S$14:$S$1213,"&gt;"&amp;$S872)+(COUNTIFS($A$14:$A$1213,$A872,$S$14:$S$1213,"="&amp;$S872)+1)/2,"")</f>
        <v/>
      </c>
      <c r="AG872" s="27">
        <f>IF(ISNUMBER($T872),COUNTIFS($A$14:$A$1213,$A872,$T$14:$T$1213,"&gt;"&amp;$T872)+(COUNTIFS($A$14:$A$1213,$A872,$T$14:$T$1213,"="&amp;$T872)+1)/2,"")</f>
        <v/>
      </c>
      <c r="AH872" s="27">
        <f>IF(COUNT($AC872:$AG872)&lt;2,"",IF(MAX($AC872:$AG872)=MIN($AC872:$AG872),0,1))</f>
        <v/>
      </c>
      <c r="AI872" s="27">
        <f>IF($A872="","",IF(COUNTIF($A$14:$A872,$A872)=1,COUNTIF($AI$13:AI871,"&gt;0")+1,""))</f>
        <v/>
      </c>
      <c r="AO872" s="27">
        <f>IF($A872="","",IF(AND(COUNTIFS($A$14:$A$1213,$A872,$F$14:$F$1213,"&gt;=0")=2,IFERROR(INDEX($M$14:$M$313,MATCH($A872,$H$14:$H$313,0)),"Yes")&lt;&gt;"Yes"),1,0))</f>
        <v/>
      </c>
    </row>
    <row r="873">
      <c r="A873" s="19" t="n"/>
      <c r="B873" s="20" t="n"/>
      <c r="C873" s="21">
        <f>IFERROR(AVERAGE(P873:T873),"")</f>
        <v/>
      </c>
      <c r="D873" s="29" t="n"/>
      <c r="E873" s="29" t="n"/>
      <c r="F873" s="30">
        <f>IF(AND(ISNUMBER($D873),ISNUMBER($E873),$E873&gt;0,$D873&lt;=$E873),$D873/$E873,"")</f>
        <v/>
      </c>
      <c r="P873" s="26" t="n"/>
      <c r="Q873" s="26" t="n"/>
      <c r="R873" s="26" t="n"/>
      <c r="S873" s="26" t="n"/>
      <c r="T873" s="26" t="n"/>
      <c r="V873" s="27">
        <f>IF(ISNUMBER($C873),COUNTIFS($A$14:$A$1213,$A873,$C$14:$C$1213,"&gt;"&amp;$C873)+(COUNTIFS($A$14:$A$1213,$A873,$C$14:$C$1213,"="&amp;$C873)+1)/2,"")</f>
        <v/>
      </c>
      <c r="W873" s="27">
        <f>IF(ISNUMBER($F873),COUNTIFS($A$14:$A$1213,$A873,$F$14:$F$1213,"&gt;"&amp;$F873)+(COUNTIFS($A$14:$A$1213,$A873,$F$14:$F$1213,"="&amp;$F873)+1)/2,"")</f>
        <v/>
      </c>
      <c r="X873" s="27">
        <f>IF(OR(NOT(ISNUMBER($V873)),$AO873=1),"",$V873-(COUNTIFS($A$14:$A$1213,$A873,$C$14:$C$1213,"&gt;=0")+1)/2)</f>
        <v/>
      </c>
      <c r="Y873" s="27">
        <f>IF(OR(NOT(ISNUMBER($W873)),$AO873=1),"",$W873-(COUNTIFS($A$14:$A$1213,$A873,$F$14:$F$1213,"&gt;=0")+1)/2)</f>
        <v/>
      </c>
      <c r="Z873" s="27">
        <f>IF(ISNUMBER($V873),$A873&amp;"|"&amp;$V873,"")</f>
        <v/>
      </c>
      <c r="AA873" s="27">
        <f>IF(ISNUMBER($W873),$A873&amp;"|"&amp;$W873,"")</f>
        <v/>
      </c>
      <c r="AB873" s="27">
        <f>IF(ISNUMBER($F873),$A873&amp;"|"&amp;$F873,"")</f>
        <v/>
      </c>
      <c r="AC873" s="27">
        <f>IF(ISNUMBER($P873),COUNTIFS($A$14:$A$1213,$A873,$P$14:$P$1213,"&gt;"&amp;$P873)+(COUNTIFS($A$14:$A$1213,$A873,$P$14:$P$1213,"="&amp;$P873)+1)/2,"")</f>
        <v/>
      </c>
      <c r="AD873" s="27">
        <f>IF(ISNUMBER($Q873),COUNTIFS($A$14:$A$1213,$A873,$Q$14:$Q$1213,"&gt;"&amp;$Q873)+(COUNTIFS($A$14:$A$1213,$A873,$Q$14:$Q$1213,"="&amp;$Q873)+1)/2,"")</f>
        <v/>
      </c>
      <c r="AE873" s="27">
        <f>IF(ISNUMBER($R873),COUNTIFS($A$14:$A$1213,$A873,$R$14:$R$1213,"&gt;"&amp;$R873)+(COUNTIFS($A$14:$A$1213,$A873,$R$14:$R$1213,"="&amp;$R873)+1)/2,"")</f>
        <v/>
      </c>
      <c r="AF873" s="27">
        <f>IF(ISNUMBER($S873),COUNTIFS($A$14:$A$1213,$A873,$S$14:$S$1213,"&gt;"&amp;$S873)+(COUNTIFS($A$14:$A$1213,$A873,$S$14:$S$1213,"="&amp;$S873)+1)/2,"")</f>
        <v/>
      </c>
      <c r="AG873" s="27">
        <f>IF(ISNUMBER($T873),COUNTIFS($A$14:$A$1213,$A873,$T$14:$T$1213,"&gt;"&amp;$T873)+(COUNTIFS($A$14:$A$1213,$A873,$T$14:$T$1213,"="&amp;$T873)+1)/2,"")</f>
        <v/>
      </c>
      <c r="AH873" s="27">
        <f>IF(COUNT($AC873:$AG873)&lt;2,"",IF(MAX($AC873:$AG873)=MIN($AC873:$AG873),0,1))</f>
        <v/>
      </c>
      <c r="AI873" s="27">
        <f>IF($A873="","",IF(COUNTIF($A$14:$A873,$A873)=1,COUNTIF($AI$13:AI872,"&gt;0")+1,""))</f>
        <v/>
      </c>
      <c r="AO873" s="27">
        <f>IF($A873="","",IF(AND(COUNTIFS($A$14:$A$1213,$A873,$F$14:$F$1213,"&gt;=0")=2,IFERROR(INDEX($M$14:$M$313,MATCH($A873,$H$14:$H$313,0)),"Yes")&lt;&gt;"Yes"),1,0))</f>
        <v/>
      </c>
    </row>
    <row r="874">
      <c r="A874" s="19" t="n"/>
      <c r="B874" s="20" t="n"/>
      <c r="C874" s="21">
        <f>IFERROR(AVERAGE(P874:T874),"")</f>
        <v/>
      </c>
      <c r="D874" s="29" t="n"/>
      <c r="E874" s="29" t="n"/>
      <c r="F874" s="30">
        <f>IF(AND(ISNUMBER($D874),ISNUMBER($E874),$E874&gt;0,$D874&lt;=$E874),$D874/$E874,"")</f>
        <v/>
      </c>
      <c r="P874" s="26" t="n"/>
      <c r="Q874" s="26" t="n"/>
      <c r="R874" s="26" t="n"/>
      <c r="S874" s="26" t="n"/>
      <c r="T874" s="26" t="n"/>
      <c r="V874" s="27">
        <f>IF(ISNUMBER($C874),COUNTIFS($A$14:$A$1213,$A874,$C$14:$C$1213,"&gt;"&amp;$C874)+(COUNTIFS($A$14:$A$1213,$A874,$C$14:$C$1213,"="&amp;$C874)+1)/2,"")</f>
        <v/>
      </c>
      <c r="W874" s="27">
        <f>IF(ISNUMBER($F874),COUNTIFS($A$14:$A$1213,$A874,$F$14:$F$1213,"&gt;"&amp;$F874)+(COUNTIFS($A$14:$A$1213,$A874,$F$14:$F$1213,"="&amp;$F874)+1)/2,"")</f>
        <v/>
      </c>
      <c r="X874" s="27">
        <f>IF(OR(NOT(ISNUMBER($V874)),$AO874=1),"",$V874-(COUNTIFS($A$14:$A$1213,$A874,$C$14:$C$1213,"&gt;=0")+1)/2)</f>
        <v/>
      </c>
      <c r="Y874" s="27">
        <f>IF(OR(NOT(ISNUMBER($W874)),$AO874=1),"",$W874-(COUNTIFS($A$14:$A$1213,$A874,$F$14:$F$1213,"&gt;=0")+1)/2)</f>
        <v/>
      </c>
      <c r="Z874" s="27">
        <f>IF(ISNUMBER($V874),$A874&amp;"|"&amp;$V874,"")</f>
        <v/>
      </c>
      <c r="AA874" s="27">
        <f>IF(ISNUMBER($W874),$A874&amp;"|"&amp;$W874,"")</f>
        <v/>
      </c>
      <c r="AB874" s="27">
        <f>IF(ISNUMBER($F874),$A874&amp;"|"&amp;$F874,"")</f>
        <v/>
      </c>
      <c r="AC874" s="27">
        <f>IF(ISNUMBER($P874),COUNTIFS($A$14:$A$1213,$A874,$P$14:$P$1213,"&gt;"&amp;$P874)+(COUNTIFS($A$14:$A$1213,$A874,$P$14:$P$1213,"="&amp;$P874)+1)/2,"")</f>
        <v/>
      </c>
      <c r="AD874" s="27">
        <f>IF(ISNUMBER($Q874),COUNTIFS($A$14:$A$1213,$A874,$Q$14:$Q$1213,"&gt;"&amp;$Q874)+(COUNTIFS($A$14:$A$1213,$A874,$Q$14:$Q$1213,"="&amp;$Q874)+1)/2,"")</f>
        <v/>
      </c>
      <c r="AE874" s="27">
        <f>IF(ISNUMBER($R874),COUNTIFS($A$14:$A$1213,$A874,$R$14:$R$1213,"&gt;"&amp;$R874)+(COUNTIFS($A$14:$A$1213,$A874,$R$14:$R$1213,"="&amp;$R874)+1)/2,"")</f>
        <v/>
      </c>
      <c r="AF874" s="27">
        <f>IF(ISNUMBER($S874),COUNTIFS($A$14:$A$1213,$A874,$S$14:$S$1213,"&gt;"&amp;$S874)+(COUNTIFS($A$14:$A$1213,$A874,$S$14:$S$1213,"="&amp;$S874)+1)/2,"")</f>
        <v/>
      </c>
      <c r="AG874" s="27">
        <f>IF(ISNUMBER($T874),COUNTIFS($A$14:$A$1213,$A874,$T$14:$T$1213,"&gt;"&amp;$T874)+(COUNTIFS($A$14:$A$1213,$A874,$T$14:$T$1213,"="&amp;$T874)+1)/2,"")</f>
        <v/>
      </c>
      <c r="AH874" s="27">
        <f>IF(COUNT($AC874:$AG874)&lt;2,"",IF(MAX($AC874:$AG874)=MIN($AC874:$AG874),0,1))</f>
        <v/>
      </c>
      <c r="AI874" s="27">
        <f>IF($A874="","",IF(COUNTIF($A$14:$A874,$A874)=1,COUNTIF($AI$13:AI873,"&gt;0")+1,""))</f>
        <v/>
      </c>
      <c r="AO874" s="27">
        <f>IF($A874="","",IF(AND(COUNTIFS($A$14:$A$1213,$A874,$F$14:$F$1213,"&gt;=0")=2,IFERROR(INDEX($M$14:$M$313,MATCH($A874,$H$14:$H$313,0)),"Yes")&lt;&gt;"Yes"),1,0))</f>
        <v/>
      </c>
    </row>
    <row r="875">
      <c r="A875" s="19" t="n"/>
      <c r="B875" s="20" t="n"/>
      <c r="C875" s="21">
        <f>IFERROR(AVERAGE(P875:T875),"")</f>
        <v/>
      </c>
      <c r="D875" s="29" t="n"/>
      <c r="E875" s="29" t="n"/>
      <c r="F875" s="30">
        <f>IF(AND(ISNUMBER($D875),ISNUMBER($E875),$E875&gt;0,$D875&lt;=$E875),$D875/$E875,"")</f>
        <v/>
      </c>
      <c r="P875" s="26" t="n"/>
      <c r="Q875" s="26" t="n"/>
      <c r="R875" s="26" t="n"/>
      <c r="S875" s="26" t="n"/>
      <c r="T875" s="26" t="n"/>
      <c r="V875" s="27">
        <f>IF(ISNUMBER($C875),COUNTIFS($A$14:$A$1213,$A875,$C$14:$C$1213,"&gt;"&amp;$C875)+(COUNTIFS($A$14:$A$1213,$A875,$C$14:$C$1213,"="&amp;$C875)+1)/2,"")</f>
        <v/>
      </c>
      <c r="W875" s="27">
        <f>IF(ISNUMBER($F875),COUNTIFS($A$14:$A$1213,$A875,$F$14:$F$1213,"&gt;"&amp;$F875)+(COUNTIFS($A$14:$A$1213,$A875,$F$14:$F$1213,"="&amp;$F875)+1)/2,"")</f>
        <v/>
      </c>
      <c r="X875" s="27">
        <f>IF(OR(NOT(ISNUMBER($V875)),$AO875=1),"",$V875-(COUNTIFS($A$14:$A$1213,$A875,$C$14:$C$1213,"&gt;=0")+1)/2)</f>
        <v/>
      </c>
      <c r="Y875" s="27">
        <f>IF(OR(NOT(ISNUMBER($W875)),$AO875=1),"",$W875-(COUNTIFS($A$14:$A$1213,$A875,$F$14:$F$1213,"&gt;=0")+1)/2)</f>
        <v/>
      </c>
      <c r="Z875" s="27">
        <f>IF(ISNUMBER($V875),$A875&amp;"|"&amp;$V875,"")</f>
        <v/>
      </c>
      <c r="AA875" s="27">
        <f>IF(ISNUMBER($W875),$A875&amp;"|"&amp;$W875,"")</f>
        <v/>
      </c>
      <c r="AB875" s="27">
        <f>IF(ISNUMBER($F875),$A875&amp;"|"&amp;$F875,"")</f>
        <v/>
      </c>
      <c r="AC875" s="27">
        <f>IF(ISNUMBER($P875),COUNTIFS($A$14:$A$1213,$A875,$P$14:$P$1213,"&gt;"&amp;$P875)+(COUNTIFS($A$14:$A$1213,$A875,$P$14:$P$1213,"="&amp;$P875)+1)/2,"")</f>
        <v/>
      </c>
      <c r="AD875" s="27">
        <f>IF(ISNUMBER($Q875),COUNTIFS($A$14:$A$1213,$A875,$Q$14:$Q$1213,"&gt;"&amp;$Q875)+(COUNTIFS($A$14:$A$1213,$A875,$Q$14:$Q$1213,"="&amp;$Q875)+1)/2,"")</f>
        <v/>
      </c>
      <c r="AE875" s="27">
        <f>IF(ISNUMBER($R875),COUNTIFS($A$14:$A$1213,$A875,$R$14:$R$1213,"&gt;"&amp;$R875)+(COUNTIFS($A$14:$A$1213,$A875,$R$14:$R$1213,"="&amp;$R875)+1)/2,"")</f>
        <v/>
      </c>
      <c r="AF875" s="27">
        <f>IF(ISNUMBER($S875),COUNTIFS($A$14:$A$1213,$A875,$S$14:$S$1213,"&gt;"&amp;$S875)+(COUNTIFS($A$14:$A$1213,$A875,$S$14:$S$1213,"="&amp;$S875)+1)/2,"")</f>
        <v/>
      </c>
      <c r="AG875" s="27">
        <f>IF(ISNUMBER($T875),COUNTIFS($A$14:$A$1213,$A875,$T$14:$T$1213,"&gt;"&amp;$T875)+(COUNTIFS($A$14:$A$1213,$A875,$T$14:$T$1213,"="&amp;$T875)+1)/2,"")</f>
        <v/>
      </c>
      <c r="AH875" s="27">
        <f>IF(COUNT($AC875:$AG875)&lt;2,"",IF(MAX($AC875:$AG875)=MIN($AC875:$AG875),0,1))</f>
        <v/>
      </c>
      <c r="AI875" s="27">
        <f>IF($A875="","",IF(COUNTIF($A$14:$A875,$A875)=1,COUNTIF($AI$13:AI874,"&gt;0")+1,""))</f>
        <v/>
      </c>
      <c r="AO875" s="27">
        <f>IF($A875="","",IF(AND(COUNTIFS($A$14:$A$1213,$A875,$F$14:$F$1213,"&gt;=0")=2,IFERROR(INDEX($M$14:$M$313,MATCH($A875,$H$14:$H$313,0)),"Yes")&lt;&gt;"Yes"),1,0))</f>
        <v/>
      </c>
    </row>
    <row r="876">
      <c r="A876" s="19" t="n"/>
      <c r="B876" s="20" t="n"/>
      <c r="C876" s="21">
        <f>IFERROR(AVERAGE(P876:T876),"")</f>
        <v/>
      </c>
      <c r="D876" s="29" t="n"/>
      <c r="E876" s="29" t="n"/>
      <c r="F876" s="30">
        <f>IF(AND(ISNUMBER($D876),ISNUMBER($E876),$E876&gt;0,$D876&lt;=$E876),$D876/$E876,"")</f>
        <v/>
      </c>
      <c r="P876" s="26" t="n"/>
      <c r="Q876" s="26" t="n"/>
      <c r="R876" s="26" t="n"/>
      <c r="S876" s="26" t="n"/>
      <c r="T876" s="26" t="n"/>
      <c r="V876" s="27">
        <f>IF(ISNUMBER($C876),COUNTIFS($A$14:$A$1213,$A876,$C$14:$C$1213,"&gt;"&amp;$C876)+(COUNTIFS($A$14:$A$1213,$A876,$C$14:$C$1213,"="&amp;$C876)+1)/2,"")</f>
        <v/>
      </c>
      <c r="W876" s="27">
        <f>IF(ISNUMBER($F876),COUNTIFS($A$14:$A$1213,$A876,$F$14:$F$1213,"&gt;"&amp;$F876)+(COUNTIFS($A$14:$A$1213,$A876,$F$14:$F$1213,"="&amp;$F876)+1)/2,"")</f>
        <v/>
      </c>
      <c r="X876" s="27">
        <f>IF(OR(NOT(ISNUMBER($V876)),$AO876=1),"",$V876-(COUNTIFS($A$14:$A$1213,$A876,$C$14:$C$1213,"&gt;=0")+1)/2)</f>
        <v/>
      </c>
      <c r="Y876" s="27">
        <f>IF(OR(NOT(ISNUMBER($W876)),$AO876=1),"",$W876-(COUNTIFS($A$14:$A$1213,$A876,$F$14:$F$1213,"&gt;=0")+1)/2)</f>
        <v/>
      </c>
      <c r="Z876" s="27">
        <f>IF(ISNUMBER($V876),$A876&amp;"|"&amp;$V876,"")</f>
        <v/>
      </c>
      <c r="AA876" s="27">
        <f>IF(ISNUMBER($W876),$A876&amp;"|"&amp;$W876,"")</f>
        <v/>
      </c>
      <c r="AB876" s="27">
        <f>IF(ISNUMBER($F876),$A876&amp;"|"&amp;$F876,"")</f>
        <v/>
      </c>
      <c r="AC876" s="27">
        <f>IF(ISNUMBER($P876),COUNTIFS($A$14:$A$1213,$A876,$P$14:$P$1213,"&gt;"&amp;$P876)+(COUNTIFS($A$14:$A$1213,$A876,$P$14:$P$1213,"="&amp;$P876)+1)/2,"")</f>
        <v/>
      </c>
      <c r="AD876" s="27">
        <f>IF(ISNUMBER($Q876),COUNTIFS($A$14:$A$1213,$A876,$Q$14:$Q$1213,"&gt;"&amp;$Q876)+(COUNTIFS($A$14:$A$1213,$A876,$Q$14:$Q$1213,"="&amp;$Q876)+1)/2,"")</f>
        <v/>
      </c>
      <c r="AE876" s="27">
        <f>IF(ISNUMBER($R876),COUNTIFS($A$14:$A$1213,$A876,$R$14:$R$1213,"&gt;"&amp;$R876)+(COUNTIFS($A$14:$A$1213,$A876,$R$14:$R$1213,"="&amp;$R876)+1)/2,"")</f>
        <v/>
      </c>
      <c r="AF876" s="27">
        <f>IF(ISNUMBER($S876),COUNTIFS($A$14:$A$1213,$A876,$S$14:$S$1213,"&gt;"&amp;$S876)+(COUNTIFS($A$14:$A$1213,$A876,$S$14:$S$1213,"="&amp;$S876)+1)/2,"")</f>
        <v/>
      </c>
      <c r="AG876" s="27">
        <f>IF(ISNUMBER($T876),COUNTIFS($A$14:$A$1213,$A876,$T$14:$T$1213,"&gt;"&amp;$T876)+(COUNTIFS($A$14:$A$1213,$A876,$T$14:$T$1213,"="&amp;$T876)+1)/2,"")</f>
        <v/>
      </c>
      <c r="AH876" s="27">
        <f>IF(COUNT($AC876:$AG876)&lt;2,"",IF(MAX($AC876:$AG876)=MIN($AC876:$AG876),0,1))</f>
        <v/>
      </c>
      <c r="AI876" s="27">
        <f>IF($A876="","",IF(COUNTIF($A$14:$A876,$A876)=1,COUNTIF($AI$13:AI875,"&gt;0")+1,""))</f>
        <v/>
      </c>
      <c r="AO876" s="27">
        <f>IF($A876="","",IF(AND(COUNTIFS($A$14:$A$1213,$A876,$F$14:$F$1213,"&gt;=0")=2,IFERROR(INDEX($M$14:$M$313,MATCH($A876,$H$14:$H$313,0)),"Yes")&lt;&gt;"Yes"),1,0))</f>
        <v/>
      </c>
    </row>
    <row r="877">
      <c r="A877" s="19" t="n"/>
      <c r="B877" s="20" t="n"/>
      <c r="C877" s="21">
        <f>IFERROR(AVERAGE(P877:T877),"")</f>
        <v/>
      </c>
      <c r="D877" s="29" t="n"/>
      <c r="E877" s="29" t="n"/>
      <c r="F877" s="30">
        <f>IF(AND(ISNUMBER($D877),ISNUMBER($E877),$E877&gt;0,$D877&lt;=$E877),$D877/$E877,"")</f>
        <v/>
      </c>
      <c r="P877" s="26" t="n"/>
      <c r="Q877" s="26" t="n"/>
      <c r="R877" s="26" t="n"/>
      <c r="S877" s="26" t="n"/>
      <c r="T877" s="26" t="n"/>
      <c r="V877" s="27">
        <f>IF(ISNUMBER($C877),COUNTIFS($A$14:$A$1213,$A877,$C$14:$C$1213,"&gt;"&amp;$C877)+(COUNTIFS($A$14:$A$1213,$A877,$C$14:$C$1213,"="&amp;$C877)+1)/2,"")</f>
        <v/>
      </c>
      <c r="W877" s="27">
        <f>IF(ISNUMBER($F877),COUNTIFS($A$14:$A$1213,$A877,$F$14:$F$1213,"&gt;"&amp;$F877)+(COUNTIFS($A$14:$A$1213,$A877,$F$14:$F$1213,"="&amp;$F877)+1)/2,"")</f>
        <v/>
      </c>
      <c r="X877" s="27">
        <f>IF(OR(NOT(ISNUMBER($V877)),$AO877=1),"",$V877-(COUNTIFS($A$14:$A$1213,$A877,$C$14:$C$1213,"&gt;=0")+1)/2)</f>
        <v/>
      </c>
      <c r="Y877" s="27">
        <f>IF(OR(NOT(ISNUMBER($W877)),$AO877=1),"",$W877-(COUNTIFS($A$14:$A$1213,$A877,$F$14:$F$1213,"&gt;=0")+1)/2)</f>
        <v/>
      </c>
      <c r="Z877" s="27">
        <f>IF(ISNUMBER($V877),$A877&amp;"|"&amp;$V877,"")</f>
        <v/>
      </c>
      <c r="AA877" s="27">
        <f>IF(ISNUMBER($W877),$A877&amp;"|"&amp;$W877,"")</f>
        <v/>
      </c>
      <c r="AB877" s="27">
        <f>IF(ISNUMBER($F877),$A877&amp;"|"&amp;$F877,"")</f>
        <v/>
      </c>
      <c r="AC877" s="27">
        <f>IF(ISNUMBER($P877),COUNTIFS($A$14:$A$1213,$A877,$P$14:$P$1213,"&gt;"&amp;$P877)+(COUNTIFS($A$14:$A$1213,$A877,$P$14:$P$1213,"="&amp;$P877)+1)/2,"")</f>
        <v/>
      </c>
      <c r="AD877" s="27">
        <f>IF(ISNUMBER($Q877),COUNTIFS($A$14:$A$1213,$A877,$Q$14:$Q$1213,"&gt;"&amp;$Q877)+(COUNTIFS($A$14:$A$1213,$A877,$Q$14:$Q$1213,"="&amp;$Q877)+1)/2,"")</f>
        <v/>
      </c>
      <c r="AE877" s="27">
        <f>IF(ISNUMBER($R877),COUNTIFS($A$14:$A$1213,$A877,$R$14:$R$1213,"&gt;"&amp;$R877)+(COUNTIFS($A$14:$A$1213,$A877,$R$14:$R$1213,"="&amp;$R877)+1)/2,"")</f>
        <v/>
      </c>
      <c r="AF877" s="27">
        <f>IF(ISNUMBER($S877),COUNTIFS($A$14:$A$1213,$A877,$S$14:$S$1213,"&gt;"&amp;$S877)+(COUNTIFS($A$14:$A$1213,$A877,$S$14:$S$1213,"="&amp;$S877)+1)/2,"")</f>
        <v/>
      </c>
      <c r="AG877" s="27">
        <f>IF(ISNUMBER($T877),COUNTIFS($A$14:$A$1213,$A877,$T$14:$T$1213,"&gt;"&amp;$T877)+(COUNTIFS($A$14:$A$1213,$A877,$T$14:$T$1213,"="&amp;$T877)+1)/2,"")</f>
        <v/>
      </c>
      <c r="AH877" s="27">
        <f>IF(COUNT($AC877:$AG877)&lt;2,"",IF(MAX($AC877:$AG877)=MIN($AC877:$AG877),0,1))</f>
        <v/>
      </c>
      <c r="AI877" s="27">
        <f>IF($A877="","",IF(COUNTIF($A$14:$A877,$A877)=1,COUNTIF($AI$13:AI876,"&gt;0")+1,""))</f>
        <v/>
      </c>
      <c r="AO877" s="27">
        <f>IF($A877="","",IF(AND(COUNTIFS($A$14:$A$1213,$A877,$F$14:$F$1213,"&gt;=0")=2,IFERROR(INDEX($M$14:$M$313,MATCH($A877,$H$14:$H$313,0)),"Yes")&lt;&gt;"Yes"),1,0))</f>
        <v/>
      </c>
    </row>
    <row r="878">
      <c r="A878" s="19" t="n"/>
      <c r="B878" s="20" t="n"/>
      <c r="C878" s="21">
        <f>IFERROR(AVERAGE(P878:T878),"")</f>
        <v/>
      </c>
      <c r="D878" s="29" t="n"/>
      <c r="E878" s="29" t="n"/>
      <c r="F878" s="30">
        <f>IF(AND(ISNUMBER($D878),ISNUMBER($E878),$E878&gt;0,$D878&lt;=$E878),$D878/$E878,"")</f>
        <v/>
      </c>
      <c r="P878" s="26" t="n"/>
      <c r="Q878" s="26" t="n"/>
      <c r="R878" s="26" t="n"/>
      <c r="S878" s="26" t="n"/>
      <c r="T878" s="26" t="n"/>
      <c r="V878" s="27">
        <f>IF(ISNUMBER($C878),COUNTIFS($A$14:$A$1213,$A878,$C$14:$C$1213,"&gt;"&amp;$C878)+(COUNTIFS($A$14:$A$1213,$A878,$C$14:$C$1213,"="&amp;$C878)+1)/2,"")</f>
        <v/>
      </c>
      <c r="W878" s="27">
        <f>IF(ISNUMBER($F878),COUNTIFS($A$14:$A$1213,$A878,$F$14:$F$1213,"&gt;"&amp;$F878)+(COUNTIFS($A$14:$A$1213,$A878,$F$14:$F$1213,"="&amp;$F878)+1)/2,"")</f>
        <v/>
      </c>
      <c r="X878" s="27">
        <f>IF(OR(NOT(ISNUMBER($V878)),$AO878=1),"",$V878-(COUNTIFS($A$14:$A$1213,$A878,$C$14:$C$1213,"&gt;=0")+1)/2)</f>
        <v/>
      </c>
      <c r="Y878" s="27">
        <f>IF(OR(NOT(ISNUMBER($W878)),$AO878=1),"",$W878-(COUNTIFS($A$14:$A$1213,$A878,$F$14:$F$1213,"&gt;=0")+1)/2)</f>
        <v/>
      </c>
      <c r="Z878" s="27">
        <f>IF(ISNUMBER($V878),$A878&amp;"|"&amp;$V878,"")</f>
        <v/>
      </c>
      <c r="AA878" s="27">
        <f>IF(ISNUMBER($W878),$A878&amp;"|"&amp;$W878,"")</f>
        <v/>
      </c>
      <c r="AB878" s="27">
        <f>IF(ISNUMBER($F878),$A878&amp;"|"&amp;$F878,"")</f>
        <v/>
      </c>
      <c r="AC878" s="27">
        <f>IF(ISNUMBER($P878),COUNTIFS($A$14:$A$1213,$A878,$P$14:$P$1213,"&gt;"&amp;$P878)+(COUNTIFS($A$14:$A$1213,$A878,$P$14:$P$1213,"="&amp;$P878)+1)/2,"")</f>
        <v/>
      </c>
      <c r="AD878" s="27">
        <f>IF(ISNUMBER($Q878),COUNTIFS($A$14:$A$1213,$A878,$Q$14:$Q$1213,"&gt;"&amp;$Q878)+(COUNTIFS($A$14:$A$1213,$A878,$Q$14:$Q$1213,"="&amp;$Q878)+1)/2,"")</f>
        <v/>
      </c>
      <c r="AE878" s="27">
        <f>IF(ISNUMBER($R878),COUNTIFS($A$14:$A$1213,$A878,$R$14:$R$1213,"&gt;"&amp;$R878)+(COUNTIFS($A$14:$A$1213,$A878,$R$14:$R$1213,"="&amp;$R878)+1)/2,"")</f>
        <v/>
      </c>
      <c r="AF878" s="27">
        <f>IF(ISNUMBER($S878),COUNTIFS($A$14:$A$1213,$A878,$S$14:$S$1213,"&gt;"&amp;$S878)+(COUNTIFS($A$14:$A$1213,$A878,$S$14:$S$1213,"="&amp;$S878)+1)/2,"")</f>
        <v/>
      </c>
      <c r="AG878" s="27">
        <f>IF(ISNUMBER($T878),COUNTIFS($A$14:$A$1213,$A878,$T$14:$T$1213,"&gt;"&amp;$T878)+(COUNTIFS($A$14:$A$1213,$A878,$T$14:$T$1213,"="&amp;$T878)+1)/2,"")</f>
        <v/>
      </c>
      <c r="AH878" s="27">
        <f>IF(COUNT($AC878:$AG878)&lt;2,"",IF(MAX($AC878:$AG878)=MIN($AC878:$AG878),0,1))</f>
        <v/>
      </c>
      <c r="AI878" s="27">
        <f>IF($A878="","",IF(COUNTIF($A$14:$A878,$A878)=1,COUNTIF($AI$13:AI877,"&gt;0")+1,""))</f>
        <v/>
      </c>
      <c r="AO878" s="27">
        <f>IF($A878="","",IF(AND(COUNTIFS($A$14:$A$1213,$A878,$F$14:$F$1213,"&gt;=0")=2,IFERROR(INDEX($M$14:$M$313,MATCH($A878,$H$14:$H$313,0)),"Yes")&lt;&gt;"Yes"),1,0))</f>
        <v/>
      </c>
    </row>
    <row r="879">
      <c r="A879" s="19" t="n"/>
      <c r="B879" s="20" t="n"/>
      <c r="C879" s="21">
        <f>IFERROR(AVERAGE(P879:T879),"")</f>
        <v/>
      </c>
      <c r="D879" s="29" t="n"/>
      <c r="E879" s="29" t="n"/>
      <c r="F879" s="30">
        <f>IF(AND(ISNUMBER($D879),ISNUMBER($E879),$E879&gt;0,$D879&lt;=$E879),$D879/$E879,"")</f>
        <v/>
      </c>
      <c r="P879" s="26" t="n"/>
      <c r="Q879" s="26" t="n"/>
      <c r="R879" s="26" t="n"/>
      <c r="S879" s="26" t="n"/>
      <c r="T879" s="26" t="n"/>
      <c r="V879" s="27">
        <f>IF(ISNUMBER($C879),COUNTIFS($A$14:$A$1213,$A879,$C$14:$C$1213,"&gt;"&amp;$C879)+(COUNTIFS($A$14:$A$1213,$A879,$C$14:$C$1213,"="&amp;$C879)+1)/2,"")</f>
        <v/>
      </c>
      <c r="W879" s="27">
        <f>IF(ISNUMBER($F879),COUNTIFS($A$14:$A$1213,$A879,$F$14:$F$1213,"&gt;"&amp;$F879)+(COUNTIFS($A$14:$A$1213,$A879,$F$14:$F$1213,"="&amp;$F879)+1)/2,"")</f>
        <v/>
      </c>
      <c r="X879" s="27">
        <f>IF(OR(NOT(ISNUMBER($V879)),$AO879=1),"",$V879-(COUNTIFS($A$14:$A$1213,$A879,$C$14:$C$1213,"&gt;=0")+1)/2)</f>
        <v/>
      </c>
      <c r="Y879" s="27">
        <f>IF(OR(NOT(ISNUMBER($W879)),$AO879=1),"",$W879-(COUNTIFS($A$14:$A$1213,$A879,$F$14:$F$1213,"&gt;=0")+1)/2)</f>
        <v/>
      </c>
      <c r="Z879" s="27">
        <f>IF(ISNUMBER($V879),$A879&amp;"|"&amp;$V879,"")</f>
        <v/>
      </c>
      <c r="AA879" s="27">
        <f>IF(ISNUMBER($W879),$A879&amp;"|"&amp;$W879,"")</f>
        <v/>
      </c>
      <c r="AB879" s="27">
        <f>IF(ISNUMBER($F879),$A879&amp;"|"&amp;$F879,"")</f>
        <v/>
      </c>
      <c r="AC879" s="27">
        <f>IF(ISNUMBER($P879),COUNTIFS($A$14:$A$1213,$A879,$P$14:$P$1213,"&gt;"&amp;$P879)+(COUNTIFS($A$14:$A$1213,$A879,$P$14:$P$1213,"="&amp;$P879)+1)/2,"")</f>
        <v/>
      </c>
      <c r="AD879" s="27">
        <f>IF(ISNUMBER($Q879),COUNTIFS($A$14:$A$1213,$A879,$Q$14:$Q$1213,"&gt;"&amp;$Q879)+(COUNTIFS($A$14:$A$1213,$A879,$Q$14:$Q$1213,"="&amp;$Q879)+1)/2,"")</f>
        <v/>
      </c>
      <c r="AE879" s="27">
        <f>IF(ISNUMBER($R879),COUNTIFS($A$14:$A$1213,$A879,$R$14:$R$1213,"&gt;"&amp;$R879)+(COUNTIFS($A$14:$A$1213,$A879,$R$14:$R$1213,"="&amp;$R879)+1)/2,"")</f>
        <v/>
      </c>
      <c r="AF879" s="27">
        <f>IF(ISNUMBER($S879),COUNTIFS($A$14:$A$1213,$A879,$S$14:$S$1213,"&gt;"&amp;$S879)+(COUNTIFS($A$14:$A$1213,$A879,$S$14:$S$1213,"="&amp;$S879)+1)/2,"")</f>
        <v/>
      </c>
      <c r="AG879" s="27">
        <f>IF(ISNUMBER($T879),COUNTIFS($A$14:$A$1213,$A879,$T$14:$T$1213,"&gt;"&amp;$T879)+(COUNTIFS($A$14:$A$1213,$A879,$T$14:$T$1213,"="&amp;$T879)+1)/2,"")</f>
        <v/>
      </c>
      <c r="AH879" s="27">
        <f>IF(COUNT($AC879:$AG879)&lt;2,"",IF(MAX($AC879:$AG879)=MIN($AC879:$AG879),0,1))</f>
        <v/>
      </c>
      <c r="AI879" s="27">
        <f>IF($A879="","",IF(COUNTIF($A$14:$A879,$A879)=1,COUNTIF($AI$13:AI878,"&gt;0")+1,""))</f>
        <v/>
      </c>
      <c r="AO879" s="27">
        <f>IF($A879="","",IF(AND(COUNTIFS($A$14:$A$1213,$A879,$F$14:$F$1213,"&gt;=0")=2,IFERROR(INDEX($M$14:$M$313,MATCH($A879,$H$14:$H$313,0)),"Yes")&lt;&gt;"Yes"),1,0))</f>
        <v/>
      </c>
    </row>
    <row r="880">
      <c r="A880" s="19" t="n"/>
      <c r="B880" s="20" t="n"/>
      <c r="C880" s="21">
        <f>IFERROR(AVERAGE(P880:T880),"")</f>
        <v/>
      </c>
      <c r="D880" s="29" t="n"/>
      <c r="E880" s="29" t="n"/>
      <c r="F880" s="30">
        <f>IF(AND(ISNUMBER($D880),ISNUMBER($E880),$E880&gt;0,$D880&lt;=$E880),$D880/$E880,"")</f>
        <v/>
      </c>
      <c r="P880" s="26" t="n"/>
      <c r="Q880" s="26" t="n"/>
      <c r="R880" s="26" t="n"/>
      <c r="S880" s="26" t="n"/>
      <c r="T880" s="26" t="n"/>
      <c r="V880" s="27">
        <f>IF(ISNUMBER($C880),COUNTIFS($A$14:$A$1213,$A880,$C$14:$C$1213,"&gt;"&amp;$C880)+(COUNTIFS($A$14:$A$1213,$A880,$C$14:$C$1213,"="&amp;$C880)+1)/2,"")</f>
        <v/>
      </c>
      <c r="W880" s="27">
        <f>IF(ISNUMBER($F880),COUNTIFS($A$14:$A$1213,$A880,$F$14:$F$1213,"&gt;"&amp;$F880)+(COUNTIFS($A$14:$A$1213,$A880,$F$14:$F$1213,"="&amp;$F880)+1)/2,"")</f>
        <v/>
      </c>
      <c r="X880" s="27">
        <f>IF(OR(NOT(ISNUMBER($V880)),$AO880=1),"",$V880-(COUNTIFS($A$14:$A$1213,$A880,$C$14:$C$1213,"&gt;=0")+1)/2)</f>
        <v/>
      </c>
      <c r="Y880" s="27">
        <f>IF(OR(NOT(ISNUMBER($W880)),$AO880=1),"",$W880-(COUNTIFS($A$14:$A$1213,$A880,$F$14:$F$1213,"&gt;=0")+1)/2)</f>
        <v/>
      </c>
      <c r="Z880" s="27">
        <f>IF(ISNUMBER($V880),$A880&amp;"|"&amp;$V880,"")</f>
        <v/>
      </c>
      <c r="AA880" s="27">
        <f>IF(ISNUMBER($W880),$A880&amp;"|"&amp;$W880,"")</f>
        <v/>
      </c>
      <c r="AB880" s="27">
        <f>IF(ISNUMBER($F880),$A880&amp;"|"&amp;$F880,"")</f>
        <v/>
      </c>
      <c r="AC880" s="27">
        <f>IF(ISNUMBER($P880),COUNTIFS($A$14:$A$1213,$A880,$P$14:$P$1213,"&gt;"&amp;$P880)+(COUNTIFS($A$14:$A$1213,$A880,$P$14:$P$1213,"="&amp;$P880)+1)/2,"")</f>
        <v/>
      </c>
      <c r="AD880" s="27">
        <f>IF(ISNUMBER($Q880),COUNTIFS($A$14:$A$1213,$A880,$Q$14:$Q$1213,"&gt;"&amp;$Q880)+(COUNTIFS($A$14:$A$1213,$A880,$Q$14:$Q$1213,"="&amp;$Q880)+1)/2,"")</f>
        <v/>
      </c>
      <c r="AE880" s="27">
        <f>IF(ISNUMBER($R880),COUNTIFS($A$14:$A$1213,$A880,$R$14:$R$1213,"&gt;"&amp;$R880)+(COUNTIFS($A$14:$A$1213,$A880,$R$14:$R$1213,"="&amp;$R880)+1)/2,"")</f>
        <v/>
      </c>
      <c r="AF880" s="27">
        <f>IF(ISNUMBER($S880),COUNTIFS($A$14:$A$1213,$A880,$S$14:$S$1213,"&gt;"&amp;$S880)+(COUNTIFS($A$14:$A$1213,$A880,$S$14:$S$1213,"="&amp;$S880)+1)/2,"")</f>
        <v/>
      </c>
      <c r="AG880" s="27">
        <f>IF(ISNUMBER($T880),COUNTIFS($A$14:$A$1213,$A880,$T$14:$T$1213,"&gt;"&amp;$T880)+(COUNTIFS($A$14:$A$1213,$A880,$T$14:$T$1213,"="&amp;$T880)+1)/2,"")</f>
        <v/>
      </c>
      <c r="AH880" s="27">
        <f>IF(COUNT($AC880:$AG880)&lt;2,"",IF(MAX($AC880:$AG880)=MIN($AC880:$AG880),0,1))</f>
        <v/>
      </c>
      <c r="AI880" s="27">
        <f>IF($A880="","",IF(COUNTIF($A$14:$A880,$A880)=1,COUNTIF($AI$13:AI879,"&gt;0")+1,""))</f>
        <v/>
      </c>
      <c r="AO880" s="27">
        <f>IF($A880="","",IF(AND(COUNTIFS($A$14:$A$1213,$A880,$F$14:$F$1213,"&gt;=0")=2,IFERROR(INDEX($M$14:$M$313,MATCH($A880,$H$14:$H$313,0)),"Yes")&lt;&gt;"Yes"),1,0))</f>
        <v/>
      </c>
    </row>
    <row r="881">
      <c r="A881" s="19" t="n"/>
      <c r="B881" s="20" t="n"/>
      <c r="C881" s="21">
        <f>IFERROR(AVERAGE(P881:T881),"")</f>
        <v/>
      </c>
      <c r="D881" s="29" t="n"/>
      <c r="E881" s="29" t="n"/>
      <c r="F881" s="30">
        <f>IF(AND(ISNUMBER($D881),ISNUMBER($E881),$E881&gt;0,$D881&lt;=$E881),$D881/$E881,"")</f>
        <v/>
      </c>
      <c r="P881" s="26" t="n"/>
      <c r="Q881" s="26" t="n"/>
      <c r="R881" s="26" t="n"/>
      <c r="S881" s="26" t="n"/>
      <c r="T881" s="26" t="n"/>
      <c r="V881" s="27">
        <f>IF(ISNUMBER($C881),COUNTIFS($A$14:$A$1213,$A881,$C$14:$C$1213,"&gt;"&amp;$C881)+(COUNTIFS($A$14:$A$1213,$A881,$C$14:$C$1213,"="&amp;$C881)+1)/2,"")</f>
        <v/>
      </c>
      <c r="W881" s="27">
        <f>IF(ISNUMBER($F881),COUNTIFS($A$14:$A$1213,$A881,$F$14:$F$1213,"&gt;"&amp;$F881)+(COUNTIFS($A$14:$A$1213,$A881,$F$14:$F$1213,"="&amp;$F881)+1)/2,"")</f>
        <v/>
      </c>
      <c r="X881" s="27">
        <f>IF(OR(NOT(ISNUMBER($V881)),$AO881=1),"",$V881-(COUNTIFS($A$14:$A$1213,$A881,$C$14:$C$1213,"&gt;=0")+1)/2)</f>
        <v/>
      </c>
      <c r="Y881" s="27">
        <f>IF(OR(NOT(ISNUMBER($W881)),$AO881=1),"",$W881-(COUNTIFS($A$14:$A$1213,$A881,$F$14:$F$1213,"&gt;=0")+1)/2)</f>
        <v/>
      </c>
      <c r="Z881" s="27">
        <f>IF(ISNUMBER($V881),$A881&amp;"|"&amp;$V881,"")</f>
        <v/>
      </c>
      <c r="AA881" s="27">
        <f>IF(ISNUMBER($W881),$A881&amp;"|"&amp;$W881,"")</f>
        <v/>
      </c>
      <c r="AB881" s="27">
        <f>IF(ISNUMBER($F881),$A881&amp;"|"&amp;$F881,"")</f>
        <v/>
      </c>
      <c r="AC881" s="27">
        <f>IF(ISNUMBER($P881),COUNTIFS($A$14:$A$1213,$A881,$P$14:$P$1213,"&gt;"&amp;$P881)+(COUNTIFS($A$14:$A$1213,$A881,$P$14:$P$1213,"="&amp;$P881)+1)/2,"")</f>
        <v/>
      </c>
      <c r="AD881" s="27">
        <f>IF(ISNUMBER($Q881),COUNTIFS($A$14:$A$1213,$A881,$Q$14:$Q$1213,"&gt;"&amp;$Q881)+(COUNTIFS($A$14:$A$1213,$A881,$Q$14:$Q$1213,"="&amp;$Q881)+1)/2,"")</f>
        <v/>
      </c>
      <c r="AE881" s="27">
        <f>IF(ISNUMBER($R881),COUNTIFS($A$14:$A$1213,$A881,$R$14:$R$1213,"&gt;"&amp;$R881)+(COUNTIFS($A$14:$A$1213,$A881,$R$14:$R$1213,"="&amp;$R881)+1)/2,"")</f>
        <v/>
      </c>
      <c r="AF881" s="27">
        <f>IF(ISNUMBER($S881),COUNTIFS($A$14:$A$1213,$A881,$S$14:$S$1213,"&gt;"&amp;$S881)+(COUNTIFS($A$14:$A$1213,$A881,$S$14:$S$1213,"="&amp;$S881)+1)/2,"")</f>
        <v/>
      </c>
      <c r="AG881" s="27">
        <f>IF(ISNUMBER($T881),COUNTIFS($A$14:$A$1213,$A881,$T$14:$T$1213,"&gt;"&amp;$T881)+(COUNTIFS($A$14:$A$1213,$A881,$T$14:$T$1213,"="&amp;$T881)+1)/2,"")</f>
        <v/>
      </c>
      <c r="AH881" s="27">
        <f>IF(COUNT($AC881:$AG881)&lt;2,"",IF(MAX($AC881:$AG881)=MIN($AC881:$AG881),0,1))</f>
        <v/>
      </c>
      <c r="AI881" s="27">
        <f>IF($A881="","",IF(COUNTIF($A$14:$A881,$A881)=1,COUNTIF($AI$13:AI880,"&gt;0")+1,""))</f>
        <v/>
      </c>
      <c r="AO881" s="27">
        <f>IF($A881="","",IF(AND(COUNTIFS($A$14:$A$1213,$A881,$F$14:$F$1213,"&gt;=0")=2,IFERROR(INDEX($M$14:$M$313,MATCH($A881,$H$14:$H$313,0)),"Yes")&lt;&gt;"Yes"),1,0))</f>
        <v/>
      </c>
    </row>
    <row r="882">
      <c r="A882" s="19" t="n"/>
      <c r="B882" s="20" t="n"/>
      <c r="C882" s="21">
        <f>IFERROR(AVERAGE(P882:T882),"")</f>
        <v/>
      </c>
      <c r="D882" s="29" t="n"/>
      <c r="E882" s="29" t="n"/>
      <c r="F882" s="30">
        <f>IF(AND(ISNUMBER($D882),ISNUMBER($E882),$E882&gt;0,$D882&lt;=$E882),$D882/$E882,"")</f>
        <v/>
      </c>
      <c r="P882" s="26" t="n"/>
      <c r="Q882" s="26" t="n"/>
      <c r="R882" s="26" t="n"/>
      <c r="S882" s="26" t="n"/>
      <c r="T882" s="26" t="n"/>
      <c r="V882" s="27">
        <f>IF(ISNUMBER($C882),COUNTIFS($A$14:$A$1213,$A882,$C$14:$C$1213,"&gt;"&amp;$C882)+(COUNTIFS($A$14:$A$1213,$A882,$C$14:$C$1213,"="&amp;$C882)+1)/2,"")</f>
        <v/>
      </c>
      <c r="W882" s="27">
        <f>IF(ISNUMBER($F882),COUNTIFS($A$14:$A$1213,$A882,$F$14:$F$1213,"&gt;"&amp;$F882)+(COUNTIFS($A$14:$A$1213,$A882,$F$14:$F$1213,"="&amp;$F882)+1)/2,"")</f>
        <v/>
      </c>
      <c r="X882" s="27">
        <f>IF(OR(NOT(ISNUMBER($V882)),$AO882=1),"",$V882-(COUNTIFS($A$14:$A$1213,$A882,$C$14:$C$1213,"&gt;=0")+1)/2)</f>
        <v/>
      </c>
      <c r="Y882" s="27">
        <f>IF(OR(NOT(ISNUMBER($W882)),$AO882=1),"",$W882-(COUNTIFS($A$14:$A$1213,$A882,$F$14:$F$1213,"&gt;=0")+1)/2)</f>
        <v/>
      </c>
      <c r="Z882" s="27">
        <f>IF(ISNUMBER($V882),$A882&amp;"|"&amp;$V882,"")</f>
        <v/>
      </c>
      <c r="AA882" s="27">
        <f>IF(ISNUMBER($W882),$A882&amp;"|"&amp;$W882,"")</f>
        <v/>
      </c>
      <c r="AB882" s="27">
        <f>IF(ISNUMBER($F882),$A882&amp;"|"&amp;$F882,"")</f>
        <v/>
      </c>
      <c r="AC882" s="27">
        <f>IF(ISNUMBER($P882),COUNTIFS($A$14:$A$1213,$A882,$P$14:$P$1213,"&gt;"&amp;$P882)+(COUNTIFS($A$14:$A$1213,$A882,$P$14:$P$1213,"="&amp;$P882)+1)/2,"")</f>
        <v/>
      </c>
      <c r="AD882" s="27">
        <f>IF(ISNUMBER($Q882),COUNTIFS($A$14:$A$1213,$A882,$Q$14:$Q$1213,"&gt;"&amp;$Q882)+(COUNTIFS($A$14:$A$1213,$A882,$Q$14:$Q$1213,"="&amp;$Q882)+1)/2,"")</f>
        <v/>
      </c>
      <c r="AE882" s="27">
        <f>IF(ISNUMBER($R882),COUNTIFS($A$14:$A$1213,$A882,$R$14:$R$1213,"&gt;"&amp;$R882)+(COUNTIFS($A$14:$A$1213,$A882,$R$14:$R$1213,"="&amp;$R882)+1)/2,"")</f>
        <v/>
      </c>
      <c r="AF882" s="27">
        <f>IF(ISNUMBER($S882),COUNTIFS($A$14:$A$1213,$A882,$S$14:$S$1213,"&gt;"&amp;$S882)+(COUNTIFS($A$14:$A$1213,$A882,$S$14:$S$1213,"="&amp;$S882)+1)/2,"")</f>
        <v/>
      </c>
      <c r="AG882" s="27">
        <f>IF(ISNUMBER($T882),COUNTIFS($A$14:$A$1213,$A882,$T$14:$T$1213,"&gt;"&amp;$T882)+(COUNTIFS($A$14:$A$1213,$A882,$T$14:$T$1213,"="&amp;$T882)+1)/2,"")</f>
        <v/>
      </c>
      <c r="AH882" s="27">
        <f>IF(COUNT($AC882:$AG882)&lt;2,"",IF(MAX($AC882:$AG882)=MIN($AC882:$AG882),0,1))</f>
        <v/>
      </c>
      <c r="AI882" s="27">
        <f>IF($A882="","",IF(COUNTIF($A$14:$A882,$A882)=1,COUNTIF($AI$13:AI881,"&gt;0")+1,""))</f>
        <v/>
      </c>
      <c r="AO882" s="27">
        <f>IF($A882="","",IF(AND(COUNTIFS($A$14:$A$1213,$A882,$F$14:$F$1213,"&gt;=0")=2,IFERROR(INDEX($M$14:$M$313,MATCH($A882,$H$14:$H$313,0)),"Yes")&lt;&gt;"Yes"),1,0))</f>
        <v/>
      </c>
    </row>
    <row r="883">
      <c r="A883" s="19" t="n"/>
      <c r="B883" s="20" t="n"/>
      <c r="C883" s="21">
        <f>IFERROR(AVERAGE(P883:T883),"")</f>
        <v/>
      </c>
      <c r="D883" s="29" t="n"/>
      <c r="E883" s="29" t="n"/>
      <c r="F883" s="30">
        <f>IF(AND(ISNUMBER($D883),ISNUMBER($E883),$E883&gt;0,$D883&lt;=$E883),$D883/$E883,"")</f>
        <v/>
      </c>
      <c r="P883" s="26" t="n"/>
      <c r="Q883" s="26" t="n"/>
      <c r="R883" s="26" t="n"/>
      <c r="S883" s="26" t="n"/>
      <c r="T883" s="26" t="n"/>
      <c r="V883" s="27">
        <f>IF(ISNUMBER($C883),COUNTIFS($A$14:$A$1213,$A883,$C$14:$C$1213,"&gt;"&amp;$C883)+(COUNTIFS($A$14:$A$1213,$A883,$C$14:$C$1213,"="&amp;$C883)+1)/2,"")</f>
        <v/>
      </c>
      <c r="W883" s="27">
        <f>IF(ISNUMBER($F883),COUNTIFS($A$14:$A$1213,$A883,$F$14:$F$1213,"&gt;"&amp;$F883)+(COUNTIFS($A$14:$A$1213,$A883,$F$14:$F$1213,"="&amp;$F883)+1)/2,"")</f>
        <v/>
      </c>
      <c r="X883" s="27">
        <f>IF(OR(NOT(ISNUMBER($V883)),$AO883=1),"",$V883-(COUNTIFS($A$14:$A$1213,$A883,$C$14:$C$1213,"&gt;=0")+1)/2)</f>
        <v/>
      </c>
      <c r="Y883" s="27">
        <f>IF(OR(NOT(ISNUMBER($W883)),$AO883=1),"",$W883-(COUNTIFS($A$14:$A$1213,$A883,$F$14:$F$1213,"&gt;=0")+1)/2)</f>
        <v/>
      </c>
      <c r="Z883" s="27">
        <f>IF(ISNUMBER($V883),$A883&amp;"|"&amp;$V883,"")</f>
        <v/>
      </c>
      <c r="AA883" s="27">
        <f>IF(ISNUMBER($W883),$A883&amp;"|"&amp;$W883,"")</f>
        <v/>
      </c>
      <c r="AB883" s="27">
        <f>IF(ISNUMBER($F883),$A883&amp;"|"&amp;$F883,"")</f>
        <v/>
      </c>
      <c r="AC883" s="27">
        <f>IF(ISNUMBER($P883),COUNTIFS($A$14:$A$1213,$A883,$P$14:$P$1213,"&gt;"&amp;$P883)+(COUNTIFS($A$14:$A$1213,$A883,$P$14:$P$1213,"="&amp;$P883)+1)/2,"")</f>
        <v/>
      </c>
      <c r="AD883" s="27">
        <f>IF(ISNUMBER($Q883),COUNTIFS($A$14:$A$1213,$A883,$Q$14:$Q$1213,"&gt;"&amp;$Q883)+(COUNTIFS($A$14:$A$1213,$A883,$Q$14:$Q$1213,"="&amp;$Q883)+1)/2,"")</f>
        <v/>
      </c>
      <c r="AE883" s="27">
        <f>IF(ISNUMBER($R883),COUNTIFS($A$14:$A$1213,$A883,$R$14:$R$1213,"&gt;"&amp;$R883)+(COUNTIFS($A$14:$A$1213,$A883,$R$14:$R$1213,"="&amp;$R883)+1)/2,"")</f>
        <v/>
      </c>
      <c r="AF883" s="27">
        <f>IF(ISNUMBER($S883),COUNTIFS($A$14:$A$1213,$A883,$S$14:$S$1213,"&gt;"&amp;$S883)+(COUNTIFS($A$14:$A$1213,$A883,$S$14:$S$1213,"="&amp;$S883)+1)/2,"")</f>
        <v/>
      </c>
      <c r="AG883" s="27">
        <f>IF(ISNUMBER($T883),COUNTIFS($A$14:$A$1213,$A883,$T$14:$T$1213,"&gt;"&amp;$T883)+(COUNTIFS($A$14:$A$1213,$A883,$T$14:$T$1213,"="&amp;$T883)+1)/2,"")</f>
        <v/>
      </c>
      <c r="AH883" s="27">
        <f>IF(COUNT($AC883:$AG883)&lt;2,"",IF(MAX($AC883:$AG883)=MIN($AC883:$AG883),0,1))</f>
        <v/>
      </c>
      <c r="AI883" s="27">
        <f>IF($A883="","",IF(COUNTIF($A$14:$A883,$A883)=1,COUNTIF($AI$13:AI882,"&gt;0")+1,""))</f>
        <v/>
      </c>
      <c r="AO883" s="27">
        <f>IF($A883="","",IF(AND(COUNTIFS($A$14:$A$1213,$A883,$F$14:$F$1213,"&gt;=0")=2,IFERROR(INDEX($M$14:$M$313,MATCH($A883,$H$14:$H$313,0)),"Yes")&lt;&gt;"Yes"),1,0))</f>
        <v/>
      </c>
    </row>
    <row r="884">
      <c r="A884" s="19" t="n"/>
      <c r="B884" s="20" t="n"/>
      <c r="C884" s="21">
        <f>IFERROR(AVERAGE(P884:T884),"")</f>
        <v/>
      </c>
      <c r="D884" s="29" t="n"/>
      <c r="E884" s="29" t="n"/>
      <c r="F884" s="30">
        <f>IF(AND(ISNUMBER($D884),ISNUMBER($E884),$E884&gt;0,$D884&lt;=$E884),$D884/$E884,"")</f>
        <v/>
      </c>
      <c r="P884" s="26" t="n"/>
      <c r="Q884" s="26" t="n"/>
      <c r="R884" s="26" t="n"/>
      <c r="S884" s="26" t="n"/>
      <c r="T884" s="26" t="n"/>
      <c r="V884" s="27">
        <f>IF(ISNUMBER($C884),COUNTIFS($A$14:$A$1213,$A884,$C$14:$C$1213,"&gt;"&amp;$C884)+(COUNTIFS($A$14:$A$1213,$A884,$C$14:$C$1213,"="&amp;$C884)+1)/2,"")</f>
        <v/>
      </c>
      <c r="W884" s="27">
        <f>IF(ISNUMBER($F884),COUNTIFS($A$14:$A$1213,$A884,$F$14:$F$1213,"&gt;"&amp;$F884)+(COUNTIFS($A$14:$A$1213,$A884,$F$14:$F$1213,"="&amp;$F884)+1)/2,"")</f>
        <v/>
      </c>
      <c r="X884" s="27">
        <f>IF(OR(NOT(ISNUMBER($V884)),$AO884=1),"",$V884-(COUNTIFS($A$14:$A$1213,$A884,$C$14:$C$1213,"&gt;=0")+1)/2)</f>
        <v/>
      </c>
      <c r="Y884" s="27">
        <f>IF(OR(NOT(ISNUMBER($W884)),$AO884=1),"",$W884-(COUNTIFS($A$14:$A$1213,$A884,$F$14:$F$1213,"&gt;=0")+1)/2)</f>
        <v/>
      </c>
      <c r="Z884" s="27">
        <f>IF(ISNUMBER($V884),$A884&amp;"|"&amp;$V884,"")</f>
        <v/>
      </c>
      <c r="AA884" s="27">
        <f>IF(ISNUMBER($W884),$A884&amp;"|"&amp;$W884,"")</f>
        <v/>
      </c>
      <c r="AB884" s="27">
        <f>IF(ISNUMBER($F884),$A884&amp;"|"&amp;$F884,"")</f>
        <v/>
      </c>
      <c r="AC884" s="27">
        <f>IF(ISNUMBER($P884),COUNTIFS($A$14:$A$1213,$A884,$P$14:$P$1213,"&gt;"&amp;$P884)+(COUNTIFS($A$14:$A$1213,$A884,$P$14:$P$1213,"="&amp;$P884)+1)/2,"")</f>
        <v/>
      </c>
      <c r="AD884" s="27">
        <f>IF(ISNUMBER($Q884),COUNTIFS($A$14:$A$1213,$A884,$Q$14:$Q$1213,"&gt;"&amp;$Q884)+(COUNTIFS($A$14:$A$1213,$A884,$Q$14:$Q$1213,"="&amp;$Q884)+1)/2,"")</f>
        <v/>
      </c>
      <c r="AE884" s="27">
        <f>IF(ISNUMBER($R884),COUNTIFS($A$14:$A$1213,$A884,$R$14:$R$1213,"&gt;"&amp;$R884)+(COUNTIFS($A$14:$A$1213,$A884,$R$14:$R$1213,"="&amp;$R884)+1)/2,"")</f>
        <v/>
      </c>
      <c r="AF884" s="27">
        <f>IF(ISNUMBER($S884),COUNTIFS($A$14:$A$1213,$A884,$S$14:$S$1213,"&gt;"&amp;$S884)+(COUNTIFS($A$14:$A$1213,$A884,$S$14:$S$1213,"="&amp;$S884)+1)/2,"")</f>
        <v/>
      </c>
      <c r="AG884" s="27">
        <f>IF(ISNUMBER($T884),COUNTIFS($A$14:$A$1213,$A884,$T$14:$T$1213,"&gt;"&amp;$T884)+(COUNTIFS($A$14:$A$1213,$A884,$T$14:$T$1213,"="&amp;$T884)+1)/2,"")</f>
        <v/>
      </c>
      <c r="AH884" s="27">
        <f>IF(COUNT($AC884:$AG884)&lt;2,"",IF(MAX($AC884:$AG884)=MIN($AC884:$AG884),0,1))</f>
        <v/>
      </c>
      <c r="AI884" s="27">
        <f>IF($A884="","",IF(COUNTIF($A$14:$A884,$A884)=1,COUNTIF($AI$13:AI883,"&gt;0")+1,""))</f>
        <v/>
      </c>
      <c r="AO884" s="27">
        <f>IF($A884="","",IF(AND(COUNTIFS($A$14:$A$1213,$A884,$F$14:$F$1213,"&gt;=0")=2,IFERROR(INDEX($M$14:$M$313,MATCH($A884,$H$14:$H$313,0)),"Yes")&lt;&gt;"Yes"),1,0))</f>
        <v/>
      </c>
    </row>
    <row r="885">
      <c r="A885" s="19" t="n"/>
      <c r="B885" s="20" t="n"/>
      <c r="C885" s="21">
        <f>IFERROR(AVERAGE(P885:T885),"")</f>
        <v/>
      </c>
      <c r="D885" s="29" t="n"/>
      <c r="E885" s="29" t="n"/>
      <c r="F885" s="30">
        <f>IF(AND(ISNUMBER($D885),ISNUMBER($E885),$E885&gt;0,$D885&lt;=$E885),$D885/$E885,"")</f>
        <v/>
      </c>
      <c r="P885" s="26" t="n"/>
      <c r="Q885" s="26" t="n"/>
      <c r="R885" s="26" t="n"/>
      <c r="S885" s="26" t="n"/>
      <c r="T885" s="26" t="n"/>
      <c r="V885" s="27">
        <f>IF(ISNUMBER($C885),COUNTIFS($A$14:$A$1213,$A885,$C$14:$C$1213,"&gt;"&amp;$C885)+(COUNTIFS($A$14:$A$1213,$A885,$C$14:$C$1213,"="&amp;$C885)+1)/2,"")</f>
        <v/>
      </c>
      <c r="W885" s="27">
        <f>IF(ISNUMBER($F885),COUNTIFS($A$14:$A$1213,$A885,$F$14:$F$1213,"&gt;"&amp;$F885)+(COUNTIFS($A$14:$A$1213,$A885,$F$14:$F$1213,"="&amp;$F885)+1)/2,"")</f>
        <v/>
      </c>
      <c r="X885" s="27">
        <f>IF(OR(NOT(ISNUMBER($V885)),$AO885=1),"",$V885-(COUNTIFS($A$14:$A$1213,$A885,$C$14:$C$1213,"&gt;=0")+1)/2)</f>
        <v/>
      </c>
      <c r="Y885" s="27">
        <f>IF(OR(NOT(ISNUMBER($W885)),$AO885=1),"",$W885-(COUNTIFS($A$14:$A$1213,$A885,$F$14:$F$1213,"&gt;=0")+1)/2)</f>
        <v/>
      </c>
      <c r="Z885" s="27">
        <f>IF(ISNUMBER($V885),$A885&amp;"|"&amp;$V885,"")</f>
        <v/>
      </c>
      <c r="AA885" s="27">
        <f>IF(ISNUMBER($W885),$A885&amp;"|"&amp;$W885,"")</f>
        <v/>
      </c>
      <c r="AB885" s="27">
        <f>IF(ISNUMBER($F885),$A885&amp;"|"&amp;$F885,"")</f>
        <v/>
      </c>
      <c r="AC885" s="27">
        <f>IF(ISNUMBER($P885),COUNTIFS($A$14:$A$1213,$A885,$P$14:$P$1213,"&gt;"&amp;$P885)+(COUNTIFS($A$14:$A$1213,$A885,$P$14:$P$1213,"="&amp;$P885)+1)/2,"")</f>
        <v/>
      </c>
      <c r="AD885" s="27">
        <f>IF(ISNUMBER($Q885),COUNTIFS($A$14:$A$1213,$A885,$Q$14:$Q$1213,"&gt;"&amp;$Q885)+(COUNTIFS($A$14:$A$1213,$A885,$Q$14:$Q$1213,"="&amp;$Q885)+1)/2,"")</f>
        <v/>
      </c>
      <c r="AE885" s="27">
        <f>IF(ISNUMBER($R885),COUNTIFS($A$14:$A$1213,$A885,$R$14:$R$1213,"&gt;"&amp;$R885)+(COUNTIFS($A$14:$A$1213,$A885,$R$14:$R$1213,"="&amp;$R885)+1)/2,"")</f>
        <v/>
      </c>
      <c r="AF885" s="27">
        <f>IF(ISNUMBER($S885),COUNTIFS($A$14:$A$1213,$A885,$S$14:$S$1213,"&gt;"&amp;$S885)+(COUNTIFS($A$14:$A$1213,$A885,$S$14:$S$1213,"="&amp;$S885)+1)/2,"")</f>
        <v/>
      </c>
      <c r="AG885" s="27">
        <f>IF(ISNUMBER($T885),COUNTIFS($A$14:$A$1213,$A885,$T$14:$T$1213,"&gt;"&amp;$T885)+(COUNTIFS($A$14:$A$1213,$A885,$T$14:$T$1213,"="&amp;$T885)+1)/2,"")</f>
        <v/>
      </c>
      <c r="AH885" s="27">
        <f>IF(COUNT($AC885:$AG885)&lt;2,"",IF(MAX($AC885:$AG885)=MIN($AC885:$AG885),0,1))</f>
        <v/>
      </c>
      <c r="AI885" s="27">
        <f>IF($A885="","",IF(COUNTIF($A$14:$A885,$A885)=1,COUNTIF($AI$13:AI884,"&gt;0")+1,""))</f>
        <v/>
      </c>
      <c r="AO885" s="27">
        <f>IF($A885="","",IF(AND(COUNTIFS($A$14:$A$1213,$A885,$F$14:$F$1213,"&gt;=0")=2,IFERROR(INDEX($M$14:$M$313,MATCH($A885,$H$14:$H$313,0)),"Yes")&lt;&gt;"Yes"),1,0))</f>
        <v/>
      </c>
    </row>
    <row r="886">
      <c r="A886" s="19" t="n"/>
      <c r="B886" s="20" t="n"/>
      <c r="C886" s="21">
        <f>IFERROR(AVERAGE(P886:T886),"")</f>
        <v/>
      </c>
      <c r="D886" s="29" t="n"/>
      <c r="E886" s="29" t="n"/>
      <c r="F886" s="30">
        <f>IF(AND(ISNUMBER($D886),ISNUMBER($E886),$E886&gt;0,$D886&lt;=$E886),$D886/$E886,"")</f>
        <v/>
      </c>
      <c r="P886" s="26" t="n"/>
      <c r="Q886" s="26" t="n"/>
      <c r="R886" s="26" t="n"/>
      <c r="S886" s="26" t="n"/>
      <c r="T886" s="26" t="n"/>
      <c r="V886" s="27">
        <f>IF(ISNUMBER($C886),COUNTIFS($A$14:$A$1213,$A886,$C$14:$C$1213,"&gt;"&amp;$C886)+(COUNTIFS($A$14:$A$1213,$A886,$C$14:$C$1213,"="&amp;$C886)+1)/2,"")</f>
        <v/>
      </c>
      <c r="W886" s="27">
        <f>IF(ISNUMBER($F886),COUNTIFS($A$14:$A$1213,$A886,$F$14:$F$1213,"&gt;"&amp;$F886)+(COUNTIFS($A$14:$A$1213,$A886,$F$14:$F$1213,"="&amp;$F886)+1)/2,"")</f>
        <v/>
      </c>
      <c r="X886" s="27">
        <f>IF(OR(NOT(ISNUMBER($V886)),$AO886=1),"",$V886-(COUNTIFS($A$14:$A$1213,$A886,$C$14:$C$1213,"&gt;=0")+1)/2)</f>
        <v/>
      </c>
      <c r="Y886" s="27">
        <f>IF(OR(NOT(ISNUMBER($W886)),$AO886=1),"",$W886-(COUNTIFS($A$14:$A$1213,$A886,$F$14:$F$1213,"&gt;=0")+1)/2)</f>
        <v/>
      </c>
      <c r="Z886" s="27">
        <f>IF(ISNUMBER($V886),$A886&amp;"|"&amp;$V886,"")</f>
        <v/>
      </c>
      <c r="AA886" s="27">
        <f>IF(ISNUMBER($W886),$A886&amp;"|"&amp;$W886,"")</f>
        <v/>
      </c>
      <c r="AB886" s="27">
        <f>IF(ISNUMBER($F886),$A886&amp;"|"&amp;$F886,"")</f>
        <v/>
      </c>
      <c r="AC886" s="27">
        <f>IF(ISNUMBER($P886),COUNTIFS($A$14:$A$1213,$A886,$P$14:$P$1213,"&gt;"&amp;$P886)+(COUNTIFS($A$14:$A$1213,$A886,$P$14:$P$1213,"="&amp;$P886)+1)/2,"")</f>
        <v/>
      </c>
      <c r="AD886" s="27">
        <f>IF(ISNUMBER($Q886),COUNTIFS($A$14:$A$1213,$A886,$Q$14:$Q$1213,"&gt;"&amp;$Q886)+(COUNTIFS($A$14:$A$1213,$A886,$Q$14:$Q$1213,"="&amp;$Q886)+1)/2,"")</f>
        <v/>
      </c>
      <c r="AE886" s="27">
        <f>IF(ISNUMBER($R886),COUNTIFS($A$14:$A$1213,$A886,$R$14:$R$1213,"&gt;"&amp;$R886)+(COUNTIFS($A$14:$A$1213,$A886,$R$14:$R$1213,"="&amp;$R886)+1)/2,"")</f>
        <v/>
      </c>
      <c r="AF886" s="27">
        <f>IF(ISNUMBER($S886),COUNTIFS($A$14:$A$1213,$A886,$S$14:$S$1213,"&gt;"&amp;$S886)+(COUNTIFS($A$14:$A$1213,$A886,$S$14:$S$1213,"="&amp;$S886)+1)/2,"")</f>
        <v/>
      </c>
      <c r="AG886" s="27">
        <f>IF(ISNUMBER($T886),COUNTIFS($A$14:$A$1213,$A886,$T$14:$T$1213,"&gt;"&amp;$T886)+(COUNTIFS($A$14:$A$1213,$A886,$T$14:$T$1213,"="&amp;$T886)+1)/2,"")</f>
        <v/>
      </c>
      <c r="AH886" s="27">
        <f>IF(COUNT($AC886:$AG886)&lt;2,"",IF(MAX($AC886:$AG886)=MIN($AC886:$AG886),0,1))</f>
        <v/>
      </c>
      <c r="AI886" s="27">
        <f>IF($A886="","",IF(COUNTIF($A$14:$A886,$A886)=1,COUNTIF($AI$13:AI885,"&gt;0")+1,""))</f>
        <v/>
      </c>
      <c r="AO886" s="27">
        <f>IF($A886="","",IF(AND(COUNTIFS($A$14:$A$1213,$A886,$F$14:$F$1213,"&gt;=0")=2,IFERROR(INDEX($M$14:$M$313,MATCH($A886,$H$14:$H$313,0)),"Yes")&lt;&gt;"Yes"),1,0))</f>
        <v/>
      </c>
    </row>
    <row r="887">
      <c r="A887" s="19" t="n"/>
      <c r="B887" s="20" t="n"/>
      <c r="C887" s="21">
        <f>IFERROR(AVERAGE(P887:T887),"")</f>
        <v/>
      </c>
      <c r="D887" s="29" t="n"/>
      <c r="E887" s="29" t="n"/>
      <c r="F887" s="30">
        <f>IF(AND(ISNUMBER($D887),ISNUMBER($E887),$E887&gt;0,$D887&lt;=$E887),$D887/$E887,"")</f>
        <v/>
      </c>
      <c r="P887" s="26" t="n"/>
      <c r="Q887" s="26" t="n"/>
      <c r="R887" s="26" t="n"/>
      <c r="S887" s="26" t="n"/>
      <c r="T887" s="26" t="n"/>
      <c r="V887" s="27">
        <f>IF(ISNUMBER($C887),COUNTIFS($A$14:$A$1213,$A887,$C$14:$C$1213,"&gt;"&amp;$C887)+(COUNTIFS($A$14:$A$1213,$A887,$C$14:$C$1213,"="&amp;$C887)+1)/2,"")</f>
        <v/>
      </c>
      <c r="W887" s="27">
        <f>IF(ISNUMBER($F887),COUNTIFS($A$14:$A$1213,$A887,$F$14:$F$1213,"&gt;"&amp;$F887)+(COUNTIFS($A$14:$A$1213,$A887,$F$14:$F$1213,"="&amp;$F887)+1)/2,"")</f>
        <v/>
      </c>
      <c r="X887" s="27">
        <f>IF(OR(NOT(ISNUMBER($V887)),$AO887=1),"",$V887-(COUNTIFS($A$14:$A$1213,$A887,$C$14:$C$1213,"&gt;=0")+1)/2)</f>
        <v/>
      </c>
      <c r="Y887" s="27">
        <f>IF(OR(NOT(ISNUMBER($W887)),$AO887=1),"",$W887-(COUNTIFS($A$14:$A$1213,$A887,$F$14:$F$1213,"&gt;=0")+1)/2)</f>
        <v/>
      </c>
      <c r="Z887" s="27">
        <f>IF(ISNUMBER($V887),$A887&amp;"|"&amp;$V887,"")</f>
        <v/>
      </c>
      <c r="AA887" s="27">
        <f>IF(ISNUMBER($W887),$A887&amp;"|"&amp;$W887,"")</f>
        <v/>
      </c>
      <c r="AB887" s="27">
        <f>IF(ISNUMBER($F887),$A887&amp;"|"&amp;$F887,"")</f>
        <v/>
      </c>
      <c r="AC887" s="27">
        <f>IF(ISNUMBER($P887),COUNTIFS($A$14:$A$1213,$A887,$P$14:$P$1213,"&gt;"&amp;$P887)+(COUNTIFS($A$14:$A$1213,$A887,$P$14:$P$1213,"="&amp;$P887)+1)/2,"")</f>
        <v/>
      </c>
      <c r="AD887" s="27">
        <f>IF(ISNUMBER($Q887),COUNTIFS($A$14:$A$1213,$A887,$Q$14:$Q$1213,"&gt;"&amp;$Q887)+(COUNTIFS($A$14:$A$1213,$A887,$Q$14:$Q$1213,"="&amp;$Q887)+1)/2,"")</f>
        <v/>
      </c>
      <c r="AE887" s="27">
        <f>IF(ISNUMBER($R887),COUNTIFS($A$14:$A$1213,$A887,$R$14:$R$1213,"&gt;"&amp;$R887)+(COUNTIFS($A$14:$A$1213,$A887,$R$14:$R$1213,"="&amp;$R887)+1)/2,"")</f>
        <v/>
      </c>
      <c r="AF887" s="27">
        <f>IF(ISNUMBER($S887),COUNTIFS($A$14:$A$1213,$A887,$S$14:$S$1213,"&gt;"&amp;$S887)+(COUNTIFS($A$14:$A$1213,$A887,$S$14:$S$1213,"="&amp;$S887)+1)/2,"")</f>
        <v/>
      </c>
      <c r="AG887" s="27">
        <f>IF(ISNUMBER($T887),COUNTIFS($A$14:$A$1213,$A887,$T$14:$T$1213,"&gt;"&amp;$T887)+(COUNTIFS($A$14:$A$1213,$A887,$T$14:$T$1213,"="&amp;$T887)+1)/2,"")</f>
        <v/>
      </c>
      <c r="AH887" s="27">
        <f>IF(COUNT($AC887:$AG887)&lt;2,"",IF(MAX($AC887:$AG887)=MIN($AC887:$AG887),0,1))</f>
        <v/>
      </c>
      <c r="AI887" s="27">
        <f>IF($A887="","",IF(COUNTIF($A$14:$A887,$A887)=1,COUNTIF($AI$13:AI886,"&gt;0")+1,""))</f>
        <v/>
      </c>
      <c r="AO887" s="27">
        <f>IF($A887="","",IF(AND(COUNTIFS($A$14:$A$1213,$A887,$F$14:$F$1213,"&gt;=0")=2,IFERROR(INDEX($M$14:$M$313,MATCH($A887,$H$14:$H$313,0)),"Yes")&lt;&gt;"Yes"),1,0))</f>
        <v/>
      </c>
    </row>
    <row r="888">
      <c r="A888" s="19" t="n"/>
      <c r="B888" s="20" t="n"/>
      <c r="C888" s="21">
        <f>IFERROR(AVERAGE(P888:T888),"")</f>
        <v/>
      </c>
      <c r="D888" s="29" t="n"/>
      <c r="E888" s="29" t="n"/>
      <c r="F888" s="30">
        <f>IF(AND(ISNUMBER($D888),ISNUMBER($E888),$E888&gt;0,$D888&lt;=$E888),$D888/$E888,"")</f>
        <v/>
      </c>
      <c r="P888" s="26" t="n"/>
      <c r="Q888" s="26" t="n"/>
      <c r="R888" s="26" t="n"/>
      <c r="S888" s="26" t="n"/>
      <c r="T888" s="26" t="n"/>
      <c r="V888" s="27">
        <f>IF(ISNUMBER($C888),COUNTIFS($A$14:$A$1213,$A888,$C$14:$C$1213,"&gt;"&amp;$C888)+(COUNTIFS($A$14:$A$1213,$A888,$C$14:$C$1213,"="&amp;$C888)+1)/2,"")</f>
        <v/>
      </c>
      <c r="W888" s="27">
        <f>IF(ISNUMBER($F888),COUNTIFS($A$14:$A$1213,$A888,$F$14:$F$1213,"&gt;"&amp;$F888)+(COUNTIFS($A$14:$A$1213,$A888,$F$14:$F$1213,"="&amp;$F888)+1)/2,"")</f>
        <v/>
      </c>
      <c r="X888" s="27">
        <f>IF(OR(NOT(ISNUMBER($V888)),$AO888=1),"",$V888-(COUNTIFS($A$14:$A$1213,$A888,$C$14:$C$1213,"&gt;=0")+1)/2)</f>
        <v/>
      </c>
      <c r="Y888" s="27">
        <f>IF(OR(NOT(ISNUMBER($W888)),$AO888=1),"",$W888-(COUNTIFS($A$14:$A$1213,$A888,$F$14:$F$1213,"&gt;=0")+1)/2)</f>
        <v/>
      </c>
      <c r="Z888" s="27">
        <f>IF(ISNUMBER($V888),$A888&amp;"|"&amp;$V888,"")</f>
        <v/>
      </c>
      <c r="AA888" s="27">
        <f>IF(ISNUMBER($W888),$A888&amp;"|"&amp;$W888,"")</f>
        <v/>
      </c>
      <c r="AB888" s="27">
        <f>IF(ISNUMBER($F888),$A888&amp;"|"&amp;$F888,"")</f>
        <v/>
      </c>
      <c r="AC888" s="27">
        <f>IF(ISNUMBER($P888),COUNTIFS($A$14:$A$1213,$A888,$P$14:$P$1213,"&gt;"&amp;$P888)+(COUNTIFS($A$14:$A$1213,$A888,$P$14:$P$1213,"="&amp;$P888)+1)/2,"")</f>
        <v/>
      </c>
      <c r="AD888" s="27">
        <f>IF(ISNUMBER($Q888),COUNTIFS($A$14:$A$1213,$A888,$Q$14:$Q$1213,"&gt;"&amp;$Q888)+(COUNTIFS($A$14:$A$1213,$A888,$Q$14:$Q$1213,"="&amp;$Q888)+1)/2,"")</f>
        <v/>
      </c>
      <c r="AE888" s="27">
        <f>IF(ISNUMBER($R888),COUNTIFS($A$14:$A$1213,$A888,$R$14:$R$1213,"&gt;"&amp;$R888)+(COUNTIFS($A$14:$A$1213,$A888,$R$14:$R$1213,"="&amp;$R888)+1)/2,"")</f>
        <v/>
      </c>
      <c r="AF888" s="27">
        <f>IF(ISNUMBER($S888),COUNTIFS($A$14:$A$1213,$A888,$S$14:$S$1213,"&gt;"&amp;$S888)+(COUNTIFS($A$14:$A$1213,$A888,$S$14:$S$1213,"="&amp;$S888)+1)/2,"")</f>
        <v/>
      </c>
      <c r="AG888" s="27">
        <f>IF(ISNUMBER($T888),COUNTIFS($A$14:$A$1213,$A888,$T$14:$T$1213,"&gt;"&amp;$T888)+(COUNTIFS($A$14:$A$1213,$A888,$T$14:$T$1213,"="&amp;$T888)+1)/2,"")</f>
        <v/>
      </c>
      <c r="AH888" s="27">
        <f>IF(COUNT($AC888:$AG888)&lt;2,"",IF(MAX($AC888:$AG888)=MIN($AC888:$AG888),0,1))</f>
        <v/>
      </c>
      <c r="AI888" s="27">
        <f>IF($A888="","",IF(COUNTIF($A$14:$A888,$A888)=1,COUNTIF($AI$13:AI887,"&gt;0")+1,""))</f>
        <v/>
      </c>
      <c r="AO888" s="27">
        <f>IF($A888="","",IF(AND(COUNTIFS($A$14:$A$1213,$A888,$F$14:$F$1213,"&gt;=0")=2,IFERROR(INDEX($M$14:$M$313,MATCH($A888,$H$14:$H$313,0)),"Yes")&lt;&gt;"Yes"),1,0))</f>
        <v/>
      </c>
    </row>
    <row r="889">
      <c r="A889" s="19" t="n"/>
      <c r="B889" s="20" t="n"/>
      <c r="C889" s="21">
        <f>IFERROR(AVERAGE(P889:T889),"")</f>
        <v/>
      </c>
      <c r="D889" s="29" t="n"/>
      <c r="E889" s="29" t="n"/>
      <c r="F889" s="30">
        <f>IF(AND(ISNUMBER($D889),ISNUMBER($E889),$E889&gt;0,$D889&lt;=$E889),$D889/$E889,"")</f>
        <v/>
      </c>
      <c r="P889" s="26" t="n"/>
      <c r="Q889" s="26" t="n"/>
      <c r="R889" s="26" t="n"/>
      <c r="S889" s="26" t="n"/>
      <c r="T889" s="26" t="n"/>
      <c r="V889" s="27">
        <f>IF(ISNUMBER($C889),COUNTIFS($A$14:$A$1213,$A889,$C$14:$C$1213,"&gt;"&amp;$C889)+(COUNTIFS($A$14:$A$1213,$A889,$C$14:$C$1213,"="&amp;$C889)+1)/2,"")</f>
        <v/>
      </c>
      <c r="W889" s="27">
        <f>IF(ISNUMBER($F889),COUNTIFS($A$14:$A$1213,$A889,$F$14:$F$1213,"&gt;"&amp;$F889)+(COUNTIFS($A$14:$A$1213,$A889,$F$14:$F$1213,"="&amp;$F889)+1)/2,"")</f>
        <v/>
      </c>
      <c r="X889" s="27">
        <f>IF(OR(NOT(ISNUMBER($V889)),$AO889=1),"",$V889-(COUNTIFS($A$14:$A$1213,$A889,$C$14:$C$1213,"&gt;=0")+1)/2)</f>
        <v/>
      </c>
      <c r="Y889" s="27">
        <f>IF(OR(NOT(ISNUMBER($W889)),$AO889=1),"",$W889-(COUNTIFS($A$14:$A$1213,$A889,$F$14:$F$1213,"&gt;=0")+1)/2)</f>
        <v/>
      </c>
      <c r="Z889" s="27">
        <f>IF(ISNUMBER($V889),$A889&amp;"|"&amp;$V889,"")</f>
        <v/>
      </c>
      <c r="AA889" s="27">
        <f>IF(ISNUMBER($W889),$A889&amp;"|"&amp;$W889,"")</f>
        <v/>
      </c>
      <c r="AB889" s="27">
        <f>IF(ISNUMBER($F889),$A889&amp;"|"&amp;$F889,"")</f>
        <v/>
      </c>
      <c r="AC889" s="27">
        <f>IF(ISNUMBER($P889),COUNTIFS($A$14:$A$1213,$A889,$P$14:$P$1213,"&gt;"&amp;$P889)+(COUNTIFS($A$14:$A$1213,$A889,$P$14:$P$1213,"="&amp;$P889)+1)/2,"")</f>
        <v/>
      </c>
      <c r="AD889" s="27">
        <f>IF(ISNUMBER($Q889),COUNTIFS($A$14:$A$1213,$A889,$Q$14:$Q$1213,"&gt;"&amp;$Q889)+(COUNTIFS($A$14:$A$1213,$A889,$Q$14:$Q$1213,"="&amp;$Q889)+1)/2,"")</f>
        <v/>
      </c>
      <c r="AE889" s="27">
        <f>IF(ISNUMBER($R889),COUNTIFS($A$14:$A$1213,$A889,$R$14:$R$1213,"&gt;"&amp;$R889)+(COUNTIFS($A$14:$A$1213,$A889,$R$14:$R$1213,"="&amp;$R889)+1)/2,"")</f>
        <v/>
      </c>
      <c r="AF889" s="27">
        <f>IF(ISNUMBER($S889),COUNTIFS($A$14:$A$1213,$A889,$S$14:$S$1213,"&gt;"&amp;$S889)+(COUNTIFS($A$14:$A$1213,$A889,$S$14:$S$1213,"="&amp;$S889)+1)/2,"")</f>
        <v/>
      </c>
      <c r="AG889" s="27">
        <f>IF(ISNUMBER($T889),COUNTIFS($A$14:$A$1213,$A889,$T$14:$T$1213,"&gt;"&amp;$T889)+(COUNTIFS($A$14:$A$1213,$A889,$T$14:$T$1213,"="&amp;$T889)+1)/2,"")</f>
        <v/>
      </c>
      <c r="AH889" s="27">
        <f>IF(COUNT($AC889:$AG889)&lt;2,"",IF(MAX($AC889:$AG889)=MIN($AC889:$AG889),0,1))</f>
        <v/>
      </c>
      <c r="AI889" s="27">
        <f>IF($A889="","",IF(COUNTIF($A$14:$A889,$A889)=1,COUNTIF($AI$13:AI888,"&gt;0")+1,""))</f>
        <v/>
      </c>
      <c r="AO889" s="27">
        <f>IF($A889="","",IF(AND(COUNTIFS($A$14:$A$1213,$A889,$F$14:$F$1213,"&gt;=0")=2,IFERROR(INDEX($M$14:$M$313,MATCH($A889,$H$14:$H$313,0)),"Yes")&lt;&gt;"Yes"),1,0))</f>
        <v/>
      </c>
    </row>
    <row r="890">
      <c r="A890" s="19" t="n"/>
      <c r="B890" s="20" t="n"/>
      <c r="C890" s="21">
        <f>IFERROR(AVERAGE(P890:T890),"")</f>
        <v/>
      </c>
      <c r="D890" s="29" t="n"/>
      <c r="E890" s="29" t="n"/>
      <c r="F890" s="30">
        <f>IF(AND(ISNUMBER($D890),ISNUMBER($E890),$E890&gt;0,$D890&lt;=$E890),$D890/$E890,"")</f>
        <v/>
      </c>
      <c r="P890" s="26" t="n"/>
      <c r="Q890" s="26" t="n"/>
      <c r="R890" s="26" t="n"/>
      <c r="S890" s="26" t="n"/>
      <c r="T890" s="26" t="n"/>
      <c r="V890" s="27">
        <f>IF(ISNUMBER($C890),COUNTIFS($A$14:$A$1213,$A890,$C$14:$C$1213,"&gt;"&amp;$C890)+(COUNTIFS($A$14:$A$1213,$A890,$C$14:$C$1213,"="&amp;$C890)+1)/2,"")</f>
        <v/>
      </c>
      <c r="W890" s="27">
        <f>IF(ISNUMBER($F890),COUNTIFS($A$14:$A$1213,$A890,$F$14:$F$1213,"&gt;"&amp;$F890)+(COUNTIFS($A$14:$A$1213,$A890,$F$14:$F$1213,"="&amp;$F890)+1)/2,"")</f>
        <v/>
      </c>
      <c r="X890" s="27">
        <f>IF(OR(NOT(ISNUMBER($V890)),$AO890=1),"",$V890-(COUNTIFS($A$14:$A$1213,$A890,$C$14:$C$1213,"&gt;=0")+1)/2)</f>
        <v/>
      </c>
      <c r="Y890" s="27">
        <f>IF(OR(NOT(ISNUMBER($W890)),$AO890=1),"",$W890-(COUNTIFS($A$14:$A$1213,$A890,$F$14:$F$1213,"&gt;=0")+1)/2)</f>
        <v/>
      </c>
      <c r="Z890" s="27">
        <f>IF(ISNUMBER($V890),$A890&amp;"|"&amp;$V890,"")</f>
        <v/>
      </c>
      <c r="AA890" s="27">
        <f>IF(ISNUMBER($W890),$A890&amp;"|"&amp;$W890,"")</f>
        <v/>
      </c>
      <c r="AB890" s="27">
        <f>IF(ISNUMBER($F890),$A890&amp;"|"&amp;$F890,"")</f>
        <v/>
      </c>
      <c r="AC890" s="27">
        <f>IF(ISNUMBER($P890),COUNTIFS($A$14:$A$1213,$A890,$P$14:$P$1213,"&gt;"&amp;$P890)+(COUNTIFS($A$14:$A$1213,$A890,$P$14:$P$1213,"="&amp;$P890)+1)/2,"")</f>
        <v/>
      </c>
      <c r="AD890" s="27">
        <f>IF(ISNUMBER($Q890),COUNTIFS($A$14:$A$1213,$A890,$Q$14:$Q$1213,"&gt;"&amp;$Q890)+(COUNTIFS($A$14:$A$1213,$A890,$Q$14:$Q$1213,"="&amp;$Q890)+1)/2,"")</f>
        <v/>
      </c>
      <c r="AE890" s="27">
        <f>IF(ISNUMBER($R890),COUNTIFS($A$14:$A$1213,$A890,$R$14:$R$1213,"&gt;"&amp;$R890)+(COUNTIFS($A$14:$A$1213,$A890,$R$14:$R$1213,"="&amp;$R890)+1)/2,"")</f>
        <v/>
      </c>
      <c r="AF890" s="27">
        <f>IF(ISNUMBER($S890),COUNTIFS($A$14:$A$1213,$A890,$S$14:$S$1213,"&gt;"&amp;$S890)+(COUNTIFS($A$14:$A$1213,$A890,$S$14:$S$1213,"="&amp;$S890)+1)/2,"")</f>
        <v/>
      </c>
      <c r="AG890" s="27">
        <f>IF(ISNUMBER($T890),COUNTIFS($A$14:$A$1213,$A890,$T$14:$T$1213,"&gt;"&amp;$T890)+(COUNTIFS($A$14:$A$1213,$A890,$T$14:$T$1213,"="&amp;$T890)+1)/2,"")</f>
        <v/>
      </c>
      <c r="AH890" s="27">
        <f>IF(COUNT($AC890:$AG890)&lt;2,"",IF(MAX($AC890:$AG890)=MIN($AC890:$AG890),0,1))</f>
        <v/>
      </c>
      <c r="AI890" s="27">
        <f>IF($A890="","",IF(COUNTIF($A$14:$A890,$A890)=1,COUNTIF($AI$13:AI889,"&gt;0")+1,""))</f>
        <v/>
      </c>
      <c r="AO890" s="27">
        <f>IF($A890="","",IF(AND(COUNTIFS($A$14:$A$1213,$A890,$F$14:$F$1213,"&gt;=0")=2,IFERROR(INDEX($M$14:$M$313,MATCH($A890,$H$14:$H$313,0)),"Yes")&lt;&gt;"Yes"),1,0))</f>
        <v/>
      </c>
    </row>
    <row r="891">
      <c r="A891" s="19" t="n"/>
      <c r="B891" s="20" t="n"/>
      <c r="C891" s="21">
        <f>IFERROR(AVERAGE(P891:T891),"")</f>
        <v/>
      </c>
      <c r="D891" s="29" t="n"/>
      <c r="E891" s="29" t="n"/>
      <c r="F891" s="30">
        <f>IF(AND(ISNUMBER($D891),ISNUMBER($E891),$E891&gt;0,$D891&lt;=$E891),$D891/$E891,"")</f>
        <v/>
      </c>
      <c r="P891" s="26" t="n"/>
      <c r="Q891" s="26" t="n"/>
      <c r="R891" s="26" t="n"/>
      <c r="S891" s="26" t="n"/>
      <c r="T891" s="26" t="n"/>
      <c r="V891" s="27">
        <f>IF(ISNUMBER($C891),COUNTIFS($A$14:$A$1213,$A891,$C$14:$C$1213,"&gt;"&amp;$C891)+(COUNTIFS($A$14:$A$1213,$A891,$C$14:$C$1213,"="&amp;$C891)+1)/2,"")</f>
        <v/>
      </c>
      <c r="W891" s="27">
        <f>IF(ISNUMBER($F891),COUNTIFS($A$14:$A$1213,$A891,$F$14:$F$1213,"&gt;"&amp;$F891)+(COUNTIFS($A$14:$A$1213,$A891,$F$14:$F$1213,"="&amp;$F891)+1)/2,"")</f>
        <v/>
      </c>
      <c r="X891" s="27">
        <f>IF(OR(NOT(ISNUMBER($V891)),$AO891=1),"",$V891-(COUNTIFS($A$14:$A$1213,$A891,$C$14:$C$1213,"&gt;=0")+1)/2)</f>
        <v/>
      </c>
      <c r="Y891" s="27">
        <f>IF(OR(NOT(ISNUMBER($W891)),$AO891=1),"",$W891-(COUNTIFS($A$14:$A$1213,$A891,$F$14:$F$1213,"&gt;=0")+1)/2)</f>
        <v/>
      </c>
      <c r="Z891" s="27">
        <f>IF(ISNUMBER($V891),$A891&amp;"|"&amp;$V891,"")</f>
        <v/>
      </c>
      <c r="AA891" s="27">
        <f>IF(ISNUMBER($W891),$A891&amp;"|"&amp;$W891,"")</f>
        <v/>
      </c>
      <c r="AB891" s="27">
        <f>IF(ISNUMBER($F891),$A891&amp;"|"&amp;$F891,"")</f>
        <v/>
      </c>
      <c r="AC891" s="27">
        <f>IF(ISNUMBER($P891),COUNTIFS($A$14:$A$1213,$A891,$P$14:$P$1213,"&gt;"&amp;$P891)+(COUNTIFS($A$14:$A$1213,$A891,$P$14:$P$1213,"="&amp;$P891)+1)/2,"")</f>
        <v/>
      </c>
      <c r="AD891" s="27">
        <f>IF(ISNUMBER($Q891),COUNTIFS($A$14:$A$1213,$A891,$Q$14:$Q$1213,"&gt;"&amp;$Q891)+(COUNTIFS($A$14:$A$1213,$A891,$Q$14:$Q$1213,"="&amp;$Q891)+1)/2,"")</f>
        <v/>
      </c>
      <c r="AE891" s="27">
        <f>IF(ISNUMBER($R891),COUNTIFS($A$14:$A$1213,$A891,$R$14:$R$1213,"&gt;"&amp;$R891)+(COUNTIFS($A$14:$A$1213,$A891,$R$14:$R$1213,"="&amp;$R891)+1)/2,"")</f>
        <v/>
      </c>
      <c r="AF891" s="27">
        <f>IF(ISNUMBER($S891),COUNTIFS($A$14:$A$1213,$A891,$S$14:$S$1213,"&gt;"&amp;$S891)+(COUNTIFS($A$14:$A$1213,$A891,$S$14:$S$1213,"="&amp;$S891)+1)/2,"")</f>
        <v/>
      </c>
      <c r="AG891" s="27">
        <f>IF(ISNUMBER($T891),COUNTIFS($A$14:$A$1213,$A891,$T$14:$T$1213,"&gt;"&amp;$T891)+(COUNTIFS($A$14:$A$1213,$A891,$T$14:$T$1213,"="&amp;$T891)+1)/2,"")</f>
        <v/>
      </c>
      <c r="AH891" s="27">
        <f>IF(COUNT($AC891:$AG891)&lt;2,"",IF(MAX($AC891:$AG891)=MIN($AC891:$AG891),0,1))</f>
        <v/>
      </c>
      <c r="AI891" s="27">
        <f>IF($A891="","",IF(COUNTIF($A$14:$A891,$A891)=1,COUNTIF($AI$13:AI890,"&gt;0")+1,""))</f>
        <v/>
      </c>
      <c r="AO891" s="27">
        <f>IF($A891="","",IF(AND(COUNTIFS($A$14:$A$1213,$A891,$F$14:$F$1213,"&gt;=0")=2,IFERROR(INDEX($M$14:$M$313,MATCH($A891,$H$14:$H$313,0)),"Yes")&lt;&gt;"Yes"),1,0))</f>
        <v/>
      </c>
    </row>
    <row r="892">
      <c r="A892" s="19" t="n"/>
      <c r="B892" s="20" t="n"/>
      <c r="C892" s="21">
        <f>IFERROR(AVERAGE(P892:T892),"")</f>
        <v/>
      </c>
      <c r="D892" s="29" t="n"/>
      <c r="E892" s="29" t="n"/>
      <c r="F892" s="30">
        <f>IF(AND(ISNUMBER($D892),ISNUMBER($E892),$E892&gt;0,$D892&lt;=$E892),$D892/$E892,"")</f>
        <v/>
      </c>
      <c r="P892" s="26" t="n"/>
      <c r="Q892" s="26" t="n"/>
      <c r="R892" s="26" t="n"/>
      <c r="S892" s="26" t="n"/>
      <c r="T892" s="26" t="n"/>
      <c r="V892" s="27">
        <f>IF(ISNUMBER($C892),COUNTIFS($A$14:$A$1213,$A892,$C$14:$C$1213,"&gt;"&amp;$C892)+(COUNTIFS($A$14:$A$1213,$A892,$C$14:$C$1213,"="&amp;$C892)+1)/2,"")</f>
        <v/>
      </c>
      <c r="W892" s="27">
        <f>IF(ISNUMBER($F892),COUNTIFS($A$14:$A$1213,$A892,$F$14:$F$1213,"&gt;"&amp;$F892)+(COUNTIFS($A$14:$A$1213,$A892,$F$14:$F$1213,"="&amp;$F892)+1)/2,"")</f>
        <v/>
      </c>
      <c r="X892" s="27">
        <f>IF(OR(NOT(ISNUMBER($V892)),$AO892=1),"",$V892-(COUNTIFS($A$14:$A$1213,$A892,$C$14:$C$1213,"&gt;=0")+1)/2)</f>
        <v/>
      </c>
      <c r="Y892" s="27">
        <f>IF(OR(NOT(ISNUMBER($W892)),$AO892=1),"",$W892-(COUNTIFS($A$14:$A$1213,$A892,$F$14:$F$1213,"&gt;=0")+1)/2)</f>
        <v/>
      </c>
      <c r="Z892" s="27">
        <f>IF(ISNUMBER($V892),$A892&amp;"|"&amp;$V892,"")</f>
        <v/>
      </c>
      <c r="AA892" s="27">
        <f>IF(ISNUMBER($W892),$A892&amp;"|"&amp;$W892,"")</f>
        <v/>
      </c>
      <c r="AB892" s="27">
        <f>IF(ISNUMBER($F892),$A892&amp;"|"&amp;$F892,"")</f>
        <v/>
      </c>
      <c r="AC892" s="27">
        <f>IF(ISNUMBER($P892),COUNTIFS($A$14:$A$1213,$A892,$P$14:$P$1213,"&gt;"&amp;$P892)+(COUNTIFS($A$14:$A$1213,$A892,$P$14:$P$1213,"="&amp;$P892)+1)/2,"")</f>
        <v/>
      </c>
      <c r="AD892" s="27">
        <f>IF(ISNUMBER($Q892),COUNTIFS($A$14:$A$1213,$A892,$Q$14:$Q$1213,"&gt;"&amp;$Q892)+(COUNTIFS($A$14:$A$1213,$A892,$Q$14:$Q$1213,"="&amp;$Q892)+1)/2,"")</f>
        <v/>
      </c>
      <c r="AE892" s="27">
        <f>IF(ISNUMBER($R892),COUNTIFS($A$14:$A$1213,$A892,$R$14:$R$1213,"&gt;"&amp;$R892)+(COUNTIFS($A$14:$A$1213,$A892,$R$14:$R$1213,"="&amp;$R892)+1)/2,"")</f>
        <v/>
      </c>
      <c r="AF892" s="27">
        <f>IF(ISNUMBER($S892),COUNTIFS($A$14:$A$1213,$A892,$S$14:$S$1213,"&gt;"&amp;$S892)+(COUNTIFS($A$14:$A$1213,$A892,$S$14:$S$1213,"="&amp;$S892)+1)/2,"")</f>
        <v/>
      </c>
      <c r="AG892" s="27">
        <f>IF(ISNUMBER($T892),COUNTIFS($A$14:$A$1213,$A892,$T$14:$T$1213,"&gt;"&amp;$T892)+(COUNTIFS($A$14:$A$1213,$A892,$T$14:$T$1213,"="&amp;$T892)+1)/2,"")</f>
        <v/>
      </c>
      <c r="AH892" s="27">
        <f>IF(COUNT($AC892:$AG892)&lt;2,"",IF(MAX($AC892:$AG892)=MIN($AC892:$AG892),0,1))</f>
        <v/>
      </c>
      <c r="AI892" s="27">
        <f>IF($A892="","",IF(COUNTIF($A$14:$A892,$A892)=1,COUNTIF($AI$13:AI891,"&gt;0")+1,""))</f>
        <v/>
      </c>
      <c r="AO892" s="27">
        <f>IF($A892="","",IF(AND(COUNTIFS($A$14:$A$1213,$A892,$F$14:$F$1213,"&gt;=0")=2,IFERROR(INDEX($M$14:$M$313,MATCH($A892,$H$14:$H$313,0)),"Yes")&lt;&gt;"Yes"),1,0))</f>
        <v/>
      </c>
    </row>
    <row r="893">
      <c r="A893" s="19" t="n"/>
      <c r="B893" s="20" t="n"/>
      <c r="C893" s="21">
        <f>IFERROR(AVERAGE(P893:T893),"")</f>
        <v/>
      </c>
      <c r="D893" s="29" t="n"/>
      <c r="E893" s="29" t="n"/>
      <c r="F893" s="30">
        <f>IF(AND(ISNUMBER($D893),ISNUMBER($E893),$E893&gt;0,$D893&lt;=$E893),$D893/$E893,"")</f>
        <v/>
      </c>
      <c r="P893" s="26" t="n"/>
      <c r="Q893" s="26" t="n"/>
      <c r="R893" s="26" t="n"/>
      <c r="S893" s="26" t="n"/>
      <c r="T893" s="26" t="n"/>
      <c r="V893" s="27">
        <f>IF(ISNUMBER($C893),COUNTIFS($A$14:$A$1213,$A893,$C$14:$C$1213,"&gt;"&amp;$C893)+(COUNTIFS($A$14:$A$1213,$A893,$C$14:$C$1213,"="&amp;$C893)+1)/2,"")</f>
        <v/>
      </c>
      <c r="W893" s="27">
        <f>IF(ISNUMBER($F893),COUNTIFS($A$14:$A$1213,$A893,$F$14:$F$1213,"&gt;"&amp;$F893)+(COUNTIFS($A$14:$A$1213,$A893,$F$14:$F$1213,"="&amp;$F893)+1)/2,"")</f>
        <v/>
      </c>
      <c r="X893" s="27">
        <f>IF(OR(NOT(ISNUMBER($V893)),$AO893=1),"",$V893-(COUNTIFS($A$14:$A$1213,$A893,$C$14:$C$1213,"&gt;=0")+1)/2)</f>
        <v/>
      </c>
      <c r="Y893" s="27">
        <f>IF(OR(NOT(ISNUMBER($W893)),$AO893=1),"",$W893-(COUNTIFS($A$14:$A$1213,$A893,$F$14:$F$1213,"&gt;=0")+1)/2)</f>
        <v/>
      </c>
      <c r="Z893" s="27">
        <f>IF(ISNUMBER($V893),$A893&amp;"|"&amp;$V893,"")</f>
        <v/>
      </c>
      <c r="AA893" s="27">
        <f>IF(ISNUMBER($W893),$A893&amp;"|"&amp;$W893,"")</f>
        <v/>
      </c>
      <c r="AB893" s="27">
        <f>IF(ISNUMBER($F893),$A893&amp;"|"&amp;$F893,"")</f>
        <v/>
      </c>
      <c r="AC893" s="27">
        <f>IF(ISNUMBER($P893),COUNTIFS($A$14:$A$1213,$A893,$P$14:$P$1213,"&gt;"&amp;$P893)+(COUNTIFS($A$14:$A$1213,$A893,$P$14:$P$1213,"="&amp;$P893)+1)/2,"")</f>
        <v/>
      </c>
      <c r="AD893" s="27">
        <f>IF(ISNUMBER($Q893),COUNTIFS($A$14:$A$1213,$A893,$Q$14:$Q$1213,"&gt;"&amp;$Q893)+(COUNTIFS($A$14:$A$1213,$A893,$Q$14:$Q$1213,"="&amp;$Q893)+1)/2,"")</f>
        <v/>
      </c>
      <c r="AE893" s="27">
        <f>IF(ISNUMBER($R893),COUNTIFS($A$14:$A$1213,$A893,$R$14:$R$1213,"&gt;"&amp;$R893)+(COUNTIFS($A$14:$A$1213,$A893,$R$14:$R$1213,"="&amp;$R893)+1)/2,"")</f>
        <v/>
      </c>
      <c r="AF893" s="27">
        <f>IF(ISNUMBER($S893),COUNTIFS($A$14:$A$1213,$A893,$S$14:$S$1213,"&gt;"&amp;$S893)+(COUNTIFS($A$14:$A$1213,$A893,$S$14:$S$1213,"="&amp;$S893)+1)/2,"")</f>
        <v/>
      </c>
      <c r="AG893" s="27">
        <f>IF(ISNUMBER($T893),COUNTIFS($A$14:$A$1213,$A893,$T$14:$T$1213,"&gt;"&amp;$T893)+(COUNTIFS($A$14:$A$1213,$A893,$T$14:$T$1213,"="&amp;$T893)+1)/2,"")</f>
        <v/>
      </c>
      <c r="AH893" s="27">
        <f>IF(COUNT($AC893:$AG893)&lt;2,"",IF(MAX($AC893:$AG893)=MIN($AC893:$AG893),0,1))</f>
        <v/>
      </c>
      <c r="AI893" s="27">
        <f>IF($A893="","",IF(COUNTIF($A$14:$A893,$A893)=1,COUNTIF($AI$13:AI892,"&gt;0")+1,""))</f>
        <v/>
      </c>
      <c r="AO893" s="27">
        <f>IF($A893="","",IF(AND(COUNTIFS($A$14:$A$1213,$A893,$F$14:$F$1213,"&gt;=0")=2,IFERROR(INDEX($M$14:$M$313,MATCH($A893,$H$14:$H$313,0)),"Yes")&lt;&gt;"Yes"),1,0))</f>
        <v/>
      </c>
    </row>
    <row r="894">
      <c r="A894" s="19" t="n"/>
      <c r="B894" s="20" t="n"/>
      <c r="C894" s="21">
        <f>IFERROR(AVERAGE(P894:T894),"")</f>
        <v/>
      </c>
      <c r="D894" s="29" t="n"/>
      <c r="E894" s="29" t="n"/>
      <c r="F894" s="30">
        <f>IF(AND(ISNUMBER($D894),ISNUMBER($E894),$E894&gt;0,$D894&lt;=$E894),$D894/$E894,"")</f>
        <v/>
      </c>
      <c r="P894" s="26" t="n"/>
      <c r="Q894" s="26" t="n"/>
      <c r="R894" s="26" t="n"/>
      <c r="S894" s="26" t="n"/>
      <c r="T894" s="26" t="n"/>
      <c r="V894" s="27">
        <f>IF(ISNUMBER($C894),COUNTIFS($A$14:$A$1213,$A894,$C$14:$C$1213,"&gt;"&amp;$C894)+(COUNTIFS($A$14:$A$1213,$A894,$C$14:$C$1213,"="&amp;$C894)+1)/2,"")</f>
        <v/>
      </c>
      <c r="W894" s="27">
        <f>IF(ISNUMBER($F894),COUNTIFS($A$14:$A$1213,$A894,$F$14:$F$1213,"&gt;"&amp;$F894)+(COUNTIFS($A$14:$A$1213,$A894,$F$14:$F$1213,"="&amp;$F894)+1)/2,"")</f>
        <v/>
      </c>
      <c r="X894" s="27">
        <f>IF(OR(NOT(ISNUMBER($V894)),$AO894=1),"",$V894-(COUNTIFS($A$14:$A$1213,$A894,$C$14:$C$1213,"&gt;=0")+1)/2)</f>
        <v/>
      </c>
      <c r="Y894" s="27">
        <f>IF(OR(NOT(ISNUMBER($W894)),$AO894=1),"",$W894-(COUNTIFS($A$14:$A$1213,$A894,$F$14:$F$1213,"&gt;=0")+1)/2)</f>
        <v/>
      </c>
      <c r="Z894" s="27">
        <f>IF(ISNUMBER($V894),$A894&amp;"|"&amp;$V894,"")</f>
        <v/>
      </c>
      <c r="AA894" s="27">
        <f>IF(ISNUMBER($W894),$A894&amp;"|"&amp;$W894,"")</f>
        <v/>
      </c>
      <c r="AB894" s="27">
        <f>IF(ISNUMBER($F894),$A894&amp;"|"&amp;$F894,"")</f>
        <v/>
      </c>
      <c r="AC894" s="27">
        <f>IF(ISNUMBER($P894),COUNTIFS($A$14:$A$1213,$A894,$P$14:$P$1213,"&gt;"&amp;$P894)+(COUNTIFS($A$14:$A$1213,$A894,$P$14:$P$1213,"="&amp;$P894)+1)/2,"")</f>
        <v/>
      </c>
      <c r="AD894" s="27">
        <f>IF(ISNUMBER($Q894),COUNTIFS($A$14:$A$1213,$A894,$Q$14:$Q$1213,"&gt;"&amp;$Q894)+(COUNTIFS($A$14:$A$1213,$A894,$Q$14:$Q$1213,"="&amp;$Q894)+1)/2,"")</f>
        <v/>
      </c>
      <c r="AE894" s="27">
        <f>IF(ISNUMBER($R894),COUNTIFS($A$14:$A$1213,$A894,$R$14:$R$1213,"&gt;"&amp;$R894)+(COUNTIFS($A$14:$A$1213,$A894,$R$14:$R$1213,"="&amp;$R894)+1)/2,"")</f>
        <v/>
      </c>
      <c r="AF894" s="27">
        <f>IF(ISNUMBER($S894),COUNTIFS($A$14:$A$1213,$A894,$S$14:$S$1213,"&gt;"&amp;$S894)+(COUNTIFS($A$14:$A$1213,$A894,$S$14:$S$1213,"="&amp;$S894)+1)/2,"")</f>
        <v/>
      </c>
      <c r="AG894" s="27">
        <f>IF(ISNUMBER($T894),COUNTIFS($A$14:$A$1213,$A894,$T$14:$T$1213,"&gt;"&amp;$T894)+(COUNTIFS($A$14:$A$1213,$A894,$T$14:$T$1213,"="&amp;$T894)+1)/2,"")</f>
        <v/>
      </c>
      <c r="AH894" s="27">
        <f>IF(COUNT($AC894:$AG894)&lt;2,"",IF(MAX($AC894:$AG894)=MIN($AC894:$AG894),0,1))</f>
        <v/>
      </c>
      <c r="AI894" s="27">
        <f>IF($A894="","",IF(COUNTIF($A$14:$A894,$A894)=1,COUNTIF($AI$13:AI893,"&gt;0")+1,""))</f>
        <v/>
      </c>
      <c r="AO894" s="27">
        <f>IF($A894="","",IF(AND(COUNTIFS($A$14:$A$1213,$A894,$F$14:$F$1213,"&gt;=0")=2,IFERROR(INDEX($M$14:$M$313,MATCH($A894,$H$14:$H$313,0)),"Yes")&lt;&gt;"Yes"),1,0))</f>
        <v/>
      </c>
    </row>
    <row r="895">
      <c r="A895" s="19" t="n"/>
      <c r="B895" s="20" t="n"/>
      <c r="C895" s="21">
        <f>IFERROR(AVERAGE(P895:T895),"")</f>
        <v/>
      </c>
      <c r="D895" s="29" t="n"/>
      <c r="E895" s="29" t="n"/>
      <c r="F895" s="30">
        <f>IF(AND(ISNUMBER($D895),ISNUMBER($E895),$E895&gt;0,$D895&lt;=$E895),$D895/$E895,"")</f>
        <v/>
      </c>
      <c r="P895" s="26" t="n"/>
      <c r="Q895" s="26" t="n"/>
      <c r="R895" s="26" t="n"/>
      <c r="S895" s="26" t="n"/>
      <c r="T895" s="26" t="n"/>
      <c r="V895" s="27">
        <f>IF(ISNUMBER($C895),COUNTIFS($A$14:$A$1213,$A895,$C$14:$C$1213,"&gt;"&amp;$C895)+(COUNTIFS($A$14:$A$1213,$A895,$C$14:$C$1213,"="&amp;$C895)+1)/2,"")</f>
        <v/>
      </c>
      <c r="W895" s="27">
        <f>IF(ISNUMBER($F895),COUNTIFS($A$14:$A$1213,$A895,$F$14:$F$1213,"&gt;"&amp;$F895)+(COUNTIFS($A$14:$A$1213,$A895,$F$14:$F$1213,"="&amp;$F895)+1)/2,"")</f>
        <v/>
      </c>
      <c r="X895" s="27">
        <f>IF(OR(NOT(ISNUMBER($V895)),$AO895=1),"",$V895-(COUNTIFS($A$14:$A$1213,$A895,$C$14:$C$1213,"&gt;=0")+1)/2)</f>
        <v/>
      </c>
      <c r="Y895" s="27">
        <f>IF(OR(NOT(ISNUMBER($W895)),$AO895=1),"",$W895-(COUNTIFS($A$14:$A$1213,$A895,$F$14:$F$1213,"&gt;=0")+1)/2)</f>
        <v/>
      </c>
      <c r="Z895" s="27">
        <f>IF(ISNUMBER($V895),$A895&amp;"|"&amp;$V895,"")</f>
        <v/>
      </c>
      <c r="AA895" s="27">
        <f>IF(ISNUMBER($W895),$A895&amp;"|"&amp;$W895,"")</f>
        <v/>
      </c>
      <c r="AB895" s="27">
        <f>IF(ISNUMBER($F895),$A895&amp;"|"&amp;$F895,"")</f>
        <v/>
      </c>
      <c r="AC895" s="27">
        <f>IF(ISNUMBER($P895),COUNTIFS($A$14:$A$1213,$A895,$P$14:$P$1213,"&gt;"&amp;$P895)+(COUNTIFS($A$14:$A$1213,$A895,$P$14:$P$1213,"="&amp;$P895)+1)/2,"")</f>
        <v/>
      </c>
      <c r="AD895" s="27">
        <f>IF(ISNUMBER($Q895),COUNTIFS($A$14:$A$1213,$A895,$Q$14:$Q$1213,"&gt;"&amp;$Q895)+(COUNTIFS($A$14:$A$1213,$A895,$Q$14:$Q$1213,"="&amp;$Q895)+1)/2,"")</f>
        <v/>
      </c>
      <c r="AE895" s="27">
        <f>IF(ISNUMBER($R895),COUNTIFS($A$14:$A$1213,$A895,$R$14:$R$1213,"&gt;"&amp;$R895)+(COUNTIFS($A$14:$A$1213,$A895,$R$14:$R$1213,"="&amp;$R895)+1)/2,"")</f>
        <v/>
      </c>
      <c r="AF895" s="27">
        <f>IF(ISNUMBER($S895),COUNTIFS($A$14:$A$1213,$A895,$S$14:$S$1213,"&gt;"&amp;$S895)+(COUNTIFS($A$14:$A$1213,$A895,$S$14:$S$1213,"="&amp;$S895)+1)/2,"")</f>
        <v/>
      </c>
      <c r="AG895" s="27">
        <f>IF(ISNUMBER($T895),COUNTIFS($A$14:$A$1213,$A895,$T$14:$T$1213,"&gt;"&amp;$T895)+(COUNTIFS($A$14:$A$1213,$A895,$T$14:$T$1213,"="&amp;$T895)+1)/2,"")</f>
        <v/>
      </c>
      <c r="AH895" s="27">
        <f>IF(COUNT($AC895:$AG895)&lt;2,"",IF(MAX($AC895:$AG895)=MIN($AC895:$AG895),0,1))</f>
        <v/>
      </c>
      <c r="AI895" s="27">
        <f>IF($A895="","",IF(COUNTIF($A$14:$A895,$A895)=1,COUNTIF($AI$13:AI894,"&gt;0")+1,""))</f>
        <v/>
      </c>
      <c r="AO895" s="27">
        <f>IF($A895="","",IF(AND(COUNTIFS($A$14:$A$1213,$A895,$F$14:$F$1213,"&gt;=0")=2,IFERROR(INDEX($M$14:$M$313,MATCH($A895,$H$14:$H$313,0)),"Yes")&lt;&gt;"Yes"),1,0))</f>
        <v/>
      </c>
    </row>
    <row r="896">
      <c r="A896" s="19" t="n"/>
      <c r="B896" s="20" t="n"/>
      <c r="C896" s="21">
        <f>IFERROR(AVERAGE(P896:T896),"")</f>
        <v/>
      </c>
      <c r="D896" s="29" t="n"/>
      <c r="E896" s="29" t="n"/>
      <c r="F896" s="30">
        <f>IF(AND(ISNUMBER($D896),ISNUMBER($E896),$E896&gt;0,$D896&lt;=$E896),$D896/$E896,"")</f>
        <v/>
      </c>
      <c r="P896" s="26" t="n"/>
      <c r="Q896" s="26" t="n"/>
      <c r="R896" s="26" t="n"/>
      <c r="S896" s="26" t="n"/>
      <c r="T896" s="26" t="n"/>
      <c r="V896" s="27">
        <f>IF(ISNUMBER($C896),COUNTIFS($A$14:$A$1213,$A896,$C$14:$C$1213,"&gt;"&amp;$C896)+(COUNTIFS($A$14:$A$1213,$A896,$C$14:$C$1213,"="&amp;$C896)+1)/2,"")</f>
        <v/>
      </c>
      <c r="W896" s="27">
        <f>IF(ISNUMBER($F896),COUNTIFS($A$14:$A$1213,$A896,$F$14:$F$1213,"&gt;"&amp;$F896)+(COUNTIFS($A$14:$A$1213,$A896,$F$14:$F$1213,"="&amp;$F896)+1)/2,"")</f>
        <v/>
      </c>
      <c r="X896" s="27">
        <f>IF(OR(NOT(ISNUMBER($V896)),$AO896=1),"",$V896-(COUNTIFS($A$14:$A$1213,$A896,$C$14:$C$1213,"&gt;=0")+1)/2)</f>
        <v/>
      </c>
      <c r="Y896" s="27">
        <f>IF(OR(NOT(ISNUMBER($W896)),$AO896=1),"",$W896-(COUNTIFS($A$14:$A$1213,$A896,$F$14:$F$1213,"&gt;=0")+1)/2)</f>
        <v/>
      </c>
      <c r="Z896" s="27">
        <f>IF(ISNUMBER($V896),$A896&amp;"|"&amp;$V896,"")</f>
        <v/>
      </c>
      <c r="AA896" s="27">
        <f>IF(ISNUMBER($W896),$A896&amp;"|"&amp;$W896,"")</f>
        <v/>
      </c>
      <c r="AB896" s="27">
        <f>IF(ISNUMBER($F896),$A896&amp;"|"&amp;$F896,"")</f>
        <v/>
      </c>
      <c r="AC896" s="27">
        <f>IF(ISNUMBER($P896),COUNTIFS($A$14:$A$1213,$A896,$P$14:$P$1213,"&gt;"&amp;$P896)+(COUNTIFS($A$14:$A$1213,$A896,$P$14:$P$1213,"="&amp;$P896)+1)/2,"")</f>
        <v/>
      </c>
      <c r="AD896" s="27">
        <f>IF(ISNUMBER($Q896),COUNTIFS($A$14:$A$1213,$A896,$Q$14:$Q$1213,"&gt;"&amp;$Q896)+(COUNTIFS($A$14:$A$1213,$A896,$Q$14:$Q$1213,"="&amp;$Q896)+1)/2,"")</f>
        <v/>
      </c>
      <c r="AE896" s="27">
        <f>IF(ISNUMBER($R896),COUNTIFS($A$14:$A$1213,$A896,$R$14:$R$1213,"&gt;"&amp;$R896)+(COUNTIFS($A$14:$A$1213,$A896,$R$14:$R$1213,"="&amp;$R896)+1)/2,"")</f>
        <v/>
      </c>
      <c r="AF896" s="27">
        <f>IF(ISNUMBER($S896),COUNTIFS($A$14:$A$1213,$A896,$S$14:$S$1213,"&gt;"&amp;$S896)+(COUNTIFS($A$14:$A$1213,$A896,$S$14:$S$1213,"="&amp;$S896)+1)/2,"")</f>
        <v/>
      </c>
      <c r="AG896" s="27">
        <f>IF(ISNUMBER($T896),COUNTIFS($A$14:$A$1213,$A896,$T$14:$T$1213,"&gt;"&amp;$T896)+(COUNTIFS($A$14:$A$1213,$A896,$T$14:$T$1213,"="&amp;$T896)+1)/2,"")</f>
        <v/>
      </c>
      <c r="AH896" s="27">
        <f>IF(COUNT($AC896:$AG896)&lt;2,"",IF(MAX($AC896:$AG896)=MIN($AC896:$AG896),0,1))</f>
        <v/>
      </c>
      <c r="AI896" s="27">
        <f>IF($A896="","",IF(COUNTIF($A$14:$A896,$A896)=1,COUNTIF($AI$13:AI895,"&gt;0")+1,""))</f>
        <v/>
      </c>
      <c r="AO896" s="27">
        <f>IF($A896="","",IF(AND(COUNTIFS($A$14:$A$1213,$A896,$F$14:$F$1213,"&gt;=0")=2,IFERROR(INDEX($M$14:$M$313,MATCH($A896,$H$14:$H$313,0)),"Yes")&lt;&gt;"Yes"),1,0))</f>
        <v/>
      </c>
    </row>
    <row r="897">
      <c r="A897" s="19" t="n"/>
      <c r="B897" s="20" t="n"/>
      <c r="C897" s="21">
        <f>IFERROR(AVERAGE(P897:T897),"")</f>
        <v/>
      </c>
      <c r="D897" s="29" t="n"/>
      <c r="E897" s="29" t="n"/>
      <c r="F897" s="30">
        <f>IF(AND(ISNUMBER($D897),ISNUMBER($E897),$E897&gt;0,$D897&lt;=$E897),$D897/$E897,"")</f>
        <v/>
      </c>
      <c r="P897" s="26" t="n"/>
      <c r="Q897" s="26" t="n"/>
      <c r="R897" s="26" t="n"/>
      <c r="S897" s="26" t="n"/>
      <c r="T897" s="26" t="n"/>
      <c r="V897" s="27">
        <f>IF(ISNUMBER($C897),COUNTIFS($A$14:$A$1213,$A897,$C$14:$C$1213,"&gt;"&amp;$C897)+(COUNTIFS($A$14:$A$1213,$A897,$C$14:$C$1213,"="&amp;$C897)+1)/2,"")</f>
        <v/>
      </c>
      <c r="W897" s="27">
        <f>IF(ISNUMBER($F897),COUNTIFS($A$14:$A$1213,$A897,$F$14:$F$1213,"&gt;"&amp;$F897)+(COUNTIFS($A$14:$A$1213,$A897,$F$14:$F$1213,"="&amp;$F897)+1)/2,"")</f>
        <v/>
      </c>
      <c r="X897" s="27">
        <f>IF(OR(NOT(ISNUMBER($V897)),$AO897=1),"",$V897-(COUNTIFS($A$14:$A$1213,$A897,$C$14:$C$1213,"&gt;=0")+1)/2)</f>
        <v/>
      </c>
      <c r="Y897" s="27">
        <f>IF(OR(NOT(ISNUMBER($W897)),$AO897=1),"",$W897-(COUNTIFS($A$14:$A$1213,$A897,$F$14:$F$1213,"&gt;=0")+1)/2)</f>
        <v/>
      </c>
      <c r="Z897" s="27">
        <f>IF(ISNUMBER($V897),$A897&amp;"|"&amp;$V897,"")</f>
        <v/>
      </c>
      <c r="AA897" s="27">
        <f>IF(ISNUMBER($W897),$A897&amp;"|"&amp;$W897,"")</f>
        <v/>
      </c>
      <c r="AB897" s="27">
        <f>IF(ISNUMBER($F897),$A897&amp;"|"&amp;$F897,"")</f>
        <v/>
      </c>
      <c r="AC897" s="27">
        <f>IF(ISNUMBER($P897),COUNTIFS($A$14:$A$1213,$A897,$P$14:$P$1213,"&gt;"&amp;$P897)+(COUNTIFS($A$14:$A$1213,$A897,$P$14:$P$1213,"="&amp;$P897)+1)/2,"")</f>
        <v/>
      </c>
      <c r="AD897" s="27">
        <f>IF(ISNUMBER($Q897),COUNTIFS($A$14:$A$1213,$A897,$Q$14:$Q$1213,"&gt;"&amp;$Q897)+(COUNTIFS($A$14:$A$1213,$A897,$Q$14:$Q$1213,"="&amp;$Q897)+1)/2,"")</f>
        <v/>
      </c>
      <c r="AE897" s="27">
        <f>IF(ISNUMBER($R897),COUNTIFS($A$14:$A$1213,$A897,$R$14:$R$1213,"&gt;"&amp;$R897)+(COUNTIFS($A$14:$A$1213,$A897,$R$14:$R$1213,"="&amp;$R897)+1)/2,"")</f>
        <v/>
      </c>
      <c r="AF897" s="27">
        <f>IF(ISNUMBER($S897),COUNTIFS($A$14:$A$1213,$A897,$S$14:$S$1213,"&gt;"&amp;$S897)+(COUNTIFS($A$14:$A$1213,$A897,$S$14:$S$1213,"="&amp;$S897)+1)/2,"")</f>
        <v/>
      </c>
      <c r="AG897" s="27">
        <f>IF(ISNUMBER($T897),COUNTIFS($A$14:$A$1213,$A897,$T$14:$T$1213,"&gt;"&amp;$T897)+(COUNTIFS($A$14:$A$1213,$A897,$T$14:$T$1213,"="&amp;$T897)+1)/2,"")</f>
        <v/>
      </c>
      <c r="AH897" s="27">
        <f>IF(COUNT($AC897:$AG897)&lt;2,"",IF(MAX($AC897:$AG897)=MIN($AC897:$AG897),0,1))</f>
        <v/>
      </c>
      <c r="AI897" s="27">
        <f>IF($A897="","",IF(COUNTIF($A$14:$A897,$A897)=1,COUNTIF($AI$13:AI896,"&gt;0")+1,""))</f>
        <v/>
      </c>
      <c r="AO897" s="27">
        <f>IF($A897="","",IF(AND(COUNTIFS($A$14:$A$1213,$A897,$F$14:$F$1213,"&gt;=0")=2,IFERROR(INDEX($M$14:$M$313,MATCH($A897,$H$14:$H$313,0)),"Yes")&lt;&gt;"Yes"),1,0))</f>
        <v/>
      </c>
    </row>
    <row r="898">
      <c r="A898" s="19" t="n"/>
      <c r="B898" s="20" t="n"/>
      <c r="C898" s="21">
        <f>IFERROR(AVERAGE(P898:T898),"")</f>
        <v/>
      </c>
      <c r="D898" s="29" t="n"/>
      <c r="E898" s="29" t="n"/>
      <c r="F898" s="30">
        <f>IF(AND(ISNUMBER($D898),ISNUMBER($E898),$E898&gt;0,$D898&lt;=$E898),$D898/$E898,"")</f>
        <v/>
      </c>
      <c r="P898" s="26" t="n"/>
      <c r="Q898" s="26" t="n"/>
      <c r="R898" s="26" t="n"/>
      <c r="S898" s="26" t="n"/>
      <c r="T898" s="26" t="n"/>
      <c r="V898" s="27">
        <f>IF(ISNUMBER($C898),COUNTIFS($A$14:$A$1213,$A898,$C$14:$C$1213,"&gt;"&amp;$C898)+(COUNTIFS($A$14:$A$1213,$A898,$C$14:$C$1213,"="&amp;$C898)+1)/2,"")</f>
        <v/>
      </c>
      <c r="W898" s="27">
        <f>IF(ISNUMBER($F898),COUNTIFS($A$14:$A$1213,$A898,$F$14:$F$1213,"&gt;"&amp;$F898)+(COUNTIFS($A$14:$A$1213,$A898,$F$14:$F$1213,"="&amp;$F898)+1)/2,"")</f>
        <v/>
      </c>
      <c r="X898" s="27">
        <f>IF(OR(NOT(ISNUMBER($V898)),$AO898=1),"",$V898-(COUNTIFS($A$14:$A$1213,$A898,$C$14:$C$1213,"&gt;=0")+1)/2)</f>
        <v/>
      </c>
      <c r="Y898" s="27">
        <f>IF(OR(NOT(ISNUMBER($W898)),$AO898=1),"",$W898-(COUNTIFS($A$14:$A$1213,$A898,$F$14:$F$1213,"&gt;=0")+1)/2)</f>
        <v/>
      </c>
      <c r="Z898" s="27">
        <f>IF(ISNUMBER($V898),$A898&amp;"|"&amp;$V898,"")</f>
        <v/>
      </c>
      <c r="AA898" s="27">
        <f>IF(ISNUMBER($W898),$A898&amp;"|"&amp;$W898,"")</f>
        <v/>
      </c>
      <c r="AB898" s="27">
        <f>IF(ISNUMBER($F898),$A898&amp;"|"&amp;$F898,"")</f>
        <v/>
      </c>
      <c r="AC898" s="27">
        <f>IF(ISNUMBER($P898),COUNTIFS($A$14:$A$1213,$A898,$P$14:$P$1213,"&gt;"&amp;$P898)+(COUNTIFS($A$14:$A$1213,$A898,$P$14:$P$1213,"="&amp;$P898)+1)/2,"")</f>
        <v/>
      </c>
      <c r="AD898" s="27">
        <f>IF(ISNUMBER($Q898),COUNTIFS($A$14:$A$1213,$A898,$Q$14:$Q$1213,"&gt;"&amp;$Q898)+(COUNTIFS($A$14:$A$1213,$A898,$Q$14:$Q$1213,"="&amp;$Q898)+1)/2,"")</f>
        <v/>
      </c>
      <c r="AE898" s="27">
        <f>IF(ISNUMBER($R898),COUNTIFS($A$14:$A$1213,$A898,$R$14:$R$1213,"&gt;"&amp;$R898)+(COUNTIFS($A$14:$A$1213,$A898,$R$14:$R$1213,"="&amp;$R898)+1)/2,"")</f>
        <v/>
      </c>
      <c r="AF898" s="27">
        <f>IF(ISNUMBER($S898),COUNTIFS($A$14:$A$1213,$A898,$S$14:$S$1213,"&gt;"&amp;$S898)+(COUNTIFS($A$14:$A$1213,$A898,$S$14:$S$1213,"="&amp;$S898)+1)/2,"")</f>
        <v/>
      </c>
      <c r="AG898" s="27">
        <f>IF(ISNUMBER($T898),COUNTIFS($A$14:$A$1213,$A898,$T$14:$T$1213,"&gt;"&amp;$T898)+(COUNTIFS($A$14:$A$1213,$A898,$T$14:$T$1213,"="&amp;$T898)+1)/2,"")</f>
        <v/>
      </c>
      <c r="AH898" s="27">
        <f>IF(COUNT($AC898:$AG898)&lt;2,"",IF(MAX($AC898:$AG898)=MIN($AC898:$AG898),0,1))</f>
        <v/>
      </c>
      <c r="AI898" s="27">
        <f>IF($A898="","",IF(COUNTIF($A$14:$A898,$A898)=1,COUNTIF($AI$13:AI897,"&gt;0")+1,""))</f>
        <v/>
      </c>
      <c r="AO898" s="27">
        <f>IF($A898="","",IF(AND(COUNTIFS($A$14:$A$1213,$A898,$F$14:$F$1213,"&gt;=0")=2,IFERROR(INDEX($M$14:$M$313,MATCH($A898,$H$14:$H$313,0)),"Yes")&lt;&gt;"Yes"),1,0))</f>
        <v/>
      </c>
    </row>
    <row r="899">
      <c r="A899" s="19" t="n"/>
      <c r="B899" s="20" t="n"/>
      <c r="C899" s="21">
        <f>IFERROR(AVERAGE(P899:T899),"")</f>
        <v/>
      </c>
      <c r="D899" s="29" t="n"/>
      <c r="E899" s="29" t="n"/>
      <c r="F899" s="30">
        <f>IF(AND(ISNUMBER($D899),ISNUMBER($E899),$E899&gt;0,$D899&lt;=$E899),$D899/$E899,"")</f>
        <v/>
      </c>
      <c r="P899" s="26" t="n"/>
      <c r="Q899" s="26" t="n"/>
      <c r="R899" s="26" t="n"/>
      <c r="S899" s="26" t="n"/>
      <c r="T899" s="26" t="n"/>
      <c r="V899" s="27">
        <f>IF(ISNUMBER($C899),COUNTIFS($A$14:$A$1213,$A899,$C$14:$C$1213,"&gt;"&amp;$C899)+(COUNTIFS($A$14:$A$1213,$A899,$C$14:$C$1213,"="&amp;$C899)+1)/2,"")</f>
        <v/>
      </c>
      <c r="W899" s="27">
        <f>IF(ISNUMBER($F899),COUNTIFS($A$14:$A$1213,$A899,$F$14:$F$1213,"&gt;"&amp;$F899)+(COUNTIFS($A$14:$A$1213,$A899,$F$14:$F$1213,"="&amp;$F899)+1)/2,"")</f>
        <v/>
      </c>
      <c r="X899" s="27">
        <f>IF(OR(NOT(ISNUMBER($V899)),$AO899=1),"",$V899-(COUNTIFS($A$14:$A$1213,$A899,$C$14:$C$1213,"&gt;=0")+1)/2)</f>
        <v/>
      </c>
      <c r="Y899" s="27">
        <f>IF(OR(NOT(ISNUMBER($W899)),$AO899=1),"",$W899-(COUNTIFS($A$14:$A$1213,$A899,$F$14:$F$1213,"&gt;=0")+1)/2)</f>
        <v/>
      </c>
      <c r="Z899" s="27">
        <f>IF(ISNUMBER($V899),$A899&amp;"|"&amp;$V899,"")</f>
        <v/>
      </c>
      <c r="AA899" s="27">
        <f>IF(ISNUMBER($W899),$A899&amp;"|"&amp;$W899,"")</f>
        <v/>
      </c>
      <c r="AB899" s="27">
        <f>IF(ISNUMBER($F899),$A899&amp;"|"&amp;$F899,"")</f>
        <v/>
      </c>
      <c r="AC899" s="27">
        <f>IF(ISNUMBER($P899),COUNTIFS($A$14:$A$1213,$A899,$P$14:$P$1213,"&gt;"&amp;$P899)+(COUNTIFS($A$14:$A$1213,$A899,$P$14:$P$1213,"="&amp;$P899)+1)/2,"")</f>
        <v/>
      </c>
      <c r="AD899" s="27">
        <f>IF(ISNUMBER($Q899),COUNTIFS($A$14:$A$1213,$A899,$Q$14:$Q$1213,"&gt;"&amp;$Q899)+(COUNTIFS($A$14:$A$1213,$A899,$Q$14:$Q$1213,"="&amp;$Q899)+1)/2,"")</f>
        <v/>
      </c>
      <c r="AE899" s="27">
        <f>IF(ISNUMBER($R899),COUNTIFS($A$14:$A$1213,$A899,$R$14:$R$1213,"&gt;"&amp;$R899)+(COUNTIFS($A$14:$A$1213,$A899,$R$14:$R$1213,"="&amp;$R899)+1)/2,"")</f>
        <v/>
      </c>
      <c r="AF899" s="27">
        <f>IF(ISNUMBER($S899),COUNTIFS($A$14:$A$1213,$A899,$S$14:$S$1213,"&gt;"&amp;$S899)+(COUNTIFS($A$14:$A$1213,$A899,$S$14:$S$1213,"="&amp;$S899)+1)/2,"")</f>
        <v/>
      </c>
      <c r="AG899" s="27">
        <f>IF(ISNUMBER($T899),COUNTIFS($A$14:$A$1213,$A899,$T$14:$T$1213,"&gt;"&amp;$T899)+(COUNTIFS($A$14:$A$1213,$A899,$T$14:$T$1213,"="&amp;$T899)+1)/2,"")</f>
        <v/>
      </c>
      <c r="AH899" s="27">
        <f>IF(COUNT($AC899:$AG899)&lt;2,"",IF(MAX($AC899:$AG899)=MIN($AC899:$AG899),0,1))</f>
        <v/>
      </c>
      <c r="AI899" s="27">
        <f>IF($A899="","",IF(COUNTIF($A$14:$A899,$A899)=1,COUNTIF($AI$13:AI898,"&gt;0")+1,""))</f>
        <v/>
      </c>
      <c r="AO899" s="27">
        <f>IF($A899="","",IF(AND(COUNTIFS($A$14:$A$1213,$A899,$F$14:$F$1213,"&gt;=0")=2,IFERROR(INDEX($M$14:$M$313,MATCH($A899,$H$14:$H$313,0)),"Yes")&lt;&gt;"Yes"),1,0))</f>
        <v/>
      </c>
    </row>
    <row r="900">
      <c r="A900" s="19" t="n"/>
      <c r="B900" s="20" t="n"/>
      <c r="C900" s="21">
        <f>IFERROR(AVERAGE(P900:T900),"")</f>
        <v/>
      </c>
      <c r="D900" s="29" t="n"/>
      <c r="E900" s="29" t="n"/>
      <c r="F900" s="30">
        <f>IF(AND(ISNUMBER($D900),ISNUMBER($E900),$E900&gt;0,$D900&lt;=$E900),$D900/$E900,"")</f>
        <v/>
      </c>
      <c r="P900" s="26" t="n"/>
      <c r="Q900" s="26" t="n"/>
      <c r="R900" s="26" t="n"/>
      <c r="S900" s="26" t="n"/>
      <c r="T900" s="26" t="n"/>
      <c r="V900" s="27">
        <f>IF(ISNUMBER($C900),COUNTIFS($A$14:$A$1213,$A900,$C$14:$C$1213,"&gt;"&amp;$C900)+(COUNTIFS($A$14:$A$1213,$A900,$C$14:$C$1213,"="&amp;$C900)+1)/2,"")</f>
        <v/>
      </c>
      <c r="W900" s="27">
        <f>IF(ISNUMBER($F900),COUNTIFS($A$14:$A$1213,$A900,$F$14:$F$1213,"&gt;"&amp;$F900)+(COUNTIFS($A$14:$A$1213,$A900,$F$14:$F$1213,"="&amp;$F900)+1)/2,"")</f>
        <v/>
      </c>
      <c r="X900" s="27">
        <f>IF(OR(NOT(ISNUMBER($V900)),$AO900=1),"",$V900-(COUNTIFS($A$14:$A$1213,$A900,$C$14:$C$1213,"&gt;=0")+1)/2)</f>
        <v/>
      </c>
      <c r="Y900" s="27">
        <f>IF(OR(NOT(ISNUMBER($W900)),$AO900=1),"",$W900-(COUNTIFS($A$14:$A$1213,$A900,$F$14:$F$1213,"&gt;=0")+1)/2)</f>
        <v/>
      </c>
      <c r="Z900" s="27">
        <f>IF(ISNUMBER($V900),$A900&amp;"|"&amp;$V900,"")</f>
        <v/>
      </c>
      <c r="AA900" s="27">
        <f>IF(ISNUMBER($W900),$A900&amp;"|"&amp;$W900,"")</f>
        <v/>
      </c>
      <c r="AB900" s="27">
        <f>IF(ISNUMBER($F900),$A900&amp;"|"&amp;$F900,"")</f>
        <v/>
      </c>
      <c r="AC900" s="27">
        <f>IF(ISNUMBER($P900),COUNTIFS($A$14:$A$1213,$A900,$P$14:$P$1213,"&gt;"&amp;$P900)+(COUNTIFS($A$14:$A$1213,$A900,$P$14:$P$1213,"="&amp;$P900)+1)/2,"")</f>
        <v/>
      </c>
      <c r="AD900" s="27">
        <f>IF(ISNUMBER($Q900),COUNTIFS($A$14:$A$1213,$A900,$Q$14:$Q$1213,"&gt;"&amp;$Q900)+(COUNTIFS($A$14:$A$1213,$A900,$Q$14:$Q$1213,"="&amp;$Q900)+1)/2,"")</f>
        <v/>
      </c>
      <c r="AE900" s="27">
        <f>IF(ISNUMBER($R900),COUNTIFS($A$14:$A$1213,$A900,$R$14:$R$1213,"&gt;"&amp;$R900)+(COUNTIFS($A$14:$A$1213,$A900,$R$14:$R$1213,"="&amp;$R900)+1)/2,"")</f>
        <v/>
      </c>
      <c r="AF900" s="27">
        <f>IF(ISNUMBER($S900),COUNTIFS($A$14:$A$1213,$A900,$S$14:$S$1213,"&gt;"&amp;$S900)+(COUNTIFS($A$14:$A$1213,$A900,$S$14:$S$1213,"="&amp;$S900)+1)/2,"")</f>
        <v/>
      </c>
      <c r="AG900" s="27">
        <f>IF(ISNUMBER($T900),COUNTIFS($A$14:$A$1213,$A900,$T$14:$T$1213,"&gt;"&amp;$T900)+(COUNTIFS($A$14:$A$1213,$A900,$T$14:$T$1213,"="&amp;$T900)+1)/2,"")</f>
        <v/>
      </c>
      <c r="AH900" s="27">
        <f>IF(COUNT($AC900:$AG900)&lt;2,"",IF(MAX($AC900:$AG900)=MIN($AC900:$AG900),0,1))</f>
        <v/>
      </c>
      <c r="AI900" s="27">
        <f>IF($A900="","",IF(COUNTIF($A$14:$A900,$A900)=1,COUNTIF($AI$13:AI899,"&gt;0")+1,""))</f>
        <v/>
      </c>
      <c r="AO900" s="27">
        <f>IF($A900="","",IF(AND(COUNTIFS($A$14:$A$1213,$A900,$F$14:$F$1213,"&gt;=0")=2,IFERROR(INDEX($M$14:$M$313,MATCH($A900,$H$14:$H$313,0)),"Yes")&lt;&gt;"Yes"),1,0))</f>
        <v/>
      </c>
    </row>
    <row r="901">
      <c r="A901" s="19" t="n"/>
      <c r="B901" s="20" t="n"/>
      <c r="C901" s="21">
        <f>IFERROR(AVERAGE(P901:T901),"")</f>
        <v/>
      </c>
      <c r="D901" s="29" t="n"/>
      <c r="E901" s="29" t="n"/>
      <c r="F901" s="30">
        <f>IF(AND(ISNUMBER($D901),ISNUMBER($E901),$E901&gt;0,$D901&lt;=$E901),$D901/$E901,"")</f>
        <v/>
      </c>
      <c r="P901" s="26" t="n"/>
      <c r="Q901" s="26" t="n"/>
      <c r="R901" s="26" t="n"/>
      <c r="S901" s="26" t="n"/>
      <c r="T901" s="26" t="n"/>
      <c r="V901" s="27">
        <f>IF(ISNUMBER($C901),COUNTIFS($A$14:$A$1213,$A901,$C$14:$C$1213,"&gt;"&amp;$C901)+(COUNTIFS($A$14:$A$1213,$A901,$C$14:$C$1213,"="&amp;$C901)+1)/2,"")</f>
        <v/>
      </c>
      <c r="W901" s="27">
        <f>IF(ISNUMBER($F901),COUNTIFS($A$14:$A$1213,$A901,$F$14:$F$1213,"&gt;"&amp;$F901)+(COUNTIFS($A$14:$A$1213,$A901,$F$14:$F$1213,"="&amp;$F901)+1)/2,"")</f>
        <v/>
      </c>
      <c r="X901" s="27">
        <f>IF(OR(NOT(ISNUMBER($V901)),$AO901=1),"",$V901-(COUNTIFS($A$14:$A$1213,$A901,$C$14:$C$1213,"&gt;=0")+1)/2)</f>
        <v/>
      </c>
      <c r="Y901" s="27">
        <f>IF(OR(NOT(ISNUMBER($W901)),$AO901=1),"",$W901-(COUNTIFS($A$14:$A$1213,$A901,$F$14:$F$1213,"&gt;=0")+1)/2)</f>
        <v/>
      </c>
      <c r="Z901" s="27">
        <f>IF(ISNUMBER($V901),$A901&amp;"|"&amp;$V901,"")</f>
        <v/>
      </c>
      <c r="AA901" s="27">
        <f>IF(ISNUMBER($W901),$A901&amp;"|"&amp;$W901,"")</f>
        <v/>
      </c>
      <c r="AB901" s="27">
        <f>IF(ISNUMBER($F901),$A901&amp;"|"&amp;$F901,"")</f>
        <v/>
      </c>
      <c r="AC901" s="27">
        <f>IF(ISNUMBER($P901),COUNTIFS($A$14:$A$1213,$A901,$P$14:$P$1213,"&gt;"&amp;$P901)+(COUNTIFS($A$14:$A$1213,$A901,$P$14:$P$1213,"="&amp;$P901)+1)/2,"")</f>
        <v/>
      </c>
      <c r="AD901" s="27">
        <f>IF(ISNUMBER($Q901),COUNTIFS($A$14:$A$1213,$A901,$Q$14:$Q$1213,"&gt;"&amp;$Q901)+(COUNTIFS($A$14:$A$1213,$A901,$Q$14:$Q$1213,"="&amp;$Q901)+1)/2,"")</f>
        <v/>
      </c>
      <c r="AE901" s="27">
        <f>IF(ISNUMBER($R901),COUNTIFS($A$14:$A$1213,$A901,$R$14:$R$1213,"&gt;"&amp;$R901)+(COUNTIFS($A$14:$A$1213,$A901,$R$14:$R$1213,"="&amp;$R901)+1)/2,"")</f>
        <v/>
      </c>
      <c r="AF901" s="27">
        <f>IF(ISNUMBER($S901),COUNTIFS($A$14:$A$1213,$A901,$S$14:$S$1213,"&gt;"&amp;$S901)+(COUNTIFS($A$14:$A$1213,$A901,$S$14:$S$1213,"="&amp;$S901)+1)/2,"")</f>
        <v/>
      </c>
      <c r="AG901" s="27">
        <f>IF(ISNUMBER($T901),COUNTIFS($A$14:$A$1213,$A901,$T$14:$T$1213,"&gt;"&amp;$T901)+(COUNTIFS($A$14:$A$1213,$A901,$T$14:$T$1213,"="&amp;$T901)+1)/2,"")</f>
        <v/>
      </c>
      <c r="AH901" s="27">
        <f>IF(COUNT($AC901:$AG901)&lt;2,"",IF(MAX($AC901:$AG901)=MIN($AC901:$AG901),0,1))</f>
        <v/>
      </c>
      <c r="AI901" s="27">
        <f>IF($A901="","",IF(COUNTIF($A$14:$A901,$A901)=1,COUNTIF($AI$13:AI900,"&gt;0")+1,""))</f>
        <v/>
      </c>
      <c r="AO901" s="27">
        <f>IF($A901="","",IF(AND(COUNTIFS($A$14:$A$1213,$A901,$F$14:$F$1213,"&gt;=0")=2,IFERROR(INDEX($M$14:$M$313,MATCH($A901,$H$14:$H$313,0)),"Yes")&lt;&gt;"Yes"),1,0))</f>
        <v/>
      </c>
    </row>
    <row r="902">
      <c r="A902" s="19" t="n"/>
      <c r="B902" s="20" t="n"/>
      <c r="C902" s="21">
        <f>IFERROR(AVERAGE(P902:T902),"")</f>
        <v/>
      </c>
      <c r="D902" s="29" t="n"/>
      <c r="E902" s="29" t="n"/>
      <c r="F902" s="30">
        <f>IF(AND(ISNUMBER($D902),ISNUMBER($E902),$E902&gt;0,$D902&lt;=$E902),$D902/$E902,"")</f>
        <v/>
      </c>
      <c r="P902" s="26" t="n"/>
      <c r="Q902" s="26" t="n"/>
      <c r="R902" s="26" t="n"/>
      <c r="S902" s="26" t="n"/>
      <c r="T902" s="26" t="n"/>
      <c r="V902" s="27">
        <f>IF(ISNUMBER($C902),COUNTIFS($A$14:$A$1213,$A902,$C$14:$C$1213,"&gt;"&amp;$C902)+(COUNTIFS($A$14:$A$1213,$A902,$C$14:$C$1213,"="&amp;$C902)+1)/2,"")</f>
        <v/>
      </c>
      <c r="W902" s="27">
        <f>IF(ISNUMBER($F902),COUNTIFS($A$14:$A$1213,$A902,$F$14:$F$1213,"&gt;"&amp;$F902)+(COUNTIFS($A$14:$A$1213,$A902,$F$14:$F$1213,"="&amp;$F902)+1)/2,"")</f>
        <v/>
      </c>
      <c r="X902" s="27">
        <f>IF(OR(NOT(ISNUMBER($V902)),$AO902=1),"",$V902-(COUNTIFS($A$14:$A$1213,$A902,$C$14:$C$1213,"&gt;=0")+1)/2)</f>
        <v/>
      </c>
      <c r="Y902" s="27">
        <f>IF(OR(NOT(ISNUMBER($W902)),$AO902=1),"",$W902-(COUNTIFS($A$14:$A$1213,$A902,$F$14:$F$1213,"&gt;=0")+1)/2)</f>
        <v/>
      </c>
      <c r="Z902" s="27">
        <f>IF(ISNUMBER($V902),$A902&amp;"|"&amp;$V902,"")</f>
        <v/>
      </c>
      <c r="AA902" s="27">
        <f>IF(ISNUMBER($W902),$A902&amp;"|"&amp;$W902,"")</f>
        <v/>
      </c>
      <c r="AB902" s="27">
        <f>IF(ISNUMBER($F902),$A902&amp;"|"&amp;$F902,"")</f>
        <v/>
      </c>
      <c r="AC902" s="27">
        <f>IF(ISNUMBER($P902),COUNTIFS($A$14:$A$1213,$A902,$P$14:$P$1213,"&gt;"&amp;$P902)+(COUNTIFS($A$14:$A$1213,$A902,$P$14:$P$1213,"="&amp;$P902)+1)/2,"")</f>
        <v/>
      </c>
      <c r="AD902" s="27">
        <f>IF(ISNUMBER($Q902),COUNTIFS($A$14:$A$1213,$A902,$Q$14:$Q$1213,"&gt;"&amp;$Q902)+(COUNTIFS($A$14:$A$1213,$A902,$Q$14:$Q$1213,"="&amp;$Q902)+1)/2,"")</f>
        <v/>
      </c>
      <c r="AE902" s="27">
        <f>IF(ISNUMBER($R902),COUNTIFS($A$14:$A$1213,$A902,$R$14:$R$1213,"&gt;"&amp;$R902)+(COUNTIFS($A$14:$A$1213,$A902,$R$14:$R$1213,"="&amp;$R902)+1)/2,"")</f>
        <v/>
      </c>
      <c r="AF902" s="27">
        <f>IF(ISNUMBER($S902),COUNTIFS($A$14:$A$1213,$A902,$S$14:$S$1213,"&gt;"&amp;$S902)+(COUNTIFS($A$14:$A$1213,$A902,$S$14:$S$1213,"="&amp;$S902)+1)/2,"")</f>
        <v/>
      </c>
      <c r="AG902" s="27">
        <f>IF(ISNUMBER($T902),COUNTIFS($A$14:$A$1213,$A902,$T$14:$T$1213,"&gt;"&amp;$T902)+(COUNTIFS($A$14:$A$1213,$A902,$T$14:$T$1213,"="&amp;$T902)+1)/2,"")</f>
        <v/>
      </c>
      <c r="AH902" s="27">
        <f>IF(COUNT($AC902:$AG902)&lt;2,"",IF(MAX($AC902:$AG902)=MIN($AC902:$AG902),0,1))</f>
        <v/>
      </c>
      <c r="AI902" s="27">
        <f>IF($A902="","",IF(COUNTIF($A$14:$A902,$A902)=1,COUNTIF($AI$13:AI901,"&gt;0")+1,""))</f>
        <v/>
      </c>
      <c r="AO902" s="27">
        <f>IF($A902="","",IF(AND(COUNTIFS($A$14:$A$1213,$A902,$F$14:$F$1213,"&gt;=0")=2,IFERROR(INDEX($M$14:$M$313,MATCH($A902,$H$14:$H$313,0)),"Yes")&lt;&gt;"Yes"),1,0))</f>
        <v/>
      </c>
    </row>
    <row r="903">
      <c r="A903" s="19" t="n"/>
      <c r="B903" s="20" t="n"/>
      <c r="C903" s="21">
        <f>IFERROR(AVERAGE(P903:T903),"")</f>
        <v/>
      </c>
      <c r="D903" s="29" t="n"/>
      <c r="E903" s="29" t="n"/>
      <c r="F903" s="30">
        <f>IF(AND(ISNUMBER($D903),ISNUMBER($E903),$E903&gt;0,$D903&lt;=$E903),$D903/$E903,"")</f>
        <v/>
      </c>
      <c r="P903" s="26" t="n"/>
      <c r="Q903" s="26" t="n"/>
      <c r="R903" s="26" t="n"/>
      <c r="S903" s="26" t="n"/>
      <c r="T903" s="26" t="n"/>
      <c r="V903" s="27">
        <f>IF(ISNUMBER($C903),COUNTIFS($A$14:$A$1213,$A903,$C$14:$C$1213,"&gt;"&amp;$C903)+(COUNTIFS($A$14:$A$1213,$A903,$C$14:$C$1213,"="&amp;$C903)+1)/2,"")</f>
        <v/>
      </c>
      <c r="W903" s="27">
        <f>IF(ISNUMBER($F903),COUNTIFS($A$14:$A$1213,$A903,$F$14:$F$1213,"&gt;"&amp;$F903)+(COUNTIFS($A$14:$A$1213,$A903,$F$14:$F$1213,"="&amp;$F903)+1)/2,"")</f>
        <v/>
      </c>
      <c r="X903" s="27">
        <f>IF(OR(NOT(ISNUMBER($V903)),$AO903=1),"",$V903-(COUNTIFS($A$14:$A$1213,$A903,$C$14:$C$1213,"&gt;=0")+1)/2)</f>
        <v/>
      </c>
      <c r="Y903" s="27">
        <f>IF(OR(NOT(ISNUMBER($W903)),$AO903=1),"",$W903-(COUNTIFS($A$14:$A$1213,$A903,$F$14:$F$1213,"&gt;=0")+1)/2)</f>
        <v/>
      </c>
      <c r="Z903" s="27">
        <f>IF(ISNUMBER($V903),$A903&amp;"|"&amp;$V903,"")</f>
        <v/>
      </c>
      <c r="AA903" s="27">
        <f>IF(ISNUMBER($W903),$A903&amp;"|"&amp;$W903,"")</f>
        <v/>
      </c>
      <c r="AB903" s="27">
        <f>IF(ISNUMBER($F903),$A903&amp;"|"&amp;$F903,"")</f>
        <v/>
      </c>
      <c r="AC903" s="27">
        <f>IF(ISNUMBER($P903),COUNTIFS($A$14:$A$1213,$A903,$P$14:$P$1213,"&gt;"&amp;$P903)+(COUNTIFS($A$14:$A$1213,$A903,$P$14:$P$1213,"="&amp;$P903)+1)/2,"")</f>
        <v/>
      </c>
      <c r="AD903" s="27">
        <f>IF(ISNUMBER($Q903),COUNTIFS($A$14:$A$1213,$A903,$Q$14:$Q$1213,"&gt;"&amp;$Q903)+(COUNTIFS($A$14:$A$1213,$A903,$Q$14:$Q$1213,"="&amp;$Q903)+1)/2,"")</f>
        <v/>
      </c>
      <c r="AE903" s="27">
        <f>IF(ISNUMBER($R903),COUNTIFS($A$14:$A$1213,$A903,$R$14:$R$1213,"&gt;"&amp;$R903)+(COUNTIFS($A$14:$A$1213,$A903,$R$14:$R$1213,"="&amp;$R903)+1)/2,"")</f>
        <v/>
      </c>
      <c r="AF903" s="27">
        <f>IF(ISNUMBER($S903),COUNTIFS($A$14:$A$1213,$A903,$S$14:$S$1213,"&gt;"&amp;$S903)+(COUNTIFS($A$14:$A$1213,$A903,$S$14:$S$1213,"="&amp;$S903)+1)/2,"")</f>
        <v/>
      </c>
      <c r="AG903" s="27">
        <f>IF(ISNUMBER($T903),COUNTIFS($A$14:$A$1213,$A903,$T$14:$T$1213,"&gt;"&amp;$T903)+(COUNTIFS($A$14:$A$1213,$A903,$T$14:$T$1213,"="&amp;$T903)+1)/2,"")</f>
        <v/>
      </c>
      <c r="AH903" s="27">
        <f>IF(COUNT($AC903:$AG903)&lt;2,"",IF(MAX($AC903:$AG903)=MIN($AC903:$AG903),0,1))</f>
        <v/>
      </c>
      <c r="AI903" s="27">
        <f>IF($A903="","",IF(COUNTIF($A$14:$A903,$A903)=1,COUNTIF($AI$13:AI902,"&gt;0")+1,""))</f>
        <v/>
      </c>
      <c r="AO903" s="27">
        <f>IF($A903="","",IF(AND(COUNTIFS($A$14:$A$1213,$A903,$F$14:$F$1213,"&gt;=0")=2,IFERROR(INDEX($M$14:$M$313,MATCH($A903,$H$14:$H$313,0)),"Yes")&lt;&gt;"Yes"),1,0))</f>
        <v/>
      </c>
    </row>
    <row r="904">
      <c r="A904" s="19" t="n"/>
      <c r="B904" s="20" t="n"/>
      <c r="C904" s="21">
        <f>IFERROR(AVERAGE(P904:T904),"")</f>
        <v/>
      </c>
      <c r="D904" s="29" t="n"/>
      <c r="E904" s="29" t="n"/>
      <c r="F904" s="30">
        <f>IF(AND(ISNUMBER($D904),ISNUMBER($E904),$E904&gt;0,$D904&lt;=$E904),$D904/$E904,"")</f>
        <v/>
      </c>
      <c r="P904" s="26" t="n"/>
      <c r="Q904" s="26" t="n"/>
      <c r="R904" s="26" t="n"/>
      <c r="S904" s="26" t="n"/>
      <c r="T904" s="26" t="n"/>
      <c r="V904" s="27">
        <f>IF(ISNUMBER($C904),COUNTIFS($A$14:$A$1213,$A904,$C$14:$C$1213,"&gt;"&amp;$C904)+(COUNTIFS($A$14:$A$1213,$A904,$C$14:$C$1213,"="&amp;$C904)+1)/2,"")</f>
        <v/>
      </c>
      <c r="W904" s="27">
        <f>IF(ISNUMBER($F904),COUNTIFS($A$14:$A$1213,$A904,$F$14:$F$1213,"&gt;"&amp;$F904)+(COUNTIFS($A$14:$A$1213,$A904,$F$14:$F$1213,"="&amp;$F904)+1)/2,"")</f>
        <v/>
      </c>
      <c r="X904" s="27">
        <f>IF(OR(NOT(ISNUMBER($V904)),$AO904=1),"",$V904-(COUNTIFS($A$14:$A$1213,$A904,$C$14:$C$1213,"&gt;=0")+1)/2)</f>
        <v/>
      </c>
      <c r="Y904" s="27">
        <f>IF(OR(NOT(ISNUMBER($W904)),$AO904=1),"",$W904-(COUNTIFS($A$14:$A$1213,$A904,$F$14:$F$1213,"&gt;=0")+1)/2)</f>
        <v/>
      </c>
      <c r="Z904" s="27">
        <f>IF(ISNUMBER($V904),$A904&amp;"|"&amp;$V904,"")</f>
        <v/>
      </c>
      <c r="AA904" s="27">
        <f>IF(ISNUMBER($W904),$A904&amp;"|"&amp;$W904,"")</f>
        <v/>
      </c>
      <c r="AB904" s="27">
        <f>IF(ISNUMBER($F904),$A904&amp;"|"&amp;$F904,"")</f>
        <v/>
      </c>
      <c r="AC904" s="27">
        <f>IF(ISNUMBER($P904),COUNTIFS($A$14:$A$1213,$A904,$P$14:$P$1213,"&gt;"&amp;$P904)+(COUNTIFS($A$14:$A$1213,$A904,$P$14:$P$1213,"="&amp;$P904)+1)/2,"")</f>
        <v/>
      </c>
      <c r="AD904" s="27">
        <f>IF(ISNUMBER($Q904),COUNTIFS($A$14:$A$1213,$A904,$Q$14:$Q$1213,"&gt;"&amp;$Q904)+(COUNTIFS($A$14:$A$1213,$A904,$Q$14:$Q$1213,"="&amp;$Q904)+1)/2,"")</f>
        <v/>
      </c>
      <c r="AE904" s="27">
        <f>IF(ISNUMBER($R904),COUNTIFS($A$14:$A$1213,$A904,$R$14:$R$1213,"&gt;"&amp;$R904)+(COUNTIFS($A$14:$A$1213,$A904,$R$14:$R$1213,"="&amp;$R904)+1)/2,"")</f>
        <v/>
      </c>
      <c r="AF904" s="27">
        <f>IF(ISNUMBER($S904),COUNTIFS($A$14:$A$1213,$A904,$S$14:$S$1213,"&gt;"&amp;$S904)+(COUNTIFS($A$14:$A$1213,$A904,$S$14:$S$1213,"="&amp;$S904)+1)/2,"")</f>
        <v/>
      </c>
      <c r="AG904" s="27">
        <f>IF(ISNUMBER($T904),COUNTIFS($A$14:$A$1213,$A904,$T$14:$T$1213,"&gt;"&amp;$T904)+(COUNTIFS($A$14:$A$1213,$A904,$T$14:$T$1213,"="&amp;$T904)+1)/2,"")</f>
        <v/>
      </c>
      <c r="AH904" s="27">
        <f>IF(COUNT($AC904:$AG904)&lt;2,"",IF(MAX($AC904:$AG904)=MIN($AC904:$AG904),0,1))</f>
        <v/>
      </c>
      <c r="AI904" s="27">
        <f>IF($A904="","",IF(COUNTIF($A$14:$A904,$A904)=1,COUNTIF($AI$13:AI903,"&gt;0")+1,""))</f>
        <v/>
      </c>
      <c r="AO904" s="27">
        <f>IF($A904="","",IF(AND(COUNTIFS($A$14:$A$1213,$A904,$F$14:$F$1213,"&gt;=0")=2,IFERROR(INDEX($M$14:$M$313,MATCH($A904,$H$14:$H$313,0)),"Yes")&lt;&gt;"Yes"),1,0))</f>
        <v/>
      </c>
    </row>
    <row r="905">
      <c r="A905" s="19" t="n"/>
      <c r="B905" s="20" t="n"/>
      <c r="C905" s="21">
        <f>IFERROR(AVERAGE(P905:T905),"")</f>
        <v/>
      </c>
      <c r="D905" s="29" t="n"/>
      <c r="E905" s="29" t="n"/>
      <c r="F905" s="30">
        <f>IF(AND(ISNUMBER($D905),ISNUMBER($E905),$E905&gt;0,$D905&lt;=$E905),$D905/$E905,"")</f>
        <v/>
      </c>
      <c r="P905" s="26" t="n"/>
      <c r="Q905" s="26" t="n"/>
      <c r="R905" s="26" t="n"/>
      <c r="S905" s="26" t="n"/>
      <c r="T905" s="26" t="n"/>
      <c r="V905" s="27">
        <f>IF(ISNUMBER($C905),COUNTIFS($A$14:$A$1213,$A905,$C$14:$C$1213,"&gt;"&amp;$C905)+(COUNTIFS($A$14:$A$1213,$A905,$C$14:$C$1213,"="&amp;$C905)+1)/2,"")</f>
        <v/>
      </c>
      <c r="W905" s="27">
        <f>IF(ISNUMBER($F905),COUNTIFS($A$14:$A$1213,$A905,$F$14:$F$1213,"&gt;"&amp;$F905)+(COUNTIFS($A$14:$A$1213,$A905,$F$14:$F$1213,"="&amp;$F905)+1)/2,"")</f>
        <v/>
      </c>
      <c r="X905" s="27">
        <f>IF(OR(NOT(ISNUMBER($V905)),$AO905=1),"",$V905-(COUNTIFS($A$14:$A$1213,$A905,$C$14:$C$1213,"&gt;=0")+1)/2)</f>
        <v/>
      </c>
      <c r="Y905" s="27">
        <f>IF(OR(NOT(ISNUMBER($W905)),$AO905=1),"",$W905-(COUNTIFS($A$14:$A$1213,$A905,$F$14:$F$1213,"&gt;=0")+1)/2)</f>
        <v/>
      </c>
      <c r="Z905" s="27">
        <f>IF(ISNUMBER($V905),$A905&amp;"|"&amp;$V905,"")</f>
        <v/>
      </c>
      <c r="AA905" s="27">
        <f>IF(ISNUMBER($W905),$A905&amp;"|"&amp;$W905,"")</f>
        <v/>
      </c>
      <c r="AB905" s="27">
        <f>IF(ISNUMBER($F905),$A905&amp;"|"&amp;$F905,"")</f>
        <v/>
      </c>
      <c r="AC905" s="27">
        <f>IF(ISNUMBER($P905),COUNTIFS($A$14:$A$1213,$A905,$P$14:$P$1213,"&gt;"&amp;$P905)+(COUNTIFS($A$14:$A$1213,$A905,$P$14:$P$1213,"="&amp;$P905)+1)/2,"")</f>
        <v/>
      </c>
      <c r="AD905" s="27">
        <f>IF(ISNUMBER($Q905),COUNTIFS($A$14:$A$1213,$A905,$Q$14:$Q$1213,"&gt;"&amp;$Q905)+(COUNTIFS($A$14:$A$1213,$A905,$Q$14:$Q$1213,"="&amp;$Q905)+1)/2,"")</f>
        <v/>
      </c>
      <c r="AE905" s="27">
        <f>IF(ISNUMBER($R905),COUNTIFS($A$14:$A$1213,$A905,$R$14:$R$1213,"&gt;"&amp;$R905)+(COUNTIFS($A$14:$A$1213,$A905,$R$14:$R$1213,"="&amp;$R905)+1)/2,"")</f>
        <v/>
      </c>
      <c r="AF905" s="27">
        <f>IF(ISNUMBER($S905),COUNTIFS($A$14:$A$1213,$A905,$S$14:$S$1213,"&gt;"&amp;$S905)+(COUNTIFS($A$14:$A$1213,$A905,$S$14:$S$1213,"="&amp;$S905)+1)/2,"")</f>
        <v/>
      </c>
      <c r="AG905" s="27">
        <f>IF(ISNUMBER($T905),COUNTIFS($A$14:$A$1213,$A905,$T$14:$T$1213,"&gt;"&amp;$T905)+(COUNTIFS($A$14:$A$1213,$A905,$T$14:$T$1213,"="&amp;$T905)+1)/2,"")</f>
        <v/>
      </c>
      <c r="AH905" s="27">
        <f>IF(COUNT($AC905:$AG905)&lt;2,"",IF(MAX($AC905:$AG905)=MIN($AC905:$AG905),0,1))</f>
        <v/>
      </c>
      <c r="AI905" s="27">
        <f>IF($A905="","",IF(COUNTIF($A$14:$A905,$A905)=1,COUNTIF($AI$13:AI904,"&gt;0")+1,""))</f>
        <v/>
      </c>
      <c r="AO905" s="27">
        <f>IF($A905="","",IF(AND(COUNTIFS($A$14:$A$1213,$A905,$F$14:$F$1213,"&gt;=0")=2,IFERROR(INDEX($M$14:$M$313,MATCH($A905,$H$14:$H$313,0)),"Yes")&lt;&gt;"Yes"),1,0))</f>
        <v/>
      </c>
    </row>
    <row r="906">
      <c r="A906" s="19" t="n"/>
      <c r="B906" s="20" t="n"/>
      <c r="C906" s="21">
        <f>IFERROR(AVERAGE(P906:T906),"")</f>
        <v/>
      </c>
      <c r="D906" s="29" t="n"/>
      <c r="E906" s="29" t="n"/>
      <c r="F906" s="30">
        <f>IF(AND(ISNUMBER($D906),ISNUMBER($E906),$E906&gt;0,$D906&lt;=$E906),$D906/$E906,"")</f>
        <v/>
      </c>
      <c r="P906" s="26" t="n"/>
      <c r="Q906" s="26" t="n"/>
      <c r="R906" s="26" t="n"/>
      <c r="S906" s="26" t="n"/>
      <c r="T906" s="26" t="n"/>
      <c r="V906" s="27">
        <f>IF(ISNUMBER($C906),COUNTIFS($A$14:$A$1213,$A906,$C$14:$C$1213,"&gt;"&amp;$C906)+(COUNTIFS($A$14:$A$1213,$A906,$C$14:$C$1213,"="&amp;$C906)+1)/2,"")</f>
        <v/>
      </c>
      <c r="W906" s="27">
        <f>IF(ISNUMBER($F906),COUNTIFS($A$14:$A$1213,$A906,$F$14:$F$1213,"&gt;"&amp;$F906)+(COUNTIFS($A$14:$A$1213,$A906,$F$14:$F$1213,"="&amp;$F906)+1)/2,"")</f>
        <v/>
      </c>
      <c r="X906" s="27">
        <f>IF(OR(NOT(ISNUMBER($V906)),$AO906=1),"",$V906-(COUNTIFS($A$14:$A$1213,$A906,$C$14:$C$1213,"&gt;=0")+1)/2)</f>
        <v/>
      </c>
      <c r="Y906" s="27">
        <f>IF(OR(NOT(ISNUMBER($W906)),$AO906=1),"",$W906-(COUNTIFS($A$14:$A$1213,$A906,$F$14:$F$1213,"&gt;=0")+1)/2)</f>
        <v/>
      </c>
      <c r="Z906" s="27">
        <f>IF(ISNUMBER($V906),$A906&amp;"|"&amp;$V906,"")</f>
        <v/>
      </c>
      <c r="AA906" s="27">
        <f>IF(ISNUMBER($W906),$A906&amp;"|"&amp;$W906,"")</f>
        <v/>
      </c>
      <c r="AB906" s="27">
        <f>IF(ISNUMBER($F906),$A906&amp;"|"&amp;$F906,"")</f>
        <v/>
      </c>
      <c r="AC906" s="27">
        <f>IF(ISNUMBER($P906),COUNTIFS($A$14:$A$1213,$A906,$P$14:$P$1213,"&gt;"&amp;$P906)+(COUNTIFS($A$14:$A$1213,$A906,$P$14:$P$1213,"="&amp;$P906)+1)/2,"")</f>
        <v/>
      </c>
      <c r="AD906" s="27">
        <f>IF(ISNUMBER($Q906),COUNTIFS($A$14:$A$1213,$A906,$Q$14:$Q$1213,"&gt;"&amp;$Q906)+(COUNTIFS($A$14:$A$1213,$A906,$Q$14:$Q$1213,"="&amp;$Q906)+1)/2,"")</f>
        <v/>
      </c>
      <c r="AE906" s="27">
        <f>IF(ISNUMBER($R906),COUNTIFS($A$14:$A$1213,$A906,$R$14:$R$1213,"&gt;"&amp;$R906)+(COUNTIFS($A$14:$A$1213,$A906,$R$14:$R$1213,"="&amp;$R906)+1)/2,"")</f>
        <v/>
      </c>
      <c r="AF906" s="27">
        <f>IF(ISNUMBER($S906),COUNTIFS($A$14:$A$1213,$A906,$S$14:$S$1213,"&gt;"&amp;$S906)+(COUNTIFS($A$14:$A$1213,$A906,$S$14:$S$1213,"="&amp;$S906)+1)/2,"")</f>
        <v/>
      </c>
      <c r="AG906" s="27">
        <f>IF(ISNUMBER($T906),COUNTIFS($A$14:$A$1213,$A906,$T$14:$T$1213,"&gt;"&amp;$T906)+(COUNTIFS($A$14:$A$1213,$A906,$T$14:$T$1213,"="&amp;$T906)+1)/2,"")</f>
        <v/>
      </c>
      <c r="AH906" s="27">
        <f>IF(COUNT($AC906:$AG906)&lt;2,"",IF(MAX($AC906:$AG906)=MIN($AC906:$AG906),0,1))</f>
        <v/>
      </c>
      <c r="AI906" s="27">
        <f>IF($A906="","",IF(COUNTIF($A$14:$A906,$A906)=1,COUNTIF($AI$13:AI905,"&gt;0")+1,""))</f>
        <v/>
      </c>
      <c r="AO906" s="27">
        <f>IF($A906="","",IF(AND(COUNTIFS($A$14:$A$1213,$A906,$F$14:$F$1213,"&gt;=0")=2,IFERROR(INDEX($M$14:$M$313,MATCH($A906,$H$14:$H$313,0)),"Yes")&lt;&gt;"Yes"),1,0))</f>
        <v/>
      </c>
    </row>
    <row r="907">
      <c r="A907" s="19" t="n"/>
      <c r="B907" s="20" t="n"/>
      <c r="C907" s="21">
        <f>IFERROR(AVERAGE(P907:T907),"")</f>
        <v/>
      </c>
      <c r="D907" s="29" t="n"/>
      <c r="E907" s="29" t="n"/>
      <c r="F907" s="30">
        <f>IF(AND(ISNUMBER($D907),ISNUMBER($E907),$E907&gt;0,$D907&lt;=$E907),$D907/$E907,"")</f>
        <v/>
      </c>
      <c r="P907" s="26" t="n"/>
      <c r="Q907" s="26" t="n"/>
      <c r="R907" s="26" t="n"/>
      <c r="S907" s="26" t="n"/>
      <c r="T907" s="26" t="n"/>
      <c r="V907" s="27">
        <f>IF(ISNUMBER($C907),COUNTIFS($A$14:$A$1213,$A907,$C$14:$C$1213,"&gt;"&amp;$C907)+(COUNTIFS($A$14:$A$1213,$A907,$C$14:$C$1213,"="&amp;$C907)+1)/2,"")</f>
        <v/>
      </c>
      <c r="W907" s="27">
        <f>IF(ISNUMBER($F907),COUNTIFS($A$14:$A$1213,$A907,$F$14:$F$1213,"&gt;"&amp;$F907)+(COUNTIFS($A$14:$A$1213,$A907,$F$14:$F$1213,"="&amp;$F907)+1)/2,"")</f>
        <v/>
      </c>
      <c r="X907" s="27">
        <f>IF(OR(NOT(ISNUMBER($V907)),$AO907=1),"",$V907-(COUNTIFS($A$14:$A$1213,$A907,$C$14:$C$1213,"&gt;=0")+1)/2)</f>
        <v/>
      </c>
      <c r="Y907" s="27">
        <f>IF(OR(NOT(ISNUMBER($W907)),$AO907=1),"",$W907-(COUNTIFS($A$14:$A$1213,$A907,$F$14:$F$1213,"&gt;=0")+1)/2)</f>
        <v/>
      </c>
      <c r="Z907" s="27">
        <f>IF(ISNUMBER($V907),$A907&amp;"|"&amp;$V907,"")</f>
        <v/>
      </c>
      <c r="AA907" s="27">
        <f>IF(ISNUMBER($W907),$A907&amp;"|"&amp;$W907,"")</f>
        <v/>
      </c>
      <c r="AB907" s="27">
        <f>IF(ISNUMBER($F907),$A907&amp;"|"&amp;$F907,"")</f>
        <v/>
      </c>
      <c r="AC907" s="27">
        <f>IF(ISNUMBER($P907),COUNTIFS($A$14:$A$1213,$A907,$P$14:$P$1213,"&gt;"&amp;$P907)+(COUNTIFS($A$14:$A$1213,$A907,$P$14:$P$1213,"="&amp;$P907)+1)/2,"")</f>
        <v/>
      </c>
      <c r="AD907" s="27">
        <f>IF(ISNUMBER($Q907),COUNTIFS($A$14:$A$1213,$A907,$Q$14:$Q$1213,"&gt;"&amp;$Q907)+(COUNTIFS($A$14:$A$1213,$A907,$Q$14:$Q$1213,"="&amp;$Q907)+1)/2,"")</f>
        <v/>
      </c>
      <c r="AE907" s="27">
        <f>IF(ISNUMBER($R907),COUNTIFS($A$14:$A$1213,$A907,$R$14:$R$1213,"&gt;"&amp;$R907)+(COUNTIFS($A$14:$A$1213,$A907,$R$14:$R$1213,"="&amp;$R907)+1)/2,"")</f>
        <v/>
      </c>
      <c r="AF907" s="27">
        <f>IF(ISNUMBER($S907),COUNTIFS($A$14:$A$1213,$A907,$S$14:$S$1213,"&gt;"&amp;$S907)+(COUNTIFS($A$14:$A$1213,$A907,$S$14:$S$1213,"="&amp;$S907)+1)/2,"")</f>
        <v/>
      </c>
      <c r="AG907" s="27">
        <f>IF(ISNUMBER($T907),COUNTIFS($A$14:$A$1213,$A907,$T$14:$T$1213,"&gt;"&amp;$T907)+(COUNTIFS($A$14:$A$1213,$A907,$T$14:$T$1213,"="&amp;$T907)+1)/2,"")</f>
        <v/>
      </c>
      <c r="AH907" s="27">
        <f>IF(COUNT($AC907:$AG907)&lt;2,"",IF(MAX($AC907:$AG907)=MIN($AC907:$AG907),0,1))</f>
        <v/>
      </c>
      <c r="AI907" s="27">
        <f>IF($A907="","",IF(COUNTIF($A$14:$A907,$A907)=1,COUNTIF($AI$13:AI906,"&gt;0")+1,""))</f>
        <v/>
      </c>
      <c r="AO907" s="27">
        <f>IF($A907="","",IF(AND(COUNTIFS($A$14:$A$1213,$A907,$F$14:$F$1213,"&gt;=0")=2,IFERROR(INDEX($M$14:$M$313,MATCH($A907,$H$14:$H$313,0)),"Yes")&lt;&gt;"Yes"),1,0))</f>
        <v/>
      </c>
    </row>
    <row r="908">
      <c r="A908" s="19" t="n"/>
      <c r="B908" s="20" t="n"/>
      <c r="C908" s="21">
        <f>IFERROR(AVERAGE(P908:T908),"")</f>
        <v/>
      </c>
      <c r="D908" s="29" t="n"/>
      <c r="E908" s="29" t="n"/>
      <c r="F908" s="30">
        <f>IF(AND(ISNUMBER($D908),ISNUMBER($E908),$E908&gt;0,$D908&lt;=$E908),$D908/$E908,"")</f>
        <v/>
      </c>
      <c r="P908" s="26" t="n"/>
      <c r="Q908" s="26" t="n"/>
      <c r="R908" s="26" t="n"/>
      <c r="S908" s="26" t="n"/>
      <c r="T908" s="26" t="n"/>
      <c r="V908" s="27">
        <f>IF(ISNUMBER($C908),COUNTIFS($A$14:$A$1213,$A908,$C$14:$C$1213,"&gt;"&amp;$C908)+(COUNTIFS($A$14:$A$1213,$A908,$C$14:$C$1213,"="&amp;$C908)+1)/2,"")</f>
        <v/>
      </c>
      <c r="W908" s="27">
        <f>IF(ISNUMBER($F908),COUNTIFS($A$14:$A$1213,$A908,$F$14:$F$1213,"&gt;"&amp;$F908)+(COUNTIFS($A$14:$A$1213,$A908,$F$14:$F$1213,"="&amp;$F908)+1)/2,"")</f>
        <v/>
      </c>
      <c r="X908" s="27">
        <f>IF(OR(NOT(ISNUMBER($V908)),$AO908=1),"",$V908-(COUNTIFS($A$14:$A$1213,$A908,$C$14:$C$1213,"&gt;=0")+1)/2)</f>
        <v/>
      </c>
      <c r="Y908" s="27">
        <f>IF(OR(NOT(ISNUMBER($W908)),$AO908=1),"",$W908-(COUNTIFS($A$14:$A$1213,$A908,$F$14:$F$1213,"&gt;=0")+1)/2)</f>
        <v/>
      </c>
      <c r="Z908" s="27">
        <f>IF(ISNUMBER($V908),$A908&amp;"|"&amp;$V908,"")</f>
        <v/>
      </c>
      <c r="AA908" s="27">
        <f>IF(ISNUMBER($W908),$A908&amp;"|"&amp;$W908,"")</f>
        <v/>
      </c>
      <c r="AB908" s="27">
        <f>IF(ISNUMBER($F908),$A908&amp;"|"&amp;$F908,"")</f>
        <v/>
      </c>
      <c r="AC908" s="27">
        <f>IF(ISNUMBER($P908),COUNTIFS($A$14:$A$1213,$A908,$P$14:$P$1213,"&gt;"&amp;$P908)+(COUNTIFS($A$14:$A$1213,$A908,$P$14:$P$1213,"="&amp;$P908)+1)/2,"")</f>
        <v/>
      </c>
      <c r="AD908" s="27">
        <f>IF(ISNUMBER($Q908),COUNTIFS($A$14:$A$1213,$A908,$Q$14:$Q$1213,"&gt;"&amp;$Q908)+(COUNTIFS($A$14:$A$1213,$A908,$Q$14:$Q$1213,"="&amp;$Q908)+1)/2,"")</f>
        <v/>
      </c>
      <c r="AE908" s="27">
        <f>IF(ISNUMBER($R908),COUNTIFS($A$14:$A$1213,$A908,$R$14:$R$1213,"&gt;"&amp;$R908)+(COUNTIFS($A$14:$A$1213,$A908,$R$14:$R$1213,"="&amp;$R908)+1)/2,"")</f>
        <v/>
      </c>
      <c r="AF908" s="27">
        <f>IF(ISNUMBER($S908),COUNTIFS($A$14:$A$1213,$A908,$S$14:$S$1213,"&gt;"&amp;$S908)+(COUNTIFS($A$14:$A$1213,$A908,$S$14:$S$1213,"="&amp;$S908)+1)/2,"")</f>
        <v/>
      </c>
      <c r="AG908" s="27">
        <f>IF(ISNUMBER($T908),COUNTIFS($A$14:$A$1213,$A908,$T$14:$T$1213,"&gt;"&amp;$T908)+(COUNTIFS($A$14:$A$1213,$A908,$T$14:$T$1213,"="&amp;$T908)+1)/2,"")</f>
        <v/>
      </c>
      <c r="AH908" s="27">
        <f>IF(COUNT($AC908:$AG908)&lt;2,"",IF(MAX($AC908:$AG908)=MIN($AC908:$AG908),0,1))</f>
        <v/>
      </c>
      <c r="AI908" s="27">
        <f>IF($A908="","",IF(COUNTIF($A$14:$A908,$A908)=1,COUNTIF($AI$13:AI907,"&gt;0")+1,""))</f>
        <v/>
      </c>
      <c r="AO908" s="27">
        <f>IF($A908="","",IF(AND(COUNTIFS($A$14:$A$1213,$A908,$F$14:$F$1213,"&gt;=0")=2,IFERROR(INDEX($M$14:$M$313,MATCH($A908,$H$14:$H$313,0)),"Yes")&lt;&gt;"Yes"),1,0))</f>
        <v/>
      </c>
    </row>
    <row r="909">
      <c r="A909" s="19" t="n"/>
      <c r="B909" s="20" t="n"/>
      <c r="C909" s="21">
        <f>IFERROR(AVERAGE(P909:T909),"")</f>
        <v/>
      </c>
      <c r="D909" s="29" t="n"/>
      <c r="E909" s="29" t="n"/>
      <c r="F909" s="30">
        <f>IF(AND(ISNUMBER($D909),ISNUMBER($E909),$E909&gt;0,$D909&lt;=$E909),$D909/$E909,"")</f>
        <v/>
      </c>
      <c r="P909" s="26" t="n"/>
      <c r="Q909" s="26" t="n"/>
      <c r="R909" s="26" t="n"/>
      <c r="S909" s="26" t="n"/>
      <c r="T909" s="26" t="n"/>
      <c r="V909" s="27">
        <f>IF(ISNUMBER($C909),COUNTIFS($A$14:$A$1213,$A909,$C$14:$C$1213,"&gt;"&amp;$C909)+(COUNTIFS($A$14:$A$1213,$A909,$C$14:$C$1213,"="&amp;$C909)+1)/2,"")</f>
        <v/>
      </c>
      <c r="W909" s="27">
        <f>IF(ISNUMBER($F909),COUNTIFS($A$14:$A$1213,$A909,$F$14:$F$1213,"&gt;"&amp;$F909)+(COUNTIFS($A$14:$A$1213,$A909,$F$14:$F$1213,"="&amp;$F909)+1)/2,"")</f>
        <v/>
      </c>
      <c r="X909" s="27">
        <f>IF(OR(NOT(ISNUMBER($V909)),$AO909=1),"",$V909-(COUNTIFS($A$14:$A$1213,$A909,$C$14:$C$1213,"&gt;=0")+1)/2)</f>
        <v/>
      </c>
      <c r="Y909" s="27">
        <f>IF(OR(NOT(ISNUMBER($W909)),$AO909=1),"",$W909-(COUNTIFS($A$14:$A$1213,$A909,$F$14:$F$1213,"&gt;=0")+1)/2)</f>
        <v/>
      </c>
      <c r="Z909" s="27">
        <f>IF(ISNUMBER($V909),$A909&amp;"|"&amp;$V909,"")</f>
        <v/>
      </c>
      <c r="AA909" s="27">
        <f>IF(ISNUMBER($W909),$A909&amp;"|"&amp;$W909,"")</f>
        <v/>
      </c>
      <c r="AB909" s="27">
        <f>IF(ISNUMBER($F909),$A909&amp;"|"&amp;$F909,"")</f>
        <v/>
      </c>
      <c r="AC909" s="27">
        <f>IF(ISNUMBER($P909),COUNTIFS($A$14:$A$1213,$A909,$P$14:$P$1213,"&gt;"&amp;$P909)+(COUNTIFS($A$14:$A$1213,$A909,$P$14:$P$1213,"="&amp;$P909)+1)/2,"")</f>
        <v/>
      </c>
      <c r="AD909" s="27">
        <f>IF(ISNUMBER($Q909),COUNTIFS($A$14:$A$1213,$A909,$Q$14:$Q$1213,"&gt;"&amp;$Q909)+(COUNTIFS($A$14:$A$1213,$A909,$Q$14:$Q$1213,"="&amp;$Q909)+1)/2,"")</f>
        <v/>
      </c>
      <c r="AE909" s="27">
        <f>IF(ISNUMBER($R909),COUNTIFS($A$14:$A$1213,$A909,$R$14:$R$1213,"&gt;"&amp;$R909)+(COUNTIFS($A$14:$A$1213,$A909,$R$14:$R$1213,"="&amp;$R909)+1)/2,"")</f>
        <v/>
      </c>
      <c r="AF909" s="27">
        <f>IF(ISNUMBER($S909),COUNTIFS($A$14:$A$1213,$A909,$S$14:$S$1213,"&gt;"&amp;$S909)+(COUNTIFS($A$14:$A$1213,$A909,$S$14:$S$1213,"="&amp;$S909)+1)/2,"")</f>
        <v/>
      </c>
      <c r="AG909" s="27">
        <f>IF(ISNUMBER($T909),COUNTIFS($A$14:$A$1213,$A909,$T$14:$T$1213,"&gt;"&amp;$T909)+(COUNTIFS($A$14:$A$1213,$A909,$T$14:$T$1213,"="&amp;$T909)+1)/2,"")</f>
        <v/>
      </c>
      <c r="AH909" s="27">
        <f>IF(COUNT($AC909:$AG909)&lt;2,"",IF(MAX($AC909:$AG909)=MIN($AC909:$AG909),0,1))</f>
        <v/>
      </c>
      <c r="AI909" s="27">
        <f>IF($A909="","",IF(COUNTIF($A$14:$A909,$A909)=1,COUNTIF($AI$13:AI908,"&gt;0")+1,""))</f>
        <v/>
      </c>
      <c r="AO909" s="27">
        <f>IF($A909="","",IF(AND(COUNTIFS($A$14:$A$1213,$A909,$F$14:$F$1213,"&gt;=0")=2,IFERROR(INDEX($M$14:$M$313,MATCH($A909,$H$14:$H$313,0)),"Yes")&lt;&gt;"Yes"),1,0))</f>
        <v/>
      </c>
    </row>
    <row r="910">
      <c r="A910" s="19" t="n"/>
      <c r="B910" s="20" t="n"/>
      <c r="C910" s="21">
        <f>IFERROR(AVERAGE(P910:T910),"")</f>
        <v/>
      </c>
      <c r="D910" s="29" t="n"/>
      <c r="E910" s="29" t="n"/>
      <c r="F910" s="30">
        <f>IF(AND(ISNUMBER($D910),ISNUMBER($E910),$E910&gt;0,$D910&lt;=$E910),$D910/$E910,"")</f>
        <v/>
      </c>
      <c r="P910" s="26" t="n"/>
      <c r="Q910" s="26" t="n"/>
      <c r="R910" s="26" t="n"/>
      <c r="S910" s="26" t="n"/>
      <c r="T910" s="26" t="n"/>
      <c r="V910" s="27">
        <f>IF(ISNUMBER($C910),COUNTIFS($A$14:$A$1213,$A910,$C$14:$C$1213,"&gt;"&amp;$C910)+(COUNTIFS($A$14:$A$1213,$A910,$C$14:$C$1213,"="&amp;$C910)+1)/2,"")</f>
        <v/>
      </c>
      <c r="W910" s="27">
        <f>IF(ISNUMBER($F910),COUNTIFS($A$14:$A$1213,$A910,$F$14:$F$1213,"&gt;"&amp;$F910)+(COUNTIFS($A$14:$A$1213,$A910,$F$14:$F$1213,"="&amp;$F910)+1)/2,"")</f>
        <v/>
      </c>
      <c r="X910" s="27">
        <f>IF(OR(NOT(ISNUMBER($V910)),$AO910=1),"",$V910-(COUNTIFS($A$14:$A$1213,$A910,$C$14:$C$1213,"&gt;=0")+1)/2)</f>
        <v/>
      </c>
      <c r="Y910" s="27">
        <f>IF(OR(NOT(ISNUMBER($W910)),$AO910=1),"",$W910-(COUNTIFS($A$14:$A$1213,$A910,$F$14:$F$1213,"&gt;=0")+1)/2)</f>
        <v/>
      </c>
      <c r="Z910" s="27">
        <f>IF(ISNUMBER($V910),$A910&amp;"|"&amp;$V910,"")</f>
        <v/>
      </c>
      <c r="AA910" s="27">
        <f>IF(ISNUMBER($W910),$A910&amp;"|"&amp;$W910,"")</f>
        <v/>
      </c>
      <c r="AB910" s="27">
        <f>IF(ISNUMBER($F910),$A910&amp;"|"&amp;$F910,"")</f>
        <v/>
      </c>
      <c r="AC910" s="27">
        <f>IF(ISNUMBER($P910),COUNTIFS($A$14:$A$1213,$A910,$P$14:$P$1213,"&gt;"&amp;$P910)+(COUNTIFS($A$14:$A$1213,$A910,$P$14:$P$1213,"="&amp;$P910)+1)/2,"")</f>
        <v/>
      </c>
      <c r="AD910" s="27">
        <f>IF(ISNUMBER($Q910),COUNTIFS($A$14:$A$1213,$A910,$Q$14:$Q$1213,"&gt;"&amp;$Q910)+(COUNTIFS($A$14:$A$1213,$A910,$Q$14:$Q$1213,"="&amp;$Q910)+1)/2,"")</f>
        <v/>
      </c>
      <c r="AE910" s="27">
        <f>IF(ISNUMBER($R910),COUNTIFS($A$14:$A$1213,$A910,$R$14:$R$1213,"&gt;"&amp;$R910)+(COUNTIFS($A$14:$A$1213,$A910,$R$14:$R$1213,"="&amp;$R910)+1)/2,"")</f>
        <v/>
      </c>
      <c r="AF910" s="27">
        <f>IF(ISNUMBER($S910),COUNTIFS($A$14:$A$1213,$A910,$S$14:$S$1213,"&gt;"&amp;$S910)+(COUNTIFS($A$14:$A$1213,$A910,$S$14:$S$1213,"="&amp;$S910)+1)/2,"")</f>
        <v/>
      </c>
      <c r="AG910" s="27">
        <f>IF(ISNUMBER($T910),COUNTIFS($A$14:$A$1213,$A910,$T$14:$T$1213,"&gt;"&amp;$T910)+(COUNTIFS($A$14:$A$1213,$A910,$T$14:$T$1213,"="&amp;$T910)+1)/2,"")</f>
        <v/>
      </c>
      <c r="AH910" s="27">
        <f>IF(COUNT($AC910:$AG910)&lt;2,"",IF(MAX($AC910:$AG910)=MIN($AC910:$AG910),0,1))</f>
        <v/>
      </c>
      <c r="AI910" s="27">
        <f>IF($A910="","",IF(COUNTIF($A$14:$A910,$A910)=1,COUNTIF($AI$13:AI909,"&gt;0")+1,""))</f>
        <v/>
      </c>
      <c r="AO910" s="27">
        <f>IF($A910="","",IF(AND(COUNTIFS($A$14:$A$1213,$A910,$F$14:$F$1213,"&gt;=0")=2,IFERROR(INDEX($M$14:$M$313,MATCH($A910,$H$14:$H$313,0)),"Yes")&lt;&gt;"Yes"),1,0))</f>
        <v/>
      </c>
    </row>
    <row r="911">
      <c r="A911" s="19" t="n"/>
      <c r="B911" s="20" t="n"/>
      <c r="C911" s="21">
        <f>IFERROR(AVERAGE(P911:T911),"")</f>
        <v/>
      </c>
      <c r="D911" s="29" t="n"/>
      <c r="E911" s="29" t="n"/>
      <c r="F911" s="30">
        <f>IF(AND(ISNUMBER($D911),ISNUMBER($E911),$E911&gt;0,$D911&lt;=$E911),$D911/$E911,"")</f>
        <v/>
      </c>
      <c r="P911" s="26" t="n"/>
      <c r="Q911" s="26" t="n"/>
      <c r="R911" s="26" t="n"/>
      <c r="S911" s="26" t="n"/>
      <c r="T911" s="26" t="n"/>
      <c r="V911" s="27">
        <f>IF(ISNUMBER($C911),COUNTIFS($A$14:$A$1213,$A911,$C$14:$C$1213,"&gt;"&amp;$C911)+(COUNTIFS($A$14:$A$1213,$A911,$C$14:$C$1213,"="&amp;$C911)+1)/2,"")</f>
        <v/>
      </c>
      <c r="W911" s="27">
        <f>IF(ISNUMBER($F911),COUNTIFS($A$14:$A$1213,$A911,$F$14:$F$1213,"&gt;"&amp;$F911)+(COUNTIFS($A$14:$A$1213,$A911,$F$14:$F$1213,"="&amp;$F911)+1)/2,"")</f>
        <v/>
      </c>
      <c r="X911" s="27">
        <f>IF(OR(NOT(ISNUMBER($V911)),$AO911=1),"",$V911-(COUNTIFS($A$14:$A$1213,$A911,$C$14:$C$1213,"&gt;=0")+1)/2)</f>
        <v/>
      </c>
      <c r="Y911" s="27">
        <f>IF(OR(NOT(ISNUMBER($W911)),$AO911=1),"",$W911-(COUNTIFS($A$14:$A$1213,$A911,$F$14:$F$1213,"&gt;=0")+1)/2)</f>
        <v/>
      </c>
      <c r="Z911" s="27">
        <f>IF(ISNUMBER($V911),$A911&amp;"|"&amp;$V911,"")</f>
        <v/>
      </c>
      <c r="AA911" s="27">
        <f>IF(ISNUMBER($W911),$A911&amp;"|"&amp;$W911,"")</f>
        <v/>
      </c>
      <c r="AB911" s="27">
        <f>IF(ISNUMBER($F911),$A911&amp;"|"&amp;$F911,"")</f>
        <v/>
      </c>
      <c r="AC911" s="27">
        <f>IF(ISNUMBER($P911),COUNTIFS($A$14:$A$1213,$A911,$P$14:$P$1213,"&gt;"&amp;$P911)+(COUNTIFS($A$14:$A$1213,$A911,$P$14:$P$1213,"="&amp;$P911)+1)/2,"")</f>
        <v/>
      </c>
      <c r="AD911" s="27">
        <f>IF(ISNUMBER($Q911),COUNTIFS($A$14:$A$1213,$A911,$Q$14:$Q$1213,"&gt;"&amp;$Q911)+(COUNTIFS($A$14:$A$1213,$A911,$Q$14:$Q$1213,"="&amp;$Q911)+1)/2,"")</f>
        <v/>
      </c>
      <c r="AE911" s="27">
        <f>IF(ISNUMBER($R911),COUNTIFS($A$14:$A$1213,$A911,$R$14:$R$1213,"&gt;"&amp;$R911)+(COUNTIFS($A$14:$A$1213,$A911,$R$14:$R$1213,"="&amp;$R911)+1)/2,"")</f>
        <v/>
      </c>
      <c r="AF911" s="27">
        <f>IF(ISNUMBER($S911),COUNTIFS($A$14:$A$1213,$A911,$S$14:$S$1213,"&gt;"&amp;$S911)+(COUNTIFS($A$14:$A$1213,$A911,$S$14:$S$1213,"="&amp;$S911)+1)/2,"")</f>
        <v/>
      </c>
      <c r="AG911" s="27">
        <f>IF(ISNUMBER($T911),COUNTIFS($A$14:$A$1213,$A911,$T$14:$T$1213,"&gt;"&amp;$T911)+(COUNTIFS($A$14:$A$1213,$A911,$T$14:$T$1213,"="&amp;$T911)+1)/2,"")</f>
        <v/>
      </c>
      <c r="AH911" s="27">
        <f>IF(COUNT($AC911:$AG911)&lt;2,"",IF(MAX($AC911:$AG911)=MIN($AC911:$AG911),0,1))</f>
        <v/>
      </c>
      <c r="AI911" s="27">
        <f>IF($A911="","",IF(COUNTIF($A$14:$A911,$A911)=1,COUNTIF($AI$13:AI910,"&gt;0")+1,""))</f>
        <v/>
      </c>
      <c r="AO911" s="27">
        <f>IF($A911="","",IF(AND(COUNTIFS($A$14:$A$1213,$A911,$F$14:$F$1213,"&gt;=0")=2,IFERROR(INDEX($M$14:$M$313,MATCH($A911,$H$14:$H$313,0)),"Yes")&lt;&gt;"Yes"),1,0))</f>
        <v/>
      </c>
    </row>
    <row r="912">
      <c r="A912" s="19" t="n"/>
      <c r="B912" s="20" t="n"/>
      <c r="C912" s="21">
        <f>IFERROR(AVERAGE(P912:T912),"")</f>
        <v/>
      </c>
      <c r="D912" s="29" t="n"/>
      <c r="E912" s="29" t="n"/>
      <c r="F912" s="30">
        <f>IF(AND(ISNUMBER($D912),ISNUMBER($E912),$E912&gt;0,$D912&lt;=$E912),$D912/$E912,"")</f>
        <v/>
      </c>
      <c r="P912" s="26" t="n"/>
      <c r="Q912" s="26" t="n"/>
      <c r="R912" s="26" t="n"/>
      <c r="S912" s="26" t="n"/>
      <c r="T912" s="26" t="n"/>
      <c r="V912" s="27">
        <f>IF(ISNUMBER($C912),COUNTIFS($A$14:$A$1213,$A912,$C$14:$C$1213,"&gt;"&amp;$C912)+(COUNTIFS($A$14:$A$1213,$A912,$C$14:$C$1213,"="&amp;$C912)+1)/2,"")</f>
        <v/>
      </c>
      <c r="W912" s="27">
        <f>IF(ISNUMBER($F912),COUNTIFS($A$14:$A$1213,$A912,$F$14:$F$1213,"&gt;"&amp;$F912)+(COUNTIFS($A$14:$A$1213,$A912,$F$14:$F$1213,"="&amp;$F912)+1)/2,"")</f>
        <v/>
      </c>
      <c r="X912" s="27">
        <f>IF(OR(NOT(ISNUMBER($V912)),$AO912=1),"",$V912-(COUNTIFS($A$14:$A$1213,$A912,$C$14:$C$1213,"&gt;=0")+1)/2)</f>
        <v/>
      </c>
      <c r="Y912" s="27">
        <f>IF(OR(NOT(ISNUMBER($W912)),$AO912=1),"",$W912-(COUNTIFS($A$14:$A$1213,$A912,$F$14:$F$1213,"&gt;=0")+1)/2)</f>
        <v/>
      </c>
      <c r="Z912" s="27">
        <f>IF(ISNUMBER($V912),$A912&amp;"|"&amp;$V912,"")</f>
        <v/>
      </c>
      <c r="AA912" s="27">
        <f>IF(ISNUMBER($W912),$A912&amp;"|"&amp;$W912,"")</f>
        <v/>
      </c>
      <c r="AB912" s="27">
        <f>IF(ISNUMBER($F912),$A912&amp;"|"&amp;$F912,"")</f>
        <v/>
      </c>
      <c r="AC912" s="27">
        <f>IF(ISNUMBER($P912),COUNTIFS($A$14:$A$1213,$A912,$P$14:$P$1213,"&gt;"&amp;$P912)+(COUNTIFS($A$14:$A$1213,$A912,$P$14:$P$1213,"="&amp;$P912)+1)/2,"")</f>
        <v/>
      </c>
      <c r="AD912" s="27">
        <f>IF(ISNUMBER($Q912),COUNTIFS($A$14:$A$1213,$A912,$Q$14:$Q$1213,"&gt;"&amp;$Q912)+(COUNTIFS($A$14:$A$1213,$A912,$Q$14:$Q$1213,"="&amp;$Q912)+1)/2,"")</f>
        <v/>
      </c>
      <c r="AE912" s="27">
        <f>IF(ISNUMBER($R912),COUNTIFS($A$14:$A$1213,$A912,$R$14:$R$1213,"&gt;"&amp;$R912)+(COUNTIFS($A$14:$A$1213,$A912,$R$14:$R$1213,"="&amp;$R912)+1)/2,"")</f>
        <v/>
      </c>
      <c r="AF912" s="27">
        <f>IF(ISNUMBER($S912),COUNTIFS($A$14:$A$1213,$A912,$S$14:$S$1213,"&gt;"&amp;$S912)+(COUNTIFS($A$14:$A$1213,$A912,$S$14:$S$1213,"="&amp;$S912)+1)/2,"")</f>
        <v/>
      </c>
      <c r="AG912" s="27">
        <f>IF(ISNUMBER($T912),COUNTIFS($A$14:$A$1213,$A912,$T$14:$T$1213,"&gt;"&amp;$T912)+(COUNTIFS($A$14:$A$1213,$A912,$T$14:$T$1213,"="&amp;$T912)+1)/2,"")</f>
        <v/>
      </c>
      <c r="AH912" s="27">
        <f>IF(COUNT($AC912:$AG912)&lt;2,"",IF(MAX($AC912:$AG912)=MIN($AC912:$AG912),0,1))</f>
        <v/>
      </c>
      <c r="AI912" s="27">
        <f>IF($A912="","",IF(COUNTIF($A$14:$A912,$A912)=1,COUNTIF($AI$13:AI911,"&gt;0")+1,""))</f>
        <v/>
      </c>
      <c r="AO912" s="27">
        <f>IF($A912="","",IF(AND(COUNTIFS($A$14:$A$1213,$A912,$F$14:$F$1213,"&gt;=0")=2,IFERROR(INDEX($M$14:$M$313,MATCH($A912,$H$14:$H$313,0)),"Yes")&lt;&gt;"Yes"),1,0))</f>
        <v/>
      </c>
    </row>
    <row r="913">
      <c r="A913" s="19" t="n"/>
      <c r="B913" s="20" t="n"/>
      <c r="C913" s="21">
        <f>IFERROR(AVERAGE(P913:T913),"")</f>
        <v/>
      </c>
      <c r="D913" s="29" t="n"/>
      <c r="E913" s="29" t="n"/>
      <c r="F913" s="30">
        <f>IF(AND(ISNUMBER($D913),ISNUMBER($E913),$E913&gt;0,$D913&lt;=$E913),$D913/$E913,"")</f>
        <v/>
      </c>
      <c r="P913" s="26" t="n"/>
      <c r="Q913" s="26" t="n"/>
      <c r="R913" s="26" t="n"/>
      <c r="S913" s="26" t="n"/>
      <c r="T913" s="26" t="n"/>
      <c r="V913" s="27">
        <f>IF(ISNUMBER($C913),COUNTIFS($A$14:$A$1213,$A913,$C$14:$C$1213,"&gt;"&amp;$C913)+(COUNTIFS($A$14:$A$1213,$A913,$C$14:$C$1213,"="&amp;$C913)+1)/2,"")</f>
        <v/>
      </c>
      <c r="W913" s="27">
        <f>IF(ISNUMBER($F913),COUNTIFS($A$14:$A$1213,$A913,$F$14:$F$1213,"&gt;"&amp;$F913)+(COUNTIFS($A$14:$A$1213,$A913,$F$14:$F$1213,"="&amp;$F913)+1)/2,"")</f>
        <v/>
      </c>
      <c r="X913" s="27">
        <f>IF(OR(NOT(ISNUMBER($V913)),$AO913=1),"",$V913-(COUNTIFS($A$14:$A$1213,$A913,$C$14:$C$1213,"&gt;=0")+1)/2)</f>
        <v/>
      </c>
      <c r="Y913" s="27">
        <f>IF(OR(NOT(ISNUMBER($W913)),$AO913=1),"",$W913-(COUNTIFS($A$14:$A$1213,$A913,$F$14:$F$1213,"&gt;=0")+1)/2)</f>
        <v/>
      </c>
      <c r="Z913" s="27">
        <f>IF(ISNUMBER($V913),$A913&amp;"|"&amp;$V913,"")</f>
        <v/>
      </c>
      <c r="AA913" s="27">
        <f>IF(ISNUMBER($W913),$A913&amp;"|"&amp;$W913,"")</f>
        <v/>
      </c>
      <c r="AB913" s="27">
        <f>IF(ISNUMBER($F913),$A913&amp;"|"&amp;$F913,"")</f>
        <v/>
      </c>
      <c r="AC913" s="27">
        <f>IF(ISNUMBER($P913),COUNTIFS($A$14:$A$1213,$A913,$P$14:$P$1213,"&gt;"&amp;$P913)+(COUNTIFS($A$14:$A$1213,$A913,$P$14:$P$1213,"="&amp;$P913)+1)/2,"")</f>
        <v/>
      </c>
      <c r="AD913" s="27">
        <f>IF(ISNUMBER($Q913),COUNTIFS($A$14:$A$1213,$A913,$Q$14:$Q$1213,"&gt;"&amp;$Q913)+(COUNTIFS($A$14:$A$1213,$A913,$Q$14:$Q$1213,"="&amp;$Q913)+1)/2,"")</f>
        <v/>
      </c>
      <c r="AE913" s="27">
        <f>IF(ISNUMBER($R913),COUNTIFS($A$14:$A$1213,$A913,$R$14:$R$1213,"&gt;"&amp;$R913)+(COUNTIFS($A$14:$A$1213,$A913,$R$14:$R$1213,"="&amp;$R913)+1)/2,"")</f>
        <v/>
      </c>
      <c r="AF913" s="27">
        <f>IF(ISNUMBER($S913),COUNTIFS($A$14:$A$1213,$A913,$S$14:$S$1213,"&gt;"&amp;$S913)+(COUNTIFS($A$14:$A$1213,$A913,$S$14:$S$1213,"="&amp;$S913)+1)/2,"")</f>
        <v/>
      </c>
      <c r="AG913" s="27">
        <f>IF(ISNUMBER($T913),COUNTIFS($A$14:$A$1213,$A913,$T$14:$T$1213,"&gt;"&amp;$T913)+(COUNTIFS($A$14:$A$1213,$A913,$T$14:$T$1213,"="&amp;$T913)+1)/2,"")</f>
        <v/>
      </c>
      <c r="AH913" s="27">
        <f>IF(COUNT($AC913:$AG913)&lt;2,"",IF(MAX($AC913:$AG913)=MIN($AC913:$AG913),0,1))</f>
        <v/>
      </c>
      <c r="AI913" s="27">
        <f>IF($A913="","",IF(COUNTIF($A$14:$A913,$A913)=1,COUNTIF($AI$13:AI912,"&gt;0")+1,""))</f>
        <v/>
      </c>
      <c r="AO913" s="27">
        <f>IF($A913="","",IF(AND(COUNTIFS($A$14:$A$1213,$A913,$F$14:$F$1213,"&gt;=0")=2,IFERROR(INDEX($M$14:$M$313,MATCH($A913,$H$14:$H$313,0)),"Yes")&lt;&gt;"Yes"),1,0))</f>
        <v/>
      </c>
    </row>
    <row r="914">
      <c r="A914" s="19" t="n"/>
      <c r="B914" s="20" t="n"/>
      <c r="C914" s="21">
        <f>IFERROR(AVERAGE(P914:T914),"")</f>
        <v/>
      </c>
      <c r="D914" s="29" t="n"/>
      <c r="E914" s="29" t="n"/>
      <c r="F914" s="30">
        <f>IF(AND(ISNUMBER($D914),ISNUMBER($E914),$E914&gt;0,$D914&lt;=$E914),$D914/$E914,"")</f>
        <v/>
      </c>
      <c r="P914" s="26" t="n"/>
      <c r="Q914" s="26" t="n"/>
      <c r="R914" s="26" t="n"/>
      <c r="S914" s="26" t="n"/>
      <c r="T914" s="26" t="n"/>
      <c r="V914" s="27">
        <f>IF(ISNUMBER($C914),COUNTIFS($A$14:$A$1213,$A914,$C$14:$C$1213,"&gt;"&amp;$C914)+(COUNTIFS($A$14:$A$1213,$A914,$C$14:$C$1213,"="&amp;$C914)+1)/2,"")</f>
        <v/>
      </c>
      <c r="W914" s="27">
        <f>IF(ISNUMBER($F914),COUNTIFS($A$14:$A$1213,$A914,$F$14:$F$1213,"&gt;"&amp;$F914)+(COUNTIFS($A$14:$A$1213,$A914,$F$14:$F$1213,"="&amp;$F914)+1)/2,"")</f>
        <v/>
      </c>
      <c r="X914" s="27">
        <f>IF(OR(NOT(ISNUMBER($V914)),$AO914=1),"",$V914-(COUNTIFS($A$14:$A$1213,$A914,$C$14:$C$1213,"&gt;=0")+1)/2)</f>
        <v/>
      </c>
      <c r="Y914" s="27">
        <f>IF(OR(NOT(ISNUMBER($W914)),$AO914=1),"",$W914-(COUNTIFS($A$14:$A$1213,$A914,$F$14:$F$1213,"&gt;=0")+1)/2)</f>
        <v/>
      </c>
      <c r="Z914" s="27">
        <f>IF(ISNUMBER($V914),$A914&amp;"|"&amp;$V914,"")</f>
        <v/>
      </c>
      <c r="AA914" s="27">
        <f>IF(ISNUMBER($W914),$A914&amp;"|"&amp;$W914,"")</f>
        <v/>
      </c>
      <c r="AB914" s="27">
        <f>IF(ISNUMBER($F914),$A914&amp;"|"&amp;$F914,"")</f>
        <v/>
      </c>
      <c r="AC914" s="27">
        <f>IF(ISNUMBER($P914),COUNTIFS($A$14:$A$1213,$A914,$P$14:$P$1213,"&gt;"&amp;$P914)+(COUNTIFS($A$14:$A$1213,$A914,$P$14:$P$1213,"="&amp;$P914)+1)/2,"")</f>
        <v/>
      </c>
      <c r="AD914" s="27">
        <f>IF(ISNUMBER($Q914),COUNTIFS($A$14:$A$1213,$A914,$Q$14:$Q$1213,"&gt;"&amp;$Q914)+(COUNTIFS($A$14:$A$1213,$A914,$Q$14:$Q$1213,"="&amp;$Q914)+1)/2,"")</f>
        <v/>
      </c>
      <c r="AE914" s="27">
        <f>IF(ISNUMBER($R914),COUNTIFS($A$14:$A$1213,$A914,$R$14:$R$1213,"&gt;"&amp;$R914)+(COUNTIFS($A$14:$A$1213,$A914,$R$14:$R$1213,"="&amp;$R914)+1)/2,"")</f>
        <v/>
      </c>
      <c r="AF914" s="27">
        <f>IF(ISNUMBER($S914),COUNTIFS($A$14:$A$1213,$A914,$S$14:$S$1213,"&gt;"&amp;$S914)+(COUNTIFS($A$14:$A$1213,$A914,$S$14:$S$1213,"="&amp;$S914)+1)/2,"")</f>
        <v/>
      </c>
      <c r="AG914" s="27">
        <f>IF(ISNUMBER($T914),COUNTIFS($A$14:$A$1213,$A914,$T$14:$T$1213,"&gt;"&amp;$T914)+(COUNTIFS($A$14:$A$1213,$A914,$T$14:$T$1213,"="&amp;$T914)+1)/2,"")</f>
        <v/>
      </c>
      <c r="AH914" s="27">
        <f>IF(COUNT($AC914:$AG914)&lt;2,"",IF(MAX($AC914:$AG914)=MIN($AC914:$AG914),0,1))</f>
        <v/>
      </c>
      <c r="AI914" s="27">
        <f>IF($A914="","",IF(COUNTIF($A$14:$A914,$A914)=1,COUNTIF($AI$13:AI913,"&gt;0")+1,""))</f>
        <v/>
      </c>
      <c r="AO914" s="27">
        <f>IF($A914="","",IF(AND(COUNTIFS($A$14:$A$1213,$A914,$F$14:$F$1213,"&gt;=0")=2,IFERROR(INDEX($M$14:$M$313,MATCH($A914,$H$14:$H$313,0)),"Yes")&lt;&gt;"Yes"),1,0))</f>
        <v/>
      </c>
    </row>
    <row r="915">
      <c r="A915" s="19" t="n"/>
      <c r="B915" s="20" t="n"/>
      <c r="C915" s="21">
        <f>IFERROR(AVERAGE(P915:T915),"")</f>
        <v/>
      </c>
      <c r="D915" s="29" t="n"/>
      <c r="E915" s="29" t="n"/>
      <c r="F915" s="30">
        <f>IF(AND(ISNUMBER($D915),ISNUMBER($E915),$E915&gt;0,$D915&lt;=$E915),$D915/$E915,"")</f>
        <v/>
      </c>
      <c r="P915" s="26" t="n"/>
      <c r="Q915" s="26" t="n"/>
      <c r="R915" s="26" t="n"/>
      <c r="S915" s="26" t="n"/>
      <c r="T915" s="26" t="n"/>
      <c r="V915" s="27">
        <f>IF(ISNUMBER($C915),COUNTIFS($A$14:$A$1213,$A915,$C$14:$C$1213,"&gt;"&amp;$C915)+(COUNTIFS($A$14:$A$1213,$A915,$C$14:$C$1213,"="&amp;$C915)+1)/2,"")</f>
        <v/>
      </c>
      <c r="W915" s="27">
        <f>IF(ISNUMBER($F915),COUNTIFS($A$14:$A$1213,$A915,$F$14:$F$1213,"&gt;"&amp;$F915)+(COUNTIFS($A$14:$A$1213,$A915,$F$14:$F$1213,"="&amp;$F915)+1)/2,"")</f>
        <v/>
      </c>
      <c r="X915" s="27">
        <f>IF(OR(NOT(ISNUMBER($V915)),$AO915=1),"",$V915-(COUNTIFS($A$14:$A$1213,$A915,$C$14:$C$1213,"&gt;=0")+1)/2)</f>
        <v/>
      </c>
      <c r="Y915" s="27">
        <f>IF(OR(NOT(ISNUMBER($W915)),$AO915=1),"",$W915-(COUNTIFS($A$14:$A$1213,$A915,$F$14:$F$1213,"&gt;=0")+1)/2)</f>
        <v/>
      </c>
      <c r="Z915" s="27">
        <f>IF(ISNUMBER($V915),$A915&amp;"|"&amp;$V915,"")</f>
        <v/>
      </c>
      <c r="AA915" s="27">
        <f>IF(ISNUMBER($W915),$A915&amp;"|"&amp;$W915,"")</f>
        <v/>
      </c>
      <c r="AB915" s="27">
        <f>IF(ISNUMBER($F915),$A915&amp;"|"&amp;$F915,"")</f>
        <v/>
      </c>
      <c r="AC915" s="27">
        <f>IF(ISNUMBER($P915),COUNTIFS($A$14:$A$1213,$A915,$P$14:$P$1213,"&gt;"&amp;$P915)+(COUNTIFS($A$14:$A$1213,$A915,$P$14:$P$1213,"="&amp;$P915)+1)/2,"")</f>
        <v/>
      </c>
      <c r="AD915" s="27">
        <f>IF(ISNUMBER($Q915),COUNTIFS($A$14:$A$1213,$A915,$Q$14:$Q$1213,"&gt;"&amp;$Q915)+(COUNTIFS($A$14:$A$1213,$A915,$Q$14:$Q$1213,"="&amp;$Q915)+1)/2,"")</f>
        <v/>
      </c>
      <c r="AE915" s="27">
        <f>IF(ISNUMBER($R915),COUNTIFS($A$14:$A$1213,$A915,$R$14:$R$1213,"&gt;"&amp;$R915)+(COUNTIFS($A$14:$A$1213,$A915,$R$14:$R$1213,"="&amp;$R915)+1)/2,"")</f>
        <v/>
      </c>
      <c r="AF915" s="27">
        <f>IF(ISNUMBER($S915),COUNTIFS($A$14:$A$1213,$A915,$S$14:$S$1213,"&gt;"&amp;$S915)+(COUNTIFS($A$14:$A$1213,$A915,$S$14:$S$1213,"="&amp;$S915)+1)/2,"")</f>
        <v/>
      </c>
      <c r="AG915" s="27">
        <f>IF(ISNUMBER($T915),COUNTIFS($A$14:$A$1213,$A915,$T$14:$T$1213,"&gt;"&amp;$T915)+(COUNTIFS($A$14:$A$1213,$A915,$T$14:$T$1213,"="&amp;$T915)+1)/2,"")</f>
        <v/>
      </c>
      <c r="AH915" s="27">
        <f>IF(COUNT($AC915:$AG915)&lt;2,"",IF(MAX($AC915:$AG915)=MIN($AC915:$AG915),0,1))</f>
        <v/>
      </c>
      <c r="AI915" s="27">
        <f>IF($A915="","",IF(COUNTIF($A$14:$A915,$A915)=1,COUNTIF($AI$13:AI914,"&gt;0")+1,""))</f>
        <v/>
      </c>
      <c r="AO915" s="27">
        <f>IF($A915="","",IF(AND(COUNTIFS($A$14:$A$1213,$A915,$F$14:$F$1213,"&gt;=0")=2,IFERROR(INDEX($M$14:$M$313,MATCH($A915,$H$14:$H$313,0)),"Yes")&lt;&gt;"Yes"),1,0))</f>
        <v/>
      </c>
    </row>
    <row r="916">
      <c r="A916" s="19" t="n"/>
      <c r="B916" s="20" t="n"/>
      <c r="C916" s="21">
        <f>IFERROR(AVERAGE(P916:T916),"")</f>
        <v/>
      </c>
      <c r="D916" s="29" t="n"/>
      <c r="E916" s="29" t="n"/>
      <c r="F916" s="30">
        <f>IF(AND(ISNUMBER($D916),ISNUMBER($E916),$E916&gt;0,$D916&lt;=$E916),$D916/$E916,"")</f>
        <v/>
      </c>
      <c r="P916" s="26" t="n"/>
      <c r="Q916" s="26" t="n"/>
      <c r="R916" s="26" t="n"/>
      <c r="S916" s="26" t="n"/>
      <c r="T916" s="26" t="n"/>
      <c r="V916" s="27">
        <f>IF(ISNUMBER($C916),COUNTIFS($A$14:$A$1213,$A916,$C$14:$C$1213,"&gt;"&amp;$C916)+(COUNTIFS($A$14:$A$1213,$A916,$C$14:$C$1213,"="&amp;$C916)+1)/2,"")</f>
        <v/>
      </c>
      <c r="W916" s="27">
        <f>IF(ISNUMBER($F916),COUNTIFS($A$14:$A$1213,$A916,$F$14:$F$1213,"&gt;"&amp;$F916)+(COUNTIFS($A$14:$A$1213,$A916,$F$14:$F$1213,"="&amp;$F916)+1)/2,"")</f>
        <v/>
      </c>
      <c r="X916" s="27">
        <f>IF(OR(NOT(ISNUMBER($V916)),$AO916=1),"",$V916-(COUNTIFS($A$14:$A$1213,$A916,$C$14:$C$1213,"&gt;=0")+1)/2)</f>
        <v/>
      </c>
      <c r="Y916" s="27">
        <f>IF(OR(NOT(ISNUMBER($W916)),$AO916=1),"",$W916-(COUNTIFS($A$14:$A$1213,$A916,$F$14:$F$1213,"&gt;=0")+1)/2)</f>
        <v/>
      </c>
      <c r="Z916" s="27">
        <f>IF(ISNUMBER($V916),$A916&amp;"|"&amp;$V916,"")</f>
        <v/>
      </c>
      <c r="AA916" s="27">
        <f>IF(ISNUMBER($W916),$A916&amp;"|"&amp;$W916,"")</f>
        <v/>
      </c>
      <c r="AB916" s="27">
        <f>IF(ISNUMBER($F916),$A916&amp;"|"&amp;$F916,"")</f>
        <v/>
      </c>
      <c r="AC916" s="27">
        <f>IF(ISNUMBER($P916),COUNTIFS($A$14:$A$1213,$A916,$P$14:$P$1213,"&gt;"&amp;$P916)+(COUNTIFS($A$14:$A$1213,$A916,$P$14:$P$1213,"="&amp;$P916)+1)/2,"")</f>
        <v/>
      </c>
      <c r="AD916" s="27">
        <f>IF(ISNUMBER($Q916),COUNTIFS($A$14:$A$1213,$A916,$Q$14:$Q$1213,"&gt;"&amp;$Q916)+(COUNTIFS($A$14:$A$1213,$A916,$Q$14:$Q$1213,"="&amp;$Q916)+1)/2,"")</f>
        <v/>
      </c>
      <c r="AE916" s="27">
        <f>IF(ISNUMBER($R916),COUNTIFS($A$14:$A$1213,$A916,$R$14:$R$1213,"&gt;"&amp;$R916)+(COUNTIFS($A$14:$A$1213,$A916,$R$14:$R$1213,"="&amp;$R916)+1)/2,"")</f>
        <v/>
      </c>
      <c r="AF916" s="27">
        <f>IF(ISNUMBER($S916),COUNTIFS($A$14:$A$1213,$A916,$S$14:$S$1213,"&gt;"&amp;$S916)+(COUNTIFS($A$14:$A$1213,$A916,$S$14:$S$1213,"="&amp;$S916)+1)/2,"")</f>
        <v/>
      </c>
      <c r="AG916" s="27">
        <f>IF(ISNUMBER($T916),COUNTIFS($A$14:$A$1213,$A916,$T$14:$T$1213,"&gt;"&amp;$T916)+(COUNTIFS($A$14:$A$1213,$A916,$T$14:$T$1213,"="&amp;$T916)+1)/2,"")</f>
        <v/>
      </c>
      <c r="AH916" s="27">
        <f>IF(COUNT($AC916:$AG916)&lt;2,"",IF(MAX($AC916:$AG916)=MIN($AC916:$AG916),0,1))</f>
        <v/>
      </c>
      <c r="AI916" s="27">
        <f>IF($A916="","",IF(COUNTIF($A$14:$A916,$A916)=1,COUNTIF($AI$13:AI915,"&gt;0")+1,""))</f>
        <v/>
      </c>
      <c r="AO916" s="27">
        <f>IF($A916="","",IF(AND(COUNTIFS($A$14:$A$1213,$A916,$F$14:$F$1213,"&gt;=0")=2,IFERROR(INDEX($M$14:$M$313,MATCH($A916,$H$14:$H$313,0)),"Yes")&lt;&gt;"Yes"),1,0))</f>
        <v/>
      </c>
    </row>
    <row r="917">
      <c r="A917" s="19" t="n"/>
      <c r="B917" s="20" t="n"/>
      <c r="C917" s="21">
        <f>IFERROR(AVERAGE(P917:T917),"")</f>
        <v/>
      </c>
      <c r="D917" s="29" t="n"/>
      <c r="E917" s="29" t="n"/>
      <c r="F917" s="30">
        <f>IF(AND(ISNUMBER($D917),ISNUMBER($E917),$E917&gt;0,$D917&lt;=$E917),$D917/$E917,"")</f>
        <v/>
      </c>
      <c r="P917" s="26" t="n"/>
      <c r="Q917" s="26" t="n"/>
      <c r="R917" s="26" t="n"/>
      <c r="S917" s="26" t="n"/>
      <c r="T917" s="26" t="n"/>
      <c r="V917" s="27">
        <f>IF(ISNUMBER($C917),COUNTIFS($A$14:$A$1213,$A917,$C$14:$C$1213,"&gt;"&amp;$C917)+(COUNTIFS($A$14:$A$1213,$A917,$C$14:$C$1213,"="&amp;$C917)+1)/2,"")</f>
        <v/>
      </c>
      <c r="W917" s="27">
        <f>IF(ISNUMBER($F917),COUNTIFS($A$14:$A$1213,$A917,$F$14:$F$1213,"&gt;"&amp;$F917)+(COUNTIFS($A$14:$A$1213,$A917,$F$14:$F$1213,"="&amp;$F917)+1)/2,"")</f>
        <v/>
      </c>
      <c r="X917" s="27">
        <f>IF(OR(NOT(ISNUMBER($V917)),$AO917=1),"",$V917-(COUNTIFS($A$14:$A$1213,$A917,$C$14:$C$1213,"&gt;=0")+1)/2)</f>
        <v/>
      </c>
      <c r="Y917" s="27">
        <f>IF(OR(NOT(ISNUMBER($W917)),$AO917=1),"",$W917-(COUNTIFS($A$14:$A$1213,$A917,$F$14:$F$1213,"&gt;=0")+1)/2)</f>
        <v/>
      </c>
      <c r="Z917" s="27">
        <f>IF(ISNUMBER($V917),$A917&amp;"|"&amp;$V917,"")</f>
        <v/>
      </c>
      <c r="AA917" s="27">
        <f>IF(ISNUMBER($W917),$A917&amp;"|"&amp;$W917,"")</f>
        <v/>
      </c>
      <c r="AB917" s="27">
        <f>IF(ISNUMBER($F917),$A917&amp;"|"&amp;$F917,"")</f>
        <v/>
      </c>
      <c r="AC917" s="27">
        <f>IF(ISNUMBER($P917),COUNTIFS($A$14:$A$1213,$A917,$P$14:$P$1213,"&gt;"&amp;$P917)+(COUNTIFS($A$14:$A$1213,$A917,$P$14:$P$1213,"="&amp;$P917)+1)/2,"")</f>
        <v/>
      </c>
      <c r="AD917" s="27">
        <f>IF(ISNUMBER($Q917),COUNTIFS($A$14:$A$1213,$A917,$Q$14:$Q$1213,"&gt;"&amp;$Q917)+(COUNTIFS($A$14:$A$1213,$A917,$Q$14:$Q$1213,"="&amp;$Q917)+1)/2,"")</f>
        <v/>
      </c>
      <c r="AE917" s="27">
        <f>IF(ISNUMBER($R917),COUNTIFS($A$14:$A$1213,$A917,$R$14:$R$1213,"&gt;"&amp;$R917)+(COUNTIFS($A$14:$A$1213,$A917,$R$14:$R$1213,"="&amp;$R917)+1)/2,"")</f>
        <v/>
      </c>
      <c r="AF917" s="27">
        <f>IF(ISNUMBER($S917),COUNTIFS($A$14:$A$1213,$A917,$S$14:$S$1213,"&gt;"&amp;$S917)+(COUNTIFS($A$14:$A$1213,$A917,$S$14:$S$1213,"="&amp;$S917)+1)/2,"")</f>
        <v/>
      </c>
      <c r="AG917" s="27">
        <f>IF(ISNUMBER($T917),COUNTIFS($A$14:$A$1213,$A917,$T$14:$T$1213,"&gt;"&amp;$T917)+(COUNTIFS($A$14:$A$1213,$A917,$T$14:$T$1213,"="&amp;$T917)+1)/2,"")</f>
        <v/>
      </c>
      <c r="AH917" s="27">
        <f>IF(COUNT($AC917:$AG917)&lt;2,"",IF(MAX($AC917:$AG917)=MIN($AC917:$AG917),0,1))</f>
        <v/>
      </c>
      <c r="AI917" s="27">
        <f>IF($A917="","",IF(COUNTIF($A$14:$A917,$A917)=1,COUNTIF($AI$13:AI916,"&gt;0")+1,""))</f>
        <v/>
      </c>
      <c r="AO917" s="27">
        <f>IF($A917="","",IF(AND(COUNTIFS($A$14:$A$1213,$A917,$F$14:$F$1213,"&gt;=0")=2,IFERROR(INDEX($M$14:$M$313,MATCH($A917,$H$14:$H$313,0)),"Yes")&lt;&gt;"Yes"),1,0))</f>
        <v/>
      </c>
    </row>
    <row r="918">
      <c r="A918" s="19" t="n"/>
      <c r="B918" s="20" t="n"/>
      <c r="C918" s="21">
        <f>IFERROR(AVERAGE(P918:T918),"")</f>
        <v/>
      </c>
      <c r="D918" s="29" t="n"/>
      <c r="E918" s="29" t="n"/>
      <c r="F918" s="30">
        <f>IF(AND(ISNUMBER($D918),ISNUMBER($E918),$E918&gt;0,$D918&lt;=$E918),$D918/$E918,"")</f>
        <v/>
      </c>
      <c r="P918" s="26" t="n"/>
      <c r="Q918" s="26" t="n"/>
      <c r="R918" s="26" t="n"/>
      <c r="S918" s="26" t="n"/>
      <c r="T918" s="26" t="n"/>
      <c r="V918" s="27">
        <f>IF(ISNUMBER($C918),COUNTIFS($A$14:$A$1213,$A918,$C$14:$C$1213,"&gt;"&amp;$C918)+(COUNTIFS($A$14:$A$1213,$A918,$C$14:$C$1213,"="&amp;$C918)+1)/2,"")</f>
        <v/>
      </c>
      <c r="W918" s="27">
        <f>IF(ISNUMBER($F918),COUNTIFS($A$14:$A$1213,$A918,$F$14:$F$1213,"&gt;"&amp;$F918)+(COUNTIFS($A$14:$A$1213,$A918,$F$14:$F$1213,"="&amp;$F918)+1)/2,"")</f>
        <v/>
      </c>
      <c r="X918" s="27">
        <f>IF(OR(NOT(ISNUMBER($V918)),$AO918=1),"",$V918-(COUNTIFS($A$14:$A$1213,$A918,$C$14:$C$1213,"&gt;=0")+1)/2)</f>
        <v/>
      </c>
      <c r="Y918" s="27">
        <f>IF(OR(NOT(ISNUMBER($W918)),$AO918=1),"",$W918-(COUNTIFS($A$14:$A$1213,$A918,$F$14:$F$1213,"&gt;=0")+1)/2)</f>
        <v/>
      </c>
      <c r="Z918" s="27">
        <f>IF(ISNUMBER($V918),$A918&amp;"|"&amp;$V918,"")</f>
        <v/>
      </c>
      <c r="AA918" s="27">
        <f>IF(ISNUMBER($W918),$A918&amp;"|"&amp;$W918,"")</f>
        <v/>
      </c>
      <c r="AB918" s="27">
        <f>IF(ISNUMBER($F918),$A918&amp;"|"&amp;$F918,"")</f>
        <v/>
      </c>
      <c r="AC918" s="27">
        <f>IF(ISNUMBER($P918),COUNTIFS($A$14:$A$1213,$A918,$P$14:$P$1213,"&gt;"&amp;$P918)+(COUNTIFS($A$14:$A$1213,$A918,$P$14:$P$1213,"="&amp;$P918)+1)/2,"")</f>
        <v/>
      </c>
      <c r="AD918" s="27">
        <f>IF(ISNUMBER($Q918),COUNTIFS($A$14:$A$1213,$A918,$Q$14:$Q$1213,"&gt;"&amp;$Q918)+(COUNTIFS($A$14:$A$1213,$A918,$Q$14:$Q$1213,"="&amp;$Q918)+1)/2,"")</f>
        <v/>
      </c>
      <c r="AE918" s="27">
        <f>IF(ISNUMBER($R918),COUNTIFS($A$14:$A$1213,$A918,$R$14:$R$1213,"&gt;"&amp;$R918)+(COUNTIFS($A$14:$A$1213,$A918,$R$14:$R$1213,"="&amp;$R918)+1)/2,"")</f>
        <v/>
      </c>
      <c r="AF918" s="27">
        <f>IF(ISNUMBER($S918),COUNTIFS($A$14:$A$1213,$A918,$S$14:$S$1213,"&gt;"&amp;$S918)+(COUNTIFS($A$14:$A$1213,$A918,$S$14:$S$1213,"="&amp;$S918)+1)/2,"")</f>
        <v/>
      </c>
      <c r="AG918" s="27">
        <f>IF(ISNUMBER($T918),COUNTIFS($A$14:$A$1213,$A918,$T$14:$T$1213,"&gt;"&amp;$T918)+(COUNTIFS($A$14:$A$1213,$A918,$T$14:$T$1213,"="&amp;$T918)+1)/2,"")</f>
        <v/>
      </c>
      <c r="AH918" s="27">
        <f>IF(COUNT($AC918:$AG918)&lt;2,"",IF(MAX($AC918:$AG918)=MIN($AC918:$AG918),0,1))</f>
        <v/>
      </c>
      <c r="AI918" s="27">
        <f>IF($A918="","",IF(COUNTIF($A$14:$A918,$A918)=1,COUNTIF($AI$13:AI917,"&gt;0")+1,""))</f>
        <v/>
      </c>
      <c r="AO918" s="27">
        <f>IF($A918="","",IF(AND(COUNTIFS($A$14:$A$1213,$A918,$F$14:$F$1213,"&gt;=0")=2,IFERROR(INDEX($M$14:$M$313,MATCH($A918,$H$14:$H$313,0)),"Yes")&lt;&gt;"Yes"),1,0))</f>
        <v/>
      </c>
    </row>
    <row r="919">
      <c r="A919" s="19" t="n"/>
      <c r="B919" s="20" t="n"/>
      <c r="C919" s="21">
        <f>IFERROR(AVERAGE(P919:T919),"")</f>
        <v/>
      </c>
      <c r="D919" s="29" t="n"/>
      <c r="E919" s="29" t="n"/>
      <c r="F919" s="30">
        <f>IF(AND(ISNUMBER($D919),ISNUMBER($E919),$E919&gt;0,$D919&lt;=$E919),$D919/$E919,"")</f>
        <v/>
      </c>
      <c r="P919" s="26" t="n"/>
      <c r="Q919" s="26" t="n"/>
      <c r="R919" s="26" t="n"/>
      <c r="S919" s="26" t="n"/>
      <c r="T919" s="26" t="n"/>
      <c r="V919" s="27">
        <f>IF(ISNUMBER($C919),COUNTIFS($A$14:$A$1213,$A919,$C$14:$C$1213,"&gt;"&amp;$C919)+(COUNTIFS($A$14:$A$1213,$A919,$C$14:$C$1213,"="&amp;$C919)+1)/2,"")</f>
        <v/>
      </c>
      <c r="W919" s="27">
        <f>IF(ISNUMBER($F919),COUNTIFS($A$14:$A$1213,$A919,$F$14:$F$1213,"&gt;"&amp;$F919)+(COUNTIFS($A$14:$A$1213,$A919,$F$14:$F$1213,"="&amp;$F919)+1)/2,"")</f>
        <v/>
      </c>
      <c r="X919" s="27">
        <f>IF(OR(NOT(ISNUMBER($V919)),$AO919=1),"",$V919-(COUNTIFS($A$14:$A$1213,$A919,$C$14:$C$1213,"&gt;=0")+1)/2)</f>
        <v/>
      </c>
      <c r="Y919" s="27">
        <f>IF(OR(NOT(ISNUMBER($W919)),$AO919=1),"",$W919-(COUNTIFS($A$14:$A$1213,$A919,$F$14:$F$1213,"&gt;=0")+1)/2)</f>
        <v/>
      </c>
      <c r="Z919" s="27">
        <f>IF(ISNUMBER($V919),$A919&amp;"|"&amp;$V919,"")</f>
        <v/>
      </c>
      <c r="AA919" s="27">
        <f>IF(ISNUMBER($W919),$A919&amp;"|"&amp;$W919,"")</f>
        <v/>
      </c>
      <c r="AB919" s="27">
        <f>IF(ISNUMBER($F919),$A919&amp;"|"&amp;$F919,"")</f>
        <v/>
      </c>
      <c r="AC919" s="27">
        <f>IF(ISNUMBER($P919),COUNTIFS($A$14:$A$1213,$A919,$P$14:$P$1213,"&gt;"&amp;$P919)+(COUNTIFS($A$14:$A$1213,$A919,$P$14:$P$1213,"="&amp;$P919)+1)/2,"")</f>
        <v/>
      </c>
      <c r="AD919" s="27">
        <f>IF(ISNUMBER($Q919),COUNTIFS($A$14:$A$1213,$A919,$Q$14:$Q$1213,"&gt;"&amp;$Q919)+(COUNTIFS($A$14:$A$1213,$A919,$Q$14:$Q$1213,"="&amp;$Q919)+1)/2,"")</f>
        <v/>
      </c>
      <c r="AE919" s="27">
        <f>IF(ISNUMBER($R919),COUNTIFS($A$14:$A$1213,$A919,$R$14:$R$1213,"&gt;"&amp;$R919)+(COUNTIFS($A$14:$A$1213,$A919,$R$14:$R$1213,"="&amp;$R919)+1)/2,"")</f>
        <v/>
      </c>
      <c r="AF919" s="27">
        <f>IF(ISNUMBER($S919),COUNTIFS($A$14:$A$1213,$A919,$S$14:$S$1213,"&gt;"&amp;$S919)+(COUNTIFS($A$14:$A$1213,$A919,$S$14:$S$1213,"="&amp;$S919)+1)/2,"")</f>
        <v/>
      </c>
      <c r="AG919" s="27">
        <f>IF(ISNUMBER($T919),COUNTIFS($A$14:$A$1213,$A919,$T$14:$T$1213,"&gt;"&amp;$T919)+(COUNTIFS($A$14:$A$1213,$A919,$T$14:$T$1213,"="&amp;$T919)+1)/2,"")</f>
        <v/>
      </c>
      <c r="AH919" s="27">
        <f>IF(COUNT($AC919:$AG919)&lt;2,"",IF(MAX($AC919:$AG919)=MIN($AC919:$AG919),0,1))</f>
        <v/>
      </c>
      <c r="AI919" s="27">
        <f>IF($A919="","",IF(COUNTIF($A$14:$A919,$A919)=1,COUNTIF($AI$13:AI918,"&gt;0")+1,""))</f>
        <v/>
      </c>
      <c r="AO919" s="27">
        <f>IF($A919="","",IF(AND(COUNTIFS($A$14:$A$1213,$A919,$F$14:$F$1213,"&gt;=0")=2,IFERROR(INDEX($M$14:$M$313,MATCH($A919,$H$14:$H$313,0)),"Yes")&lt;&gt;"Yes"),1,0))</f>
        <v/>
      </c>
    </row>
    <row r="920">
      <c r="A920" s="19" t="n"/>
      <c r="B920" s="20" t="n"/>
      <c r="C920" s="21">
        <f>IFERROR(AVERAGE(P920:T920),"")</f>
        <v/>
      </c>
      <c r="D920" s="29" t="n"/>
      <c r="E920" s="29" t="n"/>
      <c r="F920" s="30">
        <f>IF(AND(ISNUMBER($D920),ISNUMBER($E920),$E920&gt;0,$D920&lt;=$E920),$D920/$E920,"")</f>
        <v/>
      </c>
      <c r="P920" s="26" t="n"/>
      <c r="Q920" s="26" t="n"/>
      <c r="R920" s="26" t="n"/>
      <c r="S920" s="26" t="n"/>
      <c r="T920" s="26" t="n"/>
      <c r="V920" s="27">
        <f>IF(ISNUMBER($C920),COUNTIFS($A$14:$A$1213,$A920,$C$14:$C$1213,"&gt;"&amp;$C920)+(COUNTIFS($A$14:$A$1213,$A920,$C$14:$C$1213,"="&amp;$C920)+1)/2,"")</f>
        <v/>
      </c>
      <c r="W920" s="27">
        <f>IF(ISNUMBER($F920),COUNTIFS($A$14:$A$1213,$A920,$F$14:$F$1213,"&gt;"&amp;$F920)+(COUNTIFS($A$14:$A$1213,$A920,$F$14:$F$1213,"="&amp;$F920)+1)/2,"")</f>
        <v/>
      </c>
      <c r="X920" s="27">
        <f>IF(OR(NOT(ISNUMBER($V920)),$AO920=1),"",$V920-(COUNTIFS($A$14:$A$1213,$A920,$C$14:$C$1213,"&gt;=0")+1)/2)</f>
        <v/>
      </c>
      <c r="Y920" s="27">
        <f>IF(OR(NOT(ISNUMBER($W920)),$AO920=1),"",$W920-(COUNTIFS($A$14:$A$1213,$A920,$F$14:$F$1213,"&gt;=0")+1)/2)</f>
        <v/>
      </c>
      <c r="Z920" s="27">
        <f>IF(ISNUMBER($V920),$A920&amp;"|"&amp;$V920,"")</f>
        <v/>
      </c>
      <c r="AA920" s="27">
        <f>IF(ISNUMBER($W920),$A920&amp;"|"&amp;$W920,"")</f>
        <v/>
      </c>
      <c r="AB920" s="27">
        <f>IF(ISNUMBER($F920),$A920&amp;"|"&amp;$F920,"")</f>
        <v/>
      </c>
      <c r="AC920" s="27">
        <f>IF(ISNUMBER($P920),COUNTIFS($A$14:$A$1213,$A920,$P$14:$P$1213,"&gt;"&amp;$P920)+(COUNTIFS($A$14:$A$1213,$A920,$P$14:$P$1213,"="&amp;$P920)+1)/2,"")</f>
        <v/>
      </c>
      <c r="AD920" s="27">
        <f>IF(ISNUMBER($Q920),COUNTIFS($A$14:$A$1213,$A920,$Q$14:$Q$1213,"&gt;"&amp;$Q920)+(COUNTIFS($A$14:$A$1213,$A920,$Q$14:$Q$1213,"="&amp;$Q920)+1)/2,"")</f>
        <v/>
      </c>
      <c r="AE920" s="27">
        <f>IF(ISNUMBER($R920),COUNTIFS($A$14:$A$1213,$A920,$R$14:$R$1213,"&gt;"&amp;$R920)+(COUNTIFS($A$14:$A$1213,$A920,$R$14:$R$1213,"="&amp;$R920)+1)/2,"")</f>
        <v/>
      </c>
      <c r="AF920" s="27">
        <f>IF(ISNUMBER($S920),COUNTIFS($A$14:$A$1213,$A920,$S$14:$S$1213,"&gt;"&amp;$S920)+(COUNTIFS($A$14:$A$1213,$A920,$S$14:$S$1213,"="&amp;$S920)+1)/2,"")</f>
        <v/>
      </c>
      <c r="AG920" s="27">
        <f>IF(ISNUMBER($T920),COUNTIFS($A$14:$A$1213,$A920,$T$14:$T$1213,"&gt;"&amp;$T920)+(COUNTIFS($A$14:$A$1213,$A920,$T$14:$T$1213,"="&amp;$T920)+1)/2,"")</f>
        <v/>
      </c>
      <c r="AH920" s="27">
        <f>IF(COUNT($AC920:$AG920)&lt;2,"",IF(MAX($AC920:$AG920)=MIN($AC920:$AG920),0,1))</f>
        <v/>
      </c>
      <c r="AI920" s="27">
        <f>IF($A920="","",IF(COUNTIF($A$14:$A920,$A920)=1,COUNTIF($AI$13:AI919,"&gt;0")+1,""))</f>
        <v/>
      </c>
      <c r="AO920" s="27">
        <f>IF($A920="","",IF(AND(COUNTIFS($A$14:$A$1213,$A920,$F$14:$F$1213,"&gt;=0")=2,IFERROR(INDEX($M$14:$M$313,MATCH($A920,$H$14:$H$313,0)),"Yes")&lt;&gt;"Yes"),1,0))</f>
        <v/>
      </c>
    </row>
    <row r="921">
      <c r="A921" s="19" t="n"/>
      <c r="B921" s="20" t="n"/>
      <c r="C921" s="21">
        <f>IFERROR(AVERAGE(P921:T921),"")</f>
        <v/>
      </c>
      <c r="D921" s="29" t="n"/>
      <c r="E921" s="29" t="n"/>
      <c r="F921" s="30">
        <f>IF(AND(ISNUMBER($D921),ISNUMBER($E921),$E921&gt;0,$D921&lt;=$E921),$D921/$E921,"")</f>
        <v/>
      </c>
      <c r="P921" s="26" t="n"/>
      <c r="Q921" s="26" t="n"/>
      <c r="R921" s="26" t="n"/>
      <c r="S921" s="26" t="n"/>
      <c r="T921" s="26" t="n"/>
      <c r="V921" s="27">
        <f>IF(ISNUMBER($C921),COUNTIFS($A$14:$A$1213,$A921,$C$14:$C$1213,"&gt;"&amp;$C921)+(COUNTIFS($A$14:$A$1213,$A921,$C$14:$C$1213,"="&amp;$C921)+1)/2,"")</f>
        <v/>
      </c>
      <c r="W921" s="27">
        <f>IF(ISNUMBER($F921),COUNTIFS($A$14:$A$1213,$A921,$F$14:$F$1213,"&gt;"&amp;$F921)+(COUNTIFS($A$14:$A$1213,$A921,$F$14:$F$1213,"="&amp;$F921)+1)/2,"")</f>
        <v/>
      </c>
      <c r="X921" s="27">
        <f>IF(OR(NOT(ISNUMBER($V921)),$AO921=1),"",$V921-(COUNTIFS($A$14:$A$1213,$A921,$C$14:$C$1213,"&gt;=0")+1)/2)</f>
        <v/>
      </c>
      <c r="Y921" s="27">
        <f>IF(OR(NOT(ISNUMBER($W921)),$AO921=1),"",$W921-(COUNTIFS($A$14:$A$1213,$A921,$F$14:$F$1213,"&gt;=0")+1)/2)</f>
        <v/>
      </c>
      <c r="Z921" s="27">
        <f>IF(ISNUMBER($V921),$A921&amp;"|"&amp;$V921,"")</f>
        <v/>
      </c>
      <c r="AA921" s="27">
        <f>IF(ISNUMBER($W921),$A921&amp;"|"&amp;$W921,"")</f>
        <v/>
      </c>
      <c r="AB921" s="27">
        <f>IF(ISNUMBER($F921),$A921&amp;"|"&amp;$F921,"")</f>
        <v/>
      </c>
      <c r="AC921" s="27">
        <f>IF(ISNUMBER($P921),COUNTIFS($A$14:$A$1213,$A921,$P$14:$P$1213,"&gt;"&amp;$P921)+(COUNTIFS($A$14:$A$1213,$A921,$P$14:$P$1213,"="&amp;$P921)+1)/2,"")</f>
        <v/>
      </c>
      <c r="AD921" s="27">
        <f>IF(ISNUMBER($Q921),COUNTIFS($A$14:$A$1213,$A921,$Q$14:$Q$1213,"&gt;"&amp;$Q921)+(COUNTIFS($A$14:$A$1213,$A921,$Q$14:$Q$1213,"="&amp;$Q921)+1)/2,"")</f>
        <v/>
      </c>
      <c r="AE921" s="27">
        <f>IF(ISNUMBER($R921),COUNTIFS($A$14:$A$1213,$A921,$R$14:$R$1213,"&gt;"&amp;$R921)+(COUNTIFS($A$14:$A$1213,$A921,$R$14:$R$1213,"="&amp;$R921)+1)/2,"")</f>
        <v/>
      </c>
      <c r="AF921" s="27">
        <f>IF(ISNUMBER($S921),COUNTIFS($A$14:$A$1213,$A921,$S$14:$S$1213,"&gt;"&amp;$S921)+(COUNTIFS($A$14:$A$1213,$A921,$S$14:$S$1213,"="&amp;$S921)+1)/2,"")</f>
        <v/>
      </c>
      <c r="AG921" s="27">
        <f>IF(ISNUMBER($T921),COUNTIFS($A$14:$A$1213,$A921,$T$14:$T$1213,"&gt;"&amp;$T921)+(COUNTIFS($A$14:$A$1213,$A921,$T$14:$T$1213,"="&amp;$T921)+1)/2,"")</f>
        <v/>
      </c>
      <c r="AH921" s="27">
        <f>IF(COUNT($AC921:$AG921)&lt;2,"",IF(MAX($AC921:$AG921)=MIN($AC921:$AG921),0,1))</f>
        <v/>
      </c>
      <c r="AI921" s="27">
        <f>IF($A921="","",IF(COUNTIF($A$14:$A921,$A921)=1,COUNTIF($AI$13:AI920,"&gt;0")+1,""))</f>
        <v/>
      </c>
      <c r="AO921" s="27">
        <f>IF($A921="","",IF(AND(COUNTIFS($A$14:$A$1213,$A921,$F$14:$F$1213,"&gt;=0")=2,IFERROR(INDEX($M$14:$M$313,MATCH($A921,$H$14:$H$313,0)),"Yes")&lt;&gt;"Yes"),1,0))</f>
        <v/>
      </c>
    </row>
    <row r="922">
      <c r="A922" s="19" t="n"/>
      <c r="B922" s="20" t="n"/>
      <c r="C922" s="21">
        <f>IFERROR(AVERAGE(P922:T922),"")</f>
        <v/>
      </c>
      <c r="D922" s="29" t="n"/>
      <c r="E922" s="29" t="n"/>
      <c r="F922" s="30">
        <f>IF(AND(ISNUMBER($D922),ISNUMBER($E922),$E922&gt;0,$D922&lt;=$E922),$D922/$E922,"")</f>
        <v/>
      </c>
      <c r="P922" s="26" t="n"/>
      <c r="Q922" s="26" t="n"/>
      <c r="R922" s="26" t="n"/>
      <c r="S922" s="26" t="n"/>
      <c r="T922" s="26" t="n"/>
      <c r="V922" s="27">
        <f>IF(ISNUMBER($C922),COUNTIFS($A$14:$A$1213,$A922,$C$14:$C$1213,"&gt;"&amp;$C922)+(COUNTIFS($A$14:$A$1213,$A922,$C$14:$C$1213,"="&amp;$C922)+1)/2,"")</f>
        <v/>
      </c>
      <c r="W922" s="27">
        <f>IF(ISNUMBER($F922),COUNTIFS($A$14:$A$1213,$A922,$F$14:$F$1213,"&gt;"&amp;$F922)+(COUNTIFS($A$14:$A$1213,$A922,$F$14:$F$1213,"="&amp;$F922)+1)/2,"")</f>
        <v/>
      </c>
      <c r="X922" s="27">
        <f>IF(OR(NOT(ISNUMBER($V922)),$AO922=1),"",$V922-(COUNTIFS($A$14:$A$1213,$A922,$C$14:$C$1213,"&gt;=0")+1)/2)</f>
        <v/>
      </c>
      <c r="Y922" s="27">
        <f>IF(OR(NOT(ISNUMBER($W922)),$AO922=1),"",$W922-(COUNTIFS($A$14:$A$1213,$A922,$F$14:$F$1213,"&gt;=0")+1)/2)</f>
        <v/>
      </c>
      <c r="Z922" s="27">
        <f>IF(ISNUMBER($V922),$A922&amp;"|"&amp;$V922,"")</f>
        <v/>
      </c>
      <c r="AA922" s="27">
        <f>IF(ISNUMBER($W922),$A922&amp;"|"&amp;$W922,"")</f>
        <v/>
      </c>
      <c r="AB922" s="27">
        <f>IF(ISNUMBER($F922),$A922&amp;"|"&amp;$F922,"")</f>
        <v/>
      </c>
      <c r="AC922" s="27">
        <f>IF(ISNUMBER($P922),COUNTIFS($A$14:$A$1213,$A922,$P$14:$P$1213,"&gt;"&amp;$P922)+(COUNTIFS($A$14:$A$1213,$A922,$P$14:$P$1213,"="&amp;$P922)+1)/2,"")</f>
        <v/>
      </c>
      <c r="AD922" s="27">
        <f>IF(ISNUMBER($Q922),COUNTIFS($A$14:$A$1213,$A922,$Q$14:$Q$1213,"&gt;"&amp;$Q922)+(COUNTIFS($A$14:$A$1213,$A922,$Q$14:$Q$1213,"="&amp;$Q922)+1)/2,"")</f>
        <v/>
      </c>
      <c r="AE922" s="27">
        <f>IF(ISNUMBER($R922),COUNTIFS($A$14:$A$1213,$A922,$R$14:$R$1213,"&gt;"&amp;$R922)+(COUNTIFS($A$14:$A$1213,$A922,$R$14:$R$1213,"="&amp;$R922)+1)/2,"")</f>
        <v/>
      </c>
      <c r="AF922" s="27">
        <f>IF(ISNUMBER($S922),COUNTIFS($A$14:$A$1213,$A922,$S$14:$S$1213,"&gt;"&amp;$S922)+(COUNTIFS($A$14:$A$1213,$A922,$S$14:$S$1213,"="&amp;$S922)+1)/2,"")</f>
        <v/>
      </c>
      <c r="AG922" s="27">
        <f>IF(ISNUMBER($T922),COUNTIFS($A$14:$A$1213,$A922,$T$14:$T$1213,"&gt;"&amp;$T922)+(COUNTIFS($A$14:$A$1213,$A922,$T$14:$T$1213,"="&amp;$T922)+1)/2,"")</f>
        <v/>
      </c>
      <c r="AH922" s="27">
        <f>IF(COUNT($AC922:$AG922)&lt;2,"",IF(MAX($AC922:$AG922)=MIN($AC922:$AG922),0,1))</f>
        <v/>
      </c>
      <c r="AI922" s="27">
        <f>IF($A922="","",IF(COUNTIF($A$14:$A922,$A922)=1,COUNTIF($AI$13:AI921,"&gt;0")+1,""))</f>
        <v/>
      </c>
      <c r="AO922" s="27">
        <f>IF($A922="","",IF(AND(COUNTIFS($A$14:$A$1213,$A922,$F$14:$F$1213,"&gt;=0")=2,IFERROR(INDEX($M$14:$M$313,MATCH($A922,$H$14:$H$313,0)),"Yes")&lt;&gt;"Yes"),1,0))</f>
        <v/>
      </c>
    </row>
    <row r="923">
      <c r="A923" s="19" t="n"/>
      <c r="B923" s="20" t="n"/>
      <c r="C923" s="21">
        <f>IFERROR(AVERAGE(P923:T923),"")</f>
        <v/>
      </c>
      <c r="D923" s="29" t="n"/>
      <c r="E923" s="29" t="n"/>
      <c r="F923" s="30">
        <f>IF(AND(ISNUMBER($D923),ISNUMBER($E923),$E923&gt;0,$D923&lt;=$E923),$D923/$E923,"")</f>
        <v/>
      </c>
      <c r="P923" s="26" t="n"/>
      <c r="Q923" s="26" t="n"/>
      <c r="R923" s="26" t="n"/>
      <c r="S923" s="26" t="n"/>
      <c r="T923" s="26" t="n"/>
      <c r="V923" s="27">
        <f>IF(ISNUMBER($C923),COUNTIFS($A$14:$A$1213,$A923,$C$14:$C$1213,"&gt;"&amp;$C923)+(COUNTIFS($A$14:$A$1213,$A923,$C$14:$C$1213,"="&amp;$C923)+1)/2,"")</f>
        <v/>
      </c>
      <c r="W923" s="27">
        <f>IF(ISNUMBER($F923),COUNTIFS($A$14:$A$1213,$A923,$F$14:$F$1213,"&gt;"&amp;$F923)+(COUNTIFS($A$14:$A$1213,$A923,$F$14:$F$1213,"="&amp;$F923)+1)/2,"")</f>
        <v/>
      </c>
      <c r="X923" s="27">
        <f>IF(OR(NOT(ISNUMBER($V923)),$AO923=1),"",$V923-(COUNTIFS($A$14:$A$1213,$A923,$C$14:$C$1213,"&gt;=0")+1)/2)</f>
        <v/>
      </c>
      <c r="Y923" s="27">
        <f>IF(OR(NOT(ISNUMBER($W923)),$AO923=1),"",$W923-(COUNTIFS($A$14:$A$1213,$A923,$F$14:$F$1213,"&gt;=0")+1)/2)</f>
        <v/>
      </c>
      <c r="Z923" s="27">
        <f>IF(ISNUMBER($V923),$A923&amp;"|"&amp;$V923,"")</f>
        <v/>
      </c>
      <c r="AA923" s="27">
        <f>IF(ISNUMBER($W923),$A923&amp;"|"&amp;$W923,"")</f>
        <v/>
      </c>
      <c r="AB923" s="27">
        <f>IF(ISNUMBER($F923),$A923&amp;"|"&amp;$F923,"")</f>
        <v/>
      </c>
      <c r="AC923" s="27">
        <f>IF(ISNUMBER($P923),COUNTIFS($A$14:$A$1213,$A923,$P$14:$P$1213,"&gt;"&amp;$P923)+(COUNTIFS($A$14:$A$1213,$A923,$P$14:$P$1213,"="&amp;$P923)+1)/2,"")</f>
        <v/>
      </c>
      <c r="AD923" s="27">
        <f>IF(ISNUMBER($Q923),COUNTIFS($A$14:$A$1213,$A923,$Q$14:$Q$1213,"&gt;"&amp;$Q923)+(COUNTIFS($A$14:$A$1213,$A923,$Q$14:$Q$1213,"="&amp;$Q923)+1)/2,"")</f>
        <v/>
      </c>
      <c r="AE923" s="27">
        <f>IF(ISNUMBER($R923),COUNTIFS($A$14:$A$1213,$A923,$R$14:$R$1213,"&gt;"&amp;$R923)+(COUNTIFS($A$14:$A$1213,$A923,$R$14:$R$1213,"="&amp;$R923)+1)/2,"")</f>
        <v/>
      </c>
      <c r="AF923" s="27">
        <f>IF(ISNUMBER($S923),COUNTIFS($A$14:$A$1213,$A923,$S$14:$S$1213,"&gt;"&amp;$S923)+(COUNTIFS($A$14:$A$1213,$A923,$S$14:$S$1213,"="&amp;$S923)+1)/2,"")</f>
        <v/>
      </c>
      <c r="AG923" s="27">
        <f>IF(ISNUMBER($T923),COUNTIFS($A$14:$A$1213,$A923,$T$14:$T$1213,"&gt;"&amp;$T923)+(COUNTIFS($A$14:$A$1213,$A923,$T$14:$T$1213,"="&amp;$T923)+1)/2,"")</f>
        <v/>
      </c>
      <c r="AH923" s="27">
        <f>IF(COUNT($AC923:$AG923)&lt;2,"",IF(MAX($AC923:$AG923)=MIN($AC923:$AG923),0,1))</f>
        <v/>
      </c>
      <c r="AI923" s="27">
        <f>IF($A923="","",IF(COUNTIF($A$14:$A923,$A923)=1,COUNTIF($AI$13:AI922,"&gt;0")+1,""))</f>
        <v/>
      </c>
      <c r="AO923" s="27">
        <f>IF($A923="","",IF(AND(COUNTIFS($A$14:$A$1213,$A923,$F$14:$F$1213,"&gt;=0")=2,IFERROR(INDEX($M$14:$M$313,MATCH($A923,$H$14:$H$313,0)),"Yes")&lt;&gt;"Yes"),1,0))</f>
        <v/>
      </c>
    </row>
    <row r="924">
      <c r="A924" s="19" t="n"/>
      <c r="B924" s="20" t="n"/>
      <c r="C924" s="21">
        <f>IFERROR(AVERAGE(P924:T924),"")</f>
        <v/>
      </c>
      <c r="D924" s="29" t="n"/>
      <c r="E924" s="29" t="n"/>
      <c r="F924" s="30">
        <f>IF(AND(ISNUMBER($D924),ISNUMBER($E924),$E924&gt;0,$D924&lt;=$E924),$D924/$E924,"")</f>
        <v/>
      </c>
      <c r="P924" s="26" t="n"/>
      <c r="Q924" s="26" t="n"/>
      <c r="R924" s="26" t="n"/>
      <c r="S924" s="26" t="n"/>
      <c r="T924" s="26" t="n"/>
      <c r="V924" s="27">
        <f>IF(ISNUMBER($C924),COUNTIFS($A$14:$A$1213,$A924,$C$14:$C$1213,"&gt;"&amp;$C924)+(COUNTIFS($A$14:$A$1213,$A924,$C$14:$C$1213,"="&amp;$C924)+1)/2,"")</f>
        <v/>
      </c>
      <c r="W924" s="27">
        <f>IF(ISNUMBER($F924),COUNTIFS($A$14:$A$1213,$A924,$F$14:$F$1213,"&gt;"&amp;$F924)+(COUNTIFS($A$14:$A$1213,$A924,$F$14:$F$1213,"="&amp;$F924)+1)/2,"")</f>
        <v/>
      </c>
      <c r="X924" s="27">
        <f>IF(OR(NOT(ISNUMBER($V924)),$AO924=1),"",$V924-(COUNTIFS($A$14:$A$1213,$A924,$C$14:$C$1213,"&gt;=0")+1)/2)</f>
        <v/>
      </c>
      <c r="Y924" s="27">
        <f>IF(OR(NOT(ISNUMBER($W924)),$AO924=1),"",$W924-(COUNTIFS($A$14:$A$1213,$A924,$F$14:$F$1213,"&gt;=0")+1)/2)</f>
        <v/>
      </c>
      <c r="Z924" s="27">
        <f>IF(ISNUMBER($V924),$A924&amp;"|"&amp;$V924,"")</f>
        <v/>
      </c>
      <c r="AA924" s="27">
        <f>IF(ISNUMBER($W924),$A924&amp;"|"&amp;$W924,"")</f>
        <v/>
      </c>
      <c r="AB924" s="27">
        <f>IF(ISNUMBER($F924),$A924&amp;"|"&amp;$F924,"")</f>
        <v/>
      </c>
      <c r="AC924" s="27">
        <f>IF(ISNUMBER($P924),COUNTIFS($A$14:$A$1213,$A924,$P$14:$P$1213,"&gt;"&amp;$P924)+(COUNTIFS($A$14:$A$1213,$A924,$P$14:$P$1213,"="&amp;$P924)+1)/2,"")</f>
        <v/>
      </c>
      <c r="AD924" s="27">
        <f>IF(ISNUMBER($Q924),COUNTIFS($A$14:$A$1213,$A924,$Q$14:$Q$1213,"&gt;"&amp;$Q924)+(COUNTIFS($A$14:$A$1213,$A924,$Q$14:$Q$1213,"="&amp;$Q924)+1)/2,"")</f>
        <v/>
      </c>
      <c r="AE924" s="27">
        <f>IF(ISNUMBER($R924),COUNTIFS($A$14:$A$1213,$A924,$R$14:$R$1213,"&gt;"&amp;$R924)+(COUNTIFS($A$14:$A$1213,$A924,$R$14:$R$1213,"="&amp;$R924)+1)/2,"")</f>
        <v/>
      </c>
      <c r="AF924" s="27">
        <f>IF(ISNUMBER($S924),COUNTIFS($A$14:$A$1213,$A924,$S$14:$S$1213,"&gt;"&amp;$S924)+(COUNTIFS($A$14:$A$1213,$A924,$S$14:$S$1213,"="&amp;$S924)+1)/2,"")</f>
        <v/>
      </c>
      <c r="AG924" s="27">
        <f>IF(ISNUMBER($T924),COUNTIFS($A$14:$A$1213,$A924,$T$14:$T$1213,"&gt;"&amp;$T924)+(COUNTIFS($A$14:$A$1213,$A924,$T$14:$T$1213,"="&amp;$T924)+1)/2,"")</f>
        <v/>
      </c>
      <c r="AH924" s="27">
        <f>IF(COUNT($AC924:$AG924)&lt;2,"",IF(MAX($AC924:$AG924)=MIN($AC924:$AG924),0,1))</f>
        <v/>
      </c>
      <c r="AI924" s="27">
        <f>IF($A924="","",IF(COUNTIF($A$14:$A924,$A924)=1,COUNTIF($AI$13:AI923,"&gt;0")+1,""))</f>
        <v/>
      </c>
      <c r="AO924" s="27">
        <f>IF($A924="","",IF(AND(COUNTIFS($A$14:$A$1213,$A924,$F$14:$F$1213,"&gt;=0")=2,IFERROR(INDEX($M$14:$M$313,MATCH($A924,$H$14:$H$313,0)),"Yes")&lt;&gt;"Yes"),1,0))</f>
        <v/>
      </c>
    </row>
    <row r="925">
      <c r="A925" s="19" t="n"/>
      <c r="B925" s="20" t="n"/>
      <c r="C925" s="21">
        <f>IFERROR(AVERAGE(P925:T925),"")</f>
        <v/>
      </c>
      <c r="D925" s="29" t="n"/>
      <c r="E925" s="29" t="n"/>
      <c r="F925" s="30">
        <f>IF(AND(ISNUMBER($D925),ISNUMBER($E925),$E925&gt;0,$D925&lt;=$E925),$D925/$E925,"")</f>
        <v/>
      </c>
      <c r="P925" s="26" t="n"/>
      <c r="Q925" s="26" t="n"/>
      <c r="R925" s="26" t="n"/>
      <c r="S925" s="26" t="n"/>
      <c r="T925" s="26" t="n"/>
      <c r="V925" s="27">
        <f>IF(ISNUMBER($C925),COUNTIFS($A$14:$A$1213,$A925,$C$14:$C$1213,"&gt;"&amp;$C925)+(COUNTIFS($A$14:$A$1213,$A925,$C$14:$C$1213,"="&amp;$C925)+1)/2,"")</f>
        <v/>
      </c>
      <c r="W925" s="27">
        <f>IF(ISNUMBER($F925),COUNTIFS($A$14:$A$1213,$A925,$F$14:$F$1213,"&gt;"&amp;$F925)+(COUNTIFS($A$14:$A$1213,$A925,$F$14:$F$1213,"="&amp;$F925)+1)/2,"")</f>
        <v/>
      </c>
      <c r="X925" s="27">
        <f>IF(OR(NOT(ISNUMBER($V925)),$AO925=1),"",$V925-(COUNTIFS($A$14:$A$1213,$A925,$C$14:$C$1213,"&gt;=0")+1)/2)</f>
        <v/>
      </c>
      <c r="Y925" s="27">
        <f>IF(OR(NOT(ISNUMBER($W925)),$AO925=1),"",$W925-(COUNTIFS($A$14:$A$1213,$A925,$F$14:$F$1213,"&gt;=0")+1)/2)</f>
        <v/>
      </c>
      <c r="Z925" s="27">
        <f>IF(ISNUMBER($V925),$A925&amp;"|"&amp;$V925,"")</f>
        <v/>
      </c>
      <c r="AA925" s="27">
        <f>IF(ISNUMBER($W925),$A925&amp;"|"&amp;$W925,"")</f>
        <v/>
      </c>
      <c r="AB925" s="27">
        <f>IF(ISNUMBER($F925),$A925&amp;"|"&amp;$F925,"")</f>
        <v/>
      </c>
      <c r="AC925" s="27">
        <f>IF(ISNUMBER($P925),COUNTIFS($A$14:$A$1213,$A925,$P$14:$P$1213,"&gt;"&amp;$P925)+(COUNTIFS($A$14:$A$1213,$A925,$P$14:$P$1213,"="&amp;$P925)+1)/2,"")</f>
        <v/>
      </c>
      <c r="AD925" s="27">
        <f>IF(ISNUMBER($Q925),COUNTIFS($A$14:$A$1213,$A925,$Q$14:$Q$1213,"&gt;"&amp;$Q925)+(COUNTIFS($A$14:$A$1213,$A925,$Q$14:$Q$1213,"="&amp;$Q925)+1)/2,"")</f>
        <v/>
      </c>
      <c r="AE925" s="27">
        <f>IF(ISNUMBER($R925),COUNTIFS($A$14:$A$1213,$A925,$R$14:$R$1213,"&gt;"&amp;$R925)+(COUNTIFS($A$14:$A$1213,$A925,$R$14:$R$1213,"="&amp;$R925)+1)/2,"")</f>
        <v/>
      </c>
      <c r="AF925" s="27">
        <f>IF(ISNUMBER($S925),COUNTIFS($A$14:$A$1213,$A925,$S$14:$S$1213,"&gt;"&amp;$S925)+(COUNTIFS($A$14:$A$1213,$A925,$S$14:$S$1213,"="&amp;$S925)+1)/2,"")</f>
        <v/>
      </c>
      <c r="AG925" s="27">
        <f>IF(ISNUMBER($T925),COUNTIFS($A$14:$A$1213,$A925,$T$14:$T$1213,"&gt;"&amp;$T925)+(COUNTIFS($A$14:$A$1213,$A925,$T$14:$T$1213,"="&amp;$T925)+1)/2,"")</f>
        <v/>
      </c>
      <c r="AH925" s="27">
        <f>IF(COUNT($AC925:$AG925)&lt;2,"",IF(MAX($AC925:$AG925)=MIN($AC925:$AG925),0,1))</f>
        <v/>
      </c>
      <c r="AI925" s="27">
        <f>IF($A925="","",IF(COUNTIF($A$14:$A925,$A925)=1,COUNTIF($AI$13:AI924,"&gt;0")+1,""))</f>
        <v/>
      </c>
      <c r="AO925" s="27">
        <f>IF($A925="","",IF(AND(COUNTIFS($A$14:$A$1213,$A925,$F$14:$F$1213,"&gt;=0")=2,IFERROR(INDEX($M$14:$M$313,MATCH($A925,$H$14:$H$313,0)),"Yes")&lt;&gt;"Yes"),1,0))</f>
        <v/>
      </c>
    </row>
    <row r="926">
      <c r="A926" s="19" t="n"/>
      <c r="B926" s="20" t="n"/>
      <c r="C926" s="21">
        <f>IFERROR(AVERAGE(P926:T926),"")</f>
        <v/>
      </c>
      <c r="D926" s="29" t="n"/>
      <c r="E926" s="29" t="n"/>
      <c r="F926" s="30">
        <f>IF(AND(ISNUMBER($D926),ISNUMBER($E926),$E926&gt;0,$D926&lt;=$E926),$D926/$E926,"")</f>
        <v/>
      </c>
      <c r="P926" s="26" t="n"/>
      <c r="Q926" s="26" t="n"/>
      <c r="R926" s="26" t="n"/>
      <c r="S926" s="26" t="n"/>
      <c r="T926" s="26" t="n"/>
      <c r="V926" s="27">
        <f>IF(ISNUMBER($C926),COUNTIFS($A$14:$A$1213,$A926,$C$14:$C$1213,"&gt;"&amp;$C926)+(COUNTIFS($A$14:$A$1213,$A926,$C$14:$C$1213,"="&amp;$C926)+1)/2,"")</f>
        <v/>
      </c>
      <c r="W926" s="27">
        <f>IF(ISNUMBER($F926),COUNTIFS($A$14:$A$1213,$A926,$F$14:$F$1213,"&gt;"&amp;$F926)+(COUNTIFS($A$14:$A$1213,$A926,$F$14:$F$1213,"="&amp;$F926)+1)/2,"")</f>
        <v/>
      </c>
      <c r="X926" s="27">
        <f>IF(OR(NOT(ISNUMBER($V926)),$AO926=1),"",$V926-(COUNTIFS($A$14:$A$1213,$A926,$C$14:$C$1213,"&gt;=0")+1)/2)</f>
        <v/>
      </c>
      <c r="Y926" s="27">
        <f>IF(OR(NOT(ISNUMBER($W926)),$AO926=1),"",$W926-(COUNTIFS($A$14:$A$1213,$A926,$F$14:$F$1213,"&gt;=0")+1)/2)</f>
        <v/>
      </c>
      <c r="Z926" s="27">
        <f>IF(ISNUMBER($V926),$A926&amp;"|"&amp;$V926,"")</f>
        <v/>
      </c>
      <c r="AA926" s="27">
        <f>IF(ISNUMBER($W926),$A926&amp;"|"&amp;$W926,"")</f>
        <v/>
      </c>
      <c r="AB926" s="27">
        <f>IF(ISNUMBER($F926),$A926&amp;"|"&amp;$F926,"")</f>
        <v/>
      </c>
      <c r="AC926" s="27">
        <f>IF(ISNUMBER($P926),COUNTIFS($A$14:$A$1213,$A926,$P$14:$P$1213,"&gt;"&amp;$P926)+(COUNTIFS($A$14:$A$1213,$A926,$P$14:$P$1213,"="&amp;$P926)+1)/2,"")</f>
        <v/>
      </c>
      <c r="AD926" s="27">
        <f>IF(ISNUMBER($Q926),COUNTIFS($A$14:$A$1213,$A926,$Q$14:$Q$1213,"&gt;"&amp;$Q926)+(COUNTIFS($A$14:$A$1213,$A926,$Q$14:$Q$1213,"="&amp;$Q926)+1)/2,"")</f>
        <v/>
      </c>
      <c r="AE926" s="27">
        <f>IF(ISNUMBER($R926),COUNTIFS($A$14:$A$1213,$A926,$R$14:$R$1213,"&gt;"&amp;$R926)+(COUNTIFS($A$14:$A$1213,$A926,$R$14:$R$1213,"="&amp;$R926)+1)/2,"")</f>
        <v/>
      </c>
      <c r="AF926" s="27">
        <f>IF(ISNUMBER($S926),COUNTIFS($A$14:$A$1213,$A926,$S$14:$S$1213,"&gt;"&amp;$S926)+(COUNTIFS($A$14:$A$1213,$A926,$S$14:$S$1213,"="&amp;$S926)+1)/2,"")</f>
        <v/>
      </c>
      <c r="AG926" s="27">
        <f>IF(ISNUMBER($T926),COUNTIFS($A$14:$A$1213,$A926,$T$14:$T$1213,"&gt;"&amp;$T926)+(COUNTIFS($A$14:$A$1213,$A926,$T$14:$T$1213,"="&amp;$T926)+1)/2,"")</f>
        <v/>
      </c>
      <c r="AH926" s="27">
        <f>IF(COUNT($AC926:$AG926)&lt;2,"",IF(MAX($AC926:$AG926)=MIN($AC926:$AG926),0,1))</f>
        <v/>
      </c>
      <c r="AI926" s="27">
        <f>IF($A926="","",IF(COUNTIF($A$14:$A926,$A926)=1,COUNTIF($AI$13:AI925,"&gt;0")+1,""))</f>
        <v/>
      </c>
      <c r="AO926" s="27">
        <f>IF($A926="","",IF(AND(COUNTIFS($A$14:$A$1213,$A926,$F$14:$F$1213,"&gt;=0")=2,IFERROR(INDEX($M$14:$M$313,MATCH($A926,$H$14:$H$313,0)),"Yes")&lt;&gt;"Yes"),1,0))</f>
        <v/>
      </c>
    </row>
    <row r="927">
      <c r="A927" s="19" t="n"/>
      <c r="B927" s="20" t="n"/>
      <c r="C927" s="21">
        <f>IFERROR(AVERAGE(P927:T927),"")</f>
        <v/>
      </c>
      <c r="D927" s="29" t="n"/>
      <c r="E927" s="29" t="n"/>
      <c r="F927" s="30">
        <f>IF(AND(ISNUMBER($D927),ISNUMBER($E927),$E927&gt;0,$D927&lt;=$E927),$D927/$E927,"")</f>
        <v/>
      </c>
      <c r="P927" s="26" t="n"/>
      <c r="Q927" s="26" t="n"/>
      <c r="R927" s="26" t="n"/>
      <c r="S927" s="26" t="n"/>
      <c r="T927" s="26" t="n"/>
      <c r="V927" s="27">
        <f>IF(ISNUMBER($C927),COUNTIFS($A$14:$A$1213,$A927,$C$14:$C$1213,"&gt;"&amp;$C927)+(COUNTIFS($A$14:$A$1213,$A927,$C$14:$C$1213,"="&amp;$C927)+1)/2,"")</f>
        <v/>
      </c>
      <c r="W927" s="27">
        <f>IF(ISNUMBER($F927),COUNTIFS($A$14:$A$1213,$A927,$F$14:$F$1213,"&gt;"&amp;$F927)+(COUNTIFS($A$14:$A$1213,$A927,$F$14:$F$1213,"="&amp;$F927)+1)/2,"")</f>
        <v/>
      </c>
      <c r="X927" s="27">
        <f>IF(OR(NOT(ISNUMBER($V927)),$AO927=1),"",$V927-(COUNTIFS($A$14:$A$1213,$A927,$C$14:$C$1213,"&gt;=0")+1)/2)</f>
        <v/>
      </c>
      <c r="Y927" s="27">
        <f>IF(OR(NOT(ISNUMBER($W927)),$AO927=1),"",$W927-(COUNTIFS($A$14:$A$1213,$A927,$F$14:$F$1213,"&gt;=0")+1)/2)</f>
        <v/>
      </c>
      <c r="Z927" s="27">
        <f>IF(ISNUMBER($V927),$A927&amp;"|"&amp;$V927,"")</f>
        <v/>
      </c>
      <c r="AA927" s="27">
        <f>IF(ISNUMBER($W927),$A927&amp;"|"&amp;$W927,"")</f>
        <v/>
      </c>
      <c r="AB927" s="27">
        <f>IF(ISNUMBER($F927),$A927&amp;"|"&amp;$F927,"")</f>
        <v/>
      </c>
      <c r="AC927" s="27">
        <f>IF(ISNUMBER($P927),COUNTIFS($A$14:$A$1213,$A927,$P$14:$P$1213,"&gt;"&amp;$P927)+(COUNTIFS($A$14:$A$1213,$A927,$P$14:$P$1213,"="&amp;$P927)+1)/2,"")</f>
        <v/>
      </c>
      <c r="AD927" s="27">
        <f>IF(ISNUMBER($Q927),COUNTIFS($A$14:$A$1213,$A927,$Q$14:$Q$1213,"&gt;"&amp;$Q927)+(COUNTIFS($A$14:$A$1213,$A927,$Q$14:$Q$1213,"="&amp;$Q927)+1)/2,"")</f>
        <v/>
      </c>
      <c r="AE927" s="27">
        <f>IF(ISNUMBER($R927),COUNTIFS($A$14:$A$1213,$A927,$R$14:$R$1213,"&gt;"&amp;$R927)+(COUNTIFS($A$14:$A$1213,$A927,$R$14:$R$1213,"="&amp;$R927)+1)/2,"")</f>
        <v/>
      </c>
      <c r="AF927" s="27">
        <f>IF(ISNUMBER($S927),COUNTIFS($A$14:$A$1213,$A927,$S$14:$S$1213,"&gt;"&amp;$S927)+(COUNTIFS($A$14:$A$1213,$A927,$S$14:$S$1213,"="&amp;$S927)+1)/2,"")</f>
        <v/>
      </c>
      <c r="AG927" s="27">
        <f>IF(ISNUMBER($T927),COUNTIFS($A$14:$A$1213,$A927,$T$14:$T$1213,"&gt;"&amp;$T927)+(COUNTIFS($A$14:$A$1213,$A927,$T$14:$T$1213,"="&amp;$T927)+1)/2,"")</f>
        <v/>
      </c>
      <c r="AH927" s="27">
        <f>IF(COUNT($AC927:$AG927)&lt;2,"",IF(MAX($AC927:$AG927)=MIN($AC927:$AG927),0,1))</f>
        <v/>
      </c>
      <c r="AI927" s="27">
        <f>IF($A927="","",IF(COUNTIF($A$14:$A927,$A927)=1,COUNTIF($AI$13:AI926,"&gt;0")+1,""))</f>
        <v/>
      </c>
      <c r="AO927" s="27">
        <f>IF($A927="","",IF(AND(COUNTIFS($A$14:$A$1213,$A927,$F$14:$F$1213,"&gt;=0")=2,IFERROR(INDEX($M$14:$M$313,MATCH($A927,$H$14:$H$313,0)),"Yes")&lt;&gt;"Yes"),1,0))</f>
        <v/>
      </c>
    </row>
    <row r="928">
      <c r="A928" s="19" t="n"/>
      <c r="B928" s="20" t="n"/>
      <c r="C928" s="21">
        <f>IFERROR(AVERAGE(P928:T928),"")</f>
        <v/>
      </c>
      <c r="D928" s="29" t="n"/>
      <c r="E928" s="29" t="n"/>
      <c r="F928" s="30">
        <f>IF(AND(ISNUMBER($D928),ISNUMBER($E928),$E928&gt;0,$D928&lt;=$E928),$D928/$E928,"")</f>
        <v/>
      </c>
      <c r="P928" s="26" t="n"/>
      <c r="Q928" s="26" t="n"/>
      <c r="R928" s="26" t="n"/>
      <c r="S928" s="26" t="n"/>
      <c r="T928" s="26" t="n"/>
      <c r="V928" s="27">
        <f>IF(ISNUMBER($C928),COUNTIFS($A$14:$A$1213,$A928,$C$14:$C$1213,"&gt;"&amp;$C928)+(COUNTIFS($A$14:$A$1213,$A928,$C$14:$C$1213,"="&amp;$C928)+1)/2,"")</f>
        <v/>
      </c>
      <c r="W928" s="27">
        <f>IF(ISNUMBER($F928),COUNTIFS($A$14:$A$1213,$A928,$F$14:$F$1213,"&gt;"&amp;$F928)+(COUNTIFS($A$14:$A$1213,$A928,$F$14:$F$1213,"="&amp;$F928)+1)/2,"")</f>
        <v/>
      </c>
      <c r="X928" s="27">
        <f>IF(OR(NOT(ISNUMBER($V928)),$AO928=1),"",$V928-(COUNTIFS($A$14:$A$1213,$A928,$C$14:$C$1213,"&gt;=0")+1)/2)</f>
        <v/>
      </c>
      <c r="Y928" s="27">
        <f>IF(OR(NOT(ISNUMBER($W928)),$AO928=1),"",$W928-(COUNTIFS($A$14:$A$1213,$A928,$F$14:$F$1213,"&gt;=0")+1)/2)</f>
        <v/>
      </c>
      <c r="Z928" s="27">
        <f>IF(ISNUMBER($V928),$A928&amp;"|"&amp;$V928,"")</f>
        <v/>
      </c>
      <c r="AA928" s="27">
        <f>IF(ISNUMBER($W928),$A928&amp;"|"&amp;$W928,"")</f>
        <v/>
      </c>
      <c r="AB928" s="27">
        <f>IF(ISNUMBER($F928),$A928&amp;"|"&amp;$F928,"")</f>
        <v/>
      </c>
      <c r="AC928" s="27">
        <f>IF(ISNUMBER($P928),COUNTIFS($A$14:$A$1213,$A928,$P$14:$P$1213,"&gt;"&amp;$P928)+(COUNTIFS($A$14:$A$1213,$A928,$P$14:$P$1213,"="&amp;$P928)+1)/2,"")</f>
        <v/>
      </c>
      <c r="AD928" s="27">
        <f>IF(ISNUMBER($Q928),COUNTIFS($A$14:$A$1213,$A928,$Q$14:$Q$1213,"&gt;"&amp;$Q928)+(COUNTIFS($A$14:$A$1213,$A928,$Q$14:$Q$1213,"="&amp;$Q928)+1)/2,"")</f>
        <v/>
      </c>
      <c r="AE928" s="27">
        <f>IF(ISNUMBER($R928),COUNTIFS($A$14:$A$1213,$A928,$R$14:$R$1213,"&gt;"&amp;$R928)+(COUNTIFS($A$14:$A$1213,$A928,$R$14:$R$1213,"="&amp;$R928)+1)/2,"")</f>
        <v/>
      </c>
      <c r="AF928" s="27">
        <f>IF(ISNUMBER($S928),COUNTIFS($A$14:$A$1213,$A928,$S$14:$S$1213,"&gt;"&amp;$S928)+(COUNTIFS($A$14:$A$1213,$A928,$S$14:$S$1213,"="&amp;$S928)+1)/2,"")</f>
        <v/>
      </c>
      <c r="AG928" s="27">
        <f>IF(ISNUMBER($T928),COUNTIFS($A$14:$A$1213,$A928,$T$14:$T$1213,"&gt;"&amp;$T928)+(COUNTIFS($A$14:$A$1213,$A928,$T$14:$T$1213,"="&amp;$T928)+1)/2,"")</f>
        <v/>
      </c>
      <c r="AH928" s="27">
        <f>IF(COUNT($AC928:$AG928)&lt;2,"",IF(MAX($AC928:$AG928)=MIN($AC928:$AG928),0,1))</f>
        <v/>
      </c>
      <c r="AI928" s="27">
        <f>IF($A928="","",IF(COUNTIF($A$14:$A928,$A928)=1,COUNTIF($AI$13:AI927,"&gt;0")+1,""))</f>
        <v/>
      </c>
      <c r="AO928" s="27">
        <f>IF($A928="","",IF(AND(COUNTIFS($A$14:$A$1213,$A928,$F$14:$F$1213,"&gt;=0")=2,IFERROR(INDEX($M$14:$M$313,MATCH($A928,$H$14:$H$313,0)),"Yes")&lt;&gt;"Yes"),1,0))</f>
        <v/>
      </c>
    </row>
    <row r="929">
      <c r="A929" s="19" t="n"/>
      <c r="B929" s="20" t="n"/>
      <c r="C929" s="21">
        <f>IFERROR(AVERAGE(P929:T929),"")</f>
        <v/>
      </c>
      <c r="D929" s="29" t="n"/>
      <c r="E929" s="29" t="n"/>
      <c r="F929" s="30">
        <f>IF(AND(ISNUMBER($D929),ISNUMBER($E929),$E929&gt;0,$D929&lt;=$E929),$D929/$E929,"")</f>
        <v/>
      </c>
      <c r="P929" s="26" t="n"/>
      <c r="Q929" s="26" t="n"/>
      <c r="R929" s="26" t="n"/>
      <c r="S929" s="26" t="n"/>
      <c r="T929" s="26" t="n"/>
      <c r="V929" s="27">
        <f>IF(ISNUMBER($C929),COUNTIFS($A$14:$A$1213,$A929,$C$14:$C$1213,"&gt;"&amp;$C929)+(COUNTIFS($A$14:$A$1213,$A929,$C$14:$C$1213,"="&amp;$C929)+1)/2,"")</f>
        <v/>
      </c>
      <c r="W929" s="27">
        <f>IF(ISNUMBER($F929),COUNTIFS($A$14:$A$1213,$A929,$F$14:$F$1213,"&gt;"&amp;$F929)+(COUNTIFS($A$14:$A$1213,$A929,$F$14:$F$1213,"="&amp;$F929)+1)/2,"")</f>
        <v/>
      </c>
      <c r="X929" s="27">
        <f>IF(OR(NOT(ISNUMBER($V929)),$AO929=1),"",$V929-(COUNTIFS($A$14:$A$1213,$A929,$C$14:$C$1213,"&gt;=0")+1)/2)</f>
        <v/>
      </c>
      <c r="Y929" s="27">
        <f>IF(OR(NOT(ISNUMBER($W929)),$AO929=1),"",$W929-(COUNTIFS($A$14:$A$1213,$A929,$F$14:$F$1213,"&gt;=0")+1)/2)</f>
        <v/>
      </c>
      <c r="Z929" s="27">
        <f>IF(ISNUMBER($V929),$A929&amp;"|"&amp;$V929,"")</f>
        <v/>
      </c>
      <c r="AA929" s="27">
        <f>IF(ISNUMBER($W929),$A929&amp;"|"&amp;$W929,"")</f>
        <v/>
      </c>
      <c r="AB929" s="27">
        <f>IF(ISNUMBER($F929),$A929&amp;"|"&amp;$F929,"")</f>
        <v/>
      </c>
      <c r="AC929" s="27">
        <f>IF(ISNUMBER($P929),COUNTIFS($A$14:$A$1213,$A929,$P$14:$P$1213,"&gt;"&amp;$P929)+(COUNTIFS($A$14:$A$1213,$A929,$P$14:$P$1213,"="&amp;$P929)+1)/2,"")</f>
        <v/>
      </c>
      <c r="AD929" s="27">
        <f>IF(ISNUMBER($Q929),COUNTIFS($A$14:$A$1213,$A929,$Q$14:$Q$1213,"&gt;"&amp;$Q929)+(COUNTIFS($A$14:$A$1213,$A929,$Q$14:$Q$1213,"="&amp;$Q929)+1)/2,"")</f>
        <v/>
      </c>
      <c r="AE929" s="27">
        <f>IF(ISNUMBER($R929),COUNTIFS($A$14:$A$1213,$A929,$R$14:$R$1213,"&gt;"&amp;$R929)+(COUNTIFS($A$14:$A$1213,$A929,$R$14:$R$1213,"="&amp;$R929)+1)/2,"")</f>
        <v/>
      </c>
      <c r="AF929" s="27">
        <f>IF(ISNUMBER($S929),COUNTIFS($A$14:$A$1213,$A929,$S$14:$S$1213,"&gt;"&amp;$S929)+(COUNTIFS($A$14:$A$1213,$A929,$S$14:$S$1213,"="&amp;$S929)+1)/2,"")</f>
        <v/>
      </c>
      <c r="AG929" s="27">
        <f>IF(ISNUMBER($T929),COUNTIFS($A$14:$A$1213,$A929,$T$14:$T$1213,"&gt;"&amp;$T929)+(COUNTIFS($A$14:$A$1213,$A929,$T$14:$T$1213,"="&amp;$T929)+1)/2,"")</f>
        <v/>
      </c>
      <c r="AH929" s="27">
        <f>IF(COUNT($AC929:$AG929)&lt;2,"",IF(MAX($AC929:$AG929)=MIN($AC929:$AG929),0,1))</f>
        <v/>
      </c>
      <c r="AI929" s="27">
        <f>IF($A929="","",IF(COUNTIF($A$14:$A929,$A929)=1,COUNTIF($AI$13:AI928,"&gt;0")+1,""))</f>
        <v/>
      </c>
      <c r="AO929" s="27">
        <f>IF($A929="","",IF(AND(COUNTIFS($A$14:$A$1213,$A929,$F$14:$F$1213,"&gt;=0")=2,IFERROR(INDEX($M$14:$M$313,MATCH($A929,$H$14:$H$313,0)),"Yes")&lt;&gt;"Yes"),1,0))</f>
        <v/>
      </c>
    </row>
    <row r="930">
      <c r="A930" s="19" t="n"/>
      <c r="B930" s="20" t="n"/>
      <c r="C930" s="21">
        <f>IFERROR(AVERAGE(P930:T930),"")</f>
        <v/>
      </c>
      <c r="D930" s="29" t="n"/>
      <c r="E930" s="29" t="n"/>
      <c r="F930" s="30">
        <f>IF(AND(ISNUMBER($D930),ISNUMBER($E930),$E930&gt;0,$D930&lt;=$E930),$D930/$E930,"")</f>
        <v/>
      </c>
      <c r="P930" s="26" t="n"/>
      <c r="Q930" s="26" t="n"/>
      <c r="R930" s="26" t="n"/>
      <c r="S930" s="26" t="n"/>
      <c r="T930" s="26" t="n"/>
      <c r="V930" s="27">
        <f>IF(ISNUMBER($C930),COUNTIFS($A$14:$A$1213,$A930,$C$14:$C$1213,"&gt;"&amp;$C930)+(COUNTIFS($A$14:$A$1213,$A930,$C$14:$C$1213,"="&amp;$C930)+1)/2,"")</f>
        <v/>
      </c>
      <c r="W930" s="27">
        <f>IF(ISNUMBER($F930),COUNTIFS($A$14:$A$1213,$A930,$F$14:$F$1213,"&gt;"&amp;$F930)+(COUNTIFS($A$14:$A$1213,$A930,$F$14:$F$1213,"="&amp;$F930)+1)/2,"")</f>
        <v/>
      </c>
      <c r="X930" s="27">
        <f>IF(OR(NOT(ISNUMBER($V930)),$AO930=1),"",$V930-(COUNTIFS($A$14:$A$1213,$A930,$C$14:$C$1213,"&gt;=0")+1)/2)</f>
        <v/>
      </c>
      <c r="Y930" s="27">
        <f>IF(OR(NOT(ISNUMBER($W930)),$AO930=1),"",$W930-(COUNTIFS($A$14:$A$1213,$A930,$F$14:$F$1213,"&gt;=0")+1)/2)</f>
        <v/>
      </c>
      <c r="Z930" s="27">
        <f>IF(ISNUMBER($V930),$A930&amp;"|"&amp;$V930,"")</f>
        <v/>
      </c>
      <c r="AA930" s="27">
        <f>IF(ISNUMBER($W930),$A930&amp;"|"&amp;$W930,"")</f>
        <v/>
      </c>
      <c r="AB930" s="27">
        <f>IF(ISNUMBER($F930),$A930&amp;"|"&amp;$F930,"")</f>
        <v/>
      </c>
      <c r="AC930" s="27">
        <f>IF(ISNUMBER($P930),COUNTIFS($A$14:$A$1213,$A930,$P$14:$P$1213,"&gt;"&amp;$P930)+(COUNTIFS($A$14:$A$1213,$A930,$P$14:$P$1213,"="&amp;$P930)+1)/2,"")</f>
        <v/>
      </c>
      <c r="AD930" s="27">
        <f>IF(ISNUMBER($Q930),COUNTIFS($A$14:$A$1213,$A930,$Q$14:$Q$1213,"&gt;"&amp;$Q930)+(COUNTIFS($A$14:$A$1213,$A930,$Q$14:$Q$1213,"="&amp;$Q930)+1)/2,"")</f>
        <v/>
      </c>
      <c r="AE930" s="27">
        <f>IF(ISNUMBER($R930),COUNTIFS($A$14:$A$1213,$A930,$R$14:$R$1213,"&gt;"&amp;$R930)+(COUNTIFS($A$14:$A$1213,$A930,$R$14:$R$1213,"="&amp;$R930)+1)/2,"")</f>
        <v/>
      </c>
      <c r="AF930" s="27">
        <f>IF(ISNUMBER($S930),COUNTIFS($A$14:$A$1213,$A930,$S$14:$S$1213,"&gt;"&amp;$S930)+(COUNTIFS($A$14:$A$1213,$A930,$S$14:$S$1213,"="&amp;$S930)+1)/2,"")</f>
        <v/>
      </c>
      <c r="AG930" s="27">
        <f>IF(ISNUMBER($T930),COUNTIFS($A$14:$A$1213,$A930,$T$14:$T$1213,"&gt;"&amp;$T930)+(COUNTIFS($A$14:$A$1213,$A930,$T$14:$T$1213,"="&amp;$T930)+1)/2,"")</f>
        <v/>
      </c>
      <c r="AH930" s="27">
        <f>IF(COUNT($AC930:$AG930)&lt;2,"",IF(MAX($AC930:$AG930)=MIN($AC930:$AG930),0,1))</f>
        <v/>
      </c>
      <c r="AI930" s="27">
        <f>IF($A930="","",IF(COUNTIF($A$14:$A930,$A930)=1,COUNTIF($AI$13:AI929,"&gt;0")+1,""))</f>
        <v/>
      </c>
      <c r="AO930" s="27">
        <f>IF($A930="","",IF(AND(COUNTIFS($A$14:$A$1213,$A930,$F$14:$F$1213,"&gt;=0")=2,IFERROR(INDEX($M$14:$M$313,MATCH($A930,$H$14:$H$313,0)),"Yes")&lt;&gt;"Yes"),1,0))</f>
        <v/>
      </c>
    </row>
    <row r="931">
      <c r="A931" s="19" t="n"/>
      <c r="B931" s="20" t="n"/>
      <c r="C931" s="21">
        <f>IFERROR(AVERAGE(P931:T931),"")</f>
        <v/>
      </c>
      <c r="D931" s="29" t="n"/>
      <c r="E931" s="29" t="n"/>
      <c r="F931" s="30">
        <f>IF(AND(ISNUMBER($D931),ISNUMBER($E931),$E931&gt;0,$D931&lt;=$E931),$D931/$E931,"")</f>
        <v/>
      </c>
      <c r="P931" s="26" t="n"/>
      <c r="Q931" s="26" t="n"/>
      <c r="R931" s="26" t="n"/>
      <c r="S931" s="26" t="n"/>
      <c r="T931" s="26" t="n"/>
      <c r="V931" s="27">
        <f>IF(ISNUMBER($C931),COUNTIFS($A$14:$A$1213,$A931,$C$14:$C$1213,"&gt;"&amp;$C931)+(COUNTIFS($A$14:$A$1213,$A931,$C$14:$C$1213,"="&amp;$C931)+1)/2,"")</f>
        <v/>
      </c>
      <c r="W931" s="27">
        <f>IF(ISNUMBER($F931),COUNTIFS($A$14:$A$1213,$A931,$F$14:$F$1213,"&gt;"&amp;$F931)+(COUNTIFS($A$14:$A$1213,$A931,$F$14:$F$1213,"="&amp;$F931)+1)/2,"")</f>
        <v/>
      </c>
      <c r="X931" s="27">
        <f>IF(OR(NOT(ISNUMBER($V931)),$AO931=1),"",$V931-(COUNTIFS($A$14:$A$1213,$A931,$C$14:$C$1213,"&gt;=0")+1)/2)</f>
        <v/>
      </c>
      <c r="Y931" s="27">
        <f>IF(OR(NOT(ISNUMBER($W931)),$AO931=1),"",$W931-(COUNTIFS($A$14:$A$1213,$A931,$F$14:$F$1213,"&gt;=0")+1)/2)</f>
        <v/>
      </c>
      <c r="Z931" s="27">
        <f>IF(ISNUMBER($V931),$A931&amp;"|"&amp;$V931,"")</f>
        <v/>
      </c>
      <c r="AA931" s="27">
        <f>IF(ISNUMBER($W931),$A931&amp;"|"&amp;$W931,"")</f>
        <v/>
      </c>
      <c r="AB931" s="27">
        <f>IF(ISNUMBER($F931),$A931&amp;"|"&amp;$F931,"")</f>
        <v/>
      </c>
      <c r="AC931" s="27">
        <f>IF(ISNUMBER($P931),COUNTIFS($A$14:$A$1213,$A931,$P$14:$P$1213,"&gt;"&amp;$P931)+(COUNTIFS($A$14:$A$1213,$A931,$P$14:$P$1213,"="&amp;$P931)+1)/2,"")</f>
        <v/>
      </c>
      <c r="AD931" s="27">
        <f>IF(ISNUMBER($Q931),COUNTIFS($A$14:$A$1213,$A931,$Q$14:$Q$1213,"&gt;"&amp;$Q931)+(COUNTIFS($A$14:$A$1213,$A931,$Q$14:$Q$1213,"="&amp;$Q931)+1)/2,"")</f>
        <v/>
      </c>
      <c r="AE931" s="27">
        <f>IF(ISNUMBER($R931),COUNTIFS($A$14:$A$1213,$A931,$R$14:$R$1213,"&gt;"&amp;$R931)+(COUNTIFS($A$14:$A$1213,$A931,$R$14:$R$1213,"="&amp;$R931)+1)/2,"")</f>
        <v/>
      </c>
      <c r="AF931" s="27">
        <f>IF(ISNUMBER($S931),COUNTIFS($A$14:$A$1213,$A931,$S$14:$S$1213,"&gt;"&amp;$S931)+(COUNTIFS($A$14:$A$1213,$A931,$S$14:$S$1213,"="&amp;$S931)+1)/2,"")</f>
        <v/>
      </c>
      <c r="AG931" s="27">
        <f>IF(ISNUMBER($T931),COUNTIFS($A$14:$A$1213,$A931,$T$14:$T$1213,"&gt;"&amp;$T931)+(COUNTIFS($A$14:$A$1213,$A931,$T$14:$T$1213,"="&amp;$T931)+1)/2,"")</f>
        <v/>
      </c>
      <c r="AH931" s="27">
        <f>IF(COUNT($AC931:$AG931)&lt;2,"",IF(MAX($AC931:$AG931)=MIN($AC931:$AG931),0,1))</f>
        <v/>
      </c>
      <c r="AI931" s="27">
        <f>IF($A931="","",IF(COUNTIF($A$14:$A931,$A931)=1,COUNTIF($AI$13:AI930,"&gt;0")+1,""))</f>
        <v/>
      </c>
      <c r="AO931" s="27">
        <f>IF($A931="","",IF(AND(COUNTIFS($A$14:$A$1213,$A931,$F$14:$F$1213,"&gt;=0")=2,IFERROR(INDEX($M$14:$M$313,MATCH($A931,$H$14:$H$313,0)),"Yes")&lt;&gt;"Yes"),1,0))</f>
        <v/>
      </c>
    </row>
    <row r="932">
      <c r="A932" s="19" t="n"/>
      <c r="B932" s="20" t="n"/>
      <c r="C932" s="21">
        <f>IFERROR(AVERAGE(P932:T932),"")</f>
        <v/>
      </c>
      <c r="D932" s="29" t="n"/>
      <c r="E932" s="29" t="n"/>
      <c r="F932" s="30">
        <f>IF(AND(ISNUMBER($D932),ISNUMBER($E932),$E932&gt;0,$D932&lt;=$E932),$D932/$E932,"")</f>
        <v/>
      </c>
      <c r="P932" s="26" t="n"/>
      <c r="Q932" s="26" t="n"/>
      <c r="R932" s="26" t="n"/>
      <c r="S932" s="26" t="n"/>
      <c r="T932" s="26" t="n"/>
      <c r="V932" s="27">
        <f>IF(ISNUMBER($C932),COUNTIFS($A$14:$A$1213,$A932,$C$14:$C$1213,"&gt;"&amp;$C932)+(COUNTIFS($A$14:$A$1213,$A932,$C$14:$C$1213,"="&amp;$C932)+1)/2,"")</f>
        <v/>
      </c>
      <c r="W932" s="27">
        <f>IF(ISNUMBER($F932),COUNTIFS($A$14:$A$1213,$A932,$F$14:$F$1213,"&gt;"&amp;$F932)+(COUNTIFS($A$14:$A$1213,$A932,$F$14:$F$1213,"="&amp;$F932)+1)/2,"")</f>
        <v/>
      </c>
      <c r="X932" s="27">
        <f>IF(OR(NOT(ISNUMBER($V932)),$AO932=1),"",$V932-(COUNTIFS($A$14:$A$1213,$A932,$C$14:$C$1213,"&gt;=0")+1)/2)</f>
        <v/>
      </c>
      <c r="Y932" s="27">
        <f>IF(OR(NOT(ISNUMBER($W932)),$AO932=1),"",$W932-(COUNTIFS($A$14:$A$1213,$A932,$F$14:$F$1213,"&gt;=0")+1)/2)</f>
        <v/>
      </c>
      <c r="Z932" s="27">
        <f>IF(ISNUMBER($V932),$A932&amp;"|"&amp;$V932,"")</f>
        <v/>
      </c>
      <c r="AA932" s="27">
        <f>IF(ISNUMBER($W932),$A932&amp;"|"&amp;$W932,"")</f>
        <v/>
      </c>
      <c r="AB932" s="27">
        <f>IF(ISNUMBER($F932),$A932&amp;"|"&amp;$F932,"")</f>
        <v/>
      </c>
      <c r="AC932" s="27">
        <f>IF(ISNUMBER($P932),COUNTIFS($A$14:$A$1213,$A932,$P$14:$P$1213,"&gt;"&amp;$P932)+(COUNTIFS($A$14:$A$1213,$A932,$P$14:$P$1213,"="&amp;$P932)+1)/2,"")</f>
        <v/>
      </c>
      <c r="AD932" s="27">
        <f>IF(ISNUMBER($Q932),COUNTIFS($A$14:$A$1213,$A932,$Q$14:$Q$1213,"&gt;"&amp;$Q932)+(COUNTIFS($A$14:$A$1213,$A932,$Q$14:$Q$1213,"="&amp;$Q932)+1)/2,"")</f>
        <v/>
      </c>
      <c r="AE932" s="27">
        <f>IF(ISNUMBER($R932),COUNTIFS($A$14:$A$1213,$A932,$R$14:$R$1213,"&gt;"&amp;$R932)+(COUNTIFS($A$14:$A$1213,$A932,$R$14:$R$1213,"="&amp;$R932)+1)/2,"")</f>
        <v/>
      </c>
      <c r="AF932" s="27">
        <f>IF(ISNUMBER($S932),COUNTIFS($A$14:$A$1213,$A932,$S$14:$S$1213,"&gt;"&amp;$S932)+(COUNTIFS($A$14:$A$1213,$A932,$S$14:$S$1213,"="&amp;$S932)+1)/2,"")</f>
        <v/>
      </c>
      <c r="AG932" s="27">
        <f>IF(ISNUMBER($T932),COUNTIFS($A$14:$A$1213,$A932,$T$14:$T$1213,"&gt;"&amp;$T932)+(COUNTIFS($A$14:$A$1213,$A932,$T$14:$T$1213,"="&amp;$T932)+1)/2,"")</f>
        <v/>
      </c>
      <c r="AH932" s="27">
        <f>IF(COUNT($AC932:$AG932)&lt;2,"",IF(MAX($AC932:$AG932)=MIN($AC932:$AG932),0,1))</f>
        <v/>
      </c>
      <c r="AI932" s="27">
        <f>IF($A932="","",IF(COUNTIF($A$14:$A932,$A932)=1,COUNTIF($AI$13:AI931,"&gt;0")+1,""))</f>
        <v/>
      </c>
      <c r="AO932" s="27">
        <f>IF($A932="","",IF(AND(COUNTIFS($A$14:$A$1213,$A932,$F$14:$F$1213,"&gt;=0")=2,IFERROR(INDEX($M$14:$M$313,MATCH($A932,$H$14:$H$313,0)),"Yes")&lt;&gt;"Yes"),1,0))</f>
        <v/>
      </c>
    </row>
    <row r="933">
      <c r="A933" s="19" t="n"/>
      <c r="B933" s="20" t="n"/>
      <c r="C933" s="21">
        <f>IFERROR(AVERAGE(P933:T933),"")</f>
        <v/>
      </c>
      <c r="D933" s="29" t="n"/>
      <c r="E933" s="29" t="n"/>
      <c r="F933" s="30">
        <f>IF(AND(ISNUMBER($D933),ISNUMBER($E933),$E933&gt;0,$D933&lt;=$E933),$D933/$E933,"")</f>
        <v/>
      </c>
      <c r="P933" s="26" t="n"/>
      <c r="Q933" s="26" t="n"/>
      <c r="R933" s="26" t="n"/>
      <c r="S933" s="26" t="n"/>
      <c r="T933" s="26" t="n"/>
      <c r="V933" s="27">
        <f>IF(ISNUMBER($C933),COUNTIFS($A$14:$A$1213,$A933,$C$14:$C$1213,"&gt;"&amp;$C933)+(COUNTIFS($A$14:$A$1213,$A933,$C$14:$C$1213,"="&amp;$C933)+1)/2,"")</f>
        <v/>
      </c>
      <c r="W933" s="27">
        <f>IF(ISNUMBER($F933),COUNTIFS($A$14:$A$1213,$A933,$F$14:$F$1213,"&gt;"&amp;$F933)+(COUNTIFS($A$14:$A$1213,$A933,$F$14:$F$1213,"="&amp;$F933)+1)/2,"")</f>
        <v/>
      </c>
      <c r="X933" s="27">
        <f>IF(OR(NOT(ISNUMBER($V933)),$AO933=1),"",$V933-(COUNTIFS($A$14:$A$1213,$A933,$C$14:$C$1213,"&gt;=0")+1)/2)</f>
        <v/>
      </c>
      <c r="Y933" s="27">
        <f>IF(OR(NOT(ISNUMBER($W933)),$AO933=1),"",$W933-(COUNTIFS($A$14:$A$1213,$A933,$F$14:$F$1213,"&gt;=0")+1)/2)</f>
        <v/>
      </c>
      <c r="Z933" s="27">
        <f>IF(ISNUMBER($V933),$A933&amp;"|"&amp;$V933,"")</f>
        <v/>
      </c>
      <c r="AA933" s="27">
        <f>IF(ISNUMBER($W933),$A933&amp;"|"&amp;$W933,"")</f>
        <v/>
      </c>
      <c r="AB933" s="27">
        <f>IF(ISNUMBER($F933),$A933&amp;"|"&amp;$F933,"")</f>
        <v/>
      </c>
      <c r="AC933" s="27">
        <f>IF(ISNUMBER($P933),COUNTIFS($A$14:$A$1213,$A933,$P$14:$P$1213,"&gt;"&amp;$P933)+(COUNTIFS($A$14:$A$1213,$A933,$P$14:$P$1213,"="&amp;$P933)+1)/2,"")</f>
        <v/>
      </c>
      <c r="AD933" s="27">
        <f>IF(ISNUMBER($Q933),COUNTIFS($A$14:$A$1213,$A933,$Q$14:$Q$1213,"&gt;"&amp;$Q933)+(COUNTIFS($A$14:$A$1213,$A933,$Q$14:$Q$1213,"="&amp;$Q933)+1)/2,"")</f>
        <v/>
      </c>
      <c r="AE933" s="27">
        <f>IF(ISNUMBER($R933),COUNTIFS($A$14:$A$1213,$A933,$R$14:$R$1213,"&gt;"&amp;$R933)+(COUNTIFS($A$14:$A$1213,$A933,$R$14:$R$1213,"="&amp;$R933)+1)/2,"")</f>
        <v/>
      </c>
      <c r="AF933" s="27">
        <f>IF(ISNUMBER($S933),COUNTIFS($A$14:$A$1213,$A933,$S$14:$S$1213,"&gt;"&amp;$S933)+(COUNTIFS($A$14:$A$1213,$A933,$S$14:$S$1213,"="&amp;$S933)+1)/2,"")</f>
        <v/>
      </c>
      <c r="AG933" s="27">
        <f>IF(ISNUMBER($T933),COUNTIFS($A$14:$A$1213,$A933,$T$14:$T$1213,"&gt;"&amp;$T933)+(COUNTIFS($A$14:$A$1213,$A933,$T$14:$T$1213,"="&amp;$T933)+1)/2,"")</f>
        <v/>
      </c>
      <c r="AH933" s="27">
        <f>IF(COUNT($AC933:$AG933)&lt;2,"",IF(MAX($AC933:$AG933)=MIN($AC933:$AG933),0,1))</f>
        <v/>
      </c>
      <c r="AI933" s="27">
        <f>IF($A933="","",IF(COUNTIF($A$14:$A933,$A933)=1,COUNTIF($AI$13:AI932,"&gt;0")+1,""))</f>
        <v/>
      </c>
      <c r="AO933" s="27">
        <f>IF($A933="","",IF(AND(COUNTIFS($A$14:$A$1213,$A933,$F$14:$F$1213,"&gt;=0")=2,IFERROR(INDEX($M$14:$M$313,MATCH($A933,$H$14:$H$313,0)),"Yes")&lt;&gt;"Yes"),1,0))</f>
        <v/>
      </c>
    </row>
    <row r="934">
      <c r="A934" s="19" t="n"/>
      <c r="B934" s="20" t="n"/>
      <c r="C934" s="21">
        <f>IFERROR(AVERAGE(P934:T934),"")</f>
        <v/>
      </c>
      <c r="D934" s="29" t="n"/>
      <c r="E934" s="29" t="n"/>
      <c r="F934" s="30">
        <f>IF(AND(ISNUMBER($D934),ISNUMBER($E934),$E934&gt;0,$D934&lt;=$E934),$D934/$E934,"")</f>
        <v/>
      </c>
      <c r="P934" s="26" t="n"/>
      <c r="Q934" s="26" t="n"/>
      <c r="R934" s="26" t="n"/>
      <c r="S934" s="26" t="n"/>
      <c r="T934" s="26" t="n"/>
      <c r="V934" s="27">
        <f>IF(ISNUMBER($C934),COUNTIFS($A$14:$A$1213,$A934,$C$14:$C$1213,"&gt;"&amp;$C934)+(COUNTIFS($A$14:$A$1213,$A934,$C$14:$C$1213,"="&amp;$C934)+1)/2,"")</f>
        <v/>
      </c>
      <c r="W934" s="27">
        <f>IF(ISNUMBER($F934),COUNTIFS($A$14:$A$1213,$A934,$F$14:$F$1213,"&gt;"&amp;$F934)+(COUNTIFS($A$14:$A$1213,$A934,$F$14:$F$1213,"="&amp;$F934)+1)/2,"")</f>
        <v/>
      </c>
      <c r="X934" s="27">
        <f>IF(OR(NOT(ISNUMBER($V934)),$AO934=1),"",$V934-(COUNTIFS($A$14:$A$1213,$A934,$C$14:$C$1213,"&gt;=0")+1)/2)</f>
        <v/>
      </c>
      <c r="Y934" s="27">
        <f>IF(OR(NOT(ISNUMBER($W934)),$AO934=1),"",$W934-(COUNTIFS($A$14:$A$1213,$A934,$F$14:$F$1213,"&gt;=0")+1)/2)</f>
        <v/>
      </c>
      <c r="Z934" s="27">
        <f>IF(ISNUMBER($V934),$A934&amp;"|"&amp;$V934,"")</f>
        <v/>
      </c>
      <c r="AA934" s="27">
        <f>IF(ISNUMBER($W934),$A934&amp;"|"&amp;$W934,"")</f>
        <v/>
      </c>
      <c r="AB934" s="27">
        <f>IF(ISNUMBER($F934),$A934&amp;"|"&amp;$F934,"")</f>
        <v/>
      </c>
      <c r="AC934" s="27">
        <f>IF(ISNUMBER($P934),COUNTIFS($A$14:$A$1213,$A934,$P$14:$P$1213,"&gt;"&amp;$P934)+(COUNTIFS($A$14:$A$1213,$A934,$P$14:$P$1213,"="&amp;$P934)+1)/2,"")</f>
        <v/>
      </c>
      <c r="AD934" s="27">
        <f>IF(ISNUMBER($Q934),COUNTIFS($A$14:$A$1213,$A934,$Q$14:$Q$1213,"&gt;"&amp;$Q934)+(COUNTIFS($A$14:$A$1213,$A934,$Q$14:$Q$1213,"="&amp;$Q934)+1)/2,"")</f>
        <v/>
      </c>
      <c r="AE934" s="27">
        <f>IF(ISNUMBER($R934),COUNTIFS($A$14:$A$1213,$A934,$R$14:$R$1213,"&gt;"&amp;$R934)+(COUNTIFS($A$14:$A$1213,$A934,$R$14:$R$1213,"="&amp;$R934)+1)/2,"")</f>
        <v/>
      </c>
      <c r="AF934" s="27">
        <f>IF(ISNUMBER($S934),COUNTIFS($A$14:$A$1213,$A934,$S$14:$S$1213,"&gt;"&amp;$S934)+(COUNTIFS($A$14:$A$1213,$A934,$S$14:$S$1213,"="&amp;$S934)+1)/2,"")</f>
        <v/>
      </c>
      <c r="AG934" s="27">
        <f>IF(ISNUMBER($T934),COUNTIFS($A$14:$A$1213,$A934,$T$14:$T$1213,"&gt;"&amp;$T934)+(COUNTIFS($A$14:$A$1213,$A934,$T$14:$T$1213,"="&amp;$T934)+1)/2,"")</f>
        <v/>
      </c>
      <c r="AH934" s="27">
        <f>IF(COUNT($AC934:$AG934)&lt;2,"",IF(MAX($AC934:$AG934)=MIN($AC934:$AG934),0,1))</f>
        <v/>
      </c>
      <c r="AI934" s="27">
        <f>IF($A934="","",IF(COUNTIF($A$14:$A934,$A934)=1,COUNTIF($AI$13:AI933,"&gt;0")+1,""))</f>
        <v/>
      </c>
      <c r="AO934" s="27">
        <f>IF($A934="","",IF(AND(COUNTIFS($A$14:$A$1213,$A934,$F$14:$F$1213,"&gt;=0")=2,IFERROR(INDEX($M$14:$M$313,MATCH($A934,$H$14:$H$313,0)),"Yes")&lt;&gt;"Yes"),1,0))</f>
        <v/>
      </c>
    </row>
    <row r="935">
      <c r="A935" s="19" t="n"/>
      <c r="B935" s="20" t="n"/>
      <c r="C935" s="21">
        <f>IFERROR(AVERAGE(P935:T935),"")</f>
        <v/>
      </c>
      <c r="D935" s="29" t="n"/>
      <c r="E935" s="29" t="n"/>
      <c r="F935" s="30">
        <f>IF(AND(ISNUMBER($D935),ISNUMBER($E935),$E935&gt;0,$D935&lt;=$E935),$D935/$E935,"")</f>
        <v/>
      </c>
      <c r="P935" s="26" t="n"/>
      <c r="Q935" s="26" t="n"/>
      <c r="R935" s="26" t="n"/>
      <c r="S935" s="26" t="n"/>
      <c r="T935" s="26" t="n"/>
      <c r="V935" s="27">
        <f>IF(ISNUMBER($C935),COUNTIFS($A$14:$A$1213,$A935,$C$14:$C$1213,"&gt;"&amp;$C935)+(COUNTIFS($A$14:$A$1213,$A935,$C$14:$C$1213,"="&amp;$C935)+1)/2,"")</f>
        <v/>
      </c>
      <c r="W935" s="27">
        <f>IF(ISNUMBER($F935),COUNTIFS($A$14:$A$1213,$A935,$F$14:$F$1213,"&gt;"&amp;$F935)+(COUNTIFS($A$14:$A$1213,$A935,$F$14:$F$1213,"="&amp;$F935)+1)/2,"")</f>
        <v/>
      </c>
      <c r="X935" s="27">
        <f>IF(OR(NOT(ISNUMBER($V935)),$AO935=1),"",$V935-(COUNTIFS($A$14:$A$1213,$A935,$C$14:$C$1213,"&gt;=0")+1)/2)</f>
        <v/>
      </c>
      <c r="Y935" s="27">
        <f>IF(OR(NOT(ISNUMBER($W935)),$AO935=1),"",$W935-(COUNTIFS($A$14:$A$1213,$A935,$F$14:$F$1213,"&gt;=0")+1)/2)</f>
        <v/>
      </c>
      <c r="Z935" s="27">
        <f>IF(ISNUMBER($V935),$A935&amp;"|"&amp;$V935,"")</f>
        <v/>
      </c>
      <c r="AA935" s="27">
        <f>IF(ISNUMBER($W935),$A935&amp;"|"&amp;$W935,"")</f>
        <v/>
      </c>
      <c r="AB935" s="27">
        <f>IF(ISNUMBER($F935),$A935&amp;"|"&amp;$F935,"")</f>
        <v/>
      </c>
      <c r="AC935" s="27">
        <f>IF(ISNUMBER($P935),COUNTIFS($A$14:$A$1213,$A935,$P$14:$P$1213,"&gt;"&amp;$P935)+(COUNTIFS($A$14:$A$1213,$A935,$P$14:$P$1213,"="&amp;$P935)+1)/2,"")</f>
        <v/>
      </c>
      <c r="AD935" s="27">
        <f>IF(ISNUMBER($Q935),COUNTIFS($A$14:$A$1213,$A935,$Q$14:$Q$1213,"&gt;"&amp;$Q935)+(COUNTIFS($A$14:$A$1213,$A935,$Q$14:$Q$1213,"="&amp;$Q935)+1)/2,"")</f>
        <v/>
      </c>
      <c r="AE935" s="27">
        <f>IF(ISNUMBER($R935),COUNTIFS($A$14:$A$1213,$A935,$R$14:$R$1213,"&gt;"&amp;$R935)+(COUNTIFS($A$14:$A$1213,$A935,$R$14:$R$1213,"="&amp;$R935)+1)/2,"")</f>
        <v/>
      </c>
      <c r="AF935" s="27">
        <f>IF(ISNUMBER($S935),COUNTIFS($A$14:$A$1213,$A935,$S$14:$S$1213,"&gt;"&amp;$S935)+(COUNTIFS($A$14:$A$1213,$A935,$S$14:$S$1213,"="&amp;$S935)+1)/2,"")</f>
        <v/>
      </c>
      <c r="AG935" s="27">
        <f>IF(ISNUMBER($T935),COUNTIFS($A$14:$A$1213,$A935,$T$14:$T$1213,"&gt;"&amp;$T935)+(COUNTIFS($A$14:$A$1213,$A935,$T$14:$T$1213,"="&amp;$T935)+1)/2,"")</f>
        <v/>
      </c>
      <c r="AH935" s="27">
        <f>IF(COUNT($AC935:$AG935)&lt;2,"",IF(MAX($AC935:$AG935)=MIN($AC935:$AG935),0,1))</f>
        <v/>
      </c>
      <c r="AI935" s="27">
        <f>IF($A935="","",IF(COUNTIF($A$14:$A935,$A935)=1,COUNTIF($AI$13:AI934,"&gt;0")+1,""))</f>
        <v/>
      </c>
      <c r="AO935" s="27">
        <f>IF($A935="","",IF(AND(COUNTIFS($A$14:$A$1213,$A935,$F$14:$F$1213,"&gt;=0")=2,IFERROR(INDEX($M$14:$M$313,MATCH($A935,$H$14:$H$313,0)),"Yes")&lt;&gt;"Yes"),1,0))</f>
        <v/>
      </c>
    </row>
    <row r="936">
      <c r="A936" s="19" t="n"/>
      <c r="B936" s="20" t="n"/>
      <c r="C936" s="21">
        <f>IFERROR(AVERAGE(P936:T936),"")</f>
        <v/>
      </c>
      <c r="D936" s="29" t="n"/>
      <c r="E936" s="29" t="n"/>
      <c r="F936" s="30">
        <f>IF(AND(ISNUMBER($D936),ISNUMBER($E936),$E936&gt;0,$D936&lt;=$E936),$D936/$E936,"")</f>
        <v/>
      </c>
      <c r="P936" s="26" t="n"/>
      <c r="Q936" s="26" t="n"/>
      <c r="R936" s="26" t="n"/>
      <c r="S936" s="26" t="n"/>
      <c r="T936" s="26" t="n"/>
      <c r="V936" s="27">
        <f>IF(ISNUMBER($C936),COUNTIFS($A$14:$A$1213,$A936,$C$14:$C$1213,"&gt;"&amp;$C936)+(COUNTIFS($A$14:$A$1213,$A936,$C$14:$C$1213,"="&amp;$C936)+1)/2,"")</f>
        <v/>
      </c>
      <c r="W936" s="27">
        <f>IF(ISNUMBER($F936),COUNTIFS($A$14:$A$1213,$A936,$F$14:$F$1213,"&gt;"&amp;$F936)+(COUNTIFS($A$14:$A$1213,$A936,$F$14:$F$1213,"="&amp;$F936)+1)/2,"")</f>
        <v/>
      </c>
      <c r="X936" s="27">
        <f>IF(OR(NOT(ISNUMBER($V936)),$AO936=1),"",$V936-(COUNTIFS($A$14:$A$1213,$A936,$C$14:$C$1213,"&gt;=0")+1)/2)</f>
        <v/>
      </c>
      <c r="Y936" s="27">
        <f>IF(OR(NOT(ISNUMBER($W936)),$AO936=1),"",$W936-(COUNTIFS($A$14:$A$1213,$A936,$F$14:$F$1213,"&gt;=0")+1)/2)</f>
        <v/>
      </c>
      <c r="Z936" s="27">
        <f>IF(ISNUMBER($V936),$A936&amp;"|"&amp;$V936,"")</f>
        <v/>
      </c>
      <c r="AA936" s="27">
        <f>IF(ISNUMBER($W936),$A936&amp;"|"&amp;$W936,"")</f>
        <v/>
      </c>
      <c r="AB936" s="27">
        <f>IF(ISNUMBER($F936),$A936&amp;"|"&amp;$F936,"")</f>
        <v/>
      </c>
      <c r="AC936" s="27">
        <f>IF(ISNUMBER($P936),COUNTIFS($A$14:$A$1213,$A936,$P$14:$P$1213,"&gt;"&amp;$P936)+(COUNTIFS($A$14:$A$1213,$A936,$P$14:$P$1213,"="&amp;$P936)+1)/2,"")</f>
        <v/>
      </c>
      <c r="AD936" s="27">
        <f>IF(ISNUMBER($Q936),COUNTIFS($A$14:$A$1213,$A936,$Q$14:$Q$1213,"&gt;"&amp;$Q936)+(COUNTIFS($A$14:$A$1213,$A936,$Q$14:$Q$1213,"="&amp;$Q936)+1)/2,"")</f>
        <v/>
      </c>
      <c r="AE936" s="27">
        <f>IF(ISNUMBER($R936),COUNTIFS($A$14:$A$1213,$A936,$R$14:$R$1213,"&gt;"&amp;$R936)+(COUNTIFS($A$14:$A$1213,$A936,$R$14:$R$1213,"="&amp;$R936)+1)/2,"")</f>
        <v/>
      </c>
      <c r="AF936" s="27">
        <f>IF(ISNUMBER($S936),COUNTIFS($A$14:$A$1213,$A936,$S$14:$S$1213,"&gt;"&amp;$S936)+(COUNTIFS($A$14:$A$1213,$A936,$S$14:$S$1213,"="&amp;$S936)+1)/2,"")</f>
        <v/>
      </c>
      <c r="AG936" s="27">
        <f>IF(ISNUMBER($T936),COUNTIFS($A$14:$A$1213,$A936,$T$14:$T$1213,"&gt;"&amp;$T936)+(COUNTIFS($A$14:$A$1213,$A936,$T$14:$T$1213,"="&amp;$T936)+1)/2,"")</f>
        <v/>
      </c>
      <c r="AH936" s="27">
        <f>IF(COUNT($AC936:$AG936)&lt;2,"",IF(MAX($AC936:$AG936)=MIN($AC936:$AG936),0,1))</f>
        <v/>
      </c>
      <c r="AI936" s="27">
        <f>IF($A936="","",IF(COUNTIF($A$14:$A936,$A936)=1,COUNTIF($AI$13:AI935,"&gt;0")+1,""))</f>
        <v/>
      </c>
      <c r="AO936" s="27">
        <f>IF($A936="","",IF(AND(COUNTIFS($A$14:$A$1213,$A936,$F$14:$F$1213,"&gt;=0")=2,IFERROR(INDEX($M$14:$M$313,MATCH($A936,$H$14:$H$313,0)),"Yes")&lt;&gt;"Yes"),1,0))</f>
        <v/>
      </c>
    </row>
    <row r="937">
      <c r="A937" s="19" t="n"/>
      <c r="B937" s="20" t="n"/>
      <c r="C937" s="21">
        <f>IFERROR(AVERAGE(P937:T937),"")</f>
        <v/>
      </c>
      <c r="D937" s="29" t="n"/>
      <c r="E937" s="29" t="n"/>
      <c r="F937" s="30">
        <f>IF(AND(ISNUMBER($D937),ISNUMBER($E937),$E937&gt;0,$D937&lt;=$E937),$D937/$E937,"")</f>
        <v/>
      </c>
      <c r="P937" s="26" t="n"/>
      <c r="Q937" s="26" t="n"/>
      <c r="R937" s="26" t="n"/>
      <c r="S937" s="26" t="n"/>
      <c r="T937" s="26" t="n"/>
      <c r="V937" s="27">
        <f>IF(ISNUMBER($C937),COUNTIFS($A$14:$A$1213,$A937,$C$14:$C$1213,"&gt;"&amp;$C937)+(COUNTIFS($A$14:$A$1213,$A937,$C$14:$C$1213,"="&amp;$C937)+1)/2,"")</f>
        <v/>
      </c>
      <c r="W937" s="27">
        <f>IF(ISNUMBER($F937),COUNTIFS($A$14:$A$1213,$A937,$F$14:$F$1213,"&gt;"&amp;$F937)+(COUNTIFS($A$14:$A$1213,$A937,$F$14:$F$1213,"="&amp;$F937)+1)/2,"")</f>
        <v/>
      </c>
      <c r="X937" s="27">
        <f>IF(OR(NOT(ISNUMBER($V937)),$AO937=1),"",$V937-(COUNTIFS($A$14:$A$1213,$A937,$C$14:$C$1213,"&gt;=0")+1)/2)</f>
        <v/>
      </c>
      <c r="Y937" s="27">
        <f>IF(OR(NOT(ISNUMBER($W937)),$AO937=1),"",$W937-(COUNTIFS($A$14:$A$1213,$A937,$F$14:$F$1213,"&gt;=0")+1)/2)</f>
        <v/>
      </c>
      <c r="Z937" s="27">
        <f>IF(ISNUMBER($V937),$A937&amp;"|"&amp;$V937,"")</f>
        <v/>
      </c>
      <c r="AA937" s="27">
        <f>IF(ISNUMBER($W937),$A937&amp;"|"&amp;$W937,"")</f>
        <v/>
      </c>
      <c r="AB937" s="27">
        <f>IF(ISNUMBER($F937),$A937&amp;"|"&amp;$F937,"")</f>
        <v/>
      </c>
      <c r="AC937" s="27">
        <f>IF(ISNUMBER($P937),COUNTIFS($A$14:$A$1213,$A937,$P$14:$P$1213,"&gt;"&amp;$P937)+(COUNTIFS($A$14:$A$1213,$A937,$P$14:$P$1213,"="&amp;$P937)+1)/2,"")</f>
        <v/>
      </c>
      <c r="AD937" s="27">
        <f>IF(ISNUMBER($Q937),COUNTIFS($A$14:$A$1213,$A937,$Q$14:$Q$1213,"&gt;"&amp;$Q937)+(COUNTIFS($A$14:$A$1213,$A937,$Q$14:$Q$1213,"="&amp;$Q937)+1)/2,"")</f>
        <v/>
      </c>
      <c r="AE937" s="27">
        <f>IF(ISNUMBER($R937),COUNTIFS($A$14:$A$1213,$A937,$R$14:$R$1213,"&gt;"&amp;$R937)+(COUNTIFS($A$14:$A$1213,$A937,$R$14:$R$1213,"="&amp;$R937)+1)/2,"")</f>
        <v/>
      </c>
      <c r="AF937" s="27">
        <f>IF(ISNUMBER($S937),COUNTIFS($A$14:$A$1213,$A937,$S$14:$S$1213,"&gt;"&amp;$S937)+(COUNTIFS($A$14:$A$1213,$A937,$S$14:$S$1213,"="&amp;$S937)+1)/2,"")</f>
        <v/>
      </c>
      <c r="AG937" s="27">
        <f>IF(ISNUMBER($T937),COUNTIFS($A$14:$A$1213,$A937,$T$14:$T$1213,"&gt;"&amp;$T937)+(COUNTIFS($A$14:$A$1213,$A937,$T$14:$T$1213,"="&amp;$T937)+1)/2,"")</f>
        <v/>
      </c>
      <c r="AH937" s="27">
        <f>IF(COUNT($AC937:$AG937)&lt;2,"",IF(MAX($AC937:$AG937)=MIN($AC937:$AG937),0,1))</f>
        <v/>
      </c>
      <c r="AI937" s="27">
        <f>IF($A937="","",IF(COUNTIF($A$14:$A937,$A937)=1,COUNTIF($AI$13:AI936,"&gt;0")+1,""))</f>
        <v/>
      </c>
      <c r="AO937" s="27">
        <f>IF($A937="","",IF(AND(COUNTIFS($A$14:$A$1213,$A937,$F$14:$F$1213,"&gt;=0")=2,IFERROR(INDEX($M$14:$M$313,MATCH($A937,$H$14:$H$313,0)),"Yes")&lt;&gt;"Yes"),1,0))</f>
        <v/>
      </c>
    </row>
    <row r="938">
      <c r="A938" s="19" t="n"/>
      <c r="B938" s="20" t="n"/>
      <c r="C938" s="21">
        <f>IFERROR(AVERAGE(P938:T938),"")</f>
        <v/>
      </c>
      <c r="D938" s="29" t="n"/>
      <c r="E938" s="29" t="n"/>
      <c r="F938" s="30">
        <f>IF(AND(ISNUMBER($D938),ISNUMBER($E938),$E938&gt;0,$D938&lt;=$E938),$D938/$E938,"")</f>
        <v/>
      </c>
      <c r="P938" s="26" t="n"/>
      <c r="Q938" s="26" t="n"/>
      <c r="R938" s="26" t="n"/>
      <c r="S938" s="26" t="n"/>
      <c r="T938" s="26" t="n"/>
      <c r="V938" s="27">
        <f>IF(ISNUMBER($C938),COUNTIFS($A$14:$A$1213,$A938,$C$14:$C$1213,"&gt;"&amp;$C938)+(COUNTIFS($A$14:$A$1213,$A938,$C$14:$C$1213,"="&amp;$C938)+1)/2,"")</f>
        <v/>
      </c>
      <c r="W938" s="27">
        <f>IF(ISNUMBER($F938),COUNTIFS($A$14:$A$1213,$A938,$F$14:$F$1213,"&gt;"&amp;$F938)+(COUNTIFS($A$14:$A$1213,$A938,$F$14:$F$1213,"="&amp;$F938)+1)/2,"")</f>
        <v/>
      </c>
      <c r="X938" s="27">
        <f>IF(OR(NOT(ISNUMBER($V938)),$AO938=1),"",$V938-(COUNTIFS($A$14:$A$1213,$A938,$C$14:$C$1213,"&gt;=0")+1)/2)</f>
        <v/>
      </c>
      <c r="Y938" s="27">
        <f>IF(OR(NOT(ISNUMBER($W938)),$AO938=1),"",$W938-(COUNTIFS($A$14:$A$1213,$A938,$F$14:$F$1213,"&gt;=0")+1)/2)</f>
        <v/>
      </c>
      <c r="Z938" s="27">
        <f>IF(ISNUMBER($V938),$A938&amp;"|"&amp;$V938,"")</f>
        <v/>
      </c>
      <c r="AA938" s="27">
        <f>IF(ISNUMBER($W938),$A938&amp;"|"&amp;$W938,"")</f>
        <v/>
      </c>
      <c r="AB938" s="27">
        <f>IF(ISNUMBER($F938),$A938&amp;"|"&amp;$F938,"")</f>
        <v/>
      </c>
      <c r="AC938" s="27">
        <f>IF(ISNUMBER($P938),COUNTIFS($A$14:$A$1213,$A938,$P$14:$P$1213,"&gt;"&amp;$P938)+(COUNTIFS($A$14:$A$1213,$A938,$P$14:$P$1213,"="&amp;$P938)+1)/2,"")</f>
        <v/>
      </c>
      <c r="AD938" s="27">
        <f>IF(ISNUMBER($Q938),COUNTIFS($A$14:$A$1213,$A938,$Q$14:$Q$1213,"&gt;"&amp;$Q938)+(COUNTIFS($A$14:$A$1213,$A938,$Q$14:$Q$1213,"="&amp;$Q938)+1)/2,"")</f>
        <v/>
      </c>
      <c r="AE938" s="27">
        <f>IF(ISNUMBER($R938),COUNTIFS($A$14:$A$1213,$A938,$R$14:$R$1213,"&gt;"&amp;$R938)+(COUNTIFS($A$14:$A$1213,$A938,$R$14:$R$1213,"="&amp;$R938)+1)/2,"")</f>
        <v/>
      </c>
      <c r="AF938" s="27">
        <f>IF(ISNUMBER($S938),COUNTIFS($A$14:$A$1213,$A938,$S$14:$S$1213,"&gt;"&amp;$S938)+(COUNTIFS($A$14:$A$1213,$A938,$S$14:$S$1213,"="&amp;$S938)+1)/2,"")</f>
        <v/>
      </c>
      <c r="AG938" s="27">
        <f>IF(ISNUMBER($T938),COUNTIFS($A$14:$A$1213,$A938,$T$14:$T$1213,"&gt;"&amp;$T938)+(COUNTIFS($A$14:$A$1213,$A938,$T$14:$T$1213,"="&amp;$T938)+1)/2,"")</f>
        <v/>
      </c>
      <c r="AH938" s="27">
        <f>IF(COUNT($AC938:$AG938)&lt;2,"",IF(MAX($AC938:$AG938)=MIN($AC938:$AG938),0,1))</f>
        <v/>
      </c>
      <c r="AI938" s="27">
        <f>IF($A938="","",IF(COUNTIF($A$14:$A938,$A938)=1,COUNTIF($AI$13:AI937,"&gt;0")+1,""))</f>
        <v/>
      </c>
      <c r="AO938" s="27">
        <f>IF($A938="","",IF(AND(COUNTIFS($A$14:$A$1213,$A938,$F$14:$F$1213,"&gt;=0")=2,IFERROR(INDEX($M$14:$M$313,MATCH($A938,$H$14:$H$313,0)),"Yes")&lt;&gt;"Yes"),1,0))</f>
        <v/>
      </c>
    </row>
    <row r="939">
      <c r="A939" s="19" t="n"/>
      <c r="B939" s="20" t="n"/>
      <c r="C939" s="21">
        <f>IFERROR(AVERAGE(P939:T939),"")</f>
        <v/>
      </c>
      <c r="D939" s="29" t="n"/>
      <c r="E939" s="29" t="n"/>
      <c r="F939" s="30">
        <f>IF(AND(ISNUMBER($D939),ISNUMBER($E939),$E939&gt;0,$D939&lt;=$E939),$D939/$E939,"")</f>
        <v/>
      </c>
      <c r="P939" s="26" t="n"/>
      <c r="Q939" s="26" t="n"/>
      <c r="R939" s="26" t="n"/>
      <c r="S939" s="26" t="n"/>
      <c r="T939" s="26" t="n"/>
      <c r="V939" s="27">
        <f>IF(ISNUMBER($C939),COUNTIFS($A$14:$A$1213,$A939,$C$14:$C$1213,"&gt;"&amp;$C939)+(COUNTIFS($A$14:$A$1213,$A939,$C$14:$C$1213,"="&amp;$C939)+1)/2,"")</f>
        <v/>
      </c>
      <c r="W939" s="27">
        <f>IF(ISNUMBER($F939),COUNTIFS($A$14:$A$1213,$A939,$F$14:$F$1213,"&gt;"&amp;$F939)+(COUNTIFS($A$14:$A$1213,$A939,$F$14:$F$1213,"="&amp;$F939)+1)/2,"")</f>
        <v/>
      </c>
      <c r="X939" s="27">
        <f>IF(OR(NOT(ISNUMBER($V939)),$AO939=1),"",$V939-(COUNTIFS($A$14:$A$1213,$A939,$C$14:$C$1213,"&gt;=0")+1)/2)</f>
        <v/>
      </c>
      <c r="Y939" s="27">
        <f>IF(OR(NOT(ISNUMBER($W939)),$AO939=1),"",$W939-(COUNTIFS($A$14:$A$1213,$A939,$F$14:$F$1213,"&gt;=0")+1)/2)</f>
        <v/>
      </c>
      <c r="Z939" s="27">
        <f>IF(ISNUMBER($V939),$A939&amp;"|"&amp;$V939,"")</f>
        <v/>
      </c>
      <c r="AA939" s="27">
        <f>IF(ISNUMBER($W939),$A939&amp;"|"&amp;$W939,"")</f>
        <v/>
      </c>
      <c r="AB939" s="27">
        <f>IF(ISNUMBER($F939),$A939&amp;"|"&amp;$F939,"")</f>
        <v/>
      </c>
      <c r="AC939" s="27">
        <f>IF(ISNUMBER($P939),COUNTIFS($A$14:$A$1213,$A939,$P$14:$P$1213,"&gt;"&amp;$P939)+(COUNTIFS($A$14:$A$1213,$A939,$P$14:$P$1213,"="&amp;$P939)+1)/2,"")</f>
        <v/>
      </c>
      <c r="AD939" s="27">
        <f>IF(ISNUMBER($Q939),COUNTIFS($A$14:$A$1213,$A939,$Q$14:$Q$1213,"&gt;"&amp;$Q939)+(COUNTIFS($A$14:$A$1213,$A939,$Q$14:$Q$1213,"="&amp;$Q939)+1)/2,"")</f>
        <v/>
      </c>
      <c r="AE939" s="27">
        <f>IF(ISNUMBER($R939),COUNTIFS($A$14:$A$1213,$A939,$R$14:$R$1213,"&gt;"&amp;$R939)+(COUNTIFS($A$14:$A$1213,$A939,$R$14:$R$1213,"="&amp;$R939)+1)/2,"")</f>
        <v/>
      </c>
      <c r="AF939" s="27">
        <f>IF(ISNUMBER($S939),COUNTIFS($A$14:$A$1213,$A939,$S$14:$S$1213,"&gt;"&amp;$S939)+(COUNTIFS($A$14:$A$1213,$A939,$S$14:$S$1213,"="&amp;$S939)+1)/2,"")</f>
        <v/>
      </c>
      <c r="AG939" s="27">
        <f>IF(ISNUMBER($T939),COUNTIFS($A$14:$A$1213,$A939,$T$14:$T$1213,"&gt;"&amp;$T939)+(COUNTIFS($A$14:$A$1213,$A939,$T$14:$T$1213,"="&amp;$T939)+1)/2,"")</f>
        <v/>
      </c>
      <c r="AH939" s="27">
        <f>IF(COUNT($AC939:$AG939)&lt;2,"",IF(MAX($AC939:$AG939)=MIN($AC939:$AG939),0,1))</f>
        <v/>
      </c>
      <c r="AI939" s="27">
        <f>IF($A939="","",IF(COUNTIF($A$14:$A939,$A939)=1,COUNTIF($AI$13:AI938,"&gt;0")+1,""))</f>
        <v/>
      </c>
      <c r="AO939" s="27">
        <f>IF($A939="","",IF(AND(COUNTIFS($A$14:$A$1213,$A939,$F$14:$F$1213,"&gt;=0")=2,IFERROR(INDEX($M$14:$M$313,MATCH($A939,$H$14:$H$313,0)),"Yes")&lt;&gt;"Yes"),1,0))</f>
        <v/>
      </c>
    </row>
    <row r="940">
      <c r="A940" s="19" t="n"/>
      <c r="B940" s="20" t="n"/>
      <c r="C940" s="21">
        <f>IFERROR(AVERAGE(P940:T940),"")</f>
        <v/>
      </c>
      <c r="D940" s="29" t="n"/>
      <c r="E940" s="29" t="n"/>
      <c r="F940" s="30">
        <f>IF(AND(ISNUMBER($D940),ISNUMBER($E940),$E940&gt;0,$D940&lt;=$E940),$D940/$E940,"")</f>
        <v/>
      </c>
      <c r="P940" s="26" t="n"/>
      <c r="Q940" s="26" t="n"/>
      <c r="R940" s="26" t="n"/>
      <c r="S940" s="26" t="n"/>
      <c r="T940" s="26" t="n"/>
      <c r="V940" s="27">
        <f>IF(ISNUMBER($C940),COUNTIFS($A$14:$A$1213,$A940,$C$14:$C$1213,"&gt;"&amp;$C940)+(COUNTIFS($A$14:$A$1213,$A940,$C$14:$C$1213,"="&amp;$C940)+1)/2,"")</f>
        <v/>
      </c>
      <c r="W940" s="27">
        <f>IF(ISNUMBER($F940),COUNTIFS($A$14:$A$1213,$A940,$F$14:$F$1213,"&gt;"&amp;$F940)+(COUNTIFS($A$14:$A$1213,$A940,$F$14:$F$1213,"="&amp;$F940)+1)/2,"")</f>
        <v/>
      </c>
      <c r="X940" s="27">
        <f>IF(OR(NOT(ISNUMBER($V940)),$AO940=1),"",$V940-(COUNTIFS($A$14:$A$1213,$A940,$C$14:$C$1213,"&gt;=0")+1)/2)</f>
        <v/>
      </c>
      <c r="Y940" s="27">
        <f>IF(OR(NOT(ISNUMBER($W940)),$AO940=1),"",$W940-(COUNTIFS($A$14:$A$1213,$A940,$F$14:$F$1213,"&gt;=0")+1)/2)</f>
        <v/>
      </c>
      <c r="Z940" s="27">
        <f>IF(ISNUMBER($V940),$A940&amp;"|"&amp;$V940,"")</f>
        <v/>
      </c>
      <c r="AA940" s="27">
        <f>IF(ISNUMBER($W940),$A940&amp;"|"&amp;$W940,"")</f>
        <v/>
      </c>
      <c r="AB940" s="27">
        <f>IF(ISNUMBER($F940),$A940&amp;"|"&amp;$F940,"")</f>
        <v/>
      </c>
      <c r="AC940" s="27">
        <f>IF(ISNUMBER($P940),COUNTIFS($A$14:$A$1213,$A940,$P$14:$P$1213,"&gt;"&amp;$P940)+(COUNTIFS($A$14:$A$1213,$A940,$P$14:$P$1213,"="&amp;$P940)+1)/2,"")</f>
        <v/>
      </c>
      <c r="AD940" s="27">
        <f>IF(ISNUMBER($Q940),COUNTIFS($A$14:$A$1213,$A940,$Q$14:$Q$1213,"&gt;"&amp;$Q940)+(COUNTIFS($A$14:$A$1213,$A940,$Q$14:$Q$1213,"="&amp;$Q940)+1)/2,"")</f>
        <v/>
      </c>
      <c r="AE940" s="27">
        <f>IF(ISNUMBER($R940),COUNTIFS($A$14:$A$1213,$A940,$R$14:$R$1213,"&gt;"&amp;$R940)+(COUNTIFS($A$14:$A$1213,$A940,$R$14:$R$1213,"="&amp;$R940)+1)/2,"")</f>
        <v/>
      </c>
      <c r="AF940" s="27">
        <f>IF(ISNUMBER($S940),COUNTIFS($A$14:$A$1213,$A940,$S$14:$S$1213,"&gt;"&amp;$S940)+(COUNTIFS($A$14:$A$1213,$A940,$S$14:$S$1213,"="&amp;$S940)+1)/2,"")</f>
        <v/>
      </c>
      <c r="AG940" s="27">
        <f>IF(ISNUMBER($T940),COUNTIFS($A$14:$A$1213,$A940,$T$14:$T$1213,"&gt;"&amp;$T940)+(COUNTIFS($A$14:$A$1213,$A940,$T$14:$T$1213,"="&amp;$T940)+1)/2,"")</f>
        <v/>
      </c>
      <c r="AH940" s="27">
        <f>IF(COUNT($AC940:$AG940)&lt;2,"",IF(MAX($AC940:$AG940)=MIN($AC940:$AG940),0,1))</f>
        <v/>
      </c>
      <c r="AI940" s="27">
        <f>IF($A940="","",IF(COUNTIF($A$14:$A940,$A940)=1,COUNTIF($AI$13:AI939,"&gt;0")+1,""))</f>
        <v/>
      </c>
      <c r="AO940" s="27">
        <f>IF($A940="","",IF(AND(COUNTIFS($A$14:$A$1213,$A940,$F$14:$F$1213,"&gt;=0")=2,IFERROR(INDEX($M$14:$M$313,MATCH($A940,$H$14:$H$313,0)),"Yes")&lt;&gt;"Yes"),1,0))</f>
        <v/>
      </c>
    </row>
    <row r="941">
      <c r="A941" s="19" t="n"/>
      <c r="B941" s="20" t="n"/>
      <c r="C941" s="21">
        <f>IFERROR(AVERAGE(P941:T941),"")</f>
        <v/>
      </c>
      <c r="D941" s="29" t="n"/>
      <c r="E941" s="29" t="n"/>
      <c r="F941" s="30">
        <f>IF(AND(ISNUMBER($D941),ISNUMBER($E941),$E941&gt;0,$D941&lt;=$E941),$D941/$E941,"")</f>
        <v/>
      </c>
      <c r="P941" s="26" t="n"/>
      <c r="Q941" s="26" t="n"/>
      <c r="R941" s="26" t="n"/>
      <c r="S941" s="26" t="n"/>
      <c r="T941" s="26" t="n"/>
      <c r="V941" s="27">
        <f>IF(ISNUMBER($C941),COUNTIFS($A$14:$A$1213,$A941,$C$14:$C$1213,"&gt;"&amp;$C941)+(COUNTIFS($A$14:$A$1213,$A941,$C$14:$C$1213,"="&amp;$C941)+1)/2,"")</f>
        <v/>
      </c>
      <c r="W941" s="27">
        <f>IF(ISNUMBER($F941),COUNTIFS($A$14:$A$1213,$A941,$F$14:$F$1213,"&gt;"&amp;$F941)+(COUNTIFS($A$14:$A$1213,$A941,$F$14:$F$1213,"="&amp;$F941)+1)/2,"")</f>
        <v/>
      </c>
      <c r="X941" s="27">
        <f>IF(OR(NOT(ISNUMBER($V941)),$AO941=1),"",$V941-(COUNTIFS($A$14:$A$1213,$A941,$C$14:$C$1213,"&gt;=0")+1)/2)</f>
        <v/>
      </c>
      <c r="Y941" s="27">
        <f>IF(OR(NOT(ISNUMBER($W941)),$AO941=1),"",$W941-(COUNTIFS($A$14:$A$1213,$A941,$F$14:$F$1213,"&gt;=0")+1)/2)</f>
        <v/>
      </c>
      <c r="Z941" s="27">
        <f>IF(ISNUMBER($V941),$A941&amp;"|"&amp;$V941,"")</f>
        <v/>
      </c>
      <c r="AA941" s="27">
        <f>IF(ISNUMBER($W941),$A941&amp;"|"&amp;$W941,"")</f>
        <v/>
      </c>
      <c r="AB941" s="27">
        <f>IF(ISNUMBER($F941),$A941&amp;"|"&amp;$F941,"")</f>
        <v/>
      </c>
      <c r="AC941" s="27">
        <f>IF(ISNUMBER($P941),COUNTIFS($A$14:$A$1213,$A941,$P$14:$P$1213,"&gt;"&amp;$P941)+(COUNTIFS($A$14:$A$1213,$A941,$P$14:$P$1213,"="&amp;$P941)+1)/2,"")</f>
        <v/>
      </c>
      <c r="AD941" s="27">
        <f>IF(ISNUMBER($Q941),COUNTIFS($A$14:$A$1213,$A941,$Q$14:$Q$1213,"&gt;"&amp;$Q941)+(COUNTIFS($A$14:$A$1213,$A941,$Q$14:$Q$1213,"="&amp;$Q941)+1)/2,"")</f>
        <v/>
      </c>
      <c r="AE941" s="27">
        <f>IF(ISNUMBER($R941),COUNTIFS($A$14:$A$1213,$A941,$R$14:$R$1213,"&gt;"&amp;$R941)+(COUNTIFS($A$14:$A$1213,$A941,$R$14:$R$1213,"="&amp;$R941)+1)/2,"")</f>
        <v/>
      </c>
      <c r="AF941" s="27">
        <f>IF(ISNUMBER($S941),COUNTIFS($A$14:$A$1213,$A941,$S$14:$S$1213,"&gt;"&amp;$S941)+(COUNTIFS($A$14:$A$1213,$A941,$S$14:$S$1213,"="&amp;$S941)+1)/2,"")</f>
        <v/>
      </c>
      <c r="AG941" s="27">
        <f>IF(ISNUMBER($T941),COUNTIFS($A$14:$A$1213,$A941,$T$14:$T$1213,"&gt;"&amp;$T941)+(COUNTIFS($A$14:$A$1213,$A941,$T$14:$T$1213,"="&amp;$T941)+1)/2,"")</f>
        <v/>
      </c>
      <c r="AH941" s="27">
        <f>IF(COUNT($AC941:$AG941)&lt;2,"",IF(MAX($AC941:$AG941)=MIN($AC941:$AG941),0,1))</f>
        <v/>
      </c>
      <c r="AI941" s="27">
        <f>IF($A941="","",IF(COUNTIF($A$14:$A941,$A941)=1,COUNTIF($AI$13:AI940,"&gt;0")+1,""))</f>
        <v/>
      </c>
      <c r="AO941" s="27">
        <f>IF($A941="","",IF(AND(COUNTIFS($A$14:$A$1213,$A941,$F$14:$F$1213,"&gt;=0")=2,IFERROR(INDEX($M$14:$M$313,MATCH($A941,$H$14:$H$313,0)),"Yes")&lt;&gt;"Yes"),1,0))</f>
        <v/>
      </c>
    </row>
    <row r="942">
      <c r="A942" s="19" t="n"/>
      <c r="B942" s="20" t="n"/>
      <c r="C942" s="21">
        <f>IFERROR(AVERAGE(P942:T942),"")</f>
        <v/>
      </c>
      <c r="D942" s="29" t="n"/>
      <c r="E942" s="29" t="n"/>
      <c r="F942" s="30">
        <f>IF(AND(ISNUMBER($D942),ISNUMBER($E942),$E942&gt;0,$D942&lt;=$E942),$D942/$E942,"")</f>
        <v/>
      </c>
      <c r="P942" s="26" t="n"/>
      <c r="Q942" s="26" t="n"/>
      <c r="R942" s="26" t="n"/>
      <c r="S942" s="26" t="n"/>
      <c r="T942" s="26" t="n"/>
      <c r="V942" s="27">
        <f>IF(ISNUMBER($C942),COUNTIFS($A$14:$A$1213,$A942,$C$14:$C$1213,"&gt;"&amp;$C942)+(COUNTIFS($A$14:$A$1213,$A942,$C$14:$C$1213,"="&amp;$C942)+1)/2,"")</f>
        <v/>
      </c>
      <c r="W942" s="27">
        <f>IF(ISNUMBER($F942),COUNTIFS($A$14:$A$1213,$A942,$F$14:$F$1213,"&gt;"&amp;$F942)+(COUNTIFS($A$14:$A$1213,$A942,$F$14:$F$1213,"="&amp;$F942)+1)/2,"")</f>
        <v/>
      </c>
      <c r="X942" s="27">
        <f>IF(OR(NOT(ISNUMBER($V942)),$AO942=1),"",$V942-(COUNTIFS($A$14:$A$1213,$A942,$C$14:$C$1213,"&gt;=0")+1)/2)</f>
        <v/>
      </c>
      <c r="Y942" s="27">
        <f>IF(OR(NOT(ISNUMBER($W942)),$AO942=1),"",$W942-(COUNTIFS($A$14:$A$1213,$A942,$F$14:$F$1213,"&gt;=0")+1)/2)</f>
        <v/>
      </c>
      <c r="Z942" s="27">
        <f>IF(ISNUMBER($V942),$A942&amp;"|"&amp;$V942,"")</f>
        <v/>
      </c>
      <c r="AA942" s="27">
        <f>IF(ISNUMBER($W942),$A942&amp;"|"&amp;$W942,"")</f>
        <v/>
      </c>
      <c r="AB942" s="27">
        <f>IF(ISNUMBER($F942),$A942&amp;"|"&amp;$F942,"")</f>
        <v/>
      </c>
      <c r="AC942" s="27">
        <f>IF(ISNUMBER($P942),COUNTIFS($A$14:$A$1213,$A942,$P$14:$P$1213,"&gt;"&amp;$P942)+(COUNTIFS($A$14:$A$1213,$A942,$P$14:$P$1213,"="&amp;$P942)+1)/2,"")</f>
        <v/>
      </c>
      <c r="AD942" s="27">
        <f>IF(ISNUMBER($Q942),COUNTIFS($A$14:$A$1213,$A942,$Q$14:$Q$1213,"&gt;"&amp;$Q942)+(COUNTIFS($A$14:$A$1213,$A942,$Q$14:$Q$1213,"="&amp;$Q942)+1)/2,"")</f>
        <v/>
      </c>
      <c r="AE942" s="27">
        <f>IF(ISNUMBER($R942),COUNTIFS($A$14:$A$1213,$A942,$R$14:$R$1213,"&gt;"&amp;$R942)+(COUNTIFS($A$14:$A$1213,$A942,$R$14:$R$1213,"="&amp;$R942)+1)/2,"")</f>
        <v/>
      </c>
      <c r="AF942" s="27">
        <f>IF(ISNUMBER($S942),COUNTIFS($A$14:$A$1213,$A942,$S$14:$S$1213,"&gt;"&amp;$S942)+(COUNTIFS($A$14:$A$1213,$A942,$S$14:$S$1213,"="&amp;$S942)+1)/2,"")</f>
        <v/>
      </c>
      <c r="AG942" s="27">
        <f>IF(ISNUMBER($T942),COUNTIFS($A$14:$A$1213,$A942,$T$14:$T$1213,"&gt;"&amp;$T942)+(COUNTIFS($A$14:$A$1213,$A942,$T$14:$T$1213,"="&amp;$T942)+1)/2,"")</f>
        <v/>
      </c>
      <c r="AH942" s="27">
        <f>IF(COUNT($AC942:$AG942)&lt;2,"",IF(MAX($AC942:$AG942)=MIN($AC942:$AG942),0,1))</f>
        <v/>
      </c>
      <c r="AI942" s="27">
        <f>IF($A942="","",IF(COUNTIF($A$14:$A942,$A942)=1,COUNTIF($AI$13:AI941,"&gt;0")+1,""))</f>
        <v/>
      </c>
      <c r="AO942" s="27">
        <f>IF($A942="","",IF(AND(COUNTIFS($A$14:$A$1213,$A942,$F$14:$F$1213,"&gt;=0")=2,IFERROR(INDEX($M$14:$M$313,MATCH($A942,$H$14:$H$313,0)),"Yes")&lt;&gt;"Yes"),1,0))</f>
        <v/>
      </c>
    </row>
    <row r="943">
      <c r="A943" s="19" t="n"/>
      <c r="B943" s="20" t="n"/>
      <c r="C943" s="21">
        <f>IFERROR(AVERAGE(P943:T943),"")</f>
        <v/>
      </c>
      <c r="D943" s="29" t="n"/>
      <c r="E943" s="29" t="n"/>
      <c r="F943" s="30">
        <f>IF(AND(ISNUMBER($D943),ISNUMBER($E943),$E943&gt;0,$D943&lt;=$E943),$D943/$E943,"")</f>
        <v/>
      </c>
      <c r="P943" s="26" t="n"/>
      <c r="Q943" s="26" t="n"/>
      <c r="R943" s="26" t="n"/>
      <c r="S943" s="26" t="n"/>
      <c r="T943" s="26" t="n"/>
      <c r="V943" s="27">
        <f>IF(ISNUMBER($C943),COUNTIFS($A$14:$A$1213,$A943,$C$14:$C$1213,"&gt;"&amp;$C943)+(COUNTIFS($A$14:$A$1213,$A943,$C$14:$C$1213,"="&amp;$C943)+1)/2,"")</f>
        <v/>
      </c>
      <c r="W943" s="27">
        <f>IF(ISNUMBER($F943),COUNTIFS($A$14:$A$1213,$A943,$F$14:$F$1213,"&gt;"&amp;$F943)+(COUNTIFS($A$14:$A$1213,$A943,$F$14:$F$1213,"="&amp;$F943)+1)/2,"")</f>
        <v/>
      </c>
      <c r="X943" s="27">
        <f>IF(OR(NOT(ISNUMBER($V943)),$AO943=1),"",$V943-(COUNTIFS($A$14:$A$1213,$A943,$C$14:$C$1213,"&gt;=0")+1)/2)</f>
        <v/>
      </c>
      <c r="Y943" s="27">
        <f>IF(OR(NOT(ISNUMBER($W943)),$AO943=1),"",$W943-(COUNTIFS($A$14:$A$1213,$A943,$F$14:$F$1213,"&gt;=0")+1)/2)</f>
        <v/>
      </c>
      <c r="Z943" s="27">
        <f>IF(ISNUMBER($V943),$A943&amp;"|"&amp;$V943,"")</f>
        <v/>
      </c>
      <c r="AA943" s="27">
        <f>IF(ISNUMBER($W943),$A943&amp;"|"&amp;$W943,"")</f>
        <v/>
      </c>
      <c r="AB943" s="27">
        <f>IF(ISNUMBER($F943),$A943&amp;"|"&amp;$F943,"")</f>
        <v/>
      </c>
      <c r="AC943" s="27">
        <f>IF(ISNUMBER($P943),COUNTIFS($A$14:$A$1213,$A943,$P$14:$P$1213,"&gt;"&amp;$P943)+(COUNTIFS($A$14:$A$1213,$A943,$P$14:$P$1213,"="&amp;$P943)+1)/2,"")</f>
        <v/>
      </c>
      <c r="AD943" s="27">
        <f>IF(ISNUMBER($Q943),COUNTIFS($A$14:$A$1213,$A943,$Q$14:$Q$1213,"&gt;"&amp;$Q943)+(COUNTIFS($A$14:$A$1213,$A943,$Q$14:$Q$1213,"="&amp;$Q943)+1)/2,"")</f>
        <v/>
      </c>
      <c r="AE943" s="27">
        <f>IF(ISNUMBER($R943),COUNTIFS($A$14:$A$1213,$A943,$R$14:$R$1213,"&gt;"&amp;$R943)+(COUNTIFS($A$14:$A$1213,$A943,$R$14:$R$1213,"="&amp;$R943)+1)/2,"")</f>
        <v/>
      </c>
      <c r="AF943" s="27">
        <f>IF(ISNUMBER($S943),COUNTIFS($A$14:$A$1213,$A943,$S$14:$S$1213,"&gt;"&amp;$S943)+(COUNTIFS($A$14:$A$1213,$A943,$S$14:$S$1213,"="&amp;$S943)+1)/2,"")</f>
        <v/>
      </c>
      <c r="AG943" s="27">
        <f>IF(ISNUMBER($T943),COUNTIFS($A$14:$A$1213,$A943,$T$14:$T$1213,"&gt;"&amp;$T943)+(COUNTIFS($A$14:$A$1213,$A943,$T$14:$T$1213,"="&amp;$T943)+1)/2,"")</f>
        <v/>
      </c>
      <c r="AH943" s="27">
        <f>IF(COUNT($AC943:$AG943)&lt;2,"",IF(MAX($AC943:$AG943)=MIN($AC943:$AG943),0,1))</f>
        <v/>
      </c>
      <c r="AI943" s="27">
        <f>IF($A943="","",IF(COUNTIF($A$14:$A943,$A943)=1,COUNTIF($AI$13:AI942,"&gt;0")+1,""))</f>
        <v/>
      </c>
      <c r="AO943" s="27">
        <f>IF($A943="","",IF(AND(COUNTIFS($A$14:$A$1213,$A943,$F$14:$F$1213,"&gt;=0")=2,IFERROR(INDEX($M$14:$M$313,MATCH($A943,$H$14:$H$313,0)),"Yes")&lt;&gt;"Yes"),1,0))</f>
        <v/>
      </c>
    </row>
    <row r="944">
      <c r="A944" s="19" t="n"/>
      <c r="B944" s="20" t="n"/>
      <c r="C944" s="21">
        <f>IFERROR(AVERAGE(P944:T944),"")</f>
        <v/>
      </c>
      <c r="D944" s="29" t="n"/>
      <c r="E944" s="29" t="n"/>
      <c r="F944" s="30">
        <f>IF(AND(ISNUMBER($D944),ISNUMBER($E944),$E944&gt;0,$D944&lt;=$E944),$D944/$E944,"")</f>
        <v/>
      </c>
      <c r="P944" s="26" t="n"/>
      <c r="Q944" s="26" t="n"/>
      <c r="R944" s="26" t="n"/>
      <c r="S944" s="26" t="n"/>
      <c r="T944" s="26" t="n"/>
      <c r="V944" s="27">
        <f>IF(ISNUMBER($C944),COUNTIFS($A$14:$A$1213,$A944,$C$14:$C$1213,"&gt;"&amp;$C944)+(COUNTIFS($A$14:$A$1213,$A944,$C$14:$C$1213,"="&amp;$C944)+1)/2,"")</f>
        <v/>
      </c>
      <c r="W944" s="27">
        <f>IF(ISNUMBER($F944),COUNTIFS($A$14:$A$1213,$A944,$F$14:$F$1213,"&gt;"&amp;$F944)+(COUNTIFS($A$14:$A$1213,$A944,$F$14:$F$1213,"="&amp;$F944)+1)/2,"")</f>
        <v/>
      </c>
      <c r="X944" s="27">
        <f>IF(OR(NOT(ISNUMBER($V944)),$AO944=1),"",$V944-(COUNTIFS($A$14:$A$1213,$A944,$C$14:$C$1213,"&gt;=0")+1)/2)</f>
        <v/>
      </c>
      <c r="Y944" s="27">
        <f>IF(OR(NOT(ISNUMBER($W944)),$AO944=1),"",$W944-(COUNTIFS($A$14:$A$1213,$A944,$F$14:$F$1213,"&gt;=0")+1)/2)</f>
        <v/>
      </c>
      <c r="Z944" s="27">
        <f>IF(ISNUMBER($V944),$A944&amp;"|"&amp;$V944,"")</f>
        <v/>
      </c>
      <c r="AA944" s="27">
        <f>IF(ISNUMBER($W944),$A944&amp;"|"&amp;$W944,"")</f>
        <v/>
      </c>
      <c r="AB944" s="27">
        <f>IF(ISNUMBER($F944),$A944&amp;"|"&amp;$F944,"")</f>
        <v/>
      </c>
      <c r="AC944" s="27">
        <f>IF(ISNUMBER($P944),COUNTIFS($A$14:$A$1213,$A944,$P$14:$P$1213,"&gt;"&amp;$P944)+(COUNTIFS($A$14:$A$1213,$A944,$P$14:$P$1213,"="&amp;$P944)+1)/2,"")</f>
        <v/>
      </c>
      <c r="AD944" s="27">
        <f>IF(ISNUMBER($Q944),COUNTIFS($A$14:$A$1213,$A944,$Q$14:$Q$1213,"&gt;"&amp;$Q944)+(COUNTIFS($A$14:$A$1213,$A944,$Q$14:$Q$1213,"="&amp;$Q944)+1)/2,"")</f>
        <v/>
      </c>
      <c r="AE944" s="27">
        <f>IF(ISNUMBER($R944),COUNTIFS($A$14:$A$1213,$A944,$R$14:$R$1213,"&gt;"&amp;$R944)+(COUNTIFS($A$14:$A$1213,$A944,$R$14:$R$1213,"="&amp;$R944)+1)/2,"")</f>
        <v/>
      </c>
      <c r="AF944" s="27">
        <f>IF(ISNUMBER($S944),COUNTIFS($A$14:$A$1213,$A944,$S$14:$S$1213,"&gt;"&amp;$S944)+(COUNTIFS($A$14:$A$1213,$A944,$S$14:$S$1213,"="&amp;$S944)+1)/2,"")</f>
        <v/>
      </c>
      <c r="AG944" s="27">
        <f>IF(ISNUMBER($T944),COUNTIFS($A$14:$A$1213,$A944,$T$14:$T$1213,"&gt;"&amp;$T944)+(COUNTIFS($A$14:$A$1213,$A944,$T$14:$T$1213,"="&amp;$T944)+1)/2,"")</f>
        <v/>
      </c>
      <c r="AH944" s="27">
        <f>IF(COUNT($AC944:$AG944)&lt;2,"",IF(MAX($AC944:$AG944)=MIN($AC944:$AG944),0,1))</f>
        <v/>
      </c>
      <c r="AI944" s="27">
        <f>IF($A944="","",IF(COUNTIF($A$14:$A944,$A944)=1,COUNTIF($AI$13:AI943,"&gt;0")+1,""))</f>
        <v/>
      </c>
      <c r="AO944" s="27">
        <f>IF($A944="","",IF(AND(COUNTIFS($A$14:$A$1213,$A944,$F$14:$F$1213,"&gt;=0")=2,IFERROR(INDEX($M$14:$M$313,MATCH($A944,$H$14:$H$313,0)),"Yes")&lt;&gt;"Yes"),1,0))</f>
        <v/>
      </c>
    </row>
    <row r="945">
      <c r="A945" s="19" t="n"/>
      <c r="B945" s="20" t="n"/>
      <c r="C945" s="21">
        <f>IFERROR(AVERAGE(P945:T945),"")</f>
        <v/>
      </c>
      <c r="D945" s="29" t="n"/>
      <c r="E945" s="29" t="n"/>
      <c r="F945" s="30">
        <f>IF(AND(ISNUMBER($D945),ISNUMBER($E945),$E945&gt;0,$D945&lt;=$E945),$D945/$E945,"")</f>
        <v/>
      </c>
      <c r="P945" s="26" t="n"/>
      <c r="Q945" s="26" t="n"/>
      <c r="R945" s="26" t="n"/>
      <c r="S945" s="26" t="n"/>
      <c r="T945" s="26" t="n"/>
      <c r="V945" s="27">
        <f>IF(ISNUMBER($C945),COUNTIFS($A$14:$A$1213,$A945,$C$14:$C$1213,"&gt;"&amp;$C945)+(COUNTIFS($A$14:$A$1213,$A945,$C$14:$C$1213,"="&amp;$C945)+1)/2,"")</f>
        <v/>
      </c>
      <c r="W945" s="27">
        <f>IF(ISNUMBER($F945),COUNTIFS($A$14:$A$1213,$A945,$F$14:$F$1213,"&gt;"&amp;$F945)+(COUNTIFS($A$14:$A$1213,$A945,$F$14:$F$1213,"="&amp;$F945)+1)/2,"")</f>
        <v/>
      </c>
      <c r="X945" s="27">
        <f>IF(OR(NOT(ISNUMBER($V945)),$AO945=1),"",$V945-(COUNTIFS($A$14:$A$1213,$A945,$C$14:$C$1213,"&gt;=0")+1)/2)</f>
        <v/>
      </c>
      <c r="Y945" s="27">
        <f>IF(OR(NOT(ISNUMBER($W945)),$AO945=1),"",$W945-(COUNTIFS($A$14:$A$1213,$A945,$F$14:$F$1213,"&gt;=0")+1)/2)</f>
        <v/>
      </c>
      <c r="Z945" s="27">
        <f>IF(ISNUMBER($V945),$A945&amp;"|"&amp;$V945,"")</f>
        <v/>
      </c>
      <c r="AA945" s="27">
        <f>IF(ISNUMBER($W945),$A945&amp;"|"&amp;$W945,"")</f>
        <v/>
      </c>
      <c r="AB945" s="27">
        <f>IF(ISNUMBER($F945),$A945&amp;"|"&amp;$F945,"")</f>
        <v/>
      </c>
      <c r="AC945" s="27">
        <f>IF(ISNUMBER($P945),COUNTIFS($A$14:$A$1213,$A945,$P$14:$P$1213,"&gt;"&amp;$P945)+(COUNTIFS($A$14:$A$1213,$A945,$P$14:$P$1213,"="&amp;$P945)+1)/2,"")</f>
        <v/>
      </c>
      <c r="AD945" s="27">
        <f>IF(ISNUMBER($Q945),COUNTIFS($A$14:$A$1213,$A945,$Q$14:$Q$1213,"&gt;"&amp;$Q945)+(COUNTIFS($A$14:$A$1213,$A945,$Q$14:$Q$1213,"="&amp;$Q945)+1)/2,"")</f>
        <v/>
      </c>
      <c r="AE945" s="27">
        <f>IF(ISNUMBER($R945),COUNTIFS($A$14:$A$1213,$A945,$R$14:$R$1213,"&gt;"&amp;$R945)+(COUNTIFS($A$14:$A$1213,$A945,$R$14:$R$1213,"="&amp;$R945)+1)/2,"")</f>
        <v/>
      </c>
      <c r="AF945" s="27">
        <f>IF(ISNUMBER($S945),COUNTIFS($A$14:$A$1213,$A945,$S$14:$S$1213,"&gt;"&amp;$S945)+(COUNTIFS($A$14:$A$1213,$A945,$S$14:$S$1213,"="&amp;$S945)+1)/2,"")</f>
        <v/>
      </c>
      <c r="AG945" s="27">
        <f>IF(ISNUMBER($T945),COUNTIFS($A$14:$A$1213,$A945,$T$14:$T$1213,"&gt;"&amp;$T945)+(COUNTIFS($A$14:$A$1213,$A945,$T$14:$T$1213,"="&amp;$T945)+1)/2,"")</f>
        <v/>
      </c>
      <c r="AH945" s="27">
        <f>IF(COUNT($AC945:$AG945)&lt;2,"",IF(MAX($AC945:$AG945)=MIN($AC945:$AG945),0,1))</f>
        <v/>
      </c>
      <c r="AI945" s="27">
        <f>IF($A945="","",IF(COUNTIF($A$14:$A945,$A945)=1,COUNTIF($AI$13:AI944,"&gt;0")+1,""))</f>
        <v/>
      </c>
      <c r="AO945" s="27">
        <f>IF($A945="","",IF(AND(COUNTIFS($A$14:$A$1213,$A945,$F$14:$F$1213,"&gt;=0")=2,IFERROR(INDEX($M$14:$M$313,MATCH($A945,$H$14:$H$313,0)),"Yes")&lt;&gt;"Yes"),1,0))</f>
        <v/>
      </c>
    </row>
    <row r="946">
      <c r="A946" s="19" t="n"/>
      <c r="B946" s="20" t="n"/>
      <c r="C946" s="21">
        <f>IFERROR(AVERAGE(P946:T946),"")</f>
        <v/>
      </c>
      <c r="D946" s="29" t="n"/>
      <c r="E946" s="29" t="n"/>
      <c r="F946" s="30">
        <f>IF(AND(ISNUMBER($D946),ISNUMBER($E946),$E946&gt;0,$D946&lt;=$E946),$D946/$E946,"")</f>
        <v/>
      </c>
      <c r="P946" s="26" t="n"/>
      <c r="Q946" s="26" t="n"/>
      <c r="R946" s="26" t="n"/>
      <c r="S946" s="26" t="n"/>
      <c r="T946" s="26" t="n"/>
      <c r="V946" s="27">
        <f>IF(ISNUMBER($C946),COUNTIFS($A$14:$A$1213,$A946,$C$14:$C$1213,"&gt;"&amp;$C946)+(COUNTIFS($A$14:$A$1213,$A946,$C$14:$C$1213,"="&amp;$C946)+1)/2,"")</f>
        <v/>
      </c>
      <c r="W946" s="27">
        <f>IF(ISNUMBER($F946),COUNTIFS($A$14:$A$1213,$A946,$F$14:$F$1213,"&gt;"&amp;$F946)+(COUNTIFS($A$14:$A$1213,$A946,$F$14:$F$1213,"="&amp;$F946)+1)/2,"")</f>
        <v/>
      </c>
      <c r="X946" s="27">
        <f>IF(OR(NOT(ISNUMBER($V946)),$AO946=1),"",$V946-(COUNTIFS($A$14:$A$1213,$A946,$C$14:$C$1213,"&gt;=0")+1)/2)</f>
        <v/>
      </c>
      <c r="Y946" s="27">
        <f>IF(OR(NOT(ISNUMBER($W946)),$AO946=1),"",$W946-(COUNTIFS($A$14:$A$1213,$A946,$F$14:$F$1213,"&gt;=0")+1)/2)</f>
        <v/>
      </c>
      <c r="Z946" s="27">
        <f>IF(ISNUMBER($V946),$A946&amp;"|"&amp;$V946,"")</f>
        <v/>
      </c>
      <c r="AA946" s="27">
        <f>IF(ISNUMBER($W946),$A946&amp;"|"&amp;$W946,"")</f>
        <v/>
      </c>
      <c r="AB946" s="27">
        <f>IF(ISNUMBER($F946),$A946&amp;"|"&amp;$F946,"")</f>
        <v/>
      </c>
      <c r="AC946" s="27">
        <f>IF(ISNUMBER($P946),COUNTIFS($A$14:$A$1213,$A946,$P$14:$P$1213,"&gt;"&amp;$P946)+(COUNTIFS($A$14:$A$1213,$A946,$P$14:$P$1213,"="&amp;$P946)+1)/2,"")</f>
        <v/>
      </c>
      <c r="AD946" s="27">
        <f>IF(ISNUMBER($Q946),COUNTIFS($A$14:$A$1213,$A946,$Q$14:$Q$1213,"&gt;"&amp;$Q946)+(COUNTIFS($A$14:$A$1213,$A946,$Q$14:$Q$1213,"="&amp;$Q946)+1)/2,"")</f>
        <v/>
      </c>
      <c r="AE946" s="27">
        <f>IF(ISNUMBER($R946),COUNTIFS($A$14:$A$1213,$A946,$R$14:$R$1213,"&gt;"&amp;$R946)+(COUNTIFS($A$14:$A$1213,$A946,$R$14:$R$1213,"="&amp;$R946)+1)/2,"")</f>
        <v/>
      </c>
      <c r="AF946" s="27">
        <f>IF(ISNUMBER($S946),COUNTIFS($A$14:$A$1213,$A946,$S$14:$S$1213,"&gt;"&amp;$S946)+(COUNTIFS($A$14:$A$1213,$A946,$S$14:$S$1213,"="&amp;$S946)+1)/2,"")</f>
        <v/>
      </c>
      <c r="AG946" s="27">
        <f>IF(ISNUMBER($T946),COUNTIFS($A$14:$A$1213,$A946,$T$14:$T$1213,"&gt;"&amp;$T946)+(COUNTIFS($A$14:$A$1213,$A946,$T$14:$T$1213,"="&amp;$T946)+1)/2,"")</f>
        <v/>
      </c>
      <c r="AH946" s="27">
        <f>IF(COUNT($AC946:$AG946)&lt;2,"",IF(MAX($AC946:$AG946)=MIN($AC946:$AG946),0,1))</f>
        <v/>
      </c>
      <c r="AI946" s="27">
        <f>IF($A946="","",IF(COUNTIF($A$14:$A946,$A946)=1,COUNTIF($AI$13:AI945,"&gt;0")+1,""))</f>
        <v/>
      </c>
      <c r="AO946" s="27">
        <f>IF($A946="","",IF(AND(COUNTIFS($A$14:$A$1213,$A946,$F$14:$F$1213,"&gt;=0")=2,IFERROR(INDEX($M$14:$M$313,MATCH($A946,$H$14:$H$313,0)),"Yes")&lt;&gt;"Yes"),1,0))</f>
        <v/>
      </c>
    </row>
    <row r="947">
      <c r="A947" s="19" t="n"/>
      <c r="B947" s="20" t="n"/>
      <c r="C947" s="21">
        <f>IFERROR(AVERAGE(P947:T947),"")</f>
        <v/>
      </c>
      <c r="D947" s="29" t="n"/>
      <c r="E947" s="29" t="n"/>
      <c r="F947" s="30">
        <f>IF(AND(ISNUMBER($D947),ISNUMBER($E947),$E947&gt;0,$D947&lt;=$E947),$D947/$E947,"")</f>
        <v/>
      </c>
      <c r="P947" s="26" t="n"/>
      <c r="Q947" s="26" t="n"/>
      <c r="R947" s="26" t="n"/>
      <c r="S947" s="26" t="n"/>
      <c r="T947" s="26" t="n"/>
      <c r="V947" s="27">
        <f>IF(ISNUMBER($C947),COUNTIFS($A$14:$A$1213,$A947,$C$14:$C$1213,"&gt;"&amp;$C947)+(COUNTIFS($A$14:$A$1213,$A947,$C$14:$C$1213,"="&amp;$C947)+1)/2,"")</f>
        <v/>
      </c>
      <c r="W947" s="27">
        <f>IF(ISNUMBER($F947),COUNTIFS($A$14:$A$1213,$A947,$F$14:$F$1213,"&gt;"&amp;$F947)+(COUNTIFS($A$14:$A$1213,$A947,$F$14:$F$1213,"="&amp;$F947)+1)/2,"")</f>
        <v/>
      </c>
      <c r="X947" s="27">
        <f>IF(OR(NOT(ISNUMBER($V947)),$AO947=1),"",$V947-(COUNTIFS($A$14:$A$1213,$A947,$C$14:$C$1213,"&gt;=0")+1)/2)</f>
        <v/>
      </c>
      <c r="Y947" s="27">
        <f>IF(OR(NOT(ISNUMBER($W947)),$AO947=1),"",$W947-(COUNTIFS($A$14:$A$1213,$A947,$F$14:$F$1213,"&gt;=0")+1)/2)</f>
        <v/>
      </c>
      <c r="Z947" s="27">
        <f>IF(ISNUMBER($V947),$A947&amp;"|"&amp;$V947,"")</f>
        <v/>
      </c>
      <c r="AA947" s="27">
        <f>IF(ISNUMBER($W947),$A947&amp;"|"&amp;$W947,"")</f>
        <v/>
      </c>
      <c r="AB947" s="27">
        <f>IF(ISNUMBER($F947),$A947&amp;"|"&amp;$F947,"")</f>
        <v/>
      </c>
      <c r="AC947" s="27">
        <f>IF(ISNUMBER($P947),COUNTIFS($A$14:$A$1213,$A947,$P$14:$P$1213,"&gt;"&amp;$P947)+(COUNTIFS($A$14:$A$1213,$A947,$P$14:$P$1213,"="&amp;$P947)+1)/2,"")</f>
        <v/>
      </c>
      <c r="AD947" s="27">
        <f>IF(ISNUMBER($Q947),COUNTIFS($A$14:$A$1213,$A947,$Q$14:$Q$1213,"&gt;"&amp;$Q947)+(COUNTIFS($A$14:$A$1213,$A947,$Q$14:$Q$1213,"="&amp;$Q947)+1)/2,"")</f>
        <v/>
      </c>
      <c r="AE947" s="27">
        <f>IF(ISNUMBER($R947),COUNTIFS($A$14:$A$1213,$A947,$R$14:$R$1213,"&gt;"&amp;$R947)+(COUNTIFS($A$14:$A$1213,$A947,$R$14:$R$1213,"="&amp;$R947)+1)/2,"")</f>
        <v/>
      </c>
      <c r="AF947" s="27">
        <f>IF(ISNUMBER($S947),COUNTIFS($A$14:$A$1213,$A947,$S$14:$S$1213,"&gt;"&amp;$S947)+(COUNTIFS($A$14:$A$1213,$A947,$S$14:$S$1213,"="&amp;$S947)+1)/2,"")</f>
        <v/>
      </c>
      <c r="AG947" s="27">
        <f>IF(ISNUMBER($T947),COUNTIFS($A$14:$A$1213,$A947,$T$14:$T$1213,"&gt;"&amp;$T947)+(COUNTIFS($A$14:$A$1213,$A947,$T$14:$T$1213,"="&amp;$T947)+1)/2,"")</f>
        <v/>
      </c>
      <c r="AH947" s="27">
        <f>IF(COUNT($AC947:$AG947)&lt;2,"",IF(MAX($AC947:$AG947)=MIN($AC947:$AG947),0,1))</f>
        <v/>
      </c>
      <c r="AI947" s="27">
        <f>IF($A947="","",IF(COUNTIF($A$14:$A947,$A947)=1,COUNTIF($AI$13:AI946,"&gt;0")+1,""))</f>
        <v/>
      </c>
      <c r="AO947" s="27">
        <f>IF($A947="","",IF(AND(COUNTIFS($A$14:$A$1213,$A947,$F$14:$F$1213,"&gt;=0")=2,IFERROR(INDEX($M$14:$M$313,MATCH($A947,$H$14:$H$313,0)),"Yes")&lt;&gt;"Yes"),1,0))</f>
        <v/>
      </c>
    </row>
    <row r="948">
      <c r="A948" s="19" t="n"/>
      <c r="B948" s="20" t="n"/>
      <c r="C948" s="21">
        <f>IFERROR(AVERAGE(P948:T948),"")</f>
        <v/>
      </c>
      <c r="D948" s="29" t="n"/>
      <c r="E948" s="29" t="n"/>
      <c r="F948" s="30">
        <f>IF(AND(ISNUMBER($D948),ISNUMBER($E948),$E948&gt;0,$D948&lt;=$E948),$D948/$E948,"")</f>
        <v/>
      </c>
      <c r="P948" s="26" t="n"/>
      <c r="Q948" s="26" t="n"/>
      <c r="R948" s="26" t="n"/>
      <c r="S948" s="26" t="n"/>
      <c r="T948" s="26" t="n"/>
      <c r="V948" s="27">
        <f>IF(ISNUMBER($C948),COUNTIFS($A$14:$A$1213,$A948,$C$14:$C$1213,"&gt;"&amp;$C948)+(COUNTIFS($A$14:$A$1213,$A948,$C$14:$C$1213,"="&amp;$C948)+1)/2,"")</f>
        <v/>
      </c>
      <c r="W948" s="27">
        <f>IF(ISNUMBER($F948),COUNTIFS($A$14:$A$1213,$A948,$F$14:$F$1213,"&gt;"&amp;$F948)+(COUNTIFS($A$14:$A$1213,$A948,$F$14:$F$1213,"="&amp;$F948)+1)/2,"")</f>
        <v/>
      </c>
      <c r="X948" s="27">
        <f>IF(OR(NOT(ISNUMBER($V948)),$AO948=1),"",$V948-(COUNTIFS($A$14:$A$1213,$A948,$C$14:$C$1213,"&gt;=0")+1)/2)</f>
        <v/>
      </c>
      <c r="Y948" s="27">
        <f>IF(OR(NOT(ISNUMBER($W948)),$AO948=1),"",$W948-(COUNTIFS($A$14:$A$1213,$A948,$F$14:$F$1213,"&gt;=0")+1)/2)</f>
        <v/>
      </c>
      <c r="Z948" s="27">
        <f>IF(ISNUMBER($V948),$A948&amp;"|"&amp;$V948,"")</f>
        <v/>
      </c>
      <c r="AA948" s="27">
        <f>IF(ISNUMBER($W948),$A948&amp;"|"&amp;$W948,"")</f>
        <v/>
      </c>
      <c r="AB948" s="27">
        <f>IF(ISNUMBER($F948),$A948&amp;"|"&amp;$F948,"")</f>
        <v/>
      </c>
      <c r="AC948" s="27">
        <f>IF(ISNUMBER($P948),COUNTIFS($A$14:$A$1213,$A948,$P$14:$P$1213,"&gt;"&amp;$P948)+(COUNTIFS($A$14:$A$1213,$A948,$P$14:$P$1213,"="&amp;$P948)+1)/2,"")</f>
        <v/>
      </c>
      <c r="AD948" s="27">
        <f>IF(ISNUMBER($Q948),COUNTIFS($A$14:$A$1213,$A948,$Q$14:$Q$1213,"&gt;"&amp;$Q948)+(COUNTIFS($A$14:$A$1213,$A948,$Q$14:$Q$1213,"="&amp;$Q948)+1)/2,"")</f>
        <v/>
      </c>
      <c r="AE948" s="27">
        <f>IF(ISNUMBER($R948),COUNTIFS($A$14:$A$1213,$A948,$R$14:$R$1213,"&gt;"&amp;$R948)+(COUNTIFS($A$14:$A$1213,$A948,$R$14:$R$1213,"="&amp;$R948)+1)/2,"")</f>
        <v/>
      </c>
      <c r="AF948" s="27">
        <f>IF(ISNUMBER($S948),COUNTIFS($A$14:$A$1213,$A948,$S$14:$S$1213,"&gt;"&amp;$S948)+(COUNTIFS($A$14:$A$1213,$A948,$S$14:$S$1213,"="&amp;$S948)+1)/2,"")</f>
        <v/>
      </c>
      <c r="AG948" s="27">
        <f>IF(ISNUMBER($T948),COUNTIFS($A$14:$A$1213,$A948,$T$14:$T$1213,"&gt;"&amp;$T948)+(COUNTIFS($A$14:$A$1213,$A948,$T$14:$T$1213,"="&amp;$T948)+1)/2,"")</f>
        <v/>
      </c>
      <c r="AH948" s="27">
        <f>IF(COUNT($AC948:$AG948)&lt;2,"",IF(MAX($AC948:$AG948)=MIN($AC948:$AG948),0,1))</f>
        <v/>
      </c>
      <c r="AI948" s="27">
        <f>IF($A948="","",IF(COUNTIF($A$14:$A948,$A948)=1,COUNTIF($AI$13:AI947,"&gt;0")+1,""))</f>
        <v/>
      </c>
      <c r="AO948" s="27">
        <f>IF($A948="","",IF(AND(COUNTIFS($A$14:$A$1213,$A948,$F$14:$F$1213,"&gt;=0")=2,IFERROR(INDEX($M$14:$M$313,MATCH($A948,$H$14:$H$313,0)),"Yes")&lt;&gt;"Yes"),1,0))</f>
        <v/>
      </c>
    </row>
    <row r="949">
      <c r="A949" s="19" t="n"/>
      <c r="B949" s="20" t="n"/>
      <c r="C949" s="21">
        <f>IFERROR(AVERAGE(P949:T949),"")</f>
        <v/>
      </c>
      <c r="D949" s="29" t="n"/>
      <c r="E949" s="29" t="n"/>
      <c r="F949" s="30">
        <f>IF(AND(ISNUMBER($D949),ISNUMBER($E949),$E949&gt;0,$D949&lt;=$E949),$D949/$E949,"")</f>
        <v/>
      </c>
      <c r="P949" s="26" t="n"/>
      <c r="Q949" s="26" t="n"/>
      <c r="R949" s="26" t="n"/>
      <c r="S949" s="26" t="n"/>
      <c r="T949" s="26" t="n"/>
      <c r="V949" s="27">
        <f>IF(ISNUMBER($C949),COUNTIFS($A$14:$A$1213,$A949,$C$14:$C$1213,"&gt;"&amp;$C949)+(COUNTIFS($A$14:$A$1213,$A949,$C$14:$C$1213,"="&amp;$C949)+1)/2,"")</f>
        <v/>
      </c>
      <c r="W949" s="27">
        <f>IF(ISNUMBER($F949),COUNTIFS($A$14:$A$1213,$A949,$F$14:$F$1213,"&gt;"&amp;$F949)+(COUNTIFS($A$14:$A$1213,$A949,$F$14:$F$1213,"="&amp;$F949)+1)/2,"")</f>
        <v/>
      </c>
      <c r="X949" s="27">
        <f>IF(OR(NOT(ISNUMBER($V949)),$AO949=1),"",$V949-(COUNTIFS($A$14:$A$1213,$A949,$C$14:$C$1213,"&gt;=0")+1)/2)</f>
        <v/>
      </c>
      <c r="Y949" s="27">
        <f>IF(OR(NOT(ISNUMBER($W949)),$AO949=1),"",$W949-(COUNTIFS($A$14:$A$1213,$A949,$F$14:$F$1213,"&gt;=0")+1)/2)</f>
        <v/>
      </c>
      <c r="Z949" s="27">
        <f>IF(ISNUMBER($V949),$A949&amp;"|"&amp;$V949,"")</f>
        <v/>
      </c>
      <c r="AA949" s="27">
        <f>IF(ISNUMBER($W949),$A949&amp;"|"&amp;$W949,"")</f>
        <v/>
      </c>
      <c r="AB949" s="27">
        <f>IF(ISNUMBER($F949),$A949&amp;"|"&amp;$F949,"")</f>
        <v/>
      </c>
      <c r="AC949" s="27">
        <f>IF(ISNUMBER($P949),COUNTIFS($A$14:$A$1213,$A949,$P$14:$P$1213,"&gt;"&amp;$P949)+(COUNTIFS($A$14:$A$1213,$A949,$P$14:$P$1213,"="&amp;$P949)+1)/2,"")</f>
        <v/>
      </c>
      <c r="AD949" s="27">
        <f>IF(ISNUMBER($Q949),COUNTIFS($A$14:$A$1213,$A949,$Q$14:$Q$1213,"&gt;"&amp;$Q949)+(COUNTIFS($A$14:$A$1213,$A949,$Q$14:$Q$1213,"="&amp;$Q949)+1)/2,"")</f>
        <v/>
      </c>
      <c r="AE949" s="27">
        <f>IF(ISNUMBER($R949),COUNTIFS($A$14:$A$1213,$A949,$R$14:$R$1213,"&gt;"&amp;$R949)+(COUNTIFS($A$14:$A$1213,$A949,$R$14:$R$1213,"="&amp;$R949)+1)/2,"")</f>
        <v/>
      </c>
      <c r="AF949" s="27">
        <f>IF(ISNUMBER($S949),COUNTIFS($A$14:$A$1213,$A949,$S$14:$S$1213,"&gt;"&amp;$S949)+(COUNTIFS($A$14:$A$1213,$A949,$S$14:$S$1213,"="&amp;$S949)+1)/2,"")</f>
        <v/>
      </c>
      <c r="AG949" s="27">
        <f>IF(ISNUMBER($T949),COUNTIFS($A$14:$A$1213,$A949,$T$14:$T$1213,"&gt;"&amp;$T949)+(COUNTIFS($A$14:$A$1213,$A949,$T$14:$T$1213,"="&amp;$T949)+1)/2,"")</f>
        <v/>
      </c>
      <c r="AH949" s="27">
        <f>IF(COUNT($AC949:$AG949)&lt;2,"",IF(MAX($AC949:$AG949)=MIN($AC949:$AG949),0,1))</f>
        <v/>
      </c>
      <c r="AI949" s="27">
        <f>IF($A949="","",IF(COUNTIF($A$14:$A949,$A949)=1,COUNTIF($AI$13:AI948,"&gt;0")+1,""))</f>
        <v/>
      </c>
      <c r="AO949" s="27">
        <f>IF($A949="","",IF(AND(COUNTIFS($A$14:$A$1213,$A949,$F$14:$F$1213,"&gt;=0")=2,IFERROR(INDEX($M$14:$M$313,MATCH($A949,$H$14:$H$313,0)),"Yes")&lt;&gt;"Yes"),1,0))</f>
        <v/>
      </c>
    </row>
    <row r="950">
      <c r="A950" s="19" t="n"/>
      <c r="B950" s="20" t="n"/>
      <c r="C950" s="21">
        <f>IFERROR(AVERAGE(P950:T950),"")</f>
        <v/>
      </c>
      <c r="D950" s="29" t="n"/>
      <c r="E950" s="29" t="n"/>
      <c r="F950" s="30">
        <f>IF(AND(ISNUMBER($D950),ISNUMBER($E950),$E950&gt;0,$D950&lt;=$E950),$D950/$E950,"")</f>
        <v/>
      </c>
      <c r="P950" s="26" t="n"/>
      <c r="Q950" s="26" t="n"/>
      <c r="R950" s="26" t="n"/>
      <c r="S950" s="26" t="n"/>
      <c r="T950" s="26" t="n"/>
      <c r="V950" s="27">
        <f>IF(ISNUMBER($C950),COUNTIFS($A$14:$A$1213,$A950,$C$14:$C$1213,"&gt;"&amp;$C950)+(COUNTIFS($A$14:$A$1213,$A950,$C$14:$C$1213,"="&amp;$C950)+1)/2,"")</f>
        <v/>
      </c>
      <c r="W950" s="27">
        <f>IF(ISNUMBER($F950),COUNTIFS($A$14:$A$1213,$A950,$F$14:$F$1213,"&gt;"&amp;$F950)+(COUNTIFS($A$14:$A$1213,$A950,$F$14:$F$1213,"="&amp;$F950)+1)/2,"")</f>
        <v/>
      </c>
      <c r="X950" s="27">
        <f>IF(OR(NOT(ISNUMBER($V950)),$AO950=1),"",$V950-(COUNTIFS($A$14:$A$1213,$A950,$C$14:$C$1213,"&gt;=0")+1)/2)</f>
        <v/>
      </c>
      <c r="Y950" s="27">
        <f>IF(OR(NOT(ISNUMBER($W950)),$AO950=1),"",$W950-(COUNTIFS($A$14:$A$1213,$A950,$F$14:$F$1213,"&gt;=0")+1)/2)</f>
        <v/>
      </c>
      <c r="Z950" s="27">
        <f>IF(ISNUMBER($V950),$A950&amp;"|"&amp;$V950,"")</f>
        <v/>
      </c>
      <c r="AA950" s="27">
        <f>IF(ISNUMBER($W950),$A950&amp;"|"&amp;$W950,"")</f>
        <v/>
      </c>
      <c r="AB950" s="27">
        <f>IF(ISNUMBER($F950),$A950&amp;"|"&amp;$F950,"")</f>
        <v/>
      </c>
      <c r="AC950" s="27">
        <f>IF(ISNUMBER($P950),COUNTIFS($A$14:$A$1213,$A950,$P$14:$P$1213,"&gt;"&amp;$P950)+(COUNTIFS($A$14:$A$1213,$A950,$P$14:$P$1213,"="&amp;$P950)+1)/2,"")</f>
        <v/>
      </c>
      <c r="AD950" s="27">
        <f>IF(ISNUMBER($Q950),COUNTIFS($A$14:$A$1213,$A950,$Q$14:$Q$1213,"&gt;"&amp;$Q950)+(COUNTIFS($A$14:$A$1213,$A950,$Q$14:$Q$1213,"="&amp;$Q950)+1)/2,"")</f>
        <v/>
      </c>
      <c r="AE950" s="27">
        <f>IF(ISNUMBER($R950),COUNTIFS($A$14:$A$1213,$A950,$R$14:$R$1213,"&gt;"&amp;$R950)+(COUNTIFS($A$14:$A$1213,$A950,$R$14:$R$1213,"="&amp;$R950)+1)/2,"")</f>
        <v/>
      </c>
      <c r="AF950" s="27">
        <f>IF(ISNUMBER($S950),COUNTIFS($A$14:$A$1213,$A950,$S$14:$S$1213,"&gt;"&amp;$S950)+(COUNTIFS($A$14:$A$1213,$A950,$S$14:$S$1213,"="&amp;$S950)+1)/2,"")</f>
        <v/>
      </c>
      <c r="AG950" s="27">
        <f>IF(ISNUMBER($T950),COUNTIFS($A$14:$A$1213,$A950,$T$14:$T$1213,"&gt;"&amp;$T950)+(COUNTIFS($A$14:$A$1213,$A950,$T$14:$T$1213,"="&amp;$T950)+1)/2,"")</f>
        <v/>
      </c>
      <c r="AH950" s="27">
        <f>IF(COUNT($AC950:$AG950)&lt;2,"",IF(MAX($AC950:$AG950)=MIN($AC950:$AG950),0,1))</f>
        <v/>
      </c>
      <c r="AI950" s="27">
        <f>IF($A950="","",IF(COUNTIF($A$14:$A950,$A950)=1,COUNTIF($AI$13:AI949,"&gt;0")+1,""))</f>
        <v/>
      </c>
      <c r="AO950" s="27">
        <f>IF($A950="","",IF(AND(COUNTIFS($A$14:$A$1213,$A950,$F$14:$F$1213,"&gt;=0")=2,IFERROR(INDEX($M$14:$M$313,MATCH($A950,$H$14:$H$313,0)),"Yes")&lt;&gt;"Yes"),1,0))</f>
        <v/>
      </c>
    </row>
    <row r="951">
      <c r="A951" s="19" t="n"/>
      <c r="B951" s="20" t="n"/>
      <c r="C951" s="21">
        <f>IFERROR(AVERAGE(P951:T951),"")</f>
        <v/>
      </c>
      <c r="D951" s="29" t="n"/>
      <c r="E951" s="29" t="n"/>
      <c r="F951" s="30">
        <f>IF(AND(ISNUMBER($D951),ISNUMBER($E951),$E951&gt;0,$D951&lt;=$E951),$D951/$E951,"")</f>
        <v/>
      </c>
      <c r="P951" s="26" t="n"/>
      <c r="Q951" s="26" t="n"/>
      <c r="R951" s="26" t="n"/>
      <c r="S951" s="26" t="n"/>
      <c r="T951" s="26" t="n"/>
      <c r="V951" s="27">
        <f>IF(ISNUMBER($C951),COUNTIFS($A$14:$A$1213,$A951,$C$14:$C$1213,"&gt;"&amp;$C951)+(COUNTIFS($A$14:$A$1213,$A951,$C$14:$C$1213,"="&amp;$C951)+1)/2,"")</f>
        <v/>
      </c>
      <c r="W951" s="27">
        <f>IF(ISNUMBER($F951),COUNTIFS($A$14:$A$1213,$A951,$F$14:$F$1213,"&gt;"&amp;$F951)+(COUNTIFS($A$14:$A$1213,$A951,$F$14:$F$1213,"="&amp;$F951)+1)/2,"")</f>
        <v/>
      </c>
      <c r="X951" s="27">
        <f>IF(OR(NOT(ISNUMBER($V951)),$AO951=1),"",$V951-(COUNTIFS($A$14:$A$1213,$A951,$C$14:$C$1213,"&gt;=0")+1)/2)</f>
        <v/>
      </c>
      <c r="Y951" s="27">
        <f>IF(OR(NOT(ISNUMBER($W951)),$AO951=1),"",$W951-(COUNTIFS($A$14:$A$1213,$A951,$F$14:$F$1213,"&gt;=0")+1)/2)</f>
        <v/>
      </c>
      <c r="Z951" s="27">
        <f>IF(ISNUMBER($V951),$A951&amp;"|"&amp;$V951,"")</f>
        <v/>
      </c>
      <c r="AA951" s="27">
        <f>IF(ISNUMBER($W951),$A951&amp;"|"&amp;$W951,"")</f>
        <v/>
      </c>
      <c r="AB951" s="27">
        <f>IF(ISNUMBER($F951),$A951&amp;"|"&amp;$F951,"")</f>
        <v/>
      </c>
      <c r="AC951" s="27">
        <f>IF(ISNUMBER($P951),COUNTIFS($A$14:$A$1213,$A951,$P$14:$P$1213,"&gt;"&amp;$P951)+(COUNTIFS($A$14:$A$1213,$A951,$P$14:$P$1213,"="&amp;$P951)+1)/2,"")</f>
        <v/>
      </c>
      <c r="AD951" s="27">
        <f>IF(ISNUMBER($Q951),COUNTIFS($A$14:$A$1213,$A951,$Q$14:$Q$1213,"&gt;"&amp;$Q951)+(COUNTIFS($A$14:$A$1213,$A951,$Q$14:$Q$1213,"="&amp;$Q951)+1)/2,"")</f>
        <v/>
      </c>
      <c r="AE951" s="27">
        <f>IF(ISNUMBER($R951),COUNTIFS($A$14:$A$1213,$A951,$R$14:$R$1213,"&gt;"&amp;$R951)+(COUNTIFS($A$14:$A$1213,$A951,$R$14:$R$1213,"="&amp;$R951)+1)/2,"")</f>
        <v/>
      </c>
      <c r="AF951" s="27">
        <f>IF(ISNUMBER($S951),COUNTIFS($A$14:$A$1213,$A951,$S$14:$S$1213,"&gt;"&amp;$S951)+(COUNTIFS($A$14:$A$1213,$A951,$S$14:$S$1213,"="&amp;$S951)+1)/2,"")</f>
        <v/>
      </c>
      <c r="AG951" s="27">
        <f>IF(ISNUMBER($T951),COUNTIFS($A$14:$A$1213,$A951,$T$14:$T$1213,"&gt;"&amp;$T951)+(COUNTIFS($A$14:$A$1213,$A951,$T$14:$T$1213,"="&amp;$T951)+1)/2,"")</f>
        <v/>
      </c>
      <c r="AH951" s="27">
        <f>IF(COUNT($AC951:$AG951)&lt;2,"",IF(MAX($AC951:$AG951)=MIN($AC951:$AG951),0,1))</f>
        <v/>
      </c>
      <c r="AI951" s="27">
        <f>IF($A951="","",IF(COUNTIF($A$14:$A951,$A951)=1,COUNTIF($AI$13:AI950,"&gt;0")+1,""))</f>
        <v/>
      </c>
      <c r="AO951" s="27">
        <f>IF($A951="","",IF(AND(COUNTIFS($A$14:$A$1213,$A951,$F$14:$F$1213,"&gt;=0")=2,IFERROR(INDEX($M$14:$M$313,MATCH($A951,$H$14:$H$313,0)),"Yes")&lt;&gt;"Yes"),1,0))</f>
        <v/>
      </c>
    </row>
    <row r="952">
      <c r="A952" s="19" t="n"/>
      <c r="B952" s="20" t="n"/>
      <c r="C952" s="21">
        <f>IFERROR(AVERAGE(P952:T952),"")</f>
        <v/>
      </c>
      <c r="D952" s="29" t="n"/>
      <c r="E952" s="29" t="n"/>
      <c r="F952" s="30">
        <f>IF(AND(ISNUMBER($D952),ISNUMBER($E952),$E952&gt;0,$D952&lt;=$E952),$D952/$E952,"")</f>
        <v/>
      </c>
      <c r="P952" s="26" t="n"/>
      <c r="Q952" s="26" t="n"/>
      <c r="R952" s="26" t="n"/>
      <c r="S952" s="26" t="n"/>
      <c r="T952" s="26" t="n"/>
      <c r="V952" s="27">
        <f>IF(ISNUMBER($C952),COUNTIFS($A$14:$A$1213,$A952,$C$14:$C$1213,"&gt;"&amp;$C952)+(COUNTIFS($A$14:$A$1213,$A952,$C$14:$C$1213,"="&amp;$C952)+1)/2,"")</f>
        <v/>
      </c>
      <c r="W952" s="27">
        <f>IF(ISNUMBER($F952),COUNTIFS($A$14:$A$1213,$A952,$F$14:$F$1213,"&gt;"&amp;$F952)+(COUNTIFS($A$14:$A$1213,$A952,$F$14:$F$1213,"="&amp;$F952)+1)/2,"")</f>
        <v/>
      </c>
      <c r="X952" s="27">
        <f>IF(OR(NOT(ISNUMBER($V952)),$AO952=1),"",$V952-(COUNTIFS($A$14:$A$1213,$A952,$C$14:$C$1213,"&gt;=0")+1)/2)</f>
        <v/>
      </c>
      <c r="Y952" s="27">
        <f>IF(OR(NOT(ISNUMBER($W952)),$AO952=1),"",$W952-(COUNTIFS($A$14:$A$1213,$A952,$F$14:$F$1213,"&gt;=0")+1)/2)</f>
        <v/>
      </c>
      <c r="Z952" s="27">
        <f>IF(ISNUMBER($V952),$A952&amp;"|"&amp;$V952,"")</f>
        <v/>
      </c>
      <c r="AA952" s="27">
        <f>IF(ISNUMBER($W952),$A952&amp;"|"&amp;$W952,"")</f>
        <v/>
      </c>
      <c r="AB952" s="27">
        <f>IF(ISNUMBER($F952),$A952&amp;"|"&amp;$F952,"")</f>
        <v/>
      </c>
      <c r="AC952" s="27">
        <f>IF(ISNUMBER($P952),COUNTIFS($A$14:$A$1213,$A952,$P$14:$P$1213,"&gt;"&amp;$P952)+(COUNTIFS($A$14:$A$1213,$A952,$P$14:$P$1213,"="&amp;$P952)+1)/2,"")</f>
        <v/>
      </c>
      <c r="AD952" s="27">
        <f>IF(ISNUMBER($Q952),COUNTIFS($A$14:$A$1213,$A952,$Q$14:$Q$1213,"&gt;"&amp;$Q952)+(COUNTIFS($A$14:$A$1213,$A952,$Q$14:$Q$1213,"="&amp;$Q952)+1)/2,"")</f>
        <v/>
      </c>
      <c r="AE952" s="27">
        <f>IF(ISNUMBER($R952),COUNTIFS($A$14:$A$1213,$A952,$R$14:$R$1213,"&gt;"&amp;$R952)+(COUNTIFS($A$14:$A$1213,$A952,$R$14:$R$1213,"="&amp;$R952)+1)/2,"")</f>
        <v/>
      </c>
      <c r="AF952" s="27">
        <f>IF(ISNUMBER($S952),COUNTIFS($A$14:$A$1213,$A952,$S$14:$S$1213,"&gt;"&amp;$S952)+(COUNTIFS($A$14:$A$1213,$A952,$S$14:$S$1213,"="&amp;$S952)+1)/2,"")</f>
        <v/>
      </c>
      <c r="AG952" s="27">
        <f>IF(ISNUMBER($T952),COUNTIFS($A$14:$A$1213,$A952,$T$14:$T$1213,"&gt;"&amp;$T952)+(COUNTIFS($A$14:$A$1213,$A952,$T$14:$T$1213,"="&amp;$T952)+1)/2,"")</f>
        <v/>
      </c>
      <c r="AH952" s="27">
        <f>IF(COUNT($AC952:$AG952)&lt;2,"",IF(MAX($AC952:$AG952)=MIN($AC952:$AG952),0,1))</f>
        <v/>
      </c>
      <c r="AI952" s="27">
        <f>IF($A952="","",IF(COUNTIF($A$14:$A952,$A952)=1,COUNTIF($AI$13:AI951,"&gt;0")+1,""))</f>
        <v/>
      </c>
      <c r="AO952" s="27">
        <f>IF($A952="","",IF(AND(COUNTIFS($A$14:$A$1213,$A952,$F$14:$F$1213,"&gt;=0")=2,IFERROR(INDEX($M$14:$M$313,MATCH($A952,$H$14:$H$313,0)),"Yes")&lt;&gt;"Yes"),1,0))</f>
        <v/>
      </c>
    </row>
    <row r="953">
      <c r="A953" s="19" t="n"/>
      <c r="B953" s="20" t="n"/>
      <c r="C953" s="21">
        <f>IFERROR(AVERAGE(P953:T953),"")</f>
        <v/>
      </c>
      <c r="D953" s="29" t="n"/>
      <c r="E953" s="29" t="n"/>
      <c r="F953" s="30">
        <f>IF(AND(ISNUMBER($D953),ISNUMBER($E953),$E953&gt;0,$D953&lt;=$E953),$D953/$E953,"")</f>
        <v/>
      </c>
      <c r="P953" s="26" t="n"/>
      <c r="Q953" s="26" t="n"/>
      <c r="R953" s="26" t="n"/>
      <c r="S953" s="26" t="n"/>
      <c r="T953" s="26" t="n"/>
      <c r="V953" s="27">
        <f>IF(ISNUMBER($C953),COUNTIFS($A$14:$A$1213,$A953,$C$14:$C$1213,"&gt;"&amp;$C953)+(COUNTIFS($A$14:$A$1213,$A953,$C$14:$C$1213,"="&amp;$C953)+1)/2,"")</f>
        <v/>
      </c>
      <c r="W953" s="27">
        <f>IF(ISNUMBER($F953),COUNTIFS($A$14:$A$1213,$A953,$F$14:$F$1213,"&gt;"&amp;$F953)+(COUNTIFS($A$14:$A$1213,$A953,$F$14:$F$1213,"="&amp;$F953)+1)/2,"")</f>
        <v/>
      </c>
      <c r="X953" s="27">
        <f>IF(OR(NOT(ISNUMBER($V953)),$AO953=1),"",$V953-(COUNTIFS($A$14:$A$1213,$A953,$C$14:$C$1213,"&gt;=0")+1)/2)</f>
        <v/>
      </c>
      <c r="Y953" s="27">
        <f>IF(OR(NOT(ISNUMBER($W953)),$AO953=1),"",$W953-(COUNTIFS($A$14:$A$1213,$A953,$F$14:$F$1213,"&gt;=0")+1)/2)</f>
        <v/>
      </c>
      <c r="Z953" s="27">
        <f>IF(ISNUMBER($V953),$A953&amp;"|"&amp;$V953,"")</f>
        <v/>
      </c>
      <c r="AA953" s="27">
        <f>IF(ISNUMBER($W953),$A953&amp;"|"&amp;$W953,"")</f>
        <v/>
      </c>
      <c r="AB953" s="27">
        <f>IF(ISNUMBER($F953),$A953&amp;"|"&amp;$F953,"")</f>
        <v/>
      </c>
      <c r="AC953" s="27">
        <f>IF(ISNUMBER($P953),COUNTIFS($A$14:$A$1213,$A953,$P$14:$P$1213,"&gt;"&amp;$P953)+(COUNTIFS($A$14:$A$1213,$A953,$P$14:$P$1213,"="&amp;$P953)+1)/2,"")</f>
        <v/>
      </c>
      <c r="AD953" s="27">
        <f>IF(ISNUMBER($Q953),COUNTIFS($A$14:$A$1213,$A953,$Q$14:$Q$1213,"&gt;"&amp;$Q953)+(COUNTIFS($A$14:$A$1213,$A953,$Q$14:$Q$1213,"="&amp;$Q953)+1)/2,"")</f>
        <v/>
      </c>
      <c r="AE953" s="27">
        <f>IF(ISNUMBER($R953),COUNTIFS($A$14:$A$1213,$A953,$R$14:$R$1213,"&gt;"&amp;$R953)+(COUNTIFS($A$14:$A$1213,$A953,$R$14:$R$1213,"="&amp;$R953)+1)/2,"")</f>
        <v/>
      </c>
      <c r="AF953" s="27">
        <f>IF(ISNUMBER($S953),COUNTIFS($A$14:$A$1213,$A953,$S$14:$S$1213,"&gt;"&amp;$S953)+(COUNTIFS($A$14:$A$1213,$A953,$S$14:$S$1213,"="&amp;$S953)+1)/2,"")</f>
        <v/>
      </c>
      <c r="AG953" s="27">
        <f>IF(ISNUMBER($T953),COUNTIFS($A$14:$A$1213,$A953,$T$14:$T$1213,"&gt;"&amp;$T953)+(COUNTIFS($A$14:$A$1213,$A953,$T$14:$T$1213,"="&amp;$T953)+1)/2,"")</f>
        <v/>
      </c>
      <c r="AH953" s="27">
        <f>IF(COUNT($AC953:$AG953)&lt;2,"",IF(MAX($AC953:$AG953)=MIN($AC953:$AG953),0,1))</f>
        <v/>
      </c>
      <c r="AI953" s="27">
        <f>IF($A953="","",IF(COUNTIF($A$14:$A953,$A953)=1,COUNTIF($AI$13:AI952,"&gt;0")+1,""))</f>
        <v/>
      </c>
      <c r="AO953" s="27">
        <f>IF($A953="","",IF(AND(COUNTIFS($A$14:$A$1213,$A953,$F$14:$F$1213,"&gt;=0")=2,IFERROR(INDEX($M$14:$M$313,MATCH($A953,$H$14:$H$313,0)),"Yes")&lt;&gt;"Yes"),1,0))</f>
        <v/>
      </c>
    </row>
    <row r="954">
      <c r="A954" s="19" t="n"/>
      <c r="B954" s="20" t="n"/>
      <c r="C954" s="21">
        <f>IFERROR(AVERAGE(P954:T954),"")</f>
        <v/>
      </c>
      <c r="D954" s="29" t="n"/>
      <c r="E954" s="29" t="n"/>
      <c r="F954" s="30">
        <f>IF(AND(ISNUMBER($D954),ISNUMBER($E954),$E954&gt;0,$D954&lt;=$E954),$D954/$E954,"")</f>
        <v/>
      </c>
      <c r="P954" s="26" t="n"/>
      <c r="Q954" s="26" t="n"/>
      <c r="R954" s="26" t="n"/>
      <c r="S954" s="26" t="n"/>
      <c r="T954" s="26" t="n"/>
      <c r="V954" s="27">
        <f>IF(ISNUMBER($C954),COUNTIFS($A$14:$A$1213,$A954,$C$14:$C$1213,"&gt;"&amp;$C954)+(COUNTIFS($A$14:$A$1213,$A954,$C$14:$C$1213,"="&amp;$C954)+1)/2,"")</f>
        <v/>
      </c>
      <c r="W954" s="27">
        <f>IF(ISNUMBER($F954),COUNTIFS($A$14:$A$1213,$A954,$F$14:$F$1213,"&gt;"&amp;$F954)+(COUNTIFS($A$14:$A$1213,$A954,$F$14:$F$1213,"="&amp;$F954)+1)/2,"")</f>
        <v/>
      </c>
      <c r="X954" s="27">
        <f>IF(OR(NOT(ISNUMBER($V954)),$AO954=1),"",$V954-(COUNTIFS($A$14:$A$1213,$A954,$C$14:$C$1213,"&gt;=0")+1)/2)</f>
        <v/>
      </c>
      <c r="Y954" s="27">
        <f>IF(OR(NOT(ISNUMBER($W954)),$AO954=1),"",$W954-(COUNTIFS($A$14:$A$1213,$A954,$F$14:$F$1213,"&gt;=0")+1)/2)</f>
        <v/>
      </c>
      <c r="Z954" s="27">
        <f>IF(ISNUMBER($V954),$A954&amp;"|"&amp;$V954,"")</f>
        <v/>
      </c>
      <c r="AA954" s="27">
        <f>IF(ISNUMBER($W954),$A954&amp;"|"&amp;$W954,"")</f>
        <v/>
      </c>
      <c r="AB954" s="27">
        <f>IF(ISNUMBER($F954),$A954&amp;"|"&amp;$F954,"")</f>
        <v/>
      </c>
      <c r="AC954" s="27">
        <f>IF(ISNUMBER($P954),COUNTIFS($A$14:$A$1213,$A954,$P$14:$P$1213,"&gt;"&amp;$P954)+(COUNTIFS($A$14:$A$1213,$A954,$P$14:$P$1213,"="&amp;$P954)+1)/2,"")</f>
        <v/>
      </c>
      <c r="AD954" s="27">
        <f>IF(ISNUMBER($Q954),COUNTIFS($A$14:$A$1213,$A954,$Q$14:$Q$1213,"&gt;"&amp;$Q954)+(COUNTIFS($A$14:$A$1213,$A954,$Q$14:$Q$1213,"="&amp;$Q954)+1)/2,"")</f>
        <v/>
      </c>
      <c r="AE954" s="27">
        <f>IF(ISNUMBER($R954),COUNTIFS($A$14:$A$1213,$A954,$R$14:$R$1213,"&gt;"&amp;$R954)+(COUNTIFS($A$14:$A$1213,$A954,$R$14:$R$1213,"="&amp;$R954)+1)/2,"")</f>
        <v/>
      </c>
      <c r="AF954" s="27">
        <f>IF(ISNUMBER($S954),COUNTIFS($A$14:$A$1213,$A954,$S$14:$S$1213,"&gt;"&amp;$S954)+(COUNTIFS($A$14:$A$1213,$A954,$S$14:$S$1213,"="&amp;$S954)+1)/2,"")</f>
        <v/>
      </c>
      <c r="AG954" s="27">
        <f>IF(ISNUMBER($T954),COUNTIFS($A$14:$A$1213,$A954,$T$14:$T$1213,"&gt;"&amp;$T954)+(COUNTIFS($A$14:$A$1213,$A954,$T$14:$T$1213,"="&amp;$T954)+1)/2,"")</f>
        <v/>
      </c>
      <c r="AH954" s="27">
        <f>IF(COUNT($AC954:$AG954)&lt;2,"",IF(MAX($AC954:$AG954)=MIN($AC954:$AG954),0,1))</f>
        <v/>
      </c>
      <c r="AI954" s="27">
        <f>IF($A954="","",IF(COUNTIF($A$14:$A954,$A954)=1,COUNTIF($AI$13:AI953,"&gt;0")+1,""))</f>
        <v/>
      </c>
      <c r="AO954" s="27">
        <f>IF($A954="","",IF(AND(COUNTIFS($A$14:$A$1213,$A954,$F$14:$F$1213,"&gt;=0")=2,IFERROR(INDEX($M$14:$M$313,MATCH($A954,$H$14:$H$313,0)),"Yes")&lt;&gt;"Yes"),1,0))</f>
        <v/>
      </c>
    </row>
    <row r="955">
      <c r="A955" s="19" t="n"/>
      <c r="B955" s="20" t="n"/>
      <c r="C955" s="21">
        <f>IFERROR(AVERAGE(P955:T955),"")</f>
        <v/>
      </c>
      <c r="D955" s="29" t="n"/>
      <c r="E955" s="29" t="n"/>
      <c r="F955" s="30">
        <f>IF(AND(ISNUMBER($D955),ISNUMBER($E955),$E955&gt;0,$D955&lt;=$E955),$D955/$E955,"")</f>
        <v/>
      </c>
      <c r="P955" s="26" t="n"/>
      <c r="Q955" s="26" t="n"/>
      <c r="R955" s="26" t="n"/>
      <c r="S955" s="26" t="n"/>
      <c r="T955" s="26" t="n"/>
      <c r="V955" s="27">
        <f>IF(ISNUMBER($C955),COUNTIFS($A$14:$A$1213,$A955,$C$14:$C$1213,"&gt;"&amp;$C955)+(COUNTIFS($A$14:$A$1213,$A955,$C$14:$C$1213,"="&amp;$C955)+1)/2,"")</f>
        <v/>
      </c>
      <c r="W955" s="27">
        <f>IF(ISNUMBER($F955),COUNTIFS($A$14:$A$1213,$A955,$F$14:$F$1213,"&gt;"&amp;$F955)+(COUNTIFS($A$14:$A$1213,$A955,$F$14:$F$1213,"="&amp;$F955)+1)/2,"")</f>
        <v/>
      </c>
      <c r="X955" s="27">
        <f>IF(OR(NOT(ISNUMBER($V955)),$AO955=1),"",$V955-(COUNTIFS($A$14:$A$1213,$A955,$C$14:$C$1213,"&gt;=0")+1)/2)</f>
        <v/>
      </c>
      <c r="Y955" s="27">
        <f>IF(OR(NOT(ISNUMBER($W955)),$AO955=1),"",$W955-(COUNTIFS($A$14:$A$1213,$A955,$F$14:$F$1213,"&gt;=0")+1)/2)</f>
        <v/>
      </c>
      <c r="Z955" s="27">
        <f>IF(ISNUMBER($V955),$A955&amp;"|"&amp;$V955,"")</f>
        <v/>
      </c>
      <c r="AA955" s="27">
        <f>IF(ISNUMBER($W955),$A955&amp;"|"&amp;$W955,"")</f>
        <v/>
      </c>
      <c r="AB955" s="27">
        <f>IF(ISNUMBER($F955),$A955&amp;"|"&amp;$F955,"")</f>
        <v/>
      </c>
      <c r="AC955" s="27">
        <f>IF(ISNUMBER($P955),COUNTIFS($A$14:$A$1213,$A955,$P$14:$P$1213,"&gt;"&amp;$P955)+(COUNTIFS($A$14:$A$1213,$A955,$P$14:$P$1213,"="&amp;$P955)+1)/2,"")</f>
        <v/>
      </c>
      <c r="AD955" s="27">
        <f>IF(ISNUMBER($Q955),COUNTIFS($A$14:$A$1213,$A955,$Q$14:$Q$1213,"&gt;"&amp;$Q955)+(COUNTIFS($A$14:$A$1213,$A955,$Q$14:$Q$1213,"="&amp;$Q955)+1)/2,"")</f>
        <v/>
      </c>
      <c r="AE955" s="27">
        <f>IF(ISNUMBER($R955),COUNTIFS($A$14:$A$1213,$A955,$R$14:$R$1213,"&gt;"&amp;$R955)+(COUNTIFS($A$14:$A$1213,$A955,$R$14:$R$1213,"="&amp;$R955)+1)/2,"")</f>
        <v/>
      </c>
      <c r="AF955" s="27">
        <f>IF(ISNUMBER($S955),COUNTIFS($A$14:$A$1213,$A955,$S$14:$S$1213,"&gt;"&amp;$S955)+(COUNTIFS($A$14:$A$1213,$A955,$S$14:$S$1213,"="&amp;$S955)+1)/2,"")</f>
        <v/>
      </c>
      <c r="AG955" s="27">
        <f>IF(ISNUMBER($T955),COUNTIFS($A$14:$A$1213,$A955,$T$14:$T$1213,"&gt;"&amp;$T955)+(COUNTIFS($A$14:$A$1213,$A955,$T$14:$T$1213,"="&amp;$T955)+1)/2,"")</f>
        <v/>
      </c>
      <c r="AH955" s="27">
        <f>IF(COUNT($AC955:$AG955)&lt;2,"",IF(MAX($AC955:$AG955)=MIN($AC955:$AG955),0,1))</f>
        <v/>
      </c>
      <c r="AI955" s="27">
        <f>IF($A955="","",IF(COUNTIF($A$14:$A955,$A955)=1,COUNTIF($AI$13:AI954,"&gt;0")+1,""))</f>
        <v/>
      </c>
      <c r="AO955" s="27">
        <f>IF($A955="","",IF(AND(COUNTIFS($A$14:$A$1213,$A955,$F$14:$F$1213,"&gt;=0")=2,IFERROR(INDEX($M$14:$M$313,MATCH($A955,$H$14:$H$313,0)),"Yes")&lt;&gt;"Yes"),1,0))</f>
        <v/>
      </c>
    </row>
    <row r="956">
      <c r="A956" s="19" t="n"/>
      <c r="B956" s="20" t="n"/>
      <c r="C956" s="21">
        <f>IFERROR(AVERAGE(P956:T956),"")</f>
        <v/>
      </c>
      <c r="D956" s="29" t="n"/>
      <c r="E956" s="29" t="n"/>
      <c r="F956" s="30">
        <f>IF(AND(ISNUMBER($D956),ISNUMBER($E956),$E956&gt;0,$D956&lt;=$E956),$D956/$E956,"")</f>
        <v/>
      </c>
      <c r="P956" s="26" t="n"/>
      <c r="Q956" s="26" t="n"/>
      <c r="R956" s="26" t="n"/>
      <c r="S956" s="26" t="n"/>
      <c r="T956" s="26" t="n"/>
      <c r="V956" s="27">
        <f>IF(ISNUMBER($C956),COUNTIFS($A$14:$A$1213,$A956,$C$14:$C$1213,"&gt;"&amp;$C956)+(COUNTIFS($A$14:$A$1213,$A956,$C$14:$C$1213,"="&amp;$C956)+1)/2,"")</f>
        <v/>
      </c>
      <c r="W956" s="27">
        <f>IF(ISNUMBER($F956),COUNTIFS($A$14:$A$1213,$A956,$F$14:$F$1213,"&gt;"&amp;$F956)+(COUNTIFS($A$14:$A$1213,$A956,$F$14:$F$1213,"="&amp;$F956)+1)/2,"")</f>
        <v/>
      </c>
      <c r="X956" s="27">
        <f>IF(OR(NOT(ISNUMBER($V956)),$AO956=1),"",$V956-(COUNTIFS($A$14:$A$1213,$A956,$C$14:$C$1213,"&gt;=0")+1)/2)</f>
        <v/>
      </c>
      <c r="Y956" s="27">
        <f>IF(OR(NOT(ISNUMBER($W956)),$AO956=1),"",$W956-(COUNTIFS($A$14:$A$1213,$A956,$F$14:$F$1213,"&gt;=0")+1)/2)</f>
        <v/>
      </c>
      <c r="Z956" s="27">
        <f>IF(ISNUMBER($V956),$A956&amp;"|"&amp;$V956,"")</f>
        <v/>
      </c>
      <c r="AA956" s="27">
        <f>IF(ISNUMBER($W956),$A956&amp;"|"&amp;$W956,"")</f>
        <v/>
      </c>
      <c r="AB956" s="27">
        <f>IF(ISNUMBER($F956),$A956&amp;"|"&amp;$F956,"")</f>
        <v/>
      </c>
      <c r="AC956" s="27">
        <f>IF(ISNUMBER($P956),COUNTIFS($A$14:$A$1213,$A956,$P$14:$P$1213,"&gt;"&amp;$P956)+(COUNTIFS($A$14:$A$1213,$A956,$P$14:$P$1213,"="&amp;$P956)+1)/2,"")</f>
        <v/>
      </c>
      <c r="AD956" s="27">
        <f>IF(ISNUMBER($Q956),COUNTIFS($A$14:$A$1213,$A956,$Q$14:$Q$1213,"&gt;"&amp;$Q956)+(COUNTIFS($A$14:$A$1213,$A956,$Q$14:$Q$1213,"="&amp;$Q956)+1)/2,"")</f>
        <v/>
      </c>
      <c r="AE956" s="27">
        <f>IF(ISNUMBER($R956),COUNTIFS($A$14:$A$1213,$A956,$R$14:$R$1213,"&gt;"&amp;$R956)+(COUNTIFS($A$14:$A$1213,$A956,$R$14:$R$1213,"="&amp;$R956)+1)/2,"")</f>
        <v/>
      </c>
      <c r="AF956" s="27">
        <f>IF(ISNUMBER($S956),COUNTIFS($A$14:$A$1213,$A956,$S$14:$S$1213,"&gt;"&amp;$S956)+(COUNTIFS($A$14:$A$1213,$A956,$S$14:$S$1213,"="&amp;$S956)+1)/2,"")</f>
        <v/>
      </c>
      <c r="AG956" s="27">
        <f>IF(ISNUMBER($T956),COUNTIFS($A$14:$A$1213,$A956,$T$14:$T$1213,"&gt;"&amp;$T956)+(COUNTIFS($A$14:$A$1213,$A956,$T$14:$T$1213,"="&amp;$T956)+1)/2,"")</f>
        <v/>
      </c>
      <c r="AH956" s="27">
        <f>IF(COUNT($AC956:$AG956)&lt;2,"",IF(MAX($AC956:$AG956)=MIN($AC956:$AG956),0,1))</f>
        <v/>
      </c>
      <c r="AI956" s="27">
        <f>IF($A956="","",IF(COUNTIF($A$14:$A956,$A956)=1,COUNTIF($AI$13:AI955,"&gt;0")+1,""))</f>
        <v/>
      </c>
      <c r="AO956" s="27">
        <f>IF($A956="","",IF(AND(COUNTIFS($A$14:$A$1213,$A956,$F$14:$F$1213,"&gt;=0")=2,IFERROR(INDEX($M$14:$M$313,MATCH($A956,$H$14:$H$313,0)),"Yes")&lt;&gt;"Yes"),1,0))</f>
        <v/>
      </c>
    </row>
    <row r="957">
      <c r="A957" s="19" t="n"/>
      <c r="B957" s="20" t="n"/>
      <c r="C957" s="21">
        <f>IFERROR(AVERAGE(P957:T957),"")</f>
        <v/>
      </c>
      <c r="D957" s="29" t="n"/>
      <c r="E957" s="29" t="n"/>
      <c r="F957" s="30">
        <f>IF(AND(ISNUMBER($D957),ISNUMBER($E957),$E957&gt;0,$D957&lt;=$E957),$D957/$E957,"")</f>
        <v/>
      </c>
      <c r="P957" s="26" t="n"/>
      <c r="Q957" s="26" t="n"/>
      <c r="R957" s="26" t="n"/>
      <c r="S957" s="26" t="n"/>
      <c r="T957" s="26" t="n"/>
      <c r="V957" s="27">
        <f>IF(ISNUMBER($C957),COUNTIFS($A$14:$A$1213,$A957,$C$14:$C$1213,"&gt;"&amp;$C957)+(COUNTIFS($A$14:$A$1213,$A957,$C$14:$C$1213,"="&amp;$C957)+1)/2,"")</f>
        <v/>
      </c>
      <c r="W957" s="27">
        <f>IF(ISNUMBER($F957),COUNTIFS($A$14:$A$1213,$A957,$F$14:$F$1213,"&gt;"&amp;$F957)+(COUNTIFS($A$14:$A$1213,$A957,$F$14:$F$1213,"="&amp;$F957)+1)/2,"")</f>
        <v/>
      </c>
      <c r="X957" s="27">
        <f>IF(OR(NOT(ISNUMBER($V957)),$AO957=1),"",$V957-(COUNTIFS($A$14:$A$1213,$A957,$C$14:$C$1213,"&gt;=0")+1)/2)</f>
        <v/>
      </c>
      <c r="Y957" s="27">
        <f>IF(OR(NOT(ISNUMBER($W957)),$AO957=1),"",$W957-(COUNTIFS($A$14:$A$1213,$A957,$F$14:$F$1213,"&gt;=0")+1)/2)</f>
        <v/>
      </c>
      <c r="Z957" s="27">
        <f>IF(ISNUMBER($V957),$A957&amp;"|"&amp;$V957,"")</f>
        <v/>
      </c>
      <c r="AA957" s="27">
        <f>IF(ISNUMBER($W957),$A957&amp;"|"&amp;$W957,"")</f>
        <v/>
      </c>
      <c r="AB957" s="27">
        <f>IF(ISNUMBER($F957),$A957&amp;"|"&amp;$F957,"")</f>
        <v/>
      </c>
      <c r="AC957" s="27">
        <f>IF(ISNUMBER($P957),COUNTIFS($A$14:$A$1213,$A957,$P$14:$P$1213,"&gt;"&amp;$P957)+(COUNTIFS($A$14:$A$1213,$A957,$P$14:$P$1213,"="&amp;$P957)+1)/2,"")</f>
        <v/>
      </c>
      <c r="AD957" s="27">
        <f>IF(ISNUMBER($Q957),COUNTIFS($A$14:$A$1213,$A957,$Q$14:$Q$1213,"&gt;"&amp;$Q957)+(COUNTIFS($A$14:$A$1213,$A957,$Q$14:$Q$1213,"="&amp;$Q957)+1)/2,"")</f>
        <v/>
      </c>
      <c r="AE957" s="27">
        <f>IF(ISNUMBER($R957),COUNTIFS($A$14:$A$1213,$A957,$R$14:$R$1213,"&gt;"&amp;$R957)+(COUNTIFS($A$14:$A$1213,$A957,$R$14:$R$1213,"="&amp;$R957)+1)/2,"")</f>
        <v/>
      </c>
      <c r="AF957" s="27">
        <f>IF(ISNUMBER($S957),COUNTIFS($A$14:$A$1213,$A957,$S$14:$S$1213,"&gt;"&amp;$S957)+(COUNTIFS($A$14:$A$1213,$A957,$S$14:$S$1213,"="&amp;$S957)+1)/2,"")</f>
        <v/>
      </c>
      <c r="AG957" s="27">
        <f>IF(ISNUMBER($T957),COUNTIFS($A$14:$A$1213,$A957,$T$14:$T$1213,"&gt;"&amp;$T957)+(COUNTIFS($A$14:$A$1213,$A957,$T$14:$T$1213,"="&amp;$T957)+1)/2,"")</f>
        <v/>
      </c>
      <c r="AH957" s="27">
        <f>IF(COUNT($AC957:$AG957)&lt;2,"",IF(MAX($AC957:$AG957)=MIN($AC957:$AG957),0,1))</f>
        <v/>
      </c>
      <c r="AI957" s="27">
        <f>IF($A957="","",IF(COUNTIF($A$14:$A957,$A957)=1,COUNTIF($AI$13:AI956,"&gt;0")+1,""))</f>
        <v/>
      </c>
      <c r="AO957" s="27">
        <f>IF($A957="","",IF(AND(COUNTIFS($A$14:$A$1213,$A957,$F$14:$F$1213,"&gt;=0")=2,IFERROR(INDEX($M$14:$M$313,MATCH($A957,$H$14:$H$313,0)),"Yes")&lt;&gt;"Yes"),1,0))</f>
        <v/>
      </c>
    </row>
    <row r="958">
      <c r="A958" s="19" t="n"/>
      <c r="B958" s="20" t="n"/>
      <c r="C958" s="21">
        <f>IFERROR(AVERAGE(P958:T958),"")</f>
        <v/>
      </c>
      <c r="D958" s="29" t="n"/>
      <c r="E958" s="29" t="n"/>
      <c r="F958" s="30">
        <f>IF(AND(ISNUMBER($D958),ISNUMBER($E958),$E958&gt;0,$D958&lt;=$E958),$D958/$E958,"")</f>
        <v/>
      </c>
      <c r="P958" s="26" t="n"/>
      <c r="Q958" s="26" t="n"/>
      <c r="R958" s="26" t="n"/>
      <c r="S958" s="26" t="n"/>
      <c r="T958" s="26" t="n"/>
      <c r="V958" s="27">
        <f>IF(ISNUMBER($C958),COUNTIFS($A$14:$A$1213,$A958,$C$14:$C$1213,"&gt;"&amp;$C958)+(COUNTIFS($A$14:$A$1213,$A958,$C$14:$C$1213,"="&amp;$C958)+1)/2,"")</f>
        <v/>
      </c>
      <c r="W958" s="27">
        <f>IF(ISNUMBER($F958),COUNTIFS($A$14:$A$1213,$A958,$F$14:$F$1213,"&gt;"&amp;$F958)+(COUNTIFS($A$14:$A$1213,$A958,$F$14:$F$1213,"="&amp;$F958)+1)/2,"")</f>
        <v/>
      </c>
      <c r="X958" s="27">
        <f>IF(OR(NOT(ISNUMBER($V958)),$AO958=1),"",$V958-(COUNTIFS($A$14:$A$1213,$A958,$C$14:$C$1213,"&gt;=0")+1)/2)</f>
        <v/>
      </c>
      <c r="Y958" s="27">
        <f>IF(OR(NOT(ISNUMBER($W958)),$AO958=1),"",$W958-(COUNTIFS($A$14:$A$1213,$A958,$F$14:$F$1213,"&gt;=0")+1)/2)</f>
        <v/>
      </c>
      <c r="Z958" s="27">
        <f>IF(ISNUMBER($V958),$A958&amp;"|"&amp;$V958,"")</f>
        <v/>
      </c>
      <c r="AA958" s="27">
        <f>IF(ISNUMBER($W958),$A958&amp;"|"&amp;$W958,"")</f>
        <v/>
      </c>
      <c r="AB958" s="27">
        <f>IF(ISNUMBER($F958),$A958&amp;"|"&amp;$F958,"")</f>
        <v/>
      </c>
      <c r="AC958" s="27">
        <f>IF(ISNUMBER($P958),COUNTIFS($A$14:$A$1213,$A958,$P$14:$P$1213,"&gt;"&amp;$P958)+(COUNTIFS($A$14:$A$1213,$A958,$P$14:$P$1213,"="&amp;$P958)+1)/2,"")</f>
        <v/>
      </c>
      <c r="AD958" s="27">
        <f>IF(ISNUMBER($Q958),COUNTIFS($A$14:$A$1213,$A958,$Q$14:$Q$1213,"&gt;"&amp;$Q958)+(COUNTIFS($A$14:$A$1213,$A958,$Q$14:$Q$1213,"="&amp;$Q958)+1)/2,"")</f>
        <v/>
      </c>
      <c r="AE958" s="27">
        <f>IF(ISNUMBER($R958),COUNTIFS($A$14:$A$1213,$A958,$R$14:$R$1213,"&gt;"&amp;$R958)+(COUNTIFS($A$14:$A$1213,$A958,$R$14:$R$1213,"="&amp;$R958)+1)/2,"")</f>
        <v/>
      </c>
      <c r="AF958" s="27">
        <f>IF(ISNUMBER($S958),COUNTIFS($A$14:$A$1213,$A958,$S$14:$S$1213,"&gt;"&amp;$S958)+(COUNTIFS($A$14:$A$1213,$A958,$S$14:$S$1213,"="&amp;$S958)+1)/2,"")</f>
        <v/>
      </c>
      <c r="AG958" s="27">
        <f>IF(ISNUMBER($T958),COUNTIFS($A$14:$A$1213,$A958,$T$14:$T$1213,"&gt;"&amp;$T958)+(COUNTIFS($A$14:$A$1213,$A958,$T$14:$T$1213,"="&amp;$T958)+1)/2,"")</f>
        <v/>
      </c>
      <c r="AH958" s="27">
        <f>IF(COUNT($AC958:$AG958)&lt;2,"",IF(MAX($AC958:$AG958)=MIN($AC958:$AG958),0,1))</f>
        <v/>
      </c>
      <c r="AI958" s="27">
        <f>IF($A958="","",IF(COUNTIF($A$14:$A958,$A958)=1,COUNTIF($AI$13:AI957,"&gt;0")+1,""))</f>
        <v/>
      </c>
      <c r="AO958" s="27">
        <f>IF($A958="","",IF(AND(COUNTIFS($A$14:$A$1213,$A958,$F$14:$F$1213,"&gt;=0")=2,IFERROR(INDEX($M$14:$M$313,MATCH($A958,$H$14:$H$313,0)),"Yes")&lt;&gt;"Yes"),1,0))</f>
        <v/>
      </c>
    </row>
    <row r="959">
      <c r="A959" s="19" t="n"/>
      <c r="B959" s="20" t="n"/>
      <c r="C959" s="21">
        <f>IFERROR(AVERAGE(P959:T959),"")</f>
        <v/>
      </c>
      <c r="D959" s="29" t="n"/>
      <c r="E959" s="29" t="n"/>
      <c r="F959" s="30">
        <f>IF(AND(ISNUMBER($D959),ISNUMBER($E959),$E959&gt;0,$D959&lt;=$E959),$D959/$E959,"")</f>
        <v/>
      </c>
      <c r="P959" s="26" t="n"/>
      <c r="Q959" s="26" t="n"/>
      <c r="R959" s="26" t="n"/>
      <c r="S959" s="26" t="n"/>
      <c r="T959" s="26" t="n"/>
      <c r="V959" s="27">
        <f>IF(ISNUMBER($C959),COUNTIFS($A$14:$A$1213,$A959,$C$14:$C$1213,"&gt;"&amp;$C959)+(COUNTIFS($A$14:$A$1213,$A959,$C$14:$C$1213,"="&amp;$C959)+1)/2,"")</f>
        <v/>
      </c>
      <c r="W959" s="27">
        <f>IF(ISNUMBER($F959),COUNTIFS($A$14:$A$1213,$A959,$F$14:$F$1213,"&gt;"&amp;$F959)+(COUNTIFS($A$14:$A$1213,$A959,$F$14:$F$1213,"="&amp;$F959)+1)/2,"")</f>
        <v/>
      </c>
      <c r="X959" s="27">
        <f>IF(OR(NOT(ISNUMBER($V959)),$AO959=1),"",$V959-(COUNTIFS($A$14:$A$1213,$A959,$C$14:$C$1213,"&gt;=0")+1)/2)</f>
        <v/>
      </c>
      <c r="Y959" s="27">
        <f>IF(OR(NOT(ISNUMBER($W959)),$AO959=1),"",$W959-(COUNTIFS($A$14:$A$1213,$A959,$F$14:$F$1213,"&gt;=0")+1)/2)</f>
        <v/>
      </c>
      <c r="Z959" s="27">
        <f>IF(ISNUMBER($V959),$A959&amp;"|"&amp;$V959,"")</f>
        <v/>
      </c>
      <c r="AA959" s="27">
        <f>IF(ISNUMBER($W959),$A959&amp;"|"&amp;$W959,"")</f>
        <v/>
      </c>
      <c r="AB959" s="27">
        <f>IF(ISNUMBER($F959),$A959&amp;"|"&amp;$F959,"")</f>
        <v/>
      </c>
      <c r="AC959" s="27">
        <f>IF(ISNUMBER($P959),COUNTIFS($A$14:$A$1213,$A959,$P$14:$P$1213,"&gt;"&amp;$P959)+(COUNTIFS($A$14:$A$1213,$A959,$P$14:$P$1213,"="&amp;$P959)+1)/2,"")</f>
        <v/>
      </c>
      <c r="AD959" s="27">
        <f>IF(ISNUMBER($Q959),COUNTIFS($A$14:$A$1213,$A959,$Q$14:$Q$1213,"&gt;"&amp;$Q959)+(COUNTIFS($A$14:$A$1213,$A959,$Q$14:$Q$1213,"="&amp;$Q959)+1)/2,"")</f>
        <v/>
      </c>
      <c r="AE959" s="27">
        <f>IF(ISNUMBER($R959),COUNTIFS($A$14:$A$1213,$A959,$R$14:$R$1213,"&gt;"&amp;$R959)+(COUNTIFS($A$14:$A$1213,$A959,$R$14:$R$1213,"="&amp;$R959)+1)/2,"")</f>
        <v/>
      </c>
      <c r="AF959" s="27">
        <f>IF(ISNUMBER($S959),COUNTIFS($A$14:$A$1213,$A959,$S$14:$S$1213,"&gt;"&amp;$S959)+(COUNTIFS($A$14:$A$1213,$A959,$S$14:$S$1213,"="&amp;$S959)+1)/2,"")</f>
        <v/>
      </c>
      <c r="AG959" s="27">
        <f>IF(ISNUMBER($T959),COUNTIFS($A$14:$A$1213,$A959,$T$14:$T$1213,"&gt;"&amp;$T959)+(COUNTIFS($A$14:$A$1213,$A959,$T$14:$T$1213,"="&amp;$T959)+1)/2,"")</f>
        <v/>
      </c>
      <c r="AH959" s="27">
        <f>IF(COUNT($AC959:$AG959)&lt;2,"",IF(MAX($AC959:$AG959)=MIN($AC959:$AG959),0,1))</f>
        <v/>
      </c>
      <c r="AI959" s="27">
        <f>IF($A959="","",IF(COUNTIF($A$14:$A959,$A959)=1,COUNTIF($AI$13:AI958,"&gt;0")+1,""))</f>
        <v/>
      </c>
      <c r="AO959" s="27">
        <f>IF($A959="","",IF(AND(COUNTIFS($A$14:$A$1213,$A959,$F$14:$F$1213,"&gt;=0")=2,IFERROR(INDEX($M$14:$M$313,MATCH($A959,$H$14:$H$313,0)),"Yes")&lt;&gt;"Yes"),1,0))</f>
        <v/>
      </c>
    </row>
    <row r="960">
      <c r="A960" s="19" t="n"/>
      <c r="B960" s="20" t="n"/>
      <c r="C960" s="21">
        <f>IFERROR(AVERAGE(P960:T960),"")</f>
        <v/>
      </c>
      <c r="D960" s="29" t="n"/>
      <c r="E960" s="29" t="n"/>
      <c r="F960" s="30">
        <f>IF(AND(ISNUMBER($D960),ISNUMBER($E960),$E960&gt;0,$D960&lt;=$E960),$D960/$E960,"")</f>
        <v/>
      </c>
      <c r="P960" s="26" t="n"/>
      <c r="Q960" s="26" t="n"/>
      <c r="R960" s="26" t="n"/>
      <c r="S960" s="26" t="n"/>
      <c r="T960" s="26" t="n"/>
      <c r="V960" s="27">
        <f>IF(ISNUMBER($C960),COUNTIFS($A$14:$A$1213,$A960,$C$14:$C$1213,"&gt;"&amp;$C960)+(COUNTIFS($A$14:$A$1213,$A960,$C$14:$C$1213,"="&amp;$C960)+1)/2,"")</f>
        <v/>
      </c>
      <c r="W960" s="27">
        <f>IF(ISNUMBER($F960),COUNTIFS($A$14:$A$1213,$A960,$F$14:$F$1213,"&gt;"&amp;$F960)+(COUNTIFS($A$14:$A$1213,$A960,$F$14:$F$1213,"="&amp;$F960)+1)/2,"")</f>
        <v/>
      </c>
      <c r="X960" s="27">
        <f>IF(OR(NOT(ISNUMBER($V960)),$AO960=1),"",$V960-(COUNTIFS($A$14:$A$1213,$A960,$C$14:$C$1213,"&gt;=0")+1)/2)</f>
        <v/>
      </c>
      <c r="Y960" s="27">
        <f>IF(OR(NOT(ISNUMBER($W960)),$AO960=1),"",$W960-(COUNTIFS($A$14:$A$1213,$A960,$F$14:$F$1213,"&gt;=0")+1)/2)</f>
        <v/>
      </c>
      <c r="Z960" s="27">
        <f>IF(ISNUMBER($V960),$A960&amp;"|"&amp;$V960,"")</f>
        <v/>
      </c>
      <c r="AA960" s="27">
        <f>IF(ISNUMBER($W960),$A960&amp;"|"&amp;$W960,"")</f>
        <v/>
      </c>
      <c r="AB960" s="27">
        <f>IF(ISNUMBER($F960),$A960&amp;"|"&amp;$F960,"")</f>
        <v/>
      </c>
      <c r="AC960" s="27">
        <f>IF(ISNUMBER($P960),COUNTIFS($A$14:$A$1213,$A960,$P$14:$P$1213,"&gt;"&amp;$P960)+(COUNTIFS($A$14:$A$1213,$A960,$P$14:$P$1213,"="&amp;$P960)+1)/2,"")</f>
        <v/>
      </c>
      <c r="AD960" s="27">
        <f>IF(ISNUMBER($Q960),COUNTIFS($A$14:$A$1213,$A960,$Q$14:$Q$1213,"&gt;"&amp;$Q960)+(COUNTIFS($A$14:$A$1213,$A960,$Q$14:$Q$1213,"="&amp;$Q960)+1)/2,"")</f>
        <v/>
      </c>
      <c r="AE960" s="27">
        <f>IF(ISNUMBER($R960),COUNTIFS($A$14:$A$1213,$A960,$R$14:$R$1213,"&gt;"&amp;$R960)+(COUNTIFS($A$14:$A$1213,$A960,$R$14:$R$1213,"="&amp;$R960)+1)/2,"")</f>
        <v/>
      </c>
      <c r="AF960" s="27">
        <f>IF(ISNUMBER($S960),COUNTIFS($A$14:$A$1213,$A960,$S$14:$S$1213,"&gt;"&amp;$S960)+(COUNTIFS($A$14:$A$1213,$A960,$S$14:$S$1213,"="&amp;$S960)+1)/2,"")</f>
        <v/>
      </c>
      <c r="AG960" s="27">
        <f>IF(ISNUMBER($T960),COUNTIFS($A$14:$A$1213,$A960,$T$14:$T$1213,"&gt;"&amp;$T960)+(COUNTIFS($A$14:$A$1213,$A960,$T$14:$T$1213,"="&amp;$T960)+1)/2,"")</f>
        <v/>
      </c>
      <c r="AH960" s="27">
        <f>IF(COUNT($AC960:$AG960)&lt;2,"",IF(MAX($AC960:$AG960)=MIN($AC960:$AG960),0,1))</f>
        <v/>
      </c>
      <c r="AI960" s="27">
        <f>IF($A960="","",IF(COUNTIF($A$14:$A960,$A960)=1,COUNTIF($AI$13:AI959,"&gt;0")+1,""))</f>
        <v/>
      </c>
      <c r="AO960" s="27">
        <f>IF($A960="","",IF(AND(COUNTIFS($A$14:$A$1213,$A960,$F$14:$F$1213,"&gt;=0")=2,IFERROR(INDEX($M$14:$M$313,MATCH($A960,$H$14:$H$313,0)),"Yes")&lt;&gt;"Yes"),1,0))</f>
        <v/>
      </c>
    </row>
    <row r="961">
      <c r="A961" s="19" t="n"/>
      <c r="B961" s="20" t="n"/>
      <c r="C961" s="21">
        <f>IFERROR(AVERAGE(P961:T961),"")</f>
        <v/>
      </c>
      <c r="D961" s="29" t="n"/>
      <c r="E961" s="29" t="n"/>
      <c r="F961" s="30">
        <f>IF(AND(ISNUMBER($D961),ISNUMBER($E961),$E961&gt;0,$D961&lt;=$E961),$D961/$E961,"")</f>
        <v/>
      </c>
      <c r="P961" s="26" t="n"/>
      <c r="Q961" s="26" t="n"/>
      <c r="R961" s="26" t="n"/>
      <c r="S961" s="26" t="n"/>
      <c r="T961" s="26" t="n"/>
      <c r="V961" s="27">
        <f>IF(ISNUMBER($C961),COUNTIFS($A$14:$A$1213,$A961,$C$14:$C$1213,"&gt;"&amp;$C961)+(COUNTIFS($A$14:$A$1213,$A961,$C$14:$C$1213,"="&amp;$C961)+1)/2,"")</f>
        <v/>
      </c>
      <c r="W961" s="27">
        <f>IF(ISNUMBER($F961),COUNTIFS($A$14:$A$1213,$A961,$F$14:$F$1213,"&gt;"&amp;$F961)+(COUNTIFS($A$14:$A$1213,$A961,$F$14:$F$1213,"="&amp;$F961)+1)/2,"")</f>
        <v/>
      </c>
      <c r="X961" s="27">
        <f>IF(OR(NOT(ISNUMBER($V961)),$AO961=1),"",$V961-(COUNTIFS($A$14:$A$1213,$A961,$C$14:$C$1213,"&gt;=0")+1)/2)</f>
        <v/>
      </c>
      <c r="Y961" s="27">
        <f>IF(OR(NOT(ISNUMBER($W961)),$AO961=1),"",$W961-(COUNTIFS($A$14:$A$1213,$A961,$F$14:$F$1213,"&gt;=0")+1)/2)</f>
        <v/>
      </c>
      <c r="Z961" s="27">
        <f>IF(ISNUMBER($V961),$A961&amp;"|"&amp;$V961,"")</f>
        <v/>
      </c>
      <c r="AA961" s="27">
        <f>IF(ISNUMBER($W961),$A961&amp;"|"&amp;$W961,"")</f>
        <v/>
      </c>
      <c r="AB961" s="27">
        <f>IF(ISNUMBER($F961),$A961&amp;"|"&amp;$F961,"")</f>
        <v/>
      </c>
      <c r="AC961" s="27">
        <f>IF(ISNUMBER($P961),COUNTIFS($A$14:$A$1213,$A961,$P$14:$P$1213,"&gt;"&amp;$P961)+(COUNTIFS($A$14:$A$1213,$A961,$P$14:$P$1213,"="&amp;$P961)+1)/2,"")</f>
        <v/>
      </c>
      <c r="AD961" s="27">
        <f>IF(ISNUMBER($Q961),COUNTIFS($A$14:$A$1213,$A961,$Q$14:$Q$1213,"&gt;"&amp;$Q961)+(COUNTIFS($A$14:$A$1213,$A961,$Q$14:$Q$1213,"="&amp;$Q961)+1)/2,"")</f>
        <v/>
      </c>
      <c r="AE961" s="27">
        <f>IF(ISNUMBER($R961),COUNTIFS($A$14:$A$1213,$A961,$R$14:$R$1213,"&gt;"&amp;$R961)+(COUNTIFS($A$14:$A$1213,$A961,$R$14:$R$1213,"="&amp;$R961)+1)/2,"")</f>
        <v/>
      </c>
      <c r="AF961" s="27">
        <f>IF(ISNUMBER($S961),COUNTIFS($A$14:$A$1213,$A961,$S$14:$S$1213,"&gt;"&amp;$S961)+(COUNTIFS($A$14:$A$1213,$A961,$S$14:$S$1213,"="&amp;$S961)+1)/2,"")</f>
        <v/>
      </c>
      <c r="AG961" s="27">
        <f>IF(ISNUMBER($T961),COUNTIFS($A$14:$A$1213,$A961,$T$14:$T$1213,"&gt;"&amp;$T961)+(COUNTIFS($A$14:$A$1213,$A961,$T$14:$T$1213,"="&amp;$T961)+1)/2,"")</f>
        <v/>
      </c>
      <c r="AH961" s="27">
        <f>IF(COUNT($AC961:$AG961)&lt;2,"",IF(MAX($AC961:$AG961)=MIN($AC961:$AG961),0,1))</f>
        <v/>
      </c>
      <c r="AI961" s="27">
        <f>IF($A961="","",IF(COUNTIF($A$14:$A961,$A961)=1,COUNTIF($AI$13:AI960,"&gt;0")+1,""))</f>
        <v/>
      </c>
      <c r="AO961" s="27">
        <f>IF($A961="","",IF(AND(COUNTIFS($A$14:$A$1213,$A961,$F$14:$F$1213,"&gt;=0")=2,IFERROR(INDEX($M$14:$M$313,MATCH($A961,$H$14:$H$313,0)),"Yes")&lt;&gt;"Yes"),1,0))</f>
        <v/>
      </c>
    </row>
    <row r="962">
      <c r="A962" s="19" t="n"/>
      <c r="B962" s="20" t="n"/>
      <c r="C962" s="21">
        <f>IFERROR(AVERAGE(P962:T962),"")</f>
        <v/>
      </c>
      <c r="D962" s="29" t="n"/>
      <c r="E962" s="29" t="n"/>
      <c r="F962" s="30">
        <f>IF(AND(ISNUMBER($D962),ISNUMBER($E962),$E962&gt;0,$D962&lt;=$E962),$D962/$E962,"")</f>
        <v/>
      </c>
      <c r="P962" s="26" t="n"/>
      <c r="Q962" s="26" t="n"/>
      <c r="R962" s="26" t="n"/>
      <c r="S962" s="26" t="n"/>
      <c r="T962" s="26" t="n"/>
      <c r="V962" s="27">
        <f>IF(ISNUMBER($C962),COUNTIFS($A$14:$A$1213,$A962,$C$14:$C$1213,"&gt;"&amp;$C962)+(COUNTIFS($A$14:$A$1213,$A962,$C$14:$C$1213,"="&amp;$C962)+1)/2,"")</f>
        <v/>
      </c>
      <c r="W962" s="27">
        <f>IF(ISNUMBER($F962),COUNTIFS($A$14:$A$1213,$A962,$F$14:$F$1213,"&gt;"&amp;$F962)+(COUNTIFS($A$14:$A$1213,$A962,$F$14:$F$1213,"="&amp;$F962)+1)/2,"")</f>
        <v/>
      </c>
      <c r="X962" s="27">
        <f>IF(OR(NOT(ISNUMBER($V962)),$AO962=1),"",$V962-(COUNTIFS($A$14:$A$1213,$A962,$C$14:$C$1213,"&gt;=0")+1)/2)</f>
        <v/>
      </c>
      <c r="Y962" s="27">
        <f>IF(OR(NOT(ISNUMBER($W962)),$AO962=1),"",$W962-(COUNTIFS($A$14:$A$1213,$A962,$F$14:$F$1213,"&gt;=0")+1)/2)</f>
        <v/>
      </c>
      <c r="Z962" s="27">
        <f>IF(ISNUMBER($V962),$A962&amp;"|"&amp;$V962,"")</f>
        <v/>
      </c>
      <c r="AA962" s="27">
        <f>IF(ISNUMBER($W962),$A962&amp;"|"&amp;$W962,"")</f>
        <v/>
      </c>
      <c r="AB962" s="27">
        <f>IF(ISNUMBER($F962),$A962&amp;"|"&amp;$F962,"")</f>
        <v/>
      </c>
      <c r="AC962" s="27">
        <f>IF(ISNUMBER($P962),COUNTIFS($A$14:$A$1213,$A962,$P$14:$P$1213,"&gt;"&amp;$P962)+(COUNTIFS($A$14:$A$1213,$A962,$P$14:$P$1213,"="&amp;$P962)+1)/2,"")</f>
        <v/>
      </c>
      <c r="AD962" s="27">
        <f>IF(ISNUMBER($Q962),COUNTIFS($A$14:$A$1213,$A962,$Q$14:$Q$1213,"&gt;"&amp;$Q962)+(COUNTIFS($A$14:$A$1213,$A962,$Q$14:$Q$1213,"="&amp;$Q962)+1)/2,"")</f>
        <v/>
      </c>
      <c r="AE962" s="27">
        <f>IF(ISNUMBER($R962),COUNTIFS($A$14:$A$1213,$A962,$R$14:$R$1213,"&gt;"&amp;$R962)+(COUNTIFS($A$14:$A$1213,$A962,$R$14:$R$1213,"="&amp;$R962)+1)/2,"")</f>
        <v/>
      </c>
      <c r="AF962" s="27">
        <f>IF(ISNUMBER($S962),COUNTIFS($A$14:$A$1213,$A962,$S$14:$S$1213,"&gt;"&amp;$S962)+(COUNTIFS($A$14:$A$1213,$A962,$S$14:$S$1213,"="&amp;$S962)+1)/2,"")</f>
        <v/>
      </c>
      <c r="AG962" s="27">
        <f>IF(ISNUMBER($T962),COUNTIFS($A$14:$A$1213,$A962,$T$14:$T$1213,"&gt;"&amp;$T962)+(COUNTIFS($A$14:$A$1213,$A962,$T$14:$T$1213,"="&amp;$T962)+1)/2,"")</f>
        <v/>
      </c>
      <c r="AH962" s="27">
        <f>IF(COUNT($AC962:$AG962)&lt;2,"",IF(MAX($AC962:$AG962)=MIN($AC962:$AG962),0,1))</f>
        <v/>
      </c>
      <c r="AI962" s="27">
        <f>IF($A962="","",IF(COUNTIF($A$14:$A962,$A962)=1,COUNTIF($AI$13:AI961,"&gt;0")+1,""))</f>
        <v/>
      </c>
      <c r="AO962" s="27">
        <f>IF($A962="","",IF(AND(COUNTIFS($A$14:$A$1213,$A962,$F$14:$F$1213,"&gt;=0")=2,IFERROR(INDEX($M$14:$M$313,MATCH($A962,$H$14:$H$313,0)),"Yes")&lt;&gt;"Yes"),1,0))</f>
        <v/>
      </c>
    </row>
    <row r="963">
      <c r="A963" s="19" t="n"/>
      <c r="B963" s="20" t="n"/>
      <c r="C963" s="21">
        <f>IFERROR(AVERAGE(P963:T963),"")</f>
        <v/>
      </c>
      <c r="D963" s="29" t="n"/>
      <c r="E963" s="29" t="n"/>
      <c r="F963" s="30">
        <f>IF(AND(ISNUMBER($D963),ISNUMBER($E963),$E963&gt;0,$D963&lt;=$E963),$D963/$E963,"")</f>
        <v/>
      </c>
      <c r="P963" s="26" t="n"/>
      <c r="Q963" s="26" t="n"/>
      <c r="R963" s="26" t="n"/>
      <c r="S963" s="26" t="n"/>
      <c r="T963" s="26" t="n"/>
      <c r="V963" s="27">
        <f>IF(ISNUMBER($C963),COUNTIFS($A$14:$A$1213,$A963,$C$14:$C$1213,"&gt;"&amp;$C963)+(COUNTIFS($A$14:$A$1213,$A963,$C$14:$C$1213,"="&amp;$C963)+1)/2,"")</f>
        <v/>
      </c>
      <c r="W963" s="27">
        <f>IF(ISNUMBER($F963),COUNTIFS($A$14:$A$1213,$A963,$F$14:$F$1213,"&gt;"&amp;$F963)+(COUNTIFS($A$14:$A$1213,$A963,$F$14:$F$1213,"="&amp;$F963)+1)/2,"")</f>
        <v/>
      </c>
      <c r="X963" s="27">
        <f>IF(OR(NOT(ISNUMBER($V963)),$AO963=1),"",$V963-(COUNTIFS($A$14:$A$1213,$A963,$C$14:$C$1213,"&gt;=0")+1)/2)</f>
        <v/>
      </c>
      <c r="Y963" s="27">
        <f>IF(OR(NOT(ISNUMBER($W963)),$AO963=1),"",$W963-(COUNTIFS($A$14:$A$1213,$A963,$F$14:$F$1213,"&gt;=0")+1)/2)</f>
        <v/>
      </c>
      <c r="Z963" s="27">
        <f>IF(ISNUMBER($V963),$A963&amp;"|"&amp;$V963,"")</f>
        <v/>
      </c>
      <c r="AA963" s="27">
        <f>IF(ISNUMBER($W963),$A963&amp;"|"&amp;$W963,"")</f>
        <v/>
      </c>
      <c r="AB963" s="27">
        <f>IF(ISNUMBER($F963),$A963&amp;"|"&amp;$F963,"")</f>
        <v/>
      </c>
      <c r="AC963" s="27">
        <f>IF(ISNUMBER($P963),COUNTIFS($A$14:$A$1213,$A963,$P$14:$P$1213,"&gt;"&amp;$P963)+(COUNTIFS($A$14:$A$1213,$A963,$P$14:$P$1213,"="&amp;$P963)+1)/2,"")</f>
        <v/>
      </c>
      <c r="AD963" s="27">
        <f>IF(ISNUMBER($Q963),COUNTIFS($A$14:$A$1213,$A963,$Q$14:$Q$1213,"&gt;"&amp;$Q963)+(COUNTIFS($A$14:$A$1213,$A963,$Q$14:$Q$1213,"="&amp;$Q963)+1)/2,"")</f>
        <v/>
      </c>
      <c r="AE963" s="27">
        <f>IF(ISNUMBER($R963),COUNTIFS($A$14:$A$1213,$A963,$R$14:$R$1213,"&gt;"&amp;$R963)+(COUNTIFS($A$14:$A$1213,$A963,$R$14:$R$1213,"="&amp;$R963)+1)/2,"")</f>
        <v/>
      </c>
      <c r="AF963" s="27">
        <f>IF(ISNUMBER($S963),COUNTIFS($A$14:$A$1213,$A963,$S$14:$S$1213,"&gt;"&amp;$S963)+(COUNTIFS($A$14:$A$1213,$A963,$S$14:$S$1213,"="&amp;$S963)+1)/2,"")</f>
        <v/>
      </c>
      <c r="AG963" s="27">
        <f>IF(ISNUMBER($T963),COUNTIFS($A$14:$A$1213,$A963,$T$14:$T$1213,"&gt;"&amp;$T963)+(COUNTIFS($A$14:$A$1213,$A963,$T$14:$T$1213,"="&amp;$T963)+1)/2,"")</f>
        <v/>
      </c>
      <c r="AH963" s="27">
        <f>IF(COUNT($AC963:$AG963)&lt;2,"",IF(MAX($AC963:$AG963)=MIN($AC963:$AG963),0,1))</f>
        <v/>
      </c>
      <c r="AI963" s="27">
        <f>IF($A963="","",IF(COUNTIF($A$14:$A963,$A963)=1,COUNTIF($AI$13:AI962,"&gt;0")+1,""))</f>
        <v/>
      </c>
      <c r="AO963" s="27">
        <f>IF($A963="","",IF(AND(COUNTIFS($A$14:$A$1213,$A963,$F$14:$F$1213,"&gt;=0")=2,IFERROR(INDEX($M$14:$M$313,MATCH($A963,$H$14:$H$313,0)),"Yes")&lt;&gt;"Yes"),1,0))</f>
        <v/>
      </c>
    </row>
    <row r="964">
      <c r="A964" s="19" t="n"/>
      <c r="B964" s="20" t="n"/>
      <c r="C964" s="21">
        <f>IFERROR(AVERAGE(P964:T964),"")</f>
        <v/>
      </c>
      <c r="D964" s="29" t="n"/>
      <c r="E964" s="29" t="n"/>
      <c r="F964" s="30">
        <f>IF(AND(ISNUMBER($D964),ISNUMBER($E964),$E964&gt;0,$D964&lt;=$E964),$D964/$E964,"")</f>
        <v/>
      </c>
      <c r="P964" s="26" t="n"/>
      <c r="Q964" s="26" t="n"/>
      <c r="R964" s="26" t="n"/>
      <c r="S964" s="26" t="n"/>
      <c r="T964" s="26" t="n"/>
      <c r="V964" s="27">
        <f>IF(ISNUMBER($C964),COUNTIFS($A$14:$A$1213,$A964,$C$14:$C$1213,"&gt;"&amp;$C964)+(COUNTIFS($A$14:$A$1213,$A964,$C$14:$C$1213,"="&amp;$C964)+1)/2,"")</f>
        <v/>
      </c>
      <c r="W964" s="27">
        <f>IF(ISNUMBER($F964),COUNTIFS($A$14:$A$1213,$A964,$F$14:$F$1213,"&gt;"&amp;$F964)+(COUNTIFS($A$14:$A$1213,$A964,$F$14:$F$1213,"="&amp;$F964)+1)/2,"")</f>
        <v/>
      </c>
      <c r="X964" s="27">
        <f>IF(OR(NOT(ISNUMBER($V964)),$AO964=1),"",$V964-(COUNTIFS($A$14:$A$1213,$A964,$C$14:$C$1213,"&gt;=0")+1)/2)</f>
        <v/>
      </c>
      <c r="Y964" s="27">
        <f>IF(OR(NOT(ISNUMBER($W964)),$AO964=1),"",$W964-(COUNTIFS($A$14:$A$1213,$A964,$F$14:$F$1213,"&gt;=0")+1)/2)</f>
        <v/>
      </c>
      <c r="Z964" s="27">
        <f>IF(ISNUMBER($V964),$A964&amp;"|"&amp;$V964,"")</f>
        <v/>
      </c>
      <c r="AA964" s="27">
        <f>IF(ISNUMBER($W964),$A964&amp;"|"&amp;$W964,"")</f>
        <v/>
      </c>
      <c r="AB964" s="27">
        <f>IF(ISNUMBER($F964),$A964&amp;"|"&amp;$F964,"")</f>
        <v/>
      </c>
      <c r="AC964" s="27">
        <f>IF(ISNUMBER($P964),COUNTIFS($A$14:$A$1213,$A964,$P$14:$P$1213,"&gt;"&amp;$P964)+(COUNTIFS($A$14:$A$1213,$A964,$P$14:$P$1213,"="&amp;$P964)+1)/2,"")</f>
        <v/>
      </c>
      <c r="AD964" s="27">
        <f>IF(ISNUMBER($Q964),COUNTIFS($A$14:$A$1213,$A964,$Q$14:$Q$1213,"&gt;"&amp;$Q964)+(COUNTIFS($A$14:$A$1213,$A964,$Q$14:$Q$1213,"="&amp;$Q964)+1)/2,"")</f>
        <v/>
      </c>
      <c r="AE964" s="27">
        <f>IF(ISNUMBER($R964),COUNTIFS($A$14:$A$1213,$A964,$R$14:$R$1213,"&gt;"&amp;$R964)+(COUNTIFS($A$14:$A$1213,$A964,$R$14:$R$1213,"="&amp;$R964)+1)/2,"")</f>
        <v/>
      </c>
      <c r="AF964" s="27">
        <f>IF(ISNUMBER($S964),COUNTIFS($A$14:$A$1213,$A964,$S$14:$S$1213,"&gt;"&amp;$S964)+(COUNTIFS($A$14:$A$1213,$A964,$S$14:$S$1213,"="&amp;$S964)+1)/2,"")</f>
        <v/>
      </c>
      <c r="AG964" s="27">
        <f>IF(ISNUMBER($T964),COUNTIFS($A$14:$A$1213,$A964,$T$14:$T$1213,"&gt;"&amp;$T964)+(COUNTIFS($A$14:$A$1213,$A964,$T$14:$T$1213,"="&amp;$T964)+1)/2,"")</f>
        <v/>
      </c>
      <c r="AH964" s="27">
        <f>IF(COUNT($AC964:$AG964)&lt;2,"",IF(MAX($AC964:$AG964)=MIN($AC964:$AG964),0,1))</f>
        <v/>
      </c>
      <c r="AI964" s="27">
        <f>IF($A964="","",IF(COUNTIF($A$14:$A964,$A964)=1,COUNTIF($AI$13:AI963,"&gt;0")+1,""))</f>
        <v/>
      </c>
      <c r="AO964" s="27">
        <f>IF($A964="","",IF(AND(COUNTIFS($A$14:$A$1213,$A964,$F$14:$F$1213,"&gt;=0")=2,IFERROR(INDEX($M$14:$M$313,MATCH($A964,$H$14:$H$313,0)),"Yes")&lt;&gt;"Yes"),1,0))</f>
        <v/>
      </c>
    </row>
    <row r="965">
      <c r="A965" s="19" t="n"/>
      <c r="B965" s="20" t="n"/>
      <c r="C965" s="21">
        <f>IFERROR(AVERAGE(P965:T965),"")</f>
        <v/>
      </c>
      <c r="D965" s="29" t="n"/>
      <c r="E965" s="29" t="n"/>
      <c r="F965" s="30">
        <f>IF(AND(ISNUMBER($D965),ISNUMBER($E965),$E965&gt;0,$D965&lt;=$E965),$D965/$E965,"")</f>
        <v/>
      </c>
      <c r="P965" s="26" t="n"/>
      <c r="Q965" s="26" t="n"/>
      <c r="R965" s="26" t="n"/>
      <c r="S965" s="26" t="n"/>
      <c r="T965" s="26" t="n"/>
      <c r="V965" s="27">
        <f>IF(ISNUMBER($C965),COUNTIFS($A$14:$A$1213,$A965,$C$14:$C$1213,"&gt;"&amp;$C965)+(COUNTIFS($A$14:$A$1213,$A965,$C$14:$C$1213,"="&amp;$C965)+1)/2,"")</f>
        <v/>
      </c>
      <c r="W965" s="27">
        <f>IF(ISNUMBER($F965),COUNTIFS($A$14:$A$1213,$A965,$F$14:$F$1213,"&gt;"&amp;$F965)+(COUNTIFS($A$14:$A$1213,$A965,$F$14:$F$1213,"="&amp;$F965)+1)/2,"")</f>
        <v/>
      </c>
      <c r="X965" s="27">
        <f>IF(OR(NOT(ISNUMBER($V965)),$AO965=1),"",$V965-(COUNTIFS($A$14:$A$1213,$A965,$C$14:$C$1213,"&gt;=0")+1)/2)</f>
        <v/>
      </c>
      <c r="Y965" s="27">
        <f>IF(OR(NOT(ISNUMBER($W965)),$AO965=1),"",$W965-(COUNTIFS($A$14:$A$1213,$A965,$F$14:$F$1213,"&gt;=0")+1)/2)</f>
        <v/>
      </c>
      <c r="Z965" s="27">
        <f>IF(ISNUMBER($V965),$A965&amp;"|"&amp;$V965,"")</f>
        <v/>
      </c>
      <c r="AA965" s="27">
        <f>IF(ISNUMBER($W965),$A965&amp;"|"&amp;$W965,"")</f>
        <v/>
      </c>
      <c r="AB965" s="27">
        <f>IF(ISNUMBER($F965),$A965&amp;"|"&amp;$F965,"")</f>
        <v/>
      </c>
      <c r="AC965" s="27">
        <f>IF(ISNUMBER($P965),COUNTIFS($A$14:$A$1213,$A965,$P$14:$P$1213,"&gt;"&amp;$P965)+(COUNTIFS($A$14:$A$1213,$A965,$P$14:$P$1213,"="&amp;$P965)+1)/2,"")</f>
        <v/>
      </c>
      <c r="AD965" s="27">
        <f>IF(ISNUMBER($Q965),COUNTIFS($A$14:$A$1213,$A965,$Q$14:$Q$1213,"&gt;"&amp;$Q965)+(COUNTIFS($A$14:$A$1213,$A965,$Q$14:$Q$1213,"="&amp;$Q965)+1)/2,"")</f>
        <v/>
      </c>
      <c r="AE965" s="27">
        <f>IF(ISNUMBER($R965),COUNTIFS($A$14:$A$1213,$A965,$R$14:$R$1213,"&gt;"&amp;$R965)+(COUNTIFS($A$14:$A$1213,$A965,$R$14:$R$1213,"="&amp;$R965)+1)/2,"")</f>
        <v/>
      </c>
      <c r="AF965" s="27">
        <f>IF(ISNUMBER($S965),COUNTIFS($A$14:$A$1213,$A965,$S$14:$S$1213,"&gt;"&amp;$S965)+(COUNTIFS($A$14:$A$1213,$A965,$S$14:$S$1213,"="&amp;$S965)+1)/2,"")</f>
        <v/>
      </c>
      <c r="AG965" s="27">
        <f>IF(ISNUMBER($T965),COUNTIFS($A$14:$A$1213,$A965,$T$14:$T$1213,"&gt;"&amp;$T965)+(COUNTIFS($A$14:$A$1213,$A965,$T$14:$T$1213,"="&amp;$T965)+1)/2,"")</f>
        <v/>
      </c>
      <c r="AH965" s="27">
        <f>IF(COUNT($AC965:$AG965)&lt;2,"",IF(MAX($AC965:$AG965)=MIN($AC965:$AG965),0,1))</f>
        <v/>
      </c>
      <c r="AI965" s="27">
        <f>IF($A965="","",IF(COUNTIF($A$14:$A965,$A965)=1,COUNTIF($AI$13:AI964,"&gt;0")+1,""))</f>
        <v/>
      </c>
      <c r="AO965" s="27">
        <f>IF($A965="","",IF(AND(COUNTIFS($A$14:$A$1213,$A965,$F$14:$F$1213,"&gt;=0")=2,IFERROR(INDEX($M$14:$M$313,MATCH($A965,$H$14:$H$313,0)),"Yes")&lt;&gt;"Yes"),1,0))</f>
        <v/>
      </c>
    </row>
    <row r="966">
      <c r="A966" s="19" t="n"/>
      <c r="B966" s="20" t="n"/>
      <c r="C966" s="21">
        <f>IFERROR(AVERAGE(P966:T966),"")</f>
        <v/>
      </c>
      <c r="D966" s="29" t="n"/>
      <c r="E966" s="29" t="n"/>
      <c r="F966" s="30">
        <f>IF(AND(ISNUMBER($D966),ISNUMBER($E966),$E966&gt;0,$D966&lt;=$E966),$D966/$E966,"")</f>
        <v/>
      </c>
      <c r="P966" s="26" t="n"/>
      <c r="Q966" s="26" t="n"/>
      <c r="R966" s="26" t="n"/>
      <c r="S966" s="26" t="n"/>
      <c r="T966" s="26" t="n"/>
      <c r="V966" s="27">
        <f>IF(ISNUMBER($C966),COUNTIFS($A$14:$A$1213,$A966,$C$14:$C$1213,"&gt;"&amp;$C966)+(COUNTIFS($A$14:$A$1213,$A966,$C$14:$C$1213,"="&amp;$C966)+1)/2,"")</f>
        <v/>
      </c>
      <c r="W966" s="27">
        <f>IF(ISNUMBER($F966),COUNTIFS($A$14:$A$1213,$A966,$F$14:$F$1213,"&gt;"&amp;$F966)+(COUNTIFS($A$14:$A$1213,$A966,$F$14:$F$1213,"="&amp;$F966)+1)/2,"")</f>
        <v/>
      </c>
      <c r="X966" s="27">
        <f>IF(OR(NOT(ISNUMBER($V966)),$AO966=1),"",$V966-(COUNTIFS($A$14:$A$1213,$A966,$C$14:$C$1213,"&gt;=0")+1)/2)</f>
        <v/>
      </c>
      <c r="Y966" s="27">
        <f>IF(OR(NOT(ISNUMBER($W966)),$AO966=1),"",$W966-(COUNTIFS($A$14:$A$1213,$A966,$F$14:$F$1213,"&gt;=0")+1)/2)</f>
        <v/>
      </c>
      <c r="Z966" s="27">
        <f>IF(ISNUMBER($V966),$A966&amp;"|"&amp;$V966,"")</f>
        <v/>
      </c>
      <c r="AA966" s="27">
        <f>IF(ISNUMBER($W966),$A966&amp;"|"&amp;$W966,"")</f>
        <v/>
      </c>
      <c r="AB966" s="27">
        <f>IF(ISNUMBER($F966),$A966&amp;"|"&amp;$F966,"")</f>
        <v/>
      </c>
      <c r="AC966" s="27">
        <f>IF(ISNUMBER($P966),COUNTIFS($A$14:$A$1213,$A966,$P$14:$P$1213,"&gt;"&amp;$P966)+(COUNTIFS($A$14:$A$1213,$A966,$P$14:$P$1213,"="&amp;$P966)+1)/2,"")</f>
        <v/>
      </c>
      <c r="AD966" s="27">
        <f>IF(ISNUMBER($Q966),COUNTIFS($A$14:$A$1213,$A966,$Q$14:$Q$1213,"&gt;"&amp;$Q966)+(COUNTIFS($A$14:$A$1213,$A966,$Q$14:$Q$1213,"="&amp;$Q966)+1)/2,"")</f>
        <v/>
      </c>
      <c r="AE966" s="27">
        <f>IF(ISNUMBER($R966),COUNTIFS($A$14:$A$1213,$A966,$R$14:$R$1213,"&gt;"&amp;$R966)+(COUNTIFS($A$14:$A$1213,$A966,$R$14:$R$1213,"="&amp;$R966)+1)/2,"")</f>
        <v/>
      </c>
      <c r="AF966" s="27">
        <f>IF(ISNUMBER($S966),COUNTIFS($A$14:$A$1213,$A966,$S$14:$S$1213,"&gt;"&amp;$S966)+(COUNTIFS($A$14:$A$1213,$A966,$S$14:$S$1213,"="&amp;$S966)+1)/2,"")</f>
        <v/>
      </c>
      <c r="AG966" s="27">
        <f>IF(ISNUMBER($T966),COUNTIFS($A$14:$A$1213,$A966,$T$14:$T$1213,"&gt;"&amp;$T966)+(COUNTIFS($A$14:$A$1213,$A966,$T$14:$T$1213,"="&amp;$T966)+1)/2,"")</f>
        <v/>
      </c>
      <c r="AH966" s="27">
        <f>IF(COUNT($AC966:$AG966)&lt;2,"",IF(MAX($AC966:$AG966)=MIN($AC966:$AG966),0,1))</f>
        <v/>
      </c>
      <c r="AI966" s="27">
        <f>IF($A966="","",IF(COUNTIF($A$14:$A966,$A966)=1,COUNTIF($AI$13:AI965,"&gt;0")+1,""))</f>
        <v/>
      </c>
      <c r="AO966" s="27">
        <f>IF($A966="","",IF(AND(COUNTIFS($A$14:$A$1213,$A966,$F$14:$F$1213,"&gt;=0")=2,IFERROR(INDEX($M$14:$M$313,MATCH($A966,$H$14:$H$313,0)),"Yes")&lt;&gt;"Yes"),1,0))</f>
        <v/>
      </c>
    </row>
    <row r="967">
      <c r="A967" s="19" t="n"/>
      <c r="B967" s="20" t="n"/>
      <c r="C967" s="21">
        <f>IFERROR(AVERAGE(P967:T967),"")</f>
        <v/>
      </c>
      <c r="D967" s="29" t="n"/>
      <c r="E967" s="29" t="n"/>
      <c r="F967" s="30">
        <f>IF(AND(ISNUMBER($D967),ISNUMBER($E967),$E967&gt;0,$D967&lt;=$E967),$D967/$E967,"")</f>
        <v/>
      </c>
      <c r="P967" s="26" t="n"/>
      <c r="Q967" s="26" t="n"/>
      <c r="R967" s="26" t="n"/>
      <c r="S967" s="26" t="n"/>
      <c r="T967" s="26" t="n"/>
      <c r="V967" s="27">
        <f>IF(ISNUMBER($C967),COUNTIFS($A$14:$A$1213,$A967,$C$14:$C$1213,"&gt;"&amp;$C967)+(COUNTIFS($A$14:$A$1213,$A967,$C$14:$C$1213,"="&amp;$C967)+1)/2,"")</f>
        <v/>
      </c>
      <c r="W967" s="27">
        <f>IF(ISNUMBER($F967),COUNTIFS($A$14:$A$1213,$A967,$F$14:$F$1213,"&gt;"&amp;$F967)+(COUNTIFS($A$14:$A$1213,$A967,$F$14:$F$1213,"="&amp;$F967)+1)/2,"")</f>
        <v/>
      </c>
      <c r="X967" s="27">
        <f>IF(OR(NOT(ISNUMBER($V967)),$AO967=1),"",$V967-(COUNTIFS($A$14:$A$1213,$A967,$C$14:$C$1213,"&gt;=0")+1)/2)</f>
        <v/>
      </c>
      <c r="Y967" s="27">
        <f>IF(OR(NOT(ISNUMBER($W967)),$AO967=1),"",$W967-(COUNTIFS($A$14:$A$1213,$A967,$F$14:$F$1213,"&gt;=0")+1)/2)</f>
        <v/>
      </c>
      <c r="Z967" s="27">
        <f>IF(ISNUMBER($V967),$A967&amp;"|"&amp;$V967,"")</f>
        <v/>
      </c>
      <c r="AA967" s="27">
        <f>IF(ISNUMBER($W967),$A967&amp;"|"&amp;$W967,"")</f>
        <v/>
      </c>
      <c r="AB967" s="27">
        <f>IF(ISNUMBER($F967),$A967&amp;"|"&amp;$F967,"")</f>
        <v/>
      </c>
      <c r="AC967" s="27">
        <f>IF(ISNUMBER($P967),COUNTIFS($A$14:$A$1213,$A967,$P$14:$P$1213,"&gt;"&amp;$P967)+(COUNTIFS($A$14:$A$1213,$A967,$P$14:$P$1213,"="&amp;$P967)+1)/2,"")</f>
        <v/>
      </c>
      <c r="AD967" s="27">
        <f>IF(ISNUMBER($Q967),COUNTIFS($A$14:$A$1213,$A967,$Q$14:$Q$1213,"&gt;"&amp;$Q967)+(COUNTIFS($A$14:$A$1213,$A967,$Q$14:$Q$1213,"="&amp;$Q967)+1)/2,"")</f>
        <v/>
      </c>
      <c r="AE967" s="27">
        <f>IF(ISNUMBER($R967),COUNTIFS($A$14:$A$1213,$A967,$R$14:$R$1213,"&gt;"&amp;$R967)+(COUNTIFS($A$14:$A$1213,$A967,$R$14:$R$1213,"="&amp;$R967)+1)/2,"")</f>
        <v/>
      </c>
      <c r="AF967" s="27">
        <f>IF(ISNUMBER($S967),COUNTIFS($A$14:$A$1213,$A967,$S$14:$S$1213,"&gt;"&amp;$S967)+(COUNTIFS($A$14:$A$1213,$A967,$S$14:$S$1213,"="&amp;$S967)+1)/2,"")</f>
        <v/>
      </c>
      <c r="AG967" s="27">
        <f>IF(ISNUMBER($T967),COUNTIFS($A$14:$A$1213,$A967,$T$14:$T$1213,"&gt;"&amp;$T967)+(COUNTIFS($A$14:$A$1213,$A967,$T$14:$T$1213,"="&amp;$T967)+1)/2,"")</f>
        <v/>
      </c>
      <c r="AH967" s="27">
        <f>IF(COUNT($AC967:$AG967)&lt;2,"",IF(MAX($AC967:$AG967)=MIN($AC967:$AG967),0,1))</f>
        <v/>
      </c>
      <c r="AI967" s="27">
        <f>IF($A967="","",IF(COUNTIF($A$14:$A967,$A967)=1,COUNTIF($AI$13:AI966,"&gt;0")+1,""))</f>
        <v/>
      </c>
      <c r="AO967" s="27">
        <f>IF($A967="","",IF(AND(COUNTIFS($A$14:$A$1213,$A967,$F$14:$F$1213,"&gt;=0")=2,IFERROR(INDEX($M$14:$M$313,MATCH($A967,$H$14:$H$313,0)),"Yes")&lt;&gt;"Yes"),1,0))</f>
        <v/>
      </c>
    </row>
    <row r="968">
      <c r="A968" s="19" t="n"/>
      <c r="B968" s="20" t="n"/>
      <c r="C968" s="21">
        <f>IFERROR(AVERAGE(P968:T968),"")</f>
        <v/>
      </c>
      <c r="D968" s="29" t="n"/>
      <c r="E968" s="29" t="n"/>
      <c r="F968" s="30">
        <f>IF(AND(ISNUMBER($D968),ISNUMBER($E968),$E968&gt;0,$D968&lt;=$E968),$D968/$E968,"")</f>
        <v/>
      </c>
      <c r="P968" s="26" t="n"/>
      <c r="Q968" s="26" t="n"/>
      <c r="R968" s="26" t="n"/>
      <c r="S968" s="26" t="n"/>
      <c r="T968" s="26" t="n"/>
      <c r="V968" s="27">
        <f>IF(ISNUMBER($C968),COUNTIFS($A$14:$A$1213,$A968,$C$14:$C$1213,"&gt;"&amp;$C968)+(COUNTIFS($A$14:$A$1213,$A968,$C$14:$C$1213,"="&amp;$C968)+1)/2,"")</f>
        <v/>
      </c>
      <c r="W968" s="27">
        <f>IF(ISNUMBER($F968),COUNTIFS($A$14:$A$1213,$A968,$F$14:$F$1213,"&gt;"&amp;$F968)+(COUNTIFS($A$14:$A$1213,$A968,$F$14:$F$1213,"="&amp;$F968)+1)/2,"")</f>
        <v/>
      </c>
      <c r="X968" s="27">
        <f>IF(OR(NOT(ISNUMBER($V968)),$AO968=1),"",$V968-(COUNTIFS($A$14:$A$1213,$A968,$C$14:$C$1213,"&gt;=0")+1)/2)</f>
        <v/>
      </c>
      <c r="Y968" s="27">
        <f>IF(OR(NOT(ISNUMBER($W968)),$AO968=1),"",$W968-(COUNTIFS($A$14:$A$1213,$A968,$F$14:$F$1213,"&gt;=0")+1)/2)</f>
        <v/>
      </c>
      <c r="Z968" s="27">
        <f>IF(ISNUMBER($V968),$A968&amp;"|"&amp;$V968,"")</f>
        <v/>
      </c>
      <c r="AA968" s="27">
        <f>IF(ISNUMBER($W968),$A968&amp;"|"&amp;$W968,"")</f>
        <v/>
      </c>
      <c r="AB968" s="27">
        <f>IF(ISNUMBER($F968),$A968&amp;"|"&amp;$F968,"")</f>
        <v/>
      </c>
      <c r="AC968" s="27">
        <f>IF(ISNUMBER($P968),COUNTIFS($A$14:$A$1213,$A968,$P$14:$P$1213,"&gt;"&amp;$P968)+(COUNTIFS($A$14:$A$1213,$A968,$P$14:$P$1213,"="&amp;$P968)+1)/2,"")</f>
        <v/>
      </c>
      <c r="AD968" s="27">
        <f>IF(ISNUMBER($Q968),COUNTIFS($A$14:$A$1213,$A968,$Q$14:$Q$1213,"&gt;"&amp;$Q968)+(COUNTIFS($A$14:$A$1213,$A968,$Q$14:$Q$1213,"="&amp;$Q968)+1)/2,"")</f>
        <v/>
      </c>
      <c r="AE968" s="27">
        <f>IF(ISNUMBER($R968),COUNTIFS($A$14:$A$1213,$A968,$R$14:$R$1213,"&gt;"&amp;$R968)+(COUNTIFS($A$14:$A$1213,$A968,$R$14:$R$1213,"="&amp;$R968)+1)/2,"")</f>
        <v/>
      </c>
      <c r="AF968" s="27">
        <f>IF(ISNUMBER($S968),COUNTIFS($A$14:$A$1213,$A968,$S$14:$S$1213,"&gt;"&amp;$S968)+(COUNTIFS($A$14:$A$1213,$A968,$S$14:$S$1213,"="&amp;$S968)+1)/2,"")</f>
        <v/>
      </c>
      <c r="AG968" s="27">
        <f>IF(ISNUMBER($T968),COUNTIFS($A$14:$A$1213,$A968,$T$14:$T$1213,"&gt;"&amp;$T968)+(COUNTIFS($A$14:$A$1213,$A968,$T$14:$T$1213,"="&amp;$T968)+1)/2,"")</f>
        <v/>
      </c>
      <c r="AH968" s="27">
        <f>IF(COUNT($AC968:$AG968)&lt;2,"",IF(MAX($AC968:$AG968)=MIN($AC968:$AG968),0,1))</f>
        <v/>
      </c>
      <c r="AI968" s="27">
        <f>IF($A968="","",IF(COUNTIF($A$14:$A968,$A968)=1,COUNTIF($AI$13:AI967,"&gt;0")+1,""))</f>
        <v/>
      </c>
      <c r="AO968" s="27">
        <f>IF($A968="","",IF(AND(COUNTIFS($A$14:$A$1213,$A968,$F$14:$F$1213,"&gt;=0")=2,IFERROR(INDEX($M$14:$M$313,MATCH($A968,$H$14:$H$313,0)),"Yes")&lt;&gt;"Yes"),1,0))</f>
        <v/>
      </c>
    </row>
    <row r="969">
      <c r="A969" s="19" t="n"/>
      <c r="B969" s="20" t="n"/>
      <c r="C969" s="21">
        <f>IFERROR(AVERAGE(P969:T969),"")</f>
        <v/>
      </c>
      <c r="D969" s="29" t="n"/>
      <c r="E969" s="29" t="n"/>
      <c r="F969" s="30">
        <f>IF(AND(ISNUMBER($D969),ISNUMBER($E969),$E969&gt;0,$D969&lt;=$E969),$D969/$E969,"")</f>
        <v/>
      </c>
      <c r="P969" s="26" t="n"/>
      <c r="Q969" s="26" t="n"/>
      <c r="R969" s="26" t="n"/>
      <c r="S969" s="26" t="n"/>
      <c r="T969" s="26" t="n"/>
      <c r="V969" s="27">
        <f>IF(ISNUMBER($C969),COUNTIFS($A$14:$A$1213,$A969,$C$14:$C$1213,"&gt;"&amp;$C969)+(COUNTIFS($A$14:$A$1213,$A969,$C$14:$C$1213,"="&amp;$C969)+1)/2,"")</f>
        <v/>
      </c>
      <c r="W969" s="27">
        <f>IF(ISNUMBER($F969),COUNTIFS($A$14:$A$1213,$A969,$F$14:$F$1213,"&gt;"&amp;$F969)+(COUNTIFS($A$14:$A$1213,$A969,$F$14:$F$1213,"="&amp;$F969)+1)/2,"")</f>
        <v/>
      </c>
      <c r="X969" s="27">
        <f>IF(OR(NOT(ISNUMBER($V969)),$AO969=1),"",$V969-(COUNTIFS($A$14:$A$1213,$A969,$C$14:$C$1213,"&gt;=0")+1)/2)</f>
        <v/>
      </c>
      <c r="Y969" s="27">
        <f>IF(OR(NOT(ISNUMBER($W969)),$AO969=1),"",$W969-(COUNTIFS($A$14:$A$1213,$A969,$F$14:$F$1213,"&gt;=0")+1)/2)</f>
        <v/>
      </c>
      <c r="Z969" s="27">
        <f>IF(ISNUMBER($V969),$A969&amp;"|"&amp;$V969,"")</f>
        <v/>
      </c>
      <c r="AA969" s="27">
        <f>IF(ISNUMBER($W969),$A969&amp;"|"&amp;$W969,"")</f>
        <v/>
      </c>
      <c r="AB969" s="27">
        <f>IF(ISNUMBER($F969),$A969&amp;"|"&amp;$F969,"")</f>
        <v/>
      </c>
      <c r="AC969" s="27">
        <f>IF(ISNUMBER($P969),COUNTIFS($A$14:$A$1213,$A969,$P$14:$P$1213,"&gt;"&amp;$P969)+(COUNTIFS($A$14:$A$1213,$A969,$P$14:$P$1213,"="&amp;$P969)+1)/2,"")</f>
        <v/>
      </c>
      <c r="AD969" s="27">
        <f>IF(ISNUMBER($Q969),COUNTIFS($A$14:$A$1213,$A969,$Q$14:$Q$1213,"&gt;"&amp;$Q969)+(COUNTIFS($A$14:$A$1213,$A969,$Q$14:$Q$1213,"="&amp;$Q969)+1)/2,"")</f>
        <v/>
      </c>
      <c r="AE969" s="27">
        <f>IF(ISNUMBER($R969),COUNTIFS($A$14:$A$1213,$A969,$R$14:$R$1213,"&gt;"&amp;$R969)+(COUNTIFS($A$14:$A$1213,$A969,$R$14:$R$1213,"="&amp;$R969)+1)/2,"")</f>
        <v/>
      </c>
      <c r="AF969" s="27">
        <f>IF(ISNUMBER($S969),COUNTIFS($A$14:$A$1213,$A969,$S$14:$S$1213,"&gt;"&amp;$S969)+(COUNTIFS($A$14:$A$1213,$A969,$S$14:$S$1213,"="&amp;$S969)+1)/2,"")</f>
        <v/>
      </c>
      <c r="AG969" s="27">
        <f>IF(ISNUMBER($T969),COUNTIFS($A$14:$A$1213,$A969,$T$14:$T$1213,"&gt;"&amp;$T969)+(COUNTIFS($A$14:$A$1213,$A969,$T$14:$T$1213,"="&amp;$T969)+1)/2,"")</f>
        <v/>
      </c>
      <c r="AH969" s="27">
        <f>IF(COUNT($AC969:$AG969)&lt;2,"",IF(MAX($AC969:$AG969)=MIN($AC969:$AG969),0,1))</f>
        <v/>
      </c>
      <c r="AI969" s="27">
        <f>IF($A969="","",IF(COUNTIF($A$14:$A969,$A969)=1,COUNTIF($AI$13:AI968,"&gt;0")+1,""))</f>
        <v/>
      </c>
      <c r="AO969" s="27">
        <f>IF($A969="","",IF(AND(COUNTIFS($A$14:$A$1213,$A969,$F$14:$F$1213,"&gt;=0")=2,IFERROR(INDEX($M$14:$M$313,MATCH($A969,$H$14:$H$313,0)),"Yes")&lt;&gt;"Yes"),1,0))</f>
        <v/>
      </c>
    </row>
    <row r="970">
      <c r="A970" s="19" t="n"/>
      <c r="B970" s="20" t="n"/>
      <c r="C970" s="21">
        <f>IFERROR(AVERAGE(P970:T970),"")</f>
        <v/>
      </c>
      <c r="D970" s="29" t="n"/>
      <c r="E970" s="29" t="n"/>
      <c r="F970" s="30">
        <f>IF(AND(ISNUMBER($D970),ISNUMBER($E970),$E970&gt;0,$D970&lt;=$E970),$D970/$E970,"")</f>
        <v/>
      </c>
      <c r="P970" s="26" t="n"/>
      <c r="Q970" s="26" t="n"/>
      <c r="R970" s="26" t="n"/>
      <c r="S970" s="26" t="n"/>
      <c r="T970" s="26" t="n"/>
      <c r="V970" s="27">
        <f>IF(ISNUMBER($C970),COUNTIFS($A$14:$A$1213,$A970,$C$14:$C$1213,"&gt;"&amp;$C970)+(COUNTIFS($A$14:$A$1213,$A970,$C$14:$C$1213,"="&amp;$C970)+1)/2,"")</f>
        <v/>
      </c>
      <c r="W970" s="27">
        <f>IF(ISNUMBER($F970),COUNTIFS($A$14:$A$1213,$A970,$F$14:$F$1213,"&gt;"&amp;$F970)+(COUNTIFS($A$14:$A$1213,$A970,$F$14:$F$1213,"="&amp;$F970)+1)/2,"")</f>
        <v/>
      </c>
      <c r="X970" s="27">
        <f>IF(OR(NOT(ISNUMBER($V970)),$AO970=1),"",$V970-(COUNTIFS($A$14:$A$1213,$A970,$C$14:$C$1213,"&gt;=0")+1)/2)</f>
        <v/>
      </c>
      <c r="Y970" s="27">
        <f>IF(OR(NOT(ISNUMBER($W970)),$AO970=1),"",$W970-(COUNTIFS($A$14:$A$1213,$A970,$F$14:$F$1213,"&gt;=0")+1)/2)</f>
        <v/>
      </c>
      <c r="Z970" s="27">
        <f>IF(ISNUMBER($V970),$A970&amp;"|"&amp;$V970,"")</f>
        <v/>
      </c>
      <c r="AA970" s="27">
        <f>IF(ISNUMBER($W970),$A970&amp;"|"&amp;$W970,"")</f>
        <v/>
      </c>
      <c r="AB970" s="27">
        <f>IF(ISNUMBER($F970),$A970&amp;"|"&amp;$F970,"")</f>
        <v/>
      </c>
      <c r="AC970" s="27">
        <f>IF(ISNUMBER($P970),COUNTIFS($A$14:$A$1213,$A970,$P$14:$P$1213,"&gt;"&amp;$P970)+(COUNTIFS($A$14:$A$1213,$A970,$P$14:$P$1213,"="&amp;$P970)+1)/2,"")</f>
        <v/>
      </c>
      <c r="AD970" s="27">
        <f>IF(ISNUMBER($Q970),COUNTIFS($A$14:$A$1213,$A970,$Q$14:$Q$1213,"&gt;"&amp;$Q970)+(COUNTIFS($A$14:$A$1213,$A970,$Q$14:$Q$1213,"="&amp;$Q970)+1)/2,"")</f>
        <v/>
      </c>
      <c r="AE970" s="27">
        <f>IF(ISNUMBER($R970),COUNTIFS($A$14:$A$1213,$A970,$R$14:$R$1213,"&gt;"&amp;$R970)+(COUNTIFS($A$14:$A$1213,$A970,$R$14:$R$1213,"="&amp;$R970)+1)/2,"")</f>
        <v/>
      </c>
      <c r="AF970" s="27">
        <f>IF(ISNUMBER($S970),COUNTIFS($A$14:$A$1213,$A970,$S$14:$S$1213,"&gt;"&amp;$S970)+(COUNTIFS($A$14:$A$1213,$A970,$S$14:$S$1213,"="&amp;$S970)+1)/2,"")</f>
        <v/>
      </c>
      <c r="AG970" s="27">
        <f>IF(ISNUMBER($T970),COUNTIFS($A$14:$A$1213,$A970,$T$14:$T$1213,"&gt;"&amp;$T970)+(COUNTIFS($A$14:$A$1213,$A970,$T$14:$T$1213,"="&amp;$T970)+1)/2,"")</f>
        <v/>
      </c>
      <c r="AH970" s="27">
        <f>IF(COUNT($AC970:$AG970)&lt;2,"",IF(MAX($AC970:$AG970)=MIN($AC970:$AG970),0,1))</f>
        <v/>
      </c>
      <c r="AI970" s="27">
        <f>IF($A970="","",IF(COUNTIF($A$14:$A970,$A970)=1,COUNTIF($AI$13:AI969,"&gt;0")+1,""))</f>
        <v/>
      </c>
      <c r="AO970" s="27">
        <f>IF($A970="","",IF(AND(COUNTIFS($A$14:$A$1213,$A970,$F$14:$F$1213,"&gt;=0")=2,IFERROR(INDEX($M$14:$M$313,MATCH($A970,$H$14:$H$313,0)),"Yes")&lt;&gt;"Yes"),1,0))</f>
        <v/>
      </c>
    </row>
    <row r="971">
      <c r="A971" s="19" t="n"/>
      <c r="B971" s="20" t="n"/>
      <c r="C971" s="21">
        <f>IFERROR(AVERAGE(P971:T971),"")</f>
        <v/>
      </c>
      <c r="D971" s="29" t="n"/>
      <c r="E971" s="29" t="n"/>
      <c r="F971" s="30">
        <f>IF(AND(ISNUMBER($D971),ISNUMBER($E971),$E971&gt;0,$D971&lt;=$E971),$D971/$E971,"")</f>
        <v/>
      </c>
      <c r="P971" s="26" t="n"/>
      <c r="Q971" s="26" t="n"/>
      <c r="R971" s="26" t="n"/>
      <c r="S971" s="26" t="n"/>
      <c r="T971" s="26" t="n"/>
      <c r="V971" s="27">
        <f>IF(ISNUMBER($C971),COUNTIFS($A$14:$A$1213,$A971,$C$14:$C$1213,"&gt;"&amp;$C971)+(COUNTIFS($A$14:$A$1213,$A971,$C$14:$C$1213,"="&amp;$C971)+1)/2,"")</f>
        <v/>
      </c>
      <c r="W971" s="27">
        <f>IF(ISNUMBER($F971),COUNTIFS($A$14:$A$1213,$A971,$F$14:$F$1213,"&gt;"&amp;$F971)+(COUNTIFS($A$14:$A$1213,$A971,$F$14:$F$1213,"="&amp;$F971)+1)/2,"")</f>
        <v/>
      </c>
      <c r="X971" s="27">
        <f>IF(OR(NOT(ISNUMBER($V971)),$AO971=1),"",$V971-(COUNTIFS($A$14:$A$1213,$A971,$C$14:$C$1213,"&gt;=0")+1)/2)</f>
        <v/>
      </c>
      <c r="Y971" s="27">
        <f>IF(OR(NOT(ISNUMBER($W971)),$AO971=1),"",$W971-(COUNTIFS($A$14:$A$1213,$A971,$F$14:$F$1213,"&gt;=0")+1)/2)</f>
        <v/>
      </c>
      <c r="Z971" s="27">
        <f>IF(ISNUMBER($V971),$A971&amp;"|"&amp;$V971,"")</f>
        <v/>
      </c>
      <c r="AA971" s="27">
        <f>IF(ISNUMBER($W971),$A971&amp;"|"&amp;$W971,"")</f>
        <v/>
      </c>
      <c r="AB971" s="27">
        <f>IF(ISNUMBER($F971),$A971&amp;"|"&amp;$F971,"")</f>
        <v/>
      </c>
      <c r="AC971" s="27">
        <f>IF(ISNUMBER($P971),COUNTIFS($A$14:$A$1213,$A971,$P$14:$P$1213,"&gt;"&amp;$P971)+(COUNTIFS($A$14:$A$1213,$A971,$P$14:$P$1213,"="&amp;$P971)+1)/2,"")</f>
        <v/>
      </c>
      <c r="AD971" s="27">
        <f>IF(ISNUMBER($Q971),COUNTIFS($A$14:$A$1213,$A971,$Q$14:$Q$1213,"&gt;"&amp;$Q971)+(COUNTIFS($A$14:$A$1213,$A971,$Q$14:$Q$1213,"="&amp;$Q971)+1)/2,"")</f>
        <v/>
      </c>
      <c r="AE971" s="27">
        <f>IF(ISNUMBER($R971),COUNTIFS($A$14:$A$1213,$A971,$R$14:$R$1213,"&gt;"&amp;$R971)+(COUNTIFS($A$14:$A$1213,$A971,$R$14:$R$1213,"="&amp;$R971)+1)/2,"")</f>
        <v/>
      </c>
      <c r="AF971" s="27">
        <f>IF(ISNUMBER($S971),COUNTIFS($A$14:$A$1213,$A971,$S$14:$S$1213,"&gt;"&amp;$S971)+(COUNTIFS($A$14:$A$1213,$A971,$S$14:$S$1213,"="&amp;$S971)+1)/2,"")</f>
        <v/>
      </c>
      <c r="AG971" s="27">
        <f>IF(ISNUMBER($T971),COUNTIFS($A$14:$A$1213,$A971,$T$14:$T$1213,"&gt;"&amp;$T971)+(COUNTIFS($A$14:$A$1213,$A971,$T$14:$T$1213,"="&amp;$T971)+1)/2,"")</f>
        <v/>
      </c>
      <c r="AH971" s="27">
        <f>IF(COUNT($AC971:$AG971)&lt;2,"",IF(MAX($AC971:$AG971)=MIN($AC971:$AG971),0,1))</f>
        <v/>
      </c>
      <c r="AI971" s="27">
        <f>IF($A971="","",IF(COUNTIF($A$14:$A971,$A971)=1,COUNTIF($AI$13:AI970,"&gt;0")+1,""))</f>
        <v/>
      </c>
      <c r="AO971" s="27">
        <f>IF($A971="","",IF(AND(COUNTIFS($A$14:$A$1213,$A971,$F$14:$F$1213,"&gt;=0")=2,IFERROR(INDEX($M$14:$M$313,MATCH($A971,$H$14:$H$313,0)),"Yes")&lt;&gt;"Yes"),1,0))</f>
        <v/>
      </c>
    </row>
    <row r="972">
      <c r="A972" s="19" t="n"/>
      <c r="B972" s="20" t="n"/>
      <c r="C972" s="21">
        <f>IFERROR(AVERAGE(P972:T972),"")</f>
        <v/>
      </c>
      <c r="D972" s="29" t="n"/>
      <c r="E972" s="29" t="n"/>
      <c r="F972" s="30">
        <f>IF(AND(ISNUMBER($D972),ISNUMBER($E972),$E972&gt;0,$D972&lt;=$E972),$D972/$E972,"")</f>
        <v/>
      </c>
      <c r="P972" s="26" t="n"/>
      <c r="Q972" s="26" t="n"/>
      <c r="R972" s="26" t="n"/>
      <c r="S972" s="26" t="n"/>
      <c r="T972" s="26" t="n"/>
      <c r="V972" s="27">
        <f>IF(ISNUMBER($C972),COUNTIFS($A$14:$A$1213,$A972,$C$14:$C$1213,"&gt;"&amp;$C972)+(COUNTIFS($A$14:$A$1213,$A972,$C$14:$C$1213,"="&amp;$C972)+1)/2,"")</f>
        <v/>
      </c>
      <c r="W972" s="27">
        <f>IF(ISNUMBER($F972),COUNTIFS($A$14:$A$1213,$A972,$F$14:$F$1213,"&gt;"&amp;$F972)+(COUNTIFS($A$14:$A$1213,$A972,$F$14:$F$1213,"="&amp;$F972)+1)/2,"")</f>
        <v/>
      </c>
      <c r="X972" s="27">
        <f>IF(OR(NOT(ISNUMBER($V972)),$AO972=1),"",$V972-(COUNTIFS($A$14:$A$1213,$A972,$C$14:$C$1213,"&gt;=0")+1)/2)</f>
        <v/>
      </c>
      <c r="Y972" s="27">
        <f>IF(OR(NOT(ISNUMBER($W972)),$AO972=1),"",$W972-(COUNTIFS($A$14:$A$1213,$A972,$F$14:$F$1213,"&gt;=0")+1)/2)</f>
        <v/>
      </c>
      <c r="Z972" s="27">
        <f>IF(ISNUMBER($V972),$A972&amp;"|"&amp;$V972,"")</f>
        <v/>
      </c>
      <c r="AA972" s="27">
        <f>IF(ISNUMBER($W972),$A972&amp;"|"&amp;$W972,"")</f>
        <v/>
      </c>
      <c r="AB972" s="27">
        <f>IF(ISNUMBER($F972),$A972&amp;"|"&amp;$F972,"")</f>
        <v/>
      </c>
      <c r="AC972" s="27">
        <f>IF(ISNUMBER($P972),COUNTIFS($A$14:$A$1213,$A972,$P$14:$P$1213,"&gt;"&amp;$P972)+(COUNTIFS($A$14:$A$1213,$A972,$P$14:$P$1213,"="&amp;$P972)+1)/2,"")</f>
        <v/>
      </c>
      <c r="AD972" s="27">
        <f>IF(ISNUMBER($Q972),COUNTIFS($A$14:$A$1213,$A972,$Q$14:$Q$1213,"&gt;"&amp;$Q972)+(COUNTIFS($A$14:$A$1213,$A972,$Q$14:$Q$1213,"="&amp;$Q972)+1)/2,"")</f>
        <v/>
      </c>
      <c r="AE972" s="27">
        <f>IF(ISNUMBER($R972),COUNTIFS($A$14:$A$1213,$A972,$R$14:$R$1213,"&gt;"&amp;$R972)+(COUNTIFS($A$14:$A$1213,$A972,$R$14:$R$1213,"="&amp;$R972)+1)/2,"")</f>
        <v/>
      </c>
      <c r="AF972" s="27">
        <f>IF(ISNUMBER($S972),COUNTIFS($A$14:$A$1213,$A972,$S$14:$S$1213,"&gt;"&amp;$S972)+(COUNTIFS($A$14:$A$1213,$A972,$S$14:$S$1213,"="&amp;$S972)+1)/2,"")</f>
        <v/>
      </c>
      <c r="AG972" s="27">
        <f>IF(ISNUMBER($T972),COUNTIFS($A$14:$A$1213,$A972,$T$14:$T$1213,"&gt;"&amp;$T972)+(COUNTIFS($A$14:$A$1213,$A972,$T$14:$T$1213,"="&amp;$T972)+1)/2,"")</f>
        <v/>
      </c>
      <c r="AH972" s="27">
        <f>IF(COUNT($AC972:$AG972)&lt;2,"",IF(MAX($AC972:$AG972)=MIN($AC972:$AG972),0,1))</f>
        <v/>
      </c>
      <c r="AI972" s="27">
        <f>IF($A972="","",IF(COUNTIF($A$14:$A972,$A972)=1,COUNTIF($AI$13:AI971,"&gt;0")+1,""))</f>
        <v/>
      </c>
      <c r="AO972" s="27">
        <f>IF($A972="","",IF(AND(COUNTIFS($A$14:$A$1213,$A972,$F$14:$F$1213,"&gt;=0")=2,IFERROR(INDEX($M$14:$M$313,MATCH($A972,$H$14:$H$313,0)),"Yes")&lt;&gt;"Yes"),1,0))</f>
        <v/>
      </c>
    </row>
    <row r="973">
      <c r="A973" s="19" t="n"/>
      <c r="B973" s="20" t="n"/>
      <c r="C973" s="21">
        <f>IFERROR(AVERAGE(P973:T973),"")</f>
        <v/>
      </c>
      <c r="D973" s="29" t="n"/>
      <c r="E973" s="29" t="n"/>
      <c r="F973" s="30">
        <f>IF(AND(ISNUMBER($D973),ISNUMBER($E973),$E973&gt;0,$D973&lt;=$E973),$D973/$E973,"")</f>
        <v/>
      </c>
      <c r="P973" s="26" t="n"/>
      <c r="Q973" s="26" t="n"/>
      <c r="R973" s="26" t="n"/>
      <c r="S973" s="26" t="n"/>
      <c r="T973" s="26" t="n"/>
      <c r="V973" s="27">
        <f>IF(ISNUMBER($C973),COUNTIFS($A$14:$A$1213,$A973,$C$14:$C$1213,"&gt;"&amp;$C973)+(COUNTIFS($A$14:$A$1213,$A973,$C$14:$C$1213,"="&amp;$C973)+1)/2,"")</f>
        <v/>
      </c>
      <c r="W973" s="27">
        <f>IF(ISNUMBER($F973),COUNTIFS($A$14:$A$1213,$A973,$F$14:$F$1213,"&gt;"&amp;$F973)+(COUNTIFS($A$14:$A$1213,$A973,$F$14:$F$1213,"="&amp;$F973)+1)/2,"")</f>
        <v/>
      </c>
      <c r="X973" s="27">
        <f>IF(OR(NOT(ISNUMBER($V973)),$AO973=1),"",$V973-(COUNTIFS($A$14:$A$1213,$A973,$C$14:$C$1213,"&gt;=0")+1)/2)</f>
        <v/>
      </c>
      <c r="Y973" s="27">
        <f>IF(OR(NOT(ISNUMBER($W973)),$AO973=1),"",$W973-(COUNTIFS($A$14:$A$1213,$A973,$F$14:$F$1213,"&gt;=0")+1)/2)</f>
        <v/>
      </c>
      <c r="Z973" s="27">
        <f>IF(ISNUMBER($V973),$A973&amp;"|"&amp;$V973,"")</f>
        <v/>
      </c>
      <c r="AA973" s="27">
        <f>IF(ISNUMBER($W973),$A973&amp;"|"&amp;$W973,"")</f>
        <v/>
      </c>
      <c r="AB973" s="27">
        <f>IF(ISNUMBER($F973),$A973&amp;"|"&amp;$F973,"")</f>
        <v/>
      </c>
      <c r="AC973" s="27">
        <f>IF(ISNUMBER($P973),COUNTIFS($A$14:$A$1213,$A973,$P$14:$P$1213,"&gt;"&amp;$P973)+(COUNTIFS($A$14:$A$1213,$A973,$P$14:$P$1213,"="&amp;$P973)+1)/2,"")</f>
        <v/>
      </c>
      <c r="AD973" s="27">
        <f>IF(ISNUMBER($Q973),COUNTIFS($A$14:$A$1213,$A973,$Q$14:$Q$1213,"&gt;"&amp;$Q973)+(COUNTIFS($A$14:$A$1213,$A973,$Q$14:$Q$1213,"="&amp;$Q973)+1)/2,"")</f>
        <v/>
      </c>
      <c r="AE973" s="27">
        <f>IF(ISNUMBER($R973),COUNTIFS($A$14:$A$1213,$A973,$R$14:$R$1213,"&gt;"&amp;$R973)+(COUNTIFS($A$14:$A$1213,$A973,$R$14:$R$1213,"="&amp;$R973)+1)/2,"")</f>
        <v/>
      </c>
      <c r="AF973" s="27">
        <f>IF(ISNUMBER($S973),COUNTIFS($A$14:$A$1213,$A973,$S$14:$S$1213,"&gt;"&amp;$S973)+(COUNTIFS($A$14:$A$1213,$A973,$S$14:$S$1213,"="&amp;$S973)+1)/2,"")</f>
        <v/>
      </c>
      <c r="AG973" s="27">
        <f>IF(ISNUMBER($T973),COUNTIFS($A$14:$A$1213,$A973,$T$14:$T$1213,"&gt;"&amp;$T973)+(COUNTIFS($A$14:$A$1213,$A973,$T$14:$T$1213,"="&amp;$T973)+1)/2,"")</f>
        <v/>
      </c>
      <c r="AH973" s="27">
        <f>IF(COUNT($AC973:$AG973)&lt;2,"",IF(MAX($AC973:$AG973)=MIN($AC973:$AG973),0,1))</f>
        <v/>
      </c>
      <c r="AI973" s="27">
        <f>IF($A973="","",IF(COUNTIF($A$14:$A973,$A973)=1,COUNTIF($AI$13:AI972,"&gt;0")+1,""))</f>
        <v/>
      </c>
      <c r="AO973" s="27">
        <f>IF($A973="","",IF(AND(COUNTIFS($A$14:$A$1213,$A973,$F$14:$F$1213,"&gt;=0")=2,IFERROR(INDEX($M$14:$M$313,MATCH($A973,$H$14:$H$313,0)),"Yes")&lt;&gt;"Yes"),1,0))</f>
        <v/>
      </c>
    </row>
    <row r="974">
      <c r="A974" s="19" t="n"/>
      <c r="B974" s="20" t="n"/>
      <c r="C974" s="21">
        <f>IFERROR(AVERAGE(P974:T974),"")</f>
        <v/>
      </c>
      <c r="D974" s="29" t="n"/>
      <c r="E974" s="29" t="n"/>
      <c r="F974" s="30">
        <f>IF(AND(ISNUMBER($D974),ISNUMBER($E974),$E974&gt;0,$D974&lt;=$E974),$D974/$E974,"")</f>
        <v/>
      </c>
      <c r="P974" s="26" t="n"/>
      <c r="Q974" s="26" t="n"/>
      <c r="R974" s="26" t="n"/>
      <c r="S974" s="26" t="n"/>
      <c r="T974" s="26" t="n"/>
      <c r="V974" s="27">
        <f>IF(ISNUMBER($C974),COUNTIFS($A$14:$A$1213,$A974,$C$14:$C$1213,"&gt;"&amp;$C974)+(COUNTIFS($A$14:$A$1213,$A974,$C$14:$C$1213,"="&amp;$C974)+1)/2,"")</f>
        <v/>
      </c>
      <c r="W974" s="27">
        <f>IF(ISNUMBER($F974),COUNTIFS($A$14:$A$1213,$A974,$F$14:$F$1213,"&gt;"&amp;$F974)+(COUNTIFS($A$14:$A$1213,$A974,$F$14:$F$1213,"="&amp;$F974)+1)/2,"")</f>
        <v/>
      </c>
      <c r="X974" s="27">
        <f>IF(OR(NOT(ISNUMBER($V974)),$AO974=1),"",$V974-(COUNTIFS($A$14:$A$1213,$A974,$C$14:$C$1213,"&gt;=0")+1)/2)</f>
        <v/>
      </c>
      <c r="Y974" s="27">
        <f>IF(OR(NOT(ISNUMBER($W974)),$AO974=1),"",$W974-(COUNTIFS($A$14:$A$1213,$A974,$F$14:$F$1213,"&gt;=0")+1)/2)</f>
        <v/>
      </c>
      <c r="Z974" s="27">
        <f>IF(ISNUMBER($V974),$A974&amp;"|"&amp;$V974,"")</f>
        <v/>
      </c>
      <c r="AA974" s="27">
        <f>IF(ISNUMBER($W974),$A974&amp;"|"&amp;$W974,"")</f>
        <v/>
      </c>
      <c r="AB974" s="27">
        <f>IF(ISNUMBER($F974),$A974&amp;"|"&amp;$F974,"")</f>
        <v/>
      </c>
      <c r="AC974" s="27">
        <f>IF(ISNUMBER($P974),COUNTIFS($A$14:$A$1213,$A974,$P$14:$P$1213,"&gt;"&amp;$P974)+(COUNTIFS($A$14:$A$1213,$A974,$P$14:$P$1213,"="&amp;$P974)+1)/2,"")</f>
        <v/>
      </c>
      <c r="AD974" s="27">
        <f>IF(ISNUMBER($Q974),COUNTIFS($A$14:$A$1213,$A974,$Q$14:$Q$1213,"&gt;"&amp;$Q974)+(COUNTIFS($A$14:$A$1213,$A974,$Q$14:$Q$1213,"="&amp;$Q974)+1)/2,"")</f>
        <v/>
      </c>
      <c r="AE974" s="27">
        <f>IF(ISNUMBER($R974),COUNTIFS($A$14:$A$1213,$A974,$R$14:$R$1213,"&gt;"&amp;$R974)+(COUNTIFS($A$14:$A$1213,$A974,$R$14:$R$1213,"="&amp;$R974)+1)/2,"")</f>
        <v/>
      </c>
      <c r="AF974" s="27">
        <f>IF(ISNUMBER($S974),COUNTIFS($A$14:$A$1213,$A974,$S$14:$S$1213,"&gt;"&amp;$S974)+(COUNTIFS($A$14:$A$1213,$A974,$S$14:$S$1213,"="&amp;$S974)+1)/2,"")</f>
        <v/>
      </c>
      <c r="AG974" s="27">
        <f>IF(ISNUMBER($T974),COUNTIFS($A$14:$A$1213,$A974,$T$14:$T$1213,"&gt;"&amp;$T974)+(COUNTIFS($A$14:$A$1213,$A974,$T$14:$T$1213,"="&amp;$T974)+1)/2,"")</f>
        <v/>
      </c>
      <c r="AH974" s="27">
        <f>IF(COUNT($AC974:$AG974)&lt;2,"",IF(MAX($AC974:$AG974)=MIN($AC974:$AG974),0,1))</f>
        <v/>
      </c>
      <c r="AI974" s="27">
        <f>IF($A974="","",IF(COUNTIF($A$14:$A974,$A974)=1,COUNTIF($AI$13:AI973,"&gt;0")+1,""))</f>
        <v/>
      </c>
      <c r="AO974" s="27">
        <f>IF($A974="","",IF(AND(COUNTIFS($A$14:$A$1213,$A974,$F$14:$F$1213,"&gt;=0")=2,IFERROR(INDEX($M$14:$M$313,MATCH($A974,$H$14:$H$313,0)),"Yes")&lt;&gt;"Yes"),1,0))</f>
        <v/>
      </c>
    </row>
    <row r="975">
      <c r="A975" s="19" t="n"/>
      <c r="B975" s="20" t="n"/>
      <c r="C975" s="21">
        <f>IFERROR(AVERAGE(P975:T975),"")</f>
        <v/>
      </c>
      <c r="D975" s="29" t="n"/>
      <c r="E975" s="29" t="n"/>
      <c r="F975" s="30">
        <f>IF(AND(ISNUMBER($D975),ISNUMBER($E975),$E975&gt;0,$D975&lt;=$E975),$D975/$E975,"")</f>
        <v/>
      </c>
      <c r="P975" s="26" t="n"/>
      <c r="Q975" s="26" t="n"/>
      <c r="R975" s="26" t="n"/>
      <c r="S975" s="26" t="n"/>
      <c r="T975" s="26" t="n"/>
      <c r="V975" s="27">
        <f>IF(ISNUMBER($C975),COUNTIFS($A$14:$A$1213,$A975,$C$14:$C$1213,"&gt;"&amp;$C975)+(COUNTIFS($A$14:$A$1213,$A975,$C$14:$C$1213,"="&amp;$C975)+1)/2,"")</f>
        <v/>
      </c>
      <c r="W975" s="27">
        <f>IF(ISNUMBER($F975),COUNTIFS($A$14:$A$1213,$A975,$F$14:$F$1213,"&gt;"&amp;$F975)+(COUNTIFS($A$14:$A$1213,$A975,$F$14:$F$1213,"="&amp;$F975)+1)/2,"")</f>
        <v/>
      </c>
      <c r="X975" s="27">
        <f>IF(OR(NOT(ISNUMBER($V975)),$AO975=1),"",$V975-(COUNTIFS($A$14:$A$1213,$A975,$C$14:$C$1213,"&gt;=0")+1)/2)</f>
        <v/>
      </c>
      <c r="Y975" s="27">
        <f>IF(OR(NOT(ISNUMBER($W975)),$AO975=1),"",$W975-(COUNTIFS($A$14:$A$1213,$A975,$F$14:$F$1213,"&gt;=0")+1)/2)</f>
        <v/>
      </c>
      <c r="Z975" s="27">
        <f>IF(ISNUMBER($V975),$A975&amp;"|"&amp;$V975,"")</f>
        <v/>
      </c>
      <c r="AA975" s="27">
        <f>IF(ISNUMBER($W975),$A975&amp;"|"&amp;$W975,"")</f>
        <v/>
      </c>
      <c r="AB975" s="27">
        <f>IF(ISNUMBER($F975),$A975&amp;"|"&amp;$F975,"")</f>
        <v/>
      </c>
      <c r="AC975" s="27">
        <f>IF(ISNUMBER($P975),COUNTIFS($A$14:$A$1213,$A975,$P$14:$P$1213,"&gt;"&amp;$P975)+(COUNTIFS($A$14:$A$1213,$A975,$P$14:$P$1213,"="&amp;$P975)+1)/2,"")</f>
        <v/>
      </c>
      <c r="AD975" s="27">
        <f>IF(ISNUMBER($Q975),COUNTIFS($A$14:$A$1213,$A975,$Q$14:$Q$1213,"&gt;"&amp;$Q975)+(COUNTIFS($A$14:$A$1213,$A975,$Q$14:$Q$1213,"="&amp;$Q975)+1)/2,"")</f>
        <v/>
      </c>
      <c r="AE975" s="27">
        <f>IF(ISNUMBER($R975),COUNTIFS($A$14:$A$1213,$A975,$R$14:$R$1213,"&gt;"&amp;$R975)+(COUNTIFS($A$14:$A$1213,$A975,$R$14:$R$1213,"="&amp;$R975)+1)/2,"")</f>
        <v/>
      </c>
      <c r="AF975" s="27">
        <f>IF(ISNUMBER($S975),COUNTIFS($A$14:$A$1213,$A975,$S$14:$S$1213,"&gt;"&amp;$S975)+(COUNTIFS($A$14:$A$1213,$A975,$S$14:$S$1213,"="&amp;$S975)+1)/2,"")</f>
        <v/>
      </c>
      <c r="AG975" s="27">
        <f>IF(ISNUMBER($T975),COUNTIFS($A$14:$A$1213,$A975,$T$14:$T$1213,"&gt;"&amp;$T975)+(COUNTIFS($A$14:$A$1213,$A975,$T$14:$T$1213,"="&amp;$T975)+1)/2,"")</f>
        <v/>
      </c>
      <c r="AH975" s="27">
        <f>IF(COUNT($AC975:$AG975)&lt;2,"",IF(MAX($AC975:$AG975)=MIN($AC975:$AG975),0,1))</f>
        <v/>
      </c>
      <c r="AI975" s="27">
        <f>IF($A975="","",IF(COUNTIF($A$14:$A975,$A975)=1,COUNTIF($AI$13:AI974,"&gt;0")+1,""))</f>
        <v/>
      </c>
      <c r="AO975" s="27">
        <f>IF($A975="","",IF(AND(COUNTIFS($A$14:$A$1213,$A975,$F$14:$F$1213,"&gt;=0")=2,IFERROR(INDEX($M$14:$M$313,MATCH($A975,$H$14:$H$313,0)),"Yes")&lt;&gt;"Yes"),1,0))</f>
        <v/>
      </c>
    </row>
    <row r="976">
      <c r="A976" s="19" t="n"/>
      <c r="B976" s="20" t="n"/>
      <c r="C976" s="21">
        <f>IFERROR(AVERAGE(P976:T976),"")</f>
        <v/>
      </c>
      <c r="D976" s="29" t="n"/>
      <c r="E976" s="29" t="n"/>
      <c r="F976" s="30">
        <f>IF(AND(ISNUMBER($D976),ISNUMBER($E976),$E976&gt;0,$D976&lt;=$E976),$D976/$E976,"")</f>
        <v/>
      </c>
      <c r="P976" s="26" t="n"/>
      <c r="Q976" s="26" t="n"/>
      <c r="R976" s="26" t="n"/>
      <c r="S976" s="26" t="n"/>
      <c r="T976" s="26" t="n"/>
      <c r="V976" s="27">
        <f>IF(ISNUMBER($C976),COUNTIFS($A$14:$A$1213,$A976,$C$14:$C$1213,"&gt;"&amp;$C976)+(COUNTIFS($A$14:$A$1213,$A976,$C$14:$C$1213,"="&amp;$C976)+1)/2,"")</f>
        <v/>
      </c>
      <c r="W976" s="27">
        <f>IF(ISNUMBER($F976),COUNTIFS($A$14:$A$1213,$A976,$F$14:$F$1213,"&gt;"&amp;$F976)+(COUNTIFS($A$14:$A$1213,$A976,$F$14:$F$1213,"="&amp;$F976)+1)/2,"")</f>
        <v/>
      </c>
      <c r="X976" s="27">
        <f>IF(OR(NOT(ISNUMBER($V976)),$AO976=1),"",$V976-(COUNTIFS($A$14:$A$1213,$A976,$C$14:$C$1213,"&gt;=0")+1)/2)</f>
        <v/>
      </c>
      <c r="Y976" s="27">
        <f>IF(OR(NOT(ISNUMBER($W976)),$AO976=1),"",$W976-(COUNTIFS($A$14:$A$1213,$A976,$F$14:$F$1213,"&gt;=0")+1)/2)</f>
        <v/>
      </c>
      <c r="Z976" s="27">
        <f>IF(ISNUMBER($V976),$A976&amp;"|"&amp;$V976,"")</f>
        <v/>
      </c>
      <c r="AA976" s="27">
        <f>IF(ISNUMBER($W976),$A976&amp;"|"&amp;$W976,"")</f>
        <v/>
      </c>
      <c r="AB976" s="27">
        <f>IF(ISNUMBER($F976),$A976&amp;"|"&amp;$F976,"")</f>
        <v/>
      </c>
      <c r="AC976" s="27">
        <f>IF(ISNUMBER($P976),COUNTIFS($A$14:$A$1213,$A976,$P$14:$P$1213,"&gt;"&amp;$P976)+(COUNTIFS($A$14:$A$1213,$A976,$P$14:$P$1213,"="&amp;$P976)+1)/2,"")</f>
        <v/>
      </c>
      <c r="AD976" s="27">
        <f>IF(ISNUMBER($Q976),COUNTIFS($A$14:$A$1213,$A976,$Q$14:$Q$1213,"&gt;"&amp;$Q976)+(COUNTIFS($A$14:$A$1213,$A976,$Q$14:$Q$1213,"="&amp;$Q976)+1)/2,"")</f>
        <v/>
      </c>
      <c r="AE976" s="27">
        <f>IF(ISNUMBER($R976),COUNTIFS($A$14:$A$1213,$A976,$R$14:$R$1213,"&gt;"&amp;$R976)+(COUNTIFS($A$14:$A$1213,$A976,$R$14:$R$1213,"="&amp;$R976)+1)/2,"")</f>
        <v/>
      </c>
      <c r="AF976" s="27">
        <f>IF(ISNUMBER($S976),COUNTIFS($A$14:$A$1213,$A976,$S$14:$S$1213,"&gt;"&amp;$S976)+(COUNTIFS($A$14:$A$1213,$A976,$S$14:$S$1213,"="&amp;$S976)+1)/2,"")</f>
        <v/>
      </c>
      <c r="AG976" s="27">
        <f>IF(ISNUMBER($T976),COUNTIFS($A$14:$A$1213,$A976,$T$14:$T$1213,"&gt;"&amp;$T976)+(COUNTIFS($A$14:$A$1213,$A976,$T$14:$T$1213,"="&amp;$T976)+1)/2,"")</f>
        <v/>
      </c>
      <c r="AH976" s="27">
        <f>IF(COUNT($AC976:$AG976)&lt;2,"",IF(MAX($AC976:$AG976)=MIN($AC976:$AG976),0,1))</f>
        <v/>
      </c>
      <c r="AI976" s="27">
        <f>IF($A976="","",IF(COUNTIF($A$14:$A976,$A976)=1,COUNTIF($AI$13:AI975,"&gt;0")+1,""))</f>
        <v/>
      </c>
      <c r="AO976" s="27">
        <f>IF($A976="","",IF(AND(COUNTIFS($A$14:$A$1213,$A976,$F$14:$F$1213,"&gt;=0")=2,IFERROR(INDEX($M$14:$M$313,MATCH($A976,$H$14:$H$313,0)),"Yes")&lt;&gt;"Yes"),1,0))</f>
        <v/>
      </c>
    </row>
    <row r="977">
      <c r="A977" s="19" t="n"/>
      <c r="B977" s="20" t="n"/>
      <c r="C977" s="21">
        <f>IFERROR(AVERAGE(P977:T977),"")</f>
        <v/>
      </c>
      <c r="D977" s="29" t="n"/>
      <c r="E977" s="29" t="n"/>
      <c r="F977" s="30">
        <f>IF(AND(ISNUMBER($D977),ISNUMBER($E977),$E977&gt;0,$D977&lt;=$E977),$D977/$E977,"")</f>
        <v/>
      </c>
      <c r="P977" s="26" t="n"/>
      <c r="Q977" s="26" t="n"/>
      <c r="R977" s="26" t="n"/>
      <c r="S977" s="26" t="n"/>
      <c r="T977" s="26" t="n"/>
      <c r="V977" s="27">
        <f>IF(ISNUMBER($C977),COUNTIFS($A$14:$A$1213,$A977,$C$14:$C$1213,"&gt;"&amp;$C977)+(COUNTIFS($A$14:$A$1213,$A977,$C$14:$C$1213,"="&amp;$C977)+1)/2,"")</f>
        <v/>
      </c>
      <c r="W977" s="27">
        <f>IF(ISNUMBER($F977),COUNTIFS($A$14:$A$1213,$A977,$F$14:$F$1213,"&gt;"&amp;$F977)+(COUNTIFS($A$14:$A$1213,$A977,$F$14:$F$1213,"="&amp;$F977)+1)/2,"")</f>
        <v/>
      </c>
      <c r="X977" s="27">
        <f>IF(OR(NOT(ISNUMBER($V977)),$AO977=1),"",$V977-(COUNTIFS($A$14:$A$1213,$A977,$C$14:$C$1213,"&gt;=0")+1)/2)</f>
        <v/>
      </c>
      <c r="Y977" s="27">
        <f>IF(OR(NOT(ISNUMBER($W977)),$AO977=1),"",$W977-(COUNTIFS($A$14:$A$1213,$A977,$F$14:$F$1213,"&gt;=0")+1)/2)</f>
        <v/>
      </c>
      <c r="Z977" s="27">
        <f>IF(ISNUMBER($V977),$A977&amp;"|"&amp;$V977,"")</f>
        <v/>
      </c>
      <c r="AA977" s="27">
        <f>IF(ISNUMBER($W977),$A977&amp;"|"&amp;$W977,"")</f>
        <v/>
      </c>
      <c r="AB977" s="27">
        <f>IF(ISNUMBER($F977),$A977&amp;"|"&amp;$F977,"")</f>
        <v/>
      </c>
      <c r="AC977" s="27">
        <f>IF(ISNUMBER($P977),COUNTIFS($A$14:$A$1213,$A977,$P$14:$P$1213,"&gt;"&amp;$P977)+(COUNTIFS($A$14:$A$1213,$A977,$P$14:$P$1213,"="&amp;$P977)+1)/2,"")</f>
        <v/>
      </c>
      <c r="AD977" s="27">
        <f>IF(ISNUMBER($Q977),COUNTIFS($A$14:$A$1213,$A977,$Q$14:$Q$1213,"&gt;"&amp;$Q977)+(COUNTIFS($A$14:$A$1213,$A977,$Q$14:$Q$1213,"="&amp;$Q977)+1)/2,"")</f>
        <v/>
      </c>
      <c r="AE977" s="27">
        <f>IF(ISNUMBER($R977),COUNTIFS($A$14:$A$1213,$A977,$R$14:$R$1213,"&gt;"&amp;$R977)+(COUNTIFS($A$14:$A$1213,$A977,$R$14:$R$1213,"="&amp;$R977)+1)/2,"")</f>
        <v/>
      </c>
      <c r="AF977" s="27">
        <f>IF(ISNUMBER($S977),COUNTIFS($A$14:$A$1213,$A977,$S$14:$S$1213,"&gt;"&amp;$S977)+(COUNTIFS($A$14:$A$1213,$A977,$S$14:$S$1213,"="&amp;$S977)+1)/2,"")</f>
        <v/>
      </c>
      <c r="AG977" s="27">
        <f>IF(ISNUMBER($T977),COUNTIFS($A$14:$A$1213,$A977,$T$14:$T$1213,"&gt;"&amp;$T977)+(COUNTIFS($A$14:$A$1213,$A977,$T$14:$T$1213,"="&amp;$T977)+1)/2,"")</f>
        <v/>
      </c>
      <c r="AH977" s="27">
        <f>IF(COUNT($AC977:$AG977)&lt;2,"",IF(MAX($AC977:$AG977)=MIN($AC977:$AG977),0,1))</f>
        <v/>
      </c>
      <c r="AI977" s="27">
        <f>IF($A977="","",IF(COUNTIF($A$14:$A977,$A977)=1,COUNTIF($AI$13:AI976,"&gt;0")+1,""))</f>
        <v/>
      </c>
      <c r="AO977" s="27">
        <f>IF($A977="","",IF(AND(COUNTIFS($A$14:$A$1213,$A977,$F$14:$F$1213,"&gt;=0")=2,IFERROR(INDEX($M$14:$M$313,MATCH($A977,$H$14:$H$313,0)),"Yes")&lt;&gt;"Yes"),1,0))</f>
        <v/>
      </c>
    </row>
    <row r="978">
      <c r="A978" s="19" t="n"/>
      <c r="B978" s="20" t="n"/>
      <c r="C978" s="21">
        <f>IFERROR(AVERAGE(P978:T978),"")</f>
        <v/>
      </c>
      <c r="D978" s="29" t="n"/>
      <c r="E978" s="29" t="n"/>
      <c r="F978" s="30">
        <f>IF(AND(ISNUMBER($D978),ISNUMBER($E978),$E978&gt;0,$D978&lt;=$E978),$D978/$E978,"")</f>
        <v/>
      </c>
      <c r="P978" s="26" t="n"/>
      <c r="Q978" s="26" t="n"/>
      <c r="R978" s="26" t="n"/>
      <c r="S978" s="26" t="n"/>
      <c r="T978" s="26" t="n"/>
      <c r="V978" s="27">
        <f>IF(ISNUMBER($C978),COUNTIFS($A$14:$A$1213,$A978,$C$14:$C$1213,"&gt;"&amp;$C978)+(COUNTIFS($A$14:$A$1213,$A978,$C$14:$C$1213,"="&amp;$C978)+1)/2,"")</f>
        <v/>
      </c>
      <c r="W978" s="27">
        <f>IF(ISNUMBER($F978),COUNTIFS($A$14:$A$1213,$A978,$F$14:$F$1213,"&gt;"&amp;$F978)+(COUNTIFS($A$14:$A$1213,$A978,$F$14:$F$1213,"="&amp;$F978)+1)/2,"")</f>
        <v/>
      </c>
      <c r="X978" s="27">
        <f>IF(OR(NOT(ISNUMBER($V978)),$AO978=1),"",$V978-(COUNTIFS($A$14:$A$1213,$A978,$C$14:$C$1213,"&gt;=0")+1)/2)</f>
        <v/>
      </c>
      <c r="Y978" s="27">
        <f>IF(OR(NOT(ISNUMBER($W978)),$AO978=1),"",$W978-(COUNTIFS($A$14:$A$1213,$A978,$F$14:$F$1213,"&gt;=0")+1)/2)</f>
        <v/>
      </c>
      <c r="Z978" s="27">
        <f>IF(ISNUMBER($V978),$A978&amp;"|"&amp;$V978,"")</f>
        <v/>
      </c>
      <c r="AA978" s="27">
        <f>IF(ISNUMBER($W978),$A978&amp;"|"&amp;$W978,"")</f>
        <v/>
      </c>
      <c r="AB978" s="27">
        <f>IF(ISNUMBER($F978),$A978&amp;"|"&amp;$F978,"")</f>
        <v/>
      </c>
      <c r="AC978" s="27">
        <f>IF(ISNUMBER($P978),COUNTIFS($A$14:$A$1213,$A978,$P$14:$P$1213,"&gt;"&amp;$P978)+(COUNTIFS($A$14:$A$1213,$A978,$P$14:$P$1213,"="&amp;$P978)+1)/2,"")</f>
        <v/>
      </c>
      <c r="AD978" s="27">
        <f>IF(ISNUMBER($Q978),COUNTIFS($A$14:$A$1213,$A978,$Q$14:$Q$1213,"&gt;"&amp;$Q978)+(COUNTIFS($A$14:$A$1213,$A978,$Q$14:$Q$1213,"="&amp;$Q978)+1)/2,"")</f>
        <v/>
      </c>
      <c r="AE978" s="27">
        <f>IF(ISNUMBER($R978),COUNTIFS($A$14:$A$1213,$A978,$R$14:$R$1213,"&gt;"&amp;$R978)+(COUNTIFS($A$14:$A$1213,$A978,$R$14:$R$1213,"="&amp;$R978)+1)/2,"")</f>
        <v/>
      </c>
      <c r="AF978" s="27">
        <f>IF(ISNUMBER($S978),COUNTIFS($A$14:$A$1213,$A978,$S$14:$S$1213,"&gt;"&amp;$S978)+(COUNTIFS($A$14:$A$1213,$A978,$S$14:$S$1213,"="&amp;$S978)+1)/2,"")</f>
        <v/>
      </c>
      <c r="AG978" s="27">
        <f>IF(ISNUMBER($T978),COUNTIFS($A$14:$A$1213,$A978,$T$14:$T$1213,"&gt;"&amp;$T978)+(COUNTIFS($A$14:$A$1213,$A978,$T$14:$T$1213,"="&amp;$T978)+1)/2,"")</f>
        <v/>
      </c>
      <c r="AH978" s="27">
        <f>IF(COUNT($AC978:$AG978)&lt;2,"",IF(MAX($AC978:$AG978)=MIN($AC978:$AG978),0,1))</f>
        <v/>
      </c>
      <c r="AI978" s="27">
        <f>IF($A978="","",IF(COUNTIF($A$14:$A978,$A978)=1,COUNTIF($AI$13:AI977,"&gt;0")+1,""))</f>
        <v/>
      </c>
      <c r="AO978" s="27">
        <f>IF($A978="","",IF(AND(COUNTIFS($A$14:$A$1213,$A978,$F$14:$F$1213,"&gt;=0")=2,IFERROR(INDEX($M$14:$M$313,MATCH($A978,$H$14:$H$313,0)),"Yes")&lt;&gt;"Yes"),1,0))</f>
        <v/>
      </c>
    </row>
    <row r="979">
      <c r="A979" s="19" t="n"/>
      <c r="B979" s="20" t="n"/>
      <c r="C979" s="21">
        <f>IFERROR(AVERAGE(P979:T979),"")</f>
        <v/>
      </c>
      <c r="D979" s="29" t="n"/>
      <c r="E979" s="29" t="n"/>
      <c r="F979" s="30">
        <f>IF(AND(ISNUMBER($D979),ISNUMBER($E979),$E979&gt;0,$D979&lt;=$E979),$D979/$E979,"")</f>
        <v/>
      </c>
      <c r="P979" s="26" t="n"/>
      <c r="Q979" s="26" t="n"/>
      <c r="R979" s="26" t="n"/>
      <c r="S979" s="26" t="n"/>
      <c r="T979" s="26" t="n"/>
      <c r="V979" s="27">
        <f>IF(ISNUMBER($C979),COUNTIFS($A$14:$A$1213,$A979,$C$14:$C$1213,"&gt;"&amp;$C979)+(COUNTIFS($A$14:$A$1213,$A979,$C$14:$C$1213,"="&amp;$C979)+1)/2,"")</f>
        <v/>
      </c>
      <c r="W979" s="27">
        <f>IF(ISNUMBER($F979),COUNTIFS($A$14:$A$1213,$A979,$F$14:$F$1213,"&gt;"&amp;$F979)+(COUNTIFS($A$14:$A$1213,$A979,$F$14:$F$1213,"="&amp;$F979)+1)/2,"")</f>
        <v/>
      </c>
      <c r="X979" s="27">
        <f>IF(OR(NOT(ISNUMBER($V979)),$AO979=1),"",$V979-(COUNTIFS($A$14:$A$1213,$A979,$C$14:$C$1213,"&gt;=0")+1)/2)</f>
        <v/>
      </c>
      <c r="Y979" s="27">
        <f>IF(OR(NOT(ISNUMBER($W979)),$AO979=1),"",$W979-(COUNTIFS($A$14:$A$1213,$A979,$F$14:$F$1213,"&gt;=0")+1)/2)</f>
        <v/>
      </c>
      <c r="Z979" s="27">
        <f>IF(ISNUMBER($V979),$A979&amp;"|"&amp;$V979,"")</f>
        <v/>
      </c>
      <c r="AA979" s="27">
        <f>IF(ISNUMBER($W979),$A979&amp;"|"&amp;$W979,"")</f>
        <v/>
      </c>
      <c r="AB979" s="27">
        <f>IF(ISNUMBER($F979),$A979&amp;"|"&amp;$F979,"")</f>
        <v/>
      </c>
      <c r="AC979" s="27">
        <f>IF(ISNUMBER($P979),COUNTIFS($A$14:$A$1213,$A979,$P$14:$P$1213,"&gt;"&amp;$P979)+(COUNTIFS($A$14:$A$1213,$A979,$P$14:$P$1213,"="&amp;$P979)+1)/2,"")</f>
        <v/>
      </c>
      <c r="AD979" s="27">
        <f>IF(ISNUMBER($Q979),COUNTIFS($A$14:$A$1213,$A979,$Q$14:$Q$1213,"&gt;"&amp;$Q979)+(COUNTIFS($A$14:$A$1213,$A979,$Q$14:$Q$1213,"="&amp;$Q979)+1)/2,"")</f>
        <v/>
      </c>
      <c r="AE979" s="27">
        <f>IF(ISNUMBER($R979),COUNTIFS($A$14:$A$1213,$A979,$R$14:$R$1213,"&gt;"&amp;$R979)+(COUNTIFS($A$14:$A$1213,$A979,$R$14:$R$1213,"="&amp;$R979)+1)/2,"")</f>
        <v/>
      </c>
      <c r="AF979" s="27">
        <f>IF(ISNUMBER($S979),COUNTIFS($A$14:$A$1213,$A979,$S$14:$S$1213,"&gt;"&amp;$S979)+(COUNTIFS($A$14:$A$1213,$A979,$S$14:$S$1213,"="&amp;$S979)+1)/2,"")</f>
        <v/>
      </c>
      <c r="AG979" s="27">
        <f>IF(ISNUMBER($T979),COUNTIFS($A$14:$A$1213,$A979,$T$14:$T$1213,"&gt;"&amp;$T979)+(COUNTIFS($A$14:$A$1213,$A979,$T$14:$T$1213,"="&amp;$T979)+1)/2,"")</f>
        <v/>
      </c>
      <c r="AH979" s="27">
        <f>IF(COUNT($AC979:$AG979)&lt;2,"",IF(MAX($AC979:$AG979)=MIN($AC979:$AG979),0,1))</f>
        <v/>
      </c>
      <c r="AI979" s="27">
        <f>IF($A979="","",IF(COUNTIF($A$14:$A979,$A979)=1,COUNTIF($AI$13:AI978,"&gt;0")+1,""))</f>
        <v/>
      </c>
      <c r="AO979" s="27">
        <f>IF($A979="","",IF(AND(COUNTIFS($A$14:$A$1213,$A979,$F$14:$F$1213,"&gt;=0")=2,IFERROR(INDEX($M$14:$M$313,MATCH($A979,$H$14:$H$313,0)),"Yes")&lt;&gt;"Yes"),1,0))</f>
        <v/>
      </c>
    </row>
    <row r="980">
      <c r="A980" s="19" t="n"/>
      <c r="B980" s="20" t="n"/>
      <c r="C980" s="21">
        <f>IFERROR(AVERAGE(P980:T980),"")</f>
        <v/>
      </c>
      <c r="D980" s="29" t="n"/>
      <c r="E980" s="29" t="n"/>
      <c r="F980" s="30">
        <f>IF(AND(ISNUMBER($D980),ISNUMBER($E980),$E980&gt;0,$D980&lt;=$E980),$D980/$E980,"")</f>
        <v/>
      </c>
      <c r="P980" s="26" t="n"/>
      <c r="Q980" s="26" t="n"/>
      <c r="R980" s="26" t="n"/>
      <c r="S980" s="26" t="n"/>
      <c r="T980" s="26" t="n"/>
      <c r="V980" s="27">
        <f>IF(ISNUMBER($C980),COUNTIFS($A$14:$A$1213,$A980,$C$14:$C$1213,"&gt;"&amp;$C980)+(COUNTIFS($A$14:$A$1213,$A980,$C$14:$C$1213,"="&amp;$C980)+1)/2,"")</f>
        <v/>
      </c>
      <c r="W980" s="27">
        <f>IF(ISNUMBER($F980),COUNTIFS($A$14:$A$1213,$A980,$F$14:$F$1213,"&gt;"&amp;$F980)+(COUNTIFS($A$14:$A$1213,$A980,$F$14:$F$1213,"="&amp;$F980)+1)/2,"")</f>
        <v/>
      </c>
      <c r="X980" s="27">
        <f>IF(OR(NOT(ISNUMBER($V980)),$AO980=1),"",$V980-(COUNTIFS($A$14:$A$1213,$A980,$C$14:$C$1213,"&gt;=0")+1)/2)</f>
        <v/>
      </c>
      <c r="Y980" s="27">
        <f>IF(OR(NOT(ISNUMBER($W980)),$AO980=1),"",$W980-(COUNTIFS($A$14:$A$1213,$A980,$F$14:$F$1213,"&gt;=0")+1)/2)</f>
        <v/>
      </c>
      <c r="Z980" s="27">
        <f>IF(ISNUMBER($V980),$A980&amp;"|"&amp;$V980,"")</f>
        <v/>
      </c>
      <c r="AA980" s="27">
        <f>IF(ISNUMBER($W980),$A980&amp;"|"&amp;$W980,"")</f>
        <v/>
      </c>
      <c r="AB980" s="27">
        <f>IF(ISNUMBER($F980),$A980&amp;"|"&amp;$F980,"")</f>
        <v/>
      </c>
      <c r="AC980" s="27">
        <f>IF(ISNUMBER($P980),COUNTIFS($A$14:$A$1213,$A980,$P$14:$P$1213,"&gt;"&amp;$P980)+(COUNTIFS($A$14:$A$1213,$A980,$P$14:$P$1213,"="&amp;$P980)+1)/2,"")</f>
        <v/>
      </c>
      <c r="AD980" s="27">
        <f>IF(ISNUMBER($Q980),COUNTIFS($A$14:$A$1213,$A980,$Q$14:$Q$1213,"&gt;"&amp;$Q980)+(COUNTIFS($A$14:$A$1213,$A980,$Q$14:$Q$1213,"="&amp;$Q980)+1)/2,"")</f>
        <v/>
      </c>
      <c r="AE980" s="27">
        <f>IF(ISNUMBER($R980),COUNTIFS($A$14:$A$1213,$A980,$R$14:$R$1213,"&gt;"&amp;$R980)+(COUNTIFS($A$14:$A$1213,$A980,$R$14:$R$1213,"="&amp;$R980)+1)/2,"")</f>
        <v/>
      </c>
      <c r="AF980" s="27">
        <f>IF(ISNUMBER($S980),COUNTIFS($A$14:$A$1213,$A980,$S$14:$S$1213,"&gt;"&amp;$S980)+(COUNTIFS($A$14:$A$1213,$A980,$S$14:$S$1213,"="&amp;$S980)+1)/2,"")</f>
        <v/>
      </c>
      <c r="AG980" s="27">
        <f>IF(ISNUMBER($T980),COUNTIFS($A$14:$A$1213,$A980,$T$14:$T$1213,"&gt;"&amp;$T980)+(COUNTIFS($A$14:$A$1213,$A980,$T$14:$T$1213,"="&amp;$T980)+1)/2,"")</f>
        <v/>
      </c>
      <c r="AH980" s="27">
        <f>IF(COUNT($AC980:$AG980)&lt;2,"",IF(MAX($AC980:$AG980)=MIN($AC980:$AG980),0,1))</f>
        <v/>
      </c>
      <c r="AI980" s="27">
        <f>IF($A980="","",IF(COUNTIF($A$14:$A980,$A980)=1,COUNTIF($AI$13:AI979,"&gt;0")+1,""))</f>
        <v/>
      </c>
      <c r="AO980" s="27">
        <f>IF($A980="","",IF(AND(COUNTIFS($A$14:$A$1213,$A980,$F$14:$F$1213,"&gt;=0")=2,IFERROR(INDEX($M$14:$M$313,MATCH($A980,$H$14:$H$313,0)),"Yes")&lt;&gt;"Yes"),1,0))</f>
        <v/>
      </c>
    </row>
    <row r="981">
      <c r="A981" s="19" t="n"/>
      <c r="B981" s="20" t="n"/>
      <c r="C981" s="21">
        <f>IFERROR(AVERAGE(P981:T981),"")</f>
        <v/>
      </c>
      <c r="D981" s="29" t="n"/>
      <c r="E981" s="29" t="n"/>
      <c r="F981" s="30">
        <f>IF(AND(ISNUMBER($D981),ISNUMBER($E981),$E981&gt;0,$D981&lt;=$E981),$D981/$E981,"")</f>
        <v/>
      </c>
      <c r="P981" s="26" t="n"/>
      <c r="Q981" s="26" t="n"/>
      <c r="R981" s="26" t="n"/>
      <c r="S981" s="26" t="n"/>
      <c r="T981" s="26" t="n"/>
      <c r="V981" s="27">
        <f>IF(ISNUMBER($C981),COUNTIFS($A$14:$A$1213,$A981,$C$14:$C$1213,"&gt;"&amp;$C981)+(COUNTIFS($A$14:$A$1213,$A981,$C$14:$C$1213,"="&amp;$C981)+1)/2,"")</f>
        <v/>
      </c>
      <c r="W981" s="27">
        <f>IF(ISNUMBER($F981),COUNTIFS($A$14:$A$1213,$A981,$F$14:$F$1213,"&gt;"&amp;$F981)+(COUNTIFS($A$14:$A$1213,$A981,$F$14:$F$1213,"="&amp;$F981)+1)/2,"")</f>
        <v/>
      </c>
      <c r="X981" s="27">
        <f>IF(OR(NOT(ISNUMBER($V981)),$AO981=1),"",$V981-(COUNTIFS($A$14:$A$1213,$A981,$C$14:$C$1213,"&gt;=0")+1)/2)</f>
        <v/>
      </c>
      <c r="Y981" s="27">
        <f>IF(OR(NOT(ISNUMBER($W981)),$AO981=1),"",$W981-(COUNTIFS($A$14:$A$1213,$A981,$F$14:$F$1213,"&gt;=0")+1)/2)</f>
        <v/>
      </c>
      <c r="Z981" s="27">
        <f>IF(ISNUMBER($V981),$A981&amp;"|"&amp;$V981,"")</f>
        <v/>
      </c>
      <c r="AA981" s="27">
        <f>IF(ISNUMBER($W981),$A981&amp;"|"&amp;$W981,"")</f>
        <v/>
      </c>
      <c r="AB981" s="27">
        <f>IF(ISNUMBER($F981),$A981&amp;"|"&amp;$F981,"")</f>
        <v/>
      </c>
      <c r="AC981" s="27">
        <f>IF(ISNUMBER($P981),COUNTIFS($A$14:$A$1213,$A981,$P$14:$P$1213,"&gt;"&amp;$P981)+(COUNTIFS($A$14:$A$1213,$A981,$P$14:$P$1213,"="&amp;$P981)+1)/2,"")</f>
        <v/>
      </c>
      <c r="AD981" s="27">
        <f>IF(ISNUMBER($Q981),COUNTIFS($A$14:$A$1213,$A981,$Q$14:$Q$1213,"&gt;"&amp;$Q981)+(COUNTIFS($A$14:$A$1213,$A981,$Q$14:$Q$1213,"="&amp;$Q981)+1)/2,"")</f>
        <v/>
      </c>
      <c r="AE981" s="27">
        <f>IF(ISNUMBER($R981),COUNTIFS($A$14:$A$1213,$A981,$R$14:$R$1213,"&gt;"&amp;$R981)+(COUNTIFS($A$14:$A$1213,$A981,$R$14:$R$1213,"="&amp;$R981)+1)/2,"")</f>
        <v/>
      </c>
      <c r="AF981" s="27">
        <f>IF(ISNUMBER($S981),COUNTIFS($A$14:$A$1213,$A981,$S$14:$S$1213,"&gt;"&amp;$S981)+(COUNTIFS($A$14:$A$1213,$A981,$S$14:$S$1213,"="&amp;$S981)+1)/2,"")</f>
        <v/>
      </c>
      <c r="AG981" s="27">
        <f>IF(ISNUMBER($T981),COUNTIFS($A$14:$A$1213,$A981,$T$14:$T$1213,"&gt;"&amp;$T981)+(COUNTIFS($A$14:$A$1213,$A981,$T$14:$T$1213,"="&amp;$T981)+1)/2,"")</f>
        <v/>
      </c>
      <c r="AH981" s="27">
        <f>IF(COUNT($AC981:$AG981)&lt;2,"",IF(MAX($AC981:$AG981)=MIN($AC981:$AG981),0,1))</f>
        <v/>
      </c>
      <c r="AI981" s="27">
        <f>IF($A981="","",IF(COUNTIF($A$14:$A981,$A981)=1,COUNTIF($AI$13:AI980,"&gt;0")+1,""))</f>
        <v/>
      </c>
      <c r="AO981" s="27">
        <f>IF($A981="","",IF(AND(COUNTIFS($A$14:$A$1213,$A981,$F$14:$F$1213,"&gt;=0")=2,IFERROR(INDEX($M$14:$M$313,MATCH($A981,$H$14:$H$313,0)),"Yes")&lt;&gt;"Yes"),1,0))</f>
        <v/>
      </c>
    </row>
    <row r="982">
      <c r="A982" s="19" t="n"/>
      <c r="B982" s="20" t="n"/>
      <c r="C982" s="21">
        <f>IFERROR(AVERAGE(P982:T982),"")</f>
        <v/>
      </c>
      <c r="D982" s="29" t="n"/>
      <c r="E982" s="29" t="n"/>
      <c r="F982" s="30">
        <f>IF(AND(ISNUMBER($D982),ISNUMBER($E982),$E982&gt;0,$D982&lt;=$E982),$D982/$E982,"")</f>
        <v/>
      </c>
      <c r="P982" s="26" t="n"/>
      <c r="Q982" s="26" t="n"/>
      <c r="R982" s="26" t="n"/>
      <c r="S982" s="26" t="n"/>
      <c r="T982" s="26" t="n"/>
      <c r="V982" s="27">
        <f>IF(ISNUMBER($C982),COUNTIFS($A$14:$A$1213,$A982,$C$14:$C$1213,"&gt;"&amp;$C982)+(COUNTIFS($A$14:$A$1213,$A982,$C$14:$C$1213,"="&amp;$C982)+1)/2,"")</f>
        <v/>
      </c>
      <c r="W982" s="27">
        <f>IF(ISNUMBER($F982),COUNTIFS($A$14:$A$1213,$A982,$F$14:$F$1213,"&gt;"&amp;$F982)+(COUNTIFS($A$14:$A$1213,$A982,$F$14:$F$1213,"="&amp;$F982)+1)/2,"")</f>
        <v/>
      </c>
      <c r="X982" s="27">
        <f>IF(OR(NOT(ISNUMBER($V982)),$AO982=1),"",$V982-(COUNTIFS($A$14:$A$1213,$A982,$C$14:$C$1213,"&gt;=0")+1)/2)</f>
        <v/>
      </c>
      <c r="Y982" s="27">
        <f>IF(OR(NOT(ISNUMBER($W982)),$AO982=1),"",$W982-(COUNTIFS($A$14:$A$1213,$A982,$F$14:$F$1213,"&gt;=0")+1)/2)</f>
        <v/>
      </c>
      <c r="Z982" s="27">
        <f>IF(ISNUMBER($V982),$A982&amp;"|"&amp;$V982,"")</f>
        <v/>
      </c>
      <c r="AA982" s="27">
        <f>IF(ISNUMBER($W982),$A982&amp;"|"&amp;$W982,"")</f>
        <v/>
      </c>
      <c r="AB982" s="27">
        <f>IF(ISNUMBER($F982),$A982&amp;"|"&amp;$F982,"")</f>
        <v/>
      </c>
      <c r="AC982" s="27">
        <f>IF(ISNUMBER($P982),COUNTIFS($A$14:$A$1213,$A982,$P$14:$P$1213,"&gt;"&amp;$P982)+(COUNTIFS($A$14:$A$1213,$A982,$P$14:$P$1213,"="&amp;$P982)+1)/2,"")</f>
        <v/>
      </c>
      <c r="AD982" s="27">
        <f>IF(ISNUMBER($Q982),COUNTIFS($A$14:$A$1213,$A982,$Q$14:$Q$1213,"&gt;"&amp;$Q982)+(COUNTIFS($A$14:$A$1213,$A982,$Q$14:$Q$1213,"="&amp;$Q982)+1)/2,"")</f>
        <v/>
      </c>
      <c r="AE982" s="27">
        <f>IF(ISNUMBER($R982),COUNTIFS($A$14:$A$1213,$A982,$R$14:$R$1213,"&gt;"&amp;$R982)+(COUNTIFS($A$14:$A$1213,$A982,$R$14:$R$1213,"="&amp;$R982)+1)/2,"")</f>
        <v/>
      </c>
      <c r="AF982" s="27">
        <f>IF(ISNUMBER($S982),COUNTIFS($A$14:$A$1213,$A982,$S$14:$S$1213,"&gt;"&amp;$S982)+(COUNTIFS($A$14:$A$1213,$A982,$S$14:$S$1213,"="&amp;$S982)+1)/2,"")</f>
        <v/>
      </c>
      <c r="AG982" s="27">
        <f>IF(ISNUMBER($T982),COUNTIFS($A$14:$A$1213,$A982,$T$14:$T$1213,"&gt;"&amp;$T982)+(COUNTIFS($A$14:$A$1213,$A982,$T$14:$T$1213,"="&amp;$T982)+1)/2,"")</f>
        <v/>
      </c>
      <c r="AH982" s="27">
        <f>IF(COUNT($AC982:$AG982)&lt;2,"",IF(MAX($AC982:$AG982)=MIN($AC982:$AG982),0,1))</f>
        <v/>
      </c>
      <c r="AI982" s="27">
        <f>IF($A982="","",IF(COUNTIF($A$14:$A982,$A982)=1,COUNTIF($AI$13:AI981,"&gt;0")+1,""))</f>
        <v/>
      </c>
      <c r="AO982" s="27">
        <f>IF($A982="","",IF(AND(COUNTIFS($A$14:$A$1213,$A982,$F$14:$F$1213,"&gt;=0")=2,IFERROR(INDEX($M$14:$M$313,MATCH($A982,$H$14:$H$313,0)),"Yes")&lt;&gt;"Yes"),1,0))</f>
        <v/>
      </c>
    </row>
    <row r="983">
      <c r="A983" s="19" t="n"/>
      <c r="B983" s="20" t="n"/>
      <c r="C983" s="21">
        <f>IFERROR(AVERAGE(P983:T983),"")</f>
        <v/>
      </c>
      <c r="D983" s="29" t="n"/>
      <c r="E983" s="29" t="n"/>
      <c r="F983" s="30">
        <f>IF(AND(ISNUMBER($D983),ISNUMBER($E983),$E983&gt;0,$D983&lt;=$E983),$D983/$E983,"")</f>
        <v/>
      </c>
      <c r="P983" s="26" t="n"/>
      <c r="Q983" s="26" t="n"/>
      <c r="R983" s="26" t="n"/>
      <c r="S983" s="26" t="n"/>
      <c r="T983" s="26" t="n"/>
      <c r="V983" s="27">
        <f>IF(ISNUMBER($C983),COUNTIFS($A$14:$A$1213,$A983,$C$14:$C$1213,"&gt;"&amp;$C983)+(COUNTIFS($A$14:$A$1213,$A983,$C$14:$C$1213,"="&amp;$C983)+1)/2,"")</f>
        <v/>
      </c>
      <c r="W983" s="27">
        <f>IF(ISNUMBER($F983),COUNTIFS($A$14:$A$1213,$A983,$F$14:$F$1213,"&gt;"&amp;$F983)+(COUNTIFS($A$14:$A$1213,$A983,$F$14:$F$1213,"="&amp;$F983)+1)/2,"")</f>
        <v/>
      </c>
      <c r="X983" s="27">
        <f>IF(OR(NOT(ISNUMBER($V983)),$AO983=1),"",$V983-(COUNTIFS($A$14:$A$1213,$A983,$C$14:$C$1213,"&gt;=0")+1)/2)</f>
        <v/>
      </c>
      <c r="Y983" s="27">
        <f>IF(OR(NOT(ISNUMBER($W983)),$AO983=1),"",$W983-(COUNTIFS($A$14:$A$1213,$A983,$F$14:$F$1213,"&gt;=0")+1)/2)</f>
        <v/>
      </c>
      <c r="Z983" s="27">
        <f>IF(ISNUMBER($V983),$A983&amp;"|"&amp;$V983,"")</f>
        <v/>
      </c>
      <c r="AA983" s="27">
        <f>IF(ISNUMBER($W983),$A983&amp;"|"&amp;$W983,"")</f>
        <v/>
      </c>
      <c r="AB983" s="27">
        <f>IF(ISNUMBER($F983),$A983&amp;"|"&amp;$F983,"")</f>
        <v/>
      </c>
      <c r="AC983" s="27">
        <f>IF(ISNUMBER($P983),COUNTIFS($A$14:$A$1213,$A983,$P$14:$P$1213,"&gt;"&amp;$P983)+(COUNTIFS($A$14:$A$1213,$A983,$P$14:$P$1213,"="&amp;$P983)+1)/2,"")</f>
        <v/>
      </c>
      <c r="AD983" s="27">
        <f>IF(ISNUMBER($Q983),COUNTIFS($A$14:$A$1213,$A983,$Q$14:$Q$1213,"&gt;"&amp;$Q983)+(COUNTIFS($A$14:$A$1213,$A983,$Q$14:$Q$1213,"="&amp;$Q983)+1)/2,"")</f>
        <v/>
      </c>
      <c r="AE983" s="27">
        <f>IF(ISNUMBER($R983),COUNTIFS($A$14:$A$1213,$A983,$R$14:$R$1213,"&gt;"&amp;$R983)+(COUNTIFS($A$14:$A$1213,$A983,$R$14:$R$1213,"="&amp;$R983)+1)/2,"")</f>
        <v/>
      </c>
      <c r="AF983" s="27">
        <f>IF(ISNUMBER($S983),COUNTIFS($A$14:$A$1213,$A983,$S$14:$S$1213,"&gt;"&amp;$S983)+(COUNTIFS($A$14:$A$1213,$A983,$S$14:$S$1213,"="&amp;$S983)+1)/2,"")</f>
        <v/>
      </c>
      <c r="AG983" s="27">
        <f>IF(ISNUMBER($T983),COUNTIFS($A$14:$A$1213,$A983,$T$14:$T$1213,"&gt;"&amp;$T983)+(COUNTIFS($A$14:$A$1213,$A983,$T$14:$T$1213,"="&amp;$T983)+1)/2,"")</f>
        <v/>
      </c>
      <c r="AH983" s="27">
        <f>IF(COUNT($AC983:$AG983)&lt;2,"",IF(MAX($AC983:$AG983)=MIN($AC983:$AG983),0,1))</f>
        <v/>
      </c>
      <c r="AI983" s="27">
        <f>IF($A983="","",IF(COUNTIF($A$14:$A983,$A983)=1,COUNTIF($AI$13:AI982,"&gt;0")+1,""))</f>
        <v/>
      </c>
      <c r="AO983" s="27">
        <f>IF($A983="","",IF(AND(COUNTIFS($A$14:$A$1213,$A983,$F$14:$F$1213,"&gt;=0")=2,IFERROR(INDEX($M$14:$M$313,MATCH($A983,$H$14:$H$313,0)),"Yes")&lt;&gt;"Yes"),1,0))</f>
        <v/>
      </c>
    </row>
    <row r="984">
      <c r="A984" s="19" t="n"/>
      <c r="B984" s="20" t="n"/>
      <c r="C984" s="21">
        <f>IFERROR(AVERAGE(P984:T984),"")</f>
        <v/>
      </c>
      <c r="D984" s="29" t="n"/>
      <c r="E984" s="29" t="n"/>
      <c r="F984" s="30">
        <f>IF(AND(ISNUMBER($D984),ISNUMBER($E984),$E984&gt;0,$D984&lt;=$E984),$D984/$E984,"")</f>
        <v/>
      </c>
      <c r="P984" s="26" t="n"/>
      <c r="Q984" s="26" t="n"/>
      <c r="R984" s="26" t="n"/>
      <c r="S984" s="26" t="n"/>
      <c r="T984" s="26" t="n"/>
      <c r="V984" s="27">
        <f>IF(ISNUMBER($C984),COUNTIFS($A$14:$A$1213,$A984,$C$14:$C$1213,"&gt;"&amp;$C984)+(COUNTIFS($A$14:$A$1213,$A984,$C$14:$C$1213,"="&amp;$C984)+1)/2,"")</f>
        <v/>
      </c>
      <c r="W984" s="27">
        <f>IF(ISNUMBER($F984),COUNTIFS($A$14:$A$1213,$A984,$F$14:$F$1213,"&gt;"&amp;$F984)+(COUNTIFS($A$14:$A$1213,$A984,$F$14:$F$1213,"="&amp;$F984)+1)/2,"")</f>
        <v/>
      </c>
      <c r="X984" s="27">
        <f>IF(OR(NOT(ISNUMBER($V984)),$AO984=1),"",$V984-(COUNTIFS($A$14:$A$1213,$A984,$C$14:$C$1213,"&gt;=0")+1)/2)</f>
        <v/>
      </c>
      <c r="Y984" s="27">
        <f>IF(OR(NOT(ISNUMBER($W984)),$AO984=1),"",$W984-(COUNTIFS($A$14:$A$1213,$A984,$F$14:$F$1213,"&gt;=0")+1)/2)</f>
        <v/>
      </c>
      <c r="Z984" s="27">
        <f>IF(ISNUMBER($V984),$A984&amp;"|"&amp;$V984,"")</f>
        <v/>
      </c>
      <c r="AA984" s="27">
        <f>IF(ISNUMBER($W984),$A984&amp;"|"&amp;$W984,"")</f>
        <v/>
      </c>
      <c r="AB984" s="27">
        <f>IF(ISNUMBER($F984),$A984&amp;"|"&amp;$F984,"")</f>
        <v/>
      </c>
      <c r="AC984" s="27">
        <f>IF(ISNUMBER($P984),COUNTIFS($A$14:$A$1213,$A984,$P$14:$P$1213,"&gt;"&amp;$P984)+(COUNTIFS($A$14:$A$1213,$A984,$P$14:$P$1213,"="&amp;$P984)+1)/2,"")</f>
        <v/>
      </c>
      <c r="AD984" s="27">
        <f>IF(ISNUMBER($Q984),COUNTIFS($A$14:$A$1213,$A984,$Q$14:$Q$1213,"&gt;"&amp;$Q984)+(COUNTIFS($A$14:$A$1213,$A984,$Q$14:$Q$1213,"="&amp;$Q984)+1)/2,"")</f>
        <v/>
      </c>
      <c r="AE984" s="27">
        <f>IF(ISNUMBER($R984),COUNTIFS($A$14:$A$1213,$A984,$R$14:$R$1213,"&gt;"&amp;$R984)+(COUNTIFS($A$14:$A$1213,$A984,$R$14:$R$1213,"="&amp;$R984)+1)/2,"")</f>
        <v/>
      </c>
      <c r="AF984" s="27">
        <f>IF(ISNUMBER($S984),COUNTIFS($A$14:$A$1213,$A984,$S$14:$S$1213,"&gt;"&amp;$S984)+(COUNTIFS($A$14:$A$1213,$A984,$S$14:$S$1213,"="&amp;$S984)+1)/2,"")</f>
        <v/>
      </c>
      <c r="AG984" s="27">
        <f>IF(ISNUMBER($T984),COUNTIFS($A$14:$A$1213,$A984,$T$14:$T$1213,"&gt;"&amp;$T984)+(COUNTIFS($A$14:$A$1213,$A984,$T$14:$T$1213,"="&amp;$T984)+1)/2,"")</f>
        <v/>
      </c>
      <c r="AH984" s="27">
        <f>IF(COUNT($AC984:$AG984)&lt;2,"",IF(MAX($AC984:$AG984)=MIN($AC984:$AG984),0,1))</f>
        <v/>
      </c>
      <c r="AI984" s="27">
        <f>IF($A984="","",IF(COUNTIF($A$14:$A984,$A984)=1,COUNTIF($AI$13:AI983,"&gt;0")+1,""))</f>
        <v/>
      </c>
      <c r="AO984" s="27">
        <f>IF($A984="","",IF(AND(COUNTIFS($A$14:$A$1213,$A984,$F$14:$F$1213,"&gt;=0")=2,IFERROR(INDEX($M$14:$M$313,MATCH($A984,$H$14:$H$313,0)),"Yes")&lt;&gt;"Yes"),1,0))</f>
        <v/>
      </c>
    </row>
    <row r="985">
      <c r="A985" s="19" t="n"/>
      <c r="B985" s="20" t="n"/>
      <c r="C985" s="21">
        <f>IFERROR(AVERAGE(P985:T985),"")</f>
        <v/>
      </c>
      <c r="D985" s="29" t="n"/>
      <c r="E985" s="29" t="n"/>
      <c r="F985" s="30">
        <f>IF(AND(ISNUMBER($D985),ISNUMBER($E985),$E985&gt;0,$D985&lt;=$E985),$D985/$E985,"")</f>
        <v/>
      </c>
      <c r="P985" s="26" t="n"/>
      <c r="Q985" s="26" t="n"/>
      <c r="R985" s="26" t="n"/>
      <c r="S985" s="26" t="n"/>
      <c r="T985" s="26" t="n"/>
      <c r="V985" s="27">
        <f>IF(ISNUMBER($C985),COUNTIFS($A$14:$A$1213,$A985,$C$14:$C$1213,"&gt;"&amp;$C985)+(COUNTIFS($A$14:$A$1213,$A985,$C$14:$C$1213,"="&amp;$C985)+1)/2,"")</f>
        <v/>
      </c>
      <c r="W985" s="27">
        <f>IF(ISNUMBER($F985),COUNTIFS($A$14:$A$1213,$A985,$F$14:$F$1213,"&gt;"&amp;$F985)+(COUNTIFS($A$14:$A$1213,$A985,$F$14:$F$1213,"="&amp;$F985)+1)/2,"")</f>
        <v/>
      </c>
      <c r="X985" s="27">
        <f>IF(OR(NOT(ISNUMBER($V985)),$AO985=1),"",$V985-(COUNTIFS($A$14:$A$1213,$A985,$C$14:$C$1213,"&gt;=0")+1)/2)</f>
        <v/>
      </c>
      <c r="Y985" s="27">
        <f>IF(OR(NOT(ISNUMBER($W985)),$AO985=1),"",$W985-(COUNTIFS($A$14:$A$1213,$A985,$F$14:$F$1213,"&gt;=0")+1)/2)</f>
        <v/>
      </c>
      <c r="Z985" s="27">
        <f>IF(ISNUMBER($V985),$A985&amp;"|"&amp;$V985,"")</f>
        <v/>
      </c>
      <c r="AA985" s="27">
        <f>IF(ISNUMBER($W985),$A985&amp;"|"&amp;$W985,"")</f>
        <v/>
      </c>
      <c r="AB985" s="27">
        <f>IF(ISNUMBER($F985),$A985&amp;"|"&amp;$F985,"")</f>
        <v/>
      </c>
      <c r="AC985" s="27">
        <f>IF(ISNUMBER($P985),COUNTIFS($A$14:$A$1213,$A985,$P$14:$P$1213,"&gt;"&amp;$P985)+(COUNTIFS($A$14:$A$1213,$A985,$P$14:$P$1213,"="&amp;$P985)+1)/2,"")</f>
        <v/>
      </c>
      <c r="AD985" s="27">
        <f>IF(ISNUMBER($Q985),COUNTIFS($A$14:$A$1213,$A985,$Q$14:$Q$1213,"&gt;"&amp;$Q985)+(COUNTIFS($A$14:$A$1213,$A985,$Q$14:$Q$1213,"="&amp;$Q985)+1)/2,"")</f>
        <v/>
      </c>
      <c r="AE985" s="27">
        <f>IF(ISNUMBER($R985),COUNTIFS($A$14:$A$1213,$A985,$R$14:$R$1213,"&gt;"&amp;$R985)+(COUNTIFS($A$14:$A$1213,$A985,$R$14:$R$1213,"="&amp;$R985)+1)/2,"")</f>
        <v/>
      </c>
      <c r="AF985" s="27">
        <f>IF(ISNUMBER($S985),COUNTIFS($A$14:$A$1213,$A985,$S$14:$S$1213,"&gt;"&amp;$S985)+(COUNTIFS($A$14:$A$1213,$A985,$S$14:$S$1213,"="&amp;$S985)+1)/2,"")</f>
        <v/>
      </c>
      <c r="AG985" s="27">
        <f>IF(ISNUMBER($T985),COUNTIFS($A$14:$A$1213,$A985,$T$14:$T$1213,"&gt;"&amp;$T985)+(COUNTIFS($A$14:$A$1213,$A985,$T$14:$T$1213,"="&amp;$T985)+1)/2,"")</f>
        <v/>
      </c>
      <c r="AH985" s="27">
        <f>IF(COUNT($AC985:$AG985)&lt;2,"",IF(MAX($AC985:$AG985)=MIN($AC985:$AG985),0,1))</f>
        <v/>
      </c>
      <c r="AI985" s="27">
        <f>IF($A985="","",IF(COUNTIF($A$14:$A985,$A985)=1,COUNTIF($AI$13:AI984,"&gt;0")+1,""))</f>
        <v/>
      </c>
      <c r="AO985" s="27">
        <f>IF($A985="","",IF(AND(COUNTIFS($A$14:$A$1213,$A985,$F$14:$F$1213,"&gt;=0")=2,IFERROR(INDEX($M$14:$M$313,MATCH($A985,$H$14:$H$313,0)),"Yes")&lt;&gt;"Yes"),1,0))</f>
        <v/>
      </c>
    </row>
    <row r="986">
      <c r="A986" s="19" t="n"/>
      <c r="B986" s="20" t="n"/>
      <c r="C986" s="21">
        <f>IFERROR(AVERAGE(P986:T986),"")</f>
        <v/>
      </c>
      <c r="D986" s="29" t="n"/>
      <c r="E986" s="29" t="n"/>
      <c r="F986" s="30">
        <f>IF(AND(ISNUMBER($D986),ISNUMBER($E986),$E986&gt;0,$D986&lt;=$E986),$D986/$E986,"")</f>
        <v/>
      </c>
      <c r="P986" s="26" t="n"/>
      <c r="Q986" s="26" t="n"/>
      <c r="R986" s="26" t="n"/>
      <c r="S986" s="26" t="n"/>
      <c r="T986" s="26" t="n"/>
      <c r="V986" s="27">
        <f>IF(ISNUMBER($C986),COUNTIFS($A$14:$A$1213,$A986,$C$14:$C$1213,"&gt;"&amp;$C986)+(COUNTIFS($A$14:$A$1213,$A986,$C$14:$C$1213,"="&amp;$C986)+1)/2,"")</f>
        <v/>
      </c>
      <c r="W986" s="27">
        <f>IF(ISNUMBER($F986),COUNTIFS($A$14:$A$1213,$A986,$F$14:$F$1213,"&gt;"&amp;$F986)+(COUNTIFS($A$14:$A$1213,$A986,$F$14:$F$1213,"="&amp;$F986)+1)/2,"")</f>
        <v/>
      </c>
      <c r="X986" s="27">
        <f>IF(OR(NOT(ISNUMBER($V986)),$AO986=1),"",$V986-(COUNTIFS($A$14:$A$1213,$A986,$C$14:$C$1213,"&gt;=0")+1)/2)</f>
        <v/>
      </c>
      <c r="Y986" s="27">
        <f>IF(OR(NOT(ISNUMBER($W986)),$AO986=1),"",$W986-(COUNTIFS($A$14:$A$1213,$A986,$F$14:$F$1213,"&gt;=0")+1)/2)</f>
        <v/>
      </c>
      <c r="Z986" s="27">
        <f>IF(ISNUMBER($V986),$A986&amp;"|"&amp;$V986,"")</f>
        <v/>
      </c>
      <c r="AA986" s="27">
        <f>IF(ISNUMBER($W986),$A986&amp;"|"&amp;$W986,"")</f>
        <v/>
      </c>
      <c r="AB986" s="27">
        <f>IF(ISNUMBER($F986),$A986&amp;"|"&amp;$F986,"")</f>
        <v/>
      </c>
      <c r="AC986" s="27">
        <f>IF(ISNUMBER($P986),COUNTIFS($A$14:$A$1213,$A986,$P$14:$P$1213,"&gt;"&amp;$P986)+(COUNTIFS($A$14:$A$1213,$A986,$P$14:$P$1213,"="&amp;$P986)+1)/2,"")</f>
        <v/>
      </c>
      <c r="AD986" s="27">
        <f>IF(ISNUMBER($Q986),COUNTIFS($A$14:$A$1213,$A986,$Q$14:$Q$1213,"&gt;"&amp;$Q986)+(COUNTIFS($A$14:$A$1213,$A986,$Q$14:$Q$1213,"="&amp;$Q986)+1)/2,"")</f>
        <v/>
      </c>
      <c r="AE986" s="27">
        <f>IF(ISNUMBER($R986),COUNTIFS($A$14:$A$1213,$A986,$R$14:$R$1213,"&gt;"&amp;$R986)+(COUNTIFS($A$14:$A$1213,$A986,$R$14:$R$1213,"="&amp;$R986)+1)/2,"")</f>
        <v/>
      </c>
      <c r="AF986" s="27">
        <f>IF(ISNUMBER($S986),COUNTIFS($A$14:$A$1213,$A986,$S$14:$S$1213,"&gt;"&amp;$S986)+(COUNTIFS($A$14:$A$1213,$A986,$S$14:$S$1213,"="&amp;$S986)+1)/2,"")</f>
        <v/>
      </c>
      <c r="AG986" s="27">
        <f>IF(ISNUMBER($T986),COUNTIFS($A$14:$A$1213,$A986,$T$14:$T$1213,"&gt;"&amp;$T986)+(COUNTIFS($A$14:$A$1213,$A986,$T$14:$T$1213,"="&amp;$T986)+1)/2,"")</f>
        <v/>
      </c>
      <c r="AH986" s="27">
        <f>IF(COUNT($AC986:$AG986)&lt;2,"",IF(MAX($AC986:$AG986)=MIN($AC986:$AG986),0,1))</f>
        <v/>
      </c>
      <c r="AI986" s="27">
        <f>IF($A986="","",IF(COUNTIF($A$14:$A986,$A986)=1,COUNTIF($AI$13:AI985,"&gt;0")+1,""))</f>
        <v/>
      </c>
      <c r="AO986" s="27">
        <f>IF($A986="","",IF(AND(COUNTIFS($A$14:$A$1213,$A986,$F$14:$F$1213,"&gt;=0")=2,IFERROR(INDEX($M$14:$M$313,MATCH($A986,$H$14:$H$313,0)),"Yes")&lt;&gt;"Yes"),1,0))</f>
        <v/>
      </c>
    </row>
    <row r="987">
      <c r="A987" s="19" t="n"/>
      <c r="B987" s="20" t="n"/>
      <c r="C987" s="21">
        <f>IFERROR(AVERAGE(P987:T987),"")</f>
        <v/>
      </c>
      <c r="D987" s="29" t="n"/>
      <c r="E987" s="29" t="n"/>
      <c r="F987" s="30">
        <f>IF(AND(ISNUMBER($D987),ISNUMBER($E987),$E987&gt;0,$D987&lt;=$E987),$D987/$E987,"")</f>
        <v/>
      </c>
      <c r="P987" s="26" t="n"/>
      <c r="Q987" s="26" t="n"/>
      <c r="R987" s="26" t="n"/>
      <c r="S987" s="26" t="n"/>
      <c r="T987" s="26" t="n"/>
      <c r="V987" s="27">
        <f>IF(ISNUMBER($C987),COUNTIFS($A$14:$A$1213,$A987,$C$14:$C$1213,"&gt;"&amp;$C987)+(COUNTIFS($A$14:$A$1213,$A987,$C$14:$C$1213,"="&amp;$C987)+1)/2,"")</f>
        <v/>
      </c>
      <c r="W987" s="27">
        <f>IF(ISNUMBER($F987),COUNTIFS($A$14:$A$1213,$A987,$F$14:$F$1213,"&gt;"&amp;$F987)+(COUNTIFS($A$14:$A$1213,$A987,$F$14:$F$1213,"="&amp;$F987)+1)/2,"")</f>
        <v/>
      </c>
      <c r="X987" s="27">
        <f>IF(OR(NOT(ISNUMBER($V987)),$AO987=1),"",$V987-(COUNTIFS($A$14:$A$1213,$A987,$C$14:$C$1213,"&gt;=0")+1)/2)</f>
        <v/>
      </c>
      <c r="Y987" s="27">
        <f>IF(OR(NOT(ISNUMBER($W987)),$AO987=1),"",$W987-(COUNTIFS($A$14:$A$1213,$A987,$F$14:$F$1213,"&gt;=0")+1)/2)</f>
        <v/>
      </c>
      <c r="Z987" s="27">
        <f>IF(ISNUMBER($V987),$A987&amp;"|"&amp;$V987,"")</f>
        <v/>
      </c>
      <c r="AA987" s="27">
        <f>IF(ISNUMBER($W987),$A987&amp;"|"&amp;$W987,"")</f>
        <v/>
      </c>
      <c r="AB987" s="27">
        <f>IF(ISNUMBER($F987),$A987&amp;"|"&amp;$F987,"")</f>
        <v/>
      </c>
      <c r="AC987" s="27">
        <f>IF(ISNUMBER($P987),COUNTIFS($A$14:$A$1213,$A987,$P$14:$P$1213,"&gt;"&amp;$P987)+(COUNTIFS($A$14:$A$1213,$A987,$P$14:$P$1213,"="&amp;$P987)+1)/2,"")</f>
        <v/>
      </c>
      <c r="AD987" s="27">
        <f>IF(ISNUMBER($Q987),COUNTIFS($A$14:$A$1213,$A987,$Q$14:$Q$1213,"&gt;"&amp;$Q987)+(COUNTIFS($A$14:$A$1213,$A987,$Q$14:$Q$1213,"="&amp;$Q987)+1)/2,"")</f>
        <v/>
      </c>
      <c r="AE987" s="27">
        <f>IF(ISNUMBER($R987),COUNTIFS($A$14:$A$1213,$A987,$R$14:$R$1213,"&gt;"&amp;$R987)+(COUNTIFS($A$14:$A$1213,$A987,$R$14:$R$1213,"="&amp;$R987)+1)/2,"")</f>
        <v/>
      </c>
      <c r="AF987" s="27">
        <f>IF(ISNUMBER($S987),COUNTIFS($A$14:$A$1213,$A987,$S$14:$S$1213,"&gt;"&amp;$S987)+(COUNTIFS($A$14:$A$1213,$A987,$S$14:$S$1213,"="&amp;$S987)+1)/2,"")</f>
        <v/>
      </c>
      <c r="AG987" s="27">
        <f>IF(ISNUMBER($T987),COUNTIFS($A$14:$A$1213,$A987,$T$14:$T$1213,"&gt;"&amp;$T987)+(COUNTIFS($A$14:$A$1213,$A987,$T$14:$T$1213,"="&amp;$T987)+1)/2,"")</f>
        <v/>
      </c>
      <c r="AH987" s="27">
        <f>IF(COUNT($AC987:$AG987)&lt;2,"",IF(MAX($AC987:$AG987)=MIN($AC987:$AG987),0,1))</f>
        <v/>
      </c>
      <c r="AI987" s="27">
        <f>IF($A987="","",IF(COUNTIF($A$14:$A987,$A987)=1,COUNTIF($AI$13:AI986,"&gt;0")+1,""))</f>
        <v/>
      </c>
      <c r="AO987" s="27">
        <f>IF($A987="","",IF(AND(COUNTIFS($A$14:$A$1213,$A987,$F$14:$F$1213,"&gt;=0")=2,IFERROR(INDEX($M$14:$M$313,MATCH($A987,$H$14:$H$313,0)),"Yes")&lt;&gt;"Yes"),1,0))</f>
        <v/>
      </c>
    </row>
    <row r="988">
      <c r="A988" s="19" t="n"/>
      <c r="B988" s="20" t="n"/>
      <c r="C988" s="21">
        <f>IFERROR(AVERAGE(P988:T988),"")</f>
        <v/>
      </c>
      <c r="D988" s="29" t="n"/>
      <c r="E988" s="29" t="n"/>
      <c r="F988" s="30">
        <f>IF(AND(ISNUMBER($D988),ISNUMBER($E988),$E988&gt;0,$D988&lt;=$E988),$D988/$E988,"")</f>
        <v/>
      </c>
      <c r="P988" s="26" t="n"/>
      <c r="Q988" s="26" t="n"/>
      <c r="R988" s="26" t="n"/>
      <c r="S988" s="26" t="n"/>
      <c r="T988" s="26" t="n"/>
      <c r="V988" s="27">
        <f>IF(ISNUMBER($C988),COUNTIFS($A$14:$A$1213,$A988,$C$14:$C$1213,"&gt;"&amp;$C988)+(COUNTIFS($A$14:$A$1213,$A988,$C$14:$C$1213,"="&amp;$C988)+1)/2,"")</f>
        <v/>
      </c>
      <c r="W988" s="27">
        <f>IF(ISNUMBER($F988),COUNTIFS($A$14:$A$1213,$A988,$F$14:$F$1213,"&gt;"&amp;$F988)+(COUNTIFS($A$14:$A$1213,$A988,$F$14:$F$1213,"="&amp;$F988)+1)/2,"")</f>
        <v/>
      </c>
      <c r="X988" s="27">
        <f>IF(OR(NOT(ISNUMBER($V988)),$AO988=1),"",$V988-(COUNTIFS($A$14:$A$1213,$A988,$C$14:$C$1213,"&gt;=0")+1)/2)</f>
        <v/>
      </c>
      <c r="Y988" s="27">
        <f>IF(OR(NOT(ISNUMBER($W988)),$AO988=1),"",$W988-(COUNTIFS($A$14:$A$1213,$A988,$F$14:$F$1213,"&gt;=0")+1)/2)</f>
        <v/>
      </c>
      <c r="Z988" s="27">
        <f>IF(ISNUMBER($V988),$A988&amp;"|"&amp;$V988,"")</f>
        <v/>
      </c>
      <c r="AA988" s="27">
        <f>IF(ISNUMBER($W988),$A988&amp;"|"&amp;$W988,"")</f>
        <v/>
      </c>
      <c r="AB988" s="27">
        <f>IF(ISNUMBER($F988),$A988&amp;"|"&amp;$F988,"")</f>
        <v/>
      </c>
      <c r="AC988" s="27">
        <f>IF(ISNUMBER($P988),COUNTIFS($A$14:$A$1213,$A988,$P$14:$P$1213,"&gt;"&amp;$P988)+(COUNTIFS($A$14:$A$1213,$A988,$P$14:$P$1213,"="&amp;$P988)+1)/2,"")</f>
        <v/>
      </c>
      <c r="AD988" s="27">
        <f>IF(ISNUMBER($Q988),COUNTIFS($A$14:$A$1213,$A988,$Q$14:$Q$1213,"&gt;"&amp;$Q988)+(COUNTIFS($A$14:$A$1213,$A988,$Q$14:$Q$1213,"="&amp;$Q988)+1)/2,"")</f>
        <v/>
      </c>
      <c r="AE988" s="27">
        <f>IF(ISNUMBER($R988),COUNTIFS($A$14:$A$1213,$A988,$R$14:$R$1213,"&gt;"&amp;$R988)+(COUNTIFS($A$14:$A$1213,$A988,$R$14:$R$1213,"="&amp;$R988)+1)/2,"")</f>
        <v/>
      </c>
      <c r="AF988" s="27">
        <f>IF(ISNUMBER($S988),COUNTIFS($A$14:$A$1213,$A988,$S$14:$S$1213,"&gt;"&amp;$S988)+(COUNTIFS($A$14:$A$1213,$A988,$S$14:$S$1213,"="&amp;$S988)+1)/2,"")</f>
        <v/>
      </c>
      <c r="AG988" s="27">
        <f>IF(ISNUMBER($T988),COUNTIFS($A$14:$A$1213,$A988,$T$14:$T$1213,"&gt;"&amp;$T988)+(COUNTIFS($A$14:$A$1213,$A988,$T$14:$T$1213,"="&amp;$T988)+1)/2,"")</f>
        <v/>
      </c>
      <c r="AH988" s="27">
        <f>IF(COUNT($AC988:$AG988)&lt;2,"",IF(MAX($AC988:$AG988)=MIN($AC988:$AG988),0,1))</f>
        <v/>
      </c>
      <c r="AI988" s="27">
        <f>IF($A988="","",IF(COUNTIF($A$14:$A988,$A988)=1,COUNTIF($AI$13:AI987,"&gt;0")+1,""))</f>
        <v/>
      </c>
      <c r="AO988" s="27">
        <f>IF($A988="","",IF(AND(COUNTIFS($A$14:$A$1213,$A988,$F$14:$F$1213,"&gt;=0")=2,IFERROR(INDEX($M$14:$M$313,MATCH($A988,$H$14:$H$313,0)),"Yes")&lt;&gt;"Yes"),1,0))</f>
        <v/>
      </c>
    </row>
    <row r="989">
      <c r="A989" s="19" t="n"/>
      <c r="B989" s="20" t="n"/>
      <c r="C989" s="21">
        <f>IFERROR(AVERAGE(P989:T989),"")</f>
        <v/>
      </c>
      <c r="D989" s="29" t="n"/>
      <c r="E989" s="29" t="n"/>
      <c r="F989" s="30">
        <f>IF(AND(ISNUMBER($D989),ISNUMBER($E989),$E989&gt;0,$D989&lt;=$E989),$D989/$E989,"")</f>
        <v/>
      </c>
      <c r="P989" s="26" t="n"/>
      <c r="Q989" s="26" t="n"/>
      <c r="R989" s="26" t="n"/>
      <c r="S989" s="26" t="n"/>
      <c r="T989" s="26" t="n"/>
      <c r="V989" s="27">
        <f>IF(ISNUMBER($C989),COUNTIFS($A$14:$A$1213,$A989,$C$14:$C$1213,"&gt;"&amp;$C989)+(COUNTIFS($A$14:$A$1213,$A989,$C$14:$C$1213,"="&amp;$C989)+1)/2,"")</f>
        <v/>
      </c>
      <c r="W989" s="27">
        <f>IF(ISNUMBER($F989),COUNTIFS($A$14:$A$1213,$A989,$F$14:$F$1213,"&gt;"&amp;$F989)+(COUNTIFS($A$14:$A$1213,$A989,$F$14:$F$1213,"="&amp;$F989)+1)/2,"")</f>
        <v/>
      </c>
      <c r="X989" s="27">
        <f>IF(OR(NOT(ISNUMBER($V989)),$AO989=1),"",$V989-(COUNTIFS($A$14:$A$1213,$A989,$C$14:$C$1213,"&gt;=0")+1)/2)</f>
        <v/>
      </c>
      <c r="Y989" s="27">
        <f>IF(OR(NOT(ISNUMBER($W989)),$AO989=1),"",$W989-(COUNTIFS($A$14:$A$1213,$A989,$F$14:$F$1213,"&gt;=0")+1)/2)</f>
        <v/>
      </c>
      <c r="Z989" s="27">
        <f>IF(ISNUMBER($V989),$A989&amp;"|"&amp;$V989,"")</f>
        <v/>
      </c>
      <c r="AA989" s="27">
        <f>IF(ISNUMBER($W989),$A989&amp;"|"&amp;$W989,"")</f>
        <v/>
      </c>
      <c r="AB989" s="27">
        <f>IF(ISNUMBER($F989),$A989&amp;"|"&amp;$F989,"")</f>
        <v/>
      </c>
      <c r="AC989" s="27">
        <f>IF(ISNUMBER($P989),COUNTIFS($A$14:$A$1213,$A989,$P$14:$P$1213,"&gt;"&amp;$P989)+(COUNTIFS($A$14:$A$1213,$A989,$P$14:$P$1213,"="&amp;$P989)+1)/2,"")</f>
        <v/>
      </c>
      <c r="AD989" s="27">
        <f>IF(ISNUMBER($Q989),COUNTIFS($A$14:$A$1213,$A989,$Q$14:$Q$1213,"&gt;"&amp;$Q989)+(COUNTIFS($A$14:$A$1213,$A989,$Q$14:$Q$1213,"="&amp;$Q989)+1)/2,"")</f>
        <v/>
      </c>
      <c r="AE989" s="27">
        <f>IF(ISNUMBER($R989),COUNTIFS($A$14:$A$1213,$A989,$R$14:$R$1213,"&gt;"&amp;$R989)+(COUNTIFS($A$14:$A$1213,$A989,$R$14:$R$1213,"="&amp;$R989)+1)/2,"")</f>
        <v/>
      </c>
      <c r="AF989" s="27">
        <f>IF(ISNUMBER($S989),COUNTIFS($A$14:$A$1213,$A989,$S$14:$S$1213,"&gt;"&amp;$S989)+(COUNTIFS($A$14:$A$1213,$A989,$S$14:$S$1213,"="&amp;$S989)+1)/2,"")</f>
        <v/>
      </c>
      <c r="AG989" s="27">
        <f>IF(ISNUMBER($T989),COUNTIFS($A$14:$A$1213,$A989,$T$14:$T$1213,"&gt;"&amp;$T989)+(COUNTIFS($A$14:$A$1213,$A989,$T$14:$T$1213,"="&amp;$T989)+1)/2,"")</f>
        <v/>
      </c>
      <c r="AH989" s="27">
        <f>IF(COUNT($AC989:$AG989)&lt;2,"",IF(MAX($AC989:$AG989)=MIN($AC989:$AG989),0,1))</f>
        <v/>
      </c>
      <c r="AI989" s="27">
        <f>IF($A989="","",IF(COUNTIF($A$14:$A989,$A989)=1,COUNTIF($AI$13:AI988,"&gt;0")+1,""))</f>
        <v/>
      </c>
      <c r="AO989" s="27">
        <f>IF($A989="","",IF(AND(COUNTIFS($A$14:$A$1213,$A989,$F$14:$F$1213,"&gt;=0")=2,IFERROR(INDEX($M$14:$M$313,MATCH($A989,$H$14:$H$313,0)),"Yes")&lt;&gt;"Yes"),1,0))</f>
        <v/>
      </c>
    </row>
    <row r="990">
      <c r="A990" s="19" t="n"/>
      <c r="B990" s="20" t="n"/>
      <c r="C990" s="21">
        <f>IFERROR(AVERAGE(P990:T990),"")</f>
        <v/>
      </c>
      <c r="D990" s="29" t="n"/>
      <c r="E990" s="29" t="n"/>
      <c r="F990" s="30">
        <f>IF(AND(ISNUMBER($D990),ISNUMBER($E990),$E990&gt;0,$D990&lt;=$E990),$D990/$E990,"")</f>
        <v/>
      </c>
      <c r="P990" s="26" t="n"/>
      <c r="Q990" s="26" t="n"/>
      <c r="R990" s="26" t="n"/>
      <c r="S990" s="26" t="n"/>
      <c r="T990" s="26" t="n"/>
      <c r="V990" s="27">
        <f>IF(ISNUMBER($C990),COUNTIFS($A$14:$A$1213,$A990,$C$14:$C$1213,"&gt;"&amp;$C990)+(COUNTIFS($A$14:$A$1213,$A990,$C$14:$C$1213,"="&amp;$C990)+1)/2,"")</f>
        <v/>
      </c>
      <c r="W990" s="27">
        <f>IF(ISNUMBER($F990),COUNTIFS($A$14:$A$1213,$A990,$F$14:$F$1213,"&gt;"&amp;$F990)+(COUNTIFS($A$14:$A$1213,$A990,$F$14:$F$1213,"="&amp;$F990)+1)/2,"")</f>
        <v/>
      </c>
      <c r="X990" s="27">
        <f>IF(OR(NOT(ISNUMBER($V990)),$AO990=1),"",$V990-(COUNTIFS($A$14:$A$1213,$A990,$C$14:$C$1213,"&gt;=0")+1)/2)</f>
        <v/>
      </c>
      <c r="Y990" s="27">
        <f>IF(OR(NOT(ISNUMBER($W990)),$AO990=1),"",$W990-(COUNTIFS($A$14:$A$1213,$A990,$F$14:$F$1213,"&gt;=0")+1)/2)</f>
        <v/>
      </c>
      <c r="Z990" s="27">
        <f>IF(ISNUMBER($V990),$A990&amp;"|"&amp;$V990,"")</f>
        <v/>
      </c>
      <c r="AA990" s="27">
        <f>IF(ISNUMBER($W990),$A990&amp;"|"&amp;$W990,"")</f>
        <v/>
      </c>
      <c r="AB990" s="27">
        <f>IF(ISNUMBER($F990),$A990&amp;"|"&amp;$F990,"")</f>
        <v/>
      </c>
      <c r="AC990" s="27">
        <f>IF(ISNUMBER($P990),COUNTIFS($A$14:$A$1213,$A990,$P$14:$P$1213,"&gt;"&amp;$P990)+(COUNTIFS($A$14:$A$1213,$A990,$P$14:$P$1213,"="&amp;$P990)+1)/2,"")</f>
        <v/>
      </c>
      <c r="AD990" s="27">
        <f>IF(ISNUMBER($Q990),COUNTIFS($A$14:$A$1213,$A990,$Q$14:$Q$1213,"&gt;"&amp;$Q990)+(COUNTIFS($A$14:$A$1213,$A990,$Q$14:$Q$1213,"="&amp;$Q990)+1)/2,"")</f>
        <v/>
      </c>
      <c r="AE990" s="27">
        <f>IF(ISNUMBER($R990),COUNTIFS($A$14:$A$1213,$A990,$R$14:$R$1213,"&gt;"&amp;$R990)+(COUNTIFS($A$14:$A$1213,$A990,$R$14:$R$1213,"="&amp;$R990)+1)/2,"")</f>
        <v/>
      </c>
      <c r="AF990" s="27">
        <f>IF(ISNUMBER($S990),COUNTIFS($A$14:$A$1213,$A990,$S$14:$S$1213,"&gt;"&amp;$S990)+(COUNTIFS($A$14:$A$1213,$A990,$S$14:$S$1213,"="&amp;$S990)+1)/2,"")</f>
        <v/>
      </c>
      <c r="AG990" s="27">
        <f>IF(ISNUMBER($T990),COUNTIFS($A$14:$A$1213,$A990,$T$14:$T$1213,"&gt;"&amp;$T990)+(COUNTIFS($A$14:$A$1213,$A990,$T$14:$T$1213,"="&amp;$T990)+1)/2,"")</f>
        <v/>
      </c>
      <c r="AH990" s="27">
        <f>IF(COUNT($AC990:$AG990)&lt;2,"",IF(MAX($AC990:$AG990)=MIN($AC990:$AG990),0,1))</f>
        <v/>
      </c>
      <c r="AI990" s="27">
        <f>IF($A990="","",IF(COUNTIF($A$14:$A990,$A990)=1,COUNTIF($AI$13:AI989,"&gt;0")+1,""))</f>
        <v/>
      </c>
      <c r="AO990" s="27">
        <f>IF($A990="","",IF(AND(COUNTIFS($A$14:$A$1213,$A990,$F$14:$F$1213,"&gt;=0")=2,IFERROR(INDEX($M$14:$M$313,MATCH($A990,$H$14:$H$313,0)),"Yes")&lt;&gt;"Yes"),1,0))</f>
        <v/>
      </c>
    </row>
    <row r="991">
      <c r="A991" s="19" t="n"/>
      <c r="B991" s="20" t="n"/>
      <c r="C991" s="21">
        <f>IFERROR(AVERAGE(P991:T991),"")</f>
        <v/>
      </c>
      <c r="D991" s="29" t="n"/>
      <c r="E991" s="29" t="n"/>
      <c r="F991" s="30">
        <f>IF(AND(ISNUMBER($D991),ISNUMBER($E991),$E991&gt;0,$D991&lt;=$E991),$D991/$E991,"")</f>
        <v/>
      </c>
      <c r="P991" s="26" t="n"/>
      <c r="Q991" s="26" t="n"/>
      <c r="R991" s="26" t="n"/>
      <c r="S991" s="26" t="n"/>
      <c r="T991" s="26" t="n"/>
      <c r="V991" s="27">
        <f>IF(ISNUMBER($C991),COUNTIFS($A$14:$A$1213,$A991,$C$14:$C$1213,"&gt;"&amp;$C991)+(COUNTIFS($A$14:$A$1213,$A991,$C$14:$C$1213,"="&amp;$C991)+1)/2,"")</f>
        <v/>
      </c>
      <c r="W991" s="27">
        <f>IF(ISNUMBER($F991),COUNTIFS($A$14:$A$1213,$A991,$F$14:$F$1213,"&gt;"&amp;$F991)+(COUNTIFS($A$14:$A$1213,$A991,$F$14:$F$1213,"="&amp;$F991)+1)/2,"")</f>
        <v/>
      </c>
      <c r="X991" s="27">
        <f>IF(OR(NOT(ISNUMBER($V991)),$AO991=1),"",$V991-(COUNTIFS($A$14:$A$1213,$A991,$C$14:$C$1213,"&gt;=0")+1)/2)</f>
        <v/>
      </c>
      <c r="Y991" s="27">
        <f>IF(OR(NOT(ISNUMBER($W991)),$AO991=1),"",$W991-(COUNTIFS($A$14:$A$1213,$A991,$F$14:$F$1213,"&gt;=0")+1)/2)</f>
        <v/>
      </c>
      <c r="Z991" s="27">
        <f>IF(ISNUMBER($V991),$A991&amp;"|"&amp;$V991,"")</f>
        <v/>
      </c>
      <c r="AA991" s="27">
        <f>IF(ISNUMBER($W991),$A991&amp;"|"&amp;$W991,"")</f>
        <v/>
      </c>
      <c r="AB991" s="27">
        <f>IF(ISNUMBER($F991),$A991&amp;"|"&amp;$F991,"")</f>
        <v/>
      </c>
      <c r="AC991" s="27">
        <f>IF(ISNUMBER($P991),COUNTIFS($A$14:$A$1213,$A991,$P$14:$P$1213,"&gt;"&amp;$P991)+(COUNTIFS($A$14:$A$1213,$A991,$P$14:$P$1213,"="&amp;$P991)+1)/2,"")</f>
        <v/>
      </c>
      <c r="AD991" s="27">
        <f>IF(ISNUMBER($Q991),COUNTIFS($A$14:$A$1213,$A991,$Q$14:$Q$1213,"&gt;"&amp;$Q991)+(COUNTIFS($A$14:$A$1213,$A991,$Q$14:$Q$1213,"="&amp;$Q991)+1)/2,"")</f>
        <v/>
      </c>
      <c r="AE991" s="27">
        <f>IF(ISNUMBER($R991),COUNTIFS($A$14:$A$1213,$A991,$R$14:$R$1213,"&gt;"&amp;$R991)+(COUNTIFS($A$14:$A$1213,$A991,$R$14:$R$1213,"="&amp;$R991)+1)/2,"")</f>
        <v/>
      </c>
      <c r="AF991" s="27">
        <f>IF(ISNUMBER($S991),COUNTIFS($A$14:$A$1213,$A991,$S$14:$S$1213,"&gt;"&amp;$S991)+(COUNTIFS($A$14:$A$1213,$A991,$S$14:$S$1213,"="&amp;$S991)+1)/2,"")</f>
        <v/>
      </c>
      <c r="AG991" s="27">
        <f>IF(ISNUMBER($T991),COUNTIFS($A$14:$A$1213,$A991,$T$14:$T$1213,"&gt;"&amp;$T991)+(COUNTIFS($A$14:$A$1213,$A991,$T$14:$T$1213,"="&amp;$T991)+1)/2,"")</f>
        <v/>
      </c>
      <c r="AH991" s="27">
        <f>IF(COUNT($AC991:$AG991)&lt;2,"",IF(MAX($AC991:$AG991)=MIN($AC991:$AG991),0,1))</f>
        <v/>
      </c>
      <c r="AI991" s="27">
        <f>IF($A991="","",IF(COUNTIF($A$14:$A991,$A991)=1,COUNTIF($AI$13:AI990,"&gt;0")+1,""))</f>
        <v/>
      </c>
      <c r="AO991" s="27">
        <f>IF($A991="","",IF(AND(COUNTIFS($A$14:$A$1213,$A991,$F$14:$F$1213,"&gt;=0")=2,IFERROR(INDEX($M$14:$M$313,MATCH($A991,$H$14:$H$313,0)),"Yes")&lt;&gt;"Yes"),1,0))</f>
        <v/>
      </c>
    </row>
    <row r="992">
      <c r="A992" s="19" t="n"/>
      <c r="B992" s="20" t="n"/>
      <c r="C992" s="21">
        <f>IFERROR(AVERAGE(P992:T992),"")</f>
        <v/>
      </c>
      <c r="D992" s="29" t="n"/>
      <c r="E992" s="29" t="n"/>
      <c r="F992" s="30">
        <f>IF(AND(ISNUMBER($D992),ISNUMBER($E992),$E992&gt;0,$D992&lt;=$E992),$D992/$E992,"")</f>
        <v/>
      </c>
      <c r="P992" s="26" t="n"/>
      <c r="Q992" s="26" t="n"/>
      <c r="R992" s="26" t="n"/>
      <c r="S992" s="26" t="n"/>
      <c r="T992" s="26" t="n"/>
      <c r="V992" s="27">
        <f>IF(ISNUMBER($C992),COUNTIFS($A$14:$A$1213,$A992,$C$14:$C$1213,"&gt;"&amp;$C992)+(COUNTIFS($A$14:$A$1213,$A992,$C$14:$C$1213,"="&amp;$C992)+1)/2,"")</f>
        <v/>
      </c>
      <c r="W992" s="27">
        <f>IF(ISNUMBER($F992),COUNTIFS($A$14:$A$1213,$A992,$F$14:$F$1213,"&gt;"&amp;$F992)+(COUNTIFS($A$14:$A$1213,$A992,$F$14:$F$1213,"="&amp;$F992)+1)/2,"")</f>
        <v/>
      </c>
      <c r="X992" s="27">
        <f>IF(OR(NOT(ISNUMBER($V992)),$AO992=1),"",$V992-(COUNTIFS($A$14:$A$1213,$A992,$C$14:$C$1213,"&gt;=0")+1)/2)</f>
        <v/>
      </c>
      <c r="Y992" s="27">
        <f>IF(OR(NOT(ISNUMBER($W992)),$AO992=1),"",$W992-(COUNTIFS($A$14:$A$1213,$A992,$F$14:$F$1213,"&gt;=0")+1)/2)</f>
        <v/>
      </c>
      <c r="Z992" s="27">
        <f>IF(ISNUMBER($V992),$A992&amp;"|"&amp;$V992,"")</f>
        <v/>
      </c>
      <c r="AA992" s="27">
        <f>IF(ISNUMBER($W992),$A992&amp;"|"&amp;$W992,"")</f>
        <v/>
      </c>
      <c r="AB992" s="27">
        <f>IF(ISNUMBER($F992),$A992&amp;"|"&amp;$F992,"")</f>
        <v/>
      </c>
      <c r="AC992" s="27">
        <f>IF(ISNUMBER($P992),COUNTIFS($A$14:$A$1213,$A992,$P$14:$P$1213,"&gt;"&amp;$P992)+(COUNTIFS($A$14:$A$1213,$A992,$P$14:$P$1213,"="&amp;$P992)+1)/2,"")</f>
        <v/>
      </c>
      <c r="AD992" s="27">
        <f>IF(ISNUMBER($Q992),COUNTIFS($A$14:$A$1213,$A992,$Q$14:$Q$1213,"&gt;"&amp;$Q992)+(COUNTIFS($A$14:$A$1213,$A992,$Q$14:$Q$1213,"="&amp;$Q992)+1)/2,"")</f>
        <v/>
      </c>
      <c r="AE992" s="27">
        <f>IF(ISNUMBER($R992),COUNTIFS($A$14:$A$1213,$A992,$R$14:$R$1213,"&gt;"&amp;$R992)+(COUNTIFS($A$14:$A$1213,$A992,$R$14:$R$1213,"="&amp;$R992)+1)/2,"")</f>
        <v/>
      </c>
      <c r="AF992" s="27">
        <f>IF(ISNUMBER($S992),COUNTIFS($A$14:$A$1213,$A992,$S$14:$S$1213,"&gt;"&amp;$S992)+(COUNTIFS($A$14:$A$1213,$A992,$S$14:$S$1213,"="&amp;$S992)+1)/2,"")</f>
        <v/>
      </c>
      <c r="AG992" s="27">
        <f>IF(ISNUMBER($T992),COUNTIFS($A$14:$A$1213,$A992,$T$14:$T$1213,"&gt;"&amp;$T992)+(COUNTIFS($A$14:$A$1213,$A992,$T$14:$T$1213,"="&amp;$T992)+1)/2,"")</f>
        <v/>
      </c>
      <c r="AH992" s="27">
        <f>IF(COUNT($AC992:$AG992)&lt;2,"",IF(MAX($AC992:$AG992)=MIN($AC992:$AG992),0,1))</f>
        <v/>
      </c>
      <c r="AI992" s="27">
        <f>IF($A992="","",IF(COUNTIF($A$14:$A992,$A992)=1,COUNTIF($AI$13:AI991,"&gt;0")+1,""))</f>
        <v/>
      </c>
      <c r="AO992" s="27">
        <f>IF($A992="","",IF(AND(COUNTIFS($A$14:$A$1213,$A992,$F$14:$F$1213,"&gt;=0")=2,IFERROR(INDEX($M$14:$M$313,MATCH($A992,$H$14:$H$313,0)),"Yes")&lt;&gt;"Yes"),1,0))</f>
        <v/>
      </c>
    </row>
    <row r="993">
      <c r="A993" s="19" t="n"/>
      <c r="B993" s="20" t="n"/>
      <c r="C993" s="21">
        <f>IFERROR(AVERAGE(P993:T993),"")</f>
        <v/>
      </c>
      <c r="D993" s="29" t="n"/>
      <c r="E993" s="29" t="n"/>
      <c r="F993" s="30">
        <f>IF(AND(ISNUMBER($D993),ISNUMBER($E993),$E993&gt;0,$D993&lt;=$E993),$D993/$E993,"")</f>
        <v/>
      </c>
      <c r="P993" s="26" t="n"/>
      <c r="Q993" s="26" t="n"/>
      <c r="R993" s="26" t="n"/>
      <c r="S993" s="26" t="n"/>
      <c r="T993" s="26" t="n"/>
      <c r="V993" s="27">
        <f>IF(ISNUMBER($C993),COUNTIFS($A$14:$A$1213,$A993,$C$14:$C$1213,"&gt;"&amp;$C993)+(COUNTIFS($A$14:$A$1213,$A993,$C$14:$C$1213,"="&amp;$C993)+1)/2,"")</f>
        <v/>
      </c>
      <c r="W993" s="27">
        <f>IF(ISNUMBER($F993),COUNTIFS($A$14:$A$1213,$A993,$F$14:$F$1213,"&gt;"&amp;$F993)+(COUNTIFS($A$14:$A$1213,$A993,$F$14:$F$1213,"="&amp;$F993)+1)/2,"")</f>
        <v/>
      </c>
      <c r="X993" s="27">
        <f>IF(OR(NOT(ISNUMBER($V993)),$AO993=1),"",$V993-(COUNTIFS($A$14:$A$1213,$A993,$C$14:$C$1213,"&gt;=0")+1)/2)</f>
        <v/>
      </c>
      <c r="Y993" s="27">
        <f>IF(OR(NOT(ISNUMBER($W993)),$AO993=1),"",$W993-(COUNTIFS($A$14:$A$1213,$A993,$F$14:$F$1213,"&gt;=0")+1)/2)</f>
        <v/>
      </c>
      <c r="Z993" s="27">
        <f>IF(ISNUMBER($V993),$A993&amp;"|"&amp;$V993,"")</f>
        <v/>
      </c>
      <c r="AA993" s="27">
        <f>IF(ISNUMBER($W993),$A993&amp;"|"&amp;$W993,"")</f>
        <v/>
      </c>
      <c r="AB993" s="27">
        <f>IF(ISNUMBER($F993),$A993&amp;"|"&amp;$F993,"")</f>
        <v/>
      </c>
      <c r="AC993" s="27">
        <f>IF(ISNUMBER($P993),COUNTIFS($A$14:$A$1213,$A993,$P$14:$P$1213,"&gt;"&amp;$P993)+(COUNTIFS($A$14:$A$1213,$A993,$P$14:$P$1213,"="&amp;$P993)+1)/2,"")</f>
        <v/>
      </c>
      <c r="AD993" s="27">
        <f>IF(ISNUMBER($Q993),COUNTIFS($A$14:$A$1213,$A993,$Q$14:$Q$1213,"&gt;"&amp;$Q993)+(COUNTIFS($A$14:$A$1213,$A993,$Q$14:$Q$1213,"="&amp;$Q993)+1)/2,"")</f>
        <v/>
      </c>
      <c r="AE993" s="27">
        <f>IF(ISNUMBER($R993),COUNTIFS($A$14:$A$1213,$A993,$R$14:$R$1213,"&gt;"&amp;$R993)+(COUNTIFS($A$14:$A$1213,$A993,$R$14:$R$1213,"="&amp;$R993)+1)/2,"")</f>
        <v/>
      </c>
      <c r="AF993" s="27">
        <f>IF(ISNUMBER($S993),COUNTIFS($A$14:$A$1213,$A993,$S$14:$S$1213,"&gt;"&amp;$S993)+(COUNTIFS($A$14:$A$1213,$A993,$S$14:$S$1213,"="&amp;$S993)+1)/2,"")</f>
        <v/>
      </c>
      <c r="AG993" s="27">
        <f>IF(ISNUMBER($T993),COUNTIFS($A$14:$A$1213,$A993,$T$14:$T$1213,"&gt;"&amp;$T993)+(COUNTIFS($A$14:$A$1213,$A993,$T$14:$T$1213,"="&amp;$T993)+1)/2,"")</f>
        <v/>
      </c>
      <c r="AH993" s="27">
        <f>IF(COUNT($AC993:$AG993)&lt;2,"",IF(MAX($AC993:$AG993)=MIN($AC993:$AG993),0,1))</f>
        <v/>
      </c>
      <c r="AI993" s="27">
        <f>IF($A993="","",IF(COUNTIF($A$14:$A993,$A993)=1,COUNTIF($AI$13:AI992,"&gt;0")+1,""))</f>
        <v/>
      </c>
      <c r="AO993" s="27">
        <f>IF($A993="","",IF(AND(COUNTIFS($A$14:$A$1213,$A993,$F$14:$F$1213,"&gt;=0")=2,IFERROR(INDEX($M$14:$M$313,MATCH($A993,$H$14:$H$313,0)),"Yes")&lt;&gt;"Yes"),1,0))</f>
        <v/>
      </c>
    </row>
    <row r="994">
      <c r="A994" s="19" t="n"/>
      <c r="B994" s="20" t="n"/>
      <c r="C994" s="21">
        <f>IFERROR(AVERAGE(P994:T994),"")</f>
        <v/>
      </c>
      <c r="D994" s="29" t="n"/>
      <c r="E994" s="29" t="n"/>
      <c r="F994" s="30">
        <f>IF(AND(ISNUMBER($D994),ISNUMBER($E994),$E994&gt;0,$D994&lt;=$E994),$D994/$E994,"")</f>
        <v/>
      </c>
      <c r="P994" s="26" t="n"/>
      <c r="Q994" s="26" t="n"/>
      <c r="R994" s="26" t="n"/>
      <c r="S994" s="26" t="n"/>
      <c r="T994" s="26" t="n"/>
      <c r="V994" s="27">
        <f>IF(ISNUMBER($C994),COUNTIFS($A$14:$A$1213,$A994,$C$14:$C$1213,"&gt;"&amp;$C994)+(COUNTIFS($A$14:$A$1213,$A994,$C$14:$C$1213,"="&amp;$C994)+1)/2,"")</f>
        <v/>
      </c>
      <c r="W994" s="27">
        <f>IF(ISNUMBER($F994),COUNTIFS($A$14:$A$1213,$A994,$F$14:$F$1213,"&gt;"&amp;$F994)+(COUNTIFS($A$14:$A$1213,$A994,$F$14:$F$1213,"="&amp;$F994)+1)/2,"")</f>
        <v/>
      </c>
      <c r="X994" s="27">
        <f>IF(OR(NOT(ISNUMBER($V994)),$AO994=1),"",$V994-(COUNTIFS($A$14:$A$1213,$A994,$C$14:$C$1213,"&gt;=0")+1)/2)</f>
        <v/>
      </c>
      <c r="Y994" s="27">
        <f>IF(OR(NOT(ISNUMBER($W994)),$AO994=1),"",$W994-(COUNTIFS($A$14:$A$1213,$A994,$F$14:$F$1213,"&gt;=0")+1)/2)</f>
        <v/>
      </c>
      <c r="Z994" s="27">
        <f>IF(ISNUMBER($V994),$A994&amp;"|"&amp;$V994,"")</f>
        <v/>
      </c>
      <c r="AA994" s="27">
        <f>IF(ISNUMBER($W994),$A994&amp;"|"&amp;$W994,"")</f>
        <v/>
      </c>
      <c r="AB994" s="27">
        <f>IF(ISNUMBER($F994),$A994&amp;"|"&amp;$F994,"")</f>
        <v/>
      </c>
      <c r="AC994" s="27">
        <f>IF(ISNUMBER($P994),COUNTIFS($A$14:$A$1213,$A994,$P$14:$P$1213,"&gt;"&amp;$P994)+(COUNTIFS($A$14:$A$1213,$A994,$P$14:$P$1213,"="&amp;$P994)+1)/2,"")</f>
        <v/>
      </c>
      <c r="AD994" s="27">
        <f>IF(ISNUMBER($Q994),COUNTIFS($A$14:$A$1213,$A994,$Q$14:$Q$1213,"&gt;"&amp;$Q994)+(COUNTIFS($A$14:$A$1213,$A994,$Q$14:$Q$1213,"="&amp;$Q994)+1)/2,"")</f>
        <v/>
      </c>
      <c r="AE994" s="27">
        <f>IF(ISNUMBER($R994),COUNTIFS($A$14:$A$1213,$A994,$R$14:$R$1213,"&gt;"&amp;$R994)+(COUNTIFS($A$14:$A$1213,$A994,$R$14:$R$1213,"="&amp;$R994)+1)/2,"")</f>
        <v/>
      </c>
      <c r="AF994" s="27">
        <f>IF(ISNUMBER($S994),COUNTIFS($A$14:$A$1213,$A994,$S$14:$S$1213,"&gt;"&amp;$S994)+(COUNTIFS($A$14:$A$1213,$A994,$S$14:$S$1213,"="&amp;$S994)+1)/2,"")</f>
        <v/>
      </c>
      <c r="AG994" s="27">
        <f>IF(ISNUMBER($T994),COUNTIFS($A$14:$A$1213,$A994,$T$14:$T$1213,"&gt;"&amp;$T994)+(COUNTIFS($A$14:$A$1213,$A994,$T$14:$T$1213,"="&amp;$T994)+1)/2,"")</f>
        <v/>
      </c>
      <c r="AH994" s="27">
        <f>IF(COUNT($AC994:$AG994)&lt;2,"",IF(MAX($AC994:$AG994)=MIN($AC994:$AG994),0,1))</f>
        <v/>
      </c>
      <c r="AI994" s="27">
        <f>IF($A994="","",IF(COUNTIF($A$14:$A994,$A994)=1,COUNTIF($AI$13:AI993,"&gt;0")+1,""))</f>
        <v/>
      </c>
      <c r="AO994" s="27">
        <f>IF($A994="","",IF(AND(COUNTIFS($A$14:$A$1213,$A994,$F$14:$F$1213,"&gt;=0")=2,IFERROR(INDEX($M$14:$M$313,MATCH($A994,$H$14:$H$313,0)),"Yes")&lt;&gt;"Yes"),1,0))</f>
        <v/>
      </c>
    </row>
    <row r="995">
      <c r="A995" s="19" t="n"/>
      <c r="B995" s="20" t="n"/>
      <c r="C995" s="21">
        <f>IFERROR(AVERAGE(P995:T995),"")</f>
        <v/>
      </c>
      <c r="D995" s="29" t="n"/>
      <c r="E995" s="29" t="n"/>
      <c r="F995" s="30">
        <f>IF(AND(ISNUMBER($D995),ISNUMBER($E995),$E995&gt;0,$D995&lt;=$E995),$D995/$E995,"")</f>
        <v/>
      </c>
      <c r="P995" s="26" t="n"/>
      <c r="Q995" s="26" t="n"/>
      <c r="R995" s="26" t="n"/>
      <c r="S995" s="26" t="n"/>
      <c r="T995" s="26" t="n"/>
      <c r="V995" s="27">
        <f>IF(ISNUMBER($C995),COUNTIFS($A$14:$A$1213,$A995,$C$14:$C$1213,"&gt;"&amp;$C995)+(COUNTIFS($A$14:$A$1213,$A995,$C$14:$C$1213,"="&amp;$C995)+1)/2,"")</f>
        <v/>
      </c>
      <c r="W995" s="27">
        <f>IF(ISNUMBER($F995),COUNTIFS($A$14:$A$1213,$A995,$F$14:$F$1213,"&gt;"&amp;$F995)+(COUNTIFS($A$14:$A$1213,$A995,$F$14:$F$1213,"="&amp;$F995)+1)/2,"")</f>
        <v/>
      </c>
      <c r="X995" s="27">
        <f>IF(OR(NOT(ISNUMBER($V995)),$AO995=1),"",$V995-(COUNTIFS($A$14:$A$1213,$A995,$C$14:$C$1213,"&gt;=0")+1)/2)</f>
        <v/>
      </c>
      <c r="Y995" s="27">
        <f>IF(OR(NOT(ISNUMBER($W995)),$AO995=1),"",$W995-(COUNTIFS($A$14:$A$1213,$A995,$F$14:$F$1213,"&gt;=0")+1)/2)</f>
        <v/>
      </c>
      <c r="Z995" s="27">
        <f>IF(ISNUMBER($V995),$A995&amp;"|"&amp;$V995,"")</f>
        <v/>
      </c>
      <c r="AA995" s="27">
        <f>IF(ISNUMBER($W995),$A995&amp;"|"&amp;$W995,"")</f>
        <v/>
      </c>
      <c r="AB995" s="27">
        <f>IF(ISNUMBER($F995),$A995&amp;"|"&amp;$F995,"")</f>
        <v/>
      </c>
      <c r="AC995" s="27">
        <f>IF(ISNUMBER($P995),COUNTIFS($A$14:$A$1213,$A995,$P$14:$P$1213,"&gt;"&amp;$P995)+(COUNTIFS($A$14:$A$1213,$A995,$P$14:$P$1213,"="&amp;$P995)+1)/2,"")</f>
        <v/>
      </c>
      <c r="AD995" s="27">
        <f>IF(ISNUMBER($Q995),COUNTIFS($A$14:$A$1213,$A995,$Q$14:$Q$1213,"&gt;"&amp;$Q995)+(COUNTIFS($A$14:$A$1213,$A995,$Q$14:$Q$1213,"="&amp;$Q995)+1)/2,"")</f>
        <v/>
      </c>
      <c r="AE995" s="27">
        <f>IF(ISNUMBER($R995),COUNTIFS($A$14:$A$1213,$A995,$R$14:$R$1213,"&gt;"&amp;$R995)+(COUNTIFS($A$14:$A$1213,$A995,$R$14:$R$1213,"="&amp;$R995)+1)/2,"")</f>
        <v/>
      </c>
      <c r="AF995" s="27">
        <f>IF(ISNUMBER($S995),COUNTIFS($A$14:$A$1213,$A995,$S$14:$S$1213,"&gt;"&amp;$S995)+(COUNTIFS($A$14:$A$1213,$A995,$S$14:$S$1213,"="&amp;$S995)+1)/2,"")</f>
        <v/>
      </c>
      <c r="AG995" s="27">
        <f>IF(ISNUMBER($T995),COUNTIFS($A$14:$A$1213,$A995,$T$14:$T$1213,"&gt;"&amp;$T995)+(COUNTIFS($A$14:$A$1213,$A995,$T$14:$T$1213,"="&amp;$T995)+1)/2,"")</f>
        <v/>
      </c>
      <c r="AH995" s="27">
        <f>IF(COUNT($AC995:$AG995)&lt;2,"",IF(MAX($AC995:$AG995)=MIN($AC995:$AG995),0,1))</f>
        <v/>
      </c>
      <c r="AI995" s="27">
        <f>IF($A995="","",IF(COUNTIF($A$14:$A995,$A995)=1,COUNTIF($AI$13:AI994,"&gt;0")+1,""))</f>
        <v/>
      </c>
      <c r="AO995" s="27">
        <f>IF($A995="","",IF(AND(COUNTIFS($A$14:$A$1213,$A995,$F$14:$F$1213,"&gt;=0")=2,IFERROR(INDEX($M$14:$M$313,MATCH($A995,$H$14:$H$313,0)),"Yes")&lt;&gt;"Yes"),1,0))</f>
        <v/>
      </c>
    </row>
    <row r="996">
      <c r="A996" s="19" t="n"/>
      <c r="B996" s="20" t="n"/>
      <c r="C996" s="21">
        <f>IFERROR(AVERAGE(P996:T996),"")</f>
        <v/>
      </c>
      <c r="D996" s="29" t="n"/>
      <c r="E996" s="29" t="n"/>
      <c r="F996" s="30">
        <f>IF(AND(ISNUMBER($D996),ISNUMBER($E996),$E996&gt;0,$D996&lt;=$E996),$D996/$E996,"")</f>
        <v/>
      </c>
      <c r="P996" s="26" t="n"/>
      <c r="Q996" s="26" t="n"/>
      <c r="R996" s="26" t="n"/>
      <c r="S996" s="26" t="n"/>
      <c r="T996" s="26" t="n"/>
      <c r="V996" s="27">
        <f>IF(ISNUMBER($C996),COUNTIFS($A$14:$A$1213,$A996,$C$14:$C$1213,"&gt;"&amp;$C996)+(COUNTIFS($A$14:$A$1213,$A996,$C$14:$C$1213,"="&amp;$C996)+1)/2,"")</f>
        <v/>
      </c>
      <c r="W996" s="27">
        <f>IF(ISNUMBER($F996),COUNTIFS($A$14:$A$1213,$A996,$F$14:$F$1213,"&gt;"&amp;$F996)+(COUNTIFS($A$14:$A$1213,$A996,$F$14:$F$1213,"="&amp;$F996)+1)/2,"")</f>
        <v/>
      </c>
      <c r="X996" s="27">
        <f>IF(OR(NOT(ISNUMBER($V996)),$AO996=1),"",$V996-(COUNTIFS($A$14:$A$1213,$A996,$C$14:$C$1213,"&gt;=0")+1)/2)</f>
        <v/>
      </c>
      <c r="Y996" s="27">
        <f>IF(OR(NOT(ISNUMBER($W996)),$AO996=1),"",$W996-(COUNTIFS($A$14:$A$1213,$A996,$F$14:$F$1213,"&gt;=0")+1)/2)</f>
        <v/>
      </c>
      <c r="Z996" s="27">
        <f>IF(ISNUMBER($V996),$A996&amp;"|"&amp;$V996,"")</f>
        <v/>
      </c>
      <c r="AA996" s="27">
        <f>IF(ISNUMBER($W996),$A996&amp;"|"&amp;$W996,"")</f>
        <v/>
      </c>
      <c r="AB996" s="27">
        <f>IF(ISNUMBER($F996),$A996&amp;"|"&amp;$F996,"")</f>
        <v/>
      </c>
      <c r="AC996" s="27">
        <f>IF(ISNUMBER($P996),COUNTIFS($A$14:$A$1213,$A996,$P$14:$P$1213,"&gt;"&amp;$P996)+(COUNTIFS($A$14:$A$1213,$A996,$P$14:$P$1213,"="&amp;$P996)+1)/2,"")</f>
        <v/>
      </c>
      <c r="AD996" s="27">
        <f>IF(ISNUMBER($Q996),COUNTIFS($A$14:$A$1213,$A996,$Q$14:$Q$1213,"&gt;"&amp;$Q996)+(COUNTIFS($A$14:$A$1213,$A996,$Q$14:$Q$1213,"="&amp;$Q996)+1)/2,"")</f>
        <v/>
      </c>
      <c r="AE996" s="27">
        <f>IF(ISNUMBER($R996),COUNTIFS($A$14:$A$1213,$A996,$R$14:$R$1213,"&gt;"&amp;$R996)+(COUNTIFS($A$14:$A$1213,$A996,$R$14:$R$1213,"="&amp;$R996)+1)/2,"")</f>
        <v/>
      </c>
      <c r="AF996" s="27">
        <f>IF(ISNUMBER($S996),COUNTIFS($A$14:$A$1213,$A996,$S$14:$S$1213,"&gt;"&amp;$S996)+(COUNTIFS($A$14:$A$1213,$A996,$S$14:$S$1213,"="&amp;$S996)+1)/2,"")</f>
        <v/>
      </c>
      <c r="AG996" s="27">
        <f>IF(ISNUMBER($T996),COUNTIFS($A$14:$A$1213,$A996,$T$14:$T$1213,"&gt;"&amp;$T996)+(COUNTIFS($A$14:$A$1213,$A996,$T$14:$T$1213,"="&amp;$T996)+1)/2,"")</f>
        <v/>
      </c>
      <c r="AH996" s="27">
        <f>IF(COUNT($AC996:$AG996)&lt;2,"",IF(MAX($AC996:$AG996)=MIN($AC996:$AG996),0,1))</f>
        <v/>
      </c>
      <c r="AI996" s="27">
        <f>IF($A996="","",IF(COUNTIF($A$14:$A996,$A996)=1,COUNTIF($AI$13:AI995,"&gt;0")+1,""))</f>
        <v/>
      </c>
      <c r="AO996" s="27">
        <f>IF($A996="","",IF(AND(COUNTIFS($A$14:$A$1213,$A996,$F$14:$F$1213,"&gt;=0")=2,IFERROR(INDEX($M$14:$M$313,MATCH($A996,$H$14:$H$313,0)),"Yes")&lt;&gt;"Yes"),1,0))</f>
        <v/>
      </c>
    </row>
    <row r="997">
      <c r="A997" s="19" t="n"/>
      <c r="B997" s="20" t="n"/>
      <c r="C997" s="21">
        <f>IFERROR(AVERAGE(P997:T997),"")</f>
        <v/>
      </c>
      <c r="D997" s="29" t="n"/>
      <c r="E997" s="29" t="n"/>
      <c r="F997" s="30">
        <f>IF(AND(ISNUMBER($D997),ISNUMBER($E997),$E997&gt;0,$D997&lt;=$E997),$D997/$E997,"")</f>
        <v/>
      </c>
      <c r="P997" s="26" t="n"/>
      <c r="Q997" s="26" t="n"/>
      <c r="R997" s="26" t="n"/>
      <c r="S997" s="26" t="n"/>
      <c r="T997" s="26" t="n"/>
      <c r="V997" s="27">
        <f>IF(ISNUMBER($C997),COUNTIFS($A$14:$A$1213,$A997,$C$14:$C$1213,"&gt;"&amp;$C997)+(COUNTIFS($A$14:$A$1213,$A997,$C$14:$C$1213,"="&amp;$C997)+1)/2,"")</f>
        <v/>
      </c>
      <c r="W997" s="27">
        <f>IF(ISNUMBER($F997),COUNTIFS($A$14:$A$1213,$A997,$F$14:$F$1213,"&gt;"&amp;$F997)+(COUNTIFS($A$14:$A$1213,$A997,$F$14:$F$1213,"="&amp;$F997)+1)/2,"")</f>
        <v/>
      </c>
      <c r="X997" s="27">
        <f>IF(OR(NOT(ISNUMBER($V997)),$AO997=1),"",$V997-(COUNTIFS($A$14:$A$1213,$A997,$C$14:$C$1213,"&gt;=0")+1)/2)</f>
        <v/>
      </c>
      <c r="Y997" s="27">
        <f>IF(OR(NOT(ISNUMBER($W997)),$AO997=1),"",$W997-(COUNTIFS($A$14:$A$1213,$A997,$F$14:$F$1213,"&gt;=0")+1)/2)</f>
        <v/>
      </c>
      <c r="Z997" s="27">
        <f>IF(ISNUMBER($V997),$A997&amp;"|"&amp;$V997,"")</f>
        <v/>
      </c>
      <c r="AA997" s="27">
        <f>IF(ISNUMBER($W997),$A997&amp;"|"&amp;$W997,"")</f>
        <v/>
      </c>
      <c r="AB997" s="27">
        <f>IF(ISNUMBER($F997),$A997&amp;"|"&amp;$F997,"")</f>
        <v/>
      </c>
      <c r="AC997" s="27">
        <f>IF(ISNUMBER($P997),COUNTIFS($A$14:$A$1213,$A997,$P$14:$P$1213,"&gt;"&amp;$P997)+(COUNTIFS($A$14:$A$1213,$A997,$P$14:$P$1213,"="&amp;$P997)+1)/2,"")</f>
        <v/>
      </c>
      <c r="AD997" s="27">
        <f>IF(ISNUMBER($Q997),COUNTIFS($A$14:$A$1213,$A997,$Q$14:$Q$1213,"&gt;"&amp;$Q997)+(COUNTIFS($A$14:$A$1213,$A997,$Q$14:$Q$1213,"="&amp;$Q997)+1)/2,"")</f>
        <v/>
      </c>
      <c r="AE997" s="27">
        <f>IF(ISNUMBER($R997),COUNTIFS($A$14:$A$1213,$A997,$R$14:$R$1213,"&gt;"&amp;$R997)+(COUNTIFS($A$14:$A$1213,$A997,$R$14:$R$1213,"="&amp;$R997)+1)/2,"")</f>
        <v/>
      </c>
      <c r="AF997" s="27">
        <f>IF(ISNUMBER($S997),COUNTIFS($A$14:$A$1213,$A997,$S$14:$S$1213,"&gt;"&amp;$S997)+(COUNTIFS($A$14:$A$1213,$A997,$S$14:$S$1213,"="&amp;$S997)+1)/2,"")</f>
        <v/>
      </c>
      <c r="AG997" s="27">
        <f>IF(ISNUMBER($T997),COUNTIFS($A$14:$A$1213,$A997,$T$14:$T$1213,"&gt;"&amp;$T997)+(COUNTIFS($A$14:$A$1213,$A997,$T$14:$T$1213,"="&amp;$T997)+1)/2,"")</f>
        <v/>
      </c>
      <c r="AH997" s="27">
        <f>IF(COUNT($AC997:$AG997)&lt;2,"",IF(MAX($AC997:$AG997)=MIN($AC997:$AG997),0,1))</f>
        <v/>
      </c>
      <c r="AI997" s="27">
        <f>IF($A997="","",IF(COUNTIF($A$14:$A997,$A997)=1,COUNTIF($AI$13:AI996,"&gt;0")+1,""))</f>
        <v/>
      </c>
      <c r="AO997" s="27">
        <f>IF($A997="","",IF(AND(COUNTIFS($A$14:$A$1213,$A997,$F$14:$F$1213,"&gt;=0")=2,IFERROR(INDEX($M$14:$M$313,MATCH($A997,$H$14:$H$313,0)),"Yes")&lt;&gt;"Yes"),1,0))</f>
        <v/>
      </c>
    </row>
    <row r="998">
      <c r="A998" s="19" t="n"/>
      <c r="B998" s="20" t="n"/>
      <c r="C998" s="21">
        <f>IFERROR(AVERAGE(P998:T998),"")</f>
        <v/>
      </c>
      <c r="D998" s="29" t="n"/>
      <c r="E998" s="29" t="n"/>
      <c r="F998" s="30">
        <f>IF(AND(ISNUMBER($D998),ISNUMBER($E998),$E998&gt;0,$D998&lt;=$E998),$D998/$E998,"")</f>
        <v/>
      </c>
      <c r="P998" s="26" t="n"/>
      <c r="Q998" s="26" t="n"/>
      <c r="R998" s="26" t="n"/>
      <c r="S998" s="26" t="n"/>
      <c r="T998" s="26" t="n"/>
      <c r="V998" s="27">
        <f>IF(ISNUMBER($C998),COUNTIFS($A$14:$A$1213,$A998,$C$14:$C$1213,"&gt;"&amp;$C998)+(COUNTIFS($A$14:$A$1213,$A998,$C$14:$C$1213,"="&amp;$C998)+1)/2,"")</f>
        <v/>
      </c>
      <c r="W998" s="27">
        <f>IF(ISNUMBER($F998),COUNTIFS($A$14:$A$1213,$A998,$F$14:$F$1213,"&gt;"&amp;$F998)+(COUNTIFS($A$14:$A$1213,$A998,$F$14:$F$1213,"="&amp;$F998)+1)/2,"")</f>
        <v/>
      </c>
      <c r="X998" s="27">
        <f>IF(OR(NOT(ISNUMBER($V998)),$AO998=1),"",$V998-(COUNTIFS($A$14:$A$1213,$A998,$C$14:$C$1213,"&gt;=0")+1)/2)</f>
        <v/>
      </c>
      <c r="Y998" s="27">
        <f>IF(OR(NOT(ISNUMBER($W998)),$AO998=1),"",$W998-(COUNTIFS($A$14:$A$1213,$A998,$F$14:$F$1213,"&gt;=0")+1)/2)</f>
        <v/>
      </c>
      <c r="Z998" s="27">
        <f>IF(ISNUMBER($V998),$A998&amp;"|"&amp;$V998,"")</f>
        <v/>
      </c>
      <c r="AA998" s="27">
        <f>IF(ISNUMBER($W998),$A998&amp;"|"&amp;$W998,"")</f>
        <v/>
      </c>
      <c r="AB998" s="27">
        <f>IF(ISNUMBER($F998),$A998&amp;"|"&amp;$F998,"")</f>
        <v/>
      </c>
      <c r="AC998" s="27">
        <f>IF(ISNUMBER($P998),COUNTIFS($A$14:$A$1213,$A998,$P$14:$P$1213,"&gt;"&amp;$P998)+(COUNTIFS($A$14:$A$1213,$A998,$P$14:$P$1213,"="&amp;$P998)+1)/2,"")</f>
        <v/>
      </c>
      <c r="AD998" s="27">
        <f>IF(ISNUMBER($Q998),COUNTIFS($A$14:$A$1213,$A998,$Q$14:$Q$1213,"&gt;"&amp;$Q998)+(COUNTIFS($A$14:$A$1213,$A998,$Q$14:$Q$1213,"="&amp;$Q998)+1)/2,"")</f>
        <v/>
      </c>
      <c r="AE998" s="27">
        <f>IF(ISNUMBER($R998),COUNTIFS($A$14:$A$1213,$A998,$R$14:$R$1213,"&gt;"&amp;$R998)+(COUNTIFS($A$14:$A$1213,$A998,$R$14:$R$1213,"="&amp;$R998)+1)/2,"")</f>
        <v/>
      </c>
      <c r="AF998" s="27">
        <f>IF(ISNUMBER($S998),COUNTIFS($A$14:$A$1213,$A998,$S$14:$S$1213,"&gt;"&amp;$S998)+(COUNTIFS($A$14:$A$1213,$A998,$S$14:$S$1213,"="&amp;$S998)+1)/2,"")</f>
        <v/>
      </c>
      <c r="AG998" s="27">
        <f>IF(ISNUMBER($T998),COUNTIFS($A$14:$A$1213,$A998,$T$14:$T$1213,"&gt;"&amp;$T998)+(COUNTIFS($A$14:$A$1213,$A998,$T$14:$T$1213,"="&amp;$T998)+1)/2,"")</f>
        <v/>
      </c>
      <c r="AH998" s="27">
        <f>IF(COUNT($AC998:$AG998)&lt;2,"",IF(MAX($AC998:$AG998)=MIN($AC998:$AG998),0,1))</f>
        <v/>
      </c>
      <c r="AI998" s="27">
        <f>IF($A998="","",IF(COUNTIF($A$14:$A998,$A998)=1,COUNTIF($AI$13:AI997,"&gt;0")+1,""))</f>
        <v/>
      </c>
      <c r="AO998" s="27">
        <f>IF($A998="","",IF(AND(COUNTIFS($A$14:$A$1213,$A998,$F$14:$F$1213,"&gt;=0")=2,IFERROR(INDEX($M$14:$M$313,MATCH($A998,$H$14:$H$313,0)),"Yes")&lt;&gt;"Yes"),1,0))</f>
        <v/>
      </c>
    </row>
    <row r="999">
      <c r="A999" s="19" t="n"/>
      <c r="B999" s="20" t="n"/>
      <c r="C999" s="21">
        <f>IFERROR(AVERAGE(P999:T999),"")</f>
        <v/>
      </c>
      <c r="D999" s="29" t="n"/>
      <c r="E999" s="29" t="n"/>
      <c r="F999" s="30">
        <f>IF(AND(ISNUMBER($D999),ISNUMBER($E999),$E999&gt;0,$D999&lt;=$E999),$D999/$E999,"")</f>
        <v/>
      </c>
      <c r="P999" s="26" t="n"/>
      <c r="Q999" s="26" t="n"/>
      <c r="R999" s="26" t="n"/>
      <c r="S999" s="26" t="n"/>
      <c r="T999" s="26" t="n"/>
      <c r="V999" s="27">
        <f>IF(ISNUMBER($C999),COUNTIFS($A$14:$A$1213,$A999,$C$14:$C$1213,"&gt;"&amp;$C999)+(COUNTIFS($A$14:$A$1213,$A999,$C$14:$C$1213,"="&amp;$C999)+1)/2,"")</f>
        <v/>
      </c>
      <c r="W999" s="27">
        <f>IF(ISNUMBER($F999),COUNTIFS($A$14:$A$1213,$A999,$F$14:$F$1213,"&gt;"&amp;$F999)+(COUNTIFS($A$14:$A$1213,$A999,$F$14:$F$1213,"="&amp;$F999)+1)/2,"")</f>
        <v/>
      </c>
      <c r="X999" s="27">
        <f>IF(OR(NOT(ISNUMBER($V999)),$AO999=1),"",$V999-(COUNTIFS($A$14:$A$1213,$A999,$C$14:$C$1213,"&gt;=0")+1)/2)</f>
        <v/>
      </c>
      <c r="Y999" s="27">
        <f>IF(OR(NOT(ISNUMBER($W999)),$AO999=1),"",$W999-(COUNTIFS($A$14:$A$1213,$A999,$F$14:$F$1213,"&gt;=0")+1)/2)</f>
        <v/>
      </c>
      <c r="Z999" s="27">
        <f>IF(ISNUMBER($V999),$A999&amp;"|"&amp;$V999,"")</f>
        <v/>
      </c>
      <c r="AA999" s="27">
        <f>IF(ISNUMBER($W999),$A999&amp;"|"&amp;$W999,"")</f>
        <v/>
      </c>
      <c r="AB999" s="27">
        <f>IF(ISNUMBER($F999),$A999&amp;"|"&amp;$F999,"")</f>
        <v/>
      </c>
      <c r="AC999" s="27">
        <f>IF(ISNUMBER($P999),COUNTIFS($A$14:$A$1213,$A999,$P$14:$P$1213,"&gt;"&amp;$P999)+(COUNTIFS($A$14:$A$1213,$A999,$P$14:$P$1213,"="&amp;$P999)+1)/2,"")</f>
        <v/>
      </c>
      <c r="AD999" s="27">
        <f>IF(ISNUMBER($Q999),COUNTIFS($A$14:$A$1213,$A999,$Q$14:$Q$1213,"&gt;"&amp;$Q999)+(COUNTIFS($A$14:$A$1213,$A999,$Q$14:$Q$1213,"="&amp;$Q999)+1)/2,"")</f>
        <v/>
      </c>
      <c r="AE999" s="27">
        <f>IF(ISNUMBER($R999),COUNTIFS($A$14:$A$1213,$A999,$R$14:$R$1213,"&gt;"&amp;$R999)+(COUNTIFS($A$14:$A$1213,$A999,$R$14:$R$1213,"="&amp;$R999)+1)/2,"")</f>
        <v/>
      </c>
      <c r="AF999" s="27">
        <f>IF(ISNUMBER($S999),COUNTIFS($A$14:$A$1213,$A999,$S$14:$S$1213,"&gt;"&amp;$S999)+(COUNTIFS($A$14:$A$1213,$A999,$S$14:$S$1213,"="&amp;$S999)+1)/2,"")</f>
        <v/>
      </c>
      <c r="AG999" s="27">
        <f>IF(ISNUMBER($T999),COUNTIFS($A$14:$A$1213,$A999,$T$14:$T$1213,"&gt;"&amp;$T999)+(COUNTIFS($A$14:$A$1213,$A999,$T$14:$T$1213,"="&amp;$T999)+1)/2,"")</f>
        <v/>
      </c>
      <c r="AH999" s="27">
        <f>IF(COUNT($AC999:$AG999)&lt;2,"",IF(MAX($AC999:$AG999)=MIN($AC999:$AG999),0,1))</f>
        <v/>
      </c>
      <c r="AI999" s="27">
        <f>IF($A999="","",IF(COUNTIF($A$14:$A999,$A999)=1,COUNTIF($AI$13:AI998,"&gt;0")+1,""))</f>
        <v/>
      </c>
      <c r="AO999" s="27">
        <f>IF($A999="","",IF(AND(COUNTIFS($A$14:$A$1213,$A999,$F$14:$F$1213,"&gt;=0")=2,IFERROR(INDEX($M$14:$M$313,MATCH($A999,$H$14:$H$313,0)),"Yes")&lt;&gt;"Yes"),1,0))</f>
        <v/>
      </c>
    </row>
    <row r="1000">
      <c r="A1000" s="19" t="n"/>
      <c r="B1000" s="20" t="n"/>
      <c r="C1000" s="21">
        <f>IFERROR(AVERAGE(P1000:T1000),"")</f>
        <v/>
      </c>
      <c r="D1000" s="29" t="n"/>
      <c r="E1000" s="29" t="n"/>
      <c r="F1000" s="30">
        <f>IF(AND(ISNUMBER($D1000),ISNUMBER($E1000),$E1000&gt;0,$D1000&lt;=$E1000),$D1000/$E1000,"")</f>
        <v/>
      </c>
      <c r="P1000" s="26" t="n"/>
      <c r="Q1000" s="26" t="n"/>
      <c r="R1000" s="26" t="n"/>
      <c r="S1000" s="26" t="n"/>
      <c r="T1000" s="26" t="n"/>
      <c r="V1000" s="27">
        <f>IF(ISNUMBER($C1000),COUNTIFS($A$14:$A$1213,$A1000,$C$14:$C$1213,"&gt;"&amp;$C1000)+(COUNTIFS($A$14:$A$1213,$A1000,$C$14:$C$1213,"="&amp;$C1000)+1)/2,"")</f>
        <v/>
      </c>
      <c r="W1000" s="27">
        <f>IF(ISNUMBER($F1000),COUNTIFS($A$14:$A$1213,$A1000,$F$14:$F$1213,"&gt;"&amp;$F1000)+(COUNTIFS($A$14:$A$1213,$A1000,$F$14:$F$1213,"="&amp;$F1000)+1)/2,"")</f>
        <v/>
      </c>
      <c r="X1000" s="27">
        <f>IF(OR(NOT(ISNUMBER($V1000)),$AO1000=1),"",$V1000-(COUNTIFS($A$14:$A$1213,$A1000,$C$14:$C$1213,"&gt;=0")+1)/2)</f>
        <v/>
      </c>
      <c r="Y1000" s="27">
        <f>IF(OR(NOT(ISNUMBER($W1000)),$AO1000=1),"",$W1000-(COUNTIFS($A$14:$A$1213,$A1000,$F$14:$F$1213,"&gt;=0")+1)/2)</f>
        <v/>
      </c>
      <c r="Z1000" s="27">
        <f>IF(ISNUMBER($V1000),$A1000&amp;"|"&amp;$V1000,"")</f>
        <v/>
      </c>
      <c r="AA1000" s="27">
        <f>IF(ISNUMBER($W1000),$A1000&amp;"|"&amp;$W1000,"")</f>
        <v/>
      </c>
      <c r="AB1000" s="27">
        <f>IF(ISNUMBER($F1000),$A1000&amp;"|"&amp;$F1000,"")</f>
        <v/>
      </c>
      <c r="AC1000" s="27">
        <f>IF(ISNUMBER($P1000),COUNTIFS($A$14:$A$1213,$A1000,$P$14:$P$1213,"&gt;"&amp;$P1000)+(COUNTIFS($A$14:$A$1213,$A1000,$P$14:$P$1213,"="&amp;$P1000)+1)/2,"")</f>
        <v/>
      </c>
      <c r="AD1000" s="27">
        <f>IF(ISNUMBER($Q1000),COUNTIFS($A$14:$A$1213,$A1000,$Q$14:$Q$1213,"&gt;"&amp;$Q1000)+(COUNTIFS($A$14:$A$1213,$A1000,$Q$14:$Q$1213,"="&amp;$Q1000)+1)/2,"")</f>
        <v/>
      </c>
      <c r="AE1000" s="27">
        <f>IF(ISNUMBER($R1000),COUNTIFS($A$14:$A$1213,$A1000,$R$14:$R$1213,"&gt;"&amp;$R1000)+(COUNTIFS($A$14:$A$1213,$A1000,$R$14:$R$1213,"="&amp;$R1000)+1)/2,"")</f>
        <v/>
      </c>
      <c r="AF1000" s="27">
        <f>IF(ISNUMBER($S1000),COUNTIFS($A$14:$A$1213,$A1000,$S$14:$S$1213,"&gt;"&amp;$S1000)+(COUNTIFS($A$14:$A$1213,$A1000,$S$14:$S$1213,"="&amp;$S1000)+1)/2,"")</f>
        <v/>
      </c>
      <c r="AG1000" s="27">
        <f>IF(ISNUMBER($T1000),COUNTIFS($A$14:$A$1213,$A1000,$T$14:$T$1213,"&gt;"&amp;$T1000)+(COUNTIFS($A$14:$A$1213,$A1000,$T$14:$T$1213,"="&amp;$T1000)+1)/2,"")</f>
        <v/>
      </c>
      <c r="AH1000" s="27">
        <f>IF(COUNT($AC1000:$AG1000)&lt;2,"",IF(MAX($AC1000:$AG1000)=MIN($AC1000:$AG1000),0,1))</f>
        <v/>
      </c>
      <c r="AI1000" s="27">
        <f>IF($A1000="","",IF(COUNTIF($A$14:$A1000,$A1000)=1,COUNTIF($AI$13:AI999,"&gt;0")+1,""))</f>
        <v/>
      </c>
      <c r="AO1000" s="27">
        <f>IF($A1000="","",IF(AND(COUNTIFS($A$14:$A$1213,$A1000,$F$14:$F$1213,"&gt;=0")=2,IFERROR(INDEX($M$14:$M$313,MATCH($A1000,$H$14:$H$313,0)),"Yes")&lt;&gt;"Yes"),1,0))</f>
        <v/>
      </c>
    </row>
    <row r="1001">
      <c r="A1001" s="19" t="n"/>
      <c r="B1001" s="20" t="n"/>
      <c r="C1001" s="21">
        <f>IFERROR(AVERAGE(P1001:T1001),"")</f>
        <v/>
      </c>
      <c r="D1001" s="29" t="n"/>
      <c r="E1001" s="29" t="n"/>
      <c r="F1001" s="30">
        <f>IF(AND(ISNUMBER($D1001),ISNUMBER($E1001),$E1001&gt;0,$D1001&lt;=$E1001),$D1001/$E1001,"")</f>
        <v/>
      </c>
      <c r="P1001" s="26" t="n"/>
      <c r="Q1001" s="26" t="n"/>
      <c r="R1001" s="26" t="n"/>
      <c r="S1001" s="26" t="n"/>
      <c r="T1001" s="26" t="n"/>
      <c r="V1001" s="27">
        <f>IF(ISNUMBER($C1001),COUNTIFS($A$14:$A$1213,$A1001,$C$14:$C$1213,"&gt;"&amp;$C1001)+(COUNTIFS($A$14:$A$1213,$A1001,$C$14:$C$1213,"="&amp;$C1001)+1)/2,"")</f>
        <v/>
      </c>
      <c r="W1001" s="27">
        <f>IF(ISNUMBER($F1001),COUNTIFS($A$14:$A$1213,$A1001,$F$14:$F$1213,"&gt;"&amp;$F1001)+(COUNTIFS($A$14:$A$1213,$A1001,$F$14:$F$1213,"="&amp;$F1001)+1)/2,"")</f>
        <v/>
      </c>
      <c r="X1001" s="27">
        <f>IF(OR(NOT(ISNUMBER($V1001)),$AO1001=1),"",$V1001-(COUNTIFS($A$14:$A$1213,$A1001,$C$14:$C$1213,"&gt;=0")+1)/2)</f>
        <v/>
      </c>
      <c r="Y1001" s="27">
        <f>IF(OR(NOT(ISNUMBER($W1001)),$AO1001=1),"",$W1001-(COUNTIFS($A$14:$A$1213,$A1001,$F$14:$F$1213,"&gt;=0")+1)/2)</f>
        <v/>
      </c>
      <c r="Z1001" s="27">
        <f>IF(ISNUMBER($V1001),$A1001&amp;"|"&amp;$V1001,"")</f>
        <v/>
      </c>
      <c r="AA1001" s="27">
        <f>IF(ISNUMBER($W1001),$A1001&amp;"|"&amp;$W1001,"")</f>
        <v/>
      </c>
      <c r="AB1001" s="27">
        <f>IF(ISNUMBER($F1001),$A1001&amp;"|"&amp;$F1001,"")</f>
        <v/>
      </c>
      <c r="AC1001" s="27">
        <f>IF(ISNUMBER($P1001),COUNTIFS($A$14:$A$1213,$A1001,$P$14:$P$1213,"&gt;"&amp;$P1001)+(COUNTIFS($A$14:$A$1213,$A1001,$P$14:$P$1213,"="&amp;$P1001)+1)/2,"")</f>
        <v/>
      </c>
      <c r="AD1001" s="27">
        <f>IF(ISNUMBER($Q1001),COUNTIFS($A$14:$A$1213,$A1001,$Q$14:$Q$1213,"&gt;"&amp;$Q1001)+(COUNTIFS($A$14:$A$1213,$A1001,$Q$14:$Q$1213,"="&amp;$Q1001)+1)/2,"")</f>
        <v/>
      </c>
      <c r="AE1001" s="27">
        <f>IF(ISNUMBER($R1001),COUNTIFS($A$14:$A$1213,$A1001,$R$14:$R$1213,"&gt;"&amp;$R1001)+(COUNTIFS($A$14:$A$1213,$A1001,$R$14:$R$1213,"="&amp;$R1001)+1)/2,"")</f>
        <v/>
      </c>
      <c r="AF1001" s="27">
        <f>IF(ISNUMBER($S1001),COUNTIFS($A$14:$A$1213,$A1001,$S$14:$S$1213,"&gt;"&amp;$S1001)+(COUNTIFS($A$14:$A$1213,$A1001,$S$14:$S$1213,"="&amp;$S1001)+1)/2,"")</f>
        <v/>
      </c>
      <c r="AG1001" s="27">
        <f>IF(ISNUMBER($T1001),COUNTIFS($A$14:$A$1213,$A1001,$T$14:$T$1213,"&gt;"&amp;$T1001)+(COUNTIFS($A$14:$A$1213,$A1001,$T$14:$T$1213,"="&amp;$T1001)+1)/2,"")</f>
        <v/>
      </c>
      <c r="AH1001" s="27">
        <f>IF(COUNT($AC1001:$AG1001)&lt;2,"",IF(MAX($AC1001:$AG1001)=MIN($AC1001:$AG1001),0,1))</f>
        <v/>
      </c>
      <c r="AI1001" s="27">
        <f>IF($A1001="","",IF(COUNTIF($A$14:$A1001,$A1001)=1,COUNTIF($AI$13:AI1000,"&gt;0")+1,""))</f>
        <v/>
      </c>
      <c r="AO1001" s="27">
        <f>IF($A1001="","",IF(AND(COUNTIFS($A$14:$A$1213,$A1001,$F$14:$F$1213,"&gt;=0")=2,IFERROR(INDEX($M$14:$M$313,MATCH($A1001,$H$14:$H$313,0)),"Yes")&lt;&gt;"Yes"),1,0))</f>
        <v/>
      </c>
    </row>
    <row r="1002">
      <c r="A1002" s="19" t="n"/>
      <c r="B1002" s="20" t="n"/>
      <c r="C1002" s="21">
        <f>IFERROR(AVERAGE(P1002:T1002),"")</f>
        <v/>
      </c>
      <c r="D1002" s="29" t="n"/>
      <c r="E1002" s="29" t="n"/>
      <c r="F1002" s="30">
        <f>IF(AND(ISNUMBER($D1002),ISNUMBER($E1002),$E1002&gt;0,$D1002&lt;=$E1002),$D1002/$E1002,"")</f>
        <v/>
      </c>
      <c r="P1002" s="26" t="n"/>
      <c r="Q1002" s="26" t="n"/>
      <c r="R1002" s="26" t="n"/>
      <c r="S1002" s="26" t="n"/>
      <c r="T1002" s="26" t="n"/>
      <c r="V1002" s="27">
        <f>IF(ISNUMBER($C1002),COUNTIFS($A$14:$A$1213,$A1002,$C$14:$C$1213,"&gt;"&amp;$C1002)+(COUNTIFS($A$14:$A$1213,$A1002,$C$14:$C$1213,"="&amp;$C1002)+1)/2,"")</f>
        <v/>
      </c>
      <c r="W1002" s="27">
        <f>IF(ISNUMBER($F1002),COUNTIFS($A$14:$A$1213,$A1002,$F$14:$F$1213,"&gt;"&amp;$F1002)+(COUNTIFS($A$14:$A$1213,$A1002,$F$14:$F$1213,"="&amp;$F1002)+1)/2,"")</f>
        <v/>
      </c>
      <c r="X1002" s="27">
        <f>IF(OR(NOT(ISNUMBER($V1002)),$AO1002=1),"",$V1002-(COUNTIFS($A$14:$A$1213,$A1002,$C$14:$C$1213,"&gt;=0")+1)/2)</f>
        <v/>
      </c>
      <c r="Y1002" s="27">
        <f>IF(OR(NOT(ISNUMBER($W1002)),$AO1002=1),"",$W1002-(COUNTIFS($A$14:$A$1213,$A1002,$F$14:$F$1213,"&gt;=0")+1)/2)</f>
        <v/>
      </c>
      <c r="Z1002" s="27">
        <f>IF(ISNUMBER($V1002),$A1002&amp;"|"&amp;$V1002,"")</f>
        <v/>
      </c>
      <c r="AA1002" s="27">
        <f>IF(ISNUMBER($W1002),$A1002&amp;"|"&amp;$W1002,"")</f>
        <v/>
      </c>
      <c r="AB1002" s="27">
        <f>IF(ISNUMBER($F1002),$A1002&amp;"|"&amp;$F1002,"")</f>
        <v/>
      </c>
      <c r="AC1002" s="27">
        <f>IF(ISNUMBER($P1002),COUNTIFS($A$14:$A$1213,$A1002,$P$14:$P$1213,"&gt;"&amp;$P1002)+(COUNTIFS($A$14:$A$1213,$A1002,$P$14:$P$1213,"="&amp;$P1002)+1)/2,"")</f>
        <v/>
      </c>
      <c r="AD1002" s="27">
        <f>IF(ISNUMBER($Q1002),COUNTIFS($A$14:$A$1213,$A1002,$Q$14:$Q$1213,"&gt;"&amp;$Q1002)+(COUNTIFS($A$14:$A$1213,$A1002,$Q$14:$Q$1213,"="&amp;$Q1002)+1)/2,"")</f>
        <v/>
      </c>
      <c r="AE1002" s="27">
        <f>IF(ISNUMBER($R1002),COUNTIFS($A$14:$A$1213,$A1002,$R$14:$R$1213,"&gt;"&amp;$R1002)+(COUNTIFS($A$14:$A$1213,$A1002,$R$14:$R$1213,"="&amp;$R1002)+1)/2,"")</f>
        <v/>
      </c>
      <c r="AF1002" s="27">
        <f>IF(ISNUMBER($S1002),COUNTIFS($A$14:$A$1213,$A1002,$S$14:$S$1213,"&gt;"&amp;$S1002)+(COUNTIFS($A$14:$A$1213,$A1002,$S$14:$S$1213,"="&amp;$S1002)+1)/2,"")</f>
        <v/>
      </c>
      <c r="AG1002" s="27">
        <f>IF(ISNUMBER($T1002),COUNTIFS($A$14:$A$1213,$A1002,$T$14:$T$1213,"&gt;"&amp;$T1002)+(COUNTIFS($A$14:$A$1213,$A1002,$T$14:$T$1213,"="&amp;$T1002)+1)/2,"")</f>
        <v/>
      </c>
      <c r="AH1002" s="27">
        <f>IF(COUNT($AC1002:$AG1002)&lt;2,"",IF(MAX($AC1002:$AG1002)=MIN($AC1002:$AG1002),0,1))</f>
        <v/>
      </c>
      <c r="AI1002" s="27">
        <f>IF($A1002="","",IF(COUNTIF($A$14:$A1002,$A1002)=1,COUNTIF($AI$13:AI1001,"&gt;0")+1,""))</f>
        <v/>
      </c>
      <c r="AO1002" s="27">
        <f>IF($A1002="","",IF(AND(COUNTIFS($A$14:$A$1213,$A1002,$F$14:$F$1213,"&gt;=0")=2,IFERROR(INDEX($M$14:$M$313,MATCH($A1002,$H$14:$H$313,0)),"Yes")&lt;&gt;"Yes"),1,0))</f>
        <v/>
      </c>
    </row>
    <row r="1003">
      <c r="A1003" s="19" t="n"/>
      <c r="B1003" s="20" t="n"/>
      <c r="C1003" s="21">
        <f>IFERROR(AVERAGE(P1003:T1003),"")</f>
        <v/>
      </c>
      <c r="D1003" s="29" t="n"/>
      <c r="E1003" s="29" t="n"/>
      <c r="F1003" s="30">
        <f>IF(AND(ISNUMBER($D1003),ISNUMBER($E1003),$E1003&gt;0,$D1003&lt;=$E1003),$D1003/$E1003,"")</f>
        <v/>
      </c>
      <c r="P1003" s="26" t="n"/>
      <c r="Q1003" s="26" t="n"/>
      <c r="R1003" s="26" t="n"/>
      <c r="S1003" s="26" t="n"/>
      <c r="T1003" s="26" t="n"/>
      <c r="V1003" s="27">
        <f>IF(ISNUMBER($C1003),COUNTIFS($A$14:$A$1213,$A1003,$C$14:$C$1213,"&gt;"&amp;$C1003)+(COUNTIFS($A$14:$A$1213,$A1003,$C$14:$C$1213,"="&amp;$C1003)+1)/2,"")</f>
        <v/>
      </c>
      <c r="W1003" s="27">
        <f>IF(ISNUMBER($F1003),COUNTIFS($A$14:$A$1213,$A1003,$F$14:$F$1213,"&gt;"&amp;$F1003)+(COUNTIFS($A$14:$A$1213,$A1003,$F$14:$F$1213,"="&amp;$F1003)+1)/2,"")</f>
        <v/>
      </c>
      <c r="X1003" s="27">
        <f>IF(OR(NOT(ISNUMBER($V1003)),$AO1003=1),"",$V1003-(COUNTIFS($A$14:$A$1213,$A1003,$C$14:$C$1213,"&gt;=0")+1)/2)</f>
        <v/>
      </c>
      <c r="Y1003" s="27">
        <f>IF(OR(NOT(ISNUMBER($W1003)),$AO1003=1),"",$W1003-(COUNTIFS($A$14:$A$1213,$A1003,$F$14:$F$1213,"&gt;=0")+1)/2)</f>
        <v/>
      </c>
      <c r="Z1003" s="27">
        <f>IF(ISNUMBER($V1003),$A1003&amp;"|"&amp;$V1003,"")</f>
        <v/>
      </c>
      <c r="AA1003" s="27">
        <f>IF(ISNUMBER($W1003),$A1003&amp;"|"&amp;$W1003,"")</f>
        <v/>
      </c>
      <c r="AB1003" s="27">
        <f>IF(ISNUMBER($F1003),$A1003&amp;"|"&amp;$F1003,"")</f>
        <v/>
      </c>
      <c r="AC1003" s="27">
        <f>IF(ISNUMBER($P1003),COUNTIFS($A$14:$A$1213,$A1003,$P$14:$P$1213,"&gt;"&amp;$P1003)+(COUNTIFS($A$14:$A$1213,$A1003,$P$14:$P$1213,"="&amp;$P1003)+1)/2,"")</f>
        <v/>
      </c>
      <c r="AD1003" s="27">
        <f>IF(ISNUMBER($Q1003),COUNTIFS($A$14:$A$1213,$A1003,$Q$14:$Q$1213,"&gt;"&amp;$Q1003)+(COUNTIFS($A$14:$A$1213,$A1003,$Q$14:$Q$1213,"="&amp;$Q1003)+1)/2,"")</f>
        <v/>
      </c>
      <c r="AE1003" s="27">
        <f>IF(ISNUMBER($R1003),COUNTIFS($A$14:$A$1213,$A1003,$R$14:$R$1213,"&gt;"&amp;$R1003)+(COUNTIFS($A$14:$A$1213,$A1003,$R$14:$R$1213,"="&amp;$R1003)+1)/2,"")</f>
        <v/>
      </c>
      <c r="AF1003" s="27">
        <f>IF(ISNUMBER($S1003),COUNTIFS($A$14:$A$1213,$A1003,$S$14:$S$1213,"&gt;"&amp;$S1003)+(COUNTIFS($A$14:$A$1213,$A1003,$S$14:$S$1213,"="&amp;$S1003)+1)/2,"")</f>
        <v/>
      </c>
      <c r="AG1003" s="27">
        <f>IF(ISNUMBER($T1003),COUNTIFS($A$14:$A$1213,$A1003,$T$14:$T$1213,"&gt;"&amp;$T1003)+(COUNTIFS($A$14:$A$1213,$A1003,$T$14:$T$1213,"="&amp;$T1003)+1)/2,"")</f>
        <v/>
      </c>
      <c r="AH1003" s="27">
        <f>IF(COUNT($AC1003:$AG1003)&lt;2,"",IF(MAX($AC1003:$AG1003)=MIN($AC1003:$AG1003),0,1))</f>
        <v/>
      </c>
      <c r="AI1003" s="27">
        <f>IF($A1003="","",IF(COUNTIF($A$14:$A1003,$A1003)=1,COUNTIF($AI$13:AI1002,"&gt;0")+1,""))</f>
        <v/>
      </c>
      <c r="AO1003" s="27">
        <f>IF($A1003="","",IF(AND(COUNTIFS($A$14:$A$1213,$A1003,$F$14:$F$1213,"&gt;=0")=2,IFERROR(INDEX($M$14:$M$313,MATCH($A1003,$H$14:$H$313,0)),"Yes")&lt;&gt;"Yes"),1,0))</f>
        <v/>
      </c>
    </row>
    <row r="1004">
      <c r="A1004" s="19" t="n"/>
      <c r="B1004" s="20" t="n"/>
      <c r="C1004" s="21">
        <f>IFERROR(AVERAGE(P1004:T1004),"")</f>
        <v/>
      </c>
      <c r="D1004" s="29" t="n"/>
      <c r="E1004" s="29" t="n"/>
      <c r="F1004" s="30">
        <f>IF(AND(ISNUMBER($D1004),ISNUMBER($E1004),$E1004&gt;0,$D1004&lt;=$E1004),$D1004/$E1004,"")</f>
        <v/>
      </c>
      <c r="P1004" s="26" t="n"/>
      <c r="Q1004" s="26" t="n"/>
      <c r="R1004" s="26" t="n"/>
      <c r="S1004" s="26" t="n"/>
      <c r="T1004" s="26" t="n"/>
      <c r="V1004" s="27">
        <f>IF(ISNUMBER($C1004),COUNTIFS($A$14:$A$1213,$A1004,$C$14:$C$1213,"&gt;"&amp;$C1004)+(COUNTIFS($A$14:$A$1213,$A1004,$C$14:$C$1213,"="&amp;$C1004)+1)/2,"")</f>
        <v/>
      </c>
      <c r="W1004" s="27">
        <f>IF(ISNUMBER($F1004),COUNTIFS($A$14:$A$1213,$A1004,$F$14:$F$1213,"&gt;"&amp;$F1004)+(COUNTIFS($A$14:$A$1213,$A1004,$F$14:$F$1213,"="&amp;$F1004)+1)/2,"")</f>
        <v/>
      </c>
      <c r="X1004" s="27">
        <f>IF(OR(NOT(ISNUMBER($V1004)),$AO1004=1),"",$V1004-(COUNTIFS($A$14:$A$1213,$A1004,$C$14:$C$1213,"&gt;=0")+1)/2)</f>
        <v/>
      </c>
      <c r="Y1004" s="27">
        <f>IF(OR(NOT(ISNUMBER($W1004)),$AO1004=1),"",$W1004-(COUNTIFS($A$14:$A$1213,$A1004,$F$14:$F$1213,"&gt;=0")+1)/2)</f>
        <v/>
      </c>
      <c r="Z1004" s="27">
        <f>IF(ISNUMBER($V1004),$A1004&amp;"|"&amp;$V1004,"")</f>
        <v/>
      </c>
      <c r="AA1004" s="27">
        <f>IF(ISNUMBER($W1004),$A1004&amp;"|"&amp;$W1004,"")</f>
        <v/>
      </c>
      <c r="AB1004" s="27">
        <f>IF(ISNUMBER($F1004),$A1004&amp;"|"&amp;$F1004,"")</f>
        <v/>
      </c>
      <c r="AC1004" s="27">
        <f>IF(ISNUMBER($P1004),COUNTIFS($A$14:$A$1213,$A1004,$P$14:$P$1213,"&gt;"&amp;$P1004)+(COUNTIFS($A$14:$A$1213,$A1004,$P$14:$P$1213,"="&amp;$P1004)+1)/2,"")</f>
        <v/>
      </c>
      <c r="AD1004" s="27">
        <f>IF(ISNUMBER($Q1004),COUNTIFS($A$14:$A$1213,$A1004,$Q$14:$Q$1213,"&gt;"&amp;$Q1004)+(COUNTIFS($A$14:$A$1213,$A1004,$Q$14:$Q$1213,"="&amp;$Q1004)+1)/2,"")</f>
        <v/>
      </c>
      <c r="AE1004" s="27">
        <f>IF(ISNUMBER($R1004),COUNTIFS($A$14:$A$1213,$A1004,$R$14:$R$1213,"&gt;"&amp;$R1004)+(COUNTIFS($A$14:$A$1213,$A1004,$R$14:$R$1213,"="&amp;$R1004)+1)/2,"")</f>
        <v/>
      </c>
      <c r="AF1004" s="27">
        <f>IF(ISNUMBER($S1004),COUNTIFS($A$14:$A$1213,$A1004,$S$14:$S$1213,"&gt;"&amp;$S1004)+(COUNTIFS($A$14:$A$1213,$A1004,$S$14:$S$1213,"="&amp;$S1004)+1)/2,"")</f>
        <v/>
      </c>
      <c r="AG1004" s="27">
        <f>IF(ISNUMBER($T1004),COUNTIFS($A$14:$A$1213,$A1004,$T$14:$T$1213,"&gt;"&amp;$T1004)+(COUNTIFS($A$14:$A$1213,$A1004,$T$14:$T$1213,"="&amp;$T1004)+1)/2,"")</f>
        <v/>
      </c>
      <c r="AH1004" s="27">
        <f>IF(COUNT($AC1004:$AG1004)&lt;2,"",IF(MAX($AC1004:$AG1004)=MIN($AC1004:$AG1004),0,1))</f>
        <v/>
      </c>
      <c r="AI1004" s="27">
        <f>IF($A1004="","",IF(COUNTIF($A$14:$A1004,$A1004)=1,COUNTIF($AI$13:AI1003,"&gt;0")+1,""))</f>
        <v/>
      </c>
      <c r="AO1004" s="27">
        <f>IF($A1004="","",IF(AND(COUNTIFS($A$14:$A$1213,$A1004,$F$14:$F$1213,"&gt;=0")=2,IFERROR(INDEX($M$14:$M$313,MATCH($A1004,$H$14:$H$313,0)),"Yes")&lt;&gt;"Yes"),1,0))</f>
        <v/>
      </c>
    </row>
    <row r="1005">
      <c r="A1005" s="19" t="n"/>
      <c r="B1005" s="20" t="n"/>
      <c r="C1005" s="21">
        <f>IFERROR(AVERAGE(P1005:T1005),"")</f>
        <v/>
      </c>
      <c r="D1005" s="29" t="n"/>
      <c r="E1005" s="29" t="n"/>
      <c r="F1005" s="30">
        <f>IF(AND(ISNUMBER($D1005),ISNUMBER($E1005),$E1005&gt;0,$D1005&lt;=$E1005),$D1005/$E1005,"")</f>
        <v/>
      </c>
      <c r="P1005" s="26" t="n"/>
      <c r="Q1005" s="26" t="n"/>
      <c r="R1005" s="26" t="n"/>
      <c r="S1005" s="26" t="n"/>
      <c r="T1005" s="26" t="n"/>
      <c r="V1005" s="27">
        <f>IF(ISNUMBER($C1005),COUNTIFS($A$14:$A$1213,$A1005,$C$14:$C$1213,"&gt;"&amp;$C1005)+(COUNTIFS($A$14:$A$1213,$A1005,$C$14:$C$1213,"="&amp;$C1005)+1)/2,"")</f>
        <v/>
      </c>
      <c r="W1005" s="27">
        <f>IF(ISNUMBER($F1005),COUNTIFS($A$14:$A$1213,$A1005,$F$14:$F$1213,"&gt;"&amp;$F1005)+(COUNTIFS($A$14:$A$1213,$A1005,$F$14:$F$1213,"="&amp;$F1005)+1)/2,"")</f>
        <v/>
      </c>
      <c r="X1005" s="27">
        <f>IF(OR(NOT(ISNUMBER($V1005)),$AO1005=1),"",$V1005-(COUNTIFS($A$14:$A$1213,$A1005,$C$14:$C$1213,"&gt;=0")+1)/2)</f>
        <v/>
      </c>
      <c r="Y1005" s="27">
        <f>IF(OR(NOT(ISNUMBER($W1005)),$AO1005=1),"",$W1005-(COUNTIFS($A$14:$A$1213,$A1005,$F$14:$F$1213,"&gt;=0")+1)/2)</f>
        <v/>
      </c>
      <c r="Z1005" s="27">
        <f>IF(ISNUMBER($V1005),$A1005&amp;"|"&amp;$V1005,"")</f>
        <v/>
      </c>
      <c r="AA1005" s="27">
        <f>IF(ISNUMBER($W1005),$A1005&amp;"|"&amp;$W1005,"")</f>
        <v/>
      </c>
      <c r="AB1005" s="27">
        <f>IF(ISNUMBER($F1005),$A1005&amp;"|"&amp;$F1005,"")</f>
        <v/>
      </c>
      <c r="AC1005" s="27">
        <f>IF(ISNUMBER($P1005),COUNTIFS($A$14:$A$1213,$A1005,$P$14:$P$1213,"&gt;"&amp;$P1005)+(COUNTIFS($A$14:$A$1213,$A1005,$P$14:$P$1213,"="&amp;$P1005)+1)/2,"")</f>
        <v/>
      </c>
      <c r="AD1005" s="27">
        <f>IF(ISNUMBER($Q1005),COUNTIFS($A$14:$A$1213,$A1005,$Q$14:$Q$1213,"&gt;"&amp;$Q1005)+(COUNTIFS($A$14:$A$1213,$A1005,$Q$14:$Q$1213,"="&amp;$Q1005)+1)/2,"")</f>
        <v/>
      </c>
      <c r="AE1005" s="27">
        <f>IF(ISNUMBER($R1005),COUNTIFS($A$14:$A$1213,$A1005,$R$14:$R$1213,"&gt;"&amp;$R1005)+(COUNTIFS($A$14:$A$1213,$A1005,$R$14:$R$1213,"="&amp;$R1005)+1)/2,"")</f>
        <v/>
      </c>
      <c r="AF1005" s="27">
        <f>IF(ISNUMBER($S1005),COUNTIFS($A$14:$A$1213,$A1005,$S$14:$S$1213,"&gt;"&amp;$S1005)+(COUNTIFS($A$14:$A$1213,$A1005,$S$14:$S$1213,"="&amp;$S1005)+1)/2,"")</f>
        <v/>
      </c>
      <c r="AG1005" s="27">
        <f>IF(ISNUMBER($T1005),COUNTIFS($A$14:$A$1213,$A1005,$T$14:$T$1213,"&gt;"&amp;$T1005)+(COUNTIFS($A$14:$A$1213,$A1005,$T$14:$T$1213,"="&amp;$T1005)+1)/2,"")</f>
        <v/>
      </c>
      <c r="AH1005" s="27">
        <f>IF(COUNT($AC1005:$AG1005)&lt;2,"",IF(MAX($AC1005:$AG1005)=MIN($AC1005:$AG1005),0,1))</f>
        <v/>
      </c>
      <c r="AI1005" s="27">
        <f>IF($A1005="","",IF(COUNTIF($A$14:$A1005,$A1005)=1,COUNTIF($AI$13:AI1004,"&gt;0")+1,""))</f>
        <v/>
      </c>
      <c r="AO1005" s="27">
        <f>IF($A1005="","",IF(AND(COUNTIFS($A$14:$A$1213,$A1005,$F$14:$F$1213,"&gt;=0")=2,IFERROR(INDEX($M$14:$M$313,MATCH($A1005,$H$14:$H$313,0)),"Yes")&lt;&gt;"Yes"),1,0))</f>
        <v/>
      </c>
    </row>
    <row r="1006">
      <c r="A1006" s="19" t="n"/>
      <c r="B1006" s="20" t="n"/>
      <c r="C1006" s="21">
        <f>IFERROR(AVERAGE(P1006:T1006),"")</f>
        <v/>
      </c>
      <c r="D1006" s="29" t="n"/>
      <c r="E1006" s="29" t="n"/>
      <c r="F1006" s="30">
        <f>IF(AND(ISNUMBER($D1006),ISNUMBER($E1006),$E1006&gt;0,$D1006&lt;=$E1006),$D1006/$E1006,"")</f>
        <v/>
      </c>
      <c r="P1006" s="26" t="n"/>
      <c r="Q1006" s="26" t="n"/>
      <c r="R1006" s="26" t="n"/>
      <c r="S1006" s="26" t="n"/>
      <c r="T1006" s="26" t="n"/>
      <c r="V1006" s="27">
        <f>IF(ISNUMBER($C1006),COUNTIFS($A$14:$A$1213,$A1006,$C$14:$C$1213,"&gt;"&amp;$C1006)+(COUNTIFS($A$14:$A$1213,$A1006,$C$14:$C$1213,"="&amp;$C1006)+1)/2,"")</f>
        <v/>
      </c>
      <c r="W1006" s="27">
        <f>IF(ISNUMBER($F1006),COUNTIFS($A$14:$A$1213,$A1006,$F$14:$F$1213,"&gt;"&amp;$F1006)+(COUNTIFS($A$14:$A$1213,$A1006,$F$14:$F$1213,"="&amp;$F1006)+1)/2,"")</f>
        <v/>
      </c>
      <c r="X1006" s="27">
        <f>IF(OR(NOT(ISNUMBER($V1006)),$AO1006=1),"",$V1006-(COUNTIFS($A$14:$A$1213,$A1006,$C$14:$C$1213,"&gt;=0")+1)/2)</f>
        <v/>
      </c>
      <c r="Y1006" s="27">
        <f>IF(OR(NOT(ISNUMBER($W1006)),$AO1006=1),"",$W1006-(COUNTIFS($A$14:$A$1213,$A1006,$F$14:$F$1213,"&gt;=0")+1)/2)</f>
        <v/>
      </c>
      <c r="Z1006" s="27">
        <f>IF(ISNUMBER($V1006),$A1006&amp;"|"&amp;$V1006,"")</f>
        <v/>
      </c>
      <c r="AA1006" s="27">
        <f>IF(ISNUMBER($W1006),$A1006&amp;"|"&amp;$W1006,"")</f>
        <v/>
      </c>
      <c r="AB1006" s="27">
        <f>IF(ISNUMBER($F1006),$A1006&amp;"|"&amp;$F1006,"")</f>
        <v/>
      </c>
      <c r="AC1006" s="27">
        <f>IF(ISNUMBER($P1006),COUNTIFS($A$14:$A$1213,$A1006,$P$14:$P$1213,"&gt;"&amp;$P1006)+(COUNTIFS($A$14:$A$1213,$A1006,$P$14:$P$1213,"="&amp;$P1006)+1)/2,"")</f>
        <v/>
      </c>
      <c r="AD1006" s="27">
        <f>IF(ISNUMBER($Q1006),COUNTIFS($A$14:$A$1213,$A1006,$Q$14:$Q$1213,"&gt;"&amp;$Q1006)+(COUNTIFS($A$14:$A$1213,$A1006,$Q$14:$Q$1213,"="&amp;$Q1006)+1)/2,"")</f>
        <v/>
      </c>
      <c r="AE1006" s="27">
        <f>IF(ISNUMBER($R1006),COUNTIFS($A$14:$A$1213,$A1006,$R$14:$R$1213,"&gt;"&amp;$R1006)+(COUNTIFS($A$14:$A$1213,$A1006,$R$14:$R$1213,"="&amp;$R1006)+1)/2,"")</f>
        <v/>
      </c>
      <c r="AF1006" s="27">
        <f>IF(ISNUMBER($S1006),COUNTIFS($A$14:$A$1213,$A1006,$S$14:$S$1213,"&gt;"&amp;$S1006)+(COUNTIFS($A$14:$A$1213,$A1006,$S$14:$S$1213,"="&amp;$S1006)+1)/2,"")</f>
        <v/>
      </c>
      <c r="AG1006" s="27">
        <f>IF(ISNUMBER($T1006),COUNTIFS($A$14:$A$1213,$A1006,$T$14:$T$1213,"&gt;"&amp;$T1006)+(COUNTIFS($A$14:$A$1213,$A1006,$T$14:$T$1213,"="&amp;$T1006)+1)/2,"")</f>
        <v/>
      </c>
      <c r="AH1006" s="27">
        <f>IF(COUNT($AC1006:$AG1006)&lt;2,"",IF(MAX($AC1006:$AG1006)=MIN($AC1006:$AG1006),0,1))</f>
        <v/>
      </c>
      <c r="AI1006" s="27">
        <f>IF($A1006="","",IF(COUNTIF($A$14:$A1006,$A1006)=1,COUNTIF($AI$13:AI1005,"&gt;0")+1,""))</f>
        <v/>
      </c>
      <c r="AO1006" s="27">
        <f>IF($A1006="","",IF(AND(COUNTIFS($A$14:$A$1213,$A1006,$F$14:$F$1213,"&gt;=0")=2,IFERROR(INDEX($M$14:$M$313,MATCH($A1006,$H$14:$H$313,0)),"Yes")&lt;&gt;"Yes"),1,0))</f>
        <v/>
      </c>
    </row>
    <row r="1007">
      <c r="A1007" s="19" t="n"/>
      <c r="B1007" s="20" t="n"/>
      <c r="C1007" s="21">
        <f>IFERROR(AVERAGE(P1007:T1007),"")</f>
        <v/>
      </c>
      <c r="D1007" s="29" t="n"/>
      <c r="E1007" s="29" t="n"/>
      <c r="F1007" s="30">
        <f>IF(AND(ISNUMBER($D1007),ISNUMBER($E1007),$E1007&gt;0,$D1007&lt;=$E1007),$D1007/$E1007,"")</f>
        <v/>
      </c>
      <c r="P1007" s="26" t="n"/>
      <c r="Q1007" s="26" t="n"/>
      <c r="R1007" s="26" t="n"/>
      <c r="S1007" s="26" t="n"/>
      <c r="T1007" s="26" t="n"/>
      <c r="V1007" s="27">
        <f>IF(ISNUMBER($C1007),COUNTIFS($A$14:$A$1213,$A1007,$C$14:$C$1213,"&gt;"&amp;$C1007)+(COUNTIFS($A$14:$A$1213,$A1007,$C$14:$C$1213,"="&amp;$C1007)+1)/2,"")</f>
        <v/>
      </c>
      <c r="W1007" s="27">
        <f>IF(ISNUMBER($F1007),COUNTIFS($A$14:$A$1213,$A1007,$F$14:$F$1213,"&gt;"&amp;$F1007)+(COUNTIFS($A$14:$A$1213,$A1007,$F$14:$F$1213,"="&amp;$F1007)+1)/2,"")</f>
        <v/>
      </c>
      <c r="X1007" s="27">
        <f>IF(OR(NOT(ISNUMBER($V1007)),$AO1007=1),"",$V1007-(COUNTIFS($A$14:$A$1213,$A1007,$C$14:$C$1213,"&gt;=0")+1)/2)</f>
        <v/>
      </c>
      <c r="Y1007" s="27">
        <f>IF(OR(NOT(ISNUMBER($W1007)),$AO1007=1),"",$W1007-(COUNTIFS($A$14:$A$1213,$A1007,$F$14:$F$1213,"&gt;=0")+1)/2)</f>
        <v/>
      </c>
      <c r="Z1007" s="27">
        <f>IF(ISNUMBER($V1007),$A1007&amp;"|"&amp;$V1007,"")</f>
        <v/>
      </c>
      <c r="AA1007" s="27">
        <f>IF(ISNUMBER($W1007),$A1007&amp;"|"&amp;$W1007,"")</f>
        <v/>
      </c>
      <c r="AB1007" s="27">
        <f>IF(ISNUMBER($F1007),$A1007&amp;"|"&amp;$F1007,"")</f>
        <v/>
      </c>
      <c r="AC1007" s="27">
        <f>IF(ISNUMBER($P1007),COUNTIFS($A$14:$A$1213,$A1007,$P$14:$P$1213,"&gt;"&amp;$P1007)+(COUNTIFS($A$14:$A$1213,$A1007,$P$14:$P$1213,"="&amp;$P1007)+1)/2,"")</f>
        <v/>
      </c>
      <c r="AD1007" s="27">
        <f>IF(ISNUMBER($Q1007),COUNTIFS($A$14:$A$1213,$A1007,$Q$14:$Q$1213,"&gt;"&amp;$Q1007)+(COUNTIFS($A$14:$A$1213,$A1007,$Q$14:$Q$1213,"="&amp;$Q1007)+1)/2,"")</f>
        <v/>
      </c>
      <c r="AE1007" s="27">
        <f>IF(ISNUMBER($R1007),COUNTIFS($A$14:$A$1213,$A1007,$R$14:$R$1213,"&gt;"&amp;$R1007)+(COUNTIFS($A$14:$A$1213,$A1007,$R$14:$R$1213,"="&amp;$R1007)+1)/2,"")</f>
        <v/>
      </c>
      <c r="AF1007" s="27">
        <f>IF(ISNUMBER($S1007),COUNTIFS($A$14:$A$1213,$A1007,$S$14:$S$1213,"&gt;"&amp;$S1007)+(COUNTIFS($A$14:$A$1213,$A1007,$S$14:$S$1213,"="&amp;$S1007)+1)/2,"")</f>
        <v/>
      </c>
      <c r="AG1007" s="27">
        <f>IF(ISNUMBER($T1007),COUNTIFS($A$14:$A$1213,$A1007,$T$14:$T$1213,"&gt;"&amp;$T1007)+(COUNTIFS($A$14:$A$1213,$A1007,$T$14:$T$1213,"="&amp;$T1007)+1)/2,"")</f>
        <v/>
      </c>
      <c r="AH1007" s="27">
        <f>IF(COUNT($AC1007:$AG1007)&lt;2,"",IF(MAX($AC1007:$AG1007)=MIN($AC1007:$AG1007),0,1))</f>
        <v/>
      </c>
      <c r="AI1007" s="27">
        <f>IF($A1007="","",IF(COUNTIF($A$14:$A1007,$A1007)=1,COUNTIF($AI$13:AI1006,"&gt;0")+1,""))</f>
        <v/>
      </c>
      <c r="AO1007" s="27">
        <f>IF($A1007="","",IF(AND(COUNTIFS($A$14:$A$1213,$A1007,$F$14:$F$1213,"&gt;=0")=2,IFERROR(INDEX($M$14:$M$313,MATCH($A1007,$H$14:$H$313,0)),"Yes")&lt;&gt;"Yes"),1,0))</f>
        <v/>
      </c>
    </row>
    <row r="1008">
      <c r="A1008" s="19" t="n"/>
      <c r="B1008" s="20" t="n"/>
      <c r="C1008" s="21">
        <f>IFERROR(AVERAGE(P1008:T1008),"")</f>
        <v/>
      </c>
      <c r="D1008" s="29" t="n"/>
      <c r="E1008" s="29" t="n"/>
      <c r="F1008" s="30">
        <f>IF(AND(ISNUMBER($D1008),ISNUMBER($E1008),$E1008&gt;0,$D1008&lt;=$E1008),$D1008/$E1008,"")</f>
        <v/>
      </c>
      <c r="P1008" s="26" t="n"/>
      <c r="Q1008" s="26" t="n"/>
      <c r="R1008" s="26" t="n"/>
      <c r="S1008" s="26" t="n"/>
      <c r="T1008" s="26" t="n"/>
      <c r="V1008" s="27">
        <f>IF(ISNUMBER($C1008),COUNTIFS($A$14:$A$1213,$A1008,$C$14:$C$1213,"&gt;"&amp;$C1008)+(COUNTIFS($A$14:$A$1213,$A1008,$C$14:$C$1213,"="&amp;$C1008)+1)/2,"")</f>
        <v/>
      </c>
      <c r="W1008" s="27">
        <f>IF(ISNUMBER($F1008),COUNTIFS($A$14:$A$1213,$A1008,$F$14:$F$1213,"&gt;"&amp;$F1008)+(COUNTIFS($A$14:$A$1213,$A1008,$F$14:$F$1213,"="&amp;$F1008)+1)/2,"")</f>
        <v/>
      </c>
      <c r="X1008" s="27">
        <f>IF(OR(NOT(ISNUMBER($V1008)),$AO1008=1),"",$V1008-(COUNTIFS($A$14:$A$1213,$A1008,$C$14:$C$1213,"&gt;=0")+1)/2)</f>
        <v/>
      </c>
      <c r="Y1008" s="27">
        <f>IF(OR(NOT(ISNUMBER($W1008)),$AO1008=1),"",$W1008-(COUNTIFS($A$14:$A$1213,$A1008,$F$14:$F$1213,"&gt;=0")+1)/2)</f>
        <v/>
      </c>
      <c r="Z1008" s="27">
        <f>IF(ISNUMBER($V1008),$A1008&amp;"|"&amp;$V1008,"")</f>
        <v/>
      </c>
      <c r="AA1008" s="27">
        <f>IF(ISNUMBER($W1008),$A1008&amp;"|"&amp;$W1008,"")</f>
        <v/>
      </c>
      <c r="AB1008" s="27">
        <f>IF(ISNUMBER($F1008),$A1008&amp;"|"&amp;$F1008,"")</f>
        <v/>
      </c>
      <c r="AC1008" s="27">
        <f>IF(ISNUMBER($P1008),COUNTIFS($A$14:$A$1213,$A1008,$P$14:$P$1213,"&gt;"&amp;$P1008)+(COUNTIFS($A$14:$A$1213,$A1008,$P$14:$P$1213,"="&amp;$P1008)+1)/2,"")</f>
        <v/>
      </c>
      <c r="AD1008" s="27">
        <f>IF(ISNUMBER($Q1008),COUNTIFS($A$14:$A$1213,$A1008,$Q$14:$Q$1213,"&gt;"&amp;$Q1008)+(COUNTIFS($A$14:$A$1213,$A1008,$Q$14:$Q$1213,"="&amp;$Q1008)+1)/2,"")</f>
        <v/>
      </c>
      <c r="AE1008" s="27">
        <f>IF(ISNUMBER($R1008),COUNTIFS($A$14:$A$1213,$A1008,$R$14:$R$1213,"&gt;"&amp;$R1008)+(COUNTIFS($A$14:$A$1213,$A1008,$R$14:$R$1213,"="&amp;$R1008)+1)/2,"")</f>
        <v/>
      </c>
      <c r="AF1008" s="27">
        <f>IF(ISNUMBER($S1008),COUNTIFS($A$14:$A$1213,$A1008,$S$14:$S$1213,"&gt;"&amp;$S1008)+(COUNTIFS($A$14:$A$1213,$A1008,$S$14:$S$1213,"="&amp;$S1008)+1)/2,"")</f>
        <v/>
      </c>
      <c r="AG1008" s="27">
        <f>IF(ISNUMBER($T1008),COUNTIFS($A$14:$A$1213,$A1008,$T$14:$T$1213,"&gt;"&amp;$T1008)+(COUNTIFS($A$14:$A$1213,$A1008,$T$14:$T$1213,"="&amp;$T1008)+1)/2,"")</f>
        <v/>
      </c>
      <c r="AH1008" s="27">
        <f>IF(COUNT($AC1008:$AG1008)&lt;2,"",IF(MAX($AC1008:$AG1008)=MIN($AC1008:$AG1008),0,1))</f>
        <v/>
      </c>
      <c r="AI1008" s="27">
        <f>IF($A1008="","",IF(COUNTIF($A$14:$A1008,$A1008)=1,COUNTIF($AI$13:AI1007,"&gt;0")+1,""))</f>
        <v/>
      </c>
      <c r="AO1008" s="27">
        <f>IF($A1008="","",IF(AND(COUNTIFS($A$14:$A$1213,$A1008,$F$14:$F$1213,"&gt;=0")=2,IFERROR(INDEX($M$14:$M$313,MATCH($A1008,$H$14:$H$313,0)),"Yes")&lt;&gt;"Yes"),1,0))</f>
        <v/>
      </c>
    </row>
    <row r="1009">
      <c r="A1009" s="19" t="n"/>
      <c r="B1009" s="20" t="n"/>
      <c r="C1009" s="21">
        <f>IFERROR(AVERAGE(P1009:T1009),"")</f>
        <v/>
      </c>
      <c r="D1009" s="29" t="n"/>
      <c r="E1009" s="29" t="n"/>
      <c r="F1009" s="30">
        <f>IF(AND(ISNUMBER($D1009),ISNUMBER($E1009),$E1009&gt;0,$D1009&lt;=$E1009),$D1009/$E1009,"")</f>
        <v/>
      </c>
      <c r="P1009" s="26" t="n"/>
      <c r="Q1009" s="26" t="n"/>
      <c r="R1009" s="26" t="n"/>
      <c r="S1009" s="26" t="n"/>
      <c r="T1009" s="26" t="n"/>
      <c r="V1009" s="27">
        <f>IF(ISNUMBER($C1009),COUNTIFS($A$14:$A$1213,$A1009,$C$14:$C$1213,"&gt;"&amp;$C1009)+(COUNTIFS($A$14:$A$1213,$A1009,$C$14:$C$1213,"="&amp;$C1009)+1)/2,"")</f>
        <v/>
      </c>
      <c r="W1009" s="27">
        <f>IF(ISNUMBER($F1009),COUNTIFS($A$14:$A$1213,$A1009,$F$14:$F$1213,"&gt;"&amp;$F1009)+(COUNTIFS($A$14:$A$1213,$A1009,$F$14:$F$1213,"="&amp;$F1009)+1)/2,"")</f>
        <v/>
      </c>
      <c r="X1009" s="27">
        <f>IF(OR(NOT(ISNUMBER($V1009)),$AO1009=1),"",$V1009-(COUNTIFS($A$14:$A$1213,$A1009,$C$14:$C$1213,"&gt;=0")+1)/2)</f>
        <v/>
      </c>
      <c r="Y1009" s="27">
        <f>IF(OR(NOT(ISNUMBER($W1009)),$AO1009=1),"",$W1009-(COUNTIFS($A$14:$A$1213,$A1009,$F$14:$F$1213,"&gt;=0")+1)/2)</f>
        <v/>
      </c>
      <c r="Z1009" s="27">
        <f>IF(ISNUMBER($V1009),$A1009&amp;"|"&amp;$V1009,"")</f>
        <v/>
      </c>
      <c r="AA1009" s="27">
        <f>IF(ISNUMBER($W1009),$A1009&amp;"|"&amp;$W1009,"")</f>
        <v/>
      </c>
      <c r="AB1009" s="27">
        <f>IF(ISNUMBER($F1009),$A1009&amp;"|"&amp;$F1009,"")</f>
        <v/>
      </c>
      <c r="AC1009" s="27">
        <f>IF(ISNUMBER($P1009),COUNTIFS($A$14:$A$1213,$A1009,$P$14:$P$1213,"&gt;"&amp;$P1009)+(COUNTIFS($A$14:$A$1213,$A1009,$P$14:$P$1213,"="&amp;$P1009)+1)/2,"")</f>
        <v/>
      </c>
      <c r="AD1009" s="27">
        <f>IF(ISNUMBER($Q1009),COUNTIFS($A$14:$A$1213,$A1009,$Q$14:$Q$1213,"&gt;"&amp;$Q1009)+(COUNTIFS($A$14:$A$1213,$A1009,$Q$14:$Q$1213,"="&amp;$Q1009)+1)/2,"")</f>
        <v/>
      </c>
      <c r="AE1009" s="27">
        <f>IF(ISNUMBER($R1009),COUNTIFS($A$14:$A$1213,$A1009,$R$14:$R$1213,"&gt;"&amp;$R1009)+(COUNTIFS($A$14:$A$1213,$A1009,$R$14:$R$1213,"="&amp;$R1009)+1)/2,"")</f>
        <v/>
      </c>
      <c r="AF1009" s="27">
        <f>IF(ISNUMBER($S1009),COUNTIFS($A$14:$A$1213,$A1009,$S$14:$S$1213,"&gt;"&amp;$S1009)+(COUNTIFS($A$14:$A$1213,$A1009,$S$14:$S$1213,"="&amp;$S1009)+1)/2,"")</f>
        <v/>
      </c>
      <c r="AG1009" s="27">
        <f>IF(ISNUMBER($T1009),COUNTIFS($A$14:$A$1213,$A1009,$T$14:$T$1213,"&gt;"&amp;$T1009)+(COUNTIFS($A$14:$A$1213,$A1009,$T$14:$T$1213,"="&amp;$T1009)+1)/2,"")</f>
        <v/>
      </c>
      <c r="AH1009" s="27">
        <f>IF(COUNT($AC1009:$AG1009)&lt;2,"",IF(MAX($AC1009:$AG1009)=MIN($AC1009:$AG1009),0,1))</f>
        <v/>
      </c>
      <c r="AI1009" s="27">
        <f>IF($A1009="","",IF(COUNTIF($A$14:$A1009,$A1009)=1,COUNTIF($AI$13:AI1008,"&gt;0")+1,""))</f>
        <v/>
      </c>
      <c r="AO1009" s="27">
        <f>IF($A1009="","",IF(AND(COUNTIFS($A$14:$A$1213,$A1009,$F$14:$F$1213,"&gt;=0")=2,IFERROR(INDEX($M$14:$M$313,MATCH($A1009,$H$14:$H$313,0)),"Yes")&lt;&gt;"Yes"),1,0))</f>
        <v/>
      </c>
    </row>
    <row r="1010">
      <c r="A1010" s="19" t="n"/>
      <c r="B1010" s="20" t="n"/>
      <c r="C1010" s="21">
        <f>IFERROR(AVERAGE(P1010:T1010),"")</f>
        <v/>
      </c>
      <c r="D1010" s="29" t="n"/>
      <c r="E1010" s="29" t="n"/>
      <c r="F1010" s="30">
        <f>IF(AND(ISNUMBER($D1010),ISNUMBER($E1010),$E1010&gt;0,$D1010&lt;=$E1010),$D1010/$E1010,"")</f>
        <v/>
      </c>
      <c r="P1010" s="26" t="n"/>
      <c r="Q1010" s="26" t="n"/>
      <c r="R1010" s="26" t="n"/>
      <c r="S1010" s="26" t="n"/>
      <c r="T1010" s="26" t="n"/>
      <c r="V1010" s="27">
        <f>IF(ISNUMBER($C1010),COUNTIFS($A$14:$A$1213,$A1010,$C$14:$C$1213,"&gt;"&amp;$C1010)+(COUNTIFS($A$14:$A$1213,$A1010,$C$14:$C$1213,"="&amp;$C1010)+1)/2,"")</f>
        <v/>
      </c>
      <c r="W1010" s="27">
        <f>IF(ISNUMBER($F1010),COUNTIFS($A$14:$A$1213,$A1010,$F$14:$F$1213,"&gt;"&amp;$F1010)+(COUNTIFS($A$14:$A$1213,$A1010,$F$14:$F$1213,"="&amp;$F1010)+1)/2,"")</f>
        <v/>
      </c>
      <c r="X1010" s="27">
        <f>IF(OR(NOT(ISNUMBER($V1010)),$AO1010=1),"",$V1010-(COUNTIFS($A$14:$A$1213,$A1010,$C$14:$C$1213,"&gt;=0")+1)/2)</f>
        <v/>
      </c>
      <c r="Y1010" s="27">
        <f>IF(OR(NOT(ISNUMBER($W1010)),$AO1010=1),"",$W1010-(COUNTIFS($A$14:$A$1213,$A1010,$F$14:$F$1213,"&gt;=0")+1)/2)</f>
        <v/>
      </c>
      <c r="Z1010" s="27">
        <f>IF(ISNUMBER($V1010),$A1010&amp;"|"&amp;$V1010,"")</f>
        <v/>
      </c>
      <c r="AA1010" s="27">
        <f>IF(ISNUMBER($W1010),$A1010&amp;"|"&amp;$W1010,"")</f>
        <v/>
      </c>
      <c r="AB1010" s="27">
        <f>IF(ISNUMBER($F1010),$A1010&amp;"|"&amp;$F1010,"")</f>
        <v/>
      </c>
      <c r="AC1010" s="27">
        <f>IF(ISNUMBER($P1010),COUNTIFS($A$14:$A$1213,$A1010,$P$14:$P$1213,"&gt;"&amp;$P1010)+(COUNTIFS($A$14:$A$1213,$A1010,$P$14:$P$1213,"="&amp;$P1010)+1)/2,"")</f>
        <v/>
      </c>
      <c r="AD1010" s="27">
        <f>IF(ISNUMBER($Q1010),COUNTIFS($A$14:$A$1213,$A1010,$Q$14:$Q$1213,"&gt;"&amp;$Q1010)+(COUNTIFS($A$14:$A$1213,$A1010,$Q$14:$Q$1213,"="&amp;$Q1010)+1)/2,"")</f>
        <v/>
      </c>
      <c r="AE1010" s="27">
        <f>IF(ISNUMBER($R1010),COUNTIFS($A$14:$A$1213,$A1010,$R$14:$R$1213,"&gt;"&amp;$R1010)+(COUNTIFS($A$14:$A$1213,$A1010,$R$14:$R$1213,"="&amp;$R1010)+1)/2,"")</f>
        <v/>
      </c>
      <c r="AF1010" s="27">
        <f>IF(ISNUMBER($S1010),COUNTIFS($A$14:$A$1213,$A1010,$S$14:$S$1213,"&gt;"&amp;$S1010)+(COUNTIFS($A$14:$A$1213,$A1010,$S$14:$S$1213,"="&amp;$S1010)+1)/2,"")</f>
        <v/>
      </c>
      <c r="AG1010" s="27">
        <f>IF(ISNUMBER($T1010),COUNTIFS($A$14:$A$1213,$A1010,$T$14:$T$1213,"&gt;"&amp;$T1010)+(COUNTIFS($A$14:$A$1213,$A1010,$T$14:$T$1213,"="&amp;$T1010)+1)/2,"")</f>
        <v/>
      </c>
      <c r="AH1010" s="27">
        <f>IF(COUNT($AC1010:$AG1010)&lt;2,"",IF(MAX($AC1010:$AG1010)=MIN($AC1010:$AG1010),0,1))</f>
        <v/>
      </c>
      <c r="AI1010" s="27">
        <f>IF($A1010="","",IF(COUNTIF($A$14:$A1010,$A1010)=1,COUNTIF($AI$13:AI1009,"&gt;0")+1,""))</f>
        <v/>
      </c>
      <c r="AO1010" s="27">
        <f>IF($A1010="","",IF(AND(COUNTIFS($A$14:$A$1213,$A1010,$F$14:$F$1213,"&gt;=0")=2,IFERROR(INDEX($M$14:$M$313,MATCH($A1010,$H$14:$H$313,0)),"Yes")&lt;&gt;"Yes"),1,0))</f>
        <v/>
      </c>
    </row>
    <row r="1011">
      <c r="A1011" s="19" t="n"/>
      <c r="B1011" s="20" t="n"/>
      <c r="C1011" s="21">
        <f>IFERROR(AVERAGE(P1011:T1011),"")</f>
        <v/>
      </c>
      <c r="D1011" s="29" t="n"/>
      <c r="E1011" s="29" t="n"/>
      <c r="F1011" s="30">
        <f>IF(AND(ISNUMBER($D1011),ISNUMBER($E1011),$E1011&gt;0,$D1011&lt;=$E1011),$D1011/$E1011,"")</f>
        <v/>
      </c>
      <c r="P1011" s="26" t="n"/>
      <c r="Q1011" s="26" t="n"/>
      <c r="R1011" s="26" t="n"/>
      <c r="S1011" s="26" t="n"/>
      <c r="T1011" s="26" t="n"/>
      <c r="V1011" s="27">
        <f>IF(ISNUMBER($C1011),COUNTIFS($A$14:$A$1213,$A1011,$C$14:$C$1213,"&gt;"&amp;$C1011)+(COUNTIFS($A$14:$A$1213,$A1011,$C$14:$C$1213,"="&amp;$C1011)+1)/2,"")</f>
        <v/>
      </c>
      <c r="W1011" s="27">
        <f>IF(ISNUMBER($F1011),COUNTIFS($A$14:$A$1213,$A1011,$F$14:$F$1213,"&gt;"&amp;$F1011)+(COUNTIFS($A$14:$A$1213,$A1011,$F$14:$F$1213,"="&amp;$F1011)+1)/2,"")</f>
        <v/>
      </c>
      <c r="X1011" s="27">
        <f>IF(OR(NOT(ISNUMBER($V1011)),$AO1011=1),"",$V1011-(COUNTIFS($A$14:$A$1213,$A1011,$C$14:$C$1213,"&gt;=0")+1)/2)</f>
        <v/>
      </c>
      <c r="Y1011" s="27">
        <f>IF(OR(NOT(ISNUMBER($W1011)),$AO1011=1),"",$W1011-(COUNTIFS($A$14:$A$1213,$A1011,$F$14:$F$1213,"&gt;=0")+1)/2)</f>
        <v/>
      </c>
      <c r="Z1011" s="27">
        <f>IF(ISNUMBER($V1011),$A1011&amp;"|"&amp;$V1011,"")</f>
        <v/>
      </c>
      <c r="AA1011" s="27">
        <f>IF(ISNUMBER($W1011),$A1011&amp;"|"&amp;$W1011,"")</f>
        <v/>
      </c>
      <c r="AB1011" s="27">
        <f>IF(ISNUMBER($F1011),$A1011&amp;"|"&amp;$F1011,"")</f>
        <v/>
      </c>
      <c r="AC1011" s="27">
        <f>IF(ISNUMBER($P1011),COUNTIFS($A$14:$A$1213,$A1011,$P$14:$P$1213,"&gt;"&amp;$P1011)+(COUNTIFS($A$14:$A$1213,$A1011,$P$14:$P$1213,"="&amp;$P1011)+1)/2,"")</f>
        <v/>
      </c>
      <c r="AD1011" s="27">
        <f>IF(ISNUMBER($Q1011),COUNTIFS($A$14:$A$1213,$A1011,$Q$14:$Q$1213,"&gt;"&amp;$Q1011)+(COUNTIFS($A$14:$A$1213,$A1011,$Q$14:$Q$1213,"="&amp;$Q1011)+1)/2,"")</f>
        <v/>
      </c>
      <c r="AE1011" s="27">
        <f>IF(ISNUMBER($R1011),COUNTIFS($A$14:$A$1213,$A1011,$R$14:$R$1213,"&gt;"&amp;$R1011)+(COUNTIFS($A$14:$A$1213,$A1011,$R$14:$R$1213,"="&amp;$R1011)+1)/2,"")</f>
        <v/>
      </c>
      <c r="AF1011" s="27">
        <f>IF(ISNUMBER($S1011),COUNTIFS($A$14:$A$1213,$A1011,$S$14:$S$1213,"&gt;"&amp;$S1011)+(COUNTIFS($A$14:$A$1213,$A1011,$S$14:$S$1213,"="&amp;$S1011)+1)/2,"")</f>
        <v/>
      </c>
      <c r="AG1011" s="27">
        <f>IF(ISNUMBER($T1011),COUNTIFS($A$14:$A$1213,$A1011,$T$14:$T$1213,"&gt;"&amp;$T1011)+(COUNTIFS($A$14:$A$1213,$A1011,$T$14:$T$1213,"="&amp;$T1011)+1)/2,"")</f>
        <v/>
      </c>
      <c r="AH1011" s="27">
        <f>IF(COUNT($AC1011:$AG1011)&lt;2,"",IF(MAX($AC1011:$AG1011)=MIN($AC1011:$AG1011),0,1))</f>
        <v/>
      </c>
      <c r="AI1011" s="27">
        <f>IF($A1011="","",IF(COUNTIF($A$14:$A1011,$A1011)=1,COUNTIF($AI$13:AI1010,"&gt;0")+1,""))</f>
        <v/>
      </c>
      <c r="AO1011" s="27">
        <f>IF($A1011="","",IF(AND(COUNTIFS($A$14:$A$1213,$A1011,$F$14:$F$1213,"&gt;=0")=2,IFERROR(INDEX($M$14:$M$313,MATCH($A1011,$H$14:$H$313,0)),"Yes")&lt;&gt;"Yes"),1,0))</f>
        <v/>
      </c>
    </row>
    <row r="1012">
      <c r="A1012" s="19" t="n"/>
      <c r="B1012" s="20" t="n"/>
      <c r="C1012" s="21">
        <f>IFERROR(AVERAGE(P1012:T1012),"")</f>
        <v/>
      </c>
      <c r="D1012" s="29" t="n"/>
      <c r="E1012" s="29" t="n"/>
      <c r="F1012" s="30">
        <f>IF(AND(ISNUMBER($D1012),ISNUMBER($E1012),$E1012&gt;0,$D1012&lt;=$E1012),$D1012/$E1012,"")</f>
        <v/>
      </c>
      <c r="P1012" s="26" t="n"/>
      <c r="Q1012" s="26" t="n"/>
      <c r="R1012" s="26" t="n"/>
      <c r="S1012" s="26" t="n"/>
      <c r="T1012" s="26" t="n"/>
      <c r="V1012" s="27">
        <f>IF(ISNUMBER($C1012),COUNTIFS($A$14:$A$1213,$A1012,$C$14:$C$1213,"&gt;"&amp;$C1012)+(COUNTIFS($A$14:$A$1213,$A1012,$C$14:$C$1213,"="&amp;$C1012)+1)/2,"")</f>
        <v/>
      </c>
      <c r="W1012" s="27">
        <f>IF(ISNUMBER($F1012),COUNTIFS($A$14:$A$1213,$A1012,$F$14:$F$1213,"&gt;"&amp;$F1012)+(COUNTIFS($A$14:$A$1213,$A1012,$F$14:$F$1213,"="&amp;$F1012)+1)/2,"")</f>
        <v/>
      </c>
      <c r="X1012" s="27">
        <f>IF(OR(NOT(ISNUMBER($V1012)),$AO1012=1),"",$V1012-(COUNTIFS($A$14:$A$1213,$A1012,$C$14:$C$1213,"&gt;=0")+1)/2)</f>
        <v/>
      </c>
      <c r="Y1012" s="27">
        <f>IF(OR(NOT(ISNUMBER($W1012)),$AO1012=1),"",$W1012-(COUNTIFS($A$14:$A$1213,$A1012,$F$14:$F$1213,"&gt;=0")+1)/2)</f>
        <v/>
      </c>
      <c r="Z1012" s="27">
        <f>IF(ISNUMBER($V1012),$A1012&amp;"|"&amp;$V1012,"")</f>
        <v/>
      </c>
      <c r="AA1012" s="27">
        <f>IF(ISNUMBER($W1012),$A1012&amp;"|"&amp;$W1012,"")</f>
        <v/>
      </c>
      <c r="AB1012" s="27">
        <f>IF(ISNUMBER($F1012),$A1012&amp;"|"&amp;$F1012,"")</f>
        <v/>
      </c>
      <c r="AC1012" s="27">
        <f>IF(ISNUMBER($P1012),COUNTIFS($A$14:$A$1213,$A1012,$P$14:$P$1213,"&gt;"&amp;$P1012)+(COUNTIFS($A$14:$A$1213,$A1012,$P$14:$P$1213,"="&amp;$P1012)+1)/2,"")</f>
        <v/>
      </c>
      <c r="AD1012" s="27">
        <f>IF(ISNUMBER($Q1012),COUNTIFS($A$14:$A$1213,$A1012,$Q$14:$Q$1213,"&gt;"&amp;$Q1012)+(COUNTIFS($A$14:$A$1213,$A1012,$Q$14:$Q$1213,"="&amp;$Q1012)+1)/2,"")</f>
        <v/>
      </c>
      <c r="AE1012" s="27">
        <f>IF(ISNUMBER($R1012),COUNTIFS($A$14:$A$1213,$A1012,$R$14:$R$1213,"&gt;"&amp;$R1012)+(COUNTIFS($A$14:$A$1213,$A1012,$R$14:$R$1213,"="&amp;$R1012)+1)/2,"")</f>
        <v/>
      </c>
      <c r="AF1012" s="27">
        <f>IF(ISNUMBER($S1012),COUNTIFS($A$14:$A$1213,$A1012,$S$14:$S$1213,"&gt;"&amp;$S1012)+(COUNTIFS($A$14:$A$1213,$A1012,$S$14:$S$1213,"="&amp;$S1012)+1)/2,"")</f>
        <v/>
      </c>
      <c r="AG1012" s="27">
        <f>IF(ISNUMBER($T1012),COUNTIFS($A$14:$A$1213,$A1012,$T$14:$T$1213,"&gt;"&amp;$T1012)+(COUNTIFS($A$14:$A$1213,$A1012,$T$14:$T$1213,"="&amp;$T1012)+1)/2,"")</f>
        <v/>
      </c>
      <c r="AH1012" s="27">
        <f>IF(COUNT($AC1012:$AG1012)&lt;2,"",IF(MAX($AC1012:$AG1012)=MIN($AC1012:$AG1012),0,1))</f>
        <v/>
      </c>
      <c r="AI1012" s="27">
        <f>IF($A1012="","",IF(COUNTIF($A$14:$A1012,$A1012)=1,COUNTIF($AI$13:AI1011,"&gt;0")+1,""))</f>
        <v/>
      </c>
      <c r="AO1012" s="27">
        <f>IF($A1012="","",IF(AND(COUNTIFS($A$14:$A$1213,$A1012,$F$14:$F$1213,"&gt;=0")=2,IFERROR(INDEX($M$14:$M$313,MATCH($A1012,$H$14:$H$313,0)),"Yes")&lt;&gt;"Yes"),1,0))</f>
        <v/>
      </c>
    </row>
    <row r="1013">
      <c r="A1013" s="19" t="n"/>
      <c r="B1013" s="20" t="n"/>
      <c r="C1013" s="21">
        <f>IFERROR(AVERAGE(P1013:T1013),"")</f>
        <v/>
      </c>
      <c r="D1013" s="29" t="n"/>
      <c r="E1013" s="29" t="n"/>
      <c r="F1013" s="30">
        <f>IF(AND(ISNUMBER($D1013),ISNUMBER($E1013),$E1013&gt;0,$D1013&lt;=$E1013),$D1013/$E1013,"")</f>
        <v/>
      </c>
      <c r="P1013" s="26" t="n"/>
      <c r="Q1013" s="26" t="n"/>
      <c r="R1013" s="26" t="n"/>
      <c r="S1013" s="26" t="n"/>
      <c r="T1013" s="26" t="n"/>
      <c r="V1013" s="27">
        <f>IF(ISNUMBER($C1013),COUNTIFS($A$14:$A$1213,$A1013,$C$14:$C$1213,"&gt;"&amp;$C1013)+(COUNTIFS($A$14:$A$1213,$A1013,$C$14:$C$1213,"="&amp;$C1013)+1)/2,"")</f>
        <v/>
      </c>
      <c r="W1013" s="27">
        <f>IF(ISNUMBER($F1013),COUNTIFS($A$14:$A$1213,$A1013,$F$14:$F$1213,"&gt;"&amp;$F1013)+(COUNTIFS($A$14:$A$1213,$A1013,$F$14:$F$1213,"="&amp;$F1013)+1)/2,"")</f>
        <v/>
      </c>
      <c r="X1013" s="27">
        <f>IF(OR(NOT(ISNUMBER($V1013)),$AO1013=1),"",$V1013-(COUNTIFS($A$14:$A$1213,$A1013,$C$14:$C$1213,"&gt;=0")+1)/2)</f>
        <v/>
      </c>
      <c r="Y1013" s="27">
        <f>IF(OR(NOT(ISNUMBER($W1013)),$AO1013=1),"",$W1013-(COUNTIFS($A$14:$A$1213,$A1013,$F$14:$F$1213,"&gt;=0")+1)/2)</f>
        <v/>
      </c>
      <c r="Z1013" s="27">
        <f>IF(ISNUMBER($V1013),$A1013&amp;"|"&amp;$V1013,"")</f>
        <v/>
      </c>
      <c r="AA1013" s="27">
        <f>IF(ISNUMBER($W1013),$A1013&amp;"|"&amp;$W1013,"")</f>
        <v/>
      </c>
      <c r="AB1013" s="27">
        <f>IF(ISNUMBER($F1013),$A1013&amp;"|"&amp;$F1013,"")</f>
        <v/>
      </c>
      <c r="AC1013" s="27">
        <f>IF(ISNUMBER($P1013),COUNTIFS($A$14:$A$1213,$A1013,$P$14:$P$1213,"&gt;"&amp;$P1013)+(COUNTIFS($A$14:$A$1213,$A1013,$P$14:$P$1213,"="&amp;$P1013)+1)/2,"")</f>
        <v/>
      </c>
      <c r="AD1013" s="27">
        <f>IF(ISNUMBER($Q1013),COUNTIFS($A$14:$A$1213,$A1013,$Q$14:$Q$1213,"&gt;"&amp;$Q1013)+(COUNTIFS($A$14:$A$1213,$A1013,$Q$14:$Q$1213,"="&amp;$Q1013)+1)/2,"")</f>
        <v/>
      </c>
      <c r="AE1013" s="27">
        <f>IF(ISNUMBER($R1013),COUNTIFS($A$14:$A$1213,$A1013,$R$14:$R$1213,"&gt;"&amp;$R1013)+(COUNTIFS($A$14:$A$1213,$A1013,$R$14:$R$1213,"="&amp;$R1013)+1)/2,"")</f>
        <v/>
      </c>
      <c r="AF1013" s="27">
        <f>IF(ISNUMBER($S1013),COUNTIFS($A$14:$A$1213,$A1013,$S$14:$S$1213,"&gt;"&amp;$S1013)+(COUNTIFS($A$14:$A$1213,$A1013,$S$14:$S$1213,"="&amp;$S1013)+1)/2,"")</f>
        <v/>
      </c>
      <c r="AG1013" s="27">
        <f>IF(ISNUMBER($T1013),COUNTIFS($A$14:$A$1213,$A1013,$T$14:$T$1213,"&gt;"&amp;$T1013)+(COUNTIFS($A$14:$A$1213,$A1013,$T$14:$T$1213,"="&amp;$T1013)+1)/2,"")</f>
        <v/>
      </c>
      <c r="AH1013" s="27">
        <f>IF(COUNT($AC1013:$AG1013)&lt;2,"",IF(MAX($AC1013:$AG1013)=MIN($AC1013:$AG1013),0,1))</f>
        <v/>
      </c>
      <c r="AI1013" s="27">
        <f>IF($A1013="","",IF(COUNTIF($A$14:$A1013,$A1013)=1,COUNTIF($AI$13:AI1012,"&gt;0")+1,""))</f>
        <v/>
      </c>
      <c r="AO1013" s="27">
        <f>IF($A1013="","",IF(AND(COUNTIFS($A$14:$A$1213,$A1013,$F$14:$F$1213,"&gt;=0")=2,IFERROR(INDEX($M$14:$M$313,MATCH($A1013,$H$14:$H$313,0)),"Yes")&lt;&gt;"Yes"),1,0))</f>
        <v/>
      </c>
    </row>
    <row r="1014">
      <c r="A1014" s="19" t="n"/>
      <c r="B1014" s="20" t="n"/>
      <c r="C1014" s="21">
        <f>IFERROR(AVERAGE(P1014:T1014),"")</f>
        <v/>
      </c>
      <c r="D1014" s="29" t="n"/>
      <c r="E1014" s="29" t="n"/>
      <c r="F1014" s="30">
        <f>IF(AND(ISNUMBER($D1014),ISNUMBER($E1014),$E1014&gt;0,$D1014&lt;=$E1014),$D1014/$E1014,"")</f>
        <v/>
      </c>
      <c r="P1014" s="26" t="n"/>
      <c r="Q1014" s="26" t="n"/>
      <c r="R1014" s="26" t="n"/>
      <c r="S1014" s="26" t="n"/>
      <c r="T1014" s="26" t="n"/>
      <c r="V1014" s="27">
        <f>IF(ISNUMBER($C1014),COUNTIFS($A$14:$A$1213,$A1014,$C$14:$C$1213,"&gt;"&amp;$C1014)+(COUNTIFS($A$14:$A$1213,$A1014,$C$14:$C$1213,"="&amp;$C1014)+1)/2,"")</f>
        <v/>
      </c>
      <c r="W1014" s="27">
        <f>IF(ISNUMBER($F1014),COUNTIFS($A$14:$A$1213,$A1014,$F$14:$F$1213,"&gt;"&amp;$F1014)+(COUNTIFS($A$14:$A$1213,$A1014,$F$14:$F$1213,"="&amp;$F1014)+1)/2,"")</f>
        <v/>
      </c>
      <c r="X1014" s="27">
        <f>IF(OR(NOT(ISNUMBER($V1014)),$AO1014=1),"",$V1014-(COUNTIFS($A$14:$A$1213,$A1014,$C$14:$C$1213,"&gt;=0")+1)/2)</f>
        <v/>
      </c>
      <c r="Y1014" s="27">
        <f>IF(OR(NOT(ISNUMBER($W1014)),$AO1014=1),"",$W1014-(COUNTIFS($A$14:$A$1213,$A1014,$F$14:$F$1213,"&gt;=0")+1)/2)</f>
        <v/>
      </c>
      <c r="Z1014" s="27">
        <f>IF(ISNUMBER($V1014),$A1014&amp;"|"&amp;$V1014,"")</f>
        <v/>
      </c>
      <c r="AA1014" s="27">
        <f>IF(ISNUMBER($W1014),$A1014&amp;"|"&amp;$W1014,"")</f>
        <v/>
      </c>
      <c r="AB1014" s="27">
        <f>IF(ISNUMBER($F1014),$A1014&amp;"|"&amp;$F1014,"")</f>
        <v/>
      </c>
      <c r="AC1014" s="27">
        <f>IF(ISNUMBER($P1014),COUNTIFS($A$14:$A$1213,$A1014,$P$14:$P$1213,"&gt;"&amp;$P1014)+(COUNTIFS($A$14:$A$1213,$A1014,$P$14:$P$1213,"="&amp;$P1014)+1)/2,"")</f>
        <v/>
      </c>
      <c r="AD1014" s="27">
        <f>IF(ISNUMBER($Q1014),COUNTIFS($A$14:$A$1213,$A1014,$Q$14:$Q$1213,"&gt;"&amp;$Q1014)+(COUNTIFS($A$14:$A$1213,$A1014,$Q$14:$Q$1213,"="&amp;$Q1014)+1)/2,"")</f>
        <v/>
      </c>
      <c r="AE1014" s="27">
        <f>IF(ISNUMBER($R1014),COUNTIFS($A$14:$A$1213,$A1014,$R$14:$R$1213,"&gt;"&amp;$R1014)+(COUNTIFS($A$14:$A$1213,$A1014,$R$14:$R$1213,"="&amp;$R1014)+1)/2,"")</f>
        <v/>
      </c>
      <c r="AF1014" s="27">
        <f>IF(ISNUMBER($S1014),COUNTIFS($A$14:$A$1213,$A1014,$S$14:$S$1213,"&gt;"&amp;$S1014)+(COUNTIFS($A$14:$A$1213,$A1014,$S$14:$S$1213,"="&amp;$S1014)+1)/2,"")</f>
        <v/>
      </c>
      <c r="AG1014" s="27">
        <f>IF(ISNUMBER($T1014),COUNTIFS($A$14:$A$1213,$A1014,$T$14:$T$1213,"&gt;"&amp;$T1014)+(COUNTIFS($A$14:$A$1213,$A1014,$T$14:$T$1213,"="&amp;$T1014)+1)/2,"")</f>
        <v/>
      </c>
      <c r="AH1014" s="27">
        <f>IF(COUNT($AC1014:$AG1014)&lt;2,"",IF(MAX($AC1014:$AG1014)=MIN($AC1014:$AG1014),0,1))</f>
        <v/>
      </c>
      <c r="AI1014" s="27">
        <f>IF($A1014="","",IF(COUNTIF($A$14:$A1014,$A1014)=1,COUNTIF($AI$13:AI1013,"&gt;0")+1,""))</f>
        <v/>
      </c>
      <c r="AO1014" s="27">
        <f>IF($A1014="","",IF(AND(COUNTIFS($A$14:$A$1213,$A1014,$F$14:$F$1213,"&gt;=0")=2,IFERROR(INDEX($M$14:$M$313,MATCH($A1014,$H$14:$H$313,0)),"Yes")&lt;&gt;"Yes"),1,0))</f>
        <v/>
      </c>
    </row>
    <row r="1015">
      <c r="A1015" s="19" t="n"/>
      <c r="B1015" s="20" t="n"/>
      <c r="C1015" s="21">
        <f>IFERROR(AVERAGE(P1015:T1015),"")</f>
        <v/>
      </c>
      <c r="D1015" s="29" t="n"/>
      <c r="E1015" s="29" t="n"/>
      <c r="F1015" s="30">
        <f>IF(AND(ISNUMBER($D1015),ISNUMBER($E1015),$E1015&gt;0,$D1015&lt;=$E1015),$D1015/$E1015,"")</f>
        <v/>
      </c>
      <c r="P1015" s="26" t="n"/>
      <c r="Q1015" s="26" t="n"/>
      <c r="R1015" s="26" t="n"/>
      <c r="S1015" s="26" t="n"/>
      <c r="T1015" s="26" t="n"/>
      <c r="V1015" s="27">
        <f>IF(ISNUMBER($C1015),COUNTIFS($A$14:$A$1213,$A1015,$C$14:$C$1213,"&gt;"&amp;$C1015)+(COUNTIFS($A$14:$A$1213,$A1015,$C$14:$C$1213,"="&amp;$C1015)+1)/2,"")</f>
        <v/>
      </c>
      <c r="W1015" s="27">
        <f>IF(ISNUMBER($F1015),COUNTIFS($A$14:$A$1213,$A1015,$F$14:$F$1213,"&gt;"&amp;$F1015)+(COUNTIFS($A$14:$A$1213,$A1015,$F$14:$F$1213,"="&amp;$F1015)+1)/2,"")</f>
        <v/>
      </c>
      <c r="X1015" s="27">
        <f>IF(OR(NOT(ISNUMBER($V1015)),$AO1015=1),"",$V1015-(COUNTIFS($A$14:$A$1213,$A1015,$C$14:$C$1213,"&gt;=0")+1)/2)</f>
        <v/>
      </c>
      <c r="Y1015" s="27">
        <f>IF(OR(NOT(ISNUMBER($W1015)),$AO1015=1),"",$W1015-(COUNTIFS($A$14:$A$1213,$A1015,$F$14:$F$1213,"&gt;=0")+1)/2)</f>
        <v/>
      </c>
      <c r="Z1015" s="27">
        <f>IF(ISNUMBER($V1015),$A1015&amp;"|"&amp;$V1015,"")</f>
        <v/>
      </c>
      <c r="AA1015" s="27">
        <f>IF(ISNUMBER($W1015),$A1015&amp;"|"&amp;$W1015,"")</f>
        <v/>
      </c>
      <c r="AB1015" s="27">
        <f>IF(ISNUMBER($F1015),$A1015&amp;"|"&amp;$F1015,"")</f>
        <v/>
      </c>
      <c r="AC1015" s="27">
        <f>IF(ISNUMBER($P1015),COUNTIFS($A$14:$A$1213,$A1015,$P$14:$P$1213,"&gt;"&amp;$P1015)+(COUNTIFS($A$14:$A$1213,$A1015,$P$14:$P$1213,"="&amp;$P1015)+1)/2,"")</f>
        <v/>
      </c>
      <c r="AD1015" s="27">
        <f>IF(ISNUMBER($Q1015),COUNTIFS($A$14:$A$1213,$A1015,$Q$14:$Q$1213,"&gt;"&amp;$Q1015)+(COUNTIFS($A$14:$A$1213,$A1015,$Q$14:$Q$1213,"="&amp;$Q1015)+1)/2,"")</f>
        <v/>
      </c>
      <c r="AE1015" s="27">
        <f>IF(ISNUMBER($R1015),COUNTIFS($A$14:$A$1213,$A1015,$R$14:$R$1213,"&gt;"&amp;$R1015)+(COUNTIFS($A$14:$A$1213,$A1015,$R$14:$R$1213,"="&amp;$R1015)+1)/2,"")</f>
        <v/>
      </c>
      <c r="AF1015" s="27">
        <f>IF(ISNUMBER($S1015),COUNTIFS($A$14:$A$1213,$A1015,$S$14:$S$1213,"&gt;"&amp;$S1015)+(COUNTIFS($A$14:$A$1213,$A1015,$S$14:$S$1213,"="&amp;$S1015)+1)/2,"")</f>
        <v/>
      </c>
      <c r="AG1015" s="27">
        <f>IF(ISNUMBER($T1015),COUNTIFS($A$14:$A$1213,$A1015,$T$14:$T$1213,"&gt;"&amp;$T1015)+(COUNTIFS($A$14:$A$1213,$A1015,$T$14:$T$1213,"="&amp;$T1015)+1)/2,"")</f>
        <v/>
      </c>
      <c r="AH1015" s="27">
        <f>IF(COUNT($AC1015:$AG1015)&lt;2,"",IF(MAX($AC1015:$AG1015)=MIN($AC1015:$AG1015),0,1))</f>
        <v/>
      </c>
      <c r="AI1015" s="27">
        <f>IF($A1015="","",IF(COUNTIF($A$14:$A1015,$A1015)=1,COUNTIF($AI$13:AI1014,"&gt;0")+1,""))</f>
        <v/>
      </c>
      <c r="AO1015" s="27">
        <f>IF($A1015="","",IF(AND(COUNTIFS($A$14:$A$1213,$A1015,$F$14:$F$1213,"&gt;=0")=2,IFERROR(INDEX($M$14:$M$313,MATCH($A1015,$H$14:$H$313,0)),"Yes")&lt;&gt;"Yes"),1,0))</f>
        <v/>
      </c>
    </row>
    <row r="1016">
      <c r="A1016" s="19" t="n"/>
      <c r="B1016" s="20" t="n"/>
      <c r="C1016" s="21">
        <f>IFERROR(AVERAGE(P1016:T1016),"")</f>
        <v/>
      </c>
      <c r="D1016" s="29" t="n"/>
      <c r="E1016" s="29" t="n"/>
      <c r="F1016" s="30">
        <f>IF(AND(ISNUMBER($D1016),ISNUMBER($E1016),$E1016&gt;0,$D1016&lt;=$E1016),$D1016/$E1016,"")</f>
        <v/>
      </c>
      <c r="P1016" s="26" t="n"/>
      <c r="Q1016" s="26" t="n"/>
      <c r="R1016" s="26" t="n"/>
      <c r="S1016" s="26" t="n"/>
      <c r="T1016" s="26" t="n"/>
      <c r="V1016" s="27">
        <f>IF(ISNUMBER($C1016),COUNTIFS($A$14:$A$1213,$A1016,$C$14:$C$1213,"&gt;"&amp;$C1016)+(COUNTIFS($A$14:$A$1213,$A1016,$C$14:$C$1213,"="&amp;$C1016)+1)/2,"")</f>
        <v/>
      </c>
      <c r="W1016" s="27">
        <f>IF(ISNUMBER($F1016),COUNTIFS($A$14:$A$1213,$A1016,$F$14:$F$1213,"&gt;"&amp;$F1016)+(COUNTIFS($A$14:$A$1213,$A1016,$F$14:$F$1213,"="&amp;$F1016)+1)/2,"")</f>
        <v/>
      </c>
      <c r="X1016" s="27">
        <f>IF(OR(NOT(ISNUMBER($V1016)),$AO1016=1),"",$V1016-(COUNTIFS($A$14:$A$1213,$A1016,$C$14:$C$1213,"&gt;=0")+1)/2)</f>
        <v/>
      </c>
      <c r="Y1016" s="27">
        <f>IF(OR(NOT(ISNUMBER($W1016)),$AO1016=1),"",$W1016-(COUNTIFS($A$14:$A$1213,$A1016,$F$14:$F$1213,"&gt;=0")+1)/2)</f>
        <v/>
      </c>
      <c r="Z1016" s="27">
        <f>IF(ISNUMBER($V1016),$A1016&amp;"|"&amp;$V1016,"")</f>
        <v/>
      </c>
      <c r="AA1016" s="27">
        <f>IF(ISNUMBER($W1016),$A1016&amp;"|"&amp;$W1016,"")</f>
        <v/>
      </c>
      <c r="AB1016" s="27">
        <f>IF(ISNUMBER($F1016),$A1016&amp;"|"&amp;$F1016,"")</f>
        <v/>
      </c>
      <c r="AC1016" s="27">
        <f>IF(ISNUMBER($P1016),COUNTIFS($A$14:$A$1213,$A1016,$P$14:$P$1213,"&gt;"&amp;$P1016)+(COUNTIFS($A$14:$A$1213,$A1016,$P$14:$P$1213,"="&amp;$P1016)+1)/2,"")</f>
        <v/>
      </c>
      <c r="AD1016" s="27">
        <f>IF(ISNUMBER($Q1016),COUNTIFS($A$14:$A$1213,$A1016,$Q$14:$Q$1213,"&gt;"&amp;$Q1016)+(COUNTIFS($A$14:$A$1213,$A1016,$Q$14:$Q$1213,"="&amp;$Q1016)+1)/2,"")</f>
        <v/>
      </c>
      <c r="AE1016" s="27">
        <f>IF(ISNUMBER($R1016),COUNTIFS($A$14:$A$1213,$A1016,$R$14:$R$1213,"&gt;"&amp;$R1016)+(COUNTIFS($A$14:$A$1213,$A1016,$R$14:$R$1213,"="&amp;$R1016)+1)/2,"")</f>
        <v/>
      </c>
      <c r="AF1016" s="27">
        <f>IF(ISNUMBER($S1016),COUNTIFS($A$14:$A$1213,$A1016,$S$14:$S$1213,"&gt;"&amp;$S1016)+(COUNTIFS($A$14:$A$1213,$A1016,$S$14:$S$1213,"="&amp;$S1016)+1)/2,"")</f>
        <v/>
      </c>
      <c r="AG1016" s="27">
        <f>IF(ISNUMBER($T1016),COUNTIFS($A$14:$A$1213,$A1016,$T$14:$T$1213,"&gt;"&amp;$T1016)+(COUNTIFS($A$14:$A$1213,$A1016,$T$14:$T$1213,"="&amp;$T1016)+1)/2,"")</f>
        <v/>
      </c>
      <c r="AH1016" s="27">
        <f>IF(COUNT($AC1016:$AG1016)&lt;2,"",IF(MAX($AC1016:$AG1016)=MIN($AC1016:$AG1016),0,1))</f>
        <v/>
      </c>
      <c r="AI1016" s="27">
        <f>IF($A1016="","",IF(COUNTIF($A$14:$A1016,$A1016)=1,COUNTIF($AI$13:AI1015,"&gt;0")+1,""))</f>
        <v/>
      </c>
      <c r="AO1016" s="27">
        <f>IF($A1016="","",IF(AND(COUNTIFS($A$14:$A$1213,$A1016,$F$14:$F$1213,"&gt;=0")=2,IFERROR(INDEX($M$14:$M$313,MATCH($A1016,$H$14:$H$313,0)),"Yes")&lt;&gt;"Yes"),1,0))</f>
        <v/>
      </c>
    </row>
    <row r="1017">
      <c r="A1017" s="19" t="n"/>
      <c r="B1017" s="20" t="n"/>
      <c r="C1017" s="21">
        <f>IFERROR(AVERAGE(P1017:T1017),"")</f>
        <v/>
      </c>
      <c r="D1017" s="29" t="n"/>
      <c r="E1017" s="29" t="n"/>
      <c r="F1017" s="30">
        <f>IF(AND(ISNUMBER($D1017),ISNUMBER($E1017),$E1017&gt;0,$D1017&lt;=$E1017),$D1017/$E1017,"")</f>
        <v/>
      </c>
      <c r="P1017" s="26" t="n"/>
      <c r="Q1017" s="26" t="n"/>
      <c r="R1017" s="26" t="n"/>
      <c r="S1017" s="26" t="n"/>
      <c r="T1017" s="26" t="n"/>
      <c r="V1017" s="27">
        <f>IF(ISNUMBER($C1017),COUNTIFS($A$14:$A$1213,$A1017,$C$14:$C$1213,"&gt;"&amp;$C1017)+(COUNTIFS($A$14:$A$1213,$A1017,$C$14:$C$1213,"="&amp;$C1017)+1)/2,"")</f>
        <v/>
      </c>
      <c r="W1017" s="27">
        <f>IF(ISNUMBER($F1017),COUNTIFS($A$14:$A$1213,$A1017,$F$14:$F$1213,"&gt;"&amp;$F1017)+(COUNTIFS($A$14:$A$1213,$A1017,$F$14:$F$1213,"="&amp;$F1017)+1)/2,"")</f>
        <v/>
      </c>
      <c r="X1017" s="27">
        <f>IF(OR(NOT(ISNUMBER($V1017)),$AO1017=1),"",$V1017-(COUNTIFS($A$14:$A$1213,$A1017,$C$14:$C$1213,"&gt;=0")+1)/2)</f>
        <v/>
      </c>
      <c r="Y1017" s="27">
        <f>IF(OR(NOT(ISNUMBER($W1017)),$AO1017=1),"",$W1017-(COUNTIFS($A$14:$A$1213,$A1017,$F$14:$F$1213,"&gt;=0")+1)/2)</f>
        <v/>
      </c>
      <c r="Z1017" s="27">
        <f>IF(ISNUMBER($V1017),$A1017&amp;"|"&amp;$V1017,"")</f>
        <v/>
      </c>
      <c r="AA1017" s="27">
        <f>IF(ISNUMBER($W1017),$A1017&amp;"|"&amp;$W1017,"")</f>
        <v/>
      </c>
      <c r="AB1017" s="27">
        <f>IF(ISNUMBER($F1017),$A1017&amp;"|"&amp;$F1017,"")</f>
        <v/>
      </c>
      <c r="AC1017" s="27">
        <f>IF(ISNUMBER($P1017),COUNTIFS($A$14:$A$1213,$A1017,$P$14:$P$1213,"&gt;"&amp;$P1017)+(COUNTIFS($A$14:$A$1213,$A1017,$P$14:$P$1213,"="&amp;$P1017)+1)/2,"")</f>
        <v/>
      </c>
      <c r="AD1017" s="27">
        <f>IF(ISNUMBER($Q1017),COUNTIFS($A$14:$A$1213,$A1017,$Q$14:$Q$1213,"&gt;"&amp;$Q1017)+(COUNTIFS($A$14:$A$1213,$A1017,$Q$14:$Q$1213,"="&amp;$Q1017)+1)/2,"")</f>
        <v/>
      </c>
      <c r="AE1017" s="27">
        <f>IF(ISNUMBER($R1017),COUNTIFS($A$14:$A$1213,$A1017,$R$14:$R$1213,"&gt;"&amp;$R1017)+(COUNTIFS($A$14:$A$1213,$A1017,$R$14:$R$1213,"="&amp;$R1017)+1)/2,"")</f>
        <v/>
      </c>
      <c r="AF1017" s="27">
        <f>IF(ISNUMBER($S1017),COUNTIFS($A$14:$A$1213,$A1017,$S$14:$S$1213,"&gt;"&amp;$S1017)+(COUNTIFS($A$14:$A$1213,$A1017,$S$14:$S$1213,"="&amp;$S1017)+1)/2,"")</f>
        <v/>
      </c>
      <c r="AG1017" s="27">
        <f>IF(ISNUMBER($T1017),COUNTIFS($A$14:$A$1213,$A1017,$T$14:$T$1213,"&gt;"&amp;$T1017)+(COUNTIFS($A$14:$A$1213,$A1017,$T$14:$T$1213,"="&amp;$T1017)+1)/2,"")</f>
        <v/>
      </c>
      <c r="AH1017" s="27">
        <f>IF(COUNT($AC1017:$AG1017)&lt;2,"",IF(MAX($AC1017:$AG1017)=MIN($AC1017:$AG1017),0,1))</f>
        <v/>
      </c>
      <c r="AI1017" s="27">
        <f>IF($A1017="","",IF(COUNTIF($A$14:$A1017,$A1017)=1,COUNTIF($AI$13:AI1016,"&gt;0")+1,""))</f>
        <v/>
      </c>
      <c r="AO1017" s="27">
        <f>IF($A1017="","",IF(AND(COUNTIFS($A$14:$A$1213,$A1017,$F$14:$F$1213,"&gt;=0")=2,IFERROR(INDEX($M$14:$M$313,MATCH($A1017,$H$14:$H$313,0)),"Yes")&lt;&gt;"Yes"),1,0))</f>
        <v/>
      </c>
    </row>
    <row r="1018">
      <c r="A1018" s="19" t="n"/>
      <c r="B1018" s="20" t="n"/>
      <c r="C1018" s="21">
        <f>IFERROR(AVERAGE(P1018:T1018),"")</f>
        <v/>
      </c>
      <c r="D1018" s="29" t="n"/>
      <c r="E1018" s="29" t="n"/>
      <c r="F1018" s="30">
        <f>IF(AND(ISNUMBER($D1018),ISNUMBER($E1018),$E1018&gt;0,$D1018&lt;=$E1018),$D1018/$E1018,"")</f>
        <v/>
      </c>
      <c r="P1018" s="26" t="n"/>
      <c r="Q1018" s="26" t="n"/>
      <c r="R1018" s="26" t="n"/>
      <c r="S1018" s="26" t="n"/>
      <c r="T1018" s="26" t="n"/>
      <c r="V1018" s="27">
        <f>IF(ISNUMBER($C1018),COUNTIFS($A$14:$A$1213,$A1018,$C$14:$C$1213,"&gt;"&amp;$C1018)+(COUNTIFS($A$14:$A$1213,$A1018,$C$14:$C$1213,"="&amp;$C1018)+1)/2,"")</f>
        <v/>
      </c>
      <c r="W1018" s="27">
        <f>IF(ISNUMBER($F1018),COUNTIFS($A$14:$A$1213,$A1018,$F$14:$F$1213,"&gt;"&amp;$F1018)+(COUNTIFS($A$14:$A$1213,$A1018,$F$14:$F$1213,"="&amp;$F1018)+1)/2,"")</f>
        <v/>
      </c>
      <c r="X1018" s="27">
        <f>IF(OR(NOT(ISNUMBER($V1018)),$AO1018=1),"",$V1018-(COUNTIFS($A$14:$A$1213,$A1018,$C$14:$C$1213,"&gt;=0")+1)/2)</f>
        <v/>
      </c>
      <c r="Y1018" s="27">
        <f>IF(OR(NOT(ISNUMBER($W1018)),$AO1018=1),"",$W1018-(COUNTIFS($A$14:$A$1213,$A1018,$F$14:$F$1213,"&gt;=0")+1)/2)</f>
        <v/>
      </c>
      <c r="Z1018" s="27">
        <f>IF(ISNUMBER($V1018),$A1018&amp;"|"&amp;$V1018,"")</f>
        <v/>
      </c>
      <c r="AA1018" s="27">
        <f>IF(ISNUMBER($W1018),$A1018&amp;"|"&amp;$W1018,"")</f>
        <v/>
      </c>
      <c r="AB1018" s="27">
        <f>IF(ISNUMBER($F1018),$A1018&amp;"|"&amp;$F1018,"")</f>
        <v/>
      </c>
      <c r="AC1018" s="27">
        <f>IF(ISNUMBER($P1018),COUNTIFS($A$14:$A$1213,$A1018,$P$14:$P$1213,"&gt;"&amp;$P1018)+(COUNTIFS($A$14:$A$1213,$A1018,$P$14:$P$1213,"="&amp;$P1018)+1)/2,"")</f>
        <v/>
      </c>
      <c r="AD1018" s="27">
        <f>IF(ISNUMBER($Q1018),COUNTIFS($A$14:$A$1213,$A1018,$Q$14:$Q$1213,"&gt;"&amp;$Q1018)+(COUNTIFS($A$14:$A$1213,$A1018,$Q$14:$Q$1213,"="&amp;$Q1018)+1)/2,"")</f>
        <v/>
      </c>
      <c r="AE1018" s="27">
        <f>IF(ISNUMBER($R1018),COUNTIFS($A$14:$A$1213,$A1018,$R$14:$R$1213,"&gt;"&amp;$R1018)+(COUNTIFS($A$14:$A$1213,$A1018,$R$14:$R$1213,"="&amp;$R1018)+1)/2,"")</f>
        <v/>
      </c>
      <c r="AF1018" s="27">
        <f>IF(ISNUMBER($S1018),COUNTIFS($A$14:$A$1213,$A1018,$S$14:$S$1213,"&gt;"&amp;$S1018)+(COUNTIFS($A$14:$A$1213,$A1018,$S$14:$S$1213,"="&amp;$S1018)+1)/2,"")</f>
        <v/>
      </c>
      <c r="AG1018" s="27">
        <f>IF(ISNUMBER($T1018),COUNTIFS($A$14:$A$1213,$A1018,$T$14:$T$1213,"&gt;"&amp;$T1018)+(COUNTIFS($A$14:$A$1213,$A1018,$T$14:$T$1213,"="&amp;$T1018)+1)/2,"")</f>
        <v/>
      </c>
      <c r="AH1018" s="27">
        <f>IF(COUNT($AC1018:$AG1018)&lt;2,"",IF(MAX($AC1018:$AG1018)=MIN($AC1018:$AG1018),0,1))</f>
        <v/>
      </c>
      <c r="AI1018" s="27">
        <f>IF($A1018="","",IF(COUNTIF($A$14:$A1018,$A1018)=1,COUNTIF($AI$13:AI1017,"&gt;0")+1,""))</f>
        <v/>
      </c>
      <c r="AO1018" s="27">
        <f>IF($A1018="","",IF(AND(COUNTIFS($A$14:$A$1213,$A1018,$F$14:$F$1213,"&gt;=0")=2,IFERROR(INDEX($M$14:$M$313,MATCH($A1018,$H$14:$H$313,0)),"Yes")&lt;&gt;"Yes"),1,0))</f>
        <v/>
      </c>
    </row>
    <row r="1019">
      <c r="A1019" s="19" t="n"/>
      <c r="B1019" s="20" t="n"/>
      <c r="C1019" s="21">
        <f>IFERROR(AVERAGE(P1019:T1019),"")</f>
        <v/>
      </c>
      <c r="D1019" s="29" t="n"/>
      <c r="E1019" s="29" t="n"/>
      <c r="F1019" s="30">
        <f>IF(AND(ISNUMBER($D1019),ISNUMBER($E1019),$E1019&gt;0,$D1019&lt;=$E1019),$D1019/$E1019,"")</f>
        <v/>
      </c>
      <c r="P1019" s="26" t="n"/>
      <c r="Q1019" s="26" t="n"/>
      <c r="R1019" s="26" t="n"/>
      <c r="S1019" s="26" t="n"/>
      <c r="T1019" s="26" t="n"/>
      <c r="V1019" s="27">
        <f>IF(ISNUMBER($C1019),COUNTIFS($A$14:$A$1213,$A1019,$C$14:$C$1213,"&gt;"&amp;$C1019)+(COUNTIFS($A$14:$A$1213,$A1019,$C$14:$C$1213,"="&amp;$C1019)+1)/2,"")</f>
        <v/>
      </c>
      <c r="W1019" s="27">
        <f>IF(ISNUMBER($F1019),COUNTIFS($A$14:$A$1213,$A1019,$F$14:$F$1213,"&gt;"&amp;$F1019)+(COUNTIFS($A$14:$A$1213,$A1019,$F$14:$F$1213,"="&amp;$F1019)+1)/2,"")</f>
        <v/>
      </c>
      <c r="X1019" s="27">
        <f>IF(OR(NOT(ISNUMBER($V1019)),$AO1019=1),"",$V1019-(COUNTIFS($A$14:$A$1213,$A1019,$C$14:$C$1213,"&gt;=0")+1)/2)</f>
        <v/>
      </c>
      <c r="Y1019" s="27">
        <f>IF(OR(NOT(ISNUMBER($W1019)),$AO1019=1),"",$W1019-(COUNTIFS($A$14:$A$1213,$A1019,$F$14:$F$1213,"&gt;=0")+1)/2)</f>
        <v/>
      </c>
      <c r="Z1019" s="27">
        <f>IF(ISNUMBER($V1019),$A1019&amp;"|"&amp;$V1019,"")</f>
        <v/>
      </c>
      <c r="AA1019" s="27">
        <f>IF(ISNUMBER($W1019),$A1019&amp;"|"&amp;$W1019,"")</f>
        <v/>
      </c>
      <c r="AB1019" s="27">
        <f>IF(ISNUMBER($F1019),$A1019&amp;"|"&amp;$F1019,"")</f>
        <v/>
      </c>
      <c r="AC1019" s="27">
        <f>IF(ISNUMBER($P1019),COUNTIFS($A$14:$A$1213,$A1019,$P$14:$P$1213,"&gt;"&amp;$P1019)+(COUNTIFS($A$14:$A$1213,$A1019,$P$14:$P$1213,"="&amp;$P1019)+1)/2,"")</f>
        <v/>
      </c>
      <c r="AD1019" s="27">
        <f>IF(ISNUMBER($Q1019),COUNTIFS($A$14:$A$1213,$A1019,$Q$14:$Q$1213,"&gt;"&amp;$Q1019)+(COUNTIFS($A$14:$A$1213,$A1019,$Q$14:$Q$1213,"="&amp;$Q1019)+1)/2,"")</f>
        <v/>
      </c>
      <c r="AE1019" s="27">
        <f>IF(ISNUMBER($R1019),COUNTIFS($A$14:$A$1213,$A1019,$R$14:$R$1213,"&gt;"&amp;$R1019)+(COUNTIFS($A$14:$A$1213,$A1019,$R$14:$R$1213,"="&amp;$R1019)+1)/2,"")</f>
        <v/>
      </c>
      <c r="AF1019" s="27">
        <f>IF(ISNUMBER($S1019),COUNTIFS($A$14:$A$1213,$A1019,$S$14:$S$1213,"&gt;"&amp;$S1019)+(COUNTIFS($A$14:$A$1213,$A1019,$S$14:$S$1213,"="&amp;$S1019)+1)/2,"")</f>
        <v/>
      </c>
      <c r="AG1019" s="27">
        <f>IF(ISNUMBER($T1019),COUNTIFS($A$14:$A$1213,$A1019,$T$14:$T$1213,"&gt;"&amp;$T1019)+(COUNTIFS($A$14:$A$1213,$A1019,$T$14:$T$1213,"="&amp;$T1019)+1)/2,"")</f>
        <v/>
      </c>
      <c r="AH1019" s="27">
        <f>IF(COUNT($AC1019:$AG1019)&lt;2,"",IF(MAX($AC1019:$AG1019)=MIN($AC1019:$AG1019),0,1))</f>
        <v/>
      </c>
      <c r="AI1019" s="27">
        <f>IF($A1019="","",IF(COUNTIF($A$14:$A1019,$A1019)=1,COUNTIF($AI$13:AI1018,"&gt;0")+1,""))</f>
        <v/>
      </c>
      <c r="AO1019" s="27">
        <f>IF($A1019="","",IF(AND(COUNTIFS($A$14:$A$1213,$A1019,$F$14:$F$1213,"&gt;=0")=2,IFERROR(INDEX($M$14:$M$313,MATCH($A1019,$H$14:$H$313,0)),"Yes")&lt;&gt;"Yes"),1,0))</f>
        <v/>
      </c>
    </row>
    <row r="1020">
      <c r="A1020" s="19" t="n"/>
      <c r="B1020" s="20" t="n"/>
      <c r="C1020" s="21">
        <f>IFERROR(AVERAGE(P1020:T1020),"")</f>
        <v/>
      </c>
      <c r="D1020" s="29" t="n"/>
      <c r="E1020" s="29" t="n"/>
      <c r="F1020" s="30">
        <f>IF(AND(ISNUMBER($D1020),ISNUMBER($E1020),$E1020&gt;0,$D1020&lt;=$E1020),$D1020/$E1020,"")</f>
        <v/>
      </c>
      <c r="P1020" s="26" t="n"/>
      <c r="Q1020" s="26" t="n"/>
      <c r="R1020" s="26" t="n"/>
      <c r="S1020" s="26" t="n"/>
      <c r="T1020" s="26" t="n"/>
      <c r="V1020" s="27">
        <f>IF(ISNUMBER($C1020),COUNTIFS($A$14:$A$1213,$A1020,$C$14:$C$1213,"&gt;"&amp;$C1020)+(COUNTIFS($A$14:$A$1213,$A1020,$C$14:$C$1213,"="&amp;$C1020)+1)/2,"")</f>
        <v/>
      </c>
      <c r="W1020" s="27">
        <f>IF(ISNUMBER($F1020),COUNTIFS($A$14:$A$1213,$A1020,$F$14:$F$1213,"&gt;"&amp;$F1020)+(COUNTIFS($A$14:$A$1213,$A1020,$F$14:$F$1213,"="&amp;$F1020)+1)/2,"")</f>
        <v/>
      </c>
      <c r="X1020" s="27">
        <f>IF(OR(NOT(ISNUMBER($V1020)),$AO1020=1),"",$V1020-(COUNTIFS($A$14:$A$1213,$A1020,$C$14:$C$1213,"&gt;=0")+1)/2)</f>
        <v/>
      </c>
      <c r="Y1020" s="27">
        <f>IF(OR(NOT(ISNUMBER($W1020)),$AO1020=1),"",$W1020-(COUNTIFS($A$14:$A$1213,$A1020,$F$14:$F$1213,"&gt;=0")+1)/2)</f>
        <v/>
      </c>
      <c r="Z1020" s="27">
        <f>IF(ISNUMBER($V1020),$A1020&amp;"|"&amp;$V1020,"")</f>
        <v/>
      </c>
      <c r="AA1020" s="27">
        <f>IF(ISNUMBER($W1020),$A1020&amp;"|"&amp;$W1020,"")</f>
        <v/>
      </c>
      <c r="AB1020" s="27">
        <f>IF(ISNUMBER($F1020),$A1020&amp;"|"&amp;$F1020,"")</f>
        <v/>
      </c>
      <c r="AC1020" s="27">
        <f>IF(ISNUMBER($P1020),COUNTIFS($A$14:$A$1213,$A1020,$P$14:$P$1213,"&gt;"&amp;$P1020)+(COUNTIFS($A$14:$A$1213,$A1020,$P$14:$P$1213,"="&amp;$P1020)+1)/2,"")</f>
        <v/>
      </c>
      <c r="AD1020" s="27">
        <f>IF(ISNUMBER($Q1020),COUNTIFS($A$14:$A$1213,$A1020,$Q$14:$Q$1213,"&gt;"&amp;$Q1020)+(COUNTIFS($A$14:$A$1213,$A1020,$Q$14:$Q$1213,"="&amp;$Q1020)+1)/2,"")</f>
        <v/>
      </c>
      <c r="AE1020" s="27">
        <f>IF(ISNUMBER($R1020),COUNTIFS($A$14:$A$1213,$A1020,$R$14:$R$1213,"&gt;"&amp;$R1020)+(COUNTIFS($A$14:$A$1213,$A1020,$R$14:$R$1213,"="&amp;$R1020)+1)/2,"")</f>
        <v/>
      </c>
      <c r="AF1020" s="27">
        <f>IF(ISNUMBER($S1020),COUNTIFS($A$14:$A$1213,$A1020,$S$14:$S$1213,"&gt;"&amp;$S1020)+(COUNTIFS($A$14:$A$1213,$A1020,$S$14:$S$1213,"="&amp;$S1020)+1)/2,"")</f>
        <v/>
      </c>
      <c r="AG1020" s="27">
        <f>IF(ISNUMBER($T1020),COUNTIFS($A$14:$A$1213,$A1020,$T$14:$T$1213,"&gt;"&amp;$T1020)+(COUNTIFS($A$14:$A$1213,$A1020,$T$14:$T$1213,"="&amp;$T1020)+1)/2,"")</f>
        <v/>
      </c>
      <c r="AH1020" s="27">
        <f>IF(COUNT($AC1020:$AG1020)&lt;2,"",IF(MAX($AC1020:$AG1020)=MIN($AC1020:$AG1020),0,1))</f>
        <v/>
      </c>
      <c r="AI1020" s="27">
        <f>IF($A1020="","",IF(COUNTIF($A$14:$A1020,$A1020)=1,COUNTIF($AI$13:AI1019,"&gt;0")+1,""))</f>
        <v/>
      </c>
      <c r="AO1020" s="27">
        <f>IF($A1020="","",IF(AND(COUNTIFS($A$14:$A$1213,$A1020,$F$14:$F$1213,"&gt;=0")=2,IFERROR(INDEX($M$14:$M$313,MATCH($A1020,$H$14:$H$313,0)),"Yes")&lt;&gt;"Yes"),1,0))</f>
        <v/>
      </c>
    </row>
    <row r="1021">
      <c r="A1021" s="19" t="n"/>
      <c r="B1021" s="20" t="n"/>
      <c r="C1021" s="21">
        <f>IFERROR(AVERAGE(P1021:T1021),"")</f>
        <v/>
      </c>
      <c r="D1021" s="29" t="n"/>
      <c r="E1021" s="29" t="n"/>
      <c r="F1021" s="30">
        <f>IF(AND(ISNUMBER($D1021),ISNUMBER($E1021),$E1021&gt;0,$D1021&lt;=$E1021),$D1021/$E1021,"")</f>
        <v/>
      </c>
      <c r="P1021" s="26" t="n"/>
      <c r="Q1021" s="26" t="n"/>
      <c r="R1021" s="26" t="n"/>
      <c r="S1021" s="26" t="n"/>
      <c r="T1021" s="26" t="n"/>
      <c r="V1021" s="27">
        <f>IF(ISNUMBER($C1021),COUNTIFS($A$14:$A$1213,$A1021,$C$14:$C$1213,"&gt;"&amp;$C1021)+(COUNTIFS($A$14:$A$1213,$A1021,$C$14:$C$1213,"="&amp;$C1021)+1)/2,"")</f>
        <v/>
      </c>
      <c r="W1021" s="27">
        <f>IF(ISNUMBER($F1021),COUNTIFS($A$14:$A$1213,$A1021,$F$14:$F$1213,"&gt;"&amp;$F1021)+(COUNTIFS($A$14:$A$1213,$A1021,$F$14:$F$1213,"="&amp;$F1021)+1)/2,"")</f>
        <v/>
      </c>
      <c r="X1021" s="27">
        <f>IF(OR(NOT(ISNUMBER($V1021)),$AO1021=1),"",$V1021-(COUNTIFS($A$14:$A$1213,$A1021,$C$14:$C$1213,"&gt;=0")+1)/2)</f>
        <v/>
      </c>
      <c r="Y1021" s="27">
        <f>IF(OR(NOT(ISNUMBER($W1021)),$AO1021=1),"",$W1021-(COUNTIFS($A$14:$A$1213,$A1021,$F$14:$F$1213,"&gt;=0")+1)/2)</f>
        <v/>
      </c>
      <c r="Z1021" s="27">
        <f>IF(ISNUMBER($V1021),$A1021&amp;"|"&amp;$V1021,"")</f>
        <v/>
      </c>
      <c r="AA1021" s="27">
        <f>IF(ISNUMBER($W1021),$A1021&amp;"|"&amp;$W1021,"")</f>
        <v/>
      </c>
      <c r="AB1021" s="27">
        <f>IF(ISNUMBER($F1021),$A1021&amp;"|"&amp;$F1021,"")</f>
        <v/>
      </c>
      <c r="AC1021" s="27">
        <f>IF(ISNUMBER($P1021),COUNTIFS($A$14:$A$1213,$A1021,$P$14:$P$1213,"&gt;"&amp;$P1021)+(COUNTIFS($A$14:$A$1213,$A1021,$P$14:$P$1213,"="&amp;$P1021)+1)/2,"")</f>
        <v/>
      </c>
      <c r="AD1021" s="27">
        <f>IF(ISNUMBER($Q1021),COUNTIFS($A$14:$A$1213,$A1021,$Q$14:$Q$1213,"&gt;"&amp;$Q1021)+(COUNTIFS($A$14:$A$1213,$A1021,$Q$14:$Q$1213,"="&amp;$Q1021)+1)/2,"")</f>
        <v/>
      </c>
      <c r="AE1021" s="27">
        <f>IF(ISNUMBER($R1021),COUNTIFS($A$14:$A$1213,$A1021,$R$14:$R$1213,"&gt;"&amp;$R1021)+(COUNTIFS($A$14:$A$1213,$A1021,$R$14:$R$1213,"="&amp;$R1021)+1)/2,"")</f>
        <v/>
      </c>
      <c r="AF1021" s="27">
        <f>IF(ISNUMBER($S1021),COUNTIFS($A$14:$A$1213,$A1021,$S$14:$S$1213,"&gt;"&amp;$S1021)+(COUNTIFS($A$14:$A$1213,$A1021,$S$14:$S$1213,"="&amp;$S1021)+1)/2,"")</f>
        <v/>
      </c>
      <c r="AG1021" s="27">
        <f>IF(ISNUMBER($T1021),COUNTIFS($A$14:$A$1213,$A1021,$T$14:$T$1213,"&gt;"&amp;$T1021)+(COUNTIFS($A$14:$A$1213,$A1021,$T$14:$T$1213,"="&amp;$T1021)+1)/2,"")</f>
        <v/>
      </c>
      <c r="AH1021" s="27">
        <f>IF(COUNT($AC1021:$AG1021)&lt;2,"",IF(MAX($AC1021:$AG1021)=MIN($AC1021:$AG1021),0,1))</f>
        <v/>
      </c>
      <c r="AI1021" s="27">
        <f>IF($A1021="","",IF(COUNTIF($A$14:$A1021,$A1021)=1,COUNTIF($AI$13:AI1020,"&gt;0")+1,""))</f>
        <v/>
      </c>
      <c r="AO1021" s="27">
        <f>IF($A1021="","",IF(AND(COUNTIFS($A$14:$A$1213,$A1021,$F$14:$F$1213,"&gt;=0")=2,IFERROR(INDEX($M$14:$M$313,MATCH($A1021,$H$14:$H$313,0)),"Yes")&lt;&gt;"Yes"),1,0))</f>
        <v/>
      </c>
    </row>
    <row r="1022">
      <c r="A1022" s="19" t="n"/>
      <c r="B1022" s="20" t="n"/>
      <c r="C1022" s="21">
        <f>IFERROR(AVERAGE(P1022:T1022),"")</f>
        <v/>
      </c>
      <c r="D1022" s="29" t="n"/>
      <c r="E1022" s="29" t="n"/>
      <c r="F1022" s="30">
        <f>IF(AND(ISNUMBER($D1022),ISNUMBER($E1022),$E1022&gt;0,$D1022&lt;=$E1022),$D1022/$E1022,"")</f>
        <v/>
      </c>
      <c r="P1022" s="26" t="n"/>
      <c r="Q1022" s="26" t="n"/>
      <c r="R1022" s="26" t="n"/>
      <c r="S1022" s="26" t="n"/>
      <c r="T1022" s="26" t="n"/>
      <c r="V1022" s="27">
        <f>IF(ISNUMBER($C1022),COUNTIFS($A$14:$A$1213,$A1022,$C$14:$C$1213,"&gt;"&amp;$C1022)+(COUNTIFS($A$14:$A$1213,$A1022,$C$14:$C$1213,"="&amp;$C1022)+1)/2,"")</f>
        <v/>
      </c>
      <c r="W1022" s="27">
        <f>IF(ISNUMBER($F1022),COUNTIFS($A$14:$A$1213,$A1022,$F$14:$F$1213,"&gt;"&amp;$F1022)+(COUNTIFS($A$14:$A$1213,$A1022,$F$14:$F$1213,"="&amp;$F1022)+1)/2,"")</f>
        <v/>
      </c>
      <c r="X1022" s="27">
        <f>IF(OR(NOT(ISNUMBER($V1022)),$AO1022=1),"",$V1022-(COUNTIFS($A$14:$A$1213,$A1022,$C$14:$C$1213,"&gt;=0")+1)/2)</f>
        <v/>
      </c>
      <c r="Y1022" s="27">
        <f>IF(OR(NOT(ISNUMBER($W1022)),$AO1022=1),"",$W1022-(COUNTIFS($A$14:$A$1213,$A1022,$F$14:$F$1213,"&gt;=0")+1)/2)</f>
        <v/>
      </c>
      <c r="Z1022" s="27">
        <f>IF(ISNUMBER($V1022),$A1022&amp;"|"&amp;$V1022,"")</f>
        <v/>
      </c>
      <c r="AA1022" s="27">
        <f>IF(ISNUMBER($W1022),$A1022&amp;"|"&amp;$W1022,"")</f>
        <v/>
      </c>
      <c r="AB1022" s="27">
        <f>IF(ISNUMBER($F1022),$A1022&amp;"|"&amp;$F1022,"")</f>
        <v/>
      </c>
      <c r="AC1022" s="27">
        <f>IF(ISNUMBER($P1022),COUNTIFS($A$14:$A$1213,$A1022,$P$14:$P$1213,"&gt;"&amp;$P1022)+(COUNTIFS($A$14:$A$1213,$A1022,$P$14:$P$1213,"="&amp;$P1022)+1)/2,"")</f>
        <v/>
      </c>
      <c r="AD1022" s="27">
        <f>IF(ISNUMBER($Q1022),COUNTIFS($A$14:$A$1213,$A1022,$Q$14:$Q$1213,"&gt;"&amp;$Q1022)+(COUNTIFS($A$14:$A$1213,$A1022,$Q$14:$Q$1213,"="&amp;$Q1022)+1)/2,"")</f>
        <v/>
      </c>
      <c r="AE1022" s="27">
        <f>IF(ISNUMBER($R1022),COUNTIFS($A$14:$A$1213,$A1022,$R$14:$R$1213,"&gt;"&amp;$R1022)+(COUNTIFS($A$14:$A$1213,$A1022,$R$14:$R$1213,"="&amp;$R1022)+1)/2,"")</f>
        <v/>
      </c>
      <c r="AF1022" s="27">
        <f>IF(ISNUMBER($S1022),COUNTIFS($A$14:$A$1213,$A1022,$S$14:$S$1213,"&gt;"&amp;$S1022)+(COUNTIFS($A$14:$A$1213,$A1022,$S$14:$S$1213,"="&amp;$S1022)+1)/2,"")</f>
        <v/>
      </c>
      <c r="AG1022" s="27">
        <f>IF(ISNUMBER($T1022),COUNTIFS($A$14:$A$1213,$A1022,$T$14:$T$1213,"&gt;"&amp;$T1022)+(COUNTIFS($A$14:$A$1213,$A1022,$T$14:$T$1213,"="&amp;$T1022)+1)/2,"")</f>
        <v/>
      </c>
      <c r="AH1022" s="27">
        <f>IF(COUNT($AC1022:$AG1022)&lt;2,"",IF(MAX($AC1022:$AG1022)=MIN($AC1022:$AG1022),0,1))</f>
        <v/>
      </c>
      <c r="AI1022" s="27">
        <f>IF($A1022="","",IF(COUNTIF($A$14:$A1022,$A1022)=1,COUNTIF($AI$13:AI1021,"&gt;0")+1,""))</f>
        <v/>
      </c>
      <c r="AO1022" s="27">
        <f>IF($A1022="","",IF(AND(COUNTIFS($A$14:$A$1213,$A1022,$F$14:$F$1213,"&gt;=0")=2,IFERROR(INDEX($M$14:$M$313,MATCH($A1022,$H$14:$H$313,0)),"Yes")&lt;&gt;"Yes"),1,0))</f>
        <v/>
      </c>
    </row>
    <row r="1023">
      <c r="A1023" s="19" t="n"/>
      <c r="B1023" s="20" t="n"/>
      <c r="C1023" s="21">
        <f>IFERROR(AVERAGE(P1023:T1023),"")</f>
        <v/>
      </c>
      <c r="D1023" s="29" t="n"/>
      <c r="E1023" s="29" t="n"/>
      <c r="F1023" s="30">
        <f>IF(AND(ISNUMBER($D1023),ISNUMBER($E1023),$E1023&gt;0,$D1023&lt;=$E1023),$D1023/$E1023,"")</f>
        <v/>
      </c>
      <c r="P1023" s="26" t="n"/>
      <c r="Q1023" s="26" t="n"/>
      <c r="R1023" s="26" t="n"/>
      <c r="S1023" s="26" t="n"/>
      <c r="T1023" s="26" t="n"/>
      <c r="V1023" s="27">
        <f>IF(ISNUMBER($C1023),COUNTIFS($A$14:$A$1213,$A1023,$C$14:$C$1213,"&gt;"&amp;$C1023)+(COUNTIFS($A$14:$A$1213,$A1023,$C$14:$C$1213,"="&amp;$C1023)+1)/2,"")</f>
        <v/>
      </c>
      <c r="W1023" s="27">
        <f>IF(ISNUMBER($F1023),COUNTIFS($A$14:$A$1213,$A1023,$F$14:$F$1213,"&gt;"&amp;$F1023)+(COUNTIFS($A$14:$A$1213,$A1023,$F$14:$F$1213,"="&amp;$F1023)+1)/2,"")</f>
        <v/>
      </c>
      <c r="X1023" s="27">
        <f>IF(OR(NOT(ISNUMBER($V1023)),$AO1023=1),"",$V1023-(COUNTIFS($A$14:$A$1213,$A1023,$C$14:$C$1213,"&gt;=0")+1)/2)</f>
        <v/>
      </c>
      <c r="Y1023" s="27">
        <f>IF(OR(NOT(ISNUMBER($W1023)),$AO1023=1),"",$W1023-(COUNTIFS($A$14:$A$1213,$A1023,$F$14:$F$1213,"&gt;=0")+1)/2)</f>
        <v/>
      </c>
      <c r="Z1023" s="27">
        <f>IF(ISNUMBER($V1023),$A1023&amp;"|"&amp;$V1023,"")</f>
        <v/>
      </c>
      <c r="AA1023" s="27">
        <f>IF(ISNUMBER($W1023),$A1023&amp;"|"&amp;$W1023,"")</f>
        <v/>
      </c>
      <c r="AB1023" s="27">
        <f>IF(ISNUMBER($F1023),$A1023&amp;"|"&amp;$F1023,"")</f>
        <v/>
      </c>
      <c r="AC1023" s="27">
        <f>IF(ISNUMBER($P1023),COUNTIFS($A$14:$A$1213,$A1023,$P$14:$P$1213,"&gt;"&amp;$P1023)+(COUNTIFS($A$14:$A$1213,$A1023,$P$14:$P$1213,"="&amp;$P1023)+1)/2,"")</f>
        <v/>
      </c>
      <c r="AD1023" s="27">
        <f>IF(ISNUMBER($Q1023),COUNTIFS($A$14:$A$1213,$A1023,$Q$14:$Q$1213,"&gt;"&amp;$Q1023)+(COUNTIFS($A$14:$A$1213,$A1023,$Q$14:$Q$1213,"="&amp;$Q1023)+1)/2,"")</f>
        <v/>
      </c>
      <c r="AE1023" s="27">
        <f>IF(ISNUMBER($R1023),COUNTIFS($A$14:$A$1213,$A1023,$R$14:$R$1213,"&gt;"&amp;$R1023)+(COUNTIFS($A$14:$A$1213,$A1023,$R$14:$R$1213,"="&amp;$R1023)+1)/2,"")</f>
        <v/>
      </c>
      <c r="AF1023" s="27">
        <f>IF(ISNUMBER($S1023),COUNTIFS($A$14:$A$1213,$A1023,$S$14:$S$1213,"&gt;"&amp;$S1023)+(COUNTIFS($A$14:$A$1213,$A1023,$S$14:$S$1213,"="&amp;$S1023)+1)/2,"")</f>
        <v/>
      </c>
      <c r="AG1023" s="27">
        <f>IF(ISNUMBER($T1023),COUNTIFS($A$14:$A$1213,$A1023,$T$14:$T$1213,"&gt;"&amp;$T1023)+(COUNTIFS($A$14:$A$1213,$A1023,$T$14:$T$1213,"="&amp;$T1023)+1)/2,"")</f>
        <v/>
      </c>
      <c r="AH1023" s="27">
        <f>IF(COUNT($AC1023:$AG1023)&lt;2,"",IF(MAX($AC1023:$AG1023)=MIN($AC1023:$AG1023),0,1))</f>
        <v/>
      </c>
      <c r="AI1023" s="27">
        <f>IF($A1023="","",IF(COUNTIF($A$14:$A1023,$A1023)=1,COUNTIF($AI$13:AI1022,"&gt;0")+1,""))</f>
        <v/>
      </c>
      <c r="AO1023" s="27">
        <f>IF($A1023="","",IF(AND(COUNTIFS($A$14:$A$1213,$A1023,$F$14:$F$1213,"&gt;=0")=2,IFERROR(INDEX($M$14:$M$313,MATCH($A1023,$H$14:$H$313,0)),"Yes")&lt;&gt;"Yes"),1,0))</f>
        <v/>
      </c>
    </row>
    <row r="1024">
      <c r="A1024" s="19" t="n"/>
      <c r="B1024" s="20" t="n"/>
      <c r="C1024" s="21">
        <f>IFERROR(AVERAGE(P1024:T1024),"")</f>
        <v/>
      </c>
      <c r="D1024" s="29" t="n"/>
      <c r="E1024" s="29" t="n"/>
      <c r="F1024" s="30">
        <f>IF(AND(ISNUMBER($D1024),ISNUMBER($E1024),$E1024&gt;0,$D1024&lt;=$E1024),$D1024/$E1024,"")</f>
        <v/>
      </c>
      <c r="P1024" s="26" t="n"/>
      <c r="Q1024" s="26" t="n"/>
      <c r="R1024" s="26" t="n"/>
      <c r="S1024" s="26" t="n"/>
      <c r="T1024" s="26" t="n"/>
      <c r="V1024" s="27">
        <f>IF(ISNUMBER($C1024),COUNTIFS($A$14:$A$1213,$A1024,$C$14:$C$1213,"&gt;"&amp;$C1024)+(COUNTIFS($A$14:$A$1213,$A1024,$C$14:$C$1213,"="&amp;$C1024)+1)/2,"")</f>
        <v/>
      </c>
      <c r="W1024" s="27">
        <f>IF(ISNUMBER($F1024),COUNTIFS($A$14:$A$1213,$A1024,$F$14:$F$1213,"&gt;"&amp;$F1024)+(COUNTIFS($A$14:$A$1213,$A1024,$F$14:$F$1213,"="&amp;$F1024)+1)/2,"")</f>
        <v/>
      </c>
      <c r="X1024" s="27">
        <f>IF(OR(NOT(ISNUMBER($V1024)),$AO1024=1),"",$V1024-(COUNTIFS($A$14:$A$1213,$A1024,$C$14:$C$1213,"&gt;=0")+1)/2)</f>
        <v/>
      </c>
      <c r="Y1024" s="27">
        <f>IF(OR(NOT(ISNUMBER($W1024)),$AO1024=1),"",$W1024-(COUNTIFS($A$14:$A$1213,$A1024,$F$14:$F$1213,"&gt;=0")+1)/2)</f>
        <v/>
      </c>
      <c r="Z1024" s="27">
        <f>IF(ISNUMBER($V1024),$A1024&amp;"|"&amp;$V1024,"")</f>
        <v/>
      </c>
      <c r="AA1024" s="27">
        <f>IF(ISNUMBER($W1024),$A1024&amp;"|"&amp;$W1024,"")</f>
        <v/>
      </c>
      <c r="AB1024" s="27">
        <f>IF(ISNUMBER($F1024),$A1024&amp;"|"&amp;$F1024,"")</f>
        <v/>
      </c>
      <c r="AC1024" s="27">
        <f>IF(ISNUMBER($P1024),COUNTIFS($A$14:$A$1213,$A1024,$P$14:$P$1213,"&gt;"&amp;$P1024)+(COUNTIFS($A$14:$A$1213,$A1024,$P$14:$P$1213,"="&amp;$P1024)+1)/2,"")</f>
        <v/>
      </c>
      <c r="AD1024" s="27">
        <f>IF(ISNUMBER($Q1024),COUNTIFS($A$14:$A$1213,$A1024,$Q$14:$Q$1213,"&gt;"&amp;$Q1024)+(COUNTIFS($A$14:$A$1213,$A1024,$Q$14:$Q$1213,"="&amp;$Q1024)+1)/2,"")</f>
        <v/>
      </c>
      <c r="AE1024" s="27">
        <f>IF(ISNUMBER($R1024),COUNTIFS($A$14:$A$1213,$A1024,$R$14:$R$1213,"&gt;"&amp;$R1024)+(COUNTIFS($A$14:$A$1213,$A1024,$R$14:$R$1213,"="&amp;$R1024)+1)/2,"")</f>
        <v/>
      </c>
      <c r="AF1024" s="27">
        <f>IF(ISNUMBER($S1024),COUNTIFS($A$14:$A$1213,$A1024,$S$14:$S$1213,"&gt;"&amp;$S1024)+(COUNTIFS($A$14:$A$1213,$A1024,$S$14:$S$1213,"="&amp;$S1024)+1)/2,"")</f>
        <v/>
      </c>
      <c r="AG1024" s="27">
        <f>IF(ISNUMBER($T1024),COUNTIFS($A$14:$A$1213,$A1024,$T$14:$T$1213,"&gt;"&amp;$T1024)+(COUNTIFS($A$14:$A$1213,$A1024,$T$14:$T$1213,"="&amp;$T1024)+1)/2,"")</f>
        <v/>
      </c>
      <c r="AH1024" s="27">
        <f>IF(COUNT($AC1024:$AG1024)&lt;2,"",IF(MAX($AC1024:$AG1024)=MIN($AC1024:$AG1024),0,1))</f>
        <v/>
      </c>
      <c r="AI1024" s="27">
        <f>IF($A1024="","",IF(COUNTIF($A$14:$A1024,$A1024)=1,COUNTIF($AI$13:AI1023,"&gt;0")+1,""))</f>
        <v/>
      </c>
      <c r="AO1024" s="27">
        <f>IF($A1024="","",IF(AND(COUNTIFS($A$14:$A$1213,$A1024,$F$14:$F$1213,"&gt;=0")=2,IFERROR(INDEX($M$14:$M$313,MATCH($A1024,$H$14:$H$313,0)),"Yes")&lt;&gt;"Yes"),1,0))</f>
        <v/>
      </c>
    </row>
    <row r="1025">
      <c r="A1025" s="19" t="n"/>
      <c r="B1025" s="20" t="n"/>
      <c r="C1025" s="21">
        <f>IFERROR(AVERAGE(P1025:T1025),"")</f>
        <v/>
      </c>
      <c r="D1025" s="29" t="n"/>
      <c r="E1025" s="29" t="n"/>
      <c r="F1025" s="30">
        <f>IF(AND(ISNUMBER($D1025),ISNUMBER($E1025),$E1025&gt;0,$D1025&lt;=$E1025),$D1025/$E1025,"")</f>
        <v/>
      </c>
      <c r="P1025" s="26" t="n"/>
      <c r="Q1025" s="26" t="n"/>
      <c r="R1025" s="26" t="n"/>
      <c r="S1025" s="26" t="n"/>
      <c r="T1025" s="26" t="n"/>
      <c r="V1025" s="27">
        <f>IF(ISNUMBER($C1025),COUNTIFS($A$14:$A$1213,$A1025,$C$14:$C$1213,"&gt;"&amp;$C1025)+(COUNTIFS($A$14:$A$1213,$A1025,$C$14:$C$1213,"="&amp;$C1025)+1)/2,"")</f>
        <v/>
      </c>
      <c r="W1025" s="27">
        <f>IF(ISNUMBER($F1025),COUNTIFS($A$14:$A$1213,$A1025,$F$14:$F$1213,"&gt;"&amp;$F1025)+(COUNTIFS($A$14:$A$1213,$A1025,$F$14:$F$1213,"="&amp;$F1025)+1)/2,"")</f>
        <v/>
      </c>
      <c r="X1025" s="27">
        <f>IF(OR(NOT(ISNUMBER($V1025)),$AO1025=1),"",$V1025-(COUNTIFS($A$14:$A$1213,$A1025,$C$14:$C$1213,"&gt;=0")+1)/2)</f>
        <v/>
      </c>
      <c r="Y1025" s="27">
        <f>IF(OR(NOT(ISNUMBER($W1025)),$AO1025=1),"",$W1025-(COUNTIFS($A$14:$A$1213,$A1025,$F$14:$F$1213,"&gt;=0")+1)/2)</f>
        <v/>
      </c>
      <c r="Z1025" s="27">
        <f>IF(ISNUMBER($V1025),$A1025&amp;"|"&amp;$V1025,"")</f>
        <v/>
      </c>
      <c r="AA1025" s="27">
        <f>IF(ISNUMBER($W1025),$A1025&amp;"|"&amp;$W1025,"")</f>
        <v/>
      </c>
      <c r="AB1025" s="27">
        <f>IF(ISNUMBER($F1025),$A1025&amp;"|"&amp;$F1025,"")</f>
        <v/>
      </c>
      <c r="AC1025" s="27">
        <f>IF(ISNUMBER($P1025),COUNTIFS($A$14:$A$1213,$A1025,$P$14:$P$1213,"&gt;"&amp;$P1025)+(COUNTIFS($A$14:$A$1213,$A1025,$P$14:$P$1213,"="&amp;$P1025)+1)/2,"")</f>
        <v/>
      </c>
      <c r="AD1025" s="27">
        <f>IF(ISNUMBER($Q1025),COUNTIFS($A$14:$A$1213,$A1025,$Q$14:$Q$1213,"&gt;"&amp;$Q1025)+(COUNTIFS($A$14:$A$1213,$A1025,$Q$14:$Q$1213,"="&amp;$Q1025)+1)/2,"")</f>
        <v/>
      </c>
      <c r="AE1025" s="27">
        <f>IF(ISNUMBER($R1025),COUNTIFS($A$14:$A$1213,$A1025,$R$14:$R$1213,"&gt;"&amp;$R1025)+(COUNTIFS($A$14:$A$1213,$A1025,$R$14:$R$1213,"="&amp;$R1025)+1)/2,"")</f>
        <v/>
      </c>
      <c r="AF1025" s="27">
        <f>IF(ISNUMBER($S1025),COUNTIFS($A$14:$A$1213,$A1025,$S$14:$S$1213,"&gt;"&amp;$S1025)+(COUNTIFS($A$14:$A$1213,$A1025,$S$14:$S$1213,"="&amp;$S1025)+1)/2,"")</f>
        <v/>
      </c>
      <c r="AG1025" s="27">
        <f>IF(ISNUMBER($T1025),COUNTIFS($A$14:$A$1213,$A1025,$T$14:$T$1213,"&gt;"&amp;$T1025)+(COUNTIFS($A$14:$A$1213,$A1025,$T$14:$T$1213,"="&amp;$T1025)+1)/2,"")</f>
        <v/>
      </c>
      <c r="AH1025" s="27">
        <f>IF(COUNT($AC1025:$AG1025)&lt;2,"",IF(MAX($AC1025:$AG1025)=MIN($AC1025:$AG1025),0,1))</f>
        <v/>
      </c>
      <c r="AI1025" s="27">
        <f>IF($A1025="","",IF(COUNTIF($A$14:$A1025,$A1025)=1,COUNTIF($AI$13:AI1024,"&gt;0")+1,""))</f>
        <v/>
      </c>
      <c r="AO1025" s="27">
        <f>IF($A1025="","",IF(AND(COUNTIFS($A$14:$A$1213,$A1025,$F$14:$F$1213,"&gt;=0")=2,IFERROR(INDEX($M$14:$M$313,MATCH($A1025,$H$14:$H$313,0)),"Yes")&lt;&gt;"Yes"),1,0))</f>
        <v/>
      </c>
    </row>
    <row r="1026">
      <c r="A1026" s="19" t="n"/>
      <c r="B1026" s="20" t="n"/>
      <c r="C1026" s="21">
        <f>IFERROR(AVERAGE(P1026:T1026),"")</f>
        <v/>
      </c>
      <c r="D1026" s="29" t="n"/>
      <c r="E1026" s="29" t="n"/>
      <c r="F1026" s="30">
        <f>IF(AND(ISNUMBER($D1026),ISNUMBER($E1026),$E1026&gt;0,$D1026&lt;=$E1026),$D1026/$E1026,"")</f>
        <v/>
      </c>
      <c r="P1026" s="26" t="n"/>
      <c r="Q1026" s="26" t="n"/>
      <c r="R1026" s="26" t="n"/>
      <c r="S1026" s="26" t="n"/>
      <c r="T1026" s="26" t="n"/>
      <c r="V1026" s="27">
        <f>IF(ISNUMBER($C1026),COUNTIFS($A$14:$A$1213,$A1026,$C$14:$C$1213,"&gt;"&amp;$C1026)+(COUNTIFS($A$14:$A$1213,$A1026,$C$14:$C$1213,"="&amp;$C1026)+1)/2,"")</f>
        <v/>
      </c>
      <c r="W1026" s="27">
        <f>IF(ISNUMBER($F1026),COUNTIFS($A$14:$A$1213,$A1026,$F$14:$F$1213,"&gt;"&amp;$F1026)+(COUNTIFS($A$14:$A$1213,$A1026,$F$14:$F$1213,"="&amp;$F1026)+1)/2,"")</f>
        <v/>
      </c>
      <c r="X1026" s="27">
        <f>IF(OR(NOT(ISNUMBER($V1026)),$AO1026=1),"",$V1026-(COUNTIFS($A$14:$A$1213,$A1026,$C$14:$C$1213,"&gt;=0")+1)/2)</f>
        <v/>
      </c>
      <c r="Y1026" s="27">
        <f>IF(OR(NOT(ISNUMBER($W1026)),$AO1026=1),"",$W1026-(COUNTIFS($A$14:$A$1213,$A1026,$F$14:$F$1213,"&gt;=0")+1)/2)</f>
        <v/>
      </c>
      <c r="Z1026" s="27">
        <f>IF(ISNUMBER($V1026),$A1026&amp;"|"&amp;$V1026,"")</f>
        <v/>
      </c>
      <c r="AA1026" s="27">
        <f>IF(ISNUMBER($W1026),$A1026&amp;"|"&amp;$W1026,"")</f>
        <v/>
      </c>
      <c r="AB1026" s="27">
        <f>IF(ISNUMBER($F1026),$A1026&amp;"|"&amp;$F1026,"")</f>
        <v/>
      </c>
      <c r="AC1026" s="27">
        <f>IF(ISNUMBER($P1026),COUNTIFS($A$14:$A$1213,$A1026,$P$14:$P$1213,"&gt;"&amp;$P1026)+(COUNTIFS($A$14:$A$1213,$A1026,$P$14:$P$1213,"="&amp;$P1026)+1)/2,"")</f>
        <v/>
      </c>
      <c r="AD1026" s="27">
        <f>IF(ISNUMBER($Q1026),COUNTIFS($A$14:$A$1213,$A1026,$Q$14:$Q$1213,"&gt;"&amp;$Q1026)+(COUNTIFS($A$14:$A$1213,$A1026,$Q$14:$Q$1213,"="&amp;$Q1026)+1)/2,"")</f>
        <v/>
      </c>
      <c r="AE1026" s="27">
        <f>IF(ISNUMBER($R1026),COUNTIFS($A$14:$A$1213,$A1026,$R$14:$R$1213,"&gt;"&amp;$R1026)+(COUNTIFS($A$14:$A$1213,$A1026,$R$14:$R$1213,"="&amp;$R1026)+1)/2,"")</f>
        <v/>
      </c>
      <c r="AF1026" s="27">
        <f>IF(ISNUMBER($S1026),COUNTIFS($A$14:$A$1213,$A1026,$S$14:$S$1213,"&gt;"&amp;$S1026)+(COUNTIFS($A$14:$A$1213,$A1026,$S$14:$S$1213,"="&amp;$S1026)+1)/2,"")</f>
        <v/>
      </c>
      <c r="AG1026" s="27">
        <f>IF(ISNUMBER($T1026),COUNTIFS($A$14:$A$1213,$A1026,$T$14:$T$1213,"&gt;"&amp;$T1026)+(COUNTIFS($A$14:$A$1213,$A1026,$T$14:$T$1213,"="&amp;$T1026)+1)/2,"")</f>
        <v/>
      </c>
      <c r="AH1026" s="27">
        <f>IF(COUNT($AC1026:$AG1026)&lt;2,"",IF(MAX($AC1026:$AG1026)=MIN($AC1026:$AG1026),0,1))</f>
        <v/>
      </c>
      <c r="AI1026" s="27">
        <f>IF($A1026="","",IF(COUNTIF($A$14:$A1026,$A1026)=1,COUNTIF($AI$13:AI1025,"&gt;0")+1,""))</f>
        <v/>
      </c>
      <c r="AO1026" s="27">
        <f>IF($A1026="","",IF(AND(COUNTIFS($A$14:$A$1213,$A1026,$F$14:$F$1213,"&gt;=0")=2,IFERROR(INDEX($M$14:$M$313,MATCH($A1026,$H$14:$H$313,0)),"Yes")&lt;&gt;"Yes"),1,0))</f>
        <v/>
      </c>
    </row>
    <row r="1027">
      <c r="A1027" s="19" t="n"/>
      <c r="B1027" s="20" t="n"/>
      <c r="C1027" s="21">
        <f>IFERROR(AVERAGE(P1027:T1027),"")</f>
        <v/>
      </c>
      <c r="D1027" s="29" t="n"/>
      <c r="E1027" s="29" t="n"/>
      <c r="F1027" s="30">
        <f>IF(AND(ISNUMBER($D1027),ISNUMBER($E1027),$E1027&gt;0,$D1027&lt;=$E1027),$D1027/$E1027,"")</f>
        <v/>
      </c>
      <c r="P1027" s="26" t="n"/>
      <c r="Q1027" s="26" t="n"/>
      <c r="R1027" s="26" t="n"/>
      <c r="S1027" s="26" t="n"/>
      <c r="T1027" s="26" t="n"/>
      <c r="V1027" s="27">
        <f>IF(ISNUMBER($C1027),COUNTIFS($A$14:$A$1213,$A1027,$C$14:$C$1213,"&gt;"&amp;$C1027)+(COUNTIFS($A$14:$A$1213,$A1027,$C$14:$C$1213,"="&amp;$C1027)+1)/2,"")</f>
        <v/>
      </c>
      <c r="W1027" s="27">
        <f>IF(ISNUMBER($F1027),COUNTIFS($A$14:$A$1213,$A1027,$F$14:$F$1213,"&gt;"&amp;$F1027)+(COUNTIFS($A$14:$A$1213,$A1027,$F$14:$F$1213,"="&amp;$F1027)+1)/2,"")</f>
        <v/>
      </c>
      <c r="X1027" s="27">
        <f>IF(OR(NOT(ISNUMBER($V1027)),$AO1027=1),"",$V1027-(COUNTIFS($A$14:$A$1213,$A1027,$C$14:$C$1213,"&gt;=0")+1)/2)</f>
        <v/>
      </c>
      <c r="Y1027" s="27">
        <f>IF(OR(NOT(ISNUMBER($W1027)),$AO1027=1),"",$W1027-(COUNTIFS($A$14:$A$1213,$A1027,$F$14:$F$1213,"&gt;=0")+1)/2)</f>
        <v/>
      </c>
      <c r="Z1027" s="27">
        <f>IF(ISNUMBER($V1027),$A1027&amp;"|"&amp;$V1027,"")</f>
        <v/>
      </c>
      <c r="AA1027" s="27">
        <f>IF(ISNUMBER($W1027),$A1027&amp;"|"&amp;$W1027,"")</f>
        <v/>
      </c>
      <c r="AB1027" s="27">
        <f>IF(ISNUMBER($F1027),$A1027&amp;"|"&amp;$F1027,"")</f>
        <v/>
      </c>
      <c r="AC1027" s="27">
        <f>IF(ISNUMBER($P1027),COUNTIFS($A$14:$A$1213,$A1027,$P$14:$P$1213,"&gt;"&amp;$P1027)+(COUNTIFS($A$14:$A$1213,$A1027,$P$14:$P$1213,"="&amp;$P1027)+1)/2,"")</f>
        <v/>
      </c>
      <c r="AD1027" s="27">
        <f>IF(ISNUMBER($Q1027),COUNTIFS($A$14:$A$1213,$A1027,$Q$14:$Q$1213,"&gt;"&amp;$Q1027)+(COUNTIFS($A$14:$A$1213,$A1027,$Q$14:$Q$1213,"="&amp;$Q1027)+1)/2,"")</f>
        <v/>
      </c>
      <c r="AE1027" s="27">
        <f>IF(ISNUMBER($R1027),COUNTIFS($A$14:$A$1213,$A1027,$R$14:$R$1213,"&gt;"&amp;$R1027)+(COUNTIFS($A$14:$A$1213,$A1027,$R$14:$R$1213,"="&amp;$R1027)+1)/2,"")</f>
        <v/>
      </c>
      <c r="AF1027" s="27">
        <f>IF(ISNUMBER($S1027),COUNTIFS($A$14:$A$1213,$A1027,$S$14:$S$1213,"&gt;"&amp;$S1027)+(COUNTIFS($A$14:$A$1213,$A1027,$S$14:$S$1213,"="&amp;$S1027)+1)/2,"")</f>
        <v/>
      </c>
      <c r="AG1027" s="27">
        <f>IF(ISNUMBER($T1027),COUNTIFS($A$14:$A$1213,$A1027,$T$14:$T$1213,"&gt;"&amp;$T1027)+(COUNTIFS($A$14:$A$1213,$A1027,$T$14:$T$1213,"="&amp;$T1027)+1)/2,"")</f>
        <v/>
      </c>
      <c r="AH1027" s="27">
        <f>IF(COUNT($AC1027:$AG1027)&lt;2,"",IF(MAX($AC1027:$AG1027)=MIN($AC1027:$AG1027),0,1))</f>
        <v/>
      </c>
      <c r="AI1027" s="27">
        <f>IF($A1027="","",IF(COUNTIF($A$14:$A1027,$A1027)=1,COUNTIF($AI$13:AI1026,"&gt;0")+1,""))</f>
        <v/>
      </c>
      <c r="AO1027" s="27">
        <f>IF($A1027="","",IF(AND(COUNTIFS($A$14:$A$1213,$A1027,$F$14:$F$1213,"&gt;=0")=2,IFERROR(INDEX($M$14:$M$313,MATCH($A1027,$H$14:$H$313,0)),"Yes")&lt;&gt;"Yes"),1,0))</f>
        <v/>
      </c>
    </row>
    <row r="1028">
      <c r="A1028" s="19" t="n"/>
      <c r="B1028" s="20" t="n"/>
      <c r="C1028" s="21">
        <f>IFERROR(AVERAGE(P1028:T1028),"")</f>
        <v/>
      </c>
      <c r="D1028" s="29" t="n"/>
      <c r="E1028" s="29" t="n"/>
      <c r="F1028" s="30">
        <f>IF(AND(ISNUMBER($D1028),ISNUMBER($E1028),$E1028&gt;0,$D1028&lt;=$E1028),$D1028/$E1028,"")</f>
        <v/>
      </c>
      <c r="P1028" s="26" t="n"/>
      <c r="Q1028" s="26" t="n"/>
      <c r="R1028" s="26" t="n"/>
      <c r="S1028" s="26" t="n"/>
      <c r="T1028" s="26" t="n"/>
      <c r="V1028" s="27">
        <f>IF(ISNUMBER($C1028),COUNTIFS($A$14:$A$1213,$A1028,$C$14:$C$1213,"&gt;"&amp;$C1028)+(COUNTIFS($A$14:$A$1213,$A1028,$C$14:$C$1213,"="&amp;$C1028)+1)/2,"")</f>
        <v/>
      </c>
      <c r="W1028" s="27">
        <f>IF(ISNUMBER($F1028),COUNTIFS($A$14:$A$1213,$A1028,$F$14:$F$1213,"&gt;"&amp;$F1028)+(COUNTIFS($A$14:$A$1213,$A1028,$F$14:$F$1213,"="&amp;$F1028)+1)/2,"")</f>
        <v/>
      </c>
      <c r="X1028" s="27">
        <f>IF(OR(NOT(ISNUMBER($V1028)),$AO1028=1),"",$V1028-(COUNTIFS($A$14:$A$1213,$A1028,$C$14:$C$1213,"&gt;=0")+1)/2)</f>
        <v/>
      </c>
      <c r="Y1028" s="27">
        <f>IF(OR(NOT(ISNUMBER($W1028)),$AO1028=1),"",$W1028-(COUNTIFS($A$14:$A$1213,$A1028,$F$14:$F$1213,"&gt;=0")+1)/2)</f>
        <v/>
      </c>
      <c r="Z1028" s="27">
        <f>IF(ISNUMBER($V1028),$A1028&amp;"|"&amp;$V1028,"")</f>
        <v/>
      </c>
      <c r="AA1028" s="27">
        <f>IF(ISNUMBER($W1028),$A1028&amp;"|"&amp;$W1028,"")</f>
        <v/>
      </c>
      <c r="AB1028" s="27">
        <f>IF(ISNUMBER($F1028),$A1028&amp;"|"&amp;$F1028,"")</f>
        <v/>
      </c>
      <c r="AC1028" s="27">
        <f>IF(ISNUMBER($P1028),COUNTIFS($A$14:$A$1213,$A1028,$P$14:$P$1213,"&gt;"&amp;$P1028)+(COUNTIFS($A$14:$A$1213,$A1028,$P$14:$P$1213,"="&amp;$P1028)+1)/2,"")</f>
        <v/>
      </c>
      <c r="AD1028" s="27">
        <f>IF(ISNUMBER($Q1028),COUNTIFS($A$14:$A$1213,$A1028,$Q$14:$Q$1213,"&gt;"&amp;$Q1028)+(COUNTIFS($A$14:$A$1213,$A1028,$Q$14:$Q$1213,"="&amp;$Q1028)+1)/2,"")</f>
        <v/>
      </c>
      <c r="AE1028" s="27">
        <f>IF(ISNUMBER($R1028),COUNTIFS($A$14:$A$1213,$A1028,$R$14:$R$1213,"&gt;"&amp;$R1028)+(COUNTIFS($A$14:$A$1213,$A1028,$R$14:$R$1213,"="&amp;$R1028)+1)/2,"")</f>
        <v/>
      </c>
      <c r="AF1028" s="27">
        <f>IF(ISNUMBER($S1028),COUNTIFS($A$14:$A$1213,$A1028,$S$14:$S$1213,"&gt;"&amp;$S1028)+(COUNTIFS($A$14:$A$1213,$A1028,$S$14:$S$1213,"="&amp;$S1028)+1)/2,"")</f>
        <v/>
      </c>
      <c r="AG1028" s="27">
        <f>IF(ISNUMBER($T1028),COUNTIFS($A$14:$A$1213,$A1028,$T$14:$T$1213,"&gt;"&amp;$T1028)+(COUNTIFS($A$14:$A$1213,$A1028,$T$14:$T$1213,"="&amp;$T1028)+1)/2,"")</f>
        <v/>
      </c>
      <c r="AH1028" s="27">
        <f>IF(COUNT($AC1028:$AG1028)&lt;2,"",IF(MAX($AC1028:$AG1028)=MIN($AC1028:$AG1028),0,1))</f>
        <v/>
      </c>
      <c r="AI1028" s="27">
        <f>IF($A1028="","",IF(COUNTIF($A$14:$A1028,$A1028)=1,COUNTIF($AI$13:AI1027,"&gt;0")+1,""))</f>
        <v/>
      </c>
      <c r="AO1028" s="27">
        <f>IF($A1028="","",IF(AND(COUNTIFS($A$14:$A$1213,$A1028,$F$14:$F$1213,"&gt;=0")=2,IFERROR(INDEX($M$14:$M$313,MATCH($A1028,$H$14:$H$313,0)),"Yes")&lt;&gt;"Yes"),1,0))</f>
        <v/>
      </c>
    </row>
    <row r="1029">
      <c r="A1029" s="19" t="n"/>
      <c r="B1029" s="20" t="n"/>
      <c r="C1029" s="21">
        <f>IFERROR(AVERAGE(P1029:T1029),"")</f>
        <v/>
      </c>
      <c r="D1029" s="29" t="n"/>
      <c r="E1029" s="29" t="n"/>
      <c r="F1029" s="30">
        <f>IF(AND(ISNUMBER($D1029),ISNUMBER($E1029),$E1029&gt;0,$D1029&lt;=$E1029),$D1029/$E1029,"")</f>
        <v/>
      </c>
      <c r="P1029" s="26" t="n"/>
      <c r="Q1029" s="26" t="n"/>
      <c r="R1029" s="26" t="n"/>
      <c r="S1029" s="26" t="n"/>
      <c r="T1029" s="26" t="n"/>
      <c r="V1029" s="27">
        <f>IF(ISNUMBER($C1029),COUNTIFS($A$14:$A$1213,$A1029,$C$14:$C$1213,"&gt;"&amp;$C1029)+(COUNTIFS($A$14:$A$1213,$A1029,$C$14:$C$1213,"="&amp;$C1029)+1)/2,"")</f>
        <v/>
      </c>
      <c r="W1029" s="27">
        <f>IF(ISNUMBER($F1029),COUNTIFS($A$14:$A$1213,$A1029,$F$14:$F$1213,"&gt;"&amp;$F1029)+(COUNTIFS($A$14:$A$1213,$A1029,$F$14:$F$1213,"="&amp;$F1029)+1)/2,"")</f>
        <v/>
      </c>
      <c r="X1029" s="27">
        <f>IF(OR(NOT(ISNUMBER($V1029)),$AO1029=1),"",$V1029-(COUNTIFS($A$14:$A$1213,$A1029,$C$14:$C$1213,"&gt;=0")+1)/2)</f>
        <v/>
      </c>
      <c r="Y1029" s="27">
        <f>IF(OR(NOT(ISNUMBER($W1029)),$AO1029=1),"",$W1029-(COUNTIFS($A$14:$A$1213,$A1029,$F$14:$F$1213,"&gt;=0")+1)/2)</f>
        <v/>
      </c>
      <c r="Z1029" s="27">
        <f>IF(ISNUMBER($V1029),$A1029&amp;"|"&amp;$V1029,"")</f>
        <v/>
      </c>
      <c r="AA1029" s="27">
        <f>IF(ISNUMBER($W1029),$A1029&amp;"|"&amp;$W1029,"")</f>
        <v/>
      </c>
      <c r="AB1029" s="27">
        <f>IF(ISNUMBER($F1029),$A1029&amp;"|"&amp;$F1029,"")</f>
        <v/>
      </c>
      <c r="AC1029" s="27">
        <f>IF(ISNUMBER($P1029),COUNTIFS($A$14:$A$1213,$A1029,$P$14:$P$1213,"&gt;"&amp;$P1029)+(COUNTIFS($A$14:$A$1213,$A1029,$P$14:$P$1213,"="&amp;$P1029)+1)/2,"")</f>
        <v/>
      </c>
      <c r="AD1029" s="27">
        <f>IF(ISNUMBER($Q1029),COUNTIFS($A$14:$A$1213,$A1029,$Q$14:$Q$1213,"&gt;"&amp;$Q1029)+(COUNTIFS($A$14:$A$1213,$A1029,$Q$14:$Q$1213,"="&amp;$Q1029)+1)/2,"")</f>
        <v/>
      </c>
      <c r="AE1029" s="27">
        <f>IF(ISNUMBER($R1029),COUNTIFS($A$14:$A$1213,$A1029,$R$14:$R$1213,"&gt;"&amp;$R1029)+(COUNTIFS($A$14:$A$1213,$A1029,$R$14:$R$1213,"="&amp;$R1029)+1)/2,"")</f>
        <v/>
      </c>
      <c r="AF1029" s="27">
        <f>IF(ISNUMBER($S1029),COUNTIFS($A$14:$A$1213,$A1029,$S$14:$S$1213,"&gt;"&amp;$S1029)+(COUNTIFS($A$14:$A$1213,$A1029,$S$14:$S$1213,"="&amp;$S1029)+1)/2,"")</f>
        <v/>
      </c>
      <c r="AG1029" s="27">
        <f>IF(ISNUMBER($T1029),COUNTIFS($A$14:$A$1213,$A1029,$T$14:$T$1213,"&gt;"&amp;$T1029)+(COUNTIFS($A$14:$A$1213,$A1029,$T$14:$T$1213,"="&amp;$T1029)+1)/2,"")</f>
        <v/>
      </c>
      <c r="AH1029" s="27">
        <f>IF(COUNT($AC1029:$AG1029)&lt;2,"",IF(MAX($AC1029:$AG1029)=MIN($AC1029:$AG1029),0,1))</f>
        <v/>
      </c>
      <c r="AI1029" s="27">
        <f>IF($A1029="","",IF(COUNTIF($A$14:$A1029,$A1029)=1,COUNTIF($AI$13:AI1028,"&gt;0")+1,""))</f>
        <v/>
      </c>
      <c r="AO1029" s="27">
        <f>IF($A1029="","",IF(AND(COUNTIFS($A$14:$A$1213,$A1029,$F$14:$F$1213,"&gt;=0")=2,IFERROR(INDEX($M$14:$M$313,MATCH($A1029,$H$14:$H$313,0)),"Yes")&lt;&gt;"Yes"),1,0))</f>
        <v/>
      </c>
    </row>
    <row r="1030">
      <c r="A1030" s="19" t="n"/>
      <c r="B1030" s="20" t="n"/>
      <c r="C1030" s="21">
        <f>IFERROR(AVERAGE(P1030:T1030),"")</f>
        <v/>
      </c>
      <c r="D1030" s="29" t="n"/>
      <c r="E1030" s="29" t="n"/>
      <c r="F1030" s="30">
        <f>IF(AND(ISNUMBER($D1030),ISNUMBER($E1030),$E1030&gt;0,$D1030&lt;=$E1030),$D1030/$E1030,"")</f>
        <v/>
      </c>
      <c r="P1030" s="26" t="n"/>
      <c r="Q1030" s="26" t="n"/>
      <c r="R1030" s="26" t="n"/>
      <c r="S1030" s="26" t="n"/>
      <c r="T1030" s="26" t="n"/>
      <c r="V1030" s="27">
        <f>IF(ISNUMBER($C1030),COUNTIFS($A$14:$A$1213,$A1030,$C$14:$C$1213,"&gt;"&amp;$C1030)+(COUNTIFS($A$14:$A$1213,$A1030,$C$14:$C$1213,"="&amp;$C1030)+1)/2,"")</f>
        <v/>
      </c>
      <c r="W1030" s="27">
        <f>IF(ISNUMBER($F1030),COUNTIFS($A$14:$A$1213,$A1030,$F$14:$F$1213,"&gt;"&amp;$F1030)+(COUNTIFS($A$14:$A$1213,$A1030,$F$14:$F$1213,"="&amp;$F1030)+1)/2,"")</f>
        <v/>
      </c>
      <c r="X1030" s="27">
        <f>IF(OR(NOT(ISNUMBER($V1030)),$AO1030=1),"",$V1030-(COUNTIFS($A$14:$A$1213,$A1030,$C$14:$C$1213,"&gt;=0")+1)/2)</f>
        <v/>
      </c>
      <c r="Y1030" s="27">
        <f>IF(OR(NOT(ISNUMBER($W1030)),$AO1030=1),"",$W1030-(COUNTIFS($A$14:$A$1213,$A1030,$F$14:$F$1213,"&gt;=0")+1)/2)</f>
        <v/>
      </c>
      <c r="Z1030" s="27">
        <f>IF(ISNUMBER($V1030),$A1030&amp;"|"&amp;$V1030,"")</f>
        <v/>
      </c>
      <c r="AA1030" s="27">
        <f>IF(ISNUMBER($W1030),$A1030&amp;"|"&amp;$W1030,"")</f>
        <v/>
      </c>
      <c r="AB1030" s="27">
        <f>IF(ISNUMBER($F1030),$A1030&amp;"|"&amp;$F1030,"")</f>
        <v/>
      </c>
      <c r="AC1030" s="27">
        <f>IF(ISNUMBER($P1030),COUNTIFS($A$14:$A$1213,$A1030,$P$14:$P$1213,"&gt;"&amp;$P1030)+(COUNTIFS($A$14:$A$1213,$A1030,$P$14:$P$1213,"="&amp;$P1030)+1)/2,"")</f>
        <v/>
      </c>
      <c r="AD1030" s="27">
        <f>IF(ISNUMBER($Q1030),COUNTIFS($A$14:$A$1213,$A1030,$Q$14:$Q$1213,"&gt;"&amp;$Q1030)+(COUNTIFS($A$14:$A$1213,$A1030,$Q$14:$Q$1213,"="&amp;$Q1030)+1)/2,"")</f>
        <v/>
      </c>
      <c r="AE1030" s="27">
        <f>IF(ISNUMBER($R1030),COUNTIFS($A$14:$A$1213,$A1030,$R$14:$R$1213,"&gt;"&amp;$R1030)+(COUNTIFS($A$14:$A$1213,$A1030,$R$14:$R$1213,"="&amp;$R1030)+1)/2,"")</f>
        <v/>
      </c>
      <c r="AF1030" s="27">
        <f>IF(ISNUMBER($S1030),COUNTIFS($A$14:$A$1213,$A1030,$S$14:$S$1213,"&gt;"&amp;$S1030)+(COUNTIFS($A$14:$A$1213,$A1030,$S$14:$S$1213,"="&amp;$S1030)+1)/2,"")</f>
        <v/>
      </c>
      <c r="AG1030" s="27">
        <f>IF(ISNUMBER($T1030),COUNTIFS($A$14:$A$1213,$A1030,$T$14:$T$1213,"&gt;"&amp;$T1030)+(COUNTIFS($A$14:$A$1213,$A1030,$T$14:$T$1213,"="&amp;$T1030)+1)/2,"")</f>
        <v/>
      </c>
      <c r="AH1030" s="27">
        <f>IF(COUNT($AC1030:$AG1030)&lt;2,"",IF(MAX($AC1030:$AG1030)=MIN($AC1030:$AG1030),0,1))</f>
        <v/>
      </c>
      <c r="AI1030" s="27">
        <f>IF($A1030="","",IF(COUNTIF($A$14:$A1030,$A1030)=1,COUNTIF($AI$13:AI1029,"&gt;0")+1,""))</f>
        <v/>
      </c>
      <c r="AO1030" s="27">
        <f>IF($A1030="","",IF(AND(COUNTIFS($A$14:$A$1213,$A1030,$F$14:$F$1213,"&gt;=0")=2,IFERROR(INDEX($M$14:$M$313,MATCH($A1030,$H$14:$H$313,0)),"Yes")&lt;&gt;"Yes"),1,0))</f>
        <v/>
      </c>
    </row>
    <row r="1031">
      <c r="A1031" s="19" t="n"/>
      <c r="B1031" s="20" t="n"/>
      <c r="C1031" s="21">
        <f>IFERROR(AVERAGE(P1031:T1031),"")</f>
        <v/>
      </c>
      <c r="D1031" s="29" t="n"/>
      <c r="E1031" s="29" t="n"/>
      <c r="F1031" s="30">
        <f>IF(AND(ISNUMBER($D1031),ISNUMBER($E1031),$E1031&gt;0,$D1031&lt;=$E1031),$D1031/$E1031,"")</f>
        <v/>
      </c>
      <c r="P1031" s="26" t="n"/>
      <c r="Q1031" s="26" t="n"/>
      <c r="R1031" s="26" t="n"/>
      <c r="S1031" s="26" t="n"/>
      <c r="T1031" s="26" t="n"/>
      <c r="V1031" s="27">
        <f>IF(ISNUMBER($C1031),COUNTIFS($A$14:$A$1213,$A1031,$C$14:$C$1213,"&gt;"&amp;$C1031)+(COUNTIFS($A$14:$A$1213,$A1031,$C$14:$C$1213,"="&amp;$C1031)+1)/2,"")</f>
        <v/>
      </c>
      <c r="W1031" s="27">
        <f>IF(ISNUMBER($F1031),COUNTIFS($A$14:$A$1213,$A1031,$F$14:$F$1213,"&gt;"&amp;$F1031)+(COUNTIFS($A$14:$A$1213,$A1031,$F$14:$F$1213,"="&amp;$F1031)+1)/2,"")</f>
        <v/>
      </c>
      <c r="X1031" s="27">
        <f>IF(OR(NOT(ISNUMBER($V1031)),$AO1031=1),"",$V1031-(COUNTIFS($A$14:$A$1213,$A1031,$C$14:$C$1213,"&gt;=0")+1)/2)</f>
        <v/>
      </c>
      <c r="Y1031" s="27">
        <f>IF(OR(NOT(ISNUMBER($W1031)),$AO1031=1),"",$W1031-(COUNTIFS($A$14:$A$1213,$A1031,$F$14:$F$1213,"&gt;=0")+1)/2)</f>
        <v/>
      </c>
      <c r="Z1031" s="27">
        <f>IF(ISNUMBER($V1031),$A1031&amp;"|"&amp;$V1031,"")</f>
        <v/>
      </c>
      <c r="AA1031" s="27">
        <f>IF(ISNUMBER($W1031),$A1031&amp;"|"&amp;$W1031,"")</f>
        <v/>
      </c>
      <c r="AB1031" s="27">
        <f>IF(ISNUMBER($F1031),$A1031&amp;"|"&amp;$F1031,"")</f>
        <v/>
      </c>
      <c r="AC1031" s="27">
        <f>IF(ISNUMBER($P1031),COUNTIFS($A$14:$A$1213,$A1031,$P$14:$P$1213,"&gt;"&amp;$P1031)+(COUNTIFS($A$14:$A$1213,$A1031,$P$14:$P$1213,"="&amp;$P1031)+1)/2,"")</f>
        <v/>
      </c>
      <c r="AD1031" s="27">
        <f>IF(ISNUMBER($Q1031),COUNTIFS($A$14:$A$1213,$A1031,$Q$14:$Q$1213,"&gt;"&amp;$Q1031)+(COUNTIFS($A$14:$A$1213,$A1031,$Q$14:$Q$1213,"="&amp;$Q1031)+1)/2,"")</f>
        <v/>
      </c>
      <c r="AE1031" s="27">
        <f>IF(ISNUMBER($R1031),COUNTIFS($A$14:$A$1213,$A1031,$R$14:$R$1213,"&gt;"&amp;$R1031)+(COUNTIFS($A$14:$A$1213,$A1031,$R$14:$R$1213,"="&amp;$R1031)+1)/2,"")</f>
        <v/>
      </c>
      <c r="AF1031" s="27">
        <f>IF(ISNUMBER($S1031),COUNTIFS($A$14:$A$1213,$A1031,$S$14:$S$1213,"&gt;"&amp;$S1031)+(COUNTIFS($A$14:$A$1213,$A1031,$S$14:$S$1213,"="&amp;$S1031)+1)/2,"")</f>
        <v/>
      </c>
      <c r="AG1031" s="27">
        <f>IF(ISNUMBER($T1031),COUNTIFS($A$14:$A$1213,$A1031,$T$14:$T$1213,"&gt;"&amp;$T1031)+(COUNTIFS($A$14:$A$1213,$A1031,$T$14:$T$1213,"="&amp;$T1031)+1)/2,"")</f>
        <v/>
      </c>
      <c r="AH1031" s="27">
        <f>IF(COUNT($AC1031:$AG1031)&lt;2,"",IF(MAX($AC1031:$AG1031)=MIN($AC1031:$AG1031),0,1))</f>
        <v/>
      </c>
      <c r="AI1031" s="27">
        <f>IF($A1031="","",IF(COUNTIF($A$14:$A1031,$A1031)=1,COUNTIF($AI$13:AI1030,"&gt;0")+1,""))</f>
        <v/>
      </c>
      <c r="AO1031" s="27">
        <f>IF($A1031="","",IF(AND(COUNTIFS($A$14:$A$1213,$A1031,$F$14:$F$1213,"&gt;=0")=2,IFERROR(INDEX($M$14:$M$313,MATCH($A1031,$H$14:$H$313,0)),"Yes")&lt;&gt;"Yes"),1,0))</f>
        <v/>
      </c>
    </row>
    <row r="1032">
      <c r="A1032" s="19" t="n"/>
      <c r="B1032" s="20" t="n"/>
      <c r="C1032" s="21">
        <f>IFERROR(AVERAGE(P1032:T1032),"")</f>
        <v/>
      </c>
      <c r="D1032" s="29" t="n"/>
      <c r="E1032" s="29" t="n"/>
      <c r="F1032" s="30">
        <f>IF(AND(ISNUMBER($D1032),ISNUMBER($E1032),$E1032&gt;0,$D1032&lt;=$E1032),$D1032/$E1032,"")</f>
        <v/>
      </c>
      <c r="P1032" s="26" t="n"/>
      <c r="Q1032" s="26" t="n"/>
      <c r="R1032" s="26" t="n"/>
      <c r="S1032" s="26" t="n"/>
      <c r="T1032" s="26" t="n"/>
      <c r="V1032" s="27">
        <f>IF(ISNUMBER($C1032),COUNTIFS($A$14:$A$1213,$A1032,$C$14:$C$1213,"&gt;"&amp;$C1032)+(COUNTIFS($A$14:$A$1213,$A1032,$C$14:$C$1213,"="&amp;$C1032)+1)/2,"")</f>
        <v/>
      </c>
      <c r="W1032" s="27">
        <f>IF(ISNUMBER($F1032),COUNTIFS($A$14:$A$1213,$A1032,$F$14:$F$1213,"&gt;"&amp;$F1032)+(COUNTIFS($A$14:$A$1213,$A1032,$F$14:$F$1213,"="&amp;$F1032)+1)/2,"")</f>
        <v/>
      </c>
      <c r="X1032" s="27">
        <f>IF(OR(NOT(ISNUMBER($V1032)),$AO1032=1),"",$V1032-(COUNTIFS($A$14:$A$1213,$A1032,$C$14:$C$1213,"&gt;=0")+1)/2)</f>
        <v/>
      </c>
      <c r="Y1032" s="27">
        <f>IF(OR(NOT(ISNUMBER($W1032)),$AO1032=1),"",$W1032-(COUNTIFS($A$14:$A$1213,$A1032,$F$14:$F$1213,"&gt;=0")+1)/2)</f>
        <v/>
      </c>
      <c r="Z1032" s="27">
        <f>IF(ISNUMBER($V1032),$A1032&amp;"|"&amp;$V1032,"")</f>
        <v/>
      </c>
      <c r="AA1032" s="27">
        <f>IF(ISNUMBER($W1032),$A1032&amp;"|"&amp;$W1032,"")</f>
        <v/>
      </c>
      <c r="AB1032" s="27">
        <f>IF(ISNUMBER($F1032),$A1032&amp;"|"&amp;$F1032,"")</f>
        <v/>
      </c>
      <c r="AC1032" s="27">
        <f>IF(ISNUMBER($P1032),COUNTIFS($A$14:$A$1213,$A1032,$P$14:$P$1213,"&gt;"&amp;$P1032)+(COUNTIFS($A$14:$A$1213,$A1032,$P$14:$P$1213,"="&amp;$P1032)+1)/2,"")</f>
        <v/>
      </c>
      <c r="AD1032" s="27">
        <f>IF(ISNUMBER($Q1032),COUNTIFS($A$14:$A$1213,$A1032,$Q$14:$Q$1213,"&gt;"&amp;$Q1032)+(COUNTIFS($A$14:$A$1213,$A1032,$Q$14:$Q$1213,"="&amp;$Q1032)+1)/2,"")</f>
        <v/>
      </c>
      <c r="AE1032" s="27">
        <f>IF(ISNUMBER($R1032),COUNTIFS($A$14:$A$1213,$A1032,$R$14:$R$1213,"&gt;"&amp;$R1032)+(COUNTIFS($A$14:$A$1213,$A1032,$R$14:$R$1213,"="&amp;$R1032)+1)/2,"")</f>
        <v/>
      </c>
      <c r="AF1032" s="27">
        <f>IF(ISNUMBER($S1032),COUNTIFS($A$14:$A$1213,$A1032,$S$14:$S$1213,"&gt;"&amp;$S1032)+(COUNTIFS($A$14:$A$1213,$A1032,$S$14:$S$1213,"="&amp;$S1032)+1)/2,"")</f>
        <v/>
      </c>
      <c r="AG1032" s="27">
        <f>IF(ISNUMBER($T1032),COUNTIFS($A$14:$A$1213,$A1032,$T$14:$T$1213,"&gt;"&amp;$T1032)+(COUNTIFS($A$14:$A$1213,$A1032,$T$14:$T$1213,"="&amp;$T1032)+1)/2,"")</f>
        <v/>
      </c>
      <c r="AH1032" s="27">
        <f>IF(COUNT($AC1032:$AG1032)&lt;2,"",IF(MAX($AC1032:$AG1032)=MIN($AC1032:$AG1032),0,1))</f>
        <v/>
      </c>
      <c r="AI1032" s="27">
        <f>IF($A1032="","",IF(COUNTIF($A$14:$A1032,$A1032)=1,COUNTIF($AI$13:AI1031,"&gt;0")+1,""))</f>
        <v/>
      </c>
      <c r="AO1032" s="27">
        <f>IF($A1032="","",IF(AND(COUNTIFS($A$14:$A$1213,$A1032,$F$14:$F$1213,"&gt;=0")=2,IFERROR(INDEX($M$14:$M$313,MATCH($A1032,$H$14:$H$313,0)),"Yes")&lt;&gt;"Yes"),1,0))</f>
        <v/>
      </c>
    </row>
    <row r="1033">
      <c r="A1033" s="19" t="n"/>
      <c r="B1033" s="20" t="n"/>
      <c r="C1033" s="21">
        <f>IFERROR(AVERAGE(P1033:T1033),"")</f>
        <v/>
      </c>
      <c r="D1033" s="29" t="n"/>
      <c r="E1033" s="29" t="n"/>
      <c r="F1033" s="30">
        <f>IF(AND(ISNUMBER($D1033),ISNUMBER($E1033),$E1033&gt;0,$D1033&lt;=$E1033),$D1033/$E1033,"")</f>
        <v/>
      </c>
      <c r="P1033" s="26" t="n"/>
      <c r="Q1033" s="26" t="n"/>
      <c r="R1033" s="26" t="n"/>
      <c r="S1033" s="26" t="n"/>
      <c r="T1033" s="26" t="n"/>
      <c r="V1033" s="27">
        <f>IF(ISNUMBER($C1033),COUNTIFS($A$14:$A$1213,$A1033,$C$14:$C$1213,"&gt;"&amp;$C1033)+(COUNTIFS($A$14:$A$1213,$A1033,$C$14:$C$1213,"="&amp;$C1033)+1)/2,"")</f>
        <v/>
      </c>
      <c r="W1033" s="27">
        <f>IF(ISNUMBER($F1033),COUNTIFS($A$14:$A$1213,$A1033,$F$14:$F$1213,"&gt;"&amp;$F1033)+(COUNTIFS($A$14:$A$1213,$A1033,$F$14:$F$1213,"="&amp;$F1033)+1)/2,"")</f>
        <v/>
      </c>
      <c r="X1033" s="27">
        <f>IF(OR(NOT(ISNUMBER($V1033)),$AO1033=1),"",$V1033-(COUNTIFS($A$14:$A$1213,$A1033,$C$14:$C$1213,"&gt;=0")+1)/2)</f>
        <v/>
      </c>
      <c r="Y1033" s="27">
        <f>IF(OR(NOT(ISNUMBER($W1033)),$AO1033=1),"",$W1033-(COUNTIFS($A$14:$A$1213,$A1033,$F$14:$F$1213,"&gt;=0")+1)/2)</f>
        <v/>
      </c>
      <c r="Z1033" s="27">
        <f>IF(ISNUMBER($V1033),$A1033&amp;"|"&amp;$V1033,"")</f>
        <v/>
      </c>
      <c r="AA1033" s="27">
        <f>IF(ISNUMBER($W1033),$A1033&amp;"|"&amp;$W1033,"")</f>
        <v/>
      </c>
      <c r="AB1033" s="27">
        <f>IF(ISNUMBER($F1033),$A1033&amp;"|"&amp;$F1033,"")</f>
        <v/>
      </c>
      <c r="AC1033" s="27">
        <f>IF(ISNUMBER($P1033),COUNTIFS($A$14:$A$1213,$A1033,$P$14:$P$1213,"&gt;"&amp;$P1033)+(COUNTIFS($A$14:$A$1213,$A1033,$P$14:$P$1213,"="&amp;$P1033)+1)/2,"")</f>
        <v/>
      </c>
      <c r="AD1033" s="27">
        <f>IF(ISNUMBER($Q1033),COUNTIFS($A$14:$A$1213,$A1033,$Q$14:$Q$1213,"&gt;"&amp;$Q1033)+(COUNTIFS($A$14:$A$1213,$A1033,$Q$14:$Q$1213,"="&amp;$Q1033)+1)/2,"")</f>
        <v/>
      </c>
      <c r="AE1033" s="27">
        <f>IF(ISNUMBER($R1033),COUNTIFS($A$14:$A$1213,$A1033,$R$14:$R$1213,"&gt;"&amp;$R1033)+(COUNTIFS($A$14:$A$1213,$A1033,$R$14:$R$1213,"="&amp;$R1033)+1)/2,"")</f>
        <v/>
      </c>
      <c r="AF1033" s="27">
        <f>IF(ISNUMBER($S1033),COUNTIFS($A$14:$A$1213,$A1033,$S$14:$S$1213,"&gt;"&amp;$S1033)+(COUNTIFS($A$14:$A$1213,$A1033,$S$14:$S$1213,"="&amp;$S1033)+1)/2,"")</f>
        <v/>
      </c>
      <c r="AG1033" s="27">
        <f>IF(ISNUMBER($T1033),COUNTIFS($A$14:$A$1213,$A1033,$T$14:$T$1213,"&gt;"&amp;$T1033)+(COUNTIFS($A$14:$A$1213,$A1033,$T$14:$T$1213,"="&amp;$T1033)+1)/2,"")</f>
        <v/>
      </c>
      <c r="AH1033" s="27">
        <f>IF(COUNT($AC1033:$AG1033)&lt;2,"",IF(MAX($AC1033:$AG1033)=MIN($AC1033:$AG1033),0,1))</f>
        <v/>
      </c>
      <c r="AI1033" s="27">
        <f>IF($A1033="","",IF(COUNTIF($A$14:$A1033,$A1033)=1,COUNTIF($AI$13:AI1032,"&gt;0")+1,""))</f>
        <v/>
      </c>
      <c r="AO1033" s="27">
        <f>IF($A1033="","",IF(AND(COUNTIFS($A$14:$A$1213,$A1033,$F$14:$F$1213,"&gt;=0")=2,IFERROR(INDEX($M$14:$M$313,MATCH($A1033,$H$14:$H$313,0)),"Yes")&lt;&gt;"Yes"),1,0))</f>
        <v/>
      </c>
    </row>
    <row r="1034">
      <c r="A1034" s="19" t="n"/>
      <c r="B1034" s="20" t="n"/>
      <c r="C1034" s="21">
        <f>IFERROR(AVERAGE(P1034:T1034),"")</f>
        <v/>
      </c>
      <c r="D1034" s="29" t="n"/>
      <c r="E1034" s="29" t="n"/>
      <c r="F1034" s="30">
        <f>IF(AND(ISNUMBER($D1034),ISNUMBER($E1034),$E1034&gt;0,$D1034&lt;=$E1034),$D1034/$E1034,"")</f>
        <v/>
      </c>
      <c r="P1034" s="26" t="n"/>
      <c r="Q1034" s="26" t="n"/>
      <c r="R1034" s="26" t="n"/>
      <c r="S1034" s="26" t="n"/>
      <c r="T1034" s="26" t="n"/>
      <c r="V1034" s="27">
        <f>IF(ISNUMBER($C1034),COUNTIFS($A$14:$A$1213,$A1034,$C$14:$C$1213,"&gt;"&amp;$C1034)+(COUNTIFS($A$14:$A$1213,$A1034,$C$14:$C$1213,"="&amp;$C1034)+1)/2,"")</f>
        <v/>
      </c>
      <c r="W1034" s="27">
        <f>IF(ISNUMBER($F1034),COUNTIFS($A$14:$A$1213,$A1034,$F$14:$F$1213,"&gt;"&amp;$F1034)+(COUNTIFS($A$14:$A$1213,$A1034,$F$14:$F$1213,"="&amp;$F1034)+1)/2,"")</f>
        <v/>
      </c>
      <c r="X1034" s="27">
        <f>IF(OR(NOT(ISNUMBER($V1034)),$AO1034=1),"",$V1034-(COUNTIFS($A$14:$A$1213,$A1034,$C$14:$C$1213,"&gt;=0")+1)/2)</f>
        <v/>
      </c>
      <c r="Y1034" s="27">
        <f>IF(OR(NOT(ISNUMBER($W1034)),$AO1034=1),"",$W1034-(COUNTIFS($A$14:$A$1213,$A1034,$F$14:$F$1213,"&gt;=0")+1)/2)</f>
        <v/>
      </c>
      <c r="Z1034" s="27">
        <f>IF(ISNUMBER($V1034),$A1034&amp;"|"&amp;$V1034,"")</f>
        <v/>
      </c>
      <c r="AA1034" s="27">
        <f>IF(ISNUMBER($W1034),$A1034&amp;"|"&amp;$W1034,"")</f>
        <v/>
      </c>
      <c r="AB1034" s="27">
        <f>IF(ISNUMBER($F1034),$A1034&amp;"|"&amp;$F1034,"")</f>
        <v/>
      </c>
      <c r="AC1034" s="27">
        <f>IF(ISNUMBER($P1034),COUNTIFS($A$14:$A$1213,$A1034,$P$14:$P$1213,"&gt;"&amp;$P1034)+(COUNTIFS($A$14:$A$1213,$A1034,$P$14:$P$1213,"="&amp;$P1034)+1)/2,"")</f>
        <v/>
      </c>
      <c r="AD1034" s="27">
        <f>IF(ISNUMBER($Q1034),COUNTIFS($A$14:$A$1213,$A1034,$Q$14:$Q$1213,"&gt;"&amp;$Q1034)+(COUNTIFS($A$14:$A$1213,$A1034,$Q$14:$Q$1213,"="&amp;$Q1034)+1)/2,"")</f>
        <v/>
      </c>
      <c r="AE1034" s="27">
        <f>IF(ISNUMBER($R1034),COUNTIFS($A$14:$A$1213,$A1034,$R$14:$R$1213,"&gt;"&amp;$R1034)+(COUNTIFS($A$14:$A$1213,$A1034,$R$14:$R$1213,"="&amp;$R1034)+1)/2,"")</f>
        <v/>
      </c>
      <c r="AF1034" s="27">
        <f>IF(ISNUMBER($S1034),COUNTIFS($A$14:$A$1213,$A1034,$S$14:$S$1213,"&gt;"&amp;$S1034)+(COUNTIFS($A$14:$A$1213,$A1034,$S$14:$S$1213,"="&amp;$S1034)+1)/2,"")</f>
        <v/>
      </c>
      <c r="AG1034" s="27">
        <f>IF(ISNUMBER($T1034),COUNTIFS($A$14:$A$1213,$A1034,$T$14:$T$1213,"&gt;"&amp;$T1034)+(COUNTIFS($A$14:$A$1213,$A1034,$T$14:$T$1213,"="&amp;$T1034)+1)/2,"")</f>
        <v/>
      </c>
      <c r="AH1034" s="27">
        <f>IF(COUNT($AC1034:$AG1034)&lt;2,"",IF(MAX($AC1034:$AG1034)=MIN($AC1034:$AG1034),0,1))</f>
        <v/>
      </c>
      <c r="AI1034" s="27">
        <f>IF($A1034="","",IF(COUNTIF($A$14:$A1034,$A1034)=1,COUNTIF($AI$13:AI1033,"&gt;0")+1,""))</f>
        <v/>
      </c>
      <c r="AO1034" s="27">
        <f>IF($A1034="","",IF(AND(COUNTIFS($A$14:$A$1213,$A1034,$F$14:$F$1213,"&gt;=0")=2,IFERROR(INDEX($M$14:$M$313,MATCH($A1034,$H$14:$H$313,0)),"Yes")&lt;&gt;"Yes"),1,0))</f>
        <v/>
      </c>
    </row>
    <row r="1035">
      <c r="A1035" s="19" t="n"/>
      <c r="B1035" s="20" t="n"/>
      <c r="C1035" s="21">
        <f>IFERROR(AVERAGE(P1035:T1035),"")</f>
        <v/>
      </c>
      <c r="D1035" s="29" t="n"/>
      <c r="E1035" s="29" t="n"/>
      <c r="F1035" s="30">
        <f>IF(AND(ISNUMBER($D1035),ISNUMBER($E1035),$E1035&gt;0,$D1035&lt;=$E1035),$D1035/$E1035,"")</f>
        <v/>
      </c>
      <c r="P1035" s="26" t="n"/>
      <c r="Q1035" s="26" t="n"/>
      <c r="R1035" s="26" t="n"/>
      <c r="S1035" s="26" t="n"/>
      <c r="T1035" s="26" t="n"/>
      <c r="V1035" s="27">
        <f>IF(ISNUMBER($C1035),COUNTIFS($A$14:$A$1213,$A1035,$C$14:$C$1213,"&gt;"&amp;$C1035)+(COUNTIFS($A$14:$A$1213,$A1035,$C$14:$C$1213,"="&amp;$C1035)+1)/2,"")</f>
        <v/>
      </c>
      <c r="W1035" s="27">
        <f>IF(ISNUMBER($F1035),COUNTIFS($A$14:$A$1213,$A1035,$F$14:$F$1213,"&gt;"&amp;$F1035)+(COUNTIFS($A$14:$A$1213,$A1035,$F$14:$F$1213,"="&amp;$F1035)+1)/2,"")</f>
        <v/>
      </c>
      <c r="X1035" s="27">
        <f>IF(OR(NOT(ISNUMBER($V1035)),$AO1035=1),"",$V1035-(COUNTIFS($A$14:$A$1213,$A1035,$C$14:$C$1213,"&gt;=0")+1)/2)</f>
        <v/>
      </c>
      <c r="Y1035" s="27">
        <f>IF(OR(NOT(ISNUMBER($W1035)),$AO1035=1),"",$W1035-(COUNTIFS($A$14:$A$1213,$A1035,$F$14:$F$1213,"&gt;=0")+1)/2)</f>
        <v/>
      </c>
      <c r="Z1035" s="27">
        <f>IF(ISNUMBER($V1035),$A1035&amp;"|"&amp;$V1035,"")</f>
        <v/>
      </c>
      <c r="AA1035" s="27">
        <f>IF(ISNUMBER($W1035),$A1035&amp;"|"&amp;$W1035,"")</f>
        <v/>
      </c>
      <c r="AB1035" s="27">
        <f>IF(ISNUMBER($F1035),$A1035&amp;"|"&amp;$F1035,"")</f>
        <v/>
      </c>
      <c r="AC1035" s="27">
        <f>IF(ISNUMBER($P1035),COUNTIFS($A$14:$A$1213,$A1035,$P$14:$P$1213,"&gt;"&amp;$P1035)+(COUNTIFS($A$14:$A$1213,$A1035,$P$14:$P$1213,"="&amp;$P1035)+1)/2,"")</f>
        <v/>
      </c>
      <c r="AD1035" s="27">
        <f>IF(ISNUMBER($Q1035),COUNTIFS($A$14:$A$1213,$A1035,$Q$14:$Q$1213,"&gt;"&amp;$Q1035)+(COUNTIFS($A$14:$A$1213,$A1035,$Q$14:$Q$1213,"="&amp;$Q1035)+1)/2,"")</f>
        <v/>
      </c>
      <c r="AE1035" s="27">
        <f>IF(ISNUMBER($R1035),COUNTIFS($A$14:$A$1213,$A1035,$R$14:$R$1213,"&gt;"&amp;$R1035)+(COUNTIFS($A$14:$A$1213,$A1035,$R$14:$R$1213,"="&amp;$R1035)+1)/2,"")</f>
        <v/>
      </c>
      <c r="AF1035" s="27">
        <f>IF(ISNUMBER($S1035),COUNTIFS($A$14:$A$1213,$A1035,$S$14:$S$1213,"&gt;"&amp;$S1035)+(COUNTIFS($A$14:$A$1213,$A1035,$S$14:$S$1213,"="&amp;$S1035)+1)/2,"")</f>
        <v/>
      </c>
      <c r="AG1035" s="27">
        <f>IF(ISNUMBER($T1035),COUNTIFS($A$14:$A$1213,$A1035,$T$14:$T$1213,"&gt;"&amp;$T1035)+(COUNTIFS($A$14:$A$1213,$A1035,$T$14:$T$1213,"="&amp;$T1035)+1)/2,"")</f>
        <v/>
      </c>
      <c r="AH1035" s="27">
        <f>IF(COUNT($AC1035:$AG1035)&lt;2,"",IF(MAX($AC1035:$AG1035)=MIN($AC1035:$AG1035),0,1))</f>
        <v/>
      </c>
      <c r="AI1035" s="27">
        <f>IF($A1035="","",IF(COUNTIF($A$14:$A1035,$A1035)=1,COUNTIF($AI$13:AI1034,"&gt;0")+1,""))</f>
        <v/>
      </c>
      <c r="AO1035" s="27">
        <f>IF($A1035="","",IF(AND(COUNTIFS($A$14:$A$1213,$A1035,$F$14:$F$1213,"&gt;=0")=2,IFERROR(INDEX($M$14:$M$313,MATCH($A1035,$H$14:$H$313,0)),"Yes")&lt;&gt;"Yes"),1,0))</f>
        <v/>
      </c>
    </row>
    <row r="1036">
      <c r="A1036" s="19" t="n"/>
      <c r="B1036" s="20" t="n"/>
      <c r="C1036" s="21">
        <f>IFERROR(AVERAGE(P1036:T1036),"")</f>
        <v/>
      </c>
      <c r="D1036" s="29" t="n"/>
      <c r="E1036" s="29" t="n"/>
      <c r="F1036" s="30">
        <f>IF(AND(ISNUMBER($D1036),ISNUMBER($E1036),$E1036&gt;0,$D1036&lt;=$E1036),$D1036/$E1036,"")</f>
        <v/>
      </c>
      <c r="P1036" s="26" t="n"/>
      <c r="Q1036" s="26" t="n"/>
      <c r="R1036" s="26" t="n"/>
      <c r="S1036" s="26" t="n"/>
      <c r="T1036" s="26" t="n"/>
      <c r="V1036" s="27">
        <f>IF(ISNUMBER($C1036),COUNTIFS($A$14:$A$1213,$A1036,$C$14:$C$1213,"&gt;"&amp;$C1036)+(COUNTIFS($A$14:$A$1213,$A1036,$C$14:$C$1213,"="&amp;$C1036)+1)/2,"")</f>
        <v/>
      </c>
      <c r="W1036" s="27">
        <f>IF(ISNUMBER($F1036),COUNTIFS($A$14:$A$1213,$A1036,$F$14:$F$1213,"&gt;"&amp;$F1036)+(COUNTIFS($A$14:$A$1213,$A1036,$F$14:$F$1213,"="&amp;$F1036)+1)/2,"")</f>
        <v/>
      </c>
      <c r="X1036" s="27">
        <f>IF(OR(NOT(ISNUMBER($V1036)),$AO1036=1),"",$V1036-(COUNTIFS($A$14:$A$1213,$A1036,$C$14:$C$1213,"&gt;=0")+1)/2)</f>
        <v/>
      </c>
      <c r="Y1036" s="27">
        <f>IF(OR(NOT(ISNUMBER($W1036)),$AO1036=1),"",$W1036-(COUNTIFS($A$14:$A$1213,$A1036,$F$14:$F$1213,"&gt;=0")+1)/2)</f>
        <v/>
      </c>
      <c r="Z1036" s="27">
        <f>IF(ISNUMBER($V1036),$A1036&amp;"|"&amp;$V1036,"")</f>
        <v/>
      </c>
      <c r="AA1036" s="27">
        <f>IF(ISNUMBER($W1036),$A1036&amp;"|"&amp;$W1036,"")</f>
        <v/>
      </c>
      <c r="AB1036" s="27">
        <f>IF(ISNUMBER($F1036),$A1036&amp;"|"&amp;$F1036,"")</f>
        <v/>
      </c>
      <c r="AC1036" s="27">
        <f>IF(ISNUMBER($P1036),COUNTIFS($A$14:$A$1213,$A1036,$P$14:$P$1213,"&gt;"&amp;$P1036)+(COUNTIFS($A$14:$A$1213,$A1036,$P$14:$P$1213,"="&amp;$P1036)+1)/2,"")</f>
        <v/>
      </c>
      <c r="AD1036" s="27">
        <f>IF(ISNUMBER($Q1036),COUNTIFS($A$14:$A$1213,$A1036,$Q$14:$Q$1213,"&gt;"&amp;$Q1036)+(COUNTIFS($A$14:$A$1213,$A1036,$Q$14:$Q$1213,"="&amp;$Q1036)+1)/2,"")</f>
        <v/>
      </c>
      <c r="AE1036" s="27">
        <f>IF(ISNUMBER($R1036),COUNTIFS($A$14:$A$1213,$A1036,$R$14:$R$1213,"&gt;"&amp;$R1036)+(COUNTIFS($A$14:$A$1213,$A1036,$R$14:$R$1213,"="&amp;$R1036)+1)/2,"")</f>
        <v/>
      </c>
      <c r="AF1036" s="27">
        <f>IF(ISNUMBER($S1036),COUNTIFS($A$14:$A$1213,$A1036,$S$14:$S$1213,"&gt;"&amp;$S1036)+(COUNTIFS($A$14:$A$1213,$A1036,$S$14:$S$1213,"="&amp;$S1036)+1)/2,"")</f>
        <v/>
      </c>
      <c r="AG1036" s="27">
        <f>IF(ISNUMBER($T1036),COUNTIFS($A$14:$A$1213,$A1036,$T$14:$T$1213,"&gt;"&amp;$T1036)+(COUNTIFS($A$14:$A$1213,$A1036,$T$14:$T$1213,"="&amp;$T1036)+1)/2,"")</f>
        <v/>
      </c>
      <c r="AH1036" s="27">
        <f>IF(COUNT($AC1036:$AG1036)&lt;2,"",IF(MAX($AC1036:$AG1036)=MIN($AC1036:$AG1036),0,1))</f>
        <v/>
      </c>
      <c r="AI1036" s="27">
        <f>IF($A1036="","",IF(COUNTIF($A$14:$A1036,$A1036)=1,COUNTIF($AI$13:AI1035,"&gt;0")+1,""))</f>
        <v/>
      </c>
      <c r="AO1036" s="27">
        <f>IF($A1036="","",IF(AND(COUNTIFS($A$14:$A$1213,$A1036,$F$14:$F$1213,"&gt;=0")=2,IFERROR(INDEX($M$14:$M$313,MATCH($A1036,$H$14:$H$313,0)),"Yes")&lt;&gt;"Yes"),1,0))</f>
        <v/>
      </c>
    </row>
    <row r="1037">
      <c r="A1037" s="19" t="n"/>
      <c r="B1037" s="20" t="n"/>
      <c r="C1037" s="21">
        <f>IFERROR(AVERAGE(P1037:T1037),"")</f>
        <v/>
      </c>
      <c r="D1037" s="29" t="n"/>
      <c r="E1037" s="29" t="n"/>
      <c r="F1037" s="30">
        <f>IF(AND(ISNUMBER($D1037),ISNUMBER($E1037),$E1037&gt;0,$D1037&lt;=$E1037),$D1037/$E1037,"")</f>
        <v/>
      </c>
      <c r="P1037" s="26" t="n"/>
      <c r="Q1037" s="26" t="n"/>
      <c r="R1037" s="26" t="n"/>
      <c r="S1037" s="26" t="n"/>
      <c r="T1037" s="26" t="n"/>
      <c r="V1037" s="27">
        <f>IF(ISNUMBER($C1037),COUNTIFS($A$14:$A$1213,$A1037,$C$14:$C$1213,"&gt;"&amp;$C1037)+(COUNTIFS($A$14:$A$1213,$A1037,$C$14:$C$1213,"="&amp;$C1037)+1)/2,"")</f>
        <v/>
      </c>
      <c r="W1037" s="27">
        <f>IF(ISNUMBER($F1037),COUNTIFS($A$14:$A$1213,$A1037,$F$14:$F$1213,"&gt;"&amp;$F1037)+(COUNTIFS($A$14:$A$1213,$A1037,$F$14:$F$1213,"="&amp;$F1037)+1)/2,"")</f>
        <v/>
      </c>
      <c r="X1037" s="27">
        <f>IF(OR(NOT(ISNUMBER($V1037)),$AO1037=1),"",$V1037-(COUNTIFS($A$14:$A$1213,$A1037,$C$14:$C$1213,"&gt;=0")+1)/2)</f>
        <v/>
      </c>
      <c r="Y1037" s="27">
        <f>IF(OR(NOT(ISNUMBER($W1037)),$AO1037=1),"",$W1037-(COUNTIFS($A$14:$A$1213,$A1037,$F$14:$F$1213,"&gt;=0")+1)/2)</f>
        <v/>
      </c>
      <c r="Z1037" s="27">
        <f>IF(ISNUMBER($V1037),$A1037&amp;"|"&amp;$V1037,"")</f>
        <v/>
      </c>
      <c r="AA1037" s="27">
        <f>IF(ISNUMBER($W1037),$A1037&amp;"|"&amp;$W1037,"")</f>
        <v/>
      </c>
      <c r="AB1037" s="27">
        <f>IF(ISNUMBER($F1037),$A1037&amp;"|"&amp;$F1037,"")</f>
        <v/>
      </c>
      <c r="AC1037" s="27">
        <f>IF(ISNUMBER($P1037),COUNTIFS($A$14:$A$1213,$A1037,$P$14:$P$1213,"&gt;"&amp;$P1037)+(COUNTIFS($A$14:$A$1213,$A1037,$P$14:$P$1213,"="&amp;$P1037)+1)/2,"")</f>
        <v/>
      </c>
      <c r="AD1037" s="27">
        <f>IF(ISNUMBER($Q1037),COUNTIFS($A$14:$A$1213,$A1037,$Q$14:$Q$1213,"&gt;"&amp;$Q1037)+(COUNTIFS($A$14:$A$1213,$A1037,$Q$14:$Q$1213,"="&amp;$Q1037)+1)/2,"")</f>
        <v/>
      </c>
      <c r="AE1037" s="27">
        <f>IF(ISNUMBER($R1037),COUNTIFS($A$14:$A$1213,$A1037,$R$14:$R$1213,"&gt;"&amp;$R1037)+(COUNTIFS($A$14:$A$1213,$A1037,$R$14:$R$1213,"="&amp;$R1037)+1)/2,"")</f>
        <v/>
      </c>
      <c r="AF1037" s="27">
        <f>IF(ISNUMBER($S1037),COUNTIFS($A$14:$A$1213,$A1037,$S$14:$S$1213,"&gt;"&amp;$S1037)+(COUNTIFS($A$14:$A$1213,$A1037,$S$14:$S$1213,"="&amp;$S1037)+1)/2,"")</f>
        <v/>
      </c>
      <c r="AG1037" s="27">
        <f>IF(ISNUMBER($T1037),COUNTIFS($A$14:$A$1213,$A1037,$T$14:$T$1213,"&gt;"&amp;$T1037)+(COUNTIFS($A$14:$A$1213,$A1037,$T$14:$T$1213,"="&amp;$T1037)+1)/2,"")</f>
        <v/>
      </c>
      <c r="AH1037" s="27">
        <f>IF(COUNT($AC1037:$AG1037)&lt;2,"",IF(MAX($AC1037:$AG1037)=MIN($AC1037:$AG1037),0,1))</f>
        <v/>
      </c>
      <c r="AI1037" s="27">
        <f>IF($A1037="","",IF(COUNTIF($A$14:$A1037,$A1037)=1,COUNTIF($AI$13:AI1036,"&gt;0")+1,""))</f>
        <v/>
      </c>
      <c r="AO1037" s="27">
        <f>IF($A1037="","",IF(AND(COUNTIFS($A$14:$A$1213,$A1037,$F$14:$F$1213,"&gt;=0")=2,IFERROR(INDEX($M$14:$M$313,MATCH($A1037,$H$14:$H$313,0)),"Yes")&lt;&gt;"Yes"),1,0))</f>
        <v/>
      </c>
    </row>
    <row r="1038">
      <c r="A1038" s="19" t="n"/>
      <c r="B1038" s="20" t="n"/>
      <c r="C1038" s="21">
        <f>IFERROR(AVERAGE(P1038:T1038),"")</f>
        <v/>
      </c>
      <c r="D1038" s="29" t="n"/>
      <c r="E1038" s="29" t="n"/>
      <c r="F1038" s="30">
        <f>IF(AND(ISNUMBER($D1038),ISNUMBER($E1038),$E1038&gt;0,$D1038&lt;=$E1038),$D1038/$E1038,"")</f>
        <v/>
      </c>
      <c r="P1038" s="26" t="n"/>
      <c r="Q1038" s="26" t="n"/>
      <c r="R1038" s="26" t="n"/>
      <c r="S1038" s="26" t="n"/>
      <c r="T1038" s="26" t="n"/>
      <c r="V1038" s="27">
        <f>IF(ISNUMBER($C1038),COUNTIFS($A$14:$A$1213,$A1038,$C$14:$C$1213,"&gt;"&amp;$C1038)+(COUNTIFS($A$14:$A$1213,$A1038,$C$14:$C$1213,"="&amp;$C1038)+1)/2,"")</f>
        <v/>
      </c>
      <c r="W1038" s="27">
        <f>IF(ISNUMBER($F1038),COUNTIFS($A$14:$A$1213,$A1038,$F$14:$F$1213,"&gt;"&amp;$F1038)+(COUNTIFS($A$14:$A$1213,$A1038,$F$14:$F$1213,"="&amp;$F1038)+1)/2,"")</f>
        <v/>
      </c>
      <c r="X1038" s="27">
        <f>IF(OR(NOT(ISNUMBER($V1038)),$AO1038=1),"",$V1038-(COUNTIFS($A$14:$A$1213,$A1038,$C$14:$C$1213,"&gt;=0")+1)/2)</f>
        <v/>
      </c>
      <c r="Y1038" s="27">
        <f>IF(OR(NOT(ISNUMBER($W1038)),$AO1038=1),"",$W1038-(COUNTIFS($A$14:$A$1213,$A1038,$F$14:$F$1213,"&gt;=0")+1)/2)</f>
        <v/>
      </c>
      <c r="Z1038" s="27">
        <f>IF(ISNUMBER($V1038),$A1038&amp;"|"&amp;$V1038,"")</f>
        <v/>
      </c>
      <c r="AA1038" s="27">
        <f>IF(ISNUMBER($W1038),$A1038&amp;"|"&amp;$W1038,"")</f>
        <v/>
      </c>
      <c r="AB1038" s="27">
        <f>IF(ISNUMBER($F1038),$A1038&amp;"|"&amp;$F1038,"")</f>
        <v/>
      </c>
      <c r="AC1038" s="27">
        <f>IF(ISNUMBER($P1038),COUNTIFS($A$14:$A$1213,$A1038,$P$14:$P$1213,"&gt;"&amp;$P1038)+(COUNTIFS($A$14:$A$1213,$A1038,$P$14:$P$1213,"="&amp;$P1038)+1)/2,"")</f>
        <v/>
      </c>
      <c r="AD1038" s="27">
        <f>IF(ISNUMBER($Q1038),COUNTIFS($A$14:$A$1213,$A1038,$Q$14:$Q$1213,"&gt;"&amp;$Q1038)+(COUNTIFS($A$14:$A$1213,$A1038,$Q$14:$Q$1213,"="&amp;$Q1038)+1)/2,"")</f>
        <v/>
      </c>
      <c r="AE1038" s="27">
        <f>IF(ISNUMBER($R1038),COUNTIFS($A$14:$A$1213,$A1038,$R$14:$R$1213,"&gt;"&amp;$R1038)+(COUNTIFS($A$14:$A$1213,$A1038,$R$14:$R$1213,"="&amp;$R1038)+1)/2,"")</f>
        <v/>
      </c>
      <c r="AF1038" s="27">
        <f>IF(ISNUMBER($S1038),COUNTIFS($A$14:$A$1213,$A1038,$S$14:$S$1213,"&gt;"&amp;$S1038)+(COUNTIFS($A$14:$A$1213,$A1038,$S$14:$S$1213,"="&amp;$S1038)+1)/2,"")</f>
        <v/>
      </c>
      <c r="AG1038" s="27">
        <f>IF(ISNUMBER($T1038),COUNTIFS($A$14:$A$1213,$A1038,$T$14:$T$1213,"&gt;"&amp;$T1038)+(COUNTIFS($A$14:$A$1213,$A1038,$T$14:$T$1213,"="&amp;$T1038)+1)/2,"")</f>
        <v/>
      </c>
      <c r="AH1038" s="27">
        <f>IF(COUNT($AC1038:$AG1038)&lt;2,"",IF(MAX($AC1038:$AG1038)=MIN($AC1038:$AG1038),0,1))</f>
        <v/>
      </c>
      <c r="AI1038" s="27">
        <f>IF($A1038="","",IF(COUNTIF($A$14:$A1038,$A1038)=1,COUNTIF($AI$13:AI1037,"&gt;0")+1,""))</f>
        <v/>
      </c>
      <c r="AO1038" s="27">
        <f>IF($A1038="","",IF(AND(COUNTIFS($A$14:$A$1213,$A1038,$F$14:$F$1213,"&gt;=0")=2,IFERROR(INDEX($M$14:$M$313,MATCH($A1038,$H$14:$H$313,0)),"Yes")&lt;&gt;"Yes"),1,0))</f>
        <v/>
      </c>
    </row>
    <row r="1039">
      <c r="A1039" s="19" t="n"/>
      <c r="B1039" s="20" t="n"/>
      <c r="C1039" s="21">
        <f>IFERROR(AVERAGE(P1039:T1039),"")</f>
        <v/>
      </c>
      <c r="D1039" s="29" t="n"/>
      <c r="E1039" s="29" t="n"/>
      <c r="F1039" s="30">
        <f>IF(AND(ISNUMBER($D1039),ISNUMBER($E1039),$E1039&gt;0,$D1039&lt;=$E1039),$D1039/$E1039,"")</f>
        <v/>
      </c>
      <c r="P1039" s="26" t="n"/>
      <c r="Q1039" s="26" t="n"/>
      <c r="R1039" s="26" t="n"/>
      <c r="S1039" s="26" t="n"/>
      <c r="T1039" s="26" t="n"/>
      <c r="V1039" s="27">
        <f>IF(ISNUMBER($C1039),COUNTIFS($A$14:$A$1213,$A1039,$C$14:$C$1213,"&gt;"&amp;$C1039)+(COUNTIFS($A$14:$A$1213,$A1039,$C$14:$C$1213,"="&amp;$C1039)+1)/2,"")</f>
        <v/>
      </c>
      <c r="W1039" s="27">
        <f>IF(ISNUMBER($F1039),COUNTIFS($A$14:$A$1213,$A1039,$F$14:$F$1213,"&gt;"&amp;$F1039)+(COUNTIFS($A$14:$A$1213,$A1039,$F$14:$F$1213,"="&amp;$F1039)+1)/2,"")</f>
        <v/>
      </c>
      <c r="X1039" s="27">
        <f>IF(OR(NOT(ISNUMBER($V1039)),$AO1039=1),"",$V1039-(COUNTIFS($A$14:$A$1213,$A1039,$C$14:$C$1213,"&gt;=0")+1)/2)</f>
        <v/>
      </c>
      <c r="Y1039" s="27">
        <f>IF(OR(NOT(ISNUMBER($W1039)),$AO1039=1),"",$W1039-(COUNTIFS($A$14:$A$1213,$A1039,$F$14:$F$1213,"&gt;=0")+1)/2)</f>
        <v/>
      </c>
      <c r="Z1039" s="27">
        <f>IF(ISNUMBER($V1039),$A1039&amp;"|"&amp;$V1039,"")</f>
        <v/>
      </c>
      <c r="AA1039" s="27">
        <f>IF(ISNUMBER($W1039),$A1039&amp;"|"&amp;$W1039,"")</f>
        <v/>
      </c>
      <c r="AB1039" s="27">
        <f>IF(ISNUMBER($F1039),$A1039&amp;"|"&amp;$F1039,"")</f>
        <v/>
      </c>
      <c r="AC1039" s="27">
        <f>IF(ISNUMBER($P1039),COUNTIFS($A$14:$A$1213,$A1039,$P$14:$P$1213,"&gt;"&amp;$P1039)+(COUNTIFS($A$14:$A$1213,$A1039,$P$14:$P$1213,"="&amp;$P1039)+1)/2,"")</f>
        <v/>
      </c>
      <c r="AD1039" s="27">
        <f>IF(ISNUMBER($Q1039),COUNTIFS($A$14:$A$1213,$A1039,$Q$14:$Q$1213,"&gt;"&amp;$Q1039)+(COUNTIFS($A$14:$A$1213,$A1039,$Q$14:$Q$1213,"="&amp;$Q1039)+1)/2,"")</f>
        <v/>
      </c>
      <c r="AE1039" s="27">
        <f>IF(ISNUMBER($R1039),COUNTIFS($A$14:$A$1213,$A1039,$R$14:$R$1213,"&gt;"&amp;$R1039)+(COUNTIFS($A$14:$A$1213,$A1039,$R$14:$R$1213,"="&amp;$R1039)+1)/2,"")</f>
        <v/>
      </c>
      <c r="AF1039" s="27">
        <f>IF(ISNUMBER($S1039),COUNTIFS($A$14:$A$1213,$A1039,$S$14:$S$1213,"&gt;"&amp;$S1039)+(COUNTIFS($A$14:$A$1213,$A1039,$S$14:$S$1213,"="&amp;$S1039)+1)/2,"")</f>
        <v/>
      </c>
      <c r="AG1039" s="27">
        <f>IF(ISNUMBER($T1039),COUNTIFS($A$14:$A$1213,$A1039,$T$14:$T$1213,"&gt;"&amp;$T1039)+(COUNTIFS($A$14:$A$1213,$A1039,$T$14:$T$1213,"="&amp;$T1039)+1)/2,"")</f>
        <v/>
      </c>
      <c r="AH1039" s="27">
        <f>IF(COUNT($AC1039:$AG1039)&lt;2,"",IF(MAX($AC1039:$AG1039)=MIN($AC1039:$AG1039),0,1))</f>
        <v/>
      </c>
      <c r="AI1039" s="27">
        <f>IF($A1039="","",IF(COUNTIF($A$14:$A1039,$A1039)=1,COUNTIF($AI$13:AI1038,"&gt;0")+1,""))</f>
        <v/>
      </c>
      <c r="AO1039" s="27">
        <f>IF($A1039="","",IF(AND(COUNTIFS($A$14:$A$1213,$A1039,$F$14:$F$1213,"&gt;=0")=2,IFERROR(INDEX($M$14:$M$313,MATCH($A1039,$H$14:$H$313,0)),"Yes")&lt;&gt;"Yes"),1,0))</f>
        <v/>
      </c>
    </row>
    <row r="1040">
      <c r="A1040" s="19" t="n"/>
      <c r="B1040" s="20" t="n"/>
      <c r="C1040" s="21">
        <f>IFERROR(AVERAGE(P1040:T1040),"")</f>
        <v/>
      </c>
      <c r="D1040" s="29" t="n"/>
      <c r="E1040" s="29" t="n"/>
      <c r="F1040" s="30">
        <f>IF(AND(ISNUMBER($D1040),ISNUMBER($E1040),$E1040&gt;0,$D1040&lt;=$E1040),$D1040/$E1040,"")</f>
        <v/>
      </c>
      <c r="P1040" s="26" t="n"/>
      <c r="Q1040" s="26" t="n"/>
      <c r="R1040" s="26" t="n"/>
      <c r="S1040" s="26" t="n"/>
      <c r="T1040" s="26" t="n"/>
      <c r="V1040" s="27">
        <f>IF(ISNUMBER($C1040),COUNTIFS($A$14:$A$1213,$A1040,$C$14:$C$1213,"&gt;"&amp;$C1040)+(COUNTIFS($A$14:$A$1213,$A1040,$C$14:$C$1213,"="&amp;$C1040)+1)/2,"")</f>
        <v/>
      </c>
      <c r="W1040" s="27">
        <f>IF(ISNUMBER($F1040),COUNTIFS($A$14:$A$1213,$A1040,$F$14:$F$1213,"&gt;"&amp;$F1040)+(COUNTIFS($A$14:$A$1213,$A1040,$F$14:$F$1213,"="&amp;$F1040)+1)/2,"")</f>
        <v/>
      </c>
      <c r="X1040" s="27">
        <f>IF(OR(NOT(ISNUMBER($V1040)),$AO1040=1),"",$V1040-(COUNTIFS($A$14:$A$1213,$A1040,$C$14:$C$1213,"&gt;=0")+1)/2)</f>
        <v/>
      </c>
      <c r="Y1040" s="27">
        <f>IF(OR(NOT(ISNUMBER($W1040)),$AO1040=1),"",$W1040-(COUNTIFS($A$14:$A$1213,$A1040,$F$14:$F$1213,"&gt;=0")+1)/2)</f>
        <v/>
      </c>
      <c r="Z1040" s="27">
        <f>IF(ISNUMBER($V1040),$A1040&amp;"|"&amp;$V1040,"")</f>
        <v/>
      </c>
      <c r="AA1040" s="27">
        <f>IF(ISNUMBER($W1040),$A1040&amp;"|"&amp;$W1040,"")</f>
        <v/>
      </c>
      <c r="AB1040" s="27">
        <f>IF(ISNUMBER($F1040),$A1040&amp;"|"&amp;$F1040,"")</f>
        <v/>
      </c>
      <c r="AC1040" s="27">
        <f>IF(ISNUMBER($P1040),COUNTIFS($A$14:$A$1213,$A1040,$P$14:$P$1213,"&gt;"&amp;$P1040)+(COUNTIFS($A$14:$A$1213,$A1040,$P$14:$P$1213,"="&amp;$P1040)+1)/2,"")</f>
        <v/>
      </c>
      <c r="AD1040" s="27">
        <f>IF(ISNUMBER($Q1040),COUNTIFS($A$14:$A$1213,$A1040,$Q$14:$Q$1213,"&gt;"&amp;$Q1040)+(COUNTIFS($A$14:$A$1213,$A1040,$Q$14:$Q$1213,"="&amp;$Q1040)+1)/2,"")</f>
        <v/>
      </c>
      <c r="AE1040" s="27">
        <f>IF(ISNUMBER($R1040),COUNTIFS($A$14:$A$1213,$A1040,$R$14:$R$1213,"&gt;"&amp;$R1040)+(COUNTIFS($A$14:$A$1213,$A1040,$R$14:$R$1213,"="&amp;$R1040)+1)/2,"")</f>
        <v/>
      </c>
      <c r="AF1040" s="27">
        <f>IF(ISNUMBER($S1040),COUNTIFS($A$14:$A$1213,$A1040,$S$14:$S$1213,"&gt;"&amp;$S1040)+(COUNTIFS($A$14:$A$1213,$A1040,$S$14:$S$1213,"="&amp;$S1040)+1)/2,"")</f>
        <v/>
      </c>
      <c r="AG1040" s="27">
        <f>IF(ISNUMBER($T1040),COUNTIFS($A$14:$A$1213,$A1040,$T$14:$T$1213,"&gt;"&amp;$T1040)+(COUNTIFS($A$14:$A$1213,$A1040,$T$14:$T$1213,"="&amp;$T1040)+1)/2,"")</f>
        <v/>
      </c>
      <c r="AH1040" s="27">
        <f>IF(COUNT($AC1040:$AG1040)&lt;2,"",IF(MAX($AC1040:$AG1040)=MIN($AC1040:$AG1040),0,1))</f>
        <v/>
      </c>
      <c r="AI1040" s="27">
        <f>IF($A1040="","",IF(COUNTIF($A$14:$A1040,$A1040)=1,COUNTIF($AI$13:AI1039,"&gt;0")+1,""))</f>
        <v/>
      </c>
      <c r="AO1040" s="27">
        <f>IF($A1040="","",IF(AND(COUNTIFS($A$14:$A$1213,$A1040,$F$14:$F$1213,"&gt;=0")=2,IFERROR(INDEX($M$14:$M$313,MATCH($A1040,$H$14:$H$313,0)),"Yes")&lt;&gt;"Yes"),1,0))</f>
        <v/>
      </c>
    </row>
    <row r="1041">
      <c r="A1041" s="19" t="n"/>
      <c r="B1041" s="20" t="n"/>
      <c r="C1041" s="21">
        <f>IFERROR(AVERAGE(P1041:T1041),"")</f>
        <v/>
      </c>
      <c r="D1041" s="29" t="n"/>
      <c r="E1041" s="29" t="n"/>
      <c r="F1041" s="30">
        <f>IF(AND(ISNUMBER($D1041),ISNUMBER($E1041),$E1041&gt;0,$D1041&lt;=$E1041),$D1041/$E1041,"")</f>
        <v/>
      </c>
      <c r="P1041" s="26" t="n"/>
      <c r="Q1041" s="26" t="n"/>
      <c r="R1041" s="26" t="n"/>
      <c r="S1041" s="26" t="n"/>
      <c r="T1041" s="26" t="n"/>
      <c r="V1041" s="27">
        <f>IF(ISNUMBER($C1041),COUNTIFS($A$14:$A$1213,$A1041,$C$14:$C$1213,"&gt;"&amp;$C1041)+(COUNTIFS($A$14:$A$1213,$A1041,$C$14:$C$1213,"="&amp;$C1041)+1)/2,"")</f>
        <v/>
      </c>
      <c r="W1041" s="27">
        <f>IF(ISNUMBER($F1041),COUNTIFS($A$14:$A$1213,$A1041,$F$14:$F$1213,"&gt;"&amp;$F1041)+(COUNTIFS($A$14:$A$1213,$A1041,$F$14:$F$1213,"="&amp;$F1041)+1)/2,"")</f>
        <v/>
      </c>
      <c r="X1041" s="27">
        <f>IF(OR(NOT(ISNUMBER($V1041)),$AO1041=1),"",$V1041-(COUNTIFS($A$14:$A$1213,$A1041,$C$14:$C$1213,"&gt;=0")+1)/2)</f>
        <v/>
      </c>
      <c r="Y1041" s="27">
        <f>IF(OR(NOT(ISNUMBER($W1041)),$AO1041=1),"",$W1041-(COUNTIFS($A$14:$A$1213,$A1041,$F$14:$F$1213,"&gt;=0")+1)/2)</f>
        <v/>
      </c>
      <c r="Z1041" s="27">
        <f>IF(ISNUMBER($V1041),$A1041&amp;"|"&amp;$V1041,"")</f>
        <v/>
      </c>
      <c r="AA1041" s="27">
        <f>IF(ISNUMBER($W1041),$A1041&amp;"|"&amp;$W1041,"")</f>
        <v/>
      </c>
      <c r="AB1041" s="27">
        <f>IF(ISNUMBER($F1041),$A1041&amp;"|"&amp;$F1041,"")</f>
        <v/>
      </c>
      <c r="AC1041" s="27">
        <f>IF(ISNUMBER($P1041),COUNTIFS($A$14:$A$1213,$A1041,$P$14:$P$1213,"&gt;"&amp;$P1041)+(COUNTIFS($A$14:$A$1213,$A1041,$P$14:$P$1213,"="&amp;$P1041)+1)/2,"")</f>
        <v/>
      </c>
      <c r="AD1041" s="27">
        <f>IF(ISNUMBER($Q1041),COUNTIFS($A$14:$A$1213,$A1041,$Q$14:$Q$1213,"&gt;"&amp;$Q1041)+(COUNTIFS($A$14:$A$1213,$A1041,$Q$14:$Q$1213,"="&amp;$Q1041)+1)/2,"")</f>
        <v/>
      </c>
      <c r="AE1041" s="27">
        <f>IF(ISNUMBER($R1041),COUNTIFS($A$14:$A$1213,$A1041,$R$14:$R$1213,"&gt;"&amp;$R1041)+(COUNTIFS($A$14:$A$1213,$A1041,$R$14:$R$1213,"="&amp;$R1041)+1)/2,"")</f>
        <v/>
      </c>
      <c r="AF1041" s="27">
        <f>IF(ISNUMBER($S1041),COUNTIFS($A$14:$A$1213,$A1041,$S$14:$S$1213,"&gt;"&amp;$S1041)+(COUNTIFS($A$14:$A$1213,$A1041,$S$14:$S$1213,"="&amp;$S1041)+1)/2,"")</f>
        <v/>
      </c>
      <c r="AG1041" s="27">
        <f>IF(ISNUMBER($T1041),COUNTIFS($A$14:$A$1213,$A1041,$T$14:$T$1213,"&gt;"&amp;$T1041)+(COUNTIFS($A$14:$A$1213,$A1041,$T$14:$T$1213,"="&amp;$T1041)+1)/2,"")</f>
        <v/>
      </c>
      <c r="AH1041" s="27">
        <f>IF(COUNT($AC1041:$AG1041)&lt;2,"",IF(MAX($AC1041:$AG1041)=MIN($AC1041:$AG1041),0,1))</f>
        <v/>
      </c>
      <c r="AI1041" s="27">
        <f>IF($A1041="","",IF(COUNTIF($A$14:$A1041,$A1041)=1,COUNTIF($AI$13:AI1040,"&gt;0")+1,""))</f>
        <v/>
      </c>
      <c r="AO1041" s="27">
        <f>IF($A1041="","",IF(AND(COUNTIFS($A$14:$A$1213,$A1041,$F$14:$F$1213,"&gt;=0")=2,IFERROR(INDEX($M$14:$M$313,MATCH($A1041,$H$14:$H$313,0)),"Yes")&lt;&gt;"Yes"),1,0))</f>
        <v/>
      </c>
    </row>
    <row r="1042">
      <c r="A1042" s="19" t="n"/>
      <c r="B1042" s="20" t="n"/>
      <c r="C1042" s="21">
        <f>IFERROR(AVERAGE(P1042:T1042),"")</f>
        <v/>
      </c>
      <c r="D1042" s="29" t="n"/>
      <c r="E1042" s="29" t="n"/>
      <c r="F1042" s="30">
        <f>IF(AND(ISNUMBER($D1042),ISNUMBER($E1042),$E1042&gt;0,$D1042&lt;=$E1042),$D1042/$E1042,"")</f>
        <v/>
      </c>
      <c r="P1042" s="26" t="n"/>
      <c r="Q1042" s="26" t="n"/>
      <c r="R1042" s="26" t="n"/>
      <c r="S1042" s="26" t="n"/>
      <c r="T1042" s="26" t="n"/>
      <c r="V1042" s="27">
        <f>IF(ISNUMBER($C1042),COUNTIFS($A$14:$A$1213,$A1042,$C$14:$C$1213,"&gt;"&amp;$C1042)+(COUNTIFS($A$14:$A$1213,$A1042,$C$14:$C$1213,"="&amp;$C1042)+1)/2,"")</f>
        <v/>
      </c>
      <c r="W1042" s="27">
        <f>IF(ISNUMBER($F1042),COUNTIFS($A$14:$A$1213,$A1042,$F$14:$F$1213,"&gt;"&amp;$F1042)+(COUNTIFS($A$14:$A$1213,$A1042,$F$14:$F$1213,"="&amp;$F1042)+1)/2,"")</f>
        <v/>
      </c>
      <c r="X1042" s="27">
        <f>IF(OR(NOT(ISNUMBER($V1042)),$AO1042=1),"",$V1042-(COUNTIFS($A$14:$A$1213,$A1042,$C$14:$C$1213,"&gt;=0")+1)/2)</f>
        <v/>
      </c>
      <c r="Y1042" s="27">
        <f>IF(OR(NOT(ISNUMBER($W1042)),$AO1042=1),"",$W1042-(COUNTIFS($A$14:$A$1213,$A1042,$F$14:$F$1213,"&gt;=0")+1)/2)</f>
        <v/>
      </c>
      <c r="Z1042" s="27">
        <f>IF(ISNUMBER($V1042),$A1042&amp;"|"&amp;$V1042,"")</f>
        <v/>
      </c>
      <c r="AA1042" s="27">
        <f>IF(ISNUMBER($W1042),$A1042&amp;"|"&amp;$W1042,"")</f>
        <v/>
      </c>
      <c r="AB1042" s="27">
        <f>IF(ISNUMBER($F1042),$A1042&amp;"|"&amp;$F1042,"")</f>
        <v/>
      </c>
      <c r="AC1042" s="27">
        <f>IF(ISNUMBER($P1042),COUNTIFS($A$14:$A$1213,$A1042,$P$14:$P$1213,"&gt;"&amp;$P1042)+(COUNTIFS($A$14:$A$1213,$A1042,$P$14:$P$1213,"="&amp;$P1042)+1)/2,"")</f>
        <v/>
      </c>
      <c r="AD1042" s="27">
        <f>IF(ISNUMBER($Q1042),COUNTIFS($A$14:$A$1213,$A1042,$Q$14:$Q$1213,"&gt;"&amp;$Q1042)+(COUNTIFS($A$14:$A$1213,$A1042,$Q$14:$Q$1213,"="&amp;$Q1042)+1)/2,"")</f>
        <v/>
      </c>
      <c r="AE1042" s="27">
        <f>IF(ISNUMBER($R1042),COUNTIFS($A$14:$A$1213,$A1042,$R$14:$R$1213,"&gt;"&amp;$R1042)+(COUNTIFS($A$14:$A$1213,$A1042,$R$14:$R$1213,"="&amp;$R1042)+1)/2,"")</f>
        <v/>
      </c>
      <c r="AF1042" s="27">
        <f>IF(ISNUMBER($S1042),COUNTIFS($A$14:$A$1213,$A1042,$S$14:$S$1213,"&gt;"&amp;$S1042)+(COUNTIFS($A$14:$A$1213,$A1042,$S$14:$S$1213,"="&amp;$S1042)+1)/2,"")</f>
        <v/>
      </c>
      <c r="AG1042" s="27">
        <f>IF(ISNUMBER($T1042),COUNTIFS($A$14:$A$1213,$A1042,$T$14:$T$1213,"&gt;"&amp;$T1042)+(COUNTIFS($A$14:$A$1213,$A1042,$T$14:$T$1213,"="&amp;$T1042)+1)/2,"")</f>
        <v/>
      </c>
      <c r="AH1042" s="27">
        <f>IF(COUNT($AC1042:$AG1042)&lt;2,"",IF(MAX($AC1042:$AG1042)=MIN($AC1042:$AG1042),0,1))</f>
        <v/>
      </c>
      <c r="AI1042" s="27">
        <f>IF($A1042="","",IF(COUNTIF($A$14:$A1042,$A1042)=1,COUNTIF($AI$13:AI1041,"&gt;0")+1,""))</f>
        <v/>
      </c>
      <c r="AO1042" s="27">
        <f>IF($A1042="","",IF(AND(COUNTIFS($A$14:$A$1213,$A1042,$F$14:$F$1213,"&gt;=0")=2,IFERROR(INDEX($M$14:$M$313,MATCH($A1042,$H$14:$H$313,0)),"Yes")&lt;&gt;"Yes"),1,0))</f>
        <v/>
      </c>
    </row>
    <row r="1043">
      <c r="A1043" s="19" t="n"/>
      <c r="B1043" s="20" t="n"/>
      <c r="C1043" s="21">
        <f>IFERROR(AVERAGE(P1043:T1043),"")</f>
        <v/>
      </c>
      <c r="D1043" s="29" t="n"/>
      <c r="E1043" s="29" t="n"/>
      <c r="F1043" s="30">
        <f>IF(AND(ISNUMBER($D1043),ISNUMBER($E1043),$E1043&gt;0,$D1043&lt;=$E1043),$D1043/$E1043,"")</f>
        <v/>
      </c>
      <c r="P1043" s="26" t="n"/>
      <c r="Q1043" s="26" t="n"/>
      <c r="R1043" s="26" t="n"/>
      <c r="S1043" s="26" t="n"/>
      <c r="T1043" s="26" t="n"/>
      <c r="V1043" s="27">
        <f>IF(ISNUMBER($C1043),COUNTIFS($A$14:$A$1213,$A1043,$C$14:$C$1213,"&gt;"&amp;$C1043)+(COUNTIFS($A$14:$A$1213,$A1043,$C$14:$C$1213,"="&amp;$C1043)+1)/2,"")</f>
        <v/>
      </c>
      <c r="W1043" s="27">
        <f>IF(ISNUMBER($F1043),COUNTIFS($A$14:$A$1213,$A1043,$F$14:$F$1213,"&gt;"&amp;$F1043)+(COUNTIFS($A$14:$A$1213,$A1043,$F$14:$F$1213,"="&amp;$F1043)+1)/2,"")</f>
        <v/>
      </c>
      <c r="X1043" s="27">
        <f>IF(OR(NOT(ISNUMBER($V1043)),$AO1043=1),"",$V1043-(COUNTIFS($A$14:$A$1213,$A1043,$C$14:$C$1213,"&gt;=0")+1)/2)</f>
        <v/>
      </c>
      <c r="Y1043" s="27">
        <f>IF(OR(NOT(ISNUMBER($W1043)),$AO1043=1),"",$W1043-(COUNTIFS($A$14:$A$1213,$A1043,$F$14:$F$1213,"&gt;=0")+1)/2)</f>
        <v/>
      </c>
      <c r="Z1043" s="27">
        <f>IF(ISNUMBER($V1043),$A1043&amp;"|"&amp;$V1043,"")</f>
        <v/>
      </c>
      <c r="AA1043" s="27">
        <f>IF(ISNUMBER($W1043),$A1043&amp;"|"&amp;$W1043,"")</f>
        <v/>
      </c>
      <c r="AB1043" s="27">
        <f>IF(ISNUMBER($F1043),$A1043&amp;"|"&amp;$F1043,"")</f>
        <v/>
      </c>
      <c r="AC1043" s="27">
        <f>IF(ISNUMBER($P1043),COUNTIFS($A$14:$A$1213,$A1043,$P$14:$P$1213,"&gt;"&amp;$P1043)+(COUNTIFS($A$14:$A$1213,$A1043,$P$14:$P$1213,"="&amp;$P1043)+1)/2,"")</f>
        <v/>
      </c>
      <c r="AD1043" s="27">
        <f>IF(ISNUMBER($Q1043),COUNTIFS($A$14:$A$1213,$A1043,$Q$14:$Q$1213,"&gt;"&amp;$Q1043)+(COUNTIFS($A$14:$A$1213,$A1043,$Q$14:$Q$1213,"="&amp;$Q1043)+1)/2,"")</f>
        <v/>
      </c>
      <c r="AE1043" s="27">
        <f>IF(ISNUMBER($R1043),COUNTIFS($A$14:$A$1213,$A1043,$R$14:$R$1213,"&gt;"&amp;$R1043)+(COUNTIFS($A$14:$A$1213,$A1043,$R$14:$R$1213,"="&amp;$R1043)+1)/2,"")</f>
        <v/>
      </c>
      <c r="AF1043" s="27">
        <f>IF(ISNUMBER($S1043),COUNTIFS($A$14:$A$1213,$A1043,$S$14:$S$1213,"&gt;"&amp;$S1043)+(COUNTIFS($A$14:$A$1213,$A1043,$S$14:$S$1213,"="&amp;$S1043)+1)/2,"")</f>
        <v/>
      </c>
      <c r="AG1043" s="27">
        <f>IF(ISNUMBER($T1043),COUNTIFS($A$14:$A$1213,$A1043,$T$14:$T$1213,"&gt;"&amp;$T1043)+(COUNTIFS($A$14:$A$1213,$A1043,$T$14:$T$1213,"="&amp;$T1043)+1)/2,"")</f>
        <v/>
      </c>
      <c r="AH1043" s="27">
        <f>IF(COUNT($AC1043:$AG1043)&lt;2,"",IF(MAX($AC1043:$AG1043)=MIN($AC1043:$AG1043),0,1))</f>
        <v/>
      </c>
      <c r="AI1043" s="27">
        <f>IF($A1043="","",IF(COUNTIF($A$14:$A1043,$A1043)=1,COUNTIF($AI$13:AI1042,"&gt;0")+1,""))</f>
        <v/>
      </c>
      <c r="AO1043" s="27">
        <f>IF($A1043="","",IF(AND(COUNTIFS($A$14:$A$1213,$A1043,$F$14:$F$1213,"&gt;=0")=2,IFERROR(INDEX($M$14:$M$313,MATCH($A1043,$H$14:$H$313,0)),"Yes")&lt;&gt;"Yes"),1,0))</f>
        <v/>
      </c>
    </row>
    <row r="1044">
      <c r="A1044" s="19" t="n"/>
      <c r="B1044" s="20" t="n"/>
      <c r="C1044" s="21">
        <f>IFERROR(AVERAGE(P1044:T1044),"")</f>
        <v/>
      </c>
      <c r="D1044" s="29" t="n"/>
      <c r="E1044" s="29" t="n"/>
      <c r="F1044" s="30">
        <f>IF(AND(ISNUMBER($D1044),ISNUMBER($E1044),$E1044&gt;0,$D1044&lt;=$E1044),$D1044/$E1044,"")</f>
        <v/>
      </c>
      <c r="P1044" s="26" t="n"/>
      <c r="Q1044" s="26" t="n"/>
      <c r="R1044" s="26" t="n"/>
      <c r="S1044" s="26" t="n"/>
      <c r="T1044" s="26" t="n"/>
      <c r="V1044" s="27">
        <f>IF(ISNUMBER($C1044),COUNTIFS($A$14:$A$1213,$A1044,$C$14:$C$1213,"&gt;"&amp;$C1044)+(COUNTIFS($A$14:$A$1213,$A1044,$C$14:$C$1213,"="&amp;$C1044)+1)/2,"")</f>
        <v/>
      </c>
      <c r="W1044" s="27">
        <f>IF(ISNUMBER($F1044),COUNTIFS($A$14:$A$1213,$A1044,$F$14:$F$1213,"&gt;"&amp;$F1044)+(COUNTIFS($A$14:$A$1213,$A1044,$F$14:$F$1213,"="&amp;$F1044)+1)/2,"")</f>
        <v/>
      </c>
      <c r="X1044" s="27">
        <f>IF(OR(NOT(ISNUMBER($V1044)),$AO1044=1),"",$V1044-(COUNTIFS($A$14:$A$1213,$A1044,$C$14:$C$1213,"&gt;=0")+1)/2)</f>
        <v/>
      </c>
      <c r="Y1044" s="27">
        <f>IF(OR(NOT(ISNUMBER($W1044)),$AO1044=1),"",$W1044-(COUNTIFS($A$14:$A$1213,$A1044,$F$14:$F$1213,"&gt;=0")+1)/2)</f>
        <v/>
      </c>
      <c r="Z1044" s="27">
        <f>IF(ISNUMBER($V1044),$A1044&amp;"|"&amp;$V1044,"")</f>
        <v/>
      </c>
      <c r="AA1044" s="27">
        <f>IF(ISNUMBER($W1044),$A1044&amp;"|"&amp;$W1044,"")</f>
        <v/>
      </c>
      <c r="AB1044" s="27">
        <f>IF(ISNUMBER($F1044),$A1044&amp;"|"&amp;$F1044,"")</f>
        <v/>
      </c>
      <c r="AC1044" s="27">
        <f>IF(ISNUMBER($P1044),COUNTIFS($A$14:$A$1213,$A1044,$P$14:$P$1213,"&gt;"&amp;$P1044)+(COUNTIFS($A$14:$A$1213,$A1044,$P$14:$P$1213,"="&amp;$P1044)+1)/2,"")</f>
        <v/>
      </c>
      <c r="AD1044" s="27">
        <f>IF(ISNUMBER($Q1044),COUNTIFS($A$14:$A$1213,$A1044,$Q$14:$Q$1213,"&gt;"&amp;$Q1044)+(COUNTIFS($A$14:$A$1213,$A1044,$Q$14:$Q$1213,"="&amp;$Q1044)+1)/2,"")</f>
        <v/>
      </c>
      <c r="AE1044" s="27">
        <f>IF(ISNUMBER($R1044),COUNTIFS($A$14:$A$1213,$A1044,$R$14:$R$1213,"&gt;"&amp;$R1044)+(COUNTIFS($A$14:$A$1213,$A1044,$R$14:$R$1213,"="&amp;$R1044)+1)/2,"")</f>
        <v/>
      </c>
      <c r="AF1044" s="27">
        <f>IF(ISNUMBER($S1044),COUNTIFS($A$14:$A$1213,$A1044,$S$14:$S$1213,"&gt;"&amp;$S1044)+(COUNTIFS($A$14:$A$1213,$A1044,$S$14:$S$1213,"="&amp;$S1044)+1)/2,"")</f>
        <v/>
      </c>
      <c r="AG1044" s="27">
        <f>IF(ISNUMBER($T1044),COUNTIFS($A$14:$A$1213,$A1044,$T$14:$T$1213,"&gt;"&amp;$T1044)+(COUNTIFS($A$14:$A$1213,$A1044,$T$14:$T$1213,"="&amp;$T1044)+1)/2,"")</f>
        <v/>
      </c>
      <c r="AH1044" s="27">
        <f>IF(COUNT($AC1044:$AG1044)&lt;2,"",IF(MAX($AC1044:$AG1044)=MIN($AC1044:$AG1044),0,1))</f>
        <v/>
      </c>
      <c r="AI1044" s="27">
        <f>IF($A1044="","",IF(COUNTIF($A$14:$A1044,$A1044)=1,COUNTIF($AI$13:AI1043,"&gt;0")+1,""))</f>
        <v/>
      </c>
      <c r="AO1044" s="27">
        <f>IF($A1044="","",IF(AND(COUNTIFS($A$14:$A$1213,$A1044,$F$14:$F$1213,"&gt;=0")=2,IFERROR(INDEX($M$14:$M$313,MATCH($A1044,$H$14:$H$313,0)),"Yes")&lt;&gt;"Yes"),1,0))</f>
        <v/>
      </c>
    </row>
    <row r="1045">
      <c r="A1045" s="19" t="n"/>
      <c r="B1045" s="20" t="n"/>
      <c r="C1045" s="21">
        <f>IFERROR(AVERAGE(P1045:T1045),"")</f>
        <v/>
      </c>
      <c r="D1045" s="29" t="n"/>
      <c r="E1045" s="29" t="n"/>
      <c r="F1045" s="30">
        <f>IF(AND(ISNUMBER($D1045),ISNUMBER($E1045),$E1045&gt;0,$D1045&lt;=$E1045),$D1045/$E1045,"")</f>
        <v/>
      </c>
      <c r="P1045" s="26" t="n"/>
      <c r="Q1045" s="26" t="n"/>
      <c r="R1045" s="26" t="n"/>
      <c r="S1045" s="26" t="n"/>
      <c r="T1045" s="26" t="n"/>
      <c r="V1045" s="27">
        <f>IF(ISNUMBER($C1045),COUNTIFS($A$14:$A$1213,$A1045,$C$14:$C$1213,"&gt;"&amp;$C1045)+(COUNTIFS($A$14:$A$1213,$A1045,$C$14:$C$1213,"="&amp;$C1045)+1)/2,"")</f>
        <v/>
      </c>
      <c r="W1045" s="27">
        <f>IF(ISNUMBER($F1045),COUNTIFS($A$14:$A$1213,$A1045,$F$14:$F$1213,"&gt;"&amp;$F1045)+(COUNTIFS($A$14:$A$1213,$A1045,$F$14:$F$1213,"="&amp;$F1045)+1)/2,"")</f>
        <v/>
      </c>
      <c r="X1045" s="27">
        <f>IF(OR(NOT(ISNUMBER($V1045)),$AO1045=1),"",$V1045-(COUNTIFS($A$14:$A$1213,$A1045,$C$14:$C$1213,"&gt;=0")+1)/2)</f>
        <v/>
      </c>
      <c r="Y1045" s="27">
        <f>IF(OR(NOT(ISNUMBER($W1045)),$AO1045=1),"",$W1045-(COUNTIFS($A$14:$A$1213,$A1045,$F$14:$F$1213,"&gt;=0")+1)/2)</f>
        <v/>
      </c>
      <c r="Z1045" s="27">
        <f>IF(ISNUMBER($V1045),$A1045&amp;"|"&amp;$V1045,"")</f>
        <v/>
      </c>
      <c r="AA1045" s="27">
        <f>IF(ISNUMBER($W1045),$A1045&amp;"|"&amp;$W1045,"")</f>
        <v/>
      </c>
      <c r="AB1045" s="27">
        <f>IF(ISNUMBER($F1045),$A1045&amp;"|"&amp;$F1045,"")</f>
        <v/>
      </c>
      <c r="AC1045" s="27">
        <f>IF(ISNUMBER($P1045),COUNTIFS($A$14:$A$1213,$A1045,$P$14:$P$1213,"&gt;"&amp;$P1045)+(COUNTIFS($A$14:$A$1213,$A1045,$P$14:$P$1213,"="&amp;$P1045)+1)/2,"")</f>
        <v/>
      </c>
      <c r="AD1045" s="27">
        <f>IF(ISNUMBER($Q1045),COUNTIFS($A$14:$A$1213,$A1045,$Q$14:$Q$1213,"&gt;"&amp;$Q1045)+(COUNTIFS($A$14:$A$1213,$A1045,$Q$14:$Q$1213,"="&amp;$Q1045)+1)/2,"")</f>
        <v/>
      </c>
      <c r="AE1045" s="27">
        <f>IF(ISNUMBER($R1045),COUNTIFS($A$14:$A$1213,$A1045,$R$14:$R$1213,"&gt;"&amp;$R1045)+(COUNTIFS($A$14:$A$1213,$A1045,$R$14:$R$1213,"="&amp;$R1045)+1)/2,"")</f>
        <v/>
      </c>
      <c r="AF1045" s="27">
        <f>IF(ISNUMBER($S1045),COUNTIFS($A$14:$A$1213,$A1045,$S$14:$S$1213,"&gt;"&amp;$S1045)+(COUNTIFS($A$14:$A$1213,$A1045,$S$14:$S$1213,"="&amp;$S1045)+1)/2,"")</f>
        <v/>
      </c>
      <c r="AG1045" s="27">
        <f>IF(ISNUMBER($T1045),COUNTIFS($A$14:$A$1213,$A1045,$T$14:$T$1213,"&gt;"&amp;$T1045)+(COUNTIFS($A$14:$A$1213,$A1045,$T$14:$T$1213,"="&amp;$T1045)+1)/2,"")</f>
        <v/>
      </c>
      <c r="AH1045" s="27">
        <f>IF(COUNT($AC1045:$AG1045)&lt;2,"",IF(MAX($AC1045:$AG1045)=MIN($AC1045:$AG1045),0,1))</f>
        <v/>
      </c>
      <c r="AI1045" s="27">
        <f>IF($A1045="","",IF(COUNTIF($A$14:$A1045,$A1045)=1,COUNTIF($AI$13:AI1044,"&gt;0")+1,""))</f>
        <v/>
      </c>
      <c r="AO1045" s="27">
        <f>IF($A1045="","",IF(AND(COUNTIFS($A$14:$A$1213,$A1045,$F$14:$F$1213,"&gt;=0")=2,IFERROR(INDEX($M$14:$M$313,MATCH($A1045,$H$14:$H$313,0)),"Yes")&lt;&gt;"Yes"),1,0))</f>
        <v/>
      </c>
    </row>
    <row r="1046">
      <c r="A1046" s="19" t="n"/>
      <c r="B1046" s="20" t="n"/>
      <c r="C1046" s="21">
        <f>IFERROR(AVERAGE(P1046:T1046),"")</f>
        <v/>
      </c>
      <c r="D1046" s="29" t="n"/>
      <c r="E1046" s="29" t="n"/>
      <c r="F1046" s="30">
        <f>IF(AND(ISNUMBER($D1046),ISNUMBER($E1046),$E1046&gt;0,$D1046&lt;=$E1046),$D1046/$E1046,"")</f>
        <v/>
      </c>
      <c r="P1046" s="26" t="n"/>
      <c r="Q1046" s="26" t="n"/>
      <c r="R1046" s="26" t="n"/>
      <c r="S1046" s="26" t="n"/>
      <c r="T1046" s="26" t="n"/>
      <c r="V1046" s="27">
        <f>IF(ISNUMBER($C1046),COUNTIFS($A$14:$A$1213,$A1046,$C$14:$C$1213,"&gt;"&amp;$C1046)+(COUNTIFS($A$14:$A$1213,$A1046,$C$14:$C$1213,"="&amp;$C1046)+1)/2,"")</f>
        <v/>
      </c>
      <c r="W1046" s="27">
        <f>IF(ISNUMBER($F1046),COUNTIFS($A$14:$A$1213,$A1046,$F$14:$F$1213,"&gt;"&amp;$F1046)+(COUNTIFS($A$14:$A$1213,$A1046,$F$14:$F$1213,"="&amp;$F1046)+1)/2,"")</f>
        <v/>
      </c>
      <c r="X1046" s="27">
        <f>IF(OR(NOT(ISNUMBER($V1046)),$AO1046=1),"",$V1046-(COUNTIFS($A$14:$A$1213,$A1046,$C$14:$C$1213,"&gt;=0")+1)/2)</f>
        <v/>
      </c>
      <c r="Y1046" s="27">
        <f>IF(OR(NOT(ISNUMBER($W1046)),$AO1046=1),"",$W1046-(COUNTIFS($A$14:$A$1213,$A1046,$F$14:$F$1213,"&gt;=0")+1)/2)</f>
        <v/>
      </c>
      <c r="Z1046" s="27">
        <f>IF(ISNUMBER($V1046),$A1046&amp;"|"&amp;$V1046,"")</f>
        <v/>
      </c>
      <c r="AA1046" s="27">
        <f>IF(ISNUMBER($W1046),$A1046&amp;"|"&amp;$W1046,"")</f>
        <v/>
      </c>
      <c r="AB1046" s="27">
        <f>IF(ISNUMBER($F1046),$A1046&amp;"|"&amp;$F1046,"")</f>
        <v/>
      </c>
      <c r="AC1046" s="27">
        <f>IF(ISNUMBER($P1046),COUNTIFS($A$14:$A$1213,$A1046,$P$14:$P$1213,"&gt;"&amp;$P1046)+(COUNTIFS($A$14:$A$1213,$A1046,$P$14:$P$1213,"="&amp;$P1046)+1)/2,"")</f>
        <v/>
      </c>
      <c r="AD1046" s="27">
        <f>IF(ISNUMBER($Q1046),COUNTIFS($A$14:$A$1213,$A1046,$Q$14:$Q$1213,"&gt;"&amp;$Q1046)+(COUNTIFS($A$14:$A$1213,$A1046,$Q$14:$Q$1213,"="&amp;$Q1046)+1)/2,"")</f>
        <v/>
      </c>
      <c r="AE1046" s="27">
        <f>IF(ISNUMBER($R1046),COUNTIFS($A$14:$A$1213,$A1046,$R$14:$R$1213,"&gt;"&amp;$R1046)+(COUNTIFS($A$14:$A$1213,$A1046,$R$14:$R$1213,"="&amp;$R1046)+1)/2,"")</f>
        <v/>
      </c>
      <c r="AF1046" s="27">
        <f>IF(ISNUMBER($S1046),COUNTIFS($A$14:$A$1213,$A1046,$S$14:$S$1213,"&gt;"&amp;$S1046)+(COUNTIFS($A$14:$A$1213,$A1046,$S$14:$S$1213,"="&amp;$S1046)+1)/2,"")</f>
        <v/>
      </c>
      <c r="AG1046" s="27">
        <f>IF(ISNUMBER($T1046),COUNTIFS($A$14:$A$1213,$A1046,$T$14:$T$1213,"&gt;"&amp;$T1046)+(COUNTIFS($A$14:$A$1213,$A1046,$T$14:$T$1213,"="&amp;$T1046)+1)/2,"")</f>
        <v/>
      </c>
      <c r="AH1046" s="27">
        <f>IF(COUNT($AC1046:$AG1046)&lt;2,"",IF(MAX($AC1046:$AG1046)=MIN($AC1046:$AG1046),0,1))</f>
        <v/>
      </c>
      <c r="AI1046" s="27">
        <f>IF($A1046="","",IF(COUNTIF($A$14:$A1046,$A1046)=1,COUNTIF($AI$13:AI1045,"&gt;0")+1,""))</f>
        <v/>
      </c>
      <c r="AO1046" s="27">
        <f>IF($A1046="","",IF(AND(COUNTIFS($A$14:$A$1213,$A1046,$F$14:$F$1213,"&gt;=0")=2,IFERROR(INDEX($M$14:$M$313,MATCH($A1046,$H$14:$H$313,0)),"Yes")&lt;&gt;"Yes"),1,0))</f>
        <v/>
      </c>
    </row>
    <row r="1047">
      <c r="A1047" s="19" t="n"/>
      <c r="B1047" s="20" t="n"/>
      <c r="C1047" s="21">
        <f>IFERROR(AVERAGE(P1047:T1047),"")</f>
        <v/>
      </c>
      <c r="D1047" s="29" t="n"/>
      <c r="E1047" s="29" t="n"/>
      <c r="F1047" s="30">
        <f>IF(AND(ISNUMBER($D1047),ISNUMBER($E1047),$E1047&gt;0,$D1047&lt;=$E1047),$D1047/$E1047,"")</f>
        <v/>
      </c>
      <c r="P1047" s="26" t="n"/>
      <c r="Q1047" s="26" t="n"/>
      <c r="R1047" s="26" t="n"/>
      <c r="S1047" s="26" t="n"/>
      <c r="T1047" s="26" t="n"/>
      <c r="V1047" s="27">
        <f>IF(ISNUMBER($C1047),COUNTIFS($A$14:$A$1213,$A1047,$C$14:$C$1213,"&gt;"&amp;$C1047)+(COUNTIFS($A$14:$A$1213,$A1047,$C$14:$C$1213,"="&amp;$C1047)+1)/2,"")</f>
        <v/>
      </c>
      <c r="W1047" s="27">
        <f>IF(ISNUMBER($F1047),COUNTIFS($A$14:$A$1213,$A1047,$F$14:$F$1213,"&gt;"&amp;$F1047)+(COUNTIFS($A$14:$A$1213,$A1047,$F$14:$F$1213,"="&amp;$F1047)+1)/2,"")</f>
        <v/>
      </c>
      <c r="X1047" s="27">
        <f>IF(OR(NOT(ISNUMBER($V1047)),$AO1047=1),"",$V1047-(COUNTIFS($A$14:$A$1213,$A1047,$C$14:$C$1213,"&gt;=0")+1)/2)</f>
        <v/>
      </c>
      <c r="Y1047" s="27">
        <f>IF(OR(NOT(ISNUMBER($W1047)),$AO1047=1),"",$W1047-(COUNTIFS($A$14:$A$1213,$A1047,$F$14:$F$1213,"&gt;=0")+1)/2)</f>
        <v/>
      </c>
      <c r="Z1047" s="27">
        <f>IF(ISNUMBER($V1047),$A1047&amp;"|"&amp;$V1047,"")</f>
        <v/>
      </c>
      <c r="AA1047" s="27">
        <f>IF(ISNUMBER($W1047),$A1047&amp;"|"&amp;$W1047,"")</f>
        <v/>
      </c>
      <c r="AB1047" s="27">
        <f>IF(ISNUMBER($F1047),$A1047&amp;"|"&amp;$F1047,"")</f>
        <v/>
      </c>
      <c r="AC1047" s="27">
        <f>IF(ISNUMBER($P1047),COUNTIFS($A$14:$A$1213,$A1047,$P$14:$P$1213,"&gt;"&amp;$P1047)+(COUNTIFS($A$14:$A$1213,$A1047,$P$14:$P$1213,"="&amp;$P1047)+1)/2,"")</f>
        <v/>
      </c>
      <c r="AD1047" s="27">
        <f>IF(ISNUMBER($Q1047),COUNTIFS($A$14:$A$1213,$A1047,$Q$14:$Q$1213,"&gt;"&amp;$Q1047)+(COUNTIFS($A$14:$A$1213,$A1047,$Q$14:$Q$1213,"="&amp;$Q1047)+1)/2,"")</f>
        <v/>
      </c>
      <c r="AE1047" s="27">
        <f>IF(ISNUMBER($R1047),COUNTIFS($A$14:$A$1213,$A1047,$R$14:$R$1213,"&gt;"&amp;$R1047)+(COUNTIFS($A$14:$A$1213,$A1047,$R$14:$R$1213,"="&amp;$R1047)+1)/2,"")</f>
        <v/>
      </c>
      <c r="AF1047" s="27">
        <f>IF(ISNUMBER($S1047),COUNTIFS($A$14:$A$1213,$A1047,$S$14:$S$1213,"&gt;"&amp;$S1047)+(COUNTIFS($A$14:$A$1213,$A1047,$S$14:$S$1213,"="&amp;$S1047)+1)/2,"")</f>
        <v/>
      </c>
      <c r="AG1047" s="27">
        <f>IF(ISNUMBER($T1047),COUNTIFS($A$14:$A$1213,$A1047,$T$14:$T$1213,"&gt;"&amp;$T1047)+(COUNTIFS($A$14:$A$1213,$A1047,$T$14:$T$1213,"="&amp;$T1047)+1)/2,"")</f>
        <v/>
      </c>
      <c r="AH1047" s="27">
        <f>IF(COUNT($AC1047:$AG1047)&lt;2,"",IF(MAX($AC1047:$AG1047)=MIN($AC1047:$AG1047),0,1))</f>
        <v/>
      </c>
      <c r="AI1047" s="27">
        <f>IF($A1047="","",IF(COUNTIF($A$14:$A1047,$A1047)=1,COUNTIF($AI$13:AI1046,"&gt;0")+1,""))</f>
        <v/>
      </c>
      <c r="AO1047" s="27">
        <f>IF($A1047="","",IF(AND(COUNTIFS($A$14:$A$1213,$A1047,$F$14:$F$1213,"&gt;=0")=2,IFERROR(INDEX($M$14:$M$313,MATCH($A1047,$H$14:$H$313,0)),"Yes")&lt;&gt;"Yes"),1,0))</f>
        <v/>
      </c>
    </row>
    <row r="1048">
      <c r="A1048" s="19" t="n"/>
      <c r="B1048" s="20" t="n"/>
      <c r="C1048" s="21">
        <f>IFERROR(AVERAGE(P1048:T1048),"")</f>
        <v/>
      </c>
      <c r="D1048" s="29" t="n"/>
      <c r="E1048" s="29" t="n"/>
      <c r="F1048" s="30">
        <f>IF(AND(ISNUMBER($D1048),ISNUMBER($E1048),$E1048&gt;0,$D1048&lt;=$E1048),$D1048/$E1048,"")</f>
        <v/>
      </c>
      <c r="P1048" s="26" t="n"/>
      <c r="Q1048" s="26" t="n"/>
      <c r="R1048" s="26" t="n"/>
      <c r="S1048" s="26" t="n"/>
      <c r="T1048" s="26" t="n"/>
      <c r="V1048" s="27">
        <f>IF(ISNUMBER($C1048),COUNTIFS($A$14:$A$1213,$A1048,$C$14:$C$1213,"&gt;"&amp;$C1048)+(COUNTIFS($A$14:$A$1213,$A1048,$C$14:$C$1213,"="&amp;$C1048)+1)/2,"")</f>
        <v/>
      </c>
      <c r="W1048" s="27">
        <f>IF(ISNUMBER($F1048),COUNTIFS($A$14:$A$1213,$A1048,$F$14:$F$1213,"&gt;"&amp;$F1048)+(COUNTIFS($A$14:$A$1213,$A1048,$F$14:$F$1213,"="&amp;$F1048)+1)/2,"")</f>
        <v/>
      </c>
      <c r="X1048" s="27">
        <f>IF(OR(NOT(ISNUMBER($V1048)),$AO1048=1),"",$V1048-(COUNTIFS($A$14:$A$1213,$A1048,$C$14:$C$1213,"&gt;=0")+1)/2)</f>
        <v/>
      </c>
      <c r="Y1048" s="27">
        <f>IF(OR(NOT(ISNUMBER($W1048)),$AO1048=1),"",$W1048-(COUNTIFS($A$14:$A$1213,$A1048,$F$14:$F$1213,"&gt;=0")+1)/2)</f>
        <v/>
      </c>
      <c r="Z1048" s="27">
        <f>IF(ISNUMBER($V1048),$A1048&amp;"|"&amp;$V1048,"")</f>
        <v/>
      </c>
      <c r="AA1048" s="27">
        <f>IF(ISNUMBER($W1048),$A1048&amp;"|"&amp;$W1048,"")</f>
        <v/>
      </c>
      <c r="AB1048" s="27">
        <f>IF(ISNUMBER($F1048),$A1048&amp;"|"&amp;$F1048,"")</f>
        <v/>
      </c>
      <c r="AC1048" s="27">
        <f>IF(ISNUMBER($P1048),COUNTIFS($A$14:$A$1213,$A1048,$P$14:$P$1213,"&gt;"&amp;$P1048)+(COUNTIFS($A$14:$A$1213,$A1048,$P$14:$P$1213,"="&amp;$P1048)+1)/2,"")</f>
        <v/>
      </c>
      <c r="AD1048" s="27">
        <f>IF(ISNUMBER($Q1048),COUNTIFS($A$14:$A$1213,$A1048,$Q$14:$Q$1213,"&gt;"&amp;$Q1048)+(COUNTIFS($A$14:$A$1213,$A1048,$Q$14:$Q$1213,"="&amp;$Q1048)+1)/2,"")</f>
        <v/>
      </c>
      <c r="AE1048" s="27">
        <f>IF(ISNUMBER($R1048),COUNTIFS($A$14:$A$1213,$A1048,$R$14:$R$1213,"&gt;"&amp;$R1048)+(COUNTIFS($A$14:$A$1213,$A1048,$R$14:$R$1213,"="&amp;$R1048)+1)/2,"")</f>
        <v/>
      </c>
      <c r="AF1048" s="27">
        <f>IF(ISNUMBER($S1048),COUNTIFS($A$14:$A$1213,$A1048,$S$14:$S$1213,"&gt;"&amp;$S1048)+(COUNTIFS($A$14:$A$1213,$A1048,$S$14:$S$1213,"="&amp;$S1048)+1)/2,"")</f>
        <v/>
      </c>
      <c r="AG1048" s="27">
        <f>IF(ISNUMBER($T1048),COUNTIFS($A$14:$A$1213,$A1048,$T$14:$T$1213,"&gt;"&amp;$T1048)+(COUNTIFS($A$14:$A$1213,$A1048,$T$14:$T$1213,"="&amp;$T1048)+1)/2,"")</f>
        <v/>
      </c>
      <c r="AH1048" s="27">
        <f>IF(COUNT($AC1048:$AG1048)&lt;2,"",IF(MAX($AC1048:$AG1048)=MIN($AC1048:$AG1048),0,1))</f>
        <v/>
      </c>
      <c r="AI1048" s="27">
        <f>IF($A1048="","",IF(COUNTIF($A$14:$A1048,$A1048)=1,COUNTIF($AI$13:AI1047,"&gt;0")+1,""))</f>
        <v/>
      </c>
      <c r="AO1048" s="27">
        <f>IF($A1048="","",IF(AND(COUNTIFS($A$14:$A$1213,$A1048,$F$14:$F$1213,"&gt;=0")=2,IFERROR(INDEX($M$14:$M$313,MATCH($A1048,$H$14:$H$313,0)),"Yes")&lt;&gt;"Yes"),1,0))</f>
        <v/>
      </c>
    </row>
    <row r="1049">
      <c r="A1049" s="19" t="n"/>
      <c r="B1049" s="20" t="n"/>
      <c r="C1049" s="21">
        <f>IFERROR(AVERAGE(P1049:T1049),"")</f>
        <v/>
      </c>
      <c r="D1049" s="29" t="n"/>
      <c r="E1049" s="29" t="n"/>
      <c r="F1049" s="30">
        <f>IF(AND(ISNUMBER($D1049),ISNUMBER($E1049),$E1049&gt;0,$D1049&lt;=$E1049),$D1049/$E1049,"")</f>
        <v/>
      </c>
      <c r="P1049" s="26" t="n"/>
      <c r="Q1049" s="26" t="n"/>
      <c r="R1049" s="26" t="n"/>
      <c r="S1049" s="26" t="n"/>
      <c r="T1049" s="26" t="n"/>
      <c r="V1049" s="27">
        <f>IF(ISNUMBER($C1049),COUNTIFS($A$14:$A$1213,$A1049,$C$14:$C$1213,"&gt;"&amp;$C1049)+(COUNTIFS($A$14:$A$1213,$A1049,$C$14:$C$1213,"="&amp;$C1049)+1)/2,"")</f>
        <v/>
      </c>
      <c r="W1049" s="27">
        <f>IF(ISNUMBER($F1049),COUNTIFS($A$14:$A$1213,$A1049,$F$14:$F$1213,"&gt;"&amp;$F1049)+(COUNTIFS($A$14:$A$1213,$A1049,$F$14:$F$1213,"="&amp;$F1049)+1)/2,"")</f>
        <v/>
      </c>
      <c r="X1049" s="27">
        <f>IF(OR(NOT(ISNUMBER($V1049)),$AO1049=1),"",$V1049-(COUNTIFS($A$14:$A$1213,$A1049,$C$14:$C$1213,"&gt;=0")+1)/2)</f>
        <v/>
      </c>
      <c r="Y1049" s="27">
        <f>IF(OR(NOT(ISNUMBER($W1049)),$AO1049=1),"",$W1049-(COUNTIFS($A$14:$A$1213,$A1049,$F$14:$F$1213,"&gt;=0")+1)/2)</f>
        <v/>
      </c>
      <c r="Z1049" s="27">
        <f>IF(ISNUMBER($V1049),$A1049&amp;"|"&amp;$V1049,"")</f>
        <v/>
      </c>
      <c r="AA1049" s="27">
        <f>IF(ISNUMBER($W1049),$A1049&amp;"|"&amp;$W1049,"")</f>
        <v/>
      </c>
      <c r="AB1049" s="27">
        <f>IF(ISNUMBER($F1049),$A1049&amp;"|"&amp;$F1049,"")</f>
        <v/>
      </c>
      <c r="AC1049" s="27">
        <f>IF(ISNUMBER($P1049),COUNTIFS($A$14:$A$1213,$A1049,$P$14:$P$1213,"&gt;"&amp;$P1049)+(COUNTIFS($A$14:$A$1213,$A1049,$P$14:$P$1213,"="&amp;$P1049)+1)/2,"")</f>
        <v/>
      </c>
      <c r="AD1049" s="27">
        <f>IF(ISNUMBER($Q1049),COUNTIFS($A$14:$A$1213,$A1049,$Q$14:$Q$1213,"&gt;"&amp;$Q1049)+(COUNTIFS($A$14:$A$1213,$A1049,$Q$14:$Q$1213,"="&amp;$Q1049)+1)/2,"")</f>
        <v/>
      </c>
      <c r="AE1049" s="27">
        <f>IF(ISNUMBER($R1049),COUNTIFS($A$14:$A$1213,$A1049,$R$14:$R$1213,"&gt;"&amp;$R1049)+(COUNTIFS($A$14:$A$1213,$A1049,$R$14:$R$1213,"="&amp;$R1049)+1)/2,"")</f>
        <v/>
      </c>
      <c r="AF1049" s="27">
        <f>IF(ISNUMBER($S1049),COUNTIFS($A$14:$A$1213,$A1049,$S$14:$S$1213,"&gt;"&amp;$S1049)+(COUNTIFS($A$14:$A$1213,$A1049,$S$14:$S$1213,"="&amp;$S1049)+1)/2,"")</f>
        <v/>
      </c>
      <c r="AG1049" s="27">
        <f>IF(ISNUMBER($T1049),COUNTIFS($A$14:$A$1213,$A1049,$T$14:$T$1213,"&gt;"&amp;$T1049)+(COUNTIFS($A$14:$A$1213,$A1049,$T$14:$T$1213,"="&amp;$T1049)+1)/2,"")</f>
        <v/>
      </c>
      <c r="AH1049" s="27">
        <f>IF(COUNT($AC1049:$AG1049)&lt;2,"",IF(MAX($AC1049:$AG1049)=MIN($AC1049:$AG1049),0,1))</f>
        <v/>
      </c>
      <c r="AI1049" s="27">
        <f>IF($A1049="","",IF(COUNTIF($A$14:$A1049,$A1049)=1,COUNTIF($AI$13:AI1048,"&gt;0")+1,""))</f>
        <v/>
      </c>
      <c r="AO1049" s="27">
        <f>IF($A1049="","",IF(AND(COUNTIFS($A$14:$A$1213,$A1049,$F$14:$F$1213,"&gt;=0")=2,IFERROR(INDEX($M$14:$M$313,MATCH($A1049,$H$14:$H$313,0)),"Yes")&lt;&gt;"Yes"),1,0))</f>
        <v/>
      </c>
    </row>
    <row r="1050">
      <c r="A1050" s="19" t="n"/>
      <c r="B1050" s="20" t="n"/>
      <c r="C1050" s="21">
        <f>IFERROR(AVERAGE(P1050:T1050),"")</f>
        <v/>
      </c>
      <c r="D1050" s="29" t="n"/>
      <c r="E1050" s="29" t="n"/>
      <c r="F1050" s="30">
        <f>IF(AND(ISNUMBER($D1050),ISNUMBER($E1050),$E1050&gt;0,$D1050&lt;=$E1050),$D1050/$E1050,"")</f>
        <v/>
      </c>
      <c r="P1050" s="26" t="n"/>
      <c r="Q1050" s="26" t="n"/>
      <c r="R1050" s="26" t="n"/>
      <c r="S1050" s="26" t="n"/>
      <c r="T1050" s="26" t="n"/>
      <c r="V1050" s="27">
        <f>IF(ISNUMBER($C1050),COUNTIFS($A$14:$A$1213,$A1050,$C$14:$C$1213,"&gt;"&amp;$C1050)+(COUNTIFS($A$14:$A$1213,$A1050,$C$14:$C$1213,"="&amp;$C1050)+1)/2,"")</f>
        <v/>
      </c>
      <c r="W1050" s="27">
        <f>IF(ISNUMBER($F1050),COUNTIFS($A$14:$A$1213,$A1050,$F$14:$F$1213,"&gt;"&amp;$F1050)+(COUNTIFS($A$14:$A$1213,$A1050,$F$14:$F$1213,"="&amp;$F1050)+1)/2,"")</f>
        <v/>
      </c>
      <c r="X1050" s="27">
        <f>IF(OR(NOT(ISNUMBER($V1050)),$AO1050=1),"",$V1050-(COUNTIFS($A$14:$A$1213,$A1050,$C$14:$C$1213,"&gt;=0")+1)/2)</f>
        <v/>
      </c>
      <c r="Y1050" s="27">
        <f>IF(OR(NOT(ISNUMBER($W1050)),$AO1050=1),"",$W1050-(COUNTIFS($A$14:$A$1213,$A1050,$F$14:$F$1213,"&gt;=0")+1)/2)</f>
        <v/>
      </c>
      <c r="Z1050" s="27">
        <f>IF(ISNUMBER($V1050),$A1050&amp;"|"&amp;$V1050,"")</f>
        <v/>
      </c>
      <c r="AA1050" s="27">
        <f>IF(ISNUMBER($W1050),$A1050&amp;"|"&amp;$W1050,"")</f>
        <v/>
      </c>
      <c r="AB1050" s="27">
        <f>IF(ISNUMBER($F1050),$A1050&amp;"|"&amp;$F1050,"")</f>
        <v/>
      </c>
      <c r="AC1050" s="27">
        <f>IF(ISNUMBER($P1050),COUNTIFS($A$14:$A$1213,$A1050,$P$14:$P$1213,"&gt;"&amp;$P1050)+(COUNTIFS($A$14:$A$1213,$A1050,$P$14:$P$1213,"="&amp;$P1050)+1)/2,"")</f>
        <v/>
      </c>
      <c r="AD1050" s="27">
        <f>IF(ISNUMBER($Q1050),COUNTIFS($A$14:$A$1213,$A1050,$Q$14:$Q$1213,"&gt;"&amp;$Q1050)+(COUNTIFS($A$14:$A$1213,$A1050,$Q$14:$Q$1213,"="&amp;$Q1050)+1)/2,"")</f>
        <v/>
      </c>
      <c r="AE1050" s="27">
        <f>IF(ISNUMBER($R1050),COUNTIFS($A$14:$A$1213,$A1050,$R$14:$R$1213,"&gt;"&amp;$R1050)+(COUNTIFS($A$14:$A$1213,$A1050,$R$14:$R$1213,"="&amp;$R1050)+1)/2,"")</f>
        <v/>
      </c>
      <c r="AF1050" s="27">
        <f>IF(ISNUMBER($S1050),COUNTIFS($A$14:$A$1213,$A1050,$S$14:$S$1213,"&gt;"&amp;$S1050)+(COUNTIFS($A$14:$A$1213,$A1050,$S$14:$S$1213,"="&amp;$S1050)+1)/2,"")</f>
        <v/>
      </c>
      <c r="AG1050" s="27">
        <f>IF(ISNUMBER($T1050),COUNTIFS($A$14:$A$1213,$A1050,$T$14:$T$1213,"&gt;"&amp;$T1050)+(COUNTIFS($A$14:$A$1213,$A1050,$T$14:$T$1213,"="&amp;$T1050)+1)/2,"")</f>
        <v/>
      </c>
      <c r="AH1050" s="27">
        <f>IF(COUNT($AC1050:$AG1050)&lt;2,"",IF(MAX($AC1050:$AG1050)=MIN($AC1050:$AG1050),0,1))</f>
        <v/>
      </c>
      <c r="AI1050" s="27">
        <f>IF($A1050="","",IF(COUNTIF($A$14:$A1050,$A1050)=1,COUNTIF($AI$13:AI1049,"&gt;0")+1,""))</f>
        <v/>
      </c>
      <c r="AO1050" s="27">
        <f>IF($A1050="","",IF(AND(COUNTIFS($A$14:$A$1213,$A1050,$F$14:$F$1213,"&gt;=0")=2,IFERROR(INDEX($M$14:$M$313,MATCH($A1050,$H$14:$H$313,0)),"Yes")&lt;&gt;"Yes"),1,0))</f>
        <v/>
      </c>
    </row>
    <row r="1051">
      <c r="A1051" s="19" t="n"/>
      <c r="B1051" s="20" t="n"/>
      <c r="C1051" s="21">
        <f>IFERROR(AVERAGE(P1051:T1051),"")</f>
        <v/>
      </c>
      <c r="D1051" s="29" t="n"/>
      <c r="E1051" s="29" t="n"/>
      <c r="F1051" s="30">
        <f>IF(AND(ISNUMBER($D1051),ISNUMBER($E1051),$E1051&gt;0,$D1051&lt;=$E1051),$D1051/$E1051,"")</f>
        <v/>
      </c>
      <c r="P1051" s="26" t="n"/>
      <c r="Q1051" s="26" t="n"/>
      <c r="R1051" s="26" t="n"/>
      <c r="S1051" s="26" t="n"/>
      <c r="T1051" s="26" t="n"/>
      <c r="V1051" s="27">
        <f>IF(ISNUMBER($C1051),COUNTIFS($A$14:$A$1213,$A1051,$C$14:$C$1213,"&gt;"&amp;$C1051)+(COUNTIFS($A$14:$A$1213,$A1051,$C$14:$C$1213,"="&amp;$C1051)+1)/2,"")</f>
        <v/>
      </c>
      <c r="W1051" s="27">
        <f>IF(ISNUMBER($F1051),COUNTIFS($A$14:$A$1213,$A1051,$F$14:$F$1213,"&gt;"&amp;$F1051)+(COUNTIFS($A$14:$A$1213,$A1051,$F$14:$F$1213,"="&amp;$F1051)+1)/2,"")</f>
        <v/>
      </c>
      <c r="X1051" s="27">
        <f>IF(OR(NOT(ISNUMBER($V1051)),$AO1051=1),"",$V1051-(COUNTIFS($A$14:$A$1213,$A1051,$C$14:$C$1213,"&gt;=0")+1)/2)</f>
        <v/>
      </c>
      <c r="Y1051" s="27">
        <f>IF(OR(NOT(ISNUMBER($W1051)),$AO1051=1),"",$W1051-(COUNTIFS($A$14:$A$1213,$A1051,$F$14:$F$1213,"&gt;=0")+1)/2)</f>
        <v/>
      </c>
      <c r="Z1051" s="27">
        <f>IF(ISNUMBER($V1051),$A1051&amp;"|"&amp;$V1051,"")</f>
        <v/>
      </c>
      <c r="AA1051" s="27">
        <f>IF(ISNUMBER($W1051),$A1051&amp;"|"&amp;$W1051,"")</f>
        <v/>
      </c>
      <c r="AB1051" s="27">
        <f>IF(ISNUMBER($F1051),$A1051&amp;"|"&amp;$F1051,"")</f>
        <v/>
      </c>
      <c r="AC1051" s="27">
        <f>IF(ISNUMBER($P1051),COUNTIFS($A$14:$A$1213,$A1051,$P$14:$P$1213,"&gt;"&amp;$P1051)+(COUNTIFS($A$14:$A$1213,$A1051,$P$14:$P$1213,"="&amp;$P1051)+1)/2,"")</f>
        <v/>
      </c>
      <c r="AD1051" s="27">
        <f>IF(ISNUMBER($Q1051),COUNTIFS($A$14:$A$1213,$A1051,$Q$14:$Q$1213,"&gt;"&amp;$Q1051)+(COUNTIFS($A$14:$A$1213,$A1051,$Q$14:$Q$1213,"="&amp;$Q1051)+1)/2,"")</f>
        <v/>
      </c>
      <c r="AE1051" s="27">
        <f>IF(ISNUMBER($R1051),COUNTIFS($A$14:$A$1213,$A1051,$R$14:$R$1213,"&gt;"&amp;$R1051)+(COUNTIFS($A$14:$A$1213,$A1051,$R$14:$R$1213,"="&amp;$R1051)+1)/2,"")</f>
        <v/>
      </c>
      <c r="AF1051" s="27">
        <f>IF(ISNUMBER($S1051),COUNTIFS($A$14:$A$1213,$A1051,$S$14:$S$1213,"&gt;"&amp;$S1051)+(COUNTIFS($A$14:$A$1213,$A1051,$S$14:$S$1213,"="&amp;$S1051)+1)/2,"")</f>
        <v/>
      </c>
      <c r="AG1051" s="27">
        <f>IF(ISNUMBER($T1051),COUNTIFS($A$14:$A$1213,$A1051,$T$14:$T$1213,"&gt;"&amp;$T1051)+(COUNTIFS($A$14:$A$1213,$A1051,$T$14:$T$1213,"="&amp;$T1051)+1)/2,"")</f>
        <v/>
      </c>
      <c r="AH1051" s="27">
        <f>IF(COUNT($AC1051:$AG1051)&lt;2,"",IF(MAX($AC1051:$AG1051)=MIN($AC1051:$AG1051),0,1))</f>
        <v/>
      </c>
      <c r="AI1051" s="27">
        <f>IF($A1051="","",IF(COUNTIF($A$14:$A1051,$A1051)=1,COUNTIF($AI$13:AI1050,"&gt;0")+1,""))</f>
        <v/>
      </c>
      <c r="AO1051" s="27">
        <f>IF($A1051="","",IF(AND(COUNTIFS($A$14:$A$1213,$A1051,$F$14:$F$1213,"&gt;=0")=2,IFERROR(INDEX($M$14:$M$313,MATCH($A1051,$H$14:$H$313,0)),"Yes")&lt;&gt;"Yes"),1,0))</f>
        <v/>
      </c>
    </row>
    <row r="1052">
      <c r="A1052" s="19" t="n"/>
      <c r="B1052" s="20" t="n"/>
      <c r="C1052" s="21">
        <f>IFERROR(AVERAGE(P1052:T1052),"")</f>
        <v/>
      </c>
      <c r="D1052" s="29" t="n"/>
      <c r="E1052" s="29" t="n"/>
      <c r="F1052" s="30">
        <f>IF(AND(ISNUMBER($D1052),ISNUMBER($E1052),$E1052&gt;0,$D1052&lt;=$E1052),$D1052/$E1052,"")</f>
        <v/>
      </c>
      <c r="P1052" s="26" t="n"/>
      <c r="Q1052" s="26" t="n"/>
      <c r="R1052" s="26" t="n"/>
      <c r="S1052" s="26" t="n"/>
      <c r="T1052" s="26" t="n"/>
      <c r="V1052" s="27">
        <f>IF(ISNUMBER($C1052),COUNTIFS($A$14:$A$1213,$A1052,$C$14:$C$1213,"&gt;"&amp;$C1052)+(COUNTIFS($A$14:$A$1213,$A1052,$C$14:$C$1213,"="&amp;$C1052)+1)/2,"")</f>
        <v/>
      </c>
      <c r="W1052" s="27">
        <f>IF(ISNUMBER($F1052),COUNTIFS($A$14:$A$1213,$A1052,$F$14:$F$1213,"&gt;"&amp;$F1052)+(COUNTIFS($A$14:$A$1213,$A1052,$F$14:$F$1213,"="&amp;$F1052)+1)/2,"")</f>
        <v/>
      </c>
      <c r="X1052" s="27">
        <f>IF(OR(NOT(ISNUMBER($V1052)),$AO1052=1),"",$V1052-(COUNTIFS($A$14:$A$1213,$A1052,$C$14:$C$1213,"&gt;=0")+1)/2)</f>
        <v/>
      </c>
      <c r="Y1052" s="27">
        <f>IF(OR(NOT(ISNUMBER($W1052)),$AO1052=1),"",$W1052-(COUNTIFS($A$14:$A$1213,$A1052,$F$14:$F$1213,"&gt;=0")+1)/2)</f>
        <v/>
      </c>
      <c r="Z1052" s="27">
        <f>IF(ISNUMBER($V1052),$A1052&amp;"|"&amp;$V1052,"")</f>
        <v/>
      </c>
      <c r="AA1052" s="27">
        <f>IF(ISNUMBER($W1052),$A1052&amp;"|"&amp;$W1052,"")</f>
        <v/>
      </c>
      <c r="AB1052" s="27">
        <f>IF(ISNUMBER($F1052),$A1052&amp;"|"&amp;$F1052,"")</f>
        <v/>
      </c>
      <c r="AC1052" s="27">
        <f>IF(ISNUMBER($P1052),COUNTIFS($A$14:$A$1213,$A1052,$P$14:$P$1213,"&gt;"&amp;$P1052)+(COUNTIFS($A$14:$A$1213,$A1052,$P$14:$P$1213,"="&amp;$P1052)+1)/2,"")</f>
        <v/>
      </c>
      <c r="AD1052" s="27">
        <f>IF(ISNUMBER($Q1052),COUNTIFS($A$14:$A$1213,$A1052,$Q$14:$Q$1213,"&gt;"&amp;$Q1052)+(COUNTIFS($A$14:$A$1213,$A1052,$Q$14:$Q$1213,"="&amp;$Q1052)+1)/2,"")</f>
        <v/>
      </c>
      <c r="AE1052" s="27">
        <f>IF(ISNUMBER($R1052),COUNTIFS($A$14:$A$1213,$A1052,$R$14:$R$1213,"&gt;"&amp;$R1052)+(COUNTIFS($A$14:$A$1213,$A1052,$R$14:$R$1213,"="&amp;$R1052)+1)/2,"")</f>
        <v/>
      </c>
      <c r="AF1052" s="27">
        <f>IF(ISNUMBER($S1052),COUNTIFS($A$14:$A$1213,$A1052,$S$14:$S$1213,"&gt;"&amp;$S1052)+(COUNTIFS($A$14:$A$1213,$A1052,$S$14:$S$1213,"="&amp;$S1052)+1)/2,"")</f>
        <v/>
      </c>
      <c r="AG1052" s="27">
        <f>IF(ISNUMBER($T1052),COUNTIFS($A$14:$A$1213,$A1052,$T$14:$T$1213,"&gt;"&amp;$T1052)+(COUNTIFS($A$14:$A$1213,$A1052,$T$14:$T$1213,"="&amp;$T1052)+1)/2,"")</f>
        <v/>
      </c>
      <c r="AH1052" s="27">
        <f>IF(COUNT($AC1052:$AG1052)&lt;2,"",IF(MAX($AC1052:$AG1052)=MIN($AC1052:$AG1052),0,1))</f>
        <v/>
      </c>
      <c r="AI1052" s="27">
        <f>IF($A1052="","",IF(COUNTIF($A$14:$A1052,$A1052)=1,COUNTIF($AI$13:AI1051,"&gt;0")+1,""))</f>
        <v/>
      </c>
      <c r="AO1052" s="27">
        <f>IF($A1052="","",IF(AND(COUNTIFS($A$14:$A$1213,$A1052,$F$14:$F$1213,"&gt;=0")=2,IFERROR(INDEX($M$14:$M$313,MATCH($A1052,$H$14:$H$313,0)),"Yes")&lt;&gt;"Yes"),1,0))</f>
        <v/>
      </c>
    </row>
    <row r="1053">
      <c r="A1053" s="19" t="n"/>
      <c r="B1053" s="20" t="n"/>
      <c r="C1053" s="21">
        <f>IFERROR(AVERAGE(P1053:T1053),"")</f>
        <v/>
      </c>
      <c r="D1053" s="29" t="n"/>
      <c r="E1053" s="29" t="n"/>
      <c r="F1053" s="30">
        <f>IF(AND(ISNUMBER($D1053),ISNUMBER($E1053),$E1053&gt;0,$D1053&lt;=$E1053),$D1053/$E1053,"")</f>
        <v/>
      </c>
      <c r="P1053" s="26" t="n"/>
      <c r="Q1053" s="26" t="n"/>
      <c r="R1053" s="26" t="n"/>
      <c r="S1053" s="26" t="n"/>
      <c r="T1053" s="26" t="n"/>
      <c r="V1053" s="27">
        <f>IF(ISNUMBER($C1053),COUNTIFS($A$14:$A$1213,$A1053,$C$14:$C$1213,"&gt;"&amp;$C1053)+(COUNTIFS($A$14:$A$1213,$A1053,$C$14:$C$1213,"="&amp;$C1053)+1)/2,"")</f>
        <v/>
      </c>
      <c r="W1053" s="27">
        <f>IF(ISNUMBER($F1053),COUNTIFS($A$14:$A$1213,$A1053,$F$14:$F$1213,"&gt;"&amp;$F1053)+(COUNTIFS($A$14:$A$1213,$A1053,$F$14:$F$1213,"="&amp;$F1053)+1)/2,"")</f>
        <v/>
      </c>
      <c r="X1053" s="27">
        <f>IF(OR(NOT(ISNUMBER($V1053)),$AO1053=1),"",$V1053-(COUNTIFS($A$14:$A$1213,$A1053,$C$14:$C$1213,"&gt;=0")+1)/2)</f>
        <v/>
      </c>
      <c r="Y1053" s="27">
        <f>IF(OR(NOT(ISNUMBER($W1053)),$AO1053=1),"",$W1053-(COUNTIFS($A$14:$A$1213,$A1053,$F$14:$F$1213,"&gt;=0")+1)/2)</f>
        <v/>
      </c>
      <c r="Z1053" s="27">
        <f>IF(ISNUMBER($V1053),$A1053&amp;"|"&amp;$V1053,"")</f>
        <v/>
      </c>
      <c r="AA1053" s="27">
        <f>IF(ISNUMBER($W1053),$A1053&amp;"|"&amp;$W1053,"")</f>
        <v/>
      </c>
      <c r="AB1053" s="27">
        <f>IF(ISNUMBER($F1053),$A1053&amp;"|"&amp;$F1053,"")</f>
        <v/>
      </c>
      <c r="AC1053" s="27">
        <f>IF(ISNUMBER($P1053),COUNTIFS($A$14:$A$1213,$A1053,$P$14:$P$1213,"&gt;"&amp;$P1053)+(COUNTIFS($A$14:$A$1213,$A1053,$P$14:$P$1213,"="&amp;$P1053)+1)/2,"")</f>
        <v/>
      </c>
      <c r="AD1053" s="27">
        <f>IF(ISNUMBER($Q1053),COUNTIFS($A$14:$A$1213,$A1053,$Q$14:$Q$1213,"&gt;"&amp;$Q1053)+(COUNTIFS($A$14:$A$1213,$A1053,$Q$14:$Q$1213,"="&amp;$Q1053)+1)/2,"")</f>
        <v/>
      </c>
      <c r="AE1053" s="27">
        <f>IF(ISNUMBER($R1053),COUNTIFS($A$14:$A$1213,$A1053,$R$14:$R$1213,"&gt;"&amp;$R1053)+(COUNTIFS($A$14:$A$1213,$A1053,$R$14:$R$1213,"="&amp;$R1053)+1)/2,"")</f>
        <v/>
      </c>
      <c r="AF1053" s="27">
        <f>IF(ISNUMBER($S1053),COUNTIFS($A$14:$A$1213,$A1053,$S$14:$S$1213,"&gt;"&amp;$S1053)+(COUNTIFS($A$14:$A$1213,$A1053,$S$14:$S$1213,"="&amp;$S1053)+1)/2,"")</f>
        <v/>
      </c>
      <c r="AG1053" s="27">
        <f>IF(ISNUMBER($T1053),COUNTIFS($A$14:$A$1213,$A1053,$T$14:$T$1213,"&gt;"&amp;$T1053)+(COUNTIFS($A$14:$A$1213,$A1053,$T$14:$T$1213,"="&amp;$T1053)+1)/2,"")</f>
        <v/>
      </c>
      <c r="AH1053" s="27">
        <f>IF(COUNT($AC1053:$AG1053)&lt;2,"",IF(MAX($AC1053:$AG1053)=MIN($AC1053:$AG1053),0,1))</f>
        <v/>
      </c>
      <c r="AI1053" s="27">
        <f>IF($A1053="","",IF(COUNTIF($A$14:$A1053,$A1053)=1,COUNTIF($AI$13:AI1052,"&gt;0")+1,""))</f>
        <v/>
      </c>
      <c r="AO1053" s="27">
        <f>IF($A1053="","",IF(AND(COUNTIFS($A$14:$A$1213,$A1053,$F$14:$F$1213,"&gt;=0")=2,IFERROR(INDEX($M$14:$M$313,MATCH($A1053,$H$14:$H$313,0)),"Yes")&lt;&gt;"Yes"),1,0))</f>
        <v/>
      </c>
    </row>
    <row r="1054">
      <c r="A1054" s="19" t="n"/>
      <c r="B1054" s="20" t="n"/>
      <c r="C1054" s="21">
        <f>IFERROR(AVERAGE(P1054:T1054),"")</f>
        <v/>
      </c>
      <c r="D1054" s="29" t="n"/>
      <c r="E1054" s="29" t="n"/>
      <c r="F1054" s="30">
        <f>IF(AND(ISNUMBER($D1054),ISNUMBER($E1054),$E1054&gt;0,$D1054&lt;=$E1054),$D1054/$E1054,"")</f>
        <v/>
      </c>
      <c r="P1054" s="26" t="n"/>
      <c r="Q1054" s="26" t="n"/>
      <c r="R1054" s="26" t="n"/>
      <c r="S1054" s="26" t="n"/>
      <c r="T1054" s="26" t="n"/>
      <c r="V1054" s="27">
        <f>IF(ISNUMBER($C1054),COUNTIFS($A$14:$A$1213,$A1054,$C$14:$C$1213,"&gt;"&amp;$C1054)+(COUNTIFS($A$14:$A$1213,$A1054,$C$14:$C$1213,"="&amp;$C1054)+1)/2,"")</f>
        <v/>
      </c>
      <c r="W1054" s="27">
        <f>IF(ISNUMBER($F1054),COUNTIFS($A$14:$A$1213,$A1054,$F$14:$F$1213,"&gt;"&amp;$F1054)+(COUNTIFS($A$14:$A$1213,$A1054,$F$14:$F$1213,"="&amp;$F1054)+1)/2,"")</f>
        <v/>
      </c>
      <c r="X1054" s="27">
        <f>IF(OR(NOT(ISNUMBER($V1054)),$AO1054=1),"",$V1054-(COUNTIFS($A$14:$A$1213,$A1054,$C$14:$C$1213,"&gt;=0")+1)/2)</f>
        <v/>
      </c>
      <c r="Y1054" s="27">
        <f>IF(OR(NOT(ISNUMBER($W1054)),$AO1054=1),"",$W1054-(COUNTIFS($A$14:$A$1213,$A1054,$F$14:$F$1213,"&gt;=0")+1)/2)</f>
        <v/>
      </c>
      <c r="Z1054" s="27">
        <f>IF(ISNUMBER($V1054),$A1054&amp;"|"&amp;$V1054,"")</f>
        <v/>
      </c>
      <c r="AA1054" s="27">
        <f>IF(ISNUMBER($W1054),$A1054&amp;"|"&amp;$W1054,"")</f>
        <v/>
      </c>
      <c r="AB1054" s="27">
        <f>IF(ISNUMBER($F1054),$A1054&amp;"|"&amp;$F1054,"")</f>
        <v/>
      </c>
      <c r="AC1054" s="27">
        <f>IF(ISNUMBER($P1054),COUNTIFS($A$14:$A$1213,$A1054,$P$14:$P$1213,"&gt;"&amp;$P1054)+(COUNTIFS($A$14:$A$1213,$A1054,$P$14:$P$1213,"="&amp;$P1054)+1)/2,"")</f>
        <v/>
      </c>
      <c r="AD1054" s="27">
        <f>IF(ISNUMBER($Q1054),COUNTIFS($A$14:$A$1213,$A1054,$Q$14:$Q$1213,"&gt;"&amp;$Q1054)+(COUNTIFS($A$14:$A$1213,$A1054,$Q$14:$Q$1213,"="&amp;$Q1054)+1)/2,"")</f>
        <v/>
      </c>
      <c r="AE1054" s="27">
        <f>IF(ISNUMBER($R1054),COUNTIFS($A$14:$A$1213,$A1054,$R$14:$R$1213,"&gt;"&amp;$R1054)+(COUNTIFS($A$14:$A$1213,$A1054,$R$14:$R$1213,"="&amp;$R1054)+1)/2,"")</f>
        <v/>
      </c>
      <c r="AF1054" s="27">
        <f>IF(ISNUMBER($S1054),COUNTIFS($A$14:$A$1213,$A1054,$S$14:$S$1213,"&gt;"&amp;$S1054)+(COUNTIFS($A$14:$A$1213,$A1054,$S$14:$S$1213,"="&amp;$S1054)+1)/2,"")</f>
        <v/>
      </c>
      <c r="AG1054" s="27">
        <f>IF(ISNUMBER($T1054),COUNTIFS($A$14:$A$1213,$A1054,$T$14:$T$1213,"&gt;"&amp;$T1054)+(COUNTIFS($A$14:$A$1213,$A1054,$T$14:$T$1213,"="&amp;$T1054)+1)/2,"")</f>
        <v/>
      </c>
      <c r="AH1054" s="27">
        <f>IF(COUNT($AC1054:$AG1054)&lt;2,"",IF(MAX($AC1054:$AG1054)=MIN($AC1054:$AG1054),0,1))</f>
        <v/>
      </c>
      <c r="AI1054" s="27">
        <f>IF($A1054="","",IF(COUNTIF($A$14:$A1054,$A1054)=1,COUNTIF($AI$13:AI1053,"&gt;0")+1,""))</f>
        <v/>
      </c>
      <c r="AO1054" s="27">
        <f>IF($A1054="","",IF(AND(COUNTIFS($A$14:$A$1213,$A1054,$F$14:$F$1213,"&gt;=0")=2,IFERROR(INDEX($M$14:$M$313,MATCH($A1054,$H$14:$H$313,0)),"Yes")&lt;&gt;"Yes"),1,0))</f>
        <v/>
      </c>
    </row>
    <row r="1055">
      <c r="A1055" s="19" t="n"/>
      <c r="B1055" s="20" t="n"/>
      <c r="C1055" s="21">
        <f>IFERROR(AVERAGE(P1055:T1055),"")</f>
        <v/>
      </c>
      <c r="D1055" s="29" t="n"/>
      <c r="E1055" s="29" t="n"/>
      <c r="F1055" s="30">
        <f>IF(AND(ISNUMBER($D1055),ISNUMBER($E1055),$E1055&gt;0,$D1055&lt;=$E1055),$D1055/$E1055,"")</f>
        <v/>
      </c>
      <c r="P1055" s="26" t="n"/>
      <c r="Q1055" s="26" t="n"/>
      <c r="R1055" s="26" t="n"/>
      <c r="S1055" s="26" t="n"/>
      <c r="T1055" s="26" t="n"/>
      <c r="V1055" s="27">
        <f>IF(ISNUMBER($C1055),COUNTIFS($A$14:$A$1213,$A1055,$C$14:$C$1213,"&gt;"&amp;$C1055)+(COUNTIFS($A$14:$A$1213,$A1055,$C$14:$C$1213,"="&amp;$C1055)+1)/2,"")</f>
        <v/>
      </c>
      <c r="W1055" s="27">
        <f>IF(ISNUMBER($F1055),COUNTIFS($A$14:$A$1213,$A1055,$F$14:$F$1213,"&gt;"&amp;$F1055)+(COUNTIFS($A$14:$A$1213,$A1055,$F$14:$F$1213,"="&amp;$F1055)+1)/2,"")</f>
        <v/>
      </c>
      <c r="X1055" s="27">
        <f>IF(OR(NOT(ISNUMBER($V1055)),$AO1055=1),"",$V1055-(COUNTIFS($A$14:$A$1213,$A1055,$C$14:$C$1213,"&gt;=0")+1)/2)</f>
        <v/>
      </c>
      <c r="Y1055" s="27">
        <f>IF(OR(NOT(ISNUMBER($W1055)),$AO1055=1),"",$W1055-(COUNTIFS($A$14:$A$1213,$A1055,$F$14:$F$1213,"&gt;=0")+1)/2)</f>
        <v/>
      </c>
      <c r="Z1055" s="27">
        <f>IF(ISNUMBER($V1055),$A1055&amp;"|"&amp;$V1055,"")</f>
        <v/>
      </c>
      <c r="AA1055" s="27">
        <f>IF(ISNUMBER($W1055),$A1055&amp;"|"&amp;$W1055,"")</f>
        <v/>
      </c>
      <c r="AB1055" s="27">
        <f>IF(ISNUMBER($F1055),$A1055&amp;"|"&amp;$F1055,"")</f>
        <v/>
      </c>
      <c r="AC1055" s="27">
        <f>IF(ISNUMBER($P1055),COUNTIFS($A$14:$A$1213,$A1055,$P$14:$P$1213,"&gt;"&amp;$P1055)+(COUNTIFS($A$14:$A$1213,$A1055,$P$14:$P$1213,"="&amp;$P1055)+1)/2,"")</f>
        <v/>
      </c>
      <c r="AD1055" s="27">
        <f>IF(ISNUMBER($Q1055),COUNTIFS($A$14:$A$1213,$A1055,$Q$14:$Q$1213,"&gt;"&amp;$Q1055)+(COUNTIFS($A$14:$A$1213,$A1055,$Q$14:$Q$1213,"="&amp;$Q1055)+1)/2,"")</f>
        <v/>
      </c>
      <c r="AE1055" s="27">
        <f>IF(ISNUMBER($R1055),COUNTIFS($A$14:$A$1213,$A1055,$R$14:$R$1213,"&gt;"&amp;$R1055)+(COUNTIFS($A$14:$A$1213,$A1055,$R$14:$R$1213,"="&amp;$R1055)+1)/2,"")</f>
        <v/>
      </c>
      <c r="AF1055" s="27">
        <f>IF(ISNUMBER($S1055),COUNTIFS($A$14:$A$1213,$A1055,$S$14:$S$1213,"&gt;"&amp;$S1055)+(COUNTIFS($A$14:$A$1213,$A1055,$S$14:$S$1213,"="&amp;$S1055)+1)/2,"")</f>
        <v/>
      </c>
      <c r="AG1055" s="27">
        <f>IF(ISNUMBER($T1055),COUNTIFS($A$14:$A$1213,$A1055,$T$14:$T$1213,"&gt;"&amp;$T1055)+(COUNTIFS($A$14:$A$1213,$A1055,$T$14:$T$1213,"="&amp;$T1055)+1)/2,"")</f>
        <v/>
      </c>
      <c r="AH1055" s="27">
        <f>IF(COUNT($AC1055:$AG1055)&lt;2,"",IF(MAX($AC1055:$AG1055)=MIN($AC1055:$AG1055),0,1))</f>
        <v/>
      </c>
      <c r="AI1055" s="27">
        <f>IF($A1055="","",IF(COUNTIF($A$14:$A1055,$A1055)=1,COUNTIF($AI$13:AI1054,"&gt;0")+1,""))</f>
        <v/>
      </c>
      <c r="AO1055" s="27">
        <f>IF($A1055="","",IF(AND(COUNTIFS($A$14:$A$1213,$A1055,$F$14:$F$1213,"&gt;=0")=2,IFERROR(INDEX($M$14:$M$313,MATCH($A1055,$H$14:$H$313,0)),"Yes")&lt;&gt;"Yes"),1,0))</f>
        <v/>
      </c>
    </row>
    <row r="1056">
      <c r="A1056" s="19" t="n"/>
      <c r="B1056" s="20" t="n"/>
      <c r="C1056" s="21">
        <f>IFERROR(AVERAGE(P1056:T1056),"")</f>
        <v/>
      </c>
      <c r="D1056" s="29" t="n"/>
      <c r="E1056" s="29" t="n"/>
      <c r="F1056" s="30">
        <f>IF(AND(ISNUMBER($D1056),ISNUMBER($E1056),$E1056&gt;0,$D1056&lt;=$E1056),$D1056/$E1056,"")</f>
        <v/>
      </c>
      <c r="P1056" s="26" t="n"/>
      <c r="Q1056" s="26" t="n"/>
      <c r="R1056" s="26" t="n"/>
      <c r="S1056" s="26" t="n"/>
      <c r="T1056" s="26" t="n"/>
      <c r="V1056" s="27">
        <f>IF(ISNUMBER($C1056),COUNTIFS($A$14:$A$1213,$A1056,$C$14:$C$1213,"&gt;"&amp;$C1056)+(COUNTIFS($A$14:$A$1213,$A1056,$C$14:$C$1213,"="&amp;$C1056)+1)/2,"")</f>
        <v/>
      </c>
      <c r="W1056" s="27">
        <f>IF(ISNUMBER($F1056),COUNTIFS($A$14:$A$1213,$A1056,$F$14:$F$1213,"&gt;"&amp;$F1056)+(COUNTIFS($A$14:$A$1213,$A1056,$F$14:$F$1213,"="&amp;$F1056)+1)/2,"")</f>
        <v/>
      </c>
      <c r="X1056" s="27">
        <f>IF(OR(NOT(ISNUMBER($V1056)),$AO1056=1),"",$V1056-(COUNTIFS($A$14:$A$1213,$A1056,$C$14:$C$1213,"&gt;=0")+1)/2)</f>
        <v/>
      </c>
      <c r="Y1056" s="27">
        <f>IF(OR(NOT(ISNUMBER($W1056)),$AO1056=1),"",$W1056-(COUNTIFS($A$14:$A$1213,$A1056,$F$14:$F$1213,"&gt;=0")+1)/2)</f>
        <v/>
      </c>
      <c r="Z1056" s="27">
        <f>IF(ISNUMBER($V1056),$A1056&amp;"|"&amp;$V1056,"")</f>
        <v/>
      </c>
      <c r="AA1056" s="27">
        <f>IF(ISNUMBER($W1056),$A1056&amp;"|"&amp;$W1056,"")</f>
        <v/>
      </c>
      <c r="AB1056" s="27">
        <f>IF(ISNUMBER($F1056),$A1056&amp;"|"&amp;$F1056,"")</f>
        <v/>
      </c>
      <c r="AC1056" s="27">
        <f>IF(ISNUMBER($P1056),COUNTIFS($A$14:$A$1213,$A1056,$P$14:$P$1213,"&gt;"&amp;$P1056)+(COUNTIFS($A$14:$A$1213,$A1056,$P$14:$P$1213,"="&amp;$P1056)+1)/2,"")</f>
        <v/>
      </c>
      <c r="AD1056" s="27">
        <f>IF(ISNUMBER($Q1056),COUNTIFS($A$14:$A$1213,$A1056,$Q$14:$Q$1213,"&gt;"&amp;$Q1056)+(COUNTIFS($A$14:$A$1213,$A1056,$Q$14:$Q$1213,"="&amp;$Q1056)+1)/2,"")</f>
        <v/>
      </c>
      <c r="AE1056" s="27">
        <f>IF(ISNUMBER($R1056),COUNTIFS($A$14:$A$1213,$A1056,$R$14:$R$1213,"&gt;"&amp;$R1056)+(COUNTIFS($A$14:$A$1213,$A1056,$R$14:$R$1213,"="&amp;$R1056)+1)/2,"")</f>
        <v/>
      </c>
      <c r="AF1056" s="27">
        <f>IF(ISNUMBER($S1056),COUNTIFS($A$14:$A$1213,$A1056,$S$14:$S$1213,"&gt;"&amp;$S1056)+(COUNTIFS($A$14:$A$1213,$A1056,$S$14:$S$1213,"="&amp;$S1056)+1)/2,"")</f>
        <v/>
      </c>
      <c r="AG1056" s="27">
        <f>IF(ISNUMBER($T1056),COUNTIFS($A$14:$A$1213,$A1056,$T$14:$T$1213,"&gt;"&amp;$T1056)+(COUNTIFS($A$14:$A$1213,$A1056,$T$14:$T$1213,"="&amp;$T1056)+1)/2,"")</f>
        <v/>
      </c>
      <c r="AH1056" s="27">
        <f>IF(COUNT($AC1056:$AG1056)&lt;2,"",IF(MAX($AC1056:$AG1056)=MIN($AC1056:$AG1056),0,1))</f>
        <v/>
      </c>
      <c r="AI1056" s="27">
        <f>IF($A1056="","",IF(COUNTIF($A$14:$A1056,$A1056)=1,COUNTIF($AI$13:AI1055,"&gt;0")+1,""))</f>
        <v/>
      </c>
      <c r="AO1056" s="27">
        <f>IF($A1056="","",IF(AND(COUNTIFS($A$14:$A$1213,$A1056,$F$14:$F$1213,"&gt;=0")=2,IFERROR(INDEX($M$14:$M$313,MATCH($A1056,$H$14:$H$313,0)),"Yes")&lt;&gt;"Yes"),1,0))</f>
        <v/>
      </c>
    </row>
    <row r="1057">
      <c r="A1057" s="19" t="n"/>
      <c r="B1057" s="20" t="n"/>
      <c r="C1057" s="21">
        <f>IFERROR(AVERAGE(P1057:T1057),"")</f>
        <v/>
      </c>
      <c r="D1057" s="29" t="n"/>
      <c r="E1057" s="29" t="n"/>
      <c r="F1057" s="30">
        <f>IF(AND(ISNUMBER($D1057),ISNUMBER($E1057),$E1057&gt;0,$D1057&lt;=$E1057),$D1057/$E1057,"")</f>
        <v/>
      </c>
      <c r="P1057" s="26" t="n"/>
      <c r="Q1057" s="26" t="n"/>
      <c r="R1057" s="26" t="n"/>
      <c r="S1057" s="26" t="n"/>
      <c r="T1057" s="26" t="n"/>
      <c r="V1057" s="27">
        <f>IF(ISNUMBER($C1057),COUNTIFS($A$14:$A$1213,$A1057,$C$14:$C$1213,"&gt;"&amp;$C1057)+(COUNTIFS($A$14:$A$1213,$A1057,$C$14:$C$1213,"="&amp;$C1057)+1)/2,"")</f>
        <v/>
      </c>
      <c r="W1057" s="27">
        <f>IF(ISNUMBER($F1057),COUNTIFS($A$14:$A$1213,$A1057,$F$14:$F$1213,"&gt;"&amp;$F1057)+(COUNTIFS($A$14:$A$1213,$A1057,$F$14:$F$1213,"="&amp;$F1057)+1)/2,"")</f>
        <v/>
      </c>
      <c r="X1057" s="27">
        <f>IF(OR(NOT(ISNUMBER($V1057)),$AO1057=1),"",$V1057-(COUNTIFS($A$14:$A$1213,$A1057,$C$14:$C$1213,"&gt;=0")+1)/2)</f>
        <v/>
      </c>
      <c r="Y1057" s="27">
        <f>IF(OR(NOT(ISNUMBER($W1057)),$AO1057=1),"",$W1057-(COUNTIFS($A$14:$A$1213,$A1057,$F$14:$F$1213,"&gt;=0")+1)/2)</f>
        <v/>
      </c>
      <c r="Z1057" s="27">
        <f>IF(ISNUMBER($V1057),$A1057&amp;"|"&amp;$V1057,"")</f>
        <v/>
      </c>
      <c r="AA1057" s="27">
        <f>IF(ISNUMBER($W1057),$A1057&amp;"|"&amp;$W1057,"")</f>
        <v/>
      </c>
      <c r="AB1057" s="27">
        <f>IF(ISNUMBER($F1057),$A1057&amp;"|"&amp;$F1057,"")</f>
        <v/>
      </c>
      <c r="AC1057" s="27">
        <f>IF(ISNUMBER($P1057),COUNTIFS($A$14:$A$1213,$A1057,$P$14:$P$1213,"&gt;"&amp;$P1057)+(COUNTIFS($A$14:$A$1213,$A1057,$P$14:$P$1213,"="&amp;$P1057)+1)/2,"")</f>
        <v/>
      </c>
      <c r="AD1057" s="27">
        <f>IF(ISNUMBER($Q1057),COUNTIFS($A$14:$A$1213,$A1057,$Q$14:$Q$1213,"&gt;"&amp;$Q1057)+(COUNTIFS($A$14:$A$1213,$A1057,$Q$14:$Q$1213,"="&amp;$Q1057)+1)/2,"")</f>
        <v/>
      </c>
      <c r="AE1057" s="27">
        <f>IF(ISNUMBER($R1057),COUNTIFS($A$14:$A$1213,$A1057,$R$14:$R$1213,"&gt;"&amp;$R1057)+(COUNTIFS($A$14:$A$1213,$A1057,$R$14:$R$1213,"="&amp;$R1057)+1)/2,"")</f>
        <v/>
      </c>
      <c r="AF1057" s="27">
        <f>IF(ISNUMBER($S1057),COUNTIFS($A$14:$A$1213,$A1057,$S$14:$S$1213,"&gt;"&amp;$S1057)+(COUNTIFS($A$14:$A$1213,$A1057,$S$14:$S$1213,"="&amp;$S1057)+1)/2,"")</f>
        <v/>
      </c>
      <c r="AG1057" s="27">
        <f>IF(ISNUMBER($T1057),COUNTIFS($A$14:$A$1213,$A1057,$T$14:$T$1213,"&gt;"&amp;$T1057)+(COUNTIFS($A$14:$A$1213,$A1057,$T$14:$T$1213,"="&amp;$T1057)+1)/2,"")</f>
        <v/>
      </c>
      <c r="AH1057" s="27">
        <f>IF(COUNT($AC1057:$AG1057)&lt;2,"",IF(MAX($AC1057:$AG1057)=MIN($AC1057:$AG1057),0,1))</f>
        <v/>
      </c>
      <c r="AI1057" s="27">
        <f>IF($A1057="","",IF(COUNTIF($A$14:$A1057,$A1057)=1,COUNTIF($AI$13:AI1056,"&gt;0")+1,""))</f>
        <v/>
      </c>
      <c r="AO1057" s="27">
        <f>IF($A1057="","",IF(AND(COUNTIFS($A$14:$A$1213,$A1057,$F$14:$F$1213,"&gt;=0")=2,IFERROR(INDEX($M$14:$M$313,MATCH($A1057,$H$14:$H$313,0)),"Yes")&lt;&gt;"Yes"),1,0))</f>
        <v/>
      </c>
    </row>
    <row r="1058">
      <c r="A1058" s="19" t="n"/>
      <c r="B1058" s="20" t="n"/>
      <c r="C1058" s="21">
        <f>IFERROR(AVERAGE(P1058:T1058),"")</f>
        <v/>
      </c>
      <c r="D1058" s="29" t="n"/>
      <c r="E1058" s="29" t="n"/>
      <c r="F1058" s="30">
        <f>IF(AND(ISNUMBER($D1058),ISNUMBER($E1058),$E1058&gt;0,$D1058&lt;=$E1058),$D1058/$E1058,"")</f>
        <v/>
      </c>
      <c r="P1058" s="26" t="n"/>
      <c r="Q1058" s="26" t="n"/>
      <c r="R1058" s="26" t="n"/>
      <c r="S1058" s="26" t="n"/>
      <c r="T1058" s="26" t="n"/>
      <c r="V1058" s="27">
        <f>IF(ISNUMBER($C1058),COUNTIFS($A$14:$A$1213,$A1058,$C$14:$C$1213,"&gt;"&amp;$C1058)+(COUNTIFS($A$14:$A$1213,$A1058,$C$14:$C$1213,"="&amp;$C1058)+1)/2,"")</f>
        <v/>
      </c>
      <c r="W1058" s="27">
        <f>IF(ISNUMBER($F1058),COUNTIFS($A$14:$A$1213,$A1058,$F$14:$F$1213,"&gt;"&amp;$F1058)+(COUNTIFS($A$14:$A$1213,$A1058,$F$14:$F$1213,"="&amp;$F1058)+1)/2,"")</f>
        <v/>
      </c>
      <c r="X1058" s="27">
        <f>IF(OR(NOT(ISNUMBER($V1058)),$AO1058=1),"",$V1058-(COUNTIFS($A$14:$A$1213,$A1058,$C$14:$C$1213,"&gt;=0")+1)/2)</f>
        <v/>
      </c>
      <c r="Y1058" s="27">
        <f>IF(OR(NOT(ISNUMBER($W1058)),$AO1058=1),"",$W1058-(COUNTIFS($A$14:$A$1213,$A1058,$F$14:$F$1213,"&gt;=0")+1)/2)</f>
        <v/>
      </c>
      <c r="Z1058" s="27">
        <f>IF(ISNUMBER($V1058),$A1058&amp;"|"&amp;$V1058,"")</f>
        <v/>
      </c>
      <c r="AA1058" s="27">
        <f>IF(ISNUMBER($W1058),$A1058&amp;"|"&amp;$W1058,"")</f>
        <v/>
      </c>
      <c r="AB1058" s="27">
        <f>IF(ISNUMBER($F1058),$A1058&amp;"|"&amp;$F1058,"")</f>
        <v/>
      </c>
      <c r="AC1058" s="27">
        <f>IF(ISNUMBER($P1058),COUNTIFS($A$14:$A$1213,$A1058,$P$14:$P$1213,"&gt;"&amp;$P1058)+(COUNTIFS($A$14:$A$1213,$A1058,$P$14:$P$1213,"="&amp;$P1058)+1)/2,"")</f>
        <v/>
      </c>
      <c r="AD1058" s="27">
        <f>IF(ISNUMBER($Q1058),COUNTIFS($A$14:$A$1213,$A1058,$Q$14:$Q$1213,"&gt;"&amp;$Q1058)+(COUNTIFS($A$14:$A$1213,$A1058,$Q$14:$Q$1213,"="&amp;$Q1058)+1)/2,"")</f>
        <v/>
      </c>
      <c r="AE1058" s="27">
        <f>IF(ISNUMBER($R1058),COUNTIFS($A$14:$A$1213,$A1058,$R$14:$R$1213,"&gt;"&amp;$R1058)+(COUNTIFS($A$14:$A$1213,$A1058,$R$14:$R$1213,"="&amp;$R1058)+1)/2,"")</f>
        <v/>
      </c>
      <c r="AF1058" s="27">
        <f>IF(ISNUMBER($S1058),COUNTIFS($A$14:$A$1213,$A1058,$S$14:$S$1213,"&gt;"&amp;$S1058)+(COUNTIFS($A$14:$A$1213,$A1058,$S$14:$S$1213,"="&amp;$S1058)+1)/2,"")</f>
        <v/>
      </c>
      <c r="AG1058" s="27">
        <f>IF(ISNUMBER($T1058),COUNTIFS($A$14:$A$1213,$A1058,$T$14:$T$1213,"&gt;"&amp;$T1058)+(COUNTIFS($A$14:$A$1213,$A1058,$T$14:$T$1213,"="&amp;$T1058)+1)/2,"")</f>
        <v/>
      </c>
      <c r="AH1058" s="27">
        <f>IF(COUNT($AC1058:$AG1058)&lt;2,"",IF(MAX($AC1058:$AG1058)=MIN($AC1058:$AG1058),0,1))</f>
        <v/>
      </c>
      <c r="AI1058" s="27">
        <f>IF($A1058="","",IF(COUNTIF($A$14:$A1058,$A1058)=1,COUNTIF($AI$13:AI1057,"&gt;0")+1,""))</f>
        <v/>
      </c>
      <c r="AO1058" s="27">
        <f>IF($A1058="","",IF(AND(COUNTIFS($A$14:$A$1213,$A1058,$F$14:$F$1213,"&gt;=0")=2,IFERROR(INDEX($M$14:$M$313,MATCH($A1058,$H$14:$H$313,0)),"Yes")&lt;&gt;"Yes"),1,0))</f>
        <v/>
      </c>
    </row>
    <row r="1059">
      <c r="A1059" s="19" t="n"/>
      <c r="B1059" s="20" t="n"/>
      <c r="C1059" s="21">
        <f>IFERROR(AVERAGE(P1059:T1059),"")</f>
        <v/>
      </c>
      <c r="D1059" s="29" t="n"/>
      <c r="E1059" s="29" t="n"/>
      <c r="F1059" s="30">
        <f>IF(AND(ISNUMBER($D1059),ISNUMBER($E1059),$E1059&gt;0,$D1059&lt;=$E1059),$D1059/$E1059,"")</f>
        <v/>
      </c>
      <c r="P1059" s="26" t="n"/>
      <c r="Q1059" s="26" t="n"/>
      <c r="R1059" s="26" t="n"/>
      <c r="S1059" s="26" t="n"/>
      <c r="T1059" s="26" t="n"/>
      <c r="V1059" s="27">
        <f>IF(ISNUMBER($C1059),COUNTIFS($A$14:$A$1213,$A1059,$C$14:$C$1213,"&gt;"&amp;$C1059)+(COUNTIFS($A$14:$A$1213,$A1059,$C$14:$C$1213,"="&amp;$C1059)+1)/2,"")</f>
        <v/>
      </c>
      <c r="W1059" s="27">
        <f>IF(ISNUMBER($F1059),COUNTIFS($A$14:$A$1213,$A1059,$F$14:$F$1213,"&gt;"&amp;$F1059)+(COUNTIFS($A$14:$A$1213,$A1059,$F$14:$F$1213,"="&amp;$F1059)+1)/2,"")</f>
        <v/>
      </c>
      <c r="X1059" s="27">
        <f>IF(OR(NOT(ISNUMBER($V1059)),$AO1059=1),"",$V1059-(COUNTIFS($A$14:$A$1213,$A1059,$C$14:$C$1213,"&gt;=0")+1)/2)</f>
        <v/>
      </c>
      <c r="Y1059" s="27">
        <f>IF(OR(NOT(ISNUMBER($W1059)),$AO1059=1),"",$W1059-(COUNTIFS($A$14:$A$1213,$A1059,$F$14:$F$1213,"&gt;=0")+1)/2)</f>
        <v/>
      </c>
      <c r="Z1059" s="27">
        <f>IF(ISNUMBER($V1059),$A1059&amp;"|"&amp;$V1059,"")</f>
        <v/>
      </c>
      <c r="AA1059" s="27">
        <f>IF(ISNUMBER($W1059),$A1059&amp;"|"&amp;$W1059,"")</f>
        <v/>
      </c>
      <c r="AB1059" s="27">
        <f>IF(ISNUMBER($F1059),$A1059&amp;"|"&amp;$F1059,"")</f>
        <v/>
      </c>
      <c r="AC1059" s="27">
        <f>IF(ISNUMBER($P1059),COUNTIFS($A$14:$A$1213,$A1059,$P$14:$P$1213,"&gt;"&amp;$P1059)+(COUNTIFS($A$14:$A$1213,$A1059,$P$14:$P$1213,"="&amp;$P1059)+1)/2,"")</f>
        <v/>
      </c>
      <c r="AD1059" s="27">
        <f>IF(ISNUMBER($Q1059),COUNTIFS($A$14:$A$1213,$A1059,$Q$14:$Q$1213,"&gt;"&amp;$Q1059)+(COUNTIFS($A$14:$A$1213,$A1059,$Q$14:$Q$1213,"="&amp;$Q1059)+1)/2,"")</f>
        <v/>
      </c>
      <c r="AE1059" s="27">
        <f>IF(ISNUMBER($R1059),COUNTIFS($A$14:$A$1213,$A1059,$R$14:$R$1213,"&gt;"&amp;$R1059)+(COUNTIFS($A$14:$A$1213,$A1059,$R$14:$R$1213,"="&amp;$R1059)+1)/2,"")</f>
        <v/>
      </c>
      <c r="AF1059" s="27">
        <f>IF(ISNUMBER($S1059),COUNTIFS($A$14:$A$1213,$A1059,$S$14:$S$1213,"&gt;"&amp;$S1059)+(COUNTIFS($A$14:$A$1213,$A1059,$S$14:$S$1213,"="&amp;$S1059)+1)/2,"")</f>
        <v/>
      </c>
      <c r="AG1059" s="27">
        <f>IF(ISNUMBER($T1059),COUNTIFS($A$14:$A$1213,$A1059,$T$14:$T$1213,"&gt;"&amp;$T1059)+(COUNTIFS($A$14:$A$1213,$A1059,$T$14:$T$1213,"="&amp;$T1059)+1)/2,"")</f>
        <v/>
      </c>
      <c r="AH1059" s="27">
        <f>IF(COUNT($AC1059:$AG1059)&lt;2,"",IF(MAX($AC1059:$AG1059)=MIN($AC1059:$AG1059),0,1))</f>
        <v/>
      </c>
      <c r="AI1059" s="27">
        <f>IF($A1059="","",IF(COUNTIF($A$14:$A1059,$A1059)=1,COUNTIF($AI$13:AI1058,"&gt;0")+1,""))</f>
        <v/>
      </c>
      <c r="AO1059" s="27">
        <f>IF($A1059="","",IF(AND(COUNTIFS($A$14:$A$1213,$A1059,$F$14:$F$1213,"&gt;=0")=2,IFERROR(INDEX($M$14:$M$313,MATCH($A1059,$H$14:$H$313,0)),"Yes")&lt;&gt;"Yes"),1,0))</f>
        <v/>
      </c>
    </row>
    <row r="1060">
      <c r="A1060" s="19" t="n"/>
      <c r="B1060" s="20" t="n"/>
      <c r="C1060" s="21">
        <f>IFERROR(AVERAGE(P1060:T1060),"")</f>
        <v/>
      </c>
      <c r="D1060" s="29" t="n"/>
      <c r="E1060" s="29" t="n"/>
      <c r="F1060" s="30">
        <f>IF(AND(ISNUMBER($D1060),ISNUMBER($E1060),$E1060&gt;0,$D1060&lt;=$E1060),$D1060/$E1060,"")</f>
        <v/>
      </c>
      <c r="P1060" s="26" t="n"/>
      <c r="Q1060" s="26" t="n"/>
      <c r="R1060" s="26" t="n"/>
      <c r="S1060" s="26" t="n"/>
      <c r="T1060" s="26" t="n"/>
      <c r="V1060" s="27">
        <f>IF(ISNUMBER($C1060),COUNTIFS($A$14:$A$1213,$A1060,$C$14:$C$1213,"&gt;"&amp;$C1060)+(COUNTIFS($A$14:$A$1213,$A1060,$C$14:$C$1213,"="&amp;$C1060)+1)/2,"")</f>
        <v/>
      </c>
      <c r="W1060" s="27">
        <f>IF(ISNUMBER($F1060),COUNTIFS($A$14:$A$1213,$A1060,$F$14:$F$1213,"&gt;"&amp;$F1060)+(COUNTIFS($A$14:$A$1213,$A1060,$F$14:$F$1213,"="&amp;$F1060)+1)/2,"")</f>
        <v/>
      </c>
      <c r="X1060" s="27">
        <f>IF(OR(NOT(ISNUMBER($V1060)),$AO1060=1),"",$V1060-(COUNTIFS($A$14:$A$1213,$A1060,$C$14:$C$1213,"&gt;=0")+1)/2)</f>
        <v/>
      </c>
      <c r="Y1060" s="27">
        <f>IF(OR(NOT(ISNUMBER($W1060)),$AO1060=1),"",$W1060-(COUNTIFS($A$14:$A$1213,$A1060,$F$14:$F$1213,"&gt;=0")+1)/2)</f>
        <v/>
      </c>
      <c r="Z1060" s="27">
        <f>IF(ISNUMBER($V1060),$A1060&amp;"|"&amp;$V1060,"")</f>
        <v/>
      </c>
      <c r="AA1060" s="27">
        <f>IF(ISNUMBER($W1060),$A1060&amp;"|"&amp;$W1060,"")</f>
        <v/>
      </c>
      <c r="AB1060" s="27">
        <f>IF(ISNUMBER($F1060),$A1060&amp;"|"&amp;$F1060,"")</f>
        <v/>
      </c>
      <c r="AC1060" s="27">
        <f>IF(ISNUMBER($P1060),COUNTIFS($A$14:$A$1213,$A1060,$P$14:$P$1213,"&gt;"&amp;$P1060)+(COUNTIFS($A$14:$A$1213,$A1060,$P$14:$P$1213,"="&amp;$P1060)+1)/2,"")</f>
        <v/>
      </c>
      <c r="AD1060" s="27">
        <f>IF(ISNUMBER($Q1060),COUNTIFS($A$14:$A$1213,$A1060,$Q$14:$Q$1213,"&gt;"&amp;$Q1060)+(COUNTIFS($A$14:$A$1213,$A1060,$Q$14:$Q$1213,"="&amp;$Q1060)+1)/2,"")</f>
        <v/>
      </c>
      <c r="AE1060" s="27">
        <f>IF(ISNUMBER($R1060),COUNTIFS($A$14:$A$1213,$A1060,$R$14:$R$1213,"&gt;"&amp;$R1060)+(COUNTIFS($A$14:$A$1213,$A1060,$R$14:$R$1213,"="&amp;$R1060)+1)/2,"")</f>
        <v/>
      </c>
      <c r="AF1060" s="27">
        <f>IF(ISNUMBER($S1060),COUNTIFS($A$14:$A$1213,$A1060,$S$14:$S$1213,"&gt;"&amp;$S1060)+(COUNTIFS($A$14:$A$1213,$A1060,$S$14:$S$1213,"="&amp;$S1060)+1)/2,"")</f>
        <v/>
      </c>
      <c r="AG1060" s="27">
        <f>IF(ISNUMBER($T1060),COUNTIFS($A$14:$A$1213,$A1060,$T$14:$T$1213,"&gt;"&amp;$T1060)+(COUNTIFS($A$14:$A$1213,$A1060,$T$14:$T$1213,"="&amp;$T1060)+1)/2,"")</f>
        <v/>
      </c>
      <c r="AH1060" s="27">
        <f>IF(COUNT($AC1060:$AG1060)&lt;2,"",IF(MAX($AC1060:$AG1060)=MIN($AC1060:$AG1060),0,1))</f>
        <v/>
      </c>
      <c r="AI1060" s="27">
        <f>IF($A1060="","",IF(COUNTIF($A$14:$A1060,$A1060)=1,COUNTIF($AI$13:AI1059,"&gt;0")+1,""))</f>
        <v/>
      </c>
      <c r="AO1060" s="27">
        <f>IF($A1060="","",IF(AND(COUNTIFS($A$14:$A$1213,$A1060,$F$14:$F$1213,"&gt;=0")=2,IFERROR(INDEX($M$14:$M$313,MATCH($A1060,$H$14:$H$313,0)),"Yes")&lt;&gt;"Yes"),1,0))</f>
        <v/>
      </c>
    </row>
    <row r="1061">
      <c r="A1061" s="19" t="n"/>
      <c r="B1061" s="20" t="n"/>
      <c r="C1061" s="21">
        <f>IFERROR(AVERAGE(P1061:T1061),"")</f>
        <v/>
      </c>
      <c r="D1061" s="29" t="n"/>
      <c r="E1061" s="29" t="n"/>
      <c r="F1061" s="30">
        <f>IF(AND(ISNUMBER($D1061),ISNUMBER($E1061),$E1061&gt;0,$D1061&lt;=$E1061),$D1061/$E1061,"")</f>
        <v/>
      </c>
      <c r="P1061" s="26" t="n"/>
      <c r="Q1061" s="26" t="n"/>
      <c r="R1061" s="26" t="n"/>
      <c r="S1061" s="26" t="n"/>
      <c r="T1061" s="26" t="n"/>
      <c r="V1061" s="27">
        <f>IF(ISNUMBER($C1061),COUNTIFS($A$14:$A$1213,$A1061,$C$14:$C$1213,"&gt;"&amp;$C1061)+(COUNTIFS($A$14:$A$1213,$A1061,$C$14:$C$1213,"="&amp;$C1061)+1)/2,"")</f>
        <v/>
      </c>
      <c r="W1061" s="27">
        <f>IF(ISNUMBER($F1061),COUNTIFS($A$14:$A$1213,$A1061,$F$14:$F$1213,"&gt;"&amp;$F1061)+(COUNTIFS($A$14:$A$1213,$A1061,$F$14:$F$1213,"="&amp;$F1061)+1)/2,"")</f>
        <v/>
      </c>
      <c r="X1061" s="27">
        <f>IF(OR(NOT(ISNUMBER($V1061)),$AO1061=1),"",$V1061-(COUNTIFS($A$14:$A$1213,$A1061,$C$14:$C$1213,"&gt;=0")+1)/2)</f>
        <v/>
      </c>
      <c r="Y1061" s="27">
        <f>IF(OR(NOT(ISNUMBER($W1061)),$AO1061=1),"",$W1061-(COUNTIFS($A$14:$A$1213,$A1061,$F$14:$F$1213,"&gt;=0")+1)/2)</f>
        <v/>
      </c>
      <c r="Z1061" s="27">
        <f>IF(ISNUMBER($V1061),$A1061&amp;"|"&amp;$V1061,"")</f>
        <v/>
      </c>
      <c r="AA1061" s="27">
        <f>IF(ISNUMBER($W1061),$A1061&amp;"|"&amp;$W1061,"")</f>
        <v/>
      </c>
      <c r="AB1061" s="27">
        <f>IF(ISNUMBER($F1061),$A1061&amp;"|"&amp;$F1061,"")</f>
        <v/>
      </c>
      <c r="AC1061" s="27">
        <f>IF(ISNUMBER($P1061),COUNTIFS($A$14:$A$1213,$A1061,$P$14:$P$1213,"&gt;"&amp;$P1061)+(COUNTIFS($A$14:$A$1213,$A1061,$P$14:$P$1213,"="&amp;$P1061)+1)/2,"")</f>
        <v/>
      </c>
      <c r="AD1061" s="27">
        <f>IF(ISNUMBER($Q1061),COUNTIFS($A$14:$A$1213,$A1061,$Q$14:$Q$1213,"&gt;"&amp;$Q1061)+(COUNTIFS($A$14:$A$1213,$A1061,$Q$14:$Q$1213,"="&amp;$Q1061)+1)/2,"")</f>
        <v/>
      </c>
      <c r="AE1061" s="27">
        <f>IF(ISNUMBER($R1061),COUNTIFS($A$14:$A$1213,$A1061,$R$14:$R$1213,"&gt;"&amp;$R1061)+(COUNTIFS($A$14:$A$1213,$A1061,$R$14:$R$1213,"="&amp;$R1061)+1)/2,"")</f>
        <v/>
      </c>
      <c r="AF1061" s="27">
        <f>IF(ISNUMBER($S1061),COUNTIFS($A$14:$A$1213,$A1061,$S$14:$S$1213,"&gt;"&amp;$S1061)+(COUNTIFS($A$14:$A$1213,$A1061,$S$14:$S$1213,"="&amp;$S1061)+1)/2,"")</f>
        <v/>
      </c>
      <c r="AG1061" s="27">
        <f>IF(ISNUMBER($T1061),COUNTIFS($A$14:$A$1213,$A1061,$T$14:$T$1213,"&gt;"&amp;$T1061)+(COUNTIFS($A$14:$A$1213,$A1061,$T$14:$T$1213,"="&amp;$T1061)+1)/2,"")</f>
        <v/>
      </c>
      <c r="AH1061" s="27">
        <f>IF(COUNT($AC1061:$AG1061)&lt;2,"",IF(MAX($AC1061:$AG1061)=MIN($AC1061:$AG1061),0,1))</f>
        <v/>
      </c>
      <c r="AI1061" s="27">
        <f>IF($A1061="","",IF(COUNTIF($A$14:$A1061,$A1061)=1,COUNTIF($AI$13:AI1060,"&gt;0")+1,""))</f>
        <v/>
      </c>
      <c r="AO1061" s="27">
        <f>IF($A1061="","",IF(AND(COUNTIFS($A$14:$A$1213,$A1061,$F$14:$F$1213,"&gt;=0")=2,IFERROR(INDEX($M$14:$M$313,MATCH($A1061,$H$14:$H$313,0)),"Yes")&lt;&gt;"Yes"),1,0))</f>
        <v/>
      </c>
    </row>
    <row r="1062">
      <c r="A1062" s="19" t="n"/>
      <c r="B1062" s="20" t="n"/>
      <c r="C1062" s="21">
        <f>IFERROR(AVERAGE(P1062:T1062),"")</f>
        <v/>
      </c>
      <c r="D1062" s="29" t="n"/>
      <c r="E1062" s="29" t="n"/>
      <c r="F1062" s="30">
        <f>IF(AND(ISNUMBER($D1062),ISNUMBER($E1062),$E1062&gt;0,$D1062&lt;=$E1062),$D1062/$E1062,"")</f>
        <v/>
      </c>
      <c r="P1062" s="26" t="n"/>
      <c r="Q1062" s="26" t="n"/>
      <c r="R1062" s="26" t="n"/>
      <c r="S1062" s="26" t="n"/>
      <c r="T1062" s="26" t="n"/>
      <c r="V1062" s="27">
        <f>IF(ISNUMBER($C1062),COUNTIFS($A$14:$A$1213,$A1062,$C$14:$C$1213,"&gt;"&amp;$C1062)+(COUNTIFS($A$14:$A$1213,$A1062,$C$14:$C$1213,"="&amp;$C1062)+1)/2,"")</f>
        <v/>
      </c>
      <c r="W1062" s="27">
        <f>IF(ISNUMBER($F1062),COUNTIFS($A$14:$A$1213,$A1062,$F$14:$F$1213,"&gt;"&amp;$F1062)+(COUNTIFS($A$14:$A$1213,$A1062,$F$14:$F$1213,"="&amp;$F1062)+1)/2,"")</f>
        <v/>
      </c>
      <c r="X1062" s="27">
        <f>IF(OR(NOT(ISNUMBER($V1062)),$AO1062=1),"",$V1062-(COUNTIFS($A$14:$A$1213,$A1062,$C$14:$C$1213,"&gt;=0")+1)/2)</f>
        <v/>
      </c>
      <c r="Y1062" s="27">
        <f>IF(OR(NOT(ISNUMBER($W1062)),$AO1062=1),"",$W1062-(COUNTIFS($A$14:$A$1213,$A1062,$F$14:$F$1213,"&gt;=0")+1)/2)</f>
        <v/>
      </c>
      <c r="Z1062" s="27">
        <f>IF(ISNUMBER($V1062),$A1062&amp;"|"&amp;$V1062,"")</f>
        <v/>
      </c>
      <c r="AA1062" s="27">
        <f>IF(ISNUMBER($W1062),$A1062&amp;"|"&amp;$W1062,"")</f>
        <v/>
      </c>
      <c r="AB1062" s="27">
        <f>IF(ISNUMBER($F1062),$A1062&amp;"|"&amp;$F1062,"")</f>
        <v/>
      </c>
      <c r="AC1062" s="27">
        <f>IF(ISNUMBER($P1062),COUNTIFS($A$14:$A$1213,$A1062,$P$14:$P$1213,"&gt;"&amp;$P1062)+(COUNTIFS($A$14:$A$1213,$A1062,$P$14:$P$1213,"="&amp;$P1062)+1)/2,"")</f>
        <v/>
      </c>
      <c r="AD1062" s="27">
        <f>IF(ISNUMBER($Q1062),COUNTIFS($A$14:$A$1213,$A1062,$Q$14:$Q$1213,"&gt;"&amp;$Q1062)+(COUNTIFS($A$14:$A$1213,$A1062,$Q$14:$Q$1213,"="&amp;$Q1062)+1)/2,"")</f>
        <v/>
      </c>
      <c r="AE1062" s="27">
        <f>IF(ISNUMBER($R1062),COUNTIFS($A$14:$A$1213,$A1062,$R$14:$R$1213,"&gt;"&amp;$R1062)+(COUNTIFS($A$14:$A$1213,$A1062,$R$14:$R$1213,"="&amp;$R1062)+1)/2,"")</f>
        <v/>
      </c>
      <c r="AF1062" s="27">
        <f>IF(ISNUMBER($S1062),COUNTIFS($A$14:$A$1213,$A1062,$S$14:$S$1213,"&gt;"&amp;$S1062)+(COUNTIFS($A$14:$A$1213,$A1062,$S$14:$S$1213,"="&amp;$S1062)+1)/2,"")</f>
        <v/>
      </c>
      <c r="AG1062" s="27">
        <f>IF(ISNUMBER($T1062),COUNTIFS($A$14:$A$1213,$A1062,$T$14:$T$1213,"&gt;"&amp;$T1062)+(COUNTIFS($A$14:$A$1213,$A1062,$T$14:$T$1213,"="&amp;$T1062)+1)/2,"")</f>
        <v/>
      </c>
      <c r="AH1062" s="27">
        <f>IF(COUNT($AC1062:$AG1062)&lt;2,"",IF(MAX($AC1062:$AG1062)=MIN($AC1062:$AG1062),0,1))</f>
        <v/>
      </c>
      <c r="AI1062" s="27">
        <f>IF($A1062="","",IF(COUNTIF($A$14:$A1062,$A1062)=1,COUNTIF($AI$13:AI1061,"&gt;0")+1,""))</f>
        <v/>
      </c>
      <c r="AO1062" s="27">
        <f>IF($A1062="","",IF(AND(COUNTIFS($A$14:$A$1213,$A1062,$F$14:$F$1213,"&gt;=0")=2,IFERROR(INDEX($M$14:$M$313,MATCH($A1062,$H$14:$H$313,0)),"Yes")&lt;&gt;"Yes"),1,0))</f>
        <v/>
      </c>
    </row>
    <row r="1063">
      <c r="A1063" s="19" t="n"/>
      <c r="B1063" s="20" t="n"/>
      <c r="C1063" s="21">
        <f>IFERROR(AVERAGE(P1063:T1063),"")</f>
        <v/>
      </c>
      <c r="D1063" s="29" t="n"/>
      <c r="E1063" s="29" t="n"/>
      <c r="F1063" s="30">
        <f>IF(AND(ISNUMBER($D1063),ISNUMBER($E1063),$E1063&gt;0,$D1063&lt;=$E1063),$D1063/$E1063,"")</f>
        <v/>
      </c>
      <c r="P1063" s="26" t="n"/>
      <c r="Q1063" s="26" t="n"/>
      <c r="R1063" s="26" t="n"/>
      <c r="S1063" s="26" t="n"/>
      <c r="T1063" s="26" t="n"/>
      <c r="V1063" s="27">
        <f>IF(ISNUMBER($C1063),COUNTIFS($A$14:$A$1213,$A1063,$C$14:$C$1213,"&gt;"&amp;$C1063)+(COUNTIFS($A$14:$A$1213,$A1063,$C$14:$C$1213,"="&amp;$C1063)+1)/2,"")</f>
        <v/>
      </c>
      <c r="W1063" s="27">
        <f>IF(ISNUMBER($F1063),COUNTIFS($A$14:$A$1213,$A1063,$F$14:$F$1213,"&gt;"&amp;$F1063)+(COUNTIFS($A$14:$A$1213,$A1063,$F$14:$F$1213,"="&amp;$F1063)+1)/2,"")</f>
        <v/>
      </c>
      <c r="X1063" s="27">
        <f>IF(OR(NOT(ISNUMBER($V1063)),$AO1063=1),"",$V1063-(COUNTIFS($A$14:$A$1213,$A1063,$C$14:$C$1213,"&gt;=0")+1)/2)</f>
        <v/>
      </c>
      <c r="Y1063" s="27">
        <f>IF(OR(NOT(ISNUMBER($W1063)),$AO1063=1),"",$W1063-(COUNTIFS($A$14:$A$1213,$A1063,$F$14:$F$1213,"&gt;=0")+1)/2)</f>
        <v/>
      </c>
      <c r="Z1063" s="27">
        <f>IF(ISNUMBER($V1063),$A1063&amp;"|"&amp;$V1063,"")</f>
        <v/>
      </c>
      <c r="AA1063" s="27">
        <f>IF(ISNUMBER($W1063),$A1063&amp;"|"&amp;$W1063,"")</f>
        <v/>
      </c>
      <c r="AB1063" s="27">
        <f>IF(ISNUMBER($F1063),$A1063&amp;"|"&amp;$F1063,"")</f>
        <v/>
      </c>
      <c r="AC1063" s="27">
        <f>IF(ISNUMBER($P1063),COUNTIFS($A$14:$A$1213,$A1063,$P$14:$P$1213,"&gt;"&amp;$P1063)+(COUNTIFS($A$14:$A$1213,$A1063,$P$14:$P$1213,"="&amp;$P1063)+1)/2,"")</f>
        <v/>
      </c>
      <c r="AD1063" s="27">
        <f>IF(ISNUMBER($Q1063),COUNTIFS($A$14:$A$1213,$A1063,$Q$14:$Q$1213,"&gt;"&amp;$Q1063)+(COUNTIFS($A$14:$A$1213,$A1063,$Q$14:$Q$1213,"="&amp;$Q1063)+1)/2,"")</f>
        <v/>
      </c>
      <c r="AE1063" s="27">
        <f>IF(ISNUMBER($R1063),COUNTIFS($A$14:$A$1213,$A1063,$R$14:$R$1213,"&gt;"&amp;$R1063)+(COUNTIFS($A$14:$A$1213,$A1063,$R$14:$R$1213,"="&amp;$R1063)+1)/2,"")</f>
        <v/>
      </c>
      <c r="AF1063" s="27">
        <f>IF(ISNUMBER($S1063),COUNTIFS($A$14:$A$1213,$A1063,$S$14:$S$1213,"&gt;"&amp;$S1063)+(COUNTIFS($A$14:$A$1213,$A1063,$S$14:$S$1213,"="&amp;$S1063)+1)/2,"")</f>
        <v/>
      </c>
      <c r="AG1063" s="27">
        <f>IF(ISNUMBER($T1063),COUNTIFS($A$14:$A$1213,$A1063,$T$14:$T$1213,"&gt;"&amp;$T1063)+(COUNTIFS($A$14:$A$1213,$A1063,$T$14:$T$1213,"="&amp;$T1063)+1)/2,"")</f>
        <v/>
      </c>
      <c r="AH1063" s="27">
        <f>IF(COUNT($AC1063:$AG1063)&lt;2,"",IF(MAX($AC1063:$AG1063)=MIN($AC1063:$AG1063),0,1))</f>
        <v/>
      </c>
      <c r="AI1063" s="27">
        <f>IF($A1063="","",IF(COUNTIF($A$14:$A1063,$A1063)=1,COUNTIF($AI$13:AI1062,"&gt;0")+1,""))</f>
        <v/>
      </c>
      <c r="AO1063" s="27">
        <f>IF($A1063="","",IF(AND(COUNTIFS($A$14:$A$1213,$A1063,$F$14:$F$1213,"&gt;=0")=2,IFERROR(INDEX($M$14:$M$313,MATCH($A1063,$H$14:$H$313,0)),"Yes")&lt;&gt;"Yes"),1,0))</f>
        <v/>
      </c>
    </row>
    <row r="1064">
      <c r="A1064" s="19" t="n"/>
      <c r="B1064" s="20" t="n"/>
      <c r="C1064" s="21">
        <f>IFERROR(AVERAGE(P1064:T1064),"")</f>
        <v/>
      </c>
      <c r="D1064" s="29" t="n"/>
      <c r="E1064" s="29" t="n"/>
      <c r="F1064" s="30">
        <f>IF(AND(ISNUMBER($D1064),ISNUMBER($E1064),$E1064&gt;0,$D1064&lt;=$E1064),$D1064/$E1064,"")</f>
        <v/>
      </c>
      <c r="P1064" s="26" t="n"/>
      <c r="Q1064" s="26" t="n"/>
      <c r="R1064" s="26" t="n"/>
      <c r="S1064" s="26" t="n"/>
      <c r="T1064" s="26" t="n"/>
      <c r="V1064" s="27">
        <f>IF(ISNUMBER($C1064),COUNTIFS($A$14:$A$1213,$A1064,$C$14:$C$1213,"&gt;"&amp;$C1064)+(COUNTIFS($A$14:$A$1213,$A1064,$C$14:$C$1213,"="&amp;$C1064)+1)/2,"")</f>
        <v/>
      </c>
      <c r="W1064" s="27">
        <f>IF(ISNUMBER($F1064),COUNTIFS($A$14:$A$1213,$A1064,$F$14:$F$1213,"&gt;"&amp;$F1064)+(COUNTIFS($A$14:$A$1213,$A1064,$F$14:$F$1213,"="&amp;$F1064)+1)/2,"")</f>
        <v/>
      </c>
      <c r="X1064" s="27">
        <f>IF(OR(NOT(ISNUMBER($V1064)),$AO1064=1),"",$V1064-(COUNTIFS($A$14:$A$1213,$A1064,$C$14:$C$1213,"&gt;=0")+1)/2)</f>
        <v/>
      </c>
      <c r="Y1064" s="27">
        <f>IF(OR(NOT(ISNUMBER($W1064)),$AO1064=1),"",$W1064-(COUNTIFS($A$14:$A$1213,$A1064,$F$14:$F$1213,"&gt;=0")+1)/2)</f>
        <v/>
      </c>
      <c r="Z1064" s="27">
        <f>IF(ISNUMBER($V1064),$A1064&amp;"|"&amp;$V1064,"")</f>
        <v/>
      </c>
      <c r="AA1064" s="27">
        <f>IF(ISNUMBER($W1064),$A1064&amp;"|"&amp;$W1064,"")</f>
        <v/>
      </c>
      <c r="AB1064" s="27">
        <f>IF(ISNUMBER($F1064),$A1064&amp;"|"&amp;$F1064,"")</f>
        <v/>
      </c>
      <c r="AC1064" s="27">
        <f>IF(ISNUMBER($P1064),COUNTIFS($A$14:$A$1213,$A1064,$P$14:$P$1213,"&gt;"&amp;$P1064)+(COUNTIFS($A$14:$A$1213,$A1064,$P$14:$P$1213,"="&amp;$P1064)+1)/2,"")</f>
        <v/>
      </c>
      <c r="AD1064" s="27">
        <f>IF(ISNUMBER($Q1064),COUNTIFS($A$14:$A$1213,$A1064,$Q$14:$Q$1213,"&gt;"&amp;$Q1064)+(COUNTIFS($A$14:$A$1213,$A1064,$Q$14:$Q$1213,"="&amp;$Q1064)+1)/2,"")</f>
        <v/>
      </c>
      <c r="AE1064" s="27">
        <f>IF(ISNUMBER($R1064),COUNTIFS($A$14:$A$1213,$A1064,$R$14:$R$1213,"&gt;"&amp;$R1064)+(COUNTIFS($A$14:$A$1213,$A1064,$R$14:$R$1213,"="&amp;$R1064)+1)/2,"")</f>
        <v/>
      </c>
      <c r="AF1064" s="27">
        <f>IF(ISNUMBER($S1064),COUNTIFS($A$14:$A$1213,$A1064,$S$14:$S$1213,"&gt;"&amp;$S1064)+(COUNTIFS($A$14:$A$1213,$A1064,$S$14:$S$1213,"="&amp;$S1064)+1)/2,"")</f>
        <v/>
      </c>
      <c r="AG1064" s="27">
        <f>IF(ISNUMBER($T1064),COUNTIFS($A$14:$A$1213,$A1064,$T$14:$T$1213,"&gt;"&amp;$T1064)+(COUNTIFS($A$14:$A$1213,$A1064,$T$14:$T$1213,"="&amp;$T1064)+1)/2,"")</f>
        <v/>
      </c>
      <c r="AH1064" s="27">
        <f>IF(COUNT($AC1064:$AG1064)&lt;2,"",IF(MAX($AC1064:$AG1064)=MIN($AC1064:$AG1064),0,1))</f>
        <v/>
      </c>
      <c r="AI1064" s="27">
        <f>IF($A1064="","",IF(COUNTIF($A$14:$A1064,$A1064)=1,COUNTIF($AI$13:AI1063,"&gt;0")+1,""))</f>
        <v/>
      </c>
      <c r="AO1064" s="27">
        <f>IF($A1064="","",IF(AND(COUNTIFS($A$14:$A$1213,$A1064,$F$14:$F$1213,"&gt;=0")=2,IFERROR(INDEX($M$14:$M$313,MATCH($A1064,$H$14:$H$313,0)),"Yes")&lt;&gt;"Yes"),1,0))</f>
        <v/>
      </c>
    </row>
    <row r="1065">
      <c r="A1065" s="19" t="n"/>
      <c r="B1065" s="20" t="n"/>
      <c r="C1065" s="21">
        <f>IFERROR(AVERAGE(P1065:T1065),"")</f>
        <v/>
      </c>
      <c r="D1065" s="29" t="n"/>
      <c r="E1065" s="29" t="n"/>
      <c r="F1065" s="30">
        <f>IF(AND(ISNUMBER($D1065),ISNUMBER($E1065),$E1065&gt;0,$D1065&lt;=$E1065),$D1065/$E1065,"")</f>
        <v/>
      </c>
      <c r="P1065" s="26" t="n"/>
      <c r="Q1065" s="26" t="n"/>
      <c r="R1065" s="26" t="n"/>
      <c r="S1065" s="26" t="n"/>
      <c r="T1065" s="26" t="n"/>
      <c r="V1065" s="27">
        <f>IF(ISNUMBER($C1065),COUNTIFS($A$14:$A$1213,$A1065,$C$14:$C$1213,"&gt;"&amp;$C1065)+(COUNTIFS($A$14:$A$1213,$A1065,$C$14:$C$1213,"="&amp;$C1065)+1)/2,"")</f>
        <v/>
      </c>
      <c r="W1065" s="27">
        <f>IF(ISNUMBER($F1065),COUNTIFS($A$14:$A$1213,$A1065,$F$14:$F$1213,"&gt;"&amp;$F1065)+(COUNTIFS($A$14:$A$1213,$A1065,$F$14:$F$1213,"="&amp;$F1065)+1)/2,"")</f>
        <v/>
      </c>
      <c r="X1065" s="27">
        <f>IF(OR(NOT(ISNUMBER($V1065)),$AO1065=1),"",$V1065-(COUNTIFS($A$14:$A$1213,$A1065,$C$14:$C$1213,"&gt;=0")+1)/2)</f>
        <v/>
      </c>
      <c r="Y1065" s="27">
        <f>IF(OR(NOT(ISNUMBER($W1065)),$AO1065=1),"",$W1065-(COUNTIFS($A$14:$A$1213,$A1065,$F$14:$F$1213,"&gt;=0")+1)/2)</f>
        <v/>
      </c>
      <c r="Z1065" s="27">
        <f>IF(ISNUMBER($V1065),$A1065&amp;"|"&amp;$V1065,"")</f>
        <v/>
      </c>
      <c r="AA1065" s="27">
        <f>IF(ISNUMBER($W1065),$A1065&amp;"|"&amp;$W1065,"")</f>
        <v/>
      </c>
      <c r="AB1065" s="27">
        <f>IF(ISNUMBER($F1065),$A1065&amp;"|"&amp;$F1065,"")</f>
        <v/>
      </c>
      <c r="AC1065" s="27">
        <f>IF(ISNUMBER($P1065),COUNTIFS($A$14:$A$1213,$A1065,$P$14:$P$1213,"&gt;"&amp;$P1065)+(COUNTIFS($A$14:$A$1213,$A1065,$P$14:$P$1213,"="&amp;$P1065)+1)/2,"")</f>
        <v/>
      </c>
      <c r="AD1065" s="27">
        <f>IF(ISNUMBER($Q1065),COUNTIFS($A$14:$A$1213,$A1065,$Q$14:$Q$1213,"&gt;"&amp;$Q1065)+(COUNTIFS($A$14:$A$1213,$A1065,$Q$14:$Q$1213,"="&amp;$Q1065)+1)/2,"")</f>
        <v/>
      </c>
      <c r="AE1065" s="27">
        <f>IF(ISNUMBER($R1065),COUNTIFS($A$14:$A$1213,$A1065,$R$14:$R$1213,"&gt;"&amp;$R1065)+(COUNTIFS($A$14:$A$1213,$A1065,$R$14:$R$1213,"="&amp;$R1065)+1)/2,"")</f>
        <v/>
      </c>
      <c r="AF1065" s="27">
        <f>IF(ISNUMBER($S1065),COUNTIFS($A$14:$A$1213,$A1065,$S$14:$S$1213,"&gt;"&amp;$S1065)+(COUNTIFS($A$14:$A$1213,$A1065,$S$14:$S$1213,"="&amp;$S1065)+1)/2,"")</f>
        <v/>
      </c>
      <c r="AG1065" s="27">
        <f>IF(ISNUMBER($T1065),COUNTIFS($A$14:$A$1213,$A1065,$T$14:$T$1213,"&gt;"&amp;$T1065)+(COUNTIFS($A$14:$A$1213,$A1065,$T$14:$T$1213,"="&amp;$T1065)+1)/2,"")</f>
        <v/>
      </c>
      <c r="AH1065" s="27">
        <f>IF(COUNT($AC1065:$AG1065)&lt;2,"",IF(MAX($AC1065:$AG1065)=MIN($AC1065:$AG1065),0,1))</f>
        <v/>
      </c>
      <c r="AI1065" s="27">
        <f>IF($A1065="","",IF(COUNTIF($A$14:$A1065,$A1065)=1,COUNTIF($AI$13:AI1064,"&gt;0")+1,""))</f>
        <v/>
      </c>
      <c r="AO1065" s="27">
        <f>IF($A1065="","",IF(AND(COUNTIFS($A$14:$A$1213,$A1065,$F$14:$F$1213,"&gt;=0")=2,IFERROR(INDEX($M$14:$M$313,MATCH($A1065,$H$14:$H$313,0)),"Yes")&lt;&gt;"Yes"),1,0))</f>
        <v/>
      </c>
    </row>
    <row r="1066">
      <c r="A1066" s="19" t="n"/>
      <c r="B1066" s="20" t="n"/>
      <c r="C1066" s="21">
        <f>IFERROR(AVERAGE(P1066:T1066),"")</f>
        <v/>
      </c>
      <c r="D1066" s="29" t="n"/>
      <c r="E1066" s="29" t="n"/>
      <c r="F1066" s="30">
        <f>IF(AND(ISNUMBER($D1066),ISNUMBER($E1066),$E1066&gt;0,$D1066&lt;=$E1066),$D1066/$E1066,"")</f>
        <v/>
      </c>
      <c r="P1066" s="26" t="n"/>
      <c r="Q1066" s="26" t="n"/>
      <c r="R1066" s="26" t="n"/>
      <c r="S1066" s="26" t="n"/>
      <c r="T1066" s="26" t="n"/>
      <c r="V1066" s="27">
        <f>IF(ISNUMBER($C1066),COUNTIFS($A$14:$A$1213,$A1066,$C$14:$C$1213,"&gt;"&amp;$C1066)+(COUNTIFS($A$14:$A$1213,$A1066,$C$14:$C$1213,"="&amp;$C1066)+1)/2,"")</f>
        <v/>
      </c>
      <c r="W1066" s="27">
        <f>IF(ISNUMBER($F1066),COUNTIFS($A$14:$A$1213,$A1066,$F$14:$F$1213,"&gt;"&amp;$F1066)+(COUNTIFS($A$14:$A$1213,$A1066,$F$14:$F$1213,"="&amp;$F1066)+1)/2,"")</f>
        <v/>
      </c>
      <c r="X1066" s="27">
        <f>IF(OR(NOT(ISNUMBER($V1066)),$AO1066=1),"",$V1066-(COUNTIFS($A$14:$A$1213,$A1066,$C$14:$C$1213,"&gt;=0")+1)/2)</f>
        <v/>
      </c>
      <c r="Y1066" s="27">
        <f>IF(OR(NOT(ISNUMBER($W1066)),$AO1066=1),"",$W1066-(COUNTIFS($A$14:$A$1213,$A1066,$F$14:$F$1213,"&gt;=0")+1)/2)</f>
        <v/>
      </c>
      <c r="Z1066" s="27">
        <f>IF(ISNUMBER($V1066),$A1066&amp;"|"&amp;$V1066,"")</f>
        <v/>
      </c>
      <c r="AA1066" s="27">
        <f>IF(ISNUMBER($W1066),$A1066&amp;"|"&amp;$W1066,"")</f>
        <v/>
      </c>
      <c r="AB1066" s="27">
        <f>IF(ISNUMBER($F1066),$A1066&amp;"|"&amp;$F1066,"")</f>
        <v/>
      </c>
      <c r="AC1066" s="27">
        <f>IF(ISNUMBER($P1066),COUNTIFS($A$14:$A$1213,$A1066,$P$14:$P$1213,"&gt;"&amp;$P1066)+(COUNTIFS($A$14:$A$1213,$A1066,$P$14:$P$1213,"="&amp;$P1066)+1)/2,"")</f>
        <v/>
      </c>
      <c r="AD1066" s="27">
        <f>IF(ISNUMBER($Q1066),COUNTIFS($A$14:$A$1213,$A1066,$Q$14:$Q$1213,"&gt;"&amp;$Q1066)+(COUNTIFS($A$14:$A$1213,$A1066,$Q$14:$Q$1213,"="&amp;$Q1066)+1)/2,"")</f>
        <v/>
      </c>
      <c r="AE1066" s="27">
        <f>IF(ISNUMBER($R1066),COUNTIFS($A$14:$A$1213,$A1066,$R$14:$R$1213,"&gt;"&amp;$R1066)+(COUNTIFS($A$14:$A$1213,$A1066,$R$14:$R$1213,"="&amp;$R1066)+1)/2,"")</f>
        <v/>
      </c>
      <c r="AF1066" s="27">
        <f>IF(ISNUMBER($S1066),COUNTIFS($A$14:$A$1213,$A1066,$S$14:$S$1213,"&gt;"&amp;$S1066)+(COUNTIFS($A$14:$A$1213,$A1066,$S$14:$S$1213,"="&amp;$S1066)+1)/2,"")</f>
        <v/>
      </c>
      <c r="AG1066" s="27">
        <f>IF(ISNUMBER($T1066),COUNTIFS($A$14:$A$1213,$A1066,$T$14:$T$1213,"&gt;"&amp;$T1066)+(COUNTIFS($A$14:$A$1213,$A1066,$T$14:$T$1213,"="&amp;$T1066)+1)/2,"")</f>
        <v/>
      </c>
      <c r="AH1066" s="27">
        <f>IF(COUNT($AC1066:$AG1066)&lt;2,"",IF(MAX($AC1066:$AG1066)=MIN($AC1066:$AG1066),0,1))</f>
        <v/>
      </c>
      <c r="AI1066" s="27">
        <f>IF($A1066="","",IF(COUNTIF($A$14:$A1066,$A1066)=1,COUNTIF($AI$13:AI1065,"&gt;0")+1,""))</f>
        <v/>
      </c>
      <c r="AO1066" s="27">
        <f>IF($A1066="","",IF(AND(COUNTIFS($A$14:$A$1213,$A1066,$F$14:$F$1213,"&gt;=0")=2,IFERROR(INDEX($M$14:$M$313,MATCH($A1066,$H$14:$H$313,0)),"Yes")&lt;&gt;"Yes"),1,0))</f>
        <v/>
      </c>
    </row>
    <row r="1067">
      <c r="A1067" s="19" t="n"/>
      <c r="B1067" s="20" t="n"/>
      <c r="C1067" s="21">
        <f>IFERROR(AVERAGE(P1067:T1067),"")</f>
        <v/>
      </c>
      <c r="D1067" s="29" t="n"/>
      <c r="E1067" s="29" t="n"/>
      <c r="F1067" s="30">
        <f>IF(AND(ISNUMBER($D1067),ISNUMBER($E1067),$E1067&gt;0,$D1067&lt;=$E1067),$D1067/$E1067,"")</f>
        <v/>
      </c>
      <c r="P1067" s="26" t="n"/>
      <c r="Q1067" s="26" t="n"/>
      <c r="R1067" s="26" t="n"/>
      <c r="S1067" s="26" t="n"/>
      <c r="T1067" s="26" t="n"/>
      <c r="V1067" s="27">
        <f>IF(ISNUMBER($C1067),COUNTIFS($A$14:$A$1213,$A1067,$C$14:$C$1213,"&gt;"&amp;$C1067)+(COUNTIFS($A$14:$A$1213,$A1067,$C$14:$C$1213,"="&amp;$C1067)+1)/2,"")</f>
        <v/>
      </c>
      <c r="W1067" s="27">
        <f>IF(ISNUMBER($F1067),COUNTIFS($A$14:$A$1213,$A1067,$F$14:$F$1213,"&gt;"&amp;$F1067)+(COUNTIFS($A$14:$A$1213,$A1067,$F$14:$F$1213,"="&amp;$F1067)+1)/2,"")</f>
        <v/>
      </c>
      <c r="X1067" s="27">
        <f>IF(OR(NOT(ISNUMBER($V1067)),$AO1067=1),"",$V1067-(COUNTIFS($A$14:$A$1213,$A1067,$C$14:$C$1213,"&gt;=0")+1)/2)</f>
        <v/>
      </c>
      <c r="Y1067" s="27">
        <f>IF(OR(NOT(ISNUMBER($W1067)),$AO1067=1),"",$W1067-(COUNTIFS($A$14:$A$1213,$A1067,$F$14:$F$1213,"&gt;=0")+1)/2)</f>
        <v/>
      </c>
      <c r="Z1067" s="27">
        <f>IF(ISNUMBER($V1067),$A1067&amp;"|"&amp;$V1067,"")</f>
        <v/>
      </c>
      <c r="AA1067" s="27">
        <f>IF(ISNUMBER($W1067),$A1067&amp;"|"&amp;$W1067,"")</f>
        <v/>
      </c>
      <c r="AB1067" s="27">
        <f>IF(ISNUMBER($F1067),$A1067&amp;"|"&amp;$F1067,"")</f>
        <v/>
      </c>
      <c r="AC1067" s="27">
        <f>IF(ISNUMBER($P1067),COUNTIFS($A$14:$A$1213,$A1067,$P$14:$P$1213,"&gt;"&amp;$P1067)+(COUNTIFS($A$14:$A$1213,$A1067,$P$14:$P$1213,"="&amp;$P1067)+1)/2,"")</f>
        <v/>
      </c>
      <c r="AD1067" s="27">
        <f>IF(ISNUMBER($Q1067),COUNTIFS($A$14:$A$1213,$A1067,$Q$14:$Q$1213,"&gt;"&amp;$Q1067)+(COUNTIFS($A$14:$A$1213,$A1067,$Q$14:$Q$1213,"="&amp;$Q1067)+1)/2,"")</f>
        <v/>
      </c>
      <c r="AE1067" s="27">
        <f>IF(ISNUMBER($R1067),COUNTIFS($A$14:$A$1213,$A1067,$R$14:$R$1213,"&gt;"&amp;$R1067)+(COUNTIFS($A$14:$A$1213,$A1067,$R$14:$R$1213,"="&amp;$R1067)+1)/2,"")</f>
        <v/>
      </c>
      <c r="AF1067" s="27">
        <f>IF(ISNUMBER($S1067),COUNTIFS($A$14:$A$1213,$A1067,$S$14:$S$1213,"&gt;"&amp;$S1067)+(COUNTIFS($A$14:$A$1213,$A1067,$S$14:$S$1213,"="&amp;$S1067)+1)/2,"")</f>
        <v/>
      </c>
      <c r="AG1067" s="27">
        <f>IF(ISNUMBER($T1067),COUNTIFS($A$14:$A$1213,$A1067,$T$14:$T$1213,"&gt;"&amp;$T1067)+(COUNTIFS($A$14:$A$1213,$A1067,$T$14:$T$1213,"="&amp;$T1067)+1)/2,"")</f>
        <v/>
      </c>
      <c r="AH1067" s="27">
        <f>IF(COUNT($AC1067:$AG1067)&lt;2,"",IF(MAX($AC1067:$AG1067)=MIN($AC1067:$AG1067),0,1))</f>
        <v/>
      </c>
      <c r="AI1067" s="27">
        <f>IF($A1067="","",IF(COUNTIF($A$14:$A1067,$A1067)=1,COUNTIF($AI$13:AI1066,"&gt;0")+1,""))</f>
        <v/>
      </c>
      <c r="AO1067" s="27">
        <f>IF($A1067="","",IF(AND(COUNTIFS($A$14:$A$1213,$A1067,$F$14:$F$1213,"&gt;=0")=2,IFERROR(INDEX($M$14:$M$313,MATCH($A1067,$H$14:$H$313,0)),"Yes")&lt;&gt;"Yes"),1,0))</f>
        <v/>
      </c>
    </row>
    <row r="1068">
      <c r="A1068" s="19" t="n"/>
      <c r="B1068" s="20" t="n"/>
      <c r="C1068" s="21">
        <f>IFERROR(AVERAGE(P1068:T1068),"")</f>
        <v/>
      </c>
      <c r="D1068" s="29" t="n"/>
      <c r="E1068" s="29" t="n"/>
      <c r="F1068" s="30">
        <f>IF(AND(ISNUMBER($D1068),ISNUMBER($E1068),$E1068&gt;0,$D1068&lt;=$E1068),$D1068/$E1068,"")</f>
        <v/>
      </c>
      <c r="P1068" s="26" t="n"/>
      <c r="Q1068" s="26" t="n"/>
      <c r="R1068" s="26" t="n"/>
      <c r="S1068" s="26" t="n"/>
      <c r="T1068" s="26" t="n"/>
      <c r="V1068" s="27">
        <f>IF(ISNUMBER($C1068),COUNTIFS($A$14:$A$1213,$A1068,$C$14:$C$1213,"&gt;"&amp;$C1068)+(COUNTIFS($A$14:$A$1213,$A1068,$C$14:$C$1213,"="&amp;$C1068)+1)/2,"")</f>
        <v/>
      </c>
      <c r="W1068" s="27">
        <f>IF(ISNUMBER($F1068),COUNTIFS($A$14:$A$1213,$A1068,$F$14:$F$1213,"&gt;"&amp;$F1068)+(COUNTIFS($A$14:$A$1213,$A1068,$F$14:$F$1213,"="&amp;$F1068)+1)/2,"")</f>
        <v/>
      </c>
      <c r="X1068" s="27">
        <f>IF(OR(NOT(ISNUMBER($V1068)),$AO1068=1),"",$V1068-(COUNTIFS($A$14:$A$1213,$A1068,$C$14:$C$1213,"&gt;=0")+1)/2)</f>
        <v/>
      </c>
      <c r="Y1068" s="27">
        <f>IF(OR(NOT(ISNUMBER($W1068)),$AO1068=1),"",$W1068-(COUNTIFS($A$14:$A$1213,$A1068,$F$14:$F$1213,"&gt;=0")+1)/2)</f>
        <v/>
      </c>
      <c r="Z1068" s="27">
        <f>IF(ISNUMBER($V1068),$A1068&amp;"|"&amp;$V1068,"")</f>
        <v/>
      </c>
      <c r="AA1068" s="27">
        <f>IF(ISNUMBER($W1068),$A1068&amp;"|"&amp;$W1068,"")</f>
        <v/>
      </c>
      <c r="AB1068" s="27">
        <f>IF(ISNUMBER($F1068),$A1068&amp;"|"&amp;$F1068,"")</f>
        <v/>
      </c>
      <c r="AC1068" s="27">
        <f>IF(ISNUMBER($P1068),COUNTIFS($A$14:$A$1213,$A1068,$P$14:$P$1213,"&gt;"&amp;$P1068)+(COUNTIFS($A$14:$A$1213,$A1068,$P$14:$P$1213,"="&amp;$P1068)+1)/2,"")</f>
        <v/>
      </c>
      <c r="AD1068" s="27">
        <f>IF(ISNUMBER($Q1068),COUNTIFS($A$14:$A$1213,$A1068,$Q$14:$Q$1213,"&gt;"&amp;$Q1068)+(COUNTIFS($A$14:$A$1213,$A1068,$Q$14:$Q$1213,"="&amp;$Q1068)+1)/2,"")</f>
        <v/>
      </c>
      <c r="AE1068" s="27">
        <f>IF(ISNUMBER($R1068),COUNTIFS($A$14:$A$1213,$A1068,$R$14:$R$1213,"&gt;"&amp;$R1068)+(COUNTIFS($A$14:$A$1213,$A1068,$R$14:$R$1213,"="&amp;$R1068)+1)/2,"")</f>
        <v/>
      </c>
      <c r="AF1068" s="27">
        <f>IF(ISNUMBER($S1068),COUNTIFS($A$14:$A$1213,$A1068,$S$14:$S$1213,"&gt;"&amp;$S1068)+(COUNTIFS($A$14:$A$1213,$A1068,$S$14:$S$1213,"="&amp;$S1068)+1)/2,"")</f>
        <v/>
      </c>
      <c r="AG1068" s="27">
        <f>IF(ISNUMBER($T1068),COUNTIFS($A$14:$A$1213,$A1068,$T$14:$T$1213,"&gt;"&amp;$T1068)+(COUNTIFS($A$14:$A$1213,$A1068,$T$14:$T$1213,"="&amp;$T1068)+1)/2,"")</f>
        <v/>
      </c>
      <c r="AH1068" s="27">
        <f>IF(COUNT($AC1068:$AG1068)&lt;2,"",IF(MAX($AC1068:$AG1068)=MIN($AC1068:$AG1068),0,1))</f>
        <v/>
      </c>
      <c r="AI1068" s="27">
        <f>IF($A1068="","",IF(COUNTIF($A$14:$A1068,$A1068)=1,COUNTIF($AI$13:AI1067,"&gt;0")+1,""))</f>
        <v/>
      </c>
      <c r="AO1068" s="27">
        <f>IF($A1068="","",IF(AND(COUNTIFS($A$14:$A$1213,$A1068,$F$14:$F$1213,"&gt;=0")=2,IFERROR(INDEX($M$14:$M$313,MATCH($A1068,$H$14:$H$313,0)),"Yes")&lt;&gt;"Yes"),1,0))</f>
        <v/>
      </c>
    </row>
    <row r="1069">
      <c r="A1069" s="19" t="n"/>
      <c r="B1069" s="20" t="n"/>
      <c r="C1069" s="21">
        <f>IFERROR(AVERAGE(P1069:T1069),"")</f>
        <v/>
      </c>
      <c r="D1069" s="29" t="n"/>
      <c r="E1069" s="29" t="n"/>
      <c r="F1069" s="30">
        <f>IF(AND(ISNUMBER($D1069),ISNUMBER($E1069),$E1069&gt;0,$D1069&lt;=$E1069),$D1069/$E1069,"")</f>
        <v/>
      </c>
      <c r="P1069" s="26" t="n"/>
      <c r="Q1069" s="26" t="n"/>
      <c r="R1069" s="26" t="n"/>
      <c r="S1069" s="26" t="n"/>
      <c r="T1069" s="26" t="n"/>
      <c r="V1069" s="27">
        <f>IF(ISNUMBER($C1069),COUNTIFS($A$14:$A$1213,$A1069,$C$14:$C$1213,"&gt;"&amp;$C1069)+(COUNTIFS($A$14:$A$1213,$A1069,$C$14:$C$1213,"="&amp;$C1069)+1)/2,"")</f>
        <v/>
      </c>
      <c r="W1069" s="27">
        <f>IF(ISNUMBER($F1069),COUNTIFS($A$14:$A$1213,$A1069,$F$14:$F$1213,"&gt;"&amp;$F1069)+(COUNTIFS($A$14:$A$1213,$A1069,$F$14:$F$1213,"="&amp;$F1069)+1)/2,"")</f>
        <v/>
      </c>
      <c r="X1069" s="27">
        <f>IF(OR(NOT(ISNUMBER($V1069)),$AO1069=1),"",$V1069-(COUNTIFS($A$14:$A$1213,$A1069,$C$14:$C$1213,"&gt;=0")+1)/2)</f>
        <v/>
      </c>
      <c r="Y1069" s="27">
        <f>IF(OR(NOT(ISNUMBER($W1069)),$AO1069=1),"",$W1069-(COUNTIFS($A$14:$A$1213,$A1069,$F$14:$F$1213,"&gt;=0")+1)/2)</f>
        <v/>
      </c>
      <c r="Z1069" s="27">
        <f>IF(ISNUMBER($V1069),$A1069&amp;"|"&amp;$V1069,"")</f>
        <v/>
      </c>
      <c r="AA1069" s="27">
        <f>IF(ISNUMBER($W1069),$A1069&amp;"|"&amp;$W1069,"")</f>
        <v/>
      </c>
      <c r="AB1069" s="27">
        <f>IF(ISNUMBER($F1069),$A1069&amp;"|"&amp;$F1069,"")</f>
        <v/>
      </c>
      <c r="AC1069" s="27">
        <f>IF(ISNUMBER($P1069),COUNTIFS($A$14:$A$1213,$A1069,$P$14:$P$1213,"&gt;"&amp;$P1069)+(COUNTIFS($A$14:$A$1213,$A1069,$P$14:$P$1213,"="&amp;$P1069)+1)/2,"")</f>
        <v/>
      </c>
      <c r="AD1069" s="27">
        <f>IF(ISNUMBER($Q1069),COUNTIFS($A$14:$A$1213,$A1069,$Q$14:$Q$1213,"&gt;"&amp;$Q1069)+(COUNTIFS($A$14:$A$1213,$A1069,$Q$14:$Q$1213,"="&amp;$Q1069)+1)/2,"")</f>
        <v/>
      </c>
      <c r="AE1069" s="27">
        <f>IF(ISNUMBER($R1069),COUNTIFS($A$14:$A$1213,$A1069,$R$14:$R$1213,"&gt;"&amp;$R1069)+(COUNTIFS($A$14:$A$1213,$A1069,$R$14:$R$1213,"="&amp;$R1069)+1)/2,"")</f>
        <v/>
      </c>
      <c r="AF1069" s="27">
        <f>IF(ISNUMBER($S1069),COUNTIFS($A$14:$A$1213,$A1069,$S$14:$S$1213,"&gt;"&amp;$S1069)+(COUNTIFS($A$14:$A$1213,$A1069,$S$14:$S$1213,"="&amp;$S1069)+1)/2,"")</f>
        <v/>
      </c>
      <c r="AG1069" s="27">
        <f>IF(ISNUMBER($T1069),COUNTIFS($A$14:$A$1213,$A1069,$T$14:$T$1213,"&gt;"&amp;$T1069)+(COUNTIFS($A$14:$A$1213,$A1069,$T$14:$T$1213,"="&amp;$T1069)+1)/2,"")</f>
        <v/>
      </c>
      <c r="AH1069" s="27">
        <f>IF(COUNT($AC1069:$AG1069)&lt;2,"",IF(MAX($AC1069:$AG1069)=MIN($AC1069:$AG1069),0,1))</f>
        <v/>
      </c>
      <c r="AI1069" s="27">
        <f>IF($A1069="","",IF(COUNTIF($A$14:$A1069,$A1069)=1,COUNTIF($AI$13:AI1068,"&gt;0")+1,""))</f>
        <v/>
      </c>
      <c r="AO1069" s="27">
        <f>IF($A1069="","",IF(AND(COUNTIFS($A$14:$A$1213,$A1069,$F$14:$F$1213,"&gt;=0")=2,IFERROR(INDEX($M$14:$M$313,MATCH($A1069,$H$14:$H$313,0)),"Yes")&lt;&gt;"Yes"),1,0))</f>
        <v/>
      </c>
    </row>
    <row r="1070">
      <c r="A1070" s="19" t="n"/>
      <c r="B1070" s="20" t="n"/>
      <c r="C1070" s="21">
        <f>IFERROR(AVERAGE(P1070:T1070),"")</f>
        <v/>
      </c>
      <c r="D1070" s="29" t="n"/>
      <c r="E1070" s="29" t="n"/>
      <c r="F1070" s="30">
        <f>IF(AND(ISNUMBER($D1070),ISNUMBER($E1070),$E1070&gt;0,$D1070&lt;=$E1070),$D1070/$E1070,"")</f>
        <v/>
      </c>
      <c r="P1070" s="26" t="n"/>
      <c r="Q1070" s="26" t="n"/>
      <c r="R1070" s="26" t="n"/>
      <c r="S1070" s="26" t="n"/>
      <c r="T1070" s="26" t="n"/>
      <c r="V1070" s="27">
        <f>IF(ISNUMBER($C1070),COUNTIFS($A$14:$A$1213,$A1070,$C$14:$C$1213,"&gt;"&amp;$C1070)+(COUNTIFS($A$14:$A$1213,$A1070,$C$14:$C$1213,"="&amp;$C1070)+1)/2,"")</f>
        <v/>
      </c>
      <c r="W1070" s="27">
        <f>IF(ISNUMBER($F1070),COUNTIFS($A$14:$A$1213,$A1070,$F$14:$F$1213,"&gt;"&amp;$F1070)+(COUNTIFS($A$14:$A$1213,$A1070,$F$14:$F$1213,"="&amp;$F1070)+1)/2,"")</f>
        <v/>
      </c>
      <c r="X1070" s="27">
        <f>IF(OR(NOT(ISNUMBER($V1070)),$AO1070=1),"",$V1070-(COUNTIFS($A$14:$A$1213,$A1070,$C$14:$C$1213,"&gt;=0")+1)/2)</f>
        <v/>
      </c>
      <c r="Y1070" s="27">
        <f>IF(OR(NOT(ISNUMBER($W1070)),$AO1070=1),"",$W1070-(COUNTIFS($A$14:$A$1213,$A1070,$F$14:$F$1213,"&gt;=0")+1)/2)</f>
        <v/>
      </c>
      <c r="Z1070" s="27">
        <f>IF(ISNUMBER($V1070),$A1070&amp;"|"&amp;$V1070,"")</f>
        <v/>
      </c>
      <c r="AA1070" s="27">
        <f>IF(ISNUMBER($W1070),$A1070&amp;"|"&amp;$W1070,"")</f>
        <v/>
      </c>
      <c r="AB1070" s="27">
        <f>IF(ISNUMBER($F1070),$A1070&amp;"|"&amp;$F1070,"")</f>
        <v/>
      </c>
      <c r="AC1070" s="27">
        <f>IF(ISNUMBER($P1070),COUNTIFS($A$14:$A$1213,$A1070,$P$14:$P$1213,"&gt;"&amp;$P1070)+(COUNTIFS($A$14:$A$1213,$A1070,$P$14:$P$1213,"="&amp;$P1070)+1)/2,"")</f>
        <v/>
      </c>
      <c r="AD1070" s="27">
        <f>IF(ISNUMBER($Q1070),COUNTIFS($A$14:$A$1213,$A1070,$Q$14:$Q$1213,"&gt;"&amp;$Q1070)+(COUNTIFS($A$14:$A$1213,$A1070,$Q$14:$Q$1213,"="&amp;$Q1070)+1)/2,"")</f>
        <v/>
      </c>
      <c r="AE1070" s="27">
        <f>IF(ISNUMBER($R1070),COUNTIFS($A$14:$A$1213,$A1070,$R$14:$R$1213,"&gt;"&amp;$R1070)+(COUNTIFS($A$14:$A$1213,$A1070,$R$14:$R$1213,"="&amp;$R1070)+1)/2,"")</f>
        <v/>
      </c>
      <c r="AF1070" s="27">
        <f>IF(ISNUMBER($S1070),COUNTIFS($A$14:$A$1213,$A1070,$S$14:$S$1213,"&gt;"&amp;$S1070)+(COUNTIFS($A$14:$A$1213,$A1070,$S$14:$S$1213,"="&amp;$S1070)+1)/2,"")</f>
        <v/>
      </c>
      <c r="AG1070" s="27">
        <f>IF(ISNUMBER($T1070),COUNTIFS($A$14:$A$1213,$A1070,$T$14:$T$1213,"&gt;"&amp;$T1070)+(COUNTIFS($A$14:$A$1213,$A1070,$T$14:$T$1213,"="&amp;$T1070)+1)/2,"")</f>
        <v/>
      </c>
      <c r="AH1070" s="27">
        <f>IF(COUNT($AC1070:$AG1070)&lt;2,"",IF(MAX($AC1070:$AG1070)=MIN($AC1070:$AG1070),0,1))</f>
        <v/>
      </c>
      <c r="AI1070" s="27">
        <f>IF($A1070="","",IF(COUNTIF($A$14:$A1070,$A1070)=1,COUNTIF($AI$13:AI1069,"&gt;0")+1,""))</f>
        <v/>
      </c>
      <c r="AO1070" s="27">
        <f>IF($A1070="","",IF(AND(COUNTIFS($A$14:$A$1213,$A1070,$F$14:$F$1213,"&gt;=0")=2,IFERROR(INDEX($M$14:$M$313,MATCH($A1070,$H$14:$H$313,0)),"Yes")&lt;&gt;"Yes"),1,0))</f>
        <v/>
      </c>
    </row>
    <row r="1071">
      <c r="A1071" s="19" t="n"/>
      <c r="B1071" s="20" t="n"/>
      <c r="C1071" s="21">
        <f>IFERROR(AVERAGE(P1071:T1071),"")</f>
        <v/>
      </c>
      <c r="D1071" s="29" t="n"/>
      <c r="E1071" s="29" t="n"/>
      <c r="F1071" s="30">
        <f>IF(AND(ISNUMBER($D1071),ISNUMBER($E1071),$E1071&gt;0,$D1071&lt;=$E1071),$D1071/$E1071,"")</f>
        <v/>
      </c>
      <c r="P1071" s="26" t="n"/>
      <c r="Q1071" s="26" t="n"/>
      <c r="R1071" s="26" t="n"/>
      <c r="S1071" s="26" t="n"/>
      <c r="T1071" s="26" t="n"/>
      <c r="V1071" s="27">
        <f>IF(ISNUMBER($C1071),COUNTIFS($A$14:$A$1213,$A1071,$C$14:$C$1213,"&gt;"&amp;$C1071)+(COUNTIFS($A$14:$A$1213,$A1071,$C$14:$C$1213,"="&amp;$C1071)+1)/2,"")</f>
        <v/>
      </c>
      <c r="W1071" s="27">
        <f>IF(ISNUMBER($F1071),COUNTIFS($A$14:$A$1213,$A1071,$F$14:$F$1213,"&gt;"&amp;$F1071)+(COUNTIFS($A$14:$A$1213,$A1071,$F$14:$F$1213,"="&amp;$F1071)+1)/2,"")</f>
        <v/>
      </c>
      <c r="X1071" s="27">
        <f>IF(OR(NOT(ISNUMBER($V1071)),$AO1071=1),"",$V1071-(COUNTIFS($A$14:$A$1213,$A1071,$C$14:$C$1213,"&gt;=0")+1)/2)</f>
        <v/>
      </c>
      <c r="Y1071" s="27">
        <f>IF(OR(NOT(ISNUMBER($W1071)),$AO1071=1),"",$W1071-(COUNTIFS($A$14:$A$1213,$A1071,$F$14:$F$1213,"&gt;=0")+1)/2)</f>
        <v/>
      </c>
      <c r="Z1071" s="27">
        <f>IF(ISNUMBER($V1071),$A1071&amp;"|"&amp;$V1071,"")</f>
        <v/>
      </c>
      <c r="AA1071" s="27">
        <f>IF(ISNUMBER($W1071),$A1071&amp;"|"&amp;$W1071,"")</f>
        <v/>
      </c>
      <c r="AB1071" s="27">
        <f>IF(ISNUMBER($F1071),$A1071&amp;"|"&amp;$F1071,"")</f>
        <v/>
      </c>
      <c r="AC1071" s="27">
        <f>IF(ISNUMBER($P1071),COUNTIFS($A$14:$A$1213,$A1071,$P$14:$P$1213,"&gt;"&amp;$P1071)+(COUNTIFS($A$14:$A$1213,$A1071,$P$14:$P$1213,"="&amp;$P1071)+1)/2,"")</f>
        <v/>
      </c>
      <c r="AD1071" s="27">
        <f>IF(ISNUMBER($Q1071),COUNTIFS($A$14:$A$1213,$A1071,$Q$14:$Q$1213,"&gt;"&amp;$Q1071)+(COUNTIFS($A$14:$A$1213,$A1071,$Q$14:$Q$1213,"="&amp;$Q1071)+1)/2,"")</f>
        <v/>
      </c>
      <c r="AE1071" s="27">
        <f>IF(ISNUMBER($R1071),COUNTIFS($A$14:$A$1213,$A1071,$R$14:$R$1213,"&gt;"&amp;$R1071)+(COUNTIFS($A$14:$A$1213,$A1071,$R$14:$R$1213,"="&amp;$R1071)+1)/2,"")</f>
        <v/>
      </c>
      <c r="AF1071" s="27">
        <f>IF(ISNUMBER($S1071),COUNTIFS($A$14:$A$1213,$A1071,$S$14:$S$1213,"&gt;"&amp;$S1071)+(COUNTIFS($A$14:$A$1213,$A1071,$S$14:$S$1213,"="&amp;$S1071)+1)/2,"")</f>
        <v/>
      </c>
      <c r="AG1071" s="27">
        <f>IF(ISNUMBER($T1071),COUNTIFS($A$14:$A$1213,$A1071,$T$14:$T$1213,"&gt;"&amp;$T1071)+(COUNTIFS($A$14:$A$1213,$A1071,$T$14:$T$1213,"="&amp;$T1071)+1)/2,"")</f>
        <v/>
      </c>
      <c r="AH1071" s="27">
        <f>IF(COUNT($AC1071:$AG1071)&lt;2,"",IF(MAX($AC1071:$AG1071)=MIN($AC1071:$AG1071),0,1))</f>
        <v/>
      </c>
      <c r="AI1071" s="27">
        <f>IF($A1071="","",IF(COUNTIF($A$14:$A1071,$A1071)=1,COUNTIF($AI$13:AI1070,"&gt;0")+1,""))</f>
        <v/>
      </c>
      <c r="AO1071" s="27">
        <f>IF($A1071="","",IF(AND(COUNTIFS($A$14:$A$1213,$A1071,$F$14:$F$1213,"&gt;=0")=2,IFERROR(INDEX($M$14:$M$313,MATCH($A1071,$H$14:$H$313,0)),"Yes")&lt;&gt;"Yes"),1,0))</f>
        <v/>
      </c>
    </row>
    <row r="1072">
      <c r="A1072" s="19" t="n"/>
      <c r="B1072" s="20" t="n"/>
      <c r="C1072" s="21">
        <f>IFERROR(AVERAGE(P1072:T1072),"")</f>
        <v/>
      </c>
      <c r="D1072" s="29" t="n"/>
      <c r="E1072" s="29" t="n"/>
      <c r="F1072" s="30">
        <f>IF(AND(ISNUMBER($D1072),ISNUMBER($E1072),$E1072&gt;0,$D1072&lt;=$E1072),$D1072/$E1072,"")</f>
        <v/>
      </c>
      <c r="P1072" s="26" t="n"/>
      <c r="Q1072" s="26" t="n"/>
      <c r="R1072" s="26" t="n"/>
      <c r="S1072" s="26" t="n"/>
      <c r="T1072" s="26" t="n"/>
      <c r="V1072" s="27">
        <f>IF(ISNUMBER($C1072),COUNTIFS($A$14:$A$1213,$A1072,$C$14:$C$1213,"&gt;"&amp;$C1072)+(COUNTIFS($A$14:$A$1213,$A1072,$C$14:$C$1213,"="&amp;$C1072)+1)/2,"")</f>
        <v/>
      </c>
      <c r="W1072" s="27">
        <f>IF(ISNUMBER($F1072),COUNTIFS($A$14:$A$1213,$A1072,$F$14:$F$1213,"&gt;"&amp;$F1072)+(COUNTIFS($A$14:$A$1213,$A1072,$F$14:$F$1213,"="&amp;$F1072)+1)/2,"")</f>
        <v/>
      </c>
      <c r="X1072" s="27">
        <f>IF(OR(NOT(ISNUMBER($V1072)),$AO1072=1),"",$V1072-(COUNTIFS($A$14:$A$1213,$A1072,$C$14:$C$1213,"&gt;=0")+1)/2)</f>
        <v/>
      </c>
      <c r="Y1072" s="27">
        <f>IF(OR(NOT(ISNUMBER($W1072)),$AO1072=1),"",$W1072-(COUNTIFS($A$14:$A$1213,$A1072,$F$14:$F$1213,"&gt;=0")+1)/2)</f>
        <v/>
      </c>
      <c r="Z1072" s="27">
        <f>IF(ISNUMBER($V1072),$A1072&amp;"|"&amp;$V1072,"")</f>
        <v/>
      </c>
      <c r="AA1072" s="27">
        <f>IF(ISNUMBER($W1072),$A1072&amp;"|"&amp;$W1072,"")</f>
        <v/>
      </c>
      <c r="AB1072" s="27">
        <f>IF(ISNUMBER($F1072),$A1072&amp;"|"&amp;$F1072,"")</f>
        <v/>
      </c>
      <c r="AC1072" s="27">
        <f>IF(ISNUMBER($P1072),COUNTIFS($A$14:$A$1213,$A1072,$P$14:$P$1213,"&gt;"&amp;$P1072)+(COUNTIFS($A$14:$A$1213,$A1072,$P$14:$P$1213,"="&amp;$P1072)+1)/2,"")</f>
        <v/>
      </c>
      <c r="AD1072" s="27">
        <f>IF(ISNUMBER($Q1072),COUNTIFS($A$14:$A$1213,$A1072,$Q$14:$Q$1213,"&gt;"&amp;$Q1072)+(COUNTIFS($A$14:$A$1213,$A1072,$Q$14:$Q$1213,"="&amp;$Q1072)+1)/2,"")</f>
        <v/>
      </c>
      <c r="AE1072" s="27">
        <f>IF(ISNUMBER($R1072),COUNTIFS($A$14:$A$1213,$A1072,$R$14:$R$1213,"&gt;"&amp;$R1072)+(COUNTIFS($A$14:$A$1213,$A1072,$R$14:$R$1213,"="&amp;$R1072)+1)/2,"")</f>
        <v/>
      </c>
      <c r="AF1072" s="27">
        <f>IF(ISNUMBER($S1072),COUNTIFS($A$14:$A$1213,$A1072,$S$14:$S$1213,"&gt;"&amp;$S1072)+(COUNTIFS($A$14:$A$1213,$A1072,$S$14:$S$1213,"="&amp;$S1072)+1)/2,"")</f>
        <v/>
      </c>
      <c r="AG1072" s="27">
        <f>IF(ISNUMBER($T1072),COUNTIFS($A$14:$A$1213,$A1072,$T$14:$T$1213,"&gt;"&amp;$T1072)+(COUNTIFS($A$14:$A$1213,$A1072,$T$14:$T$1213,"="&amp;$T1072)+1)/2,"")</f>
        <v/>
      </c>
      <c r="AH1072" s="27">
        <f>IF(COUNT($AC1072:$AG1072)&lt;2,"",IF(MAX($AC1072:$AG1072)=MIN($AC1072:$AG1072),0,1))</f>
        <v/>
      </c>
      <c r="AI1072" s="27">
        <f>IF($A1072="","",IF(COUNTIF($A$14:$A1072,$A1072)=1,COUNTIF($AI$13:AI1071,"&gt;0")+1,""))</f>
        <v/>
      </c>
      <c r="AO1072" s="27">
        <f>IF($A1072="","",IF(AND(COUNTIFS($A$14:$A$1213,$A1072,$F$14:$F$1213,"&gt;=0")=2,IFERROR(INDEX($M$14:$M$313,MATCH($A1072,$H$14:$H$313,0)),"Yes")&lt;&gt;"Yes"),1,0))</f>
        <v/>
      </c>
    </row>
    <row r="1073">
      <c r="A1073" s="19" t="n"/>
      <c r="B1073" s="20" t="n"/>
      <c r="C1073" s="21">
        <f>IFERROR(AVERAGE(P1073:T1073),"")</f>
        <v/>
      </c>
      <c r="D1073" s="29" t="n"/>
      <c r="E1073" s="29" t="n"/>
      <c r="F1073" s="30">
        <f>IF(AND(ISNUMBER($D1073),ISNUMBER($E1073),$E1073&gt;0,$D1073&lt;=$E1073),$D1073/$E1073,"")</f>
        <v/>
      </c>
      <c r="P1073" s="26" t="n"/>
      <c r="Q1073" s="26" t="n"/>
      <c r="R1073" s="26" t="n"/>
      <c r="S1073" s="26" t="n"/>
      <c r="T1073" s="26" t="n"/>
      <c r="V1073" s="27">
        <f>IF(ISNUMBER($C1073),COUNTIFS($A$14:$A$1213,$A1073,$C$14:$C$1213,"&gt;"&amp;$C1073)+(COUNTIFS($A$14:$A$1213,$A1073,$C$14:$C$1213,"="&amp;$C1073)+1)/2,"")</f>
        <v/>
      </c>
      <c r="W1073" s="27">
        <f>IF(ISNUMBER($F1073),COUNTIFS($A$14:$A$1213,$A1073,$F$14:$F$1213,"&gt;"&amp;$F1073)+(COUNTIFS($A$14:$A$1213,$A1073,$F$14:$F$1213,"="&amp;$F1073)+1)/2,"")</f>
        <v/>
      </c>
      <c r="X1073" s="27">
        <f>IF(OR(NOT(ISNUMBER($V1073)),$AO1073=1),"",$V1073-(COUNTIFS($A$14:$A$1213,$A1073,$C$14:$C$1213,"&gt;=0")+1)/2)</f>
        <v/>
      </c>
      <c r="Y1073" s="27">
        <f>IF(OR(NOT(ISNUMBER($W1073)),$AO1073=1),"",$W1073-(COUNTIFS($A$14:$A$1213,$A1073,$F$14:$F$1213,"&gt;=0")+1)/2)</f>
        <v/>
      </c>
      <c r="Z1073" s="27">
        <f>IF(ISNUMBER($V1073),$A1073&amp;"|"&amp;$V1073,"")</f>
        <v/>
      </c>
      <c r="AA1073" s="27">
        <f>IF(ISNUMBER($W1073),$A1073&amp;"|"&amp;$W1073,"")</f>
        <v/>
      </c>
      <c r="AB1073" s="27">
        <f>IF(ISNUMBER($F1073),$A1073&amp;"|"&amp;$F1073,"")</f>
        <v/>
      </c>
      <c r="AC1073" s="27">
        <f>IF(ISNUMBER($P1073),COUNTIFS($A$14:$A$1213,$A1073,$P$14:$P$1213,"&gt;"&amp;$P1073)+(COUNTIFS($A$14:$A$1213,$A1073,$P$14:$P$1213,"="&amp;$P1073)+1)/2,"")</f>
        <v/>
      </c>
      <c r="AD1073" s="27">
        <f>IF(ISNUMBER($Q1073),COUNTIFS($A$14:$A$1213,$A1073,$Q$14:$Q$1213,"&gt;"&amp;$Q1073)+(COUNTIFS($A$14:$A$1213,$A1073,$Q$14:$Q$1213,"="&amp;$Q1073)+1)/2,"")</f>
        <v/>
      </c>
      <c r="AE1073" s="27">
        <f>IF(ISNUMBER($R1073),COUNTIFS($A$14:$A$1213,$A1073,$R$14:$R$1213,"&gt;"&amp;$R1073)+(COUNTIFS($A$14:$A$1213,$A1073,$R$14:$R$1213,"="&amp;$R1073)+1)/2,"")</f>
        <v/>
      </c>
      <c r="AF1073" s="27">
        <f>IF(ISNUMBER($S1073),COUNTIFS($A$14:$A$1213,$A1073,$S$14:$S$1213,"&gt;"&amp;$S1073)+(COUNTIFS($A$14:$A$1213,$A1073,$S$14:$S$1213,"="&amp;$S1073)+1)/2,"")</f>
        <v/>
      </c>
      <c r="AG1073" s="27">
        <f>IF(ISNUMBER($T1073),COUNTIFS($A$14:$A$1213,$A1073,$T$14:$T$1213,"&gt;"&amp;$T1073)+(COUNTIFS($A$14:$A$1213,$A1073,$T$14:$T$1213,"="&amp;$T1073)+1)/2,"")</f>
        <v/>
      </c>
      <c r="AH1073" s="27">
        <f>IF(COUNT($AC1073:$AG1073)&lt;2,"",IF(MAX($AC1073:$AG1073)=MIN($AC1073:$AG1073),0,1))</f>
        <v/>
      </c>
      <c r="AI1073" s="27">
        <f>IF($A1073="","",IF(COUNTIF($A$14:$A1073,$A1073)=1,COUNTIF($AI$13:AI1072,"&gt;0")+1,""))</f>
        <v/>
      </c>
      <c r="AO1073" s="27">
        <f>IF($A1073="","",IF(AND(COUNTIFS($A$14:$A$1213,$A1073,$F$14:$F$1213,"&gt;=0")=2,IFERROR(INDEX($M$14:$M$313,MATCH($A1073,$H$14:$H$313,0)),"Yes")&lt;&gt;"Yes"),1,0))</f>
        <v/>
      </c>
    </row>
    <row r="1074">
      <c r="A1074" s="19" t="n"/>
      <c r="B1074" s="20" t="n"/>
      <c r="C1074" s="21">
        <f>IFERROR(AVERAGE(P1074:T1074),"")</f>
        <v/>
      </c>
      <c r="D1074" s="29" t="n"/>
      <c r="E1074" s="29" t="n"/>
      <c r="F1074" s="30">
        <f>IF(AND(ISNUMBER($D1074),ISNUMBER($E1074),$E1074&gt;0,$D1074&lt;=$E1074),$D1074/$E1074,"")</f>
        <v/>
      </c>
      <c r="P1074" s="26" t="n"/>
      <c r="Q1074" s="26" t="n"/>
      <c r="R1074" s="26" t="n"/>
      <c r="S1074" s="26" t="n"/>
      <c r="T1074" s="26" t="n"/>
      <c r="V1074" s="27">
        <f>IF(ISNUMBER($C1074),COUNTIFS($A$14:$A$1213,$A1074,$C$14:$C$1213,"&gt;"&amp;$C1074)+(COUNTIFS($A$14:$A$1213,$A1074,$C$14:$C$1213,"="&amp;$C1074)+1)/2,"")</f>
        <v/>
      </c>
      <c r="W1074" s="27">
        <f>IF(ISNUMBER($F1074),COUNTIFS($A$14:$A$1213,$A1074,$F$14:$F$1213,"&gt;"&amp;$F1074)+(COUNTIFS($A$14:$A$1213,$A1074,$F$14:$F$1213,"="&amp;$F1074)+1)/2,"")</f>
        <v/>
      </c>
      <c r="X1074" s="27">
        <f>IF(OR(NOT(ISNUMBER($V1074)),$AO1074=1),"",$V1074-(COUNTIFS($A$14:$A$1213,$A1074,$C$14:$C$1213,"&gt;=0")+1)/2)</f>
        <v/>
      </c>
      <c r="Y1074" s="27">
        <f>IF(OR(NOT(ISNUMBER($W1074)),$AO1074=1),"",$W1074-(COUNTIFS($A$14:$A$1213,$A1074,$F$14:$F$1213,"&gt;=0")+1)/2)</f>
        <v/>
      </c>
      <c r="Z1074" s="27">
        <f>IF(ISNUMBER($V1074),$A1074&amp;"|"&amp;$V1074,"")</f>
        <v/>
      </c>
      <c r="AA1074" s="27">
        <f>IF(ISNUMBER($W1074),$A1074&amp;"|"&amp;$W1074,"")</f>
        <v/>
      </c>
      <c r="AB1074" s="27">
        <f>IF(ISNUMBER($F1074),$A1074&amp;"|"&amp;$F1074,"")</f>
        <v/>
      </c>
      <c r="AC1074" s="27">
        <f>IF(ISNUMBER($P1074),COUNTIFS($A$14:$A$1213,$A1074,$P$14:$P$1213,"&gt;"&amp;$P1074)+(COUNTIFS($A$14:$A$1213,$A1074,$P$14:$P$1213,"="&amp;$P1074)+1)/2,"")</f>
        <v/>
      </c>
      <c r="AD1074" s="27">
        <f>IF(ISNUMBER($Q1074),COUNTIFS($A$14:$A$1213,$A1074,$Q$14:$Q$1213,"&gt;"&amp;$Q1074)+(COUNTIFS($A$14:$A$1213,$A1074,$Q$14:$Q$1213,"="&amp;$Q1074)+1)/2,"")</f>
        <v/>
      </c>
      <c r="AE1074" s="27">
        <f>IF(ISNUMBER($R1074),COUNTIFS($A$14:$A$1213,$A1074,$R$14:$R$1213,"&gt;"&amp;$R1074)+(COUNTIFS($A$14:$A$1213,$A1074,$R$14:$R$1213,"="&amp;$R1074)+1)/2,"")</f>
        <v/>
      </c>
      <c r="AF1074" s="27">
        <f>IF(ISNUMBER($S1074),COUNTIFS($A$14:$A$1213,$A1074,$S$14:$S$1213,"&gt;"&amp;$S1074)+(COUNTIFS($A$14:$A$1213,$A1074,$S$14:$S$1213,"="&amp;$S1074)+1)/2,"")</f>
        <v/>
      </c>
      <c r="AG1074" s="27">
        <f>IF(ISNUMBER($T1074),COUNTIFS($A$14:$A$1213,$A1074,$T$14:$T$1213,"&gt;"&amp;$T1074)+(COUNTIFS($A$14:$A$1213,$A1074,$T$14:$T$1213,"="&amp;$T1074)+1)/2,"")</f>
        <v/>
      </c>
      <c r="AH1074" s="27">
        <f>IF(COUNT($AC1074:$AG1074)&lt;2,"",IF(MAX($AC1074:$AG1074)=MIN($AC1074:$AG1074),0,1))</f>
        <v/>
      </c>
      <c r="AI1074" s="27">
        <f>IF($A1074="","",IF(COUNTIF($A$14:$A1074,$A1074)=1,COUNTIF($AI$13:AI1073,"&gt;0")+1,""))</f>
        <v/>
      </c>
      <c r="AO1074" s="27">
        <f>IF($A1074="","",IF(AND(COUNTIFS($A$14:$A$1213,$A1074,$F$14:$F$1213,"&gt;=0")=2,IFERROR(INDEX($M$14:$M$313,MATCH($A1074,$H$14:$H$313,0)),"Yes")&lt;&gt;"Yes"),1,0))</f>
        <v/>
      </c>
    </row>
    <row r="1075">
      <c r="A1075" s="19" t="n"/>
      <c r="B1075" s="20" t="n"/>
      <c r="C1075" s="21">
        <f>IFERROR(AVERAGE(P1075:T1075),"")</f>
        <v/>
      </c>
      <c r="D1075" s="29" t="n"/>
      <c r="E1075" s="29" t="n"/>
      <c r="F1075" s="30">
        <f>IF(AND(ISNUMBER($D1075),ISNUMBER($E1075),$E1075&gt;0,$D1075&lt;=$E1075),$D1075/$E1075,"")</f>
        <v/>
      </c>
      <c r="P1075" s="26" t="n"/>
      <c r="Q1075" s="26" t="n"/>
      <c r="R1075" s="26" t="n"/>
      <c r="S1075" s="26" t="n"/>
      <c r="T1075" s="26" t="n"/>
      <c r="V1075" s="27">
        <f>IF(ISNUMBER($C1075),COUNTIFS($A$14:$A$1213,$A1075,$C$14:$C$1213,"&gt;"&amp;$C1075)+(COUNTIFS($A$14:$A$1213,$A1075,$C$14:$C$1213,"="&amp;$C1075)+1)/2,"")</f>
        <v/>
      </c>
      <c r="W1075" s="27">
        <f>IF(ISNUMBER($F1075),COUNTIFS($A$14:$A$1213,$A1075,$F$14:$F$1213,"&gt;"&amp;$F1075)+(COUNTIFS($A$14:$A$1213,$A1075,$F$14:$F$1213,"="&amp;$F1075)+1)/2,"")</f>
        <v/>
      </c>
      <c r="X1075" s="27">
        <f>IF(OR(NOT(ISNUMBER($V1075)),$AO1075=1),"",$V1075-(COUNTIFS($A$14:$A$1213,$A1075,$C$14:$C$1213,"&gt;=0")+1)/2)</f>
        <v/>
      </c>
      <c r="Y1075" s="27">
        <f>IF(OR(NOT(ISNUMBER($W1075)),$AO1075=1),"",$W1075-(COUNTIFS($A$14:$A$1213,$A1075,$F$14:$F$1213,"&gt;=0")+1)/2)</f>
        <v/>
      </c>
      <c r="Z1075" s="27">
        <f>IF(ISNUMBER($V1075),$A1075&amp;"|"&amp;$V1075,"")</f>
        <v/>
      </c>
      <c r="AA1075" s="27">
        <f>IF(ISNUMBER($W1075),$A1075&amp;"|"&amp;$W1075,"")</f>
        <v/>
      </c>
      <c r="AB1075" s="27">
        <f>IF(ISNUMBER($F1075),$A1075&amp;"|"&amp;$F1075,"")</f>
        <v/>
      </c>
      <c r="AC1075" s="27">
        <f>IF(ISNUMBER($P1075),COUNTIFS($A$14:$A$1213,$A1075,$P$14:$P$1213,"&gt;"&amp;$P1075)+(COUNTIFS($A$14:$A$1213,$A1075,$P$14:$P$1213,"="&amp;$P1075)+1)/2,"")</f>
        <v/>
      </c>
      <c r="AD1075" s="27">
        <f>IF(ISNUMBER($Q1075),COUNTIFS($A$14:$A$1213,$A1075,$Q$14:$Q$1213,"&gt;"&amp;$Q1075)+(COUNTIFS($A$14:$A$1213,$A1075,$Q$14:$Q$1213,"="&amp;$Q1075)+1)/2,"")</f>
        <v/>
      </c>
      <c r="AE1075" s="27">
        <f>IF(ISNUMBER($R1075),COUNTIFS($A$14:$A$1213,$A1075,$R$14:$R$1213,"&gt;"&amp;$R1075)+(COUNTIFS($A$14:$A$1213,$A1075,$R$14:$R$1213,"="&amp;$R1075)+1)/2,"")</f>
        <v/>
      </c>
      <c r="AF1075" s="27">
        <f>IF(ISNUMBER($S1075),COUNTIFS($A$14:$A$1213,$A1075,$S$14:$S$1213,"&gt;"&amp;$S1075)+(COUNTIFS($A$14:$A$1213,$A1075,$S$14:$S$1213,"="&amp;$S1075)+1)/2,"")</f>
        <v/>
      </c>
      <c r="AG1075" s="27">
        <f>IF(ISNUMBER($T1075),COUNTIFS($A$14:$A$1213,$A1075,$T$14:$T$1213,"&gt;"&amp;$T1075)+(COUNTIFS($A$14:$A$1213,$A1075,$T$14:$T$1213,"="&amp;$T1075)+1)/2,"")</f>
        <v/>
      </c>
      <c r="AH1075" s="27">
        <f>IF(COUNT($AC1075:$AG1075)&lt;2,"",IF(MAX($AC1075:$AG1075)=MIN($AC1075:$AG1075),0,1))</f>
        <v/>
      </c>
      <c r="AI1075" s="27">
        <f>IF($A1075="","",IF(COUNTIF($A$14:$A1075,$A1075)=1,COUNTIF($AI$13:AI1074,"&gt;0")+1,""))</f>
        <v/>
      </c>
      <c r="AO1075" s="27">
        <f>IF($A1075="","",IF(AND(COUNTIFS($A$14:$A$1213,$A1075,$F$14:$F$1213,"&gt;=0")=2,IFERROR(INDEX($M$14:$M$313,MATCH($A1075,$H$14:$H$313,0)),"Yes")&lt;&gt;"Yes"),1,0))</f>
        <v/>
      </c>
    </row>
    <row r="1076">
      <c r="A1076" s="19" t="n"/>
      <c r="B1076" s="20" t="n"/>
      <c r="C1076" s="21">
        <f>IFERROR(AVERAGE(P1076:T1076),"")</f>
        <v/>
      </c>
      <c r="D1076" s="29" t="n"/>
      <c r="E1076" s="29" t="n"/>
      <c r="F1076" s="30">
        <f>IF(AND(ISNUMBER($D1076),ISNUMBER($E1076),$E1076&gt;0,$D1076&lt;=$E1076),$D1076/$E1076,"")</f>
        <v/>
      </c>
      <c r="P1076" s="26" t="n"/>
      <c r="Q1076" s="26" t="n"/>
      <c r="R1076" s="26" t="n"/>
      <c r="S1076" s="26" t="n"/>
      <c r="T1076" s="26" t="n"/>
      <c r="V1076" s="27">
        <f>IF(ISNUMBER($C1076),COUNTIFS($A$14:$A$1213,$A1076,$C$14:$C$1213,"&gt;"&amp;$C1076)+(COUNTIFS($A$14:$A$1213,$A1076,$C$14:$C$1213,"="&amp;$C1076)+1)/2,"")</f>
        <v/>
      </c>
      <c r="W1076" s="27">
        <f>IF(ISNUMBER($F1076),COUNTIFS($A$14:$A$1213,$A1076,$F$14:$F$1213,"&gt;"&amp;$F1076)+(COUNTIFS($A$14:$A$1213,$A1076,$F$14:$F$1213,"="&amp;$F1076)+1)/2,"")</f>
        <v/>
      </c>
      <c r="X1076" s="27">
        <f>IF(OR(NOT(ISNUMBER($V1076)),$AO1076=1),"",$V1076-(COUNTIFS($A$14:$A$1213,$A1076,$C$14:$C$1213,"&gt;=0")+1)/2)</f>
        <v/>
      </c>
      <c r="Y1076" s="27">
        <f>IF(OR(NOT(ISNUMBER($W1076)),$AO1076=1),"",$W1076-(COUNTIFS($A$14:$A$1213,$A1076,$F$14:$F$1213,"&gt;=0")+1)/2)</f>
        <v/>
      </c>
      <c r="Z1076" s="27">
        <f>IF(ISNUMBER($V1076),$A1076&amp;"|"&amp;$V1076,"")</f>
        <v/>
      </c>
      <c r="AA1076" s="27">
        <f>IF(ISNUMBER($W1076),$A1076&amp;"|"&amp;$W1076,"")</f>
        <v/>
      </c>
      <c r="AB1076" s="27">
        <f>IF(ISNUMBER($F1076),$A1076&amp;"|"&amp;$F1076,"")</f>
        <v/>
      </c>
      <c r="AC1076" s="27">
        <f>IF(ISNUMBER($P1076),COUNTIFS($A$14:$A$1213,$A1076,$P$14:$P$1213,"&gt;"&amp;$P1076)+(COUNTIFS($A$14:$A$1213,$A1076,$P$14:$P$1213,"="&amp;$P1076)+1)/2,"")</f>
        <v/>
      </c>
      <c r="AD1076" s="27">
        <f>IF(ISNUMBER($Q1076),COUNTIFS($A$14:$A$1213,$A1076,$Q$14:$Q$1213,"&gt;"&amp;$Q1076)+(COUNTIFS($A$14:$A$1213,$A1076,$Q$14:$Q$1213,"="&amp;$Q1076)+1)/2,"")</f>
        <v/>
      </c>
      <c r="AE1076" s="27">
        <f>IF(ISNUMBER($R1076),COUNTIFS($A$14:$A$1213,$A1076,$R$14:$R$1213,"&gt;"&amp;$R1076)+(COUNTIFS($A$14:$A$1213,$A1076,$R$14:$R$1213,"="&amp;$R1076)+1)/2,"")</f>
        <v/>
      </c>
      <c r="AF1076" s="27">
        <f>IF(ISNUMBER($S1076),COUNTIFS($A$14:$A$1213,$A1076,$S$14:$S$1213,"&gt;"&amp;$S1076)+(COUNTIFS($A$14:$A$1213,$A1076,$S$14:$S$1213,"="&amp;$S1076)+1)/2,"")</f>
        <v/>
      </c>
      <c r="AG1076" s="27">
        <f>IF(ISNUMBER($T1076),COUNTIFS($A$14:$A$1213,$A1076,$T$14:$T$1213,"&gt;"&amp;$T1076)+(COUNTIFS($A$14:$A$1213,$A1076,$T$14:$T$1213,"="&amp;$T1076)+1)/2,"")</f>
        <v/>
      </c>
      <c r="AH1076" s="27">
        <f>IF(COUNT($AC1076:$AG1076)&lt;2,"",IF(MAX($AC1076:$AG1076)=MIN($AC1076:$AG1076),0,1))</f>
        <v/>
      </c>
      <c r="AI1076" s="27">
        <f>IF($A1076="","",IF(COUNTIF($A$14:$A1076,$A1076)=1,COUNTIF($AI$13:AI1075,"&gt;0")+1,""))</f>
        <v/>
      </c>
      <c r="AO1076" s="27">
        <f>IF($A1076="","",IF(AND(COUNTIFS($A$14:$A$1213,$A1076,$F$14:$F$1213,"&gt;=0")=2,IFERROR(INDEX($M$14:$M$313,MATCH($A1076,$H$14:$H$313,0)),"Yes")&lt;&gt;"Yes"),1,0))</f>
        <v/>
      </c>
    </row>
    <row r="1077">
      <c r="A1077" s="19" t="n"/>
      <c r="B1077" s="20" t="n"/>
      <c r="C1077" s="21">
        <f>IFERROR(AVERAGE(P1077:T1077),"")</f>
        <v/>
      </c>
      <c r="D1077" s="29" t="n"/>
      <c r="E1077" s="29" t="n"/>
      <c r="F1077" s="30">
        <f>IF(AND(ISNUMBER($D1077),ISNUMBER($E1077),$E1077&gt;0,$D1077&lt;=$E1077),$D1077/$E1077,"")</f>
        <v/>
      </c>
      <c r="P1077" s="26" t="n"/>
      <c r="Q1077" s="26" t="n"/>
      <c r="R1077" s="26" t="n"/>
      <c r="S1077" s="26" t="n"/>
      <c r="T1077" s="26" t="n"/>
      <c r="V1077" s="27">
        <f>IF(ISNUMBER($C1077),COUNTIFS($A$14:$A$1213,$A1077,$C$14:$C$1213,"&gt;"&amp;$C1077)+(COUNTIFS($A$14:$A$1213,$A1077,$C$14:$C$1213,"="&amp;$C1077)+1)/2,"")</f>
        <v/>
      </c>
      <c r="W1077" s="27">
        <f>IF(ISNUMBER($F1077),COUNTIFS($A$14:$A$1213,$A1077,$F$14:$F$1213,"&gt;"&amp;$F1077)+(COUNTIFS($A$14:$A$1213,$A1077,$F$14:$F$1213,"="&amp;$F1077)+1)/2,"")</f>
        <v/>
      </c>
      <c r="X1077" s="27">
        <f>IF(OR(NOT(ISNUMBER($V1077)),$AO1077=1),"",$V1077-(COUNTIFS($A$14:$A$1213,$A1077,$C$14:$C$1213,"&gt;=0")+1)/2)</f>
        <v/>
      </c>
      <c r="Y1077" s="27">
        <f>IF(OR(NOT(ISNUMBER($W1077)),$AO1077=1),"",$W1077-(COUNTIFS($A$14:$A$1213,$A1077,$F$14:$F$1213,"&gt;=0")+1)/2)</f>
        <v/>
      </c>
      <c r="Z1077" s="27">
        <f>IF(ISNUMBER($V1077),$A1077&amp;"|"&amp;$V1077,"")</f>
        <v/>
      </c>
      <c r="AA1077" s="27">
        <f>IF(ISNUMBER($W1077),$A1077&amp;"|"&amp;$W1077,"")</f>
        <v/>
      </c>
      <c r="AB1077" s="27">
        <f>IF(ISNUMBER($F1077),$A1077&amp;"|"&amp;$F1077,"")</f>
        <v/>
      </c>
      <c r="AC1077" s="27">
        <f>IF(ISNUMBER($P1077),COUNTIFS($A$14:$A$1213,$A1077,$P$14:$P$1213,"&gt;"&amp;$P1077)+(COUNTIFS($A$14:$A$1213,$A1077,$P$14:$P$1213,"="&amp;$P1077)+1)/2,"")</f>
        <v/>
      </c>
      <c r="AD1077" s="27">
        <f>IF(ISNUMBER($Q1077),COUNTIFS($A$14:$A$1213,$A1077,$Q$14:$Q$1213,"&gt;"&amp;$Q1077)+(COUNTIFS($A$14:$A$1213,$A1077,$Q$14:$Q$1213,"="&amp;$Q1077)+1)/2,"")</f>
        <v/>
      </c>
      <c r="AE1077" s="27">
        <f>IF(ISNUMBER($R1077),COUNTIFS($A$14:$A$1213,$A1077,$R$14:$R$1213,"&gt;"&amp;$R1077)+(COUNTIFS($A$14:$A$1213,$A1077,$R$14:$R$1213,"="&amp;$R1077)+1)/2,"")</f>
        <v/>
      </c>
      <c r="AF1077" s="27">
        <f>IF(ISNUMBER($S1077),COUNTIFS($A$14:$A$1213,$A1077,$S$14:$S$1213,"&gt;"&amp;$S1077)+(COUNTIFS($A$14:$A$1213,$A1077,$S$14:$S$1213,"="&amp;$S1077)+1)/2,"")</f>
        <v/>
      </c>
      <c r="AG1077" s="27">
        <f>IF(ISNUMBER($T1077),COUNTIFS($A$14:$A$1213,$A1077,$T$14:$T$1213,"&gt;"&amp;$T1077)+(COUNTIFS($A$14:$A$1213,$A1077,$T$14:$T$1213,"="&amp;$T1077)+1)/2,"")</f>
        <v/>
      </c>
      <c r="AH1077" s="27">
        <f>IF(COUNT($AC1077:$AG1077)&lt;2,"",IF(MAX($AC1077:$AG1077)=MIN($AC1077:$AG1077),0,1))</f>
        <v/>
      </c>
      <c r="AI1077" s="27">
        <f>IF($A1077="","",IF(COUNTIF($A$14:$A1077,$A1077)=1,COUNTIF($AI$13:AI1076,"&gt;0")+1,""))</f>
        <v/>
      </c>
      <c r="AO1077" s="27">
        <f>IF($A1077="","",IF(AND(COUNTIFS($A$14:$A$1213,$A1077,$F$14:$F$1213,"&gt;=0")=2,IFERROR(INDEX($M$14:$M$313,MATCH($A1077,$H$14:$H$313,0)),"Yes")&lt;&gt;"Yes"),1,0))</f>
        <v/>
      </c>
    </row>
    <row r="1078">
      <c r="A1078" s="19" t="n"/>
      <c r="B1078" s="20" t="n"/>
      <c r="C1078" s="21">
        <f>IFERROR(AVERAGE(P1078:T1078),"")</f>
        <v/>
      </c>
      <c r="D1078" s="29" t="n"/>
      <c r="E1078" s="29" t="n"/>
      <c r="F1078" s="30">
        <f>IF(AND(ISNUMBER($D1078),ISNUMBER($E1078),$E1078&gt;0,$D1078&lt;=$E1078),$D1078/$E1078,"")</f>
        <v/>
      </c>
      <c r="P1078" s="26" t="n"/>
      <c r="Q1078" s="26" t="n"/>
      <c r="R1078" s="26" t="n"/>
      <c r="S1078" s="26" t="n"/>
      <c r="T1078" s="26" t="n"/>
      <c r="V1078" s="27">
        <f>IF(ISNUMBER($C1078),COUNTIFS($A$14:$A$1213,$A1078,$C$14:$C$1213,"&gt;"&amp;$C1078)+(COUNTIFS($A$14:$A$1213,$A1078,$C$14:$C$1213,"="&amp;$C1078)+1)/2,"")</f>
        <v/>
      </c>
      <c r="W1078" s="27">
        <f>IF(ISNUMBER($F1078),COUNTIFS($A$14:$A$1213,$A1078,$F$14:$F$1213,"&gt;"&amp;$F1078)+(COUNTIFS($A$14:$A$1213,$A1078,$F$14:$F$1213,"="&amp;$F1078)+1)/2,"")</f>
        <v/>
      </c>
      <c r="X1078" s="27">
        <f>IF(OR(NOT(ISNUMBER($V1078)),$AO1078=1),"",$V1078-(COUNTIFS($A$14:$A$1213,$A1078,$C$14:$C$1213,"&gt;=0")+1)/2)</f>
        <v/>
      </c>
      <c r="Y1078" s="27">
        <f>IF(OR(NOT(ISNUMBER($W1078)),$AO1078=1),"",$W1078-(COUNTIFS($A$14:$A$1213,$A1078,$F$14:$F$1213,"&gt;=0")+1)/2)</f>
        <v/>
      </c>
      <c r="Z1078" s="27">
        <f>IF(ISNUMBER($V1078),$A1078&amp;"|"&amp;$V1078,"")</f>
        <v/>
      </c>
      <c r="AA1078" s="27">
        <f>IF(ISNUMBER($W1078),$A1078&amp;"|"&amp;$W1078,"")</f>
        <v/>
      </c>
      <c r="AB1078" s="27">
        <f>IF(ISNUMBER($F1078),$A1078&amp;"|"&amp;$F1078,"")</f>
        <v/>
      </c>
      <c r="AC1078" s="27">
        <f>IF(ISNUMBER($P1078),COUNTIFS($A$14:$A$1213,$A1078,$P$14:$P$1213,"&gt;"&amp;$P1078)+(COUNTIFS($A$14:$A$1213,$A1078,$P$14:$P$1213,"="&amp;$P1078)+1)/2,"")</f>
        <v/>
      </c>
      <c r="AD1078" s="27">
        <f>IF(ISNUMBER($Q1078),COUNTIFS($A$14:$A$1213,$A1078,$Q$14:$Q$1213,"&gt;"&amp;$Q1078)+(COUNTIFS($A$14:$A$1213,$A1078,$Q$14:$Q$1213,"="&amp;$Q1078)+1)/2,"")</f>
        <v/>
      </c>
      <c r="AE1078" s="27">
        <f>IF(ISNUMBER($R1078),COUNTIFS($A$14:$A$1213,$A1078,$R$14:$R$1213,"&gt;"&amp;$R1078)+(COUNTIFS($A$14:$A$1213,$A1078,$R$14:$R$1213,"="&amp;$R1078)+1)/2,"")</f>
        <v/>
      </c>
      <c r="AF1078" s="27">
        <f>IF(ISNUMBER($S1078),COUNTIFS($A$14:$A$1213,$A1078,$S$14:$S$1213,"&gt;"&amp;$S1078)+(COUNTIFS($A$14:$A$1213,$A1078,$S$14:$S$1213,"="&amp;$S1078)+1)/2,"")</f>
        <v/>
      </c>
      <c r="AG1078" s="27">
        <f>IF(ISNUMBER($T1078),COUNTIFS($A$14:$A$1213,$A1078,$T$14:$T$1213,"&gt;"&amp;$T1078)+(COUNTIFS($A$14:$A$1213,$A1078,$T$14:$T$1213,"="&amp;$T1078)+1)/2,"")</f>
        <v/>
      </c>
      <c r="AH1078" s="27">
        <f>IF(COUNT($AC1078:$AG1078)&lt;2,"",IF(MAX($AC1078:$AG1078)=MIN($AC1078:$AG1078),0,1))</f>
        <v/>
      </c>
      <c r="AI1078" s="27">
        <f>IF($A1078="","",IF(COUNTIF($A$14:$A1078,$A1078)=1,COUNTIF($AI$13:AI1077,"&gt;0")+1,""))</f>
        <v/>
      </c>
      <c r="AO1078" s="27">
        <f>IF($A1078="","",IF(AND(COUNTIFS($A$14:$A$1213,$A1078,$F$14:$F$1213,"&gt;=0")=2,IFERROR(INDEX($M$14:$M$313,MATCH($A1078,$H$14:$H$313,0)),"Yes")&lt;&gt;"Yes"),1,0))</f>
        <v/>
      </c>
    </row>
    <row r="1079">
      <c r="A1079" s="19" t="n"/>
      <c r="B1079" s="20" t="n"/>
      <c r="C1079" s="21">
        <f>IFERROR(AVERAGE(P1079:T1079),"")</f>
        <v/>
      </c>
      <c r="D1079" s="29" t="n"/>
      <c r="E1079" s="29" t="n"/>
      <c r="F1079" s="30">
        <f>IF(AND(ISNUMBER($D1079),ISNUMBER($E1079),$E1079&gt;0,$D1079&lt;=$E1079),$D1079/$E1079,"")</f>
        <v/>
      </c>
      <c r="P1079" s="26" t="n"/>
      <c r="Q1079" s="26" t="n"/>
      <c r="R1079" s="26" t="n"/>
      <c r="S1079" s="26" t="n"/>
      <c r="T1079" s="26" t="n"/>
      <c r="V1079" s="27">
        <f>IF(ISNUMBER($C1079),COUNTIFS($A$14:$A$1213,$A1079,$C$14:$C$1213,"&gt;"&amp;$C1079)+(COUNTIFS($A$14:$A$1213,$A1079,$C$14:$C$1213,"="&amp;$C1079)+1)/2,"")</f>
        <v/>
      </c>
      <c r="W1079" s="27">
        <f>IF(ISNUMBER($F1079),COUNTIFS($A$14:$A$1213,$A1079,$F$14:$F$1213,"&gt;"&amp;$F1079)+(COUNTIFS($A$14:$A$1213,$A1079,$F$14:$F$1213,"="&amp;$F1079)+1)/2,"")</f>
        <v/>
      </c>
      <c r="X1079" s="27">
        <f>IF(OR(NOT(ISNUMBER($V1079)),$AO1079=1),"",$V1079-(COUNTIFS($A$14:$A$1213,$A1079,$C$14:$C$1213,"&gt;=0")+1)/2)</f>
        <v/>
      </c>
      <c r="Y1079" s="27">
        <f>IF(OR(NOT(ISNUMBER($W1079)),$AO1079=1),"",$W1079-(COUNTIFS($A$14:$A$1213,$A1079,$F$14:$F$1213,"&gt;=0")+1)/2)</f>
        <v/>
      </c>
      <c r="Z1079" s="27">
        <f>IF(ISNUMBER($V1079),$A1079&amp;"|"&amp;$V1079,"")</f>
        <v/>
      </c>
      <c r="AA1079" s="27">
        <f>IF(ISNUMBER($W1079),$A1079&amp;"|"&amp;$W1079,"")</f>
        <v/>
      </c>
      <c r="AB1079" s="27">
        <f>IF(ISNUMBER($F1079),$A1079&amp;"|"&amp;$F1079,"")</f>
        <v/>
      </c>
      <c r="AC1079" s="27">
        <f>IF(ISNUMBER($P1079),COUNTIFS($A$14:$A$1213,$A1079,$P$14:$P$1213,"&gt;"&amp;$P1079)+(COUNTIFS($A$14:$A$1213,$A1079,$P$14:$P$1213,"="&amp;$P1079)+1)/2,"")</f>
        <v/>
      </c>
      <c r="AD1079" s="27">
        <f>IF(ISNUMBER($Q1079),COUNTIFS($A$14:$A$1213,$A1079,$Q$14:$Q$1213,"&gt;"&amp;$Q1079)+(COUNTIFS($A$14:$A$1213,$A1079,$Q$14:$Q$1213,"="&amp;$Q1079)+1)/2,"")</f>
        <v/>
      </c>
      <c r="AE1079" s="27">
        <f>IF(ISNUMBER($R1079),COUNTIFS($A$14:$A$1213,$A1079,$R$14:$R$1213,"&gt;"&amp;$R1079)+(COUNTIFS($A$14:$A$1213,$A1079,$R$14:$R$1213,"="&amp;$R1079)+1)/2,"")</f>
        <v/>
      </c>
      <c r="AF1079" s="27">
        <f>IF(ISNUMBER($S1079),COUNTIFS($A$14:$A$1213,$A1079,$S$14:$S$1213,"&gt;"&amp;$S1079)+(COUNTIFS($A$14:$A$1213,$A1079,$S$14:$S$1213,"="&amp;$S1079)+1)/2,"")</f>
        <v/>
      </c>
      <c r="AG1079" s="27">
        <f>IF(ISNUMBER($T1079),COUNTIFS($A$14:$A$1213,$A1079,$T$14:$T$1213,"&gt;"&amp;$T1079)+(COUNTIFS($A$14:$A$1213,$A1079,$T$14:$T$1213,"="&amp;$T1079)+1)/2,"")</f>
        <v/>
      </c>
      <c r="AH1079" s="27">
        <f>IF(COUNT($AC1079:$AG1079)&lt;2,"",IF(MAX($AC1079:$AG1079)=MIN($AC1079:$AG1079),0,1))</f>
        <v/>
      </c>
      <c r="AI1079" s="27">
        <f>IF($A1079="","",IF(COUNTIF($A$14:$A1079,$A1079)=1,COUNTIF($AI$13:AI1078,"&gt;0")+1,""))</f>
        <v/>
      </c>
      <c r="AO1079" s="27">
        <f>IF($A1079="","",IF(AND(COUNTIFS($A$14:$A$1213,$A1079,$F$14:$F$1213,"&gt;=0")=2,IFERROR(INDEX($M$14:$M$313,MATCH($A1079,$H$14:$H$313,0)),"Yes")&lt;&gt;"Yes"),1,0))</f>
        <v/>
      </c>
    </row>
    <row r="1080">
      <c r="A1080" s="19" t="n"/>
      <c r="B1080" s="20" t="n"/>
      <c r="C1080" s="21">
        <f>IFERROR(AVERAGE(P1080:T1080),"")</f>
        <v/>
      </c>
      <c r="D1080" s="29" t="n"/>
      <c r="E1080" s="29" t="n"/>
      <c r="F1080" s="30">
        <f>IF(AND(ISNUMBER($D1080),ISNUMBER($E1080),$E1080&gt;0,$D1080&lt;=$E1080),$D1080/$E1080,"")</f>
        <v/>
      </c>
      <c r="P1080" s="26" t="n"/>
      <c r="Q1080" s="26" t="n"/>
      <c r="R1080" s="26" t="n"/>
      <c r="S1080" s="26" t="n"/>
      <c r="T1080" s="26" t="n"/>
      <c r="V1080" s="27">
        <f>IF(ISNUMBER($C1080),COUNTIFS($A$14:$A$1213,$A1080,$C$14:$C$1213,"&gt;"&amp;$C1080)+(COUNTIFS($A$14:$A$1213,$A1080,$C$14:$C$1213,"="&amp;$C1080)+1)/2,"")</f>
        <v/>
      </c>
      <c r="W1080" s="27">
        <f>IF(ISNUMBER($F1080),COUNTIFS($A$14:$A$1213,$A1080,$F$14:$F$1213,"&gt;"&amp;$F1080)+(COUNTIFS($A$14:$A$1213,$A1080,$F$14:$F$1213,"="&amp;$F1080)+1)/2,"")</f>
        <v/>
      </c>
      <c r="X1080" s="27">
        <f>IF(OR(NOT(ISNUMBER($V1080)),$AO1080=1),"",$V1080-(COUNTIFS($A$14:$A$1213,$A1080,$C$14:$C$1213,"&gt;=0")+1)/2)</f>
        <v/>
      </c>
      <c r="Y1080" s="27">
        <f>IF(OR(NOT(ISNUMBER($W1080)),$AO1080=1),"",$W1080-(COUNTIFS($A$14:$A$1213,$A1080,$F$14:$F$1213,"&gt;=0")+1)/2)</f>
        <v/>
      </c>
      <c r="Z1080" s="27">
        <f>IF(ISNUMBER($V1080),$A1080&amp;"|"&amp;$V1080,"")</f>
        <v/>
      </c>
      <c r="AA1080" s="27">
        <f>IF(ISNUMBER($W1080),$A1080&amp;"|"&amp;$W1080,"")</f>
        <v/>
      </c>
      <c r="AB1080" s="27">
        <f>IF(ISNUMBER($F1080),$A1080&amp;"|"&amp;$F1080,"")</f>
        <v/>
      </c>
      <c r="AC1080" s="27">
        <f>IF(ISNUMBER($P1080),COUNTIFS($A$14:$A$1213,$A1080,$P$14:$P$1213,"&gt;"&amp;$P1080)+(COUNTIFS($A$14:$A$1213,$A1080,$P$14:$P$1213,"="&amp;$P1080)+1)/2,"")</f>
        <v/>
      </c>
      <c r="AD1080" s="27">
        <f>IF(ISNUMBER($Q1080),COUNTIFS($A$14:$A$1213,$A1080,$Q$14:$Q$1213,"&gt;"&amp;$Q1080)+(COUNTIFS($A$14:$A$1213,$A1080,$Q$14:$Q$1213,"="&amp;$Q1080)+1)/2,"")</f>
        <v/>
      </c>
      <c r="AE1080" s="27">
        <f>IF(ISNUMBER($R1080),COUNTIFS($A$14:$A$1213,$A1080,$R$14:$R$1213,"&gt;"&amp;$R1080)+(COUNTIFS($A$14:$A$1213,$A1080,$R$14:$R$1213,"="&amp;$R1080)+1)/2,"")</f>
        <v/>
      </c>
      <c r="AF1080" s="27">
        <f>IF(ISNUMBER($S1080),COUNTIFS($A$14:$A$1213,$A1080,$S$14:$S$1213,"&gt;"&amp;$S1080)+(COUNTIFS($A$14:$A$1213,$A1080,$S$14:$S$1213,"="&amp;$S1080)+1)/2,"")</f>
        <v/>
      </c>
      <c r="AG1080" s="27">
        <f>IF(ISNUMBER($T1080),COUNTIFS($A$14:$A$1213,$A1080,$T$14:$T$1213,"&gt;"&amp;$T1080)+(COUNTIFS($A$14:$A$1213,$A1080,$T$14:$T$1213,"="&amp;$T1080)+1)/2,"")</f>
        <v/>
      </c>
      <c r="AH1080" s="27">
        <f>IF(COUNT($AC1080:$AG1080)&lt;2,"",IF(MAX($AC1080:$AG1080)=MIN($AC1080:$AG1080),0,1))</f>
        <v/>
      </c>
      <c r="AI1080" s="27">
        <f>IF($A1080="","",IF(COUNTIF($A$14:$A1080,$A1080)=1,COUNTIF($AI$13:AI1079,"&gt;0")+1,""))</f>
        <v/>
      </c>
      <c r="AO1080" s="27">
        <f>IF($A1080="","",IF(AND(COUNTIFS($A$14:$A$1213,$A1080,$F$14:$F$1213,"&gt;=0")=2,IFERROR(INDEX($M$14:$M$313,MATCH($A1080,$H$14:$H$313,0)),"Yes")&lt;&gt;"Yes"),1,0))</f>
        <v/>
      </c>
    </row>
    <row r="1081">
      <c r="A1081" s="19" t="n"/>
      <c r="B1081" s="20" t="n"/>
      <c r="C1081" s="21">
        <f>IFERROR(AVERAGE(P1081:T1081),"")</f>
        <v/>
      </c>
      <c r="D1081" s="29" t="n"/>
      <c r="E1081" s="29" t="n"/>
      <c r="F1081" s="30">
        <f>IF(AND(ISNUMBER($D1081),ISNUMBER($E1081),$E1081&gt;0,$D1081&lt;=$E1081),$D1081/$E1081,"")</f>
        <v/>
      </c>
      <c r="P1081" s="26" t="n"/>
      <c r="Q1081" s="26" t="n"/>
      <c r="R1081" s="26" t="n"/>
      <c r="S1081" s="26" t="n"/>
      <c r="T1081" s="26" t="n"/>
      <c r="V1081" s="27">
        <f>IF(ISNUMBER($C1081),COUNTIFS($A$14:$A$1213,$A1081,$C$14:$C$1213,"&gt;"&amp;$C1081)+(COUNTIFS($A$14:$A$1213,$A1081,$C$14:$C$1213,"="&amp;$C1081)+1)/2,"")</f>
        <v/>
      </c>
      <c r="W1081" s="27">
        <f>IF(ISNUMBER($F1081),COUNTIFS($A$14:$A$1213,$A1081,$F$14:$F$1213,"&gt;"&amp;$F1081)+(COUNTIFS($A$14:$A$1213,$A1081,$F$14:$F$1213,"="&amp;$F1081)+1)/2,"")</f>
        <v/>
      </c>
      <c r="X1081" s="27">
        <f>IF(OR(NOT(ISNUMBER($V1081)),$AO1081=1),"",$V1081-(COUNTIFS($A$14:$A$1213,$A1081,$C$14:$C$1213,"&gt;=0")+1)/2)</f>
        <v/>
      </c>
      <c r="Y1081" s="27">
        <f>IF(OR(NOT(ISNUMBER($W1081)),$AO1081=1),"",$W1081-(COUNTIFS($A$14:$A$1213,$A1081,$F$14:$F$1213,"&gt;=0")+1)/2)</f>
        <v/>
      </c>
      <c r="Z1081" s="27">
        <f>IF(ISNUMBER($V1081),$A1081&amp;"|"&amp;$V1081,"")</f>
        <v/>
      </c>
      <c r="AA1081" s="27">
        <f>IF(ISNUMBER($W1081),$A1081&amp;"|"&amp;$W1081,"")</f>
        <v/>
      </c>
      <c r="AB1081" s="27">
        <f>IF(ISNUMBER($F1081),$A1081&amp;"|"&amp;$F1081,"")</f>
        <v/>
      </c>
      <c r="AC1081" s="27">
        <f>IF(ISNUMBER($P1081),COUNTIFS($A$14:$A$1213,$A1081,$P$14:$P$1213,"&gt;"&amp;$P1081)+(COUNTIFS($A$14:$A$1213,$A1081,$P$14:$P$1213,"="&amp;$P1081)+1)/2,"")</f>
        <v/>
      </c>
      <c r="AD1081" s="27">
        <f>IF(ISNUMBER($Q1081),COUNTIFS($A$14:$A$1213,$A1081,$Q$14:$Q$1213,"&gt;"&amp;$Q1081)+(COUNTIFS($A$14:$A$1213,$A1081,$Q$14:$Q$1213,"="&amp;$Q1081)+1)/2,"")</f>
        <v/>
      </c>
      <c r="AE1081" s="27">
        <f>IF(ISNUMBER($R1081),COUNTIFS($A$14:$A$1213,$A1081,$R$14:$R$1213,"&gt;"&amp;$R1081)+(COUNTIFS($A$14:$A$1213,$A1081,$R$14:$R$1213,"="&amp;$R1081)+1)/2,"")</f>
        <v/>
      </c>
      <c r="AF1081" s="27">
        <f>IF(ISNUMBER($S1081),COUNTIFS($A$14:$A$1213,$A1081,$S$14:$S$1213,"&gt;"&amp;$S1081)+(COUNTIFS($A$14:$A$1213,$A1081,$S$14:$S$1213,"="&amp;$S1081)+1)/2,"")</f>
        <v/>
      </c>
      <c r="AG1081" s="27">
        <f>IF(ISNUMBER($T1081),COUNTIFS($A$14:$A$1213,$A1081,$T$14:$T$1213,"&gt;"&amp;$T1081)+(COUNTIFS($A$14:$A$1213,$A1081,$T$14:$T$1213,"="&amp;$T1081)+1)/2,"")</f>
        <v/>
      </c>
      <c r="AH1081" s="27">
        <f>IF(COUNT($AC1081:$AG1081)&lt;2,"",IF(MAX($AC1081:$AG1081)=MIN($AC1081:$AG1081),0,1))</f>
        <v/>
      </c>
      <c r="AI1081" s="27">
        <f>IF($A1081="","",IF(COUNTIF($A$14:$A1081,$A1081)=1,COUNTIF($AI$13:AI1080,"&gt;0")+1,""))</f>
        <v/>
      </c>
      <c r="AO1081" s="27">
        <f>IF($A1081="","",IF(AND(COUNTIFS($A$14:$A$1213,$A1081,$F$14:$F$1213,"&gt;=0")=2,IFERROR(INDEX($M$14:$M$313,MATCH($A1081,$H$14:$H$313,0)),"Yes")&lt;&gt;"Yes"),1,0))</f>
        <v/>
      </c>
    </row>
    <row r="1082">
      <c r="A1082" s="19" t="n"/>
      <c r="B1082" s="20" t="n"/>
      <c r="C1082" s="21">
        <f>IFERROR(AVERAGE(P1082:T1082),"")</f>
        <v/>
      </c>
      <c r="D1082" s="29" t="n"/>
      <c r="E1082" s="29" t="n"/>
      <c r="F1082" s="30">
        <f>IF(AND(ISNUMBER($D1082),ISNUMBER($E1082),$E1082&gt;0,$D1082&lt;=$E1082),$D1082/$E1082,"")</f>
        <v/>
      </c>
      <c r="P1082" s="26" t="n"/>
      <c r="Q1082" s="26" t="n"/>
      <c r="R1082" s="26" t="n"/>
      <c r="S1082" s="26" t="n"/>
      <c r="T1082" s="26" t="n"/>
      <c r="V1082" s="27">
        <f>IF(ISNUMBER($C1082),COUNTIFS($A$14:$A$1213,$A1082,$C$14:$C$1213,"&gt;"&amp;$C1082)+(COUNTIFS($A$14:$A$1213,$A1082,$C$14:$C$1213,"="&amp;$C1082)+1)/2,"")</f>
        <v/>
      </c>
      <c r="W1082" s="27">
        <f>IF(ISNUMBER($F1082),COUNTIFS($A$14:$A$1213,$A1082,$F$14:$F$1213,"&gt;"&amp;$F1082)+(COUNTIFS($A$14:$A$1213,$A1082,$F$14:$F$1213,"="&amp;$F1082)+1)/2,"")</f>
        <v/>
      </c>
      <c r="X1082" s="27">
        <f>IF(OR(NOT(ISNUMBER($V1082)),$AO1082=1),"",$V1082-(COUNTIFS($A$14:$A$1213,$A1082,$C$14:$C$1213,"&gt;=0")+1)/2)</f>
        <v/>
      </c>
      <c r="Y1082" s="27">
        <f>IF(OR(NOT(ISNUMBER($W1082)),$AO1082=1),"",$W1082-(COUNTIFS($A$14:$A$1213,$A1082,$F$14:$F$1213,"&gt;=0")+1)/2)</f>
        <v/>
      </c>
      <c r="Z1082" s="27">
        <f>IF(ISNUMBER($V1082),$A1082&amp;"|"&amp;$V1082,"")</f>
        <v/>
      </c>
      <c r="AA1082" s="27">
        <f>IF(ISNUMBER($W1082),$A1082&amp;"|"&amp;$W1082,"")</f>
        <v/>
      </c>
      <c r="AB1082" s="27">
        <f>IF(ISNUMBER($F1082),$A1082&amp;"|"&amp;$F1082,"")</f>
        <v/>
      </c>
      <c r="AC1082" s="27">
        <f>IF(ISNUMBER($P1082),COUNTIFS($A$14:$A$1213,$A1082,$P$14:$P$1213,"&gt;"&amp;$P1082)+(COUNTIFS($A$14:$A$1213,$A1082,$P$14:$P$1213,"="&amp;$P1082)+1)/2,"")</f>
        <v/>
      </c>
      <c r="AD1082" s="27">
        <f>IF(ISNUMBER($Q1082),COUNTIFS($A$14:$A$1213,$A1082,$Q$14:$Q$1213,"&gt;"&amp;$Q1082)+(COUNTIFS($A$14:$A$1213,$A1082,$Q$14:$Q$1213,"="&amp;$Q1082)+1)/2,"")</f>
        <v/>
      </c>
      <c r="AE1082" s="27">
        <f>IF(ISNUMBER($R1082),COUNTIFS($A$14:$A$1213,$A1082,$R$14:$R$1213,"&gt;"&amp;$R1082)+(COUNTIFS($A$14:$A$1213,$A1082,$R$14:$R$1213,"="&amp;$R1082)+1)/2,"")</f>
        <v/>
      </c>
      <c r="AF1082" s="27">
        <f>IF(ISNUMBER($S1082),COUNTIFS($A$14:$A$1213,$A1082,$S$14:$S$1213,"&gt;"&amp;$S1082)+(COUNTIFS($A$14:$A$1213,$A1082,$S$14:$S$1213,"="&amp;$S1082)+1)/2,"")</f>
        <v/>
      </c>
      <c r="AG1082" s="27">
        <f>IF(ISNUMBER($T1082),COUNTIFS($A$14:$A$1213,$A1082,$T$14:$T$1213,"&gt;"&amp;$T1082)+(COUNTIFS($A$14:$A$1213,$A1082,$T$14:$T$1213,"="&amp;$T1082)+1)/2,"")</f>
        <v/>
      </c>
      <c r="AH1082" s="27">
        <f>IF(COUNT($AC1082:$AG1082)&lt;2,"",IF(MAX($AC1082:$AG1082)=MIN($AC1082:$AG1082),0,1))</f>
        <v/>
      </c>
      <c r="AI1082" s="27">
        <f>IF($A1082="","",IF(COUNTIF($A$14:$A1082,$A1082)=1,COUNTIF($AI$13:AI1081,"&gt;0")+1,""))</f>
        <v/>
      </c>
      <c r="AO1082" s="27">
        <f>IF($A1082="","",IF(AND(COUNTIFS($A$14:$A$1213,$A1082,$F$14:$F$1213,"&gt;=0")=2,IFERROR(INDEX($M$14:$M$313,MATCH($A1082,$H$14:$H$313,0)),"Yes")&lt;&gt;"Yes"),1,0))</f>
        <v/>
      </c>
    </row>
    <row r="1083">
      <c r="A1083" s="19" t="n"/>
      <c r="B1083" s="20" t="n"/>
      <c r="C1083" s="21">
        <f>IFERROR(AVERAGE(P1083:T1083),"")</f>
        <v/>
      </c>
      <c r="D1083" s="29" t="n"/>
      <c r="E1083" s="29" t="n"/>
      <c r="F1083" s="30">
        <f>IF(AND(ISNUMBER($D1083),ISNUMBER($E1083),$E1083&gt;0,$D1083&lt;=$E1083),$D1083/$E1083,"")</f>
        <v/>
      </c>
      <c r="P1083" s="26" t="n"/>
      <c r="Q1083" s="26" t="n"/>
      <c r="R1083" s="26" t="n"/>
      <c r="S1083" s="26" t="n"/>
      <c r="T1083" s="26" t="n"/>
      <c r="V1083" s="27">
        <f>IF(ISNUMBER($C1083),COUNTIFS($A$14:$A$1213,$A1083,$C$14:$C$1213,"&gt;"&amp;$C1083)+(COUNTIFS($A$14:$A$1213,$A1083,$C$14:$C$1213,"="&amp;$C1083)+1)/2,"")</f>
        <v/>
      </c>
      <c r="W1083" s="27">
        <f>IF(ISNUMBER($F1083),COUNTIFS($A$14:$A$1213,$A1083,$F$14:$F$1213,"&gt;"&amp;$F1083)+(COUNTIFS($A$14:$A$1213,$A1083,$F$14:$F$1213,"="&amp;$F1083)+1)/2,"")</f>
        <v/>
      </c>
      <c r="X1083" s="27">
        <f>IF(OR(NOT(ISNUMBER($V1083)),$AO1083=1),"",$V1083-(COUNTIFS($A$14:$A$1213,$A1083,$C$14:$C$1213,"&gt;=0")+1)/2)</f>
        <v/>
      </c>
      <c r="Y1083" s="27">
        <f>IF(OR(NOT(ISNUMBER($W1083)),$AO1083=1),"",$W1083-(COUNTIFS($A$14:$A$1213,$A1083,$F$14:$F$1213,"&gt;=0")+1)/2)</f>
        <v/>
      </c>
      <c r="Z1083" s="27">
        <f>IF(ISNUMBER($V1083),$A1083&amp;"|"&amp;$V1083,"")</f>
        <v/>
      </c>
      <c r="AA1083" s="27">
        <f>IF(ISNUMBER($W1083),$A1083&amp;"|"&amp;$W1083,"")</f>
        <v/>
      </c>
      <c r="AB1083" s="27">
        <f>IF(ISNUMBER($F1083),$A1083&amp;"|"&amp;$F1083,"")</f>
        <v/>
      </c>
      <c r="AC1083" s="27">
        <f>IF(ISNUMBER($P1083),COUNTIFS($A$14:$A$1213,$A1083,$P$14:$P$1213,"&gt;"&amp;$P1083)+(COUNTIFS($A$14:$A$1213,$A1083,$P$14:$P$1213,"="&amp;$P1083)+1)/2,"")</f>
        <v/>
      </c>
      <c r="AD1083" s="27">
        <f>IF(ISNUMBER($Q1083),COUNTIFS($A$14:$A$1213,$A1083,$Q$14:$Q$1213,"&gt;"&amp;$Q1083)+(COUNTIFS($A$14:$A$1213,$A1083,$Q$14:$Q$1213,"="&amp;$Q1083)+1)/2,"")</f>
        <v/>
      </c>
      <c r="AE1083" s="27">
        <f>IF(ISNUMBER($R1083),COUNTIFS($A$14:$A$1213,$A1083,$R$14:$R$1213,"&gt;"&amp;$R1083)+(COUNTIFS($A$14:$A$1213,$A1083,$R$14:$R$1213,"="&amp;$R1083)+1)/2,"")</f>
        <v/>
      </c>
      <c r="AF1083" s="27">
        <f>IF(ISNUMBER($S1083),COUNTIFS($A$14:$A$1213,$A1083,$S$14:$S$1213,"&gt;"&amp;$S1083)+(COUNTIFS($A$14:$A$1213,$A1083,$S$14:$S$1213,"="&amp;$S1083)+1)/2,"")</f>
        <v/>
      </c>
      <c r="AG1083" s="27">
        <f>IF(ISNUMBER($T1083),COUNTIFS($A$14:$A$1213,$A1083,$T$14:$T$1213,"&gt;"&amp;$T1083)+(COUNTIFS($A$14:$A$1213,$A1083,$T$14:$T$1213,"="&amp;$T1083)+1)/2,"")</f>
        <v/>
      </c>
      <c r="AH1083" s="27">
        <f>IF(COUNT($AC1083:$AG1083)&lt;2,"",IF(MAX($AC1083:$AG1083)=MIN($AC1083:$AG1083),0,1))</f>
        <v/>
      </c>
      <c r="AI1083" s="27">
        <f>IF($A1083="","",IF(COUNTIF($A$14:$A1083,$A1083)=1,COUNTIF($AI$13:AI1082,"&gt;0")+1,""))</f>
        <v/>
      </c>
      <c r="AO1083" s="27">
        <f>IF($A1083="","",IF(AND(COUNTIFS($A$14:$A$1213,$A1083,$F$14:$F$1213,"&gt;=0")=2,IFERROR(INDEX($M$14:$M$313,MATCH($A1083,$H$14:$H$313,0)),"Yes")&lt;&gt;"Yes"),1,0))</f>
        <v/>
      </c>
    </row>
    <row r="1084">
      <c r="A1084" s="19" t="n"/>
      <c r="B1084" s="20" t="n"/>
      <c r="C1084" s="21">
        <f>IFERROR(AVERAGE(P1084:T1084),"")</f>
        <v/>
      </c>
      <c r="D1084" s="29" t="n"/>
      <c r="E1084" s="29" t="n"/>
      <c r="F1084" s="30">
        <f>IF(AND(ISNUMBER($D1084),ISNUMBER($E1084),$E1084&gt;0,$D1084&lt;=$E1084),$D1084/$E1084,"")</f>
        <v/>
      </c>
      <c r="P1084" s="26" t="n"/>
      <c r="Q1084" s="26" t="n"/>
      <c r="R1084" s="26" t="n"/>
      <c r="S1084" s="26" t="n"/>
      <c r="T1084" s="26" t="n"/>
      <c r="V1084" s="27">
        <f>IF(ISNUMBER($C1084),COUNTIFS($A$14:$A$1213,$A1084,$C$14:$C$1213,"&gt;"&amp;$C1084)+(COUNTIFS($A$14:$A$1213,$A1084,$C$14:$C$1213,"="&amp;$C1084)+1)/2,"")</f>
        <v/>
      </c>
      <c r="W1084" s="27">
        <f>IF(ISNUMBER($F1084),COUNTIFS($A$14:$A$1213,$A1084,$F$14:$F$1213,"&gt;"&amp;$F1084)+(COUNTIFS($A$14:$A$1213,$A1084,$F$14:$F$1213,"="&amp;$F1084)+1)/2,"")</f>
        <v/>
      </c>
      <c r="X1084" s="27">
        <f>IF(OR(NOT(ISNUMBER($V1084)),$AO1084=1),"",$V1084-(COUNTIFS($A$14:$A$1213,$A1084,$C$14:$C$1213,"&gt;=0")+1)/2)</f>
        <v/>
      </c>
      <c r="Y1084" s="27">
        <f>IF(OR(NOT(ISNUMBER($W1084)),$AO1084=1),"",$W1084-(COUNTIFS($A$14:$A$1213,$A1084,$F$14:$F$1213,"&gt;=0")+1)/2)</f>
        <v/>
      </c>
      <c r="Z1084" s="27">
        <f>IF(ISNUMBER($V1084),$A1084&amp;"|"&amp;$V1084,"")</f>
        <v/>
      </c>
      <c r="AA1084" s="27">
        <f>IF(ISNUMBER($W1084),$A1084&amp;"|"&amp;$W1084,"")</f>
        <v/>
      </c>
      <c r="AB1084" s="27">
        <f>IF(ISNUMBER($F1084),$A1084&amp;"|"&amp;$F1084,"")</f>
        <v/>
      </c>
      <c r="AC1084" s="27">
        <f>IF(ISNUMBER($P1084),COUNTIFS($A$14:$A$1213,$A1084,$P$14:$P$1213,"&gt;"&amp;$P1084)+(COUNTIFS($A$14:$A$1213,$A1084,$P$14:$P$1213,"="&amp;$P1084)+1)/2,"")</f>
        <v/>
      </c>
      <c r="AD1084" s="27">
        <f>IF(ISNUMBER($Q1084),COUNTIFS($A$14:$A$1213,$A1084,$Q$14:$Q$1213,"&gt;"&amp;$Q1084)+(COUNTIFS($A$14:$A$1213,$A1084,$Q$14:$Q$1213,"="&amp;$Q1084)+1)/2,"")</f>
        <v/>
      </c>
      <c r="AE1084" s="27">
        <f>IF(ISNUMBER($R1084),COUNTIFS($A$14:$A$1213,$A1084,$R$14:$R$1213,"&gt;"&amp;$R1084)+(COUNTIFS($A$14:$A$1213,$A1084,$R$14:$R$1213,"="&amp;$R1084)+1)/2,"")</f>
        <v/>
      </c>
      <c r="AF1084" s="27">
        <f>IF(ISNUMBER($S1084),COUNTIFS($A$14:$A$1213,$A1084,$S$14:$S$1213,"&gt;"&amp;$S1084)+(COUNTIFS($A$14:$A$1213,$A1084,$S$14:$S$1213,"="&amp;$S1084)+1)/2,"")</f>
        <v/>
      </c>
      <c r="AG1084" s="27">
        <f>IF(ISNUMBER($T1084),COUNTIFS($A$14:$A$1213,$A1084,$T$14:$T$1213,"&gt;"&amp;$T1084)+(COUNTIFS($A$14:$A$1213,$A1084,$T$14:$T$1213,"="&amp;$T1084)+1)/2,"")</f>
        <v/>
      </c>
      <c r="AH1084" s="27">
        <f>IF(COUNT($AC1084:$AG1084)&lt;2,"",IF(MAX($AC1084:$AG1084)=MIN($AC1084:$AG1084),0,1))</f>
        <v/>
      </c>
      <c r="AI1084" s="27">
        <f>IF($A1084="","",IF(COUNTIF($A$14:$A1084,$A1084)=1,COUNTIF($AI$13:AI1083,"&gt;0")+1,""))</f>
        <v/>
      </c>
      <c r="AO1084" s="27">
        <f>IF($A1084="","",IF(AND(COUNTIFS($A$14:$A$1213,$A1084,$F$14:$F$1213,"&gt;=0")=2,IFERROR(INDEX($M$14:$M$313,MATCH($A1084,$H$14:$H$313,0)),"Yes")&lt;&gt;"Yes"),1,0))</f>
        <v/>
      </c>
    </row>
    <row r="1085">
      <c r="A1085" s="19" t="n"/>
      <c r="B1085" s="20" t="n"/>
      <c r="C1085" s="21">
        <f>IFERROR(AVERAGE(P1085:T1085),"")</f>
        <v/>
      </c>
      <c r="D1085" s="29" t="n"/>
      <c r="E1085" s="29" t="n"/>
      <c r="F1085" s="30">
        <f>IF(AND(ISNUMBER($D1085),ISNUMBER($E1085),$E1085&gt;0,$D1085&lt;=$E1085),$D1085/$E1085,"")</f>
        <v/>
      </c>
      <c r="P1085" s="26" t="n"/>
      <c r="Q1085" s="26" t="n"/>
      <c r="R1085" s="26" t="n"/>
      <c r="S1085" s="26" t="n"/>
      <c r="T1085" s="26" t="n"/>
      <c r="V1085" s="27">
        <f>IF(ISNUMBER($C1085),COUNTIFS($A$14:$A$1213,$A1085,$C$14:$C$1213,"&gt;"&amp;$C1085)+(COUNTIFS($A$14:$A$1213,$A1085,$C$14:$C$1213,"="&amp;$C1085)+1)/2,"")</f>
        <v/>
      </c>
      <c r="W1085" s="27">
        <f>IF(ISNUMBER($F1085),COUNTIFS($A$14:$A$1213,$A1085,$F$14:$F$1213,"&gt;"&amp;$F1085)+(COUNTIFS($A$14:$A$1213,$A1085,$F$14:$F$1213,"="&amp;$F1085)+1)/2,"")</f>
        <v/>
      </c>
      <c r="X1085" s="27">
        <f>IF(OR(NOT(ISNUMBER($V1085)),$AO1085=1),"",$V1085-(COUNTIFS($A$14:$A$1213,$A1085,$C$14:$C$1213,"&gt;=0")+1)/2)</f>
        <v/>
      </c>
      <c r="Y1085" s="27">
        <f>IF(OR(NOT(ISNUMBER($W1085)),$AO1085=1),"",$W1085-(COUNTIFS($A$14:$A$1213,$A1085,$F$14:$F$1213,"&gt;=0")+1)/2)</f>
        <v/>
      </c>
      <c r="Z1085" s="27">
        <f>IF(ISNUMBER($V1085),$A1085&amp;"|"&amp;$V1085,"")</f>
        <v/>
      </c>
      <c r="AA1085" s="27">
        <f>IF(ISNUMBER($W1085),$A1085&amp;"|"&amp;$W1085,"")</f>
        <v/>
      </c>
      <c r="AB1085" s="27">
        <f>IF(ISNUMBER($F1085),$A1085&amp;"|"&amp;$F1085,"")</f>
        <v/>
      </c>
      <c r="AC1085" s="27">
        <f>IF(ISNUMBER($P1085),COUNTIFS($A$14:$A$1213,$A1085,$P$14:$P$1213,"&gt;"&amp;$P1085)+(COUNTIFS($A$14:$A$1213,$A1085,$P$14:$P$1213,"="&amp;$P1085)+1)/2,"")</f>
        <v/>
      </c>
      <c r="AD1085" s="27">
        <f>IF(ISNUMBER($Q1085),COUNTIFS($A$14:$A$1213,$A1085,$Q$14:$Q$1213,"&gt;"&amp;$Q1085)+(COUNTIFS($A$14:$A$1213,$A1085,$Q$14:$Q$1213,"="&amp;$Q1085)+1)/2,"")</f>
        <v/>
      </c>
      <c r="AE1085" s="27">
        <f>IF(ISNUMBER($R1085),COUNTIFS($A$14:$A$1213,$A1085,$R$14:$R$1213,"&gt;"&amp;$R1085)+(COUNTIFS($A$14:$A$1213,$A1085,$R$14:$R$1213,"="&amp;$R1085)+1)/2,"")</f>
        <v/>
      </c>
      <c r="AF1085" s="27">
        <f>IF(ISNUMBER($S1085),COUNTIFS($A$14:$A$1213,$A1085,$S$14:$S$1213,"&gt;"&amp;$S1085)+(COUNTIFS($A$14:$A$1213,$A1085,$S$14:$S$1213,"="&amp;$S1085)+1)/2,"")</f>
        <v/>
      </c>
      <c r="AG1085" s="27">
        <f>IF(ISNUMBER($T1085),COUNTIFS($A$14:$A$1213,$A1085,$T$14:$T$1213,"&gt;"&amp;$T1085)+(COUNTIFS($A$14:$A$1213,$A1085,$T$14:$T$1213,"="&amp;$T1085)+1)/2,"")</f>
        <v/>
      </c>
      <c r="AH1085" s="27">
        <f>IF(COUNT($AC1085:$AG1085)&lt;2,"",IF(MAX($AC1085:$AG1085)=MIN($AC1085:$AG1085),0,1))</f>
        <v/>
      </c>
      <c r="AI1085" s="27">
        <f>IF($A1085="","",IF(COUNTIF($A$14:$A1085,$A1085)=1,COUNTIF($AI$13:AI1084,"&gt;0")+1,""))</f>
        <v/>
      </c>
      <c r="AO1085" s="27">
        <f>IF($A1085="","",IF(AND(COUNTIFS($A$14:$A$1213,$A1085,$F$14:$F$1213,"&gt;=0")=2,IFERROR(INDEX($M$14:$M$313,MATCH($A1085,$H$14:$H$313,0)),"Yes")&lt;&gt;"Yes"),1,0))</f>
        <v/>
      </c>
    </row>
    <row r="1086">
      <c r="A1086" s="19" t="n"/>
      <c r="B1086" s="20" t="n"/>
      <c r="C1086" s="21">
        <f>IFERROR(AVERAGE(P1086:T1086),"")</f>
        <v/>
      </c>
      <c r="D1086" s="29" t="n"/>
      <c r="E1086" s="29" t="n"/>
      <c r="F1086" s="30">
        <f>IF(AND(ISNUMBER($D1086),ISNUMBER($E1086),$E1086&gt;0,$D1086&lt;=$E1086),$D1086/$E1086,"")</f>
        <v/>
      </c>
      <c r="P1086" s="26" t="n"/>
      <c r="Q1086" s="26" t="n"/>
      <c r="R1086" s="26" t="n"/>
      <c r="S1086" s="26" t="n"/>
      <c r="T1086" s="26" t="n"/>
      <c r="V1086" s="27">
        <f>IF(ISNUMBER($C1086),COUNTIFS($A$14:$A$1213,$A1086,$C$14:$C$1213,"&gt;"&amp;$C1086)+(COUNTIFS($A$14:$A$1213,$A1086,$C$14:$C$1213,"="&amp;$C1086)+1)/2,"")</f>
        <v/>
      </c>
      <c r="W1086" s="27">
        <f>IF(ISNUMBER($F1086),COUNTIFS($A$14:$A$1213,$A1086,$F$14:$F$1213,"&gt;"&amp;$F1086)+(COUNTIFS($A$14:$A$1213,$A1086,$F$14:$F$1213,"="&amp;$F1086)+1)/2,"")</f>
        <v/>
      </c>
      <c r="X1086" s="27">
        <f>IF(OR(NOT(ISNUMBER($V1086)),$AO1086=1),"",$V1086-(COUNTIFS($A$14:$A$1213,$A1086,$C$14:$C$1213,"&gt;=0")+1)/2)</f>
        <v/>
      </c>
      <c r="Y1086" s="27">
        <f>IF(OR(NOT(ISNUMBER($W1086)),$AO1086=1),"",$W1086-(COUNTIFS($A$14:$A$1213,$A1086,$F$14:$F$1213,"&gt;=0")+1)/2)</f>
        <v/>
      </c>
      <c r="Z1086" s="27">
        <f>IF(ISNUMBER($V1086),$A1086&amp;"|"&amp;$V1086,"")</f>
        <v/>
      </c>
      <c r="AA1086" s="27">
        <f>IF(ISNUMBER($W1086),$A1086&amp;"|"&amp;$W1086,"")</f>
        <v/>
      </c>
      <c r="AB1086" s="27">
        <f>IF(ISNUMBER($F1086),$A1086&amp;"|"&amp;$F1086,"")</f>
        <v/>
      </c>
      <c r="AC1086" s="27">
        <f>IF(ISNUMBER($P1086),COUNTIFS($A$14:$A$1213,$A1086,$P$14:$P$1213,"&gt;"&amp;$P1086)+(COUNTIFS($A$14:$A$1213,$A1086,$P$14:$P$1213,"="&amp;$P1086)+1)/2,"")</f>
        <v/>
      </c>
      <c r="AD1086" s="27">
        <f>IF(ISNUMBER($Q1086),COUNTIFS($A$14:$A$1213,$A1086,$Q$14:$Q$1213,"&gt;"&amp;$Q1086)+(COUNTIFS($A$14:$A$1213,$A1086,$Q$14:$Q$1213,"="&amp;$Q1086)+1)/2,"")</f>
        <v/>
      </c>
      <c r="AE1086" s="27">
        <f>IF(ISNUMBER($R1086),COUNTIFS($A$14:$A$1213,$A1086,$R$14:$R$1213,"&gt;"&amp;$R1086)+(COUNTIFS($A$14:$A$1213,$A1086,$R$14:$R$1213,"="&amp;$R1086)+1)/2,"")</f>
        <v/>
      </c>
      <c r="AF1086" s="27">
        <f>IF(ISNUMBER($S1086),COUNTIFS($A$14:$A$1213,$A1086,$S$14:$S$1213,"&gt;"&amp;$S1086)+(COUNTIFS($A$14:$A$1213,$A1086,$S$14:$S$1213,"="&amp;$S1086)+1)/2,"")</f>
        <v/>
      </c>
      <c r="AG1086" s="27">
        <f>IF(ISNUMBER($T1086),COUNTIFS($A$14:$A$1213,$A1086,$T$14:$T$1213,"&gt;"&amp;$T1086)+(COUNTIFS($A$14:$A$1213,$A1086,$T$14:$T$1213,"="&amp;$T1086)+1)/2,"")</f>
        <v/>
      </c>
      <c r="AH1086" s="27">
        <f>IF(COUNT($AC1086:$AG1086)&lt;2,"",IF(MAX($AC1086:$AG1086)=MIN($AC1086:$AG1086),0,1))</f>
        <v/>
      </c>
      <c r="AI1086" s="27">
        <f>IF($A1086="","",IF(COUNTIF($A$14:$A1086,$A1086)=1,COUNTIF($AI$13:AI1085,"&gt;0")+1,""))</f>
        <v/>
      </c>
      <c r="AO1086" s="27">
        <f>IF($A1086="","",IF(AND(COUNTIFS($A$14:$A$1213,$A1086,$F$14:$F$1213,"&gt;=0")=2,IFERROR(INDEX($M$14:$M$313,MATCH($A1086,$H$14:$H$313,0)),"Yes")&lt;&gt;"Yes"),1,0))</f>
        <v/>
      </c>
    </row>
    <row r="1087">
      <c r="A1087" s="19" t="n"/>
      <c r="B1087" s="20" t="n"/>
      <c r="C1087" s="21">
        <f>IFERROR(AVERAGE(P1087:T1087),"")</f>
        <v/>
      </c>
      <c r="D1087" s="29" t="n"/>
      <c r="E1087" s="29" t="n"/>
      <c r="F1087" s="30">
        <f>IF(AND(ISNUMBER($D1087),ISNUMBER($E1087),$E1087&gt;0,$D1087&lt;=$E1087),$D1087/$E1087,"")</f>
        <v/>
      </c>
      <c r="P1087" s="26" t="n"/>
      <c r="Q1087" s="26" t="n"/>
      <c r="R1087" s="26" t="n"/>
      <c r="S1087" s="26" t="n"/>
      <c r="T1087" s="26" t="n"/>
      <c r="V1087" s="27">
        <f>IF(ISNUMBER($C1087),COUNTIFS($A$14:$A$1213,$A1087,$C$14:$C$1213,"&gt;"&amp;$C1087)+(COUNTIFS($A$14:$A$1213,$A1087,$C$14:$C$1213,"="&amp;$C1087)+1)/2,"")</f>
        <v/>
      </c>
      <c r="W1087" s="27">
        <f>IF(ISNUMBER($F1087),COUNTIFS($A$14:$A$1213,$A1087,$F$14:$F$1213,"&gt;"&amp;$F1087)+(COUNTIFS($A$14:$A$1213,$A1087,$F$14:$F$1213,"="&amp;$F1087)+1)/2,"")</f>
        <v/>
      </c>
      <c r="X1087" s="27">
        <f>IF(OR(NOT(ISNUMBER($V1087)),$AO1087=1),"",$V1087-(COUNTIFS($A$14:$A$1213,$A1087,$C$14:$C$1213,"&gt;=0")+1)/2)</f>
        <v/>
      </c>
      <c r="Y1087" s="27">
        <f>IF(OR(NOT(ISNUMBER($W1087)),$AO1087=1),"",$W1087-(COUNTIFS($A$14:$A$1213,$A1087,$F$14:$F$1213,"&gt;=0")+1)/2)</f>
        <v/>
      </c>
      <c r="Z1087" s="27">
        <f>IF(ISNUMBER($V1087),$A1087&amp;"|"&amp;$V1087,"")</f>
        <v/>
      </c>
      <c r="AA1087" s="27">
        <f>IF(ISNUMBER($W1087),$A1087&amp;"|"&amp;$W1087,"")</f>
        <v/>
      </c>
      <c r="AB1087" s="27">
        <f>IF(ISNUMBER($F1087),$A1087&amp;"|"&amp;$F1087,"")</f>
        <v/>
      </c>
      <c r="AC1087" s="27">
        <f>IF(ISNUMBER($P1087),COUNTIFS($A$14:$A$1213,$A1087,$P$14:$P$1213,"&gt;"&amp;$P1087)+(COUNTIFS($A$14:$A$1213,$A1087,$P$14:$P$1213,"="&amp;$P1087)+1)/2,"")</f>
        <v/>
      </c>
      <c r="AD1087" s="27">
        <f>IF(ISNUMBER($Q1087),COUNTIFS($A$14:$A$1213,$A1087,$Q$14:$Q$1213,"&gt;"&amp;$Q1087)+(COUNTIFS($A$14:$A$1213,$A1087,$Q$14:$Q$1213,"="&amp;$Q1087)+1)/2,"")</f>
        <v/>
      </c>
      <c r="AE1087" s="27">
        <f>IF(ISNUMBER($R1087),COUNTIFS($A$14:$A$1213,$A1087,$R$14:$R$1213,"&gt;"&amp;$R1087)+(COUNTIFS($A$14:$A$1213,$A1087,$R$14:$R$1213,"="&amp;$R1087)+1)/2,"")</f>
        <v/>
      </c>
      <c r="AF1087" s="27">
        <f>IF(ISNUMBER($S1087),COUNTIFS($A$14:$A$1213,$A1087,$S$14:$S$1213,"&gt;"&amp;$S1087)+(COUNTIFS($A$14:$A$1213,$A1087,$S$14:$S$1213,"="&amp;$S1087)+1)/2,"")</f>
        <v/>
      </c>
      <c r="AG1087" s="27">
        <f>IF(ISNUMBER($T1087),COUNTIFS($A$14:$A$1213,$A1087,$T$14:$T$1213,"&gt;"&amp;$T1087)+(COUNTIFS($A$14:$A$1213,$A1087,$T$14:$T$1213,"="&amp;$T1087)+1)/2,"")</f>
        <v/>
      </c>
      <c r="AH1087" s="27">
        <f>IF(COUNT($AC1087:$AG1087)&lt;2,"",IF(MAX($AC1087:$AG1087)=MIN($AC1087:$AG1087),0,1))</f>
        <v/>
      </c>
      <c r="AI1087" s="27">
        <f>IF($A1087="","",IF(COUNTIF($A$14:$A1087,$A1087)=1,COUNTIF($AI$13:AI1086,"&gt;0")+1,""))</f>
        <v/>
      </c>
      <c r="AO1087" s="27">
        <f>IF($A1087="","",IF(AND(COUNTIFS($A$14:$A$1213,$A1087,$F$14:$F$1213,"&gt;=0")=2,IFERROR(INDEX($M$14:$M$313,MATCH($A1087,$H$14:$H$313,0)),"Yes")&lt;&gt;"Yes"),1,0))</f>
        <v/>
      </c>
    </row>
    <row r="1088">
      <c r="A1088" s="19" t="n"/>
      <c r="B1088" s="20" t="n"/>
      <c r="C1088" s="21">
        <f>IFERROR(AVERAGE(P1088:T1088),"")</f>
        <v/>
      </c>
      <c r="D1088" s="29" t="n"/>
      <c r="E1088" s="29" t="n"/>
      <c r="F1088" s="30">
        <f>IF(AND(ISNUMBER($D1088),ISNUMBER($E1088),$E1088&gt;0,$D1088&lt;=$E1088),$D1088/$E1088,"")</f>
        <v/>
      </c>
      <c r="P1088" s="26" t="n"/>
      <c r="Q1088" s="26" t="n"/>
      <c r="R1088" s="26" t="n"/>
      <c r="S1088" s="26" t="n"/>
      <c r="T1088" s="26" t="n"/>
      <c r="V1088" s="27">
        <f>IF(ISNUMBER($C1088),COUNTIFS($A$14:$A$1213,$A1088,$C$14:$C$1213,"&gt;"&amp;$C1088)+(COUNTIFS($A$14:$A$1213,$A1088,$C$14:$C$1213,"="&amp;$C1088)+1)/2,"")</f>
        <v/>
      </c>
      <c r="W1088" s="27">
        <f>IF(ISNUMBER($F1088),COUNTIFS($A$14:$A$1213,$A1088,$F$14:$F$1213,"&gt;"&amp;$F1088)+(COUNTIFS($A$14:$A$1213,$A1088,$F$14:$F$1213,"="&amp;$F1088)+1)/2,"")</f>
        <v/>
      </c>
      <c r="X1088" s="27">
        <f>IF(OR(NOT(ISNUMBER($V1088)),$AO1088=1),"",$V1088-(COUNTIFS($A$14:$A$1213,$A1088,$C$14:$C$1213,"&gt;=0")+1)/2)</f>
        <v/>
      </c>
      <c r="Y1088" s="27">
        <f>IF(OR(NOT(ISNUMBER($W1088)),$AO1088=1),"",$W1088-(COUNTIFS($A$14:$A$1213,$A1088,$F$14:$F$1213,"&gt;=0")+1)/2)</f>
        <v/>
      </c>
      <c r="Z1088" s="27">
        <f>IF(ISNUMBER($V1088),$A1088&amp;"|"&amp;$V1088,"")</f>
        <v/>
      </c>
      <c r="AA1088" s="27">
        <f>IF(ISNUMBER($W1088),$A1088&amp;"|"&amp;$W1088,"")</f>
        <v/>
      </c>
      <c r="AB1088" s="27">
        <f>IF(ISNUMBER($F1088),$A1088&amp;"|"&amp;$F1088,"")</f>
        <v/>
      </c>
      <c r="AC1088" s="27">
        <f>IF(ISNUMBER($P1088),COUNTIFS($A$14:$A$1213,$A1088,$P$14:$P$1213,"&gt;"&amp;$P1088)+(COUNTIFS($A$14:$A$1213,$A1088,$P$14:$P$1213,"="&amp;$P1088)+1)/2,"")</f>
        <v/>
      </c>
      <c r="AD1088" s="27">
        <f>IF(ISNUMBER($Q1088),COUNTIFS($A$14:$A$1213,$A1088,$Q$14:$Q$1213,"&gt;"&amp;$Q1088)+(COUNTIFS($A$14:$A$1213,$A1088,$Q$14:$Q$1213,"="&amp;$Q1088)+1)/2,"")</f>
        <v/>
      </c>
      <c r="AE1088" s="27">
        <f>IF(ISNUMBER($R1088),COUNTIFS($A$14:$A$1213,$A1088,$R$14:$R$1213,"&gt;"&amp;$R1088)+(COUNTIFS($A$14:$A$1213,$A1088,$R$14:$R$1213,"="&amp;$R1088)+1)/2,"")</f>
        <v/>
      </c>
      <c r="AF1088" s="27">
        <f>IF(ISNUMBER($S1088),COUNTIFS($A$14:$A$1213,$A1088,$S$14:$S$1213,"&gt;"&amp;$S1088)+(COUNTIFS($A$14:$A$1213,$A1088,$S$14:$S$1213,"="&amp;$S1088)+1)/2,"")</f>
        <v/>
      </c>
      <c r="AG1088" s="27">
        <f>IF(ISNUMBER($T1088),COUNTIFS($A$14:$A$1213,$A1088,$T$14:$T$1213,"&gt;"&amp;$T1088)+(COUNTIFS($A$14:$A$1213,$A1088,$T$14:$T$1213,"="&amp;$T1088)+1)/2,"")</f>
        <v/>
      </c>
      <c r="AH1088" s="27">
        <f>IF(COUNT($AC1088:$AG1088)&lt;2,"",IF(MAX($AC1088:$AG1088)=MIN($AC1088:$AG1088),0,1))</f>
        <v/>
      </c>
      <c r="AI1088" s="27">
        <f>IF($A1088="","",IF(COUNTIF($A$14:$A1088,$A1088)=1,COUNTIF($AI$13:AI1087,"&gt;0")+1,""))</f>
        <v/>
      </c>
      <c r="AO1088" s="27">
        <f>IF($A1088="","",IF(AND(COUNTIFS($A$14:$A$1213,$A1088,$F$14:$F$1213,"&gt;=0")=2,IFERROR(INDEX($M$14:$M$313,MATCH($A1088,$H$14:$H$313,0)),"Yes")&lt;&gt;"Yes"),1,0))</f>
        <v/>
      </c>
    </row>
    <row r="1089">
      <c r="A1089" s="19" t="n"/>
      <c r="B1089" s="20" t="n"/>
      <c r="C1089" s="21">
        <f>IFERROR(AVERAGE(P1089:T1089),"")</f>
        <v/>
      </c>
      <c r="D1089" s="29" t="n"/>
      <c r="E1089" s="29" t="n"/>
      <c r="F1089" s="30">
        <f>IF(AND(ISNUMBER($D1089),ISNUMBER($E1089),$E1089&gt;0,$D1089&lt;=$E1089),$D1089/$E1089,"")</f>
        <v/>
      </c>
      <c r="P1089" s="26" t="n"/>
      <c r="Q1089" s="26" t="n"/>
      <c r="R1089" s="26" t="n"/>
      <c r="S1089" s="26" t="n"/>
      <c r="T1089" s="26" t="n"/>
      <c r="V1089" s="27">
        <f>IF(ISNUMBER($C1089),COUNTIFS($A$14:$A$1213,$A1089,$C$14:$C$1213,"&gt;"&amp;$C1089)+(COUNTIFS($A$14:$A$1213,$A1089,$C$14:$C$1213,"="&amp;$C1089)+1)/2,"")</f>
        <v/>
      </c>
      <c r="W1089" s="27">
        <f>IF(ISNUMBER($F1089),COUNTIFS($A$14:$A$1213,$A1089,$F$14:$F$1213,"&gt;"&amp;$F1089)+(COUNTIFS($A$14:$A$1213,$A1089,$F$14:$F$1213,"="&amp;$F1089)+1)/2,"")</f>
        <v/>
      </c>
      <c r="X1089" s="27">
        <f>IF(OR(NOT(ISNUMBER($V1089)),$AO1089=1),"",$V1089-(COUNTIFS($A$14:$A$1213,$A1089,$C$14:$C$1213,"&gt;=0")+1)/2)</f>
        <v/>
      </c>
      <c r="Y1089" s="27">
        <f>IF(OR(NOT(ISNUMBER($W1089)),$AO1089=1),"",$W1089-(COUNTIFS($A$14:$A$1213,$A1089,$F$14:$F$1213,"&gt;=0")+1)/2)</f>
        <v/>
      </c>
      <c r="Z1089" s="27">
        <f>IF(ISNUMBER($V1089),$A1089&amp;"|"&amp;$V1089,"")</f>
        <v/>
      </c>
      <c r="AA1089" s="27">
        <f>IF(ISNUMBER($W1089),$A1089&amp;"|"&amp;$W1089,"")</f>
        <v/>
      </c>
      <c r="AB1089" s="27">
        <f>IF(ISNUMBER($F1089),$A1089&amp;"|"&amp;$F1089,"")</f>
        <v/>
      </c>
      <c r="AC1089" s="27">
        <f>IF(ISNUMBER($P1089),COUNTIFS($A$14:$A$1213,$A1089,$P$14:$P$1213,"&gt;"&amp;$P1089)+(COUNTIFS($A$14:$A$1213,$A1089,$P$14:$P$1213,"="&amp;$P1089)+1)/2,"")</f>
        <v/>
      </c>
      <c r="AD1089" s="27">
        <f>IF(ISNUMBER($Q1089),COUNTIFS($A$14:$A$1213,$A1089,$Q$14:$Q$1213,"&gt;"&amp;$Q1089)+(COUNTIFS($A$14:$A$1213,$A1089,$Q$14:$Q$1213,"="&amp;$Q1089)+1)/2,"")</f>
        <v/>
      </c>
      <c r="AE1089" s="27">
        <f>IF(ISNUMBER($R1089),COUNTIFS($A$14:$A$1213,$A1089,$R$14:$R$1213,"&gt;"&amp;$R1089)+(COUNTIFS($A$14:$A$1213,$A1089,$R$14:$R$1213,"="&amp;$R1089)+1)/2,"")</f>
        <v/>
      </c>
      <c r="AF1089" s="27">
        <f>IF(ISNUMBER($S1089),COUNTIFS($A$14:$A$1213,$A1089,$S$14:$S$1213,"&gt;"&amp;$S1089)+(COUNTIFS($A$14:$A$1213,$A1089,$S$14:$S$1213,"="&amp;$S1089)+1)/2,"")</f>
        <v/>
      </c>
      <c r="AG1089" s="27">
        <f>IF(ISNUMBER($T1089),COUNTIFS($A$14:$A$1213,$A1089,$T$14:$T$1213,"&gt;"&amp;$T1089)+(COUNTIFS($A$14:$A$1213,$A1089,$T$14:$T$1213,"="&amp;$T1089)+1)/2,"")</f>
        <v/>
      </c>
      <c r="AH1089" s="27">
        <f>IF(COUNT($AC1089:$AG1089)&lt;2,"",IF(MAX($AC1089:$AG1089)=MIN($AC1089:$AG1089),0,1))</f>
        <v/>
      </c>
      <c r="AI1089" s="27">
        <f>IF($A1089="","",IF(COUNTIF($A$14:$A1089,$A1089)=1,COUNTIF($AI$13:AI1088,"&gt;0")+1,""))</f>
        <v/>
      </c>
      <c r="AO1089" s="27">
        <f>IF($A1089="","",IF(AND(COUNTIFS($A$14:$A$1213,$A1089,$F$14:$F$1213,"&gt;=0")=2,IFERROR(INDEX($M$14:$M$313,MATCH($A1089,$H$14:$H$313,0)),"Yes")&lt;&gt;"Yes"),1,0))</f>
        <v/>
      </c>
    </row>
    <row r="1090">
      <c r="A1090" s="19" t="n"/>
      <c r="B1090" s="20" t="n"/>
      <c r="C1090" s="21">
        <f>IFERROR(AVERAGE(P1090:T1090),"")</f>
        <v/>
      </c>
      <c r="D1090" s="29" t="n"/>
      <c r="E1090" s="29" t="n"/>
      <c r="F1090" s="30">
        <f>IF(AND(ISNUMBER($D1090),ISNUMBER($E1090),$E1090&gt;0,$D1090&lt;=$E1090),$D1090/$E1090,"")</f>
        <v/>
      </c>
      <c r="P1090" s="26" t="n"/>
      <c r="Q1090" s="26" t="n"/>
      <c r="R1090" s="26" t="n"/>
      <c r="S1090" s="26" t="n"/>
      <c r="T1090" s="26" t="n"/>
      <c r="V1090" s="27">
        <f>IF(ISNUMBER($C1090),COUNTIFS($A$14:$A$1213,$A1090,$C$14:$C$1213,"&gt;"&amp;$C1090)+(COUNTIFS($A$14:$A$1213,$A1090,$C$14:$C$1213,"="&amp;$C1090)+1)/2,"")</f>
        <v/>
      </c>
      <c r="W1090" s="27">
        <f>IF(ISNUMBER($F1090),COUNTIFS($A$14:$A$1213,$A1090,$F$14:$F$1213,"&gt;"&amp;$F1090)+(COUNTIFS($A$14:$A$1213,$A1090,$F$14:$F$1213,"="&amp;$F1090)+1)/2,"")</f>
        <v/>
      </c>
      <c r="X1090" s="27">
        <f>IF(OR(NOT(ISNUMBER($V1090)),$AO1090=1),"",$V1090-(COUNTIFS($A$14:$A$1213,$A1090,$C$14:$C$1213,"&gt;=0")+1)/2)</f>
        <v/>
      </c>
      <c r="Y1090" s="27">
        <f>IF(OR(NOT(ISNUMBER($W1090)),$AO1090=1),"",$W1090-(COUNTIFS($A$14:$A$1213,$A1090,$F$14:$F$1213,"&gt;=0")+1)/2)</f>
        <v/>
      </c>
      <c r="Z1090" s="27">
        <f>IF(ISNUMBER($V1090),$A1090&amp;"|"&amp;$V1090,"")</f>
        <v/>
      </c>
      <c r="AA1090" s="27">
        <f>IF(ISNUMBER($W1090),$A1090&amp;"|"&amp;$W1090,"")</f>
        <v/>
      </c>
      <c r="AB1090" s="27">
        <f>IF(ISNUMBER($F1090),$A1090&amp;"|"&amp;$F1090,"")</f>
        <v/>
      </c>
      <c r="AC1090" s="27">
        <f>IF(ISNUMBER($P1090),COUNTIFS($A$14:$A$1213,$A1090,$P$14:$P$1213,"&gt;"&amp;$P1090)+(COUNTIFS($A$14:$A$1213,$A1090,$P$14:$P$1213,"="&amp;$P1090)+1)/2,"")</f>
        <v/>
      </c>
      <c r="AD1090" s="27">
        <f>IF(ISNUMBER($Q1090),COUNTIFS($A$14:$A$1213,$A1090,$Q$14:$Q$1213,"&gt;"&amp;$Q1090)+(COUNTIFS($A$14:$A$1213,$A1090,$Q$14:$Q$1213,"="&amp;$Q1090)+1)/2,"")</f>
        <v/>
      </c>
      <c r="AE1090" s="27">
        <f>IF(ISNUMBER($R1090),COUNTIFS($A$14:$A$1213,$A1090,$R$14:$R$1213,"&gt;"&amp;$R1090)+(COUNTIFS($A$14:$A$1213,$A1090,$R$14:$R$1213,"="&amp;$R1090)+1)/2,"")</f>
        <v/>
      </c>
      <c r="AF1090" s="27">
        <f>IF(ISNUMBER($S1090),COUNTIFS($A$14:$A$1213,$A1090,$S$14:$S$1213,"&gt;"&amp;$S1090)+(COUNTIFS($A$14:$A$1213,$A1090,$S$14:$S$1213,"="&amp;$S1090)+1)/2,"")</f>
        <v/>
      </c>
      <c r="AG1090" s="27">
        <f>IF(ISNUMBER($T1090),COUNTIFS($A$14:$A$1213,$A1090,$T$14:$T$1213,"&gt;"&amp;$T1090)+(COUNTIFS($A$14:$A$1213,$A1090,$T$14:$T$1213,"="&amp;$T1090)+1)/2,"")</f>
        <v/>
      </c>
      <c r="AH1090" s="27">
        <f>IF(COUNT($AC1090:$AG1090)&lt;2,"",IF(MAX($AC1090:$AG1090)=MIN($AC1090:$AG1090),0,1))</f>
        <v/>
      </c>
      <c r="AI1090" s="27">
        <f>IF($A1090="","",IF(COUNTIF($A$14:$A1090,$A1090)=1,COUNTIF($AI$13:AI1089,"&gt;0")+1,""))</f>
        <v/>
      </c>
      <c r="AO1090" s="27">
        <f>IF($A1090="","",IF(AND(COUNTIFS($A$14:$A$1213,$A1090,$F$14:$F$1213,"&gt;=0")=2,IFERROR(INDEX($M$14:$M$313,MATCH($A1090,$H$14:$H$313,0)),"Yes")&lt;&gt;"Yes"),1,0))</f>
        <v/>
      </c>
    </row>
    <row r="1091">
      <c r="A1091" s="19" t="n"/>
      <c r="B1091" s="20" t="n"/>
      <c r="C1091" s="21">
        <f>IFERROR(AVERAGE(P1091:T1091),"")</f>
        <v/>
      </c>
      <c r="D1091" s="29" t="n"/>
      <c r="E1091" s="29" t="n"/>
      <c r="F1091" s="30">
        <f>IF(AND(ISNUMBER($D1091),ISNUMBER($E1091),$E1091&gt;0,$D1091&lt;=$E1091),$D1091/$E1091,"")</f>
        <v/>
      </c>
      <c r="P1091" s="26" t="n"/>
      <c r="Q1091" s="26" t="n"/>
      <c r="R1091" s="26" t="n"/>
      <c r="S1091" s="26" t="n"/>
      <c r="T1091" s="26" t="n"/>
      <c r="V1091" s="27">
        <f>IF(ISNUMBER($C1091),COUNTIFS($A$14:$A$1213,$A1091,$C$14:$C$1213,"&gt;"&amp;$C1091)+(COUNTIFS($A$14:$A$1213,$A1091,$C$14:$C$1213,"="&amp;$C1091)+1)/2,"")</f>
        <v/>
      </c>
      <c r="W1091" s="27">
        <f>IF(ISNUMBER($F1091),COUNTIFS($A$14:$A$1213,$A1091,$F$14:$F$1213,"&gt;"&amp;$F1091)+(COUNTIFS($A$14:$A$1213,$A1091,$F$14:$F$1213,"="&amp;$F1091)+1)/2,"")</f>
        <v/>
      </c>
      <c r="X1091" s="27">
        <f>IF(OR(NOT(ISNUMBER($V1091)),$AO1091=1),"",$V1091-(COUNTIFS($A$14:$A$1213,$A1091,$C$14:$C$1213,"&gt;=0")+1)/2)</f>
        <v/>
      </c>
      <c r="Y1091" s="27">
        <f>IF(OR(NOT(ISNUMBER($W1091)),$AO1091=1),"",$W1091-(COUNTIFS($A$14:$A$1213,$A1091,$F$14:$F$1213,"&gt;=0")+1)/2)</f>
        <v/>
      </c>
      <c r="Z1091" s="27">
        <f>IF(ISNUMBER($V1091),$A1091&amp;"|"&amp;$V1091,"")</f>
        <v/>
      </c>
      <c r="AA1091" s="27">
        <f>IF(ISNUMBER($W1091),$A1091&amp;"|"&amp;$W1091,"")</f>
        <v/>
      </c>
      <c r="AB1091" s="27">
        <f>IF(ISNUMBER($F1091),$A1091&amp;"|"&amp;$F1091,"")</f>
        <v/>
      </c>
      <c r="AC1091" s="27">
        <f>IF(ISNUMBER($P1091),COUNTIFS($A$14:$A$1213,$A1091,$P$14:$P$1213,"&gt;"&amp;$P1091)+(COUNTIFS($A$14:$A$1213,$A1091,$P$14:$P$1213,"="&amp;$P1091)+1)/2,"")</f>
        <v/>
      </c>
      <c r="AD1091" s="27">
        <f>IF(ISNUMBER($Q1091),COUNTIFS($A$14:$A$1213,$A1091,$Q$14:$Q$1213,"&gt;"&amp;$Q1091)+(COUNTIFS($A$14:$A$1213,$A1091,$Q$14:$Q$1213,"="&amp;$Q1091)+1)/2,"")</f>
        <v/>
      </c>
      <c r="AE1091" s="27">
        <f>IF(ISNUMBER($R1091),COUNTIFS($A$14:$A$1213,$A1091,$R$14:$R$1213,"&gt;"&amp;$R1091)+(COUNTIFS($A$14:$A$1213,$A1091,$R$14:$R$1213,"="&amp;$R1091)+1)/2,"")</f>
        <v/>
      </c>
      <c r="AF1091" s="27">
        <f>IF(ISNUMBER($S1091),COUNTIFS($A$14:$A$1213,$A1091,$S$14:$S$1213,"&gt;"&amp;$S1091)+(COUNTIFS($A$14:$A$1213,$A1091,$S$14:$S$1213,"="&amp;$S1091)+1)/2,"")</f>
        <v/>
      </c>
      <c r="AG1091" s="27">
        <f>IF(ISNUMBER($T1091),COUNTIFS($A$14:$A$1213,$A1091,$T$14:$T$1213,"&gt;"&amp;$T1091)+(COUNTIFS($A$14:$A$1213,$A1091,$T$14:$T$1213,"="&amp;$T1091)+1)/2,"")</f>
        <v/>
      </c>
      <c r="AH1091" s="27">
        <f>IF(COUNT($AC1091:$AG1091)&lt;2,"",IF(MAX($AC1091:$AG1091)=MIN($AC1091:$AG1091),0,1))</f>
        <v/>
      </c>
      <c r="AI1091" s="27">
        <f>IF($A1091="","",IF(COUNTIF($A$14:$A1091,$A1091)=1,COUNTIF($AI$13:AI1090,"&gt;0")+1,""))</f>
        <v/>
      </c>
      <c r="AO1091" s="27">
        <f>IF($A1091="","",IF(AND(COUNTIFS($A$14:$A$1213,$A1091,$F$14:$F$1213,"&gt;=0")=2,IFERROR(INDEX($M$14:$M$313,MATCH($A1091,$H$14:$H$313,0)),"Yes")&lt;&gt;"Yes"),1,0))</f>
        <v/>
      </c>
    </row>
    <row r="1092">
      <c r="A1092" s="19" t="n"/>
      <c r="B1092" s="20" t="n"/>
      <c r="C1092" s="21">
        <f>IFERROR(AVERAGE(P1092:T1092),"")</f>
        <v/>
      </c>
      <c r="D1092" s="29" t="n"/>
      <c r="E1092" s="29" t="n"/>
      <c r="F1092" s="30">
        <f>IF(AND(ISNUMBER($D1092),ISNUMBER($E1092),$E1092&gt;0,$D1092&lt;=$E1092),$D1092/$E1092,"")</f>
        <v/>
      </c>
      <c r="P1092" s="26" t="n"/>
      <c r="Q1092" s="26" t="n"/>
      <c r="R1092" s="26" t="n"/>
      <c r="S1092" s="26" t="n"/>
      <c r="T1092" s="26" t="n"/>
      <c r="V1092" s="27">
        <f>IF(ISNUMBER($C1092),COUNTIFS($A$14:$A$1213,$A1092,$C$14:$C$1213,"&gt;"&amp;$C1092)+(COUNTIFS($A$14:$A$1213,$A1092,$C$14:$C$1213,"="&amp;$C1092)+1)/2,"")</f>
        <v/>
      </c>
      <c r="W1092" s="27">
        <f>IF(ISNUMBER($F1092),COUNTIFS($A$14:$A$1213,$A1092,$F$14:$F$1213,"&gt;"&amp;$F1092)+(COUNTIFS($A$14:$A$1213,$A1092,$F$14:$F$1213,"="&amp;$F1092)+1)/2,"")</f>
        <v/>
      </c>
      <c r="X1092" s="27">
        <f>IF(OR(NOT(ISNUMBER($V1092)),$AO1092=1),"",$V1092-(COUNTIFS($A$14:$A$1213,$A1092,$C$14:$C$1213,"&gt;=0")+1)/2)</f>
        <v/>
      </c>
      <c r="Y1092" s="27">
        <f>IF(OR(NOT(ISNUMBER($W1092)),$AO1092=1),"",$W1092-(COUNTIFS($A$14:$A$1213,$A1092,$F$14:$F$1213,"&gt;=0")+1)/2)</f>
        <v/>
      </c>
      <c r="Z1092" s="27">
        <f>IF(ISNUMBER($V1092),$A1092&amp;"|"&amp;$V1092,"")</f>
        <v/>
      </c>
      <c r="AA1092" s="27">
        <f>IF(ISNUMBER($W1092),$A1092&amp;"|"&amp;$W1092,"")</f>
        <v/>
      </c>
      <c r="AB1092" s="27">
        <f>IF(ISNUMBER($F1092),$A1092&amp;"|"&amp;$F1092,"")</f>
        <v/>
      </c>
      <c r="AC1092" s="27">
        <f>IF(ISNUMBER($P1092),COUNTIFS($A$14:$A$1213,$A1092,$P$14:$P$1213,"&gt;"&amp;$P1092)+(COUNTIFS($A$14:$A$1213,$A1092,$P$14:$P$1213,"="&amp;$P1092)+1)/2,"")</f>
        <v/>
      </c>
      <c r="AD1092" s="27">
        <f>IF(ISNUMBER($Q1092),COUNTIFS($A$14:$A$1213,$A1092,$Q$14:$Q$1213,"&gt;"&amp;$Q1092)+(COUNTIFS($A$14:$A$1213,$A1092,$Q$14:$Q$1213,"="&amp;$Q1092)+1)/2,"")</f>
        <v/>
      </c>
      <c r="AE1092" s="27">
        <f>IF(ISNUMBER($R1092),COUNTIFS($A$14:$A$1213,$A1092,$R$14:$R$1213,"&gt;"&amp;$R1092)+(COUNTIFS($A$14:$A$1213,$A1092,$R$14:$R$1213,"="&amp;$R1092)+1)/2,"")</f>
        <v/>
      </c>
      <c r="AF1092" s="27">
        <f>IF(ISNUMBER($S1092),COUNTIFS($A$14:$A$1213,$A1092,$S$14:$S$1213,"&gt;"&amp;$S1092)+(COUNTIFS($A$14:$A$1213,$A1092,$S$14:$S$1213,"="&amp;$S1092)+1)/2,"")</f>
        <v/>
      </c>
      <c r="AG1092" s="27">
        <f>IF(ISNUMBER($T1092),COUNTIFS($A$14:$A$1213,$A1092,$T$14:$T$1213,"&gt;"&amp;$T1092)+(COUNTIFS($A$14:$A$1213,$A1092,$T$14:$T$1213,"="&amp;$T1092)+1)/2,"")</f>
        <v/>
      </c>
      <c r="AH1092" s="27">
        <f>IF(COUNT($AC1092:$AG1092)&lt;2,"",IF(MAX($AC1092:$AG1092)=MIN($AC1092:$AG1092),0,1))</f>
        <v/>
      </c>
      <c r="AI1092" s="27">
        <f>IF($A1092="","",IF(COUNTIF($A$14:$A1092,$A1092)=1,COUNTIF($AI$13:AI1091,"&gt;0")+1,""))</f>
        <v/>
      </c>
      <c r="AO1092" s="27">
        <f>IF($A1092="","",IF(AND(COUNTIFS($A$14:$A$1213,$A1092,$F$14:$F$1213,"&gt;=0")=2,IFERROR(INDEX($M$14:$M$313,MATCH($A1092,$H$14:$H$313,0)),"Yes")&lt;&gt;"Yes"),1,0))</f>
        <v/>
      </c>
    </row>
    <row r="1093">
      <c r="A1093" s="19" t="n"/>
      <c r="B1093" s="20" t="n"/>
      <c r="C1093" s="21">
        <f>IFERROR(AVERAGE(P1093:T1093),"")</f>
        <v/>
      </c>
      <c r="D1093" s="29" t="n"/>
      <c r="E1093" s="29" t="n"/>
      <c r="F1093" s="30">
        <f>IF(AND(ISNUMBER($D1093),ISNUMBER($E1093),$E1093&gt;0,$D1093&lt;=$E1093),$D1093/$E1093,"")</f>
        <v/>
      </c>
      <c r="P1093" s="26" t="n"/>
      <c r="Q1093" s="26" t="n"/>
      <c r="R1093" s="26" t="n"/>
      <c r="S1093" s="26" t="n"/>
      <c r="T1093" s="26" t="n"/>
      <c r="V1093" s="27">
        <f>IF(ISNUMBER($C1093),COUNTIFS($A$14:$A$1213,$A1093,$C$14:$C$1213,"&gt;"&amp;$C1093)+(COUNTIFS($A$14:$A$1213,$A1093,$C$14:$C$1213,"="&amp;$C1093)+1)/2,"")</f>
        <v/>
      </c>
      <c r="W1093" s="27">
        <f>IF(ISNUMBER($F1093),COUNTIFS($A$14:$A$1213,$A1093,$F$14:$F$1213,"&gt;"&amp;$F1093)+(COUNTIFS($A$14:$A$1213,$A1093,$F$14:$F$1213,"="&amp;$F1093)+1)/2,"")</f>
        <v/>
      </c>
      <c r="X1093" s="27">
        <f>IF(OR(NOT(ISNUMBER($V1093)),$AO1093=1),"",$V1093-(COUNTIFS($A$14:$A$1213,$A1093,$C$14:$C$1213,"&gt;=0")+1)/2)</f>
        <v/>
      </c>
      <c r="Y1093" s="27">
        <f>IF(OR(NOT(ISNUMBER($W1093)),$AO1093=1),"",$W1093-(COUNTIFS($A$14:$A$1213,$A1093,$F$14:$F$1213,"&gt;=0")+1)/2)</f>
        <v/>
      </c>
      <c r="Z1093" s="27">
        <f>IF(ISNUMBER($V1093),$A1093&amp;"|"&amp;$V1093,"")</f>
        <v/>
      </c>
      <c r="AA1093" s="27">
        <f>IF(ISNUMBER($W1093),$A1093&amp;"|"&amp;$W1093,"")</f>
        <v/>
      </c>
      <c r="AB1093" s="27">
        <f>IF(ISNUMBER($F1093),$A1093&amp;"|"&amp;$F1093,"")</f>
        <v/>
      </c>
      <c r="AC1093" s="27">
        <f>IF(ISNUMBER($P1093),COUNTIFS($A$14:$A$1213,$A1093,$P$14:$P$1213,"&gt;"&amp;$P1093)+(COUNTIFS($A$14:$A$1213,$A1093,$P$14:$P$1213,"="&amp;$P1093)+1)/2,"")</f>
        <v/>
      </c>
      <c r="AD1093" s="27">
        <f>IF(ISNUMBER($Q1093),COUNTIFS($A$14:$A$1213,$A1093,$Q$14:$Q$1213,"&gt;"&amp;$Q1093)+(COUNTIFS($A$14:$A$1213,$A1093,$Q$14:$Q$1213,"="&amp;$Q1093)+1)/2,"")</f>
        <v/>
      </c>
      <c r="AE1093" s="27">
        <f>IF(ISNUMBER($R1093),COUNTIFS($A$14:$A$1213,$A1093,$R$14:$R$1213,"&gt;"&amp;$R1093)+(COUNTIFS($A$14:$A$1213,$A1093,$R$14:$R$1213,"="&amp;$R1093)+1)/2,"")</f>
        <v/>
      </c>
      <c r="AF1093" s="27">
        <f>IF(ISNUMBER($S1093),COUNTIFS($A$14:$A$1213,$A1093,$S$14:$S$1213,"&gt;"&amp;$S1093)+(COUNTIFS($A$14:$A$1213,$A1093,$S$14:$S$1213,"="&amp;$S1093)+1)/2,"")</f>
        <v/>
      </c>
      <c r="AG1093" s="27">
        <f>IF(ISNUMBER($T1093),COUNTIFS($A$14:$A$1213,$A1093,$T$14:$T$1213,"&gt;"&amp;$T1093)+(COUNTIFS($A$14:$A$1213,$A1093,$T$14:$T$1213,"="&amp;$T1093)+1)/2,"")</f>
        <v/>
      </c>
      <c r="AH1093" s="27">
        <f>IF(COUNT($AC1093:$AG1093)&lt;2,"",IF(MAX($AC1093:$AG1093)=MIN($AC1093:$AG1093),0,1))</f>
        <v/>
      </c>
      <c r="AI1093" s="27">
        <f>IF($A1093="","",IF(COUNTIF($A$14:$A1093,$A1093)=1,COUNTIF($AI$13:AI1092,"&gt;0")+1,""))</f>
        <v/>
      </c>
      <c r="AO1093" s="27">
        <f>IF($A1093="","",IF(AND(COUNTIFS($A$14:$A$1213,$A1093,$F$14:$F$1213,"&gt;=0")=2,IFERROR(INDEX($M$14:$M$313,MATCH($A1093,$H$14:$H$313,0)),"Yes")&lt;&gt;"Yes"),1,0))</f>
        <v/>
      </c>
    </row>
    <row r="1094">
      <c r="A1094" s="19" t="n"/>
      <c r="B1094" s="20" t="n"/>
      <c r="C1094" s="21">
        <f>IFERROR(AVERAGE(P1094:T1094),"")</f>
        <v/>
      </c>
      <c r="D1094" s="29" t="n"/>
      <c r="E1094" s="29" t="n"/>
      <c r="F1094" s="30">
        <f>IF(AND(ISNUMBER($D1094),ISNUMBER($E1094),$E1094&gt;0,$D1094&lt;=$E1094),$D1094/$E1094,"")</f>
        <v/>
      </c>
      <c r="P1094" s="26" t="n"/>
      <c r="Q1094" s="26" t="n"/>
      <c r="R1094" s="26" t="n"/>
      <c r="S1094" s="26" t="n"/>
      <c r="T1094" s="26" t="n"/>
      <c r="V1094" s="27">
        <f>IF(ISNUMBER($C1094),COUNTIFS($A$14:$A$1213,$A1094,$C$14:$C$1213,"&gt;"&amp;$C1094)+(COUNTIFS($A$14:$A$1213,$A1094,$C$14:$C$1213,"="&amp;$C1094)+1)/2,"")</f>
        <v/>
      </c>
      <c r="W1094" s="27">
        <f>IF(ISNUMBER($F1094),COUNTIFS($A$14:$A$1213,$A1094,$F$14:$F$1213,"&gt;"&amp;$F1094)+(COUNTIFS($A$14:$A$1213,$A1094,$F$14:$F$1213,"="&amp;$F1094)+1)/2,"")</f>
        <v/>
      </c>
      <c r="X1094" s="27">
        <f>IF(OR(NOT(ISNUMBER($V1094)),$AO1094=1),"",$V1094-(COUNTIFS($A$14:$A$1213,$A1094,$C$14:$C$1213,"&gt;=0")+1)/2)</f>
        <v/>
      </c>
      <c r="Y1094" s="27">
        <f>IF(OR(NOT(ISNUMBER($W1094)),$AO1094=1),"",$W1094-(COUNTIFS($A$14:$A$1213,$A1094,$F$14:$F$1213,"&gt;=0")+1)/2)</f>
        <v/>
      </c>
      <c r="Z1094" s="27">
        <f>IF(ISNUMBER($V1094),$A1094&amp;"|"&amp;$V1094,"")</f>
        <v/>
      </c>
      <c r="AA1094" s="27">
        <f>IF(ISNUMBER($W1094),$A1094&amp;"|"&amp;$W1094,"")</f>
        <v/>
      </c>
      <c r="AB1094" s="27">
        <f>IF(ISNUMBER($F1094),$A1094&amp;"|"&amp;$F1094,"")</f>
        <v/>
      </c>
      <c r="AC1094" s="27">
        <f>IF(ISNUMBER($P1094),COUNTIFS($A$14:$A$1213,$A1094,$P$14:$P$1213,"&gt;"&amp;$P1094)+(COUNTIFS($A$14:$A$1213,$A1094,$P$14:$P$1213,"="&amp;$P1094)+1)/2,"")</f>
        <v/>
      </c>
      <c r="AD1094" s="27">
        <f>IF(ISNUMBER($Q1094),COUNTIFS($A$14:$A$1213,$A1094,$Q$14:$Q$1213,"&gt;"&amp;$Q1094)+(COUNTIFS($A$14:$A$1213,$A1094,$Q$14:$Q$1213,"="&amp;$Q1094)+1)/2,"")</f>
        <v/>
      </c>
      <c r="AE1094" s="27">
        <f>IF(ISNUMBER($R1094),COUNTIFS($A$14:$A$1213,$A1094,$R$14:$R$1213,"&gt;"&amp;$R1094)+(COUNTIFS($A$14:$A$1213,$A1094,$R$14:$R$1213,"="&amp;$R1094)+1)/2,"")</f>
        <v/>
      </c>
      <c r="AF1094" s="27">
        <f>IF(ISNUMBER($S1094),COUNTIFS($A$14:$A$1213,$A1094,$S$14:$S$1213,"&gt;"&amp;$S1094)+(COUNTIFS($A$14:$A$1213,$A1094,$S$14:$S$1213,"="&amp;$S1094)+1)/2,"")</f>
        <v/>
      </c>
      <c r="AG1094" s="27">
        <f>IF(ISNUMBER($T1094),COUNTIFS($A$14:$A$1213,$A1094,$T$14:$T$1213,"&gt;"&amp;$T1094)+(COUNTIFS($A$14:$A$1213,$A1094,$T$14:$T$1213,"="&amp;$T1094)+1)/2,"")</f>
        <v/>
      </c>
      <c r="AH1094" s="27">
        <f>IF(COUNT($AC1094:$AG1094)&lt;2,"",IF(MAX($AC1094:$AG1094)=MIN($AC1094:$AG1094),0,1))</f>
        <v/>
      </c>
      <c r="AI1094" s="27">
        <f>IF($A1094="","",IF(COUNTIF($A$14:$A1094,$A1094)=1,COUNTIF($AI$13:AI1093,"&gt;0")+1,""))</f>
        <v/>
      </c>
      <c r="AO1094" s="27">
        <f>IF($A1094="","",IF(AND(COUNTIFS($A$14:$A$1213,$A1094,$F$14:$F$1213,"&gt;=0")=2,IFERROR(INDEX($M$14:$M$313,MATCH($A1094,$H$14:$H$313,0)),"Yes")&lt;&gt;"Yes"),1,0))</f>
        <v/>
      </c>
    </row>
    <row r="1095">
      <c r="A1095" s="19" t="n"/>
      <c r="B1095" s="20" t="n"/>
      <c r="C1095" s="21">
        <f>IFERROR(AVERAGE(P1095:T1095),"")</f>
        <v/>
      </c>
      <c r="D1095" s="29" t="n"/>
      <c r="E1095" s="29" t="n"/>
      <c r="F1095" s="30">
        <f>IF(AND(ISNUMBER($D1095),ISNUMBER($E1095),$E1095&gt;0,$D1095&lt;=$E1095),$D1095/$E1095,"")</f>
        <v/>
      </c>
      <c r="P1095" s="26" t="n"/>
      <c r="Q1095" s="26" t="n"/>
      <c r="R1095" s="26" t="n"/>
      <c r="S1095" s="26" t="n"/>
      <c r="T1095" s="26" t="n"/>
      <c r="V1095" s="27">
        <f>IF(ISNUMBER($C1095),COUNTIFS($A$14:$A$1213,$A1095,$C$14:$C$1213,"&gt;"&amp;$C1095)+(COUNTIFS($A$14:$A$1213,$A1095,$C$14:$C$1213,"="&amp;$C1095)+1)/2,"")</f>
        <v/>
      </c>
      <c r="W1095" s="27">
        <f>IF(ISNUMBER($F1095),COUNTIFS($A$14:$A$1213,$A1095,$F$14:$F$1213,"&gt;"&amp;$F1095)+(COUNTIFS($A$14:$A$1213,$A1095,$F$14:$F$1213,"="&amp;$F1095)+1)/2,"")</f>
        <v/>
      </c>
      <c r="X1095" s="27">
        <f>IF(OR(NOT(ISNUMBER($V1095)),$AO1095=1),"",$V1095-(COUNTIFS($A$14:$A$1213,$A1095,$C$14:$C$1213,"&gt;=0")+1)/2)</f>
        <v/>
      </c>
      <c r="Y1095" s="27">
        <f>IF(OR(NOT(ISNUMBER($W1095)),$AO1095=1),"",$W1095-(COUNTIFS($A$14:$A$1213,$A1095,$F$14:$F$1213,"&gt;=0")+1)/2)</f>
        <v/>
      </c>
      <c r="Z1095" s="27">
        <f>IF(ISNUMBER($V1095),$A1095&amp;"|"&amp;$V1095,"")</f>
        <v/>
      </c>
      <c r="AA1095" s="27">
        <f>IF(ISNUMBER($W1095),$A1095&amp;"|"&amp;$W1095,"")</f>
        <v/>
      </c>
      <c r="AB1095" s="27">
        <f>IF(ISNUMBER($F1095),$A1095&amp;"|"&amp;$F1095,"")</f>
        <v/>
      </c>
      <c r="AC1095" s="27">
        <f>IF(ISNUMBER($P1095),COUNTIFS($A$14:$A$1213,$A1095,$P$14:$P$1213,"&gt;"&amp;$P1095)+(COUNTIFS($A$14:$A$1213,$A1095,$P$14:$P$1213,"="&amp;$P1095)+1)/2,"")</f>
        <v/>
      </c>
      <c r="AD1095" s="27">
        <f>IF(ISNUMBER($Q1095),COUNTIFS($A$14:$A$1213,$A1095,$Q$14:$Q$1213,"&gt;"&amp;$Q1095)+(COUNTIFS($A$14:$A$1213,$A1095,$Q$14:$Q$1213,"="&amp;$Q1095)+1)/2,"")</f>
        <v/>
      </c>
      <c r="AE1095" s="27">
        <f>IF(ISNUMBER($R1095),COUNTIFS($A$14:$A$1213,$A1095,$R$14:$R$1213,"&gt;"&amp;$R1095)+(COUNTIFS($A$14:$A$1213,$A1095,$R$14:$R$1213,"="&amp;$R1095)+1)/2,"")</f>
        <v/>
      </c>
      <c r="AF1095" s="27">
        <f>IF(ISNUMBER($S1095),COUNTIFS($A$14:$A$1213,$A1095,$S$14:$S$1213,"&gt;"&amp;$S1095)+(COUNTIFS($A$14:$A$1213,$A1095,$S$14:$S$1213,"="&amp;$S1095)+1)/2,"")</f>
        <v/>
      </c>
      <c r="AG1095" s="27">
        <f>IF(ISNUMBER($T1095),COUNTIFS($A$14:$A$1213,$A1095,$T$14:$T$1213,"&gt;"&amp;$T1095)+(COUNTIFS($A$14:$A$1213,$A1095,$T$14:$T$1213,"="&amp;$T1095)+1)/2,"")</f>
        <v/>
      </c>
      <c r="AH1095" s="27">
        <f>IF(COUNT($AC1095:$AG1095)&lt;2,"",IF(MAX($AC1095:$AG1095)=MIN($AC1095:$AG1095),0,1))</f>
        <v/>
      </c>
      <c r="AI1095" s="27">
        <f>IF($A1095="","",IF(COUNTIF($A$14:$A1095,$A1095)=1,COUNTIF($AI$13:AI1094,"&gt;0")+1,""))</f>
        <v/>
      </c>
      <c r="AO1095" s="27">
        <f>IF($A1095="","",IF(AND(COUNTIFS($A$14:$A$1213,$A1095,$F$14:$F$1213,"&gt;=0")=2,IFERROR(INDEX($M$14:$M$313,MATCH($A1095,$H$14:$H$313,0)),"Yes")&lt;&gt;"Yes"),1,0))</f>
        <v/>
      </c>
    </row>
    <row r="1096">
      <c r="A1096" s="19" t="n"/>
      <c r="B1096" s="20" t="n"/>
      <c r="C1096" s="21">
        <f>IFERROR(AVERAGE(P1096:T1096),"")</f>
        <v/>
      </c>
      <c r="D1096" s="29" t="n"/>
      <c r="E1096" s="29" t="n"/>
      <c r="F1096" s="30">
        <f>IF(AND(ISNUMBER($D1096),ISNUMBER($E1096),$E1096&gt;0,$D1096&lt;=$E1096),$D1096/$E1096,"")</f>
        <v/>
      </c>
      <c r="P1096" s="26" t="n"/>
      <c r="Q1096" s="26" t="n"/>
      <c r="R1096" s="26" t="n"/>
      <c r="S1096" s="26" t="n"/>
      <c r="T1096" s="26" t="n"/>
      <c r="V1096" s="27">
        <f>IF(ISNUMBER($C1096),COUNTIFS($A$14:$A$1213,$A1096,$C$14:$C$1213,"&gt;"&amp;$C1096)+(COUNTIFS($A$14:$A$1213,$A1096,$C$14:$C$1213,"="&amp;$C1096)+1)/2,"")</f>
        <v/>
      </c>
      <c r="W1096" s="27">
        <f>IF(ISNUMBER($F1096),COUNTIFS($A$14:$A$1213,$A1096,$F$14:$F$1213,"&gt;"&amp;$F1096)+(COUNTIFS($A$14:$A$1213,$A1096,$F$14:$F$1213,"="&amp;$F1096)+1)/2,"")</f>
        <v/>
      </c>
      <c r="X1096" s="27">
        <f>IF(OR(NOT(ISNUMBER($V1096)),$AO1096=1),"",$V1096-(COUNTIFS($A$14:$A$1213,$A1096,$C$14:$C$1213,"&gt;=0")+1)/2)</f>
        <v/>
      </c>
      <c r="Y1096" s="27">
        <f>IF(OR(NOT(ISNUMBER($W1096)),$AO1096=1),"",$W1096-(COUNTIFS($A$14:$A$1213,$A1096,$F$14:$F$1213,"&gt;=0")+1)/2)</f>
        <v/>
      </c>
      <c r="Z1096" s="27">
        <f>IF(ISNUMBER($V1096),$A1096&amp;"|"&amp;$V1096,"")</f>
        <v/>
      </c>
      <c r="AA1096" s="27">
        <f>IF(ISNUMBER($W1096),$A1096&amp;"|"&amp;$W1096,"")</f>
        <v/>
      </c>
      <c r="AB1096" s="27">
        <f>IF(ISNUMBER($F1096),$A1096&amp;"|"&amp;$F1096,"")</f>
        <v/>
      </c>
      <c r="AC1096" s="27">
        <f>IF(ISNUMBER($P1096),COUNTIFS($A$14:$A$1213,$A1096,$P$14:$P$1213,"&gt;"&amp;$P1096)+(COUNTIFS($A$14:$A$1213,$A1096,$P$14:$P$1213,"="&amp;$P1096)+1)/2,"")</f>
        <v/>
      </c>
      <c r="AD1096" s="27">
        <f>IF(ISNUMBER($Q1096),COUNTIFS($A$14:$A$1213,$A1096,$Q$14:$Q$1213,"&gt;"&amp;$Q1096)+(COUNTIFS($A$14:$A$1213,$A1096,$Q$14:$Q$1213,"="&amp;$Q1096)+1)/2,"")</f>
        <v/>
      </c>
      <c r="AE1096" s="27">
        <f>IF(ISNUMBER($R1096),COUNTIFS($A$14:$A$1213,$A1096,$R$14:$R$1213,"&gt;"&amp;$R1096)+(COUNTIFS($A$14:$A$1213,$A1096,$R$14:$R$1213,"="&amp;$R1096)+1)/2,"")</f>
        <v/>
      </c>
      <c r="AF1096" s="27">
        <f>IF(ISNUMBER($S1096),COUNTIFS($A$14:$A$1213,$A1096,$S$14:$S$1213,"&gt;"&amp;$S1096)+(COUNTIFS($A$14:$A$1213,$A1096,$S$14:$S$1213,"="&amp;$S1096)+1)/2,"")</f>
        <v/>
      </c>
      <c r="AG1096" s="27">
        <f>IF(ISNUMBER($T1096),COUNTIFS($A$14:$A$1213,$A1096,$T$14:$T$1213,"&gt;"&amp;$T1096)+(COUNTIFS($A$14:$A$1213,$A1096,$T$14:$T$1213,"="&amp;$T1096)+1)/2,"")</f>
        <v/>
      </c>
      <c r="AH1096" s="27">
        <f>IF(COUNT($AC1096:$AG1096)&lt;2,"",IF(MAX($AC1096:$AG1096)=MIN($AC1096:$AG1096),0,1))</f>
        <v/>
      </c>
      <c r="AI1096" s="27">
        <f>IF($A1096="","",IF(COUNTIF($A$14:$A1096,$A1096)=1,COUNTIF($AI$13:AI1095,"&gt;0")+1,""))</f>
        <v/>
      </c>
      <c r="AO1096" s="27">
        <f>IF($A1096="","",IF(AND(COUNTIFS($A$14:$A$1213,$A1096,$F$14:$F$1213,"&gt;=0")=2,IFERROR(INDEX($M$14:$M$313,MATCH($A1096,$H$14:$H$313,0)),"Yes")&lt;&gt;"Yes"),1,0))</f>
        <v/>
      </c>
    </row>
    <row r="1097">
      <c r="A1097" s="19" t="n"/>
      <c r="B1097" s="20" t="n"/>
      <c r="C1097" s="21">
        <f>IFERROR(AVERAGE(P1097:T1097),"")</f>
        <v/>
      </c>
      <c r="D1097" s="29" t="n"/>
      <c r="E1097" s="29" t="n"/>
      <c r="F1097" s="30">
        <f>IF(AND(ISNUMBER($D1097),ISNUMBER($E1097),$E1097&gt;0,$D1097&lt;=$E1097),$D1097/$E1097,"")</f>
        <v/>
      </c>
      <c r="P1097" s="26" t="n"/>
      <c r="Q1097" s="26" t="n"/>
      <c r="R1097" s="26" t="n"/>
      <c r="S1097" s="26" t="n"/>
      <c r="T1097" s="26" t="n"/>
      <c r="V1097" s="27">
        <f>IF(ISNUMBER($C1097),COUNTIFS($A$14:$A$1213,$A1097,$C$14:$C$1213,"&gt;"&amp;$C1097)+(COUNTIFS($A$14:$A$1213,$A1097,$C$14:$C$1213,"="&amp;$C1097)+1)/2,"")</f>
        <v/>
      </c>
      <c r="W1097" s="27">
        <f>IF(ISNUMBER($F1097),COUNTIFS($A$14:$A$1213,$A1097,$F$14:$F$1213,"&gt;"&amp;$F1097)+(COUNTIFS($A$14:$A$1213,$A1097,$F$14:$F$1213,"="&amp;$F1097)+1)/2,"")</f>
        <v/>
      </c>
      <c r="X1097" s="27">
        <f>IF(OR(NOT(ISNUMBER($V1097)),$AO1097=1),"",$V1097-(COUNTIFS($A$14:$A$1213,$A1097,$C$14:$C$1213,"&gt;=0")+1)/2)</f>
        <v/>
      </c>
      <c r="Y1097" s="27">
        <f>IF(OR(NOT(ISNUMBER($W1097)),$AO1097=1),"",$W1097-(COUNTIFS($A$14:$A$1213,$A1097,$F$14:$F$1213,"&gt;=0")+1)/2)</f>
        <v/>
      </c>
      <c r="Z1097" s="27">
        <f>IF(ISNUMBER($V1097),$A1097&amp;"|"&amp;$V1097,"")</f>
        <v/>
      </c>
      <c r="AA1097" s="27">
        <f>IF(ISNUMBER($W1097),$A1097&amp;"|"&amp;$W1097,"")</f>
        <v/>
      </c>
      <c r="AB1097" s="27">
        <f>IF(ISNUMBER($F1097),$A1097&amp;"|"&amp;$F1097,"")</f>
        <v/>
      </c>
      <c r="AC1097" s="27">
        <f>IF(ISNUMBER($P1097),COUNTIFS($A$14:$A$1213,$A1097,$P$14:$P$1213,"&gt;"&amp;$P1097)+(COUNTIFS($A$14:$A$1213,$A1097,$P$14:$P$1213,"="&amp;$P1097)+1)/2,"")</f>
        <v/>
      </c>
      <c r="AD1097" s="27">
        <f>IF(ISNUMBER($Q1097),COUNTIFS($A$14:$A$1213,$A1097,$Q$14:$Q$1213,"&gt;"&amp;$Q1097)+(COUNTIFS($A$14:$A$1213,$A1097,$Q$14:$Q$1213,"="&amp;$Q1097)+1)/2,"")</f>
        <v/>
      </c>
      <c r="AE1097" s="27">
        <f>IF(ISNUMBER($R1097),COUNTIFS($A$14:$A$1213,$A1097,$R$14:$R$1213,"&gt;"&amp;$R1097)+(COUNTIFS($A$14:$A$1213,$A1097,$R$14:$R$1213,"="&amp;$R1097)+1)/2,"")</f>
        <v/>
      </c>
      <c r="AF1097" s="27">
        <f>IF(ISNUMBER($S1097),COUNTIFS($A$14:$A$1213,$A1097,$S$14:$S$1213,"&gt;"&amp;$S1097)+(COUNTIFS($A$14:$A$1213,$A1097,$S$14:$S$1213,"="&amp;$S1097)+1)/2,"")</f>
        <v/>
      </c>
      <c r="AG1097" s="27">
        <f>IF(ISNUMBER($T1097),COUNTIFS($A$14:$A$1213,$A1097,$T$14:$T$1213,"&gt;"&amp;$T1097)+(COUNTIFS($A$14:$A$1213,$A1097,$T$14:$T$1213,"="&amp;$T1097)+1)/2,"")</f>
        <v/>
      </c>
      <c r="AH1097" s="27">
        <f>IF(COUNT($AC1097:$AG1097)&lt;2,"",IF(MAX($AC1097:$AG1097)=MIN($AC1097:$AG1097),0,1))</f>
        <v/>
      </c>
      <c r="AI1097" s="27">
        <f>IF($A1097="","",IF(COUNTIF($A$14:$A1097,$A1097)=1,COUNTIF($AI$13:AI1096,"&gt;0")+1,""))</f>
        <v/>
      </c>
      <c r="AO1097" s="27">
        <f>IF($A1097="","",IF(AND(COUNTIFS($A$14:$A$1213,$A1097,$F$14:$F$1213,"&gt;=0")=2,IFERROR(INDEX($M$14:$M$313,MATCH($A1097,$H$14:$H$313,0)),"Yes")&lt;&gt;"Yes"),1,0))</f>
        <v/>
      </c>
    </row>
    <row r="1098">
      <c r="A1098" s="19" t="n"/>
      <c r="B1098" s="20" t="n"/>
      <c r="C1098" s="21">
        <f>IFERROR(AVERAGE(P1098:T1098),"")</f>
        <v/>
      </c>
      <c r="D1098" s="29" t="n"/>
      <c r="E1098" s="29" t="n"/>
      <c r="F1098" s="30">
        <f>IF(AND(ISNUMBER($D1098),ISNUMBER($E1098),$E1098&gt;0,$D1098&lt;=$E1098),$D1098/$E1098,"")</f>
        <v/>
      </c>
      <c r="P1098" s="26" t="n"/>
      <c r="Q1098" s="26" t="n"/>
      <c r="R1098" s="26" t="n"/>
      <c r="S1098" s="26" t="n"/>
      <c r="T1098" s="26" t="n"/>
      <c r="V1098" s="27">
        <f>IF(ISNUMBER($C1098),COUNTIFS($A$14:$A$1213,$A1098,$C$14:$C$1213,"&gt;"&amp;$C1098)+(COUNTIFS($A$14:$A$1213,$A1098,$C$14:$C$1213,"="&amp;$C1098)+1)/2,"")</f>
        <v/>
      </c>
      <c r="W1098" s="27">
        <f>IF(ISNUMBER($F1098),COUNTIFS($A$14:$A$1213,$A1098,$F$14:$F$1213,"&gt;"&amp;$F1098)+(COUNTIFS($A$14:$A$1213,$A1098,$F$14:$F$1213,"="&amp;$F1098)+1)/2,"")</f>
        <v/>
      </c>
      <c r="X1098" s="27">
        <f>IF(OR(NOT(ISNUMBER($V1098)),$AO1098=1),"",$V1098-(COUNTIFS($A$14:$A$1213,$A1098,$C$14:$C$1213,"&gt;=0")+1)/2)</f>
        <v/>
      </c>
      <c r="Y1098" s="27">
        <f>IF(OR(NOT(ISNUMBER($W1098)),$AO1098=1),"",$W1098-(COUNTIFS($A$14:$A$1213,$A1098,$F$14:$F$1213,"&gt;=0")+1)/2)</f>
        <v/>
      </c>
      <c r="Z1098" s="27">
        <f>IF(ISNUMBER($V1098),$A1098&amp;"|"&amp;$V1098,"")</f>
        <v/>
      </c>
      <c r="AA1098" s="27">
        <f>IF(ISNUMBER($W1098),$A1098&amp;"|"&amp;$W1098,"")</f>
        <v/>
      </c>
      <c r="AB1098" s="27">
        <f>IF(ISNUMBER($F1098),$A1098&amp;"|"&amp;$F1098,"")</f>
        <v/>
      </c>
      <c r="AC1098" s="27">
        <f>IF(ISNUMBER($P1098),COUNTIFS($A$14:$A$1213,$A1098,$P$14:$P$1213,"&gt;"&amp;$P1098)+(COUNTIFS($A$14:$A$1213,$A1098,$P$14:$P$1213,"="&amp;$P1098)+1)/2,"")</f>
        <v/>
      </c>
      <c r="AD1098" s="27">
        <f>IF(ISNUMBER($Q1098),COUNTIFS($A$14:$A$1213,$A1098,$Q$14:$Q$1213,"&gt;"&amp;$Q1098)+(COUNTIFS($A$14:$A$1213,$A1098,$Q$14:$Q$1213,"="&amp;$Q1098)+1)/2,"")</f>
        <v/>
      </c>
      <c r="AE1098" s="27">
        <f>IF(ISNUMBER($R1098),COUNTIFS($A$14:$A$1213,$A1098,$R$14:$R$1213,"&gt;"&amp;$R1098)+(COUNTIFS($A$14:$A$1213,$A1098,$R$14:$R$1213,"="&amp;$R1098)+1)/2,"")</f>
        <v/>
      </c>
      <c r="AF1098" s="27">
        <f>IF(ISNUMBER($S1098),COUNTIFS($A$14:$A$1213,$A1098,$S$14:$S$1213,"&gt;"&amp;$S1098)+(COUNTIFS($A$14:$A$1213,$A1098,$S$14:$S$1213,"="&amp;$S1098)+1)/2,"")</f>
        <v/>
      </c>
      <c r="AG1098" s="27">
        <f>IF(ISNUMBER($T1098),COUNTIFS($A$14:$A$1213,$A1098,$T$14:$T$1213,"&gt;"&amp;$T1098)+(COUNTIFS($A$14:$A$1213,$A1098,$T$14:$T$1213,"="&amp;$T1098)+1)/2,"")</f>
        <v/>
      </c>
      <c r="AH1098" s="27">
        <f>IF(COUNT($AC1098:$AG1098)&lt;2,"",IF(MAX($AC1098:$AG1098)=MIN($AC1098:$AG1098),0,1))</f>
        <v/>
      </c>
      <c r="AI1098" s="27">
        <f>IF($A1098="","",IF(COUNTIF($A$14:$A1098,$A1098)=1,COUNTIF($AI$13:AI1097,"&gt;0")+1,""))</f>
        <v/>
      </c>
      <c r="AO1098" s="27">
        <f>IF($A1098="","",IF(AND(COUNTIFS($A$14:$A$1213,$A1098,$F$14:$F$1213,"&gt;=0")=2,IFERROR(INDEX($M$14:$M$313,MATCH($A1098,$H$14:$H$313,0)),"Yes")&lt;&gt;"Yes"),1,0))</f>
        <v/>
      </c>
    </row>
    <row r="1099">
      <c r="A1099" s="19" t="n"/>
      <c r="B1099" s="20" t="n"/>
      <c r="C1099" s="21">
        <f>IFERROR(AVERAGE(P1099:T1099),"")</f>
        <v/>
      </c>
      <c r="D1099" s="29" t="n"/>
      <c r="E1099" s="29" t="n"/>
      <c r="F1099" s="30">
        <f>IF(AND(ISNUMBER($D1099),ISNUMBER($E1099),$E1099&gt;0,$D1099&lt;=$E1099),$D1099/$E1099,"")</f>
        <v/>
      </c>
      <c r="P1099" s="26" t="n"/>
      <c r="Q1099" s="26" t="n"/>
      <c r="R1099" s="26" t="n"/>
      <c r="S1099" s="26" t="n"/>
      <c r="T1099" s="26" t="n"/>
      <c r="V1099" s="27">
        <f>IF(ISNUMBER($C1099),COUNTIFS($A$14:$A$1213,$A1099,$C$14:$C$1213,"&gt;"&amp;$C1099)+(COUNTIFS($A$14:$A$1213,$A1099,$C$14:$C$1213,"="&amp;$C1099)+1)/2,"")</f>
        <v/>
      </c>
      <c r="W1099" s="27">
        <f>IF(ISNUMBER($F1099),COUNTIFS($A$14:$A$1213,$A1099,$F$14:$F$1213,"&gt;"&amp;$F1099)+(COUNTIFS($A$14:$A$1213,$A1099,$F$14:$F$1213,"="&amp;$F1099)+1)/2,"")</f>
        <v/>
      </c>
      <c r="X1099" s="27">
        <f>IF(OR(NOT(ISNUMBER($V1099)),$AO1099=1),"",$V1099-(COUNTIFS($A$14:$A$1213,$A1099,$C$14:$C$1213,"&gt;=0")+1)/2)</f>
        <v/>
      </c>
      <c r="Y1099" s="27">
        <f>IF(OR(NOT(ISNUMBER($W1099)),$AO1099=1),"",$W1099-(COUNTIFS($A$14:$A$1213,$A1099,$F$14:$F$1213,"&gt;=0")+1)/2)</f>
        <v/>
      </c>
      <c r="Z1099" s="27">
        <f>IF(ISNUMBER($V1099),$A1099&amp;"|"&amp;$V1099,"")</f>
        <v/>
      </c>
      <c r="AA1099" s="27">
        <f>IF(ISNUMBER($W1099),$A1099&amp;"|"&amp;$W1099,"")</f>
        <v/>
      </c>
      <c r="AB1099" s="27">
        <f>IF(ISNUMBER($F1099),$A1099&amp;"|"&amp;$F1099,"")</f>
        <v/>
      </c>
      <c r="AC1099" s="27">
        <f>IF(ISNUMBER($P1099),COUNTIFS($A$14:$A$1213,$A1099,$P$14:$P$1213,"&gt;"&amp;$P1099)+(COUNTIFS($A$14:$A$1213,$A1099,$P$14:$P$1213,"="&amp;$P1099)+1)/2,"")</f>
        <v/>
      </c>
      <c r="AD1099" s="27">
        <f>IF(ISNUMBER($Q1099),COUNTIFS($A$14:$A$1213,$A1099,$Q$14:$Q$1213,"&gt;"&amp;$Q1099)+(COUNTIFS($A$14:$A$1213,$A1099,$Q$14:$Q$1213,"="&amp;$Q1099)+1)/2,"")</f>
        <v/>
      </c>
      <c r="AE1099" s="27">
        <f>IF(ISNUMBER($R1099),COUNTIFS($A$14:$A$1213,$A1099,$R$14:$R$1213,"&gt;"&amp;$R1099)+(COUNTIFS($A$14:$A$1213,$A1099,$R$14:$R$1213,"="&amp;$R1099)+1)/2,"")</f>
        <v/>
      </c>
      <c r="AF1099" s="27">
        <f>IF(ISNUMBER($S1099),COUNTIFS($A$14:$A$1213,$A1099,$S$14:$S$1213,"&gt;"&amp;$S1099)+(COUNTIFS($A$14:$A$1213,$A1099,$S$14:$S$1213,"="&amp;$S1099)+1)/2,"")</f>
        <v/>
      </c>
      <c r="AG1099" s="27">
        <f>IF(ISNUMBER($T1099),COUNTIFS($A$14:$A$1213,$A1099,$T$14:$T$1213,"&gt;"&amp;$T1099)+(COUNTIFS($A$14:$A$1213,$A1099,$T$14:$T$1213,"="&amp;$T1099)+1)/2,"")</f>
        <v/>
      </c>
      <c r="AH1099" s="27">
        <f>IF(COUNT($AC1099:$AG1099)&lt;2,"",IF(MAX($AC1099:$AG1099)=MIN($AC1099:$AG1099),0,1))</f>
        <v/>
      </c>
      <c r="AI1099" s="27">
        <f>IF($A1099="","",IF(COUNTIF($A$14:$A1099,$A1099)=1,COUNTIF($AI$13:AI1098,"&gt;0")+1,""))</f>
        <v/>
      </c>
      <c r="AO1099" s="27">
        <f>IF($A1099="","",IF(AND(COUNTIFS($A$14:$A$1213,$A1099,$F$14:$F$1213,"&gt;=0")=2,IFERROR(INDEX($M$14:$M$313,MATCH($A1099,$H$14:$H$313,0)),"Yes")&lt;&gt;"Yes"),1,0))</f>
        <v/>
      </c>
    </row>
    <row r="1100">
      <c r="A1100" s="19" t="n"/>
      <c r="B1100" s="20" t="n"/>
      <c r="C1100" s="21">
        <f>IFERROR(AVERAGE(P1100:T1100),"")</f>
        <v/>
      </c>
      <c r="D1100" s="29" t="n"/>
      <c r="E1100" s="29" t="n"/>
      <c r="F1100" s="30">
        <f>IF(AND(ISNUMBER($D1100),ISNUMBER($E1100),$E1100&gt;0,$D1100&lt;=$E1100),$D1100/$E1100,"")</f>
        <v/>
      </c>
      <c r="P1100" s="26" t="n"/>
      <c r="Q1100" s="26" t="n"/>
      <c r="R1100" s="26" t="n"/>
      <c r="S1100" s="26" t="n"/>
      <c r="T1100" s="26" t="n"/>
      <c r="V1100" s="27">
        <f>IF(ISNUMBER($C1100),COUNTIFS($A$14:$A$1213,$A1100,$C$14:$C$1213,"&gt;"&amp;$C1100)+(COUNTIFS($A$14:$A$1213,$A1100,$C$14:$C$1213,"="&amp;$C1100)+1)/2,"")</f>
        <v/>
      </c>
      <c r="W1100" s="27">
        <f>IF(ISNUMBER($F1100),COUNTIFS($A$14:$A$1213,$A1100,$F$14:$F$1213,"&gt;"&amp;$F1100)+(COUNTIFS($A$14:$A$1213,$A1100,$F$14:$F$1213,"="&amp;$F1100)+1)/2,"")</f>
        <v/>
      </c>
      <c r="X1100" s="27">
        <f>IF(OR(NOT(ISNUMBER($V1100)),$AO1100=1),"",$V1100-(COUNTIFS($A$14:$A$1213,$A1100,$C$14:$C$1213,"&gt;=0")+1)/2)</f>
        <v/>
      </c>
      <c r="Y1100" s="27">
        <f>IF(OR(NOT(ISNUMBER($W1100)),$AO1100=1),"",$W1100-(COUNTIFS($A$14:$A$1213,$A1100,$F$14:$F$1213,"&gt;=0")+1)/2)</f>
        <v/>
      </c>
      <c r="Z1100" s="27">
        <f>IF(ISNUMBER($V1100),$A1100&amp;"|"&amp;$V1100,"")</f>
        <v/>
      </c>
      <c r="AA1100" s="27">
        <f>IF(ISNUMBER($W1100),$A1100&amp;"|"&amp;$W1100,"")</f>
        <v/>
      </c>
      <c r="AB1100" s="27">
        <f>IF(ISNUMBER($F1100),$A1100&amp;"|"&amp;$F1100,"")</f>
        <v/>
      </c>
      <c r="AC1100" s="27">
        <f>IF(ISNUMBER($P1100),COUNTIFS($A$14:$A$1213,$A1100,$P$14:$P$1213,"&gt;"&amp;$P1100)+(COUNTIFS($A$14:$A$1213,$A1100,$P$14:$P$1213,"="&amp;$P1100)+1)/2,"")</f>
        <v/>
      </c>
      <c r="AD1100" s="27">
        <f>IF(ISNUMBER($Q1100),COUNTIFS($A$14:$A$1213,$A1100,$Q$14:$Q$1213,"&gt;"&amp;$Q1100)+(COUNTIFS($A$14:$A$1213,$A1100,$Q$14:$Q$1213,"="&amp;$Q1100)+1)/2,"")</f>
        <v/>
      </c>
      <c r="AE1100" s="27">
        <f>IF(ISNUMBER($R1100),COUNTIFS($A$14:$A$1213,$A1100,$R$14:$R$1213,"&gt;"&amp;$R1100)+(COUNTIFS($A$14:$A$1213,$A1100,$R$14:$R$1213,"="&amp;$R1100)+1)/2,"")</f>
        <v/>
      </c>
      <c r="AF1100" s="27">
        <f>IF(ISNUMBER($S1100),COUNTIFS($A$14:$A$1213,$A1100,$S$14:$S$1213,"&gt;"&amp;$S1100)+(COUNTIFS($A$14:$A$1213,$A1100,$S$14:$S$1213,"="&amp;$S1100)+1)/2,"")</f>
        <v/>
      </c>
      <c r="AG1100" s="27">
        <f>IF(ISNUMBER($T1100),COUNTIFS($A$14:$A$1213,$A1100,$T$14:$T$1213,"&gt;"&amp;$T1100)+(COUNTIFS($A$14:$A$1213,$A1100,$T$14:$T$1213,"="&amp;$T1100)+1)/2,"")</f>
        <v/>
      </c>
      <c r="AH1100" s="27">
        <f>IF(COUNT($AC1100:$AG1100)&lt;2,"",IF(MAX($AC1100:$AG1100)=MIN($AC1100:$AG1100),0,1))</f>
        <v/>
      </c>
      <c r="AI1100" s="27">
        <f>IF($A1100="","",IF(COUNTIF($A$14:$A1100,$A1100)=1,COUNTIF($AI$13:AI1099,"&gt;0")+1,""))</f>
        <v/>
      </c>
      <c r="AO1100" s="27">
        <f>IF($A1100="","",IF(AND(COUNTIFS($A$14:$A$1213,$A1100,$F$14:$F$1213,"&gt;=0")=2,IFERROR(INDEX($M$14:$M$313,MATCH($A1100,$H$14:$H$313,0)),"Yes")&lt;&gt;"Yes"),1,0))</f>
        <v/>
      </c>
    </row>
    <row r="1101">
      <c r="A1101" s="19" t="n"/>
      <c r="B1101" s="20" t="n"/>
      <c r="C1101" s="21">
        <f>IFERROR(AVERAGE(P1101:T1101),"")</f>
        <v/>
      </c>
      <c r="D1101" s="29" t="n"/>
      <c r="E1101" s="29" t="n"/>
      <c r="F1101" s="30">
        <f>IF(AND(ISNUMBER($D1101),ISNUMBER($E1101),$E1101&gt;0,$D1101&lt;=$E1101),$D1101/$E1101,"")</f>
        <v/>
      </c>
      <c r="P1101" s="26" t="n"/>
      <c r="Q1101" s="26" t="n"/>
      <c r="R1101" s="26" t="n"/>
      <c r="S1101" s="26" t="n"/>
      <c r="T1101" s="26" t="n"/>
      <c r="V1101" s="27">
        <f>IF(ISNUMBER($C1101),COUNTIFS($A$14:$A$1213,$A1101,$C$14:$C$1213,"&gt;"&amp;$C1101)+(COUNTIFS($A$14:$A$1213,$A1101,$C$14:$C$1213,"="&amp;$C1101)+1)/2,"")</f>
        <v/>
      </c>
      <c r="W1101" s="27">
        <f>IF(ISNUMBER($F1101),COUNTIFS($A$14:$A$1213,$A1101,$F$14:$F$1213,"&gt;"&amp;$F1101)+(COUNTIFS($A$14:$A$1213,$A1101,$F$14:$F$1213,"="&amp;$F1101)+1)/2,"")</f>
        <v/>
      </c>
      <c r="X1101" s="27">
        <f>IF(OR(NOT(ISNUMBER($V1101)),$AO1101=1),"",$V1101-(COUNTIFS($A$14:$A$1213,$A1101,$C$14:$C$1213,"&gt;=0")+1)/2)</f>
        <v/>
      </c>
      <c r="Y1101" s="27">
        <f>IF(OR(NOT(ISNUMBER($W1101)),$AO1101=1),"",$W1101-(COUNTIFS($A$14:$A$1213,$A1101,$F$14:$F$1213,"&gt;=0")+1)/2)</f>
        <v/>
      </c>
      <c r="Z1101" s="27">
        <f>IF(ISNUMBER($V1101),$A1101&amp;"|"&amp;$V1101,"")</f>
        <v/>
      </c>
      <c r="AA1101" s="27">
        <f>IF(ISNUMBER($W1101),$A1101&amp;"|"&amp;$W1101,"")</f>
        <v/>
      </c>
      <c r="AB1101" s="27">
        <f>IF(ISNUMBER($F1101),$A1101&amp;"|"&amp;$F1101,"")</f>
        <v/>
      </c>
      <c r="AC1101" s="27">
        <f>IF(ISNUMBER($P1101),COUNTIFS($A$14:$A$1213,$A1101,$P$14:$P$1213,"&gt;"&amp;$P1101)+(COUNTIFS($A$14:$A$1213,$A1101,$P$14:$P$1213,"="&amp;$P1101)+1)/2,"")</f>
        <v/>
      </c>
      <c r="AD1101" s="27">
        <f>IF(ISNUMBER($Q1101),COUNTIFS($A$14:$A$1213,$A1101,$Q$14:$Q$1213,"&gt;"&amp;$Q1101)+(COUNTIFS($A$14:$A$1213,$A1101,$Q$14:$Q$1213,"="&amp;$Q1101)+1)/2,"")</f>
        <v/>
      </c>
      <c r="AE1101" s="27">
        <f>IF(ISNUMBER($R1101),COUNTIFS($A$14:$A$1213,$A1101,$R$14:$R$1213,"&gt;"&amp;$R1101)+(COUNTIFS($A$14:$A$1213,$A1101,$R$14:$R$1213,"="&amp;$R1101)+1)/2,"")</f>
        <v/>
      </c>
      <c r="AF1101" s="27">
        <f>IF(ISNUMBER($S1101),COUNTIFS($A$14:$A$1213,$A1101,$S$14:$S$1213,"&gt;"&amp;$S1101)+(COUNTIFS($A$14:$A$1213,$A1101,$S$14:$S$1213,"="&amp;$S1101)+1)/2,"")</f>
        <v/>
      </c>
      <c r="AG1101" s="27">
        <f>IF(ISNUMBER($T1101),COUNTIFS($A$14:$A$1213,$A1101,$T$14:$T$1213,"&gt;"&amp;$T1101)+(COUNTIFS($A$14:$A$1213,$A1101,$T$14:$T$1213,"="&amp;$T1101)+1)/2,"")</f>
        <v/>
      </c>
      <c r="AH1101" s="27">
        <f>IF(COUNT($AC1101:$AG1101)&lt;2,"",IF(MAX($AC1101:$AG1101)=MIN($AC1101:$AG1101),0,1))</f>
        <v/>
      </c>
      <c r="AI1101" s="27">
        <f>IF($A1101="","",IF(COUNTIF($A$14:$A1101,$A1101)=1,COUNTIF($AI$13:AI1100,"&gt;0")+1,""))</f>
        <v/>
      </c>
      <c r="AO1101" s="27">
        <f>IF($A1101="","",IF(AND(COUNTIFS($A$14:$A$1213,$A1101,$F$14:$F$1213,"&gt;=0")=2,IFERROR(INDEX($M$14:$M$313,MATCH($A1101,$H$14:$H$313,0)),"Yes")&lt;&gt;"Yes"),1,0))</f>
        <v/>
      </c>
    </row>
    <row r="1102">
      <c r="A1102" s="19" t="n"/>
      <c r="B1102" s="20" t="n"/>
      <c r="C1102" s="21">
        <f>IFERROR(AVERAGE(P1102:T1102),"")</f>
        <v/>
      </c>
      <c r="D1102" s="29" t="n"/>
      <c r="E1102" s="29" t="n"/>
      <c r="F1102" s="30">
        <f>IF(AND(ISNUMBER($D1102),ISNUMBER($E1102),$E1102&gt;0,$D1102&lt;=$E1102),$D1102/$E1102,"")</f>
        <v/>
      </c>
      <c r="P1102" s="26" t="n"/>
      <c r="Q1102" s="26" t="n"/>
      <c r="R1102" s="26" t="n"/>
      <c r="S1102" s="26" t="n"/>
      <c r="T1102" s="26" t="n"/>
      <c r="V1102" s="27">
        <f>IF(ISNUMBER($C1102),COUNTIFS($A$14:$A$1213,$A1102,$C$14:$C$1213,"&gt;"&amp;$C1102)+(COUNTIFS($A$14:$A$1213,$A1102,$C$14:$C$1213,"="&amp;$C1102)+1)/2,"")</f>
        <v/>
      </c>
      <c r="W1102" s="27">
        <f>IF(ISNUMBER($F1102),COUNTIFS($A$14:$A$1213,$A1102,$F$14:$F$1213,"&gt;"&amp;$F1102)+(COUNTIFS($A$14:$A$1213,$A1102,$F$14:$F$1213,"="&amp;$F1102)+1)/2,"")</f>
        <v/>
      </c>
      <c r="X1102" s="27">
        <f>IF(OR(NOT(ISNUMBER($V1102)),$AO1102=1),"",$V1102-(COUNTIFS($A$14:$A$1213,$A1102,$C$14:$C$1213,"&gt;=0")+1)/2)</f>
        <v/>
      </c>
      <c r="Y1102" s="27">
        <f>IF(OR(NOT(ISNUMBER($W1102)),$AO1102=1),"",$W1102-(COUNTIFS($A$14:$A$1213,$A1102,$F$14:$F$1213,"&gt;=0")+1)/2)</f>
        <v/>
      </c>
      <c r="Z1102" s="27">
        <f>IF(ISNUMBER($V1102),$A1102&amp;"|"&amp;$V1102,"")</f>
        <v/>
      </c>
      <c r="AA1102" s="27">
        <f>IF(ISNUMBER($W1102),$A1102&amp;"|"&amp;$W1102,"")</f>
        <v/>
      </c>
      <c r="AB1102" s="27">
        <f>IF(ISNUMBER($F1102),$A1102&amp;"|"&amp;$F1102,"")</f>
        <v/>
      </c>
      <c r="AC1102" s="27">
        <f>IF(ISNUMBER($P1102),COUNTIFS($A$14:$A$1213,$A1102,$P$14:$P$1213,"&gt;"&amp;$P1102)+(COUNTIFS($A$14:$A$1213,$A1102,$P$14:$P$1213,"="&amp;$P1102)+1)/2,"")</f>
        <v/>
      </c>
      <c r="AD1102" s="27">
        <f>IF(ISNUMBER($Q1102),COUNTIFS($A$14:$A$1213,$A1102,$Q$14:$Q$1213,"&gt;"&amp;$Q1102)+(COUNTIFS($A$14:$A$1213,$A1102,$Q$14:$Q$1213,"="&amp;$Q1102)+1)/2,"")</f>
        <v/>
      </c>
      <c r="AE1102" s="27">
        <f>IF(ISNUMBER($R1102),COUNTIFS($A$14:$A$1213,$A1102,$R$14:$R$1213,"&gt;"&amp;$R1102)+(COUNTIFS($A$14:$A$1213,$A1102,$R$14:$R$1213,"="&amp;$R1102)+1)/2,"")</f>
        <v/>
      </c>
      <c r="AF1102" s="27">
        <f>IF(ISNUMBER($S1102),COUNTIFS($A$14:$A$1213,$A1102,$S$14:$S$1213,"&gt;"&amp;$S1102)+(COUNTIFS($A$14:$A$1213,$A1102,$S$14:$S$1213,"="&amp;$S1102)+1)/2,"")</f>
        <v/>
      </c>
      <c r="AG1102" s="27">
        <f>IF(ISNUMBER($T1102),COUNTIFS($A$14:$A$1213,$A1102,$T$14:$T$1213,"&gt;"&amp;$T1102)+(COUNTIFS($A$14:$A$1213,$A1102,$T$14:$T$1213,"="&amp;$T1102)+1)/2,"")</f>
        <v/>
      </c>
      <c r="AH1102" s="27">
        <f>IF(COUNT($AC1102:$AG1102)&lt;2,"",IF(MAX($AC1102:$AG1102)=MIN($AC1102:$AG1102),0,1))</f>
        <v/>
      </c>
      <c r="AI1102" s="27">
        <f>IF($A1102="","",IF(COUNTIF($A$14:$A1102,$A1102)=1,COUNTIF($AI$13:AI1101,"&gt;0")+1,""))</f>
        <v/>
      </c>
      <c r="AO1102" s="27">
        <f>IF($A1102="","",IF(AND(COUNTIFS($A$14:$A$1213,$A1102,$F$14:$F$1213,"&gt;=0")=2,IFERROR(INDEX($M$14:$M$313,MATCH($A1102,$H$14:$H$313,0)),"Yes")&lt;&gt;"Yes"),1,0))</f>
        <v/>
      </c>
    </row>
    <row r="1103">
      <c r="A1103" s="19" t="n"/>
      <c r="B1103" s="20" t="n"/>
      <c r="C1103" s="21">
        <f>IFERROR(AVERAGE(P1103:T1103),"")</f>
        <v/>
      </c>
      <c r="D1103" s="29" t="n"/>
      <c r="E1103" s="29" t="n"/>
      <c r="F1103" s="30">
        <f>IF(AND(ISNUMBER($D1103),ISNUMBER($E1103),$E1103&gt;0,$D1103&lt;=$E1103),$D1103/$E1103,"")</f>
        <v/>
      </c>
      <c r="P1103" s="26" t="n"/>
      <c r="Q1103" s="26" t="n"/>
      <c r="R1103" s="26" t="n"/>
      <c r="S1103" s="26" t="n"/>
      <c r="T1103" s="26" t="n"/>
      <c r="V1103" s="27">
        <f>IF(ISNUMBER($C1103),COUNTIFS($A$14:$A$1213,$A1103,$C$14:$C$1213,"&gt;"&amp;$C1103)+(COUNTIFS($A$14:$A$1213,$A1103,$C$14:$C$1213,"="&amp;$C1103)+1)/2,"")</f>
        <v/>
      </c>
      <c r="W1103" s="27">
        <f>IF(ISNUMBER($F1103),COUNTIFS($A$14:$A$1213,$A1103,$F$14:$F$1213,"&gt;"&amp;$F1103)+(COUNTIFS($A$14:$A$1213,$A1103,$F$14:$F$1213,"="&amp;$F1103)+1)/2,"")</f>
        <v/>
      </c>
      <c r="X1103" s="27">
        <f>IF(OR(NOT(ISNUMBER($V1103)),$AO1103=1),"",$V1103-(COUNTIFS($A$14:$A$1213,$A1103,$C$14:$C$1213,"&gt;=0")+1)/2)</f>
        <v/>
      </c>
      <c r="Y1103" s="27">
        <f>IF(OR(NOT(ISNUMBER($W1103)),$AO1103=1),"",$W1103-(COUNTIFS($A$14:$A$1213,$A1103,$F$14:$F$1213,"&gt;=0")+1)/2)</f>
        <v/>
      </c>
      <c r="Z1103" s="27">
        <f>IF(ISNUMBER($V1103),$A1103&amp;"|"&amp;$V1103,"")</f>
        <v/>
      </c>
      <c r="AA1103" s="27">
        <f>IF(ISNUMBER($W1103),$A1103&amp;"|"&amp;$W1103,"")</f>
        <v/>
      </c>
      <c r="AB1103" s="27">
        <f>IF(ISNUMBER($F1103),$A1103&amp;"|"&amp;$F1103,"")</f>
        <v/>
      </c>
      <c r="AC1103" s="27">
        <f>IF(ISNUMBER($P1103),COUNTIFS($A$14:$A$1213,$A1103,$P$14:$P$1213,"&gt;"&amp;$P1103)+(COUNTIFS($A$14:$A$1213,$A1103,$P$14:$P$1213,"="&amp;$P1103)+1)/2,"")</f>
        <v/>
      </c>
      <c r="AD1103" s="27">
        <f>IF(ISNUMBER($Q1103),COUNTIFS($A$14:$A$1213,$A1103,$Q$14:$Q$1213,"&gt;"&amp;$Q1103)+(COUNTIFS($A$14:$A$1213,$A1103,$Q$14:$Q$1213,"="&amp;$Q1103)+1)/2,"")</f>
        <v/>
      </c>
      <c r="AE1103" s="27">
        <f>IF(ISNUMBER($R1103),COUNTIFS($A$14:$A$1213,$A1103,$R$14:$R$1213,"&gt;"&amp;$R1103)+(COUNTIFS($A$14:$A$1213,$A1103,$R$14:$R$1213,"="&amp;$R1103)+1)/2,"")</f>
        <v/>
      </c>
      <c r="AF1103" s="27">
        <f>IF(ISNUMBER($S1103),COUNTIFS($A$14:$A$1213,$A1103,$S$14:$S$1213,"&gt;"&amp;$S1103)+(COUNTIFS($A$14:$A$1213,$A1103,$S$14:$S$1213,"="&amp;$S1103)+1)/2,"")</f>
        <v/>
      </c>
      <c r="AG1103" s="27">
        <f>IF(ISNUMBER($T1103),COUNTIFS($A$14:$A$1213,$A1103,$T$14:$T$1213,"&gt;"&amp;$T1103)+(COUNTIFS($A$14:$A$1213,$A1103,$T$14:$T$1213,"="&amp;$T1103)+1)/2,"")</f>
        <v/>
      </c>
      <c r="AH1103" s="27">
        <f>IF(COUNT($AC1103:$AG1103)&lt;2,"",IF(MAX($AC1103:$AG1103)=MIN($AC1103:$AG1103),0,1))</f>
        <v/>
      </c>
      <c r="AI1103" s="27">
        <f>IF($A1103="","",IF(COUNTIF($A$14:$A1103,$A1103)=1,COUNTIF($AI$13:AI1102,"&gt;0")+1,""))</f>
        <v/>
      </c>
      <c r="AO1103" s="27">
        <f>IF($A1103="","",IF(AND(COUNTIFS($A$14:$A$1213,$A1103,$F$14:$F$1213,"&gt;=0")=2,IFERROR(INDEX($M$14:$M$313,MATCH($A1103,$H$14:$H$313,0)),"Yes")&lt;&gt;"Yes"),1,0))</f>
        <v/>
      </c>
    </row>
    <row r="1104">
      <c r="A1104" s="19" t="n"/>
      <c r="B1104" s="20" t="n"/>
      <c r="C1104" s="21">
        <f>IFERROR(AVERAGE(P1104:T1104),"")</f>
        <v/>
      </c>
      <c r="D1104" s="29" t="n"/>
      <c r="E1104" s="29" t="n"/>
      <c r="F1104" s="30">
        <f>IF(AND(ISNUMBER($D1104),ISNUMBER($E1104),$E1104&gt;0,$D1104&lt;=$E1104),$D1104/$E1104,"")</f>
        <v/>
      </c>
      <c r="P1104" s="26" t="n"/>
      <c r="Q1104" s="26" t="n"/>
      <c r="R1104" s="26" t="n"/>
      <c r="S1104" s="26" t="n"/>
      <c r="T1104" s="26" t="n"/>
      <c r="V1104" s="27">
        <f>IF(ISNUMBER($C1104),COUNTIFS($A$14:$A$1213,$A1104,$C$14:$C$1213,"&gt;"&amp;$C1104)+(COUNTIFS($A$14:$A$1213,$A1104,$C$14:$C$1213,"="&amp;$C1104)+1)/2,"")</f>
        <v/>
      </c>
      <c r="W1104" s="27">
        <f>IF(ISNUMBER($F1104),COUNTIFS($A$14:$A$1213,$A1104,$F$14:$F$1213,"&gt;"&amp;$F1104)+(COUNTIFS($A$14:$A$1213,$A1104,$F$14:$F$1213,"="&amp;$F1104)+1)/2,"")</f>
        <v/>
      </c>
      <c r="X1104" s="27">
        <f>IF(OR(NOT(ISNUMBER($V1104)),$AO1104=1),"",$V1104-(COUNTIFS($A$14:$A$1213,$A1104,$C$14:$C$1213,"&gt;=0")+1)/2)</f>
        <v/>
      </c>
      <c r="Y1104" s="27">
        <f>IF(OR(NOT(ISNUMBER($W1104)),$AO1104=1),"",$W1104-(COUNTIFS($A$14:$A$1213,$A1104,$F$14:$F$1213,"&gt;=0")+1)/2)</f>
        <v/>
      </c>
      <c r="Z1104" s="27">
        <f>IF(ISNUMBER($V1104),$A1104&amp;"|"&amp;$V1104,"")</f>
        <v/>
      </c>
      <c r="AA1104" s="27">
        <f>IF(ISNUMBER($W1104),$A1104&amp;"|"&amp;$W1104,"")</f>
        <v/>
      </c>
      <c r="AB1104" s="27">
        <f>IF(ISNUMBER($F1104),$A1104&amp;"|"&amp;$F1104,"")</f>
        <v/>
      </c>
      <c r="AC1104" s="27">
        <f>IF(ISNUMBER($P1104),COUNTIFS($A$14:$A$1213,$A1104,$P$14:$P$1213,"&gt;"&amp;$P1104)+(COUNTIFS($A$14:$A$1213,$A1104,$P$14:$P$1213,"="&amp;$P1104)+1)/2,"")</f>
        <v/>
      </c>
      <c r="AD1104" s="27">
        <f>IF(ISNUMBER($Q1104),COUNTIFS($A$14:$A$1213,$A1104,$Q$14:$Q$1213,"&gt;"&amp;$Q1104)+(COUNTIFS($A$14:$A$1213,$A1104,$Q$14:$Q$1213,"="&amp;$Q1104)+1)/2,"")</f>
        <v/>
      </c>
      <c r="AE1104" s="27">
        <f>IF(ISNUMBER($R1104),COUNTIFS($A$14:$A$1213,$A1104,$R$14:$R$1213,"&gt;"&amp;$R1104)+(COUNTIFS($A$14:$A$1213,$A1104,$R$14:$R$1213,"="&amp;$R1104)+1)/2,"")</f>
        <v/>
      </c>
      <c r="AF1104" s="27">
        <f>IF(ISNUMBER($S1104),COUNTIFS($A$14:$A$1213,$A1104,$S$14:$S$1213,"&gt;"&amp;$S1104)+(COUNTIFS($A$14:$A$1213,$A1104,$S$14:$S$1213,"="&amp;$S1104)+1)/2,"")</f>
        <v/>
      </c>
      <c r="AG1104" s="27">
        <f>IF(ISNUMBER($T1104),COUNTIFS($A$14:$A$1213,$A1104,$T$14:$T$1213,"&gt;"&amp;$T1104)+(COUNTIFS($A$14:$A$1213,$A1104,$T$14:$T$1213,"="&amp;$T1104)+1)/2,"")</f>
        <v/>
      </c>
      <c r="AH1104" s="27">
        <f>IF(COUNT($AC1104:$AG1104)&lt;2,"",IF(MAX($AC1104:$AG1104)=MIN($AC1104:$AG1104),0,1))</f>
        <v/>
      </c>
      <c r="AI1104" s="27">
        <f>IF($A1104="","",IF(COUNTIF($A$14:$A1104,$A1104)=1,COUNTIF($AI$13:AI1103,"&gt;0")+1,""))</f>
        <v/>
      </c>
      <c r="AO1104" s="27">
        <f>IF($A1104="","",IF(AND(COUNTIFS($A$14:$A$1213,$A1104,$F$14:$F$1213,"&gt;=0")=2,IFERROR(INDEX($M$14:$M$313,MATCH($A1104,$H$14:$H$313,0)),"Yes")&lt;&gt;"Yes"),1,0))</f>
        <v/>
      </c>
    </row>
    <row r="1105">
      <c r="A1105" s="19" t="n"/>
      <c r="B1105" s="20" t="n"/>
      <c r="C1105" s="21">
        <f>IFERROR(AVERAGE(P1105:T1105),"")</f>
        <v/>
      </c>
      <c r="D1105" s="29" t="n"/>
      <c r="E1105" s="29" t="n"/>
      <c r="F1105" s="30">
        <f>IF(AND(ISNUMBER($D1105),ISNUMBER($E1105),$E1105&gt;0,$D1105&lt;=$E1105),$D1105/$E1105,"")</f>
        <v/>
      </c>
      <c r="P1105" s="26" t="n"/>
      <c r="Q1105" s="26" t="n"/>
      <c r="R1105" s="26" t="n"/>
      <c r="S1105" s="26" t="n"/>
      <c r="T1105" s="26" t="n"/>
      <c r="V1105" s="27">
        <f>IF(ISNUMBER($C1105),COUNTIFS($A$14:$A$1213,$A1105,$C$14:$C$1213,"&gt;"&amp;$C1105)+(COUNTIFS($A$14:$A$1213,$A1105,$C$14:$C$1213,"="&amp;$C1105)+1)/2,"")</f>
        <v/>
      </c>
      <c r="W1105" s="27">
        <f>IF(ISNUMBER($F1105),COUNTIFS($A$14:$A$1213,$A1105,$F$14:$F$1213,"&gt;"&amp;$F1105)+(COUNTIFS($A$14:$A$1213,$A1105,$F$14:$F$1213,"="&amp;$F1105)+1)/2,"")</f>
        <v/>
      </c>
      <c r="X1105" s="27">
        <f>IF(OR(NOT(ISNUMBER($V1105)),$AO1105=1),"",$V1105-(COUNTIFS($A$14:$A$1213,$A1105,$C$14:$C$1213,"&gt;=0")+1)/2)</f>
        <v/>
      </c>
      <c r="Y1105" s="27">
        <f>IF(OR(NOT(ISNUMBER($W1105)),$AO1105=1),"",$W1105-(COUNTIFS($A$14:$A$1213,$A1105,$F$14:$F$1213,"&gt;=0")+1)/2)</f>
        <v/>
      </c>
      <c r="Z1105" s="27">
        <f>IF(ISNUMBER($V1105),$A1105&amp;"|"&amp;$V1105,"")</f>
        <v/>
      </c>
      <c r="AA1105" s="27">
        <f>IF(ISNUMBER($W1105),$A1105&amp;"|"&amp;$W1105,"")</f>
        <v/>
      </c>
      <c r="AB1105" s="27">
        <f>IF(ISNUMBER($F1105),$A1105&amp;"|"&amp;$F1105,"")</f>
        <v/>
      </c>
      <c r="AC1105" s="27">
        <f>IF(ISNUMBER($P1105),COUNTIFS($A$14:$A$1213,$A1105,$P$14:$P$1213,"&gt;"&amp;$P1105)+(COUNTIFS($A$14:$A$1213,$A1105,$P$14:$P$1213,"="&amp;$P1105)+1)/2,"")</f>
        <v/>
      </c>
      <c r="AD1105" s="27">
        <f>IF(ISNUMBER($Q1105),COUNTIFS($A$14:$A$1213,$A1105,$Q$14:$Q$1213,"&gt;"&amp;$Q1105)+(COUNTIFS($A$14:$A$1213,$A1105,$Q$14:$Q$1213,"="&amp;$Q1105)+1)/2,"")</f>
        <v/>
      </c>
      <c r="AE1105" s="27">
        <f>IF(ISNUMBER($R1105),COUNTIFS($A$14:$A$1213,$A1105,$R$14:$R$1213,"&gt;"&amp;$R1105)+(COUNTIFS($A$14:$A$1213,$A1105,$R$14:$R$1213,"="&amp;$R1105)+1)/2,"")</f>
        <v/>
      </c>
      <c r="AF1105" s="27">
        <f>IF(ISNUMBER($S1105),COUNTIFS($A$14:$A$1213,$A1105,$S$14:$S$1213,"&gt;"&amp;$S1105)+(COUNTIFS($A$14:$A$1213,$A1105,$S$14:$S$1213,"="&amp;$S1105)+1)/2,"")</f>
        <v/>
      </c>
      <c r="AG1105" s="27">
        <f>IF(ISNUMBER($T1105),COUNTIFS($A$14:$A$1213,$A1105,$T$14:$T$1213,"&gt;"&amp;$T1105)+(COUNTIFS($A$14:$A$1213,$A1105,$T$14:$T$1213,"="&amp;$T1105)+1)/2,"")</f>
        <v/>
      </c>
      <c r="AH1105" s="27">
        <f>IF(COUNT($AC1105:$AG1105)&lt;2,"",IF(MAX($AC1105:$AG1105)=MIN($AC1105:$AG1105),0,1))</f>
        <v/>
      </c>
      <c r="AI1105" s="27">
        <f>IF($A1105="","",IF(COUNTIF($A$14:$A1105,$A1105)=1,COUNTIF($AI$13:AI1104,"&gt;0")+1,""))</f>
        <v/>
      </c>
      <c r="AO1105" s="27">
        <f>IF($A1105="","",IF(AND(COUNTIFS($A$14:$A$1213,$A1105,$F$14:$F$1213,"&gt;=0")=2,IFERROR(INDEX($M$14:$M$313,MATCH($A1105,$H$14:$H$313,0)),"Yes")&lt;&gt;"Yes"),1,0))</f>
        <v/>
      </c>
    </row>
    <row r="1106">
      <c r="A1106" s="19" t="n"/>
      <c r="B1106" s="20" t="n"/>
      <c r="C1106" s="21">
        <f>IFERROR(AVERAGE(P1106:T1106),"")</f>
        <v/>
      </c>
      <c r="D1106" s="29" t="n"/>
      <c r="E1106" s="29" t="n"/>
      <c r="F1106" s="30">
        <f>IF(AND(ISNUMBER($D1106),ISNUMBER($E1106),$E1106&gt;0,$D1106&lt;=$E1106),$D1106/$E1106,"")</f>
        <v/>
      </c>
      <c r="P1106" s="26" t="n"/>
      <c r="Q1106" s="26" t="n"/>
      <c r="R1106" s="26" t="n"/>
      <c r="S1106" s="26" t="n"/>
      <c r="T1106" s="26" t="n"/>
      <c r="V1106" s="27">
        <f>IF(ISNUMBER($C1106),COUNTIFS($A$14:$A$1213,$A1106,$C$14:$C$1213,"&gt;"&amp;$C1106)+(COUNTIFS($A$14:$A$1213,$A1106,$C$14:$C$1213,"="&amp;$C1106)+1)/2,"")</f>
        <v/>
      </c>
      <c r="W1106" s="27">
        <f>IF(ISNUMBER($F1106),COUNTIFS($A$14:$A$1213,$A1106,$F$14:$F$1213,"&gt;"&amp;$F1106)+(COUNTIFS($A$14:$A$1213,$A1106,$F$14:$F$1213,"="&amp;$F1106)+1)/2,"")</f>
        <v/>
      </c>
      <c r="X1106" s="27">
        <f>IF(OR(NOT(ISNUMBER($V1106)),$AO1106=1),"",$V1106-(COUNTIFS($A$14:$A$1213,$A1106,$C$14:$C$1213,"&gt;=0")+1)/2)</f>
        <v/>
      </c>
      <c r="Y1106" s="27">
        <f>IF(OR(NOT(ISNUMBER($W1106)),$AO1106=1),"",$W1106-(COUNTIFS($A$14:$A$1213,$A1106,$F$14:$F$1213,"&gt;=0")+1)/2)</f>
        <v/>
      </c>
      <c r="Z1106" s="27">
        <f>IF(ISNUMBER($V1106),$A1106&amp;"|"&amp;$V1106,"")</f>
        <v/>
      </c>
      <c r="AA1106" s="27">
        <f>IF(ISNUMBER($W1106),$A1106&amp;"|"&amp;$W1106,"")</f>
        <v/>
      </c>
      <c r="AB1106" s="27">
        <f>IF(ISNUMBER($F1106),$A1106&amp;"|"&amp;$F1106,"")</f>
        <v/>
      </c>
      <c r="AC1106" s="27">
        <f>IF(ISNUMBER($P1106),COUNTIFS($A$14:$A$1213,$A1106,$P$14:$P$1213,"&gt;"&amp;$P1106)+(COUNTIFS($A$14:$A$1213,$A1106,$P$14:$P$1213,"="&amp;$P1106)+1)/2,"")</f>
        <v/>
      </c>
      <c r="AD1106" s="27">
        <f>IF(ISNUMBER($Q1106),COUNTIFS($A$14:$A$1213,$A1106,$Q$14:$Q$1213,"&gt;"&amp;$Q1106)+(COUNTIFS($A$14:$A$1213,$A1106,$Q$14:$Q$1213,"="&amp;$Q1106)+1)/2,"")</f>
        <v/>
      </c>
      <c r="AE1106" s="27">
        <f>IF(ISNUMBER($R1106),COUNTIFS($A$14:$A$1213,$A1106,$R$14:$R$1213,"&gt;"&amp;$R1106)+(COUNTIFS($A$14:$A$1213,$A1106,$R$14:$R$1213,"="&amp;$R1106)+1)/2,"")</f>
        <v/>
      </c>
      <c r="AF1106" s="27">
        <f>IF(ISNUMBER($S1106),COUNTIFS($A$14:$A$1213,$A1106,$S$14:$S$1213,"&gt;"&amp;$S1106)+(COUNTIFS($A$14:$A$1213,$A1106,$S$14:$S$1213,"="&amp;$S1106)+1)/2,"")</f>
        <v/>
      </c>
      <c r="AG1106" s="27">
        <f>IF(ISNUMBER($T1106),COUNTIFS($A$14:$A$1213,$A1106,$T$14:$T$1213,"&gt;"&amp;$T1106)+(COUNTIFS($A$14:$A$1213,$A1106,$T$14:$T$1213,"="&amp;$T1106)+1)/2,"")</f>
        <v/>
      </c>
      <c r="AH1106" s="27">
        <f>IF(COUNT($AC1106:$AG1106)&lt;2,"",IF(MAX($AC1106:$AG1106)=MIN($AC1106:$AG1106),0,1))</f>
        <v/>
      </c>
      <c r="AI1106" s="27">
        <f>IF($A1106="","",IF(COUNTIF($A$14:$A1106,$A1106)=1,COUNTIF($AI$13:AI1105,"&gt;0")+1,""))</f>
        <v/>
      </c>
      <c r="AO1106" s="27">
        <f>IF($A1106="","",IF(AND(COUNTIFS($A$14:$A$1213,$A1106,$F$14:$F$1213,"&gt;=0")=2,IFERROR(INDEX($M$14:$M$313,MATCH($A1106,$H$14:$H$313,0)),"Yes")&lt;&gt;"Yes"),1,0))</f>
        <v/>
      </c>
    </row>
    <row r="1107">
      <c r="A1107" s="19" t="n"/>
      <c r="B1107" s="20" t="n"/>
      <c r="C1107" s="21">
        <f>IFERROR(AVERAGE(P1107:T1107),"")</f>
        <v/>
      </c>
      <c r="D1107" s="29" t="n"/>
      <c r="E1107" s="29" t="n"/>
      <c r="F1107" s="30">
        <f>IF(AND(ISNUMBER($D1107),ISNUMBER($E1107),$E1107&gt;0,$D1107&lt;=$E1107),$D1107/$E1107,"")</f>
        <v/>
      </c>
      <c r="P1107" s="26" t="n"/>
      <c r="Q1107" s="26" t="n"/>
      <c r="R1107" s="26" t="n"/>
      <c r="S1107" s="26" t="n"/>
      <c r="T1107" s="26" t="n"/>
      <c r="V1107" s="27">
        <f>IF(ISNUMBER($C1107),COUNTIFS($A$14:$A$1213,$A1107,$C$14:$C$1213,"&gt;"&amp;$C1107)+(COUNTIFS($A$14:$A$1213,$A1107,$C$14:$C$1213,"="&amp;$C1107)+1)/2,"")</f>
        <v/>
      </c>
      <c r="W1107" s="27">
        <f>IF(ISNUMBER($F1107),COUNTIFS($A$14:$A$1213,$A1107,$F$14:$F$1213,"&gt;"&amp;$F1107)+(COUNTIFS($A$14:$A$1213,$A1107,$F$14:$F$1213,"="&amp;$F1107)+1)/2,"")</f>
        <v/>
      </c>
      <c r="X1107" s="27">
        <f>IF(OR(NOT(ISNUMBER($V1107)),$AO1107=1),"",$V1107-(COUNTIFS($A$14:$A$1213,$A1107,$C$14:$C$1213,"&gt;=0")+1)/2)</f>
        <v/>
      </c>
      <c r="Y1107" s="27">
        <f>IF(OR(NOT(ISNUMBER($W1107)),$AO1107=1),"",$W1107-(COUNTIFS($A$14:$A$1213,$A1107,$F$14:$F$1213,"&gt;=0")+1)/2)</f>
        <v/>
      </c>
      <c r="Z1107" s="27">
        <f>IF(ISNUMBER($V1107),$A1107&amp;"|"&amp;$V1107,"")</f>
        <v/>
      </c>
      <c r="AA1107" s="27">
        <f>IF(ISNUMBER($W1107),$A1107&amp;"|"&amp;$W1107,"")</f>
        <v/>
      </c>
      <c r="AB1107" s="27">
        <f>IF(ISNUMBER($F1107),$A1107&amp;"|"&amp;$F1107,"")</f>
        <v/>
      </c>
      <c r="AC1107" s="27">
        <f>IF(ISNUMBER($P1107),COUNTIFS($A$14:$A$1213,$A1107,$P$14:$P$1213,"&gt;"&amp;$P1107)+(COUNTIFS($A$14:$A$1213,$A1107,$P$14:$P$1213,"="&amp;$P1107)+1)/2,"")</f>
        <v/>
      </c>
      <c r="AD1107" s="27">
        <f>IF(ISNUMBER($Q1107),COUNTIFS($A$14:$A$1213,$A1107,$Q$14:$Q$1213,"&gt;"&amp;$Q1107)+(COUNTIFS($A$14:$A$1213,$A1107,$Q$14:$Q$1213,"="&amp;$Q1107)+1)/2,"")</f>
        <v/>
      </c>
      <c r="AE1107" s="27">
        <f>IF(ISNUMBER($R1107),COUNTIFS($A$14:$A$1213,$A1107,$R$14:$R$1213,"&gt;"&amp;$R1107)+(COUNTIFS($A$14:$A$1213,$A1107,$R$14:$R$1213,"="&amp;$R1107)+1)/2,"")</f>
        <v/>
      </c>
      <c r="AF1107" s="27">
        <f>IF(ISNUMBER($S1107),COUNTIFS($A$14:$A$1213,$A1107,$S$14:$S$1213,"&gt;"&amp;$S1107)+(COUNTIFS($A$14:$A$1213,$A1107,$S$14:$S$1213,"="&amp;$S1107)+1)/2,"")</f>
        <v/>
      </c>
      <c r="AG1107" s="27">
        <f>IF(ISNUMBER($T1107),COUNTIFS($A$14:$A$1213,$A1107,$T$14:$T$1213,"&gt;"&amp;$T1107)+(COUNTIFS($A$14:$A$1213,$A1107,$T$14:$T$1213,"="&amp;$T1107)+1)/2,"")</f>
        <v/>
      </c>
      <c r="AH1107" s="27">
        <f>IF(COUNT($AC1107:$AG1107)&lt;2,"",IF(MAX($AC1107:$AG1107)=MIN($AC1107:$AG1107),0,1))</f>
        <v/>
      </c>
      <c r="AI1107" s="27">
        <f>IF($A1107="","",IF(COUNTIF($A$14:$A1107,$A1107)=1,COUNTIF($AI$13:AI1106,"&gt;0")+1,""))</f>
        <v/>
      </c>
      <c r="AO1107" s="27">
        <f>IF($A1107="","",IF(AND(COUNTIFS($A$14:$A$1213,$A1107,$F$14:$F$1213,"&gt;=0")=2,IFERROR(INDEX($M$14:$M$313,MATCH($A1107,$H$14:$H$313,0)),"Yes")&lt;&gt;"Yes"),1,0))</f>
        <v/>
      </c>
    </row>
    <row r="1108">
      <c r="A1108" s="19" t="n"/>
      <c r="B1108" s="20" t="n"/>
      <c r="C1108" s="21">
        <f>IFERROR(AVERAGE(P1108:T1108),"")</f>
        <v/>
      </c>
      <c r="D1108" s="29" t="n"/>
      <c r="E1108" s="29" t="n"/>
      <c r="F1108" s="30">
        <f>IF(AND(ISNUMBER($D1108),ISNUMBER($E1108),$E1108&gt;0,$D1108&lt;=$E1108),$D1108/$E1108,"")</f>
        <v/>
      </c>
      <c r="P1108" s="26" t="n"/>
      <c r="Q1108" s="26" t="n"/>
      <c r="R1108" s="26" t="n"/>
      <c r="S1108" s="26" t="n"/>
      <c r="T1108" s="26" t="n"/>
      <c r="V1108" s="27">
        <f>IF(ISNUMBER($C1108),COUNTIFS($A$14:$A$1213,$A1108,$C$14:$C$1213,"&gt;"&amp;$C1108)+(COUNTIFS($A$14:$A$1213,$A1108,$C$14:$C$1213,"="&amp;$C1108)+1)/2,"")</f>
        <v/>
      </c>
      <c r="W1108" s="27">
        <f>IF(ISNUMBER($F1108),COUNTIFS($A$14:$A$1213,$A1108,$F$14:$F$1213,"&gt;"&amp;$F1108)+(COUNTIFS($A$14:$A$1213,$A1108,$F$14:$F$1213,"="&amp;$F1108)+1)/2,"")</f>
        <v/>
      </c>
      <c r="X1108" s="27">
        <f>IF(OR(NOT(ISNUMBER($V1108)),$AO1108=1),"",$V1108-(COUNTIFS($A$14:$A$1213,$A1108,$C$14:$C$1213,"&gt;=0")+1)/2)</f>
        <v/>
      </c>
      <c r="Y1108" s="27">
        <f>IF(OR(NOT(ISNUMBER($W1108)),$AO1108=1),"",$W1108-(COUNTIFS($A$14:$A$1213,$A1108,$F$14:$F$1213,"&gt;=0")+1)/2)</f>
        <v/>
      </c>
      <c r="Z1108" s="27">
        <f>IF(ISNUMBER($V1108),$A1108&amp;"|"&amp;$V1108,"")</f>
        <v/>
      </c>
      <c r="AA1108" s="27">
        <f>IF(ISNUMBER($W1108),$A1108&amp;"|"&amp;$W1108,"")</f>
        <v/>
      </c>
      <c r="AB1108" s="27">
        <f>IF(ISNUMBER($F1108),$A1108&amp;"|"&amp;$F1108,"")</f>
        <v/>
      </c>
      <c r="AC1108" s="27">
        <f>IF(ISNUMBER($P1108),COUNTIFS($A$14:$A$1213,$A1108,$P$14:$P$1213,"&gt;"&amp;$P1108)+(COUNTIFS($A$14:$A$1213,$A1108,$P$14:$P$1213,"="&amp;$P1108)+1)/2,"")</f>
        <v/>
      </c>
      <c r="AD1108" s="27">
        <f>IF(ISNUMBER($Q1108),COUNTIFS($A$14:$A$1213,$A1108,$Q$14:$Q$1213,"&gt;"&amp;$Q1108)+(COUNTIFS($A$14:$A$1213,$A1108,$Q$14:$Q$1213,"="&amp;$Q1108)+1)/2,"")</f>
        <v/>
      </c>
      <c r="AE1108" s="27">
        <f>IF(ISNUMBER($R1108),COUNTIFS($A$14:$A$1213,$A1108,$R$14:$R$1213,"&gt;"&amp;$R1108)+(COUNTIFS($A$14:$A$1213,$A1108,$R$14:$R$1213,"="&amp;$R1108)+1)/2,"")</f>
        <v/>
      </c>
      <c r="AF1108" s="27">
        <f>IF(ISNUMBER($S1108),COUNTIFS($A$14:$A$1213,$A1108,$S$14:$S$1213,"&gt;"&amp;$S1108)+(COUNTIFS($A$14:$A$1213,$A1108,$S$14:$S$1213,"="&amp;$S1108)+1)/2,"")</f>
        <v/>
      </c>
      <c r="AG1108" s="27">
        <f>IF(ISNUMBER($T1108),COUNTIFS($A$14:$A$1213,$A1108,$T$14:$T$1213,"&gt;"&amp;$T1108)+(COUNTIFS($A$14:$A$1213,$A1108,$T$14:$T$1213,"="&amp;$T1108)+1)/2,"")</f>
        <v/>
      </c>
      <c r="AH1108" s="27">
        <f>IF(COUNT($AC1108:$AG1108)&lt;2,"",IF(MAX($AC1108:$AG1108)=MIN($AC1108:$AG1108),0,1))</f>
        <v/>
      </c>
      <c r="AI1108" s="27">
        <f>IF($A1108="","",IF(COUNTIF($A$14:$A1108,$A1108)=1,COUNTIF($AI$13:AI1107,"&gt;0")+1,""))</f>
        <v/>
      </c>
      <c r="AO1108" s="27">
        <f>IF($A1108="","",IF(AND(COUNTIFS($A$14:$A$1213,$A1108,$F$14:$F$1213,"&gt;=0")=2,IFERROR(INDEX($M$14:$M$313,MATCH($A1108,$H$14:$H$313,0)),"Yes")&lt;&gt;"Yes"),1,0))</f>
        <v/>
      </c>
    </row>
    <row r="1109">
      <c r="A1109" s="19" t="n"/>
      <c r="B1109" s="20" t="n"/>
      <c r="C1109" s="21">
        <f>IFERROR(AVERAGE(P1109:T1109),"")</f>
        <v/>
      </c>
      <c r="D1109" s="29" t="n"/>
      <c r="E1109" s="29" t="n"/>
      <c r="F1109" s="30">
        <f>IF(AND(ISNUMBER($D1109),ISNUMBER($E1109),$E1109&gt;0,$D1109&lt;=$E1109),$D1109/$E1109,"")</f>
        <v/>
      </c>
      <c r="P1109" s="26" t="n"/>
      <c r="Q1109" s="26" t="n"/>
      <c r="R1109" s="26" t="n"/>
      <c r="S1109" s="26" t="n"/>
      <c r="T1109" s="26" t="n"/>
      <c r="V1109" s="27">
        <f>IF(ISNUMBER($C1109),COUNTIFS($A$14:$A$1213,$A1109,$C$14:$C$1213,"&gt;"&amp;$C1109)+(COUNTIFS($A$14:$A$1213,$A1109,$C$14:$C$1213,"="&amp;$C1109)+1)/2,"")</f>
        <v/>
      </c>
      <c r="W1109" s="27">
        <f>IF(ISNUMBER($F1109),COUNTIFS($A$14:$A$1213,$A1109,$F$14:$F$1213,"&gt;"&amp;$F1109)+(COUNTIFS($A$14:$A$1213,$A1109,$F$14:$F$1213,"="&amp;$F1109)+1)/2,"")</f>
        <v/>
      </c>
      <c r="X1109" s="27">
        <f>IF(OR(NOT(ISNUMBER($V1109)),$AO1109=1),"",$V1109-(COUNTIFS($A$14:$A$1213,$A1109,$C$14:$C$1213,"&gt;=0")+1)/2)</f>
        <v/>
      </c>
      <c r="Y1109" s="27">
        <f>IF(OR(NOT(ISNUMBER($W1109)),$AO1109=1),"",$W1109-(COUNTIFS($A$14:$A$1213,$A1109,$F$14:$F$1213,"&gt;=0")+1)/2)</f>
        <v/>
      </c>
      <c r="Z1109" s="27">
        <f>IF(ISNUMBER($V1109),$A1109&amp;"|"&amp;$V1109,"")</f>
        <v/>
      </c>
      <c r="AA1109" s="27">
        <f>IF(ISNUMBER($W1109),$A1109&amp;"|"&amp;$W1109,"")</f>
        <v/>
      </c>
      <c r="AB1109" s="27">
        <f>IF(ISNUMBER($F1109),$A1109&amp;"|"&amp;$F1109,"")</f>
        <v/>
      </c>
      <c r="AC1109" s="27">
        <f>IF(ISNUMBER($P1109),COUNTIFS($A$14:$A$1213,$A1109,$P$14:$P$1213,"&gt;"&amp;$P1109)+(COUNTIFS($A$14:$A$1213,$A1109,$P$14:$P$1213,"="&amp;$P1109)+1)/2,"")</f>
        <v/>
      </c>
      <c r="AD1109" s="27">
        <f>IF(ISNUMBER($Q1109),COUNTIFS($A$14:$A$1213,$A1109,$Q$14:$Q$1213,"&gt;"&amp;$Q1109)+(COUNTIFS($A$14:$A$1213,$A1109,$Q$14:$Q$1213,"="&amp;$Q1109)+1)/2,"")</f>
        <v/>
      </c>
      <c r="AE1109" s="27">
        <f>IF(ISNUMBER($R1109),COUNTIFS($A$14:$A$1213,$A1109,$R$14:$R$1213,"&gt;"&amp;$R1109)+(COUNTIFS($A$14:$A$1213,$A1109,$R$14:$R$1213,"="&amp;$R1109)+1)/2,"")</f>
        <v/>
      </c>
      <c r="AF1109" s="27">
        <f>IF(ISNUMBER($S1109),COUNTIFS($A$14:$A$1213,$A1109,$S$14:$S$1213,"&gt;"&amp;$S1109)+(COUNTIFS($A$14:$A$1213,$A1109,$S$14:$S$1213,"="&amp;$S1109)+1)/2,"")</f>
        <v/>
      </c>
      <c r="AG1109" s="27">
        <f>IF(ISNUMBER($T1109),COUNTIFS($A$14:$A$1213,$A1109,$T$14:$T$1213,"&gt;"&amp;$T1109)+(COUNTIFS($A$14:$A$1213,$A1109,$T$14:$T$1213,"="&amp;$T1109)+1)/2,"")</f>
        <v/>
      </c>
      <c r="AH1109" s="27">
        <f>IF(COUNT($AC1109:$AG1109)&lt;2,"",IF(MAX($AC1109:$AG1109)=MIN($AC1109:$AG1109),0,1))</f>
        <v/>
      </c>
      <c r="AI1109" s="27">
        <f>IF($A1109="","",IF(COUNTIF($A$14:$A1109,$A1109)=1,COUNTIF($AI$13:AI1108,"&gt;0")+1,""))</f>
        <v/>
      </c>
      <c r="AO1109" s="27">
        <f>IF($A1109="","",IF(AND(COUNTIFS($A$14:$A$1213,$A1109,$F$14:$F$1213,"&gt;=0")=2,IFERROR(INDEX($M$14:$M$313,MATCH($A1109,$H$14:$H$313,0)),"Yes")&lt;&gt;"Yes"),1,0))</f>
        <v/>
      </c>
    </row>
    <row r="1110">
      <c r="A1110" s="19" t="n"/>
      <c r="B1110" s="20" t="n"/>
      <c r="C1110" s="21">
        <f>IFERROR(AVERAGE(P1110:T1110),"")</f>
        <v/>
      </c>
      <c r="D1110" s="29" t="n"/>
      <c r="E1110" s="29" t="n"/>
      <c r="F1110" s="30">
        <f>IF(AND(ISNUMBER($D1110),ISNUMBER($E1110),$E1110&gt;0,$D1110&lt;=$E1110),$D1110/$E1110,"")</f>
        <v/>
      </c>
      <c r="P1110" s="26" t="n"/>
      <c r="Q1110" s="26" t="n"/>
      <c r="R1110" s="26" t="n"/>
      <c r="S1110" s="26" t="n"/>
      <c r="T1110" s="26" t="n"/>
      <c r="V1110" s="27">
        <f>IF(ISNUMBER($C1110),COUNTIFS($A$14:$A$1213,$A1110,$C$14:$C$1213,"&gt;"&amp;$C1110)+(COUNTIFS($A$14:$A$1213,$A1110,$C$14:$C$1213,"="&amp;$C1110)+1)/2,"")</f>
        <v/>
      </c>
      <c r="W1110" s="27">
        <f>IF(ISNUMBER($F1110),COUNTIFS($A$14:$A$1213,$A1110,$F$14:$F$1213,"&gt;"&amp;$F1110)+(COUNTIFS($A$14:$A$1213,$A1110,$F$14:$F$1213,"="&amp;$F1110)+1)/2,"")</f>
        <v/>
      </c>
      <c r="X1110" s="27">
        <f>IF(OR(NOT(ISNUMBER($V1110)),$AO1110=1),"",$V1110-(COUNTIFS($A$14:$A$1213,$A1110,$C$14:$C$1213,"&gt;=0")+1)/2)</f>
        <v/>
      </c>
      <c r="Y1110" s="27">
        <f>IF(OR(NOT(ISNUMBER($W1110)),$AO1110=1),"",$W1110-(COUNTIFS($A$14:$A$1213,$A1110,$F$14:$F$1213,"&gt;=0")+1)/2)</f>
        <v/>
      </c>
      <c r="Z1110" s="27">
        <f>IF(ISNUMBER($V1110),$A1110&amp;"|"&amp;$V1110,"")</f>
        <v/>
      </c>
      <c r="AA1110" s="27">
        <f>IF(ISNUMBER($W1110),$A1110&amp;"|"&amp;$W1110,"")</f>
        <v/>
      </c>
      <c r="AB1110" s="27">
        <f>IF(ISNUMBER($F1110),$A1110&amp;"|"&amp;$F1110,"")</f>
        <v/>
      </c>
      <c r="AC1110" s="27">
        <f>IF(ISNUMBER($P1110),COUNTIFS($A$14:$A$1213,$A1110,$P$14:$P$1213,"&gt;"&amp;$P1110)+(COUNTIFS($A$14:$A$1213,$A1110,$P$14:$P$1213,"="&amp;$P1110)+1)/2,"")</f>
        <v/>
      </c>
      <c r="AD1110" s="27">
        <f>IF(ISNUMBER($Q1110),COUNTIFS($A$14:$A$1213,$A1110,$Q$14:$Q$1213,"&gt;"&amp;$Q1110)+(COUNTIFS($A$14:$A$1213,$A1110,$Q$14:$Q$1213,"="&amp;$Q1110)+1)/2,"")</f>
        <v/>
      </c>
      <c r="AE1110" s="27">
        <f>IF(ISNUMBER($R1110),COUNTIFS($A$14:$A$1213,$A1110,$R$14:$R$1213,"&gt;"&amp;$R1110)+(COUNTIFS($A$14:$A$1213,$A1110,$R$14:$R$1213,"="&amp;$R1110)+1)/2,"")</f>
        <v/>
      </c>
      <c r="AF1110" s="27">
        <f>IF(ISNUMBER($S1110),COUNTIFS($A$14:$A$1213,$A1110,$S$14:$S$1213,"&gt;"&amp;$S1110)+(COUNTIFS($A$14:$A$1213,$A1110,$S$14:$S$1213,"="&amp;$S1110)+1)/2,"")</f>
        <v/>
      </c>
      <c r="AG1110" s="27">
        <f>IF(ISNUMBER($T1110),COUNTIFS($A$14:$A$1213,$A1110,$T$14:$T$1213,"&gt;"&amp;$T1110)+(COUNTIFS($A$14:$A$1213,$A1110,$T$14:$T$1213,"="&amp;$T1110)+1)/2,"")</f>
        <v/>
      </c>
      <c r="AH1110" s="27">
        <f>IF(COUNT($AC1110:$AG1110)&lt;2,"",IF(MAX($AC1110:$AG1110)=MIN($AC1110:$AG1110),0,1))</f>
        <v/>
      </c>
      <c r="AI1110" s="27">
        <f>IF($A1110="","",IF(COUNTIF($A$14:$A1110,$A1110)=1,COUNTIF($AI$13:AI1109,"&gt;0")+1,""))</f>
        <v/>
      </c>
      <c r="AO1110" s="27">
        <f>IF($A1110="","",IF(AND(COUNTIFS($A$14:$A$1213,$A1110,$F$14:$F$1213,"&gt;=0")=2,IFERROR(INDEX($M$14:$M$313,MATCH($A1110,$H$14:$H$313,0)),"Yes")&lt;&gt;"Yes"),1,0))</f>
        <v/>
      </c>
    </row>
    <row r="1111">
      <c r="A1111" s="19" t="n"/>
      <c r="B1111" s="20" t="n"/>
      <c r="C1111" s="21">
        <f>IFERROR(AVERAGE(P1111:T1111),"")</f>
        <v/>
      </c>
      <c r="D1111" s="29" t="n"/>
      <c r="E1111" s="29" t="n"/>
      <c r="F1111" s="30">
        <f>IF(AND(ISNUMBER($D1111),ISNUMBER($E1111),$E1111&gt;0,$D1111&lt;=$E1111),$D1111/$E1111,"")</f>
        <v/>
      </c>
      <c r="P1111" s="26" t="n"/>
      <c r="Q1111" s="26" t="n"/>
      <c r="R1111" s="26" t="n"/>
      <c r="S1111" s="26" t="n"/>
      <c r="T1111" s="26" t="n"/>
      <c r="V1111" s="27">
        <f>IF(ISNUMBER($C1111),COUNTIFS($A$14:$A$1213,$A1111,$C$14:$C$1213,"&gt;"&amp;$C1111)+(COUNTIFS($A$14:$A$1213,$A1111,$C$14:$C$1213,"="&amp;$C1111)+1)/2,"")</f>
        <v/>
      </c>
      <c r="W1111" s="27">
        <f>IF(ISNUMBER($F1111),COUNTIFS($A$14:$A$1213,$A1111,$F$14:$F$1213,"&gt;"&amp;$F1111)+(COUNTIFS($A$14:$A$1213,$A1111,$F$14:$F$1213,"="&amp;$F1111)+1)/2,"")</f>
        <v/>
      </c>
      <c r="X1111" s="27">
        <f>IF(OR(NOT(ISNUMBER($V1111)),$AO1111=1),"",$V1111-(COUNTIFS($A$14:$A$1213,$A1111,$C$14:$C$1213,"&gt;=0")+1)/2)</f>
        <v/>
      </c>
      <c r="Y1111" s="27">
        <f>IF(OR(NOT(ISNUMBER($W1111)),$AO1111=1),"",$W1111-(COUNTIFS($A$14:$A$1213,$A1111,$F$14:$F$1213,"&gt;=0")+1)/2)</f>
        <v/>
      </c>
      <c r="Z1111" s="27">
        <f>IF(ISNUMBER($V1111),$A1111&amp;"|"&amp;$V1111,"")</f>
        <v/>
      </c>
      <c r="AA1111" s="27">
        <f>IF(ISNUMBER($W1111),$A1111&amp;"|"&amp;$W1111,"")</f>
        <v/>
      </c>
      <c r="AB1111" s="27">
        <f>IF(ISNUMBER($F1111),$A1111&amp;"|"&amp;$F1111,"")</f>
        <v/>
      </c>
      <c r="AC1111" s="27">
        <f>IF(ISNUMBER($P1111),COUNTIFS($A$14:$A$1213,$A1111,$P$14:$P$1213,"&gt;"&amp;$P1111)+(COUNTIFS($A$14:$A$1213,$A1111,$P$14:$P$1213,"="&amp;$P1111)+1)/2,"")</f>
        <v/>
      </c>
      <c r="AD1111" s="27">
        <f>IF(ISNUMBER($Q1111),COUNTIFS($A$14:$A$1213,$A1111,$Q$14:$Q$1213,"&gt;"&amp;$Q1111)+(COUNTIFS($A$14:$A$1213,$A1111,$Q$14:$Q$1213,"="&amp;$Q1111)+1)/2,"")</f>
        <v/>
      </c>
      <c r="AE1111" s="27">
        <f>IF(ISNUMBER($R1111),COUNTIFS($A$14:$A$1213,$A1111,$R$14:$R$1213,"&gt;"&amp;$R1111)+(COUNTIFS($A$14:$A$1213,$A1111,$R$14:$R$1213,"="&amp;$R1111)+1)/2,"")</f>
        <v/>
      </c>
      <c r="AF1111" s="27">
        <f>IF(ISNUMBER($S1111),COUNTIFS($A$14:$A$1213,$A1111,$S$14:$S$1213,"&gt;"&amp;$S1111)+(COUNTIFS($A$14:$A$1213,$A1111,$S$14:$S$1213,"="&amp;$S1111)+1)/2,"")</f>
        <v/>
      </c>
      <c r="AG1111" s="27">
        <f>IF(ISNUMBER($T1111),COUNTIFS($A$14:$A$1213,$A1111,$T$14:$T$1213,"&gt;"&amp;$T1111)+(COUNTIFS($A$14:$A$1213,$A1111,$T$14:$T$1213,"="&amp;$T1111)+1)/2,"")</f>
        <v/>
      </c>
      <c r="AH1111" s="27">
        <f>IF(COUNT($AC1111:$AG1111)&lt;2,"",IF(MAX($AC1111:$AG1111)=MIN($AC1111:$AG1111),0,1))</f>
        <v/>
      </c>
      <c r="AI1111" s="27">
        <f>IF($A1111="","",IF(COUNTIF($A$14:$A1111,$A1111)=1,COUNTIF($AI$13:AI1110,"&gt;0")+1,""))</f>
        <v/>
      </c>
      <c r="AO1111" s="27">
        <f>IF($A1111="","",IF(AND(COUNTIFS($A$14:$A$1213,$A1111,$F$14:$F$1213,"&gt;=0")=2,IFERROR(INDEX($M$14:$M$313,MATCH($A1111,$H$14:$H$313,0)),"Yes")&lt;&gt;"Yes"),1,0))</f>
        <v/>
      </c>
    </row>
    <row r="1112">
      <c r="A1112" s="19" t="n"/>
      <c r="B1112" s="20" t="n"/>
      <c r="C1112" s="21">
        <f>IFERROR(AVERAGE(P1112:T1112),"")</f>
        <v/>
      </c>
      <c r="D1112" s="29" t="n"/>
      <c r="E1112" s="29" t="n"/>
      <c r="F1112" s="30">
        <f>IF(AND(ISNUMBER($D1112),ISNUMBER($E1112),$E1112&gt;0,$D1112&lt;=$E1112),$D1112/$E1112,"")</f>
        <v/>
      </c>
      <c r="P1112" s="26" t="n"/>
      <c r="Q1112" s="26" t="n"/>
      <c r="R1112" s="26" t="n"/>
      <c r="S1112" s="26" t="n"/>
      <c r="T1112" s="26" t="n"/>
      <c r="V1112" s="27">
        <f>IF(ISNUMBER($C1112),COUNTIFS($A$14:$A$1213,$A1112,$C$14:$C$1213,"&gt;"&amp;$C1112)+(COUNTIFS($A$14:$A$1213,$A1112,$C$14:$C$1213,"="&amp;$C1112)+1)/2,"")</f>
        <v/>
      </c>
      <c r="W1112" s="27">
        <f>IF(ISNUMBER($F1112),COUNTIFS($A$14:$A$1213,$A1112,$F$14:$F$1213,"&gt;"&amp;$F1112)+(COUNTIFS($A$14:$A$1213,$A1112,$F$14:$F$1213,"="&amp;$F1112)+1)/2,"")</f>
        <v/>
      </c>
      <c r="X1112" s="27">
        <f>IF(OR(NOT(ISNUMBER($V1112)),$AO1112=1),"",$V1112-(COUNTIFS($A$14:$A$1213,$A1112,$C$14:$C$1213,"&gt;=0")+1)/2)</f>
        <v/>
      </c>
      <c r="Y1112" s="27">
        <f>IF(OR(NOT(ISNUMBER($W1112)),$AO1112=1),"",$W1112-(COUNTIFS($A$14:$A$1213,$A1112,$F$14:$F$1213,"&gt;=0")+1)/2)</f>
        <v/>
      </c>
      <c r="Z1112" s="27">
        <f>IF(ISNUMBER($V1112),$A1112&amp;"|"&amp;$V1112,"")</f>
        <v/>
      </c>
      <c r="AA1112" s="27">
        <f>IF(ISNUMBER($W1112),$A1112&amp;"|"&amp;$W1112,"")</f>
        <v/>
      </c>
      <c r="AB1112" s="27">
        <f>IF(ISNUMBER($F1112),$A1112&amp;"|"&amp;$F1112,"")</f>
        <v/>
      </c>
      <c r="AC1112" s="27">
        <f>IF(ISNUMBER($P1112),COUNTIFS($A$14:$A$1213,$A1112,$P$14:$P$1213,"&gt;"&amp;$P1112)+(COUNTIFS($A$14:$A$1213,$A1112,$P$14:$P$1213,"="&amp;$P1112)+1)/2,"")</f>
        <v/>
      </c>
      <c r="AD1112" s="27">
        <f>IF(ISNUMBER($Q1112),COUNTIFS($A$14:$A$1213,$A1112,$Q$14:$Q$1213,"&gt;"&amp;$Q1112)+(COUNTIFS($A$14:$A$1213,$A1112,$Q$14:$Q$1213,"="&amp;$Q1112)+1)/2,"")</f>
        <v/>
      </c>
      <c r="AE1112" s="27">
        <f>IF(ISNUMBER($R1112),COUNTIFS($A$14:$A$1213,$A1112,$R$14:$R$1213,"&gt;"&amp;$R1112)+(COUNTIFS($A$14:$A$1213,$A1112,$R$14:$R$1213,"="&amp;$R1112)+1)/2,"")</f>
        <v/>
      </c>
      <c r="AF1112" s="27">
        <f>IF(ISNUMBER($S1112),COUNTIFS($A$14:$A$1213,$A1112,$S$14:$S$1213,"&gt;"&amp;$S1112)+(COUNTIFS($A$14:$A$1213,$A1112,$S$14:$S$1213,"="&amp;$S1112)+1)/2,"")</f>
        <v/>
      </c>
      <c r="AG1112" s="27">
        <f>IF(ISNUMBER($T1112),COUNTIFS($A$14:$A$1213,$A1112,$T$14:$T$1213,"&gt;"&amp;$T1112)+(COUNTIFS($A$14:$A$1213,$A1112,$T$14:$T$1213,"="&amp;$T1112)+1)/2,"")</f>
        <v/>
      </c>
      <c r="AH1112" s="27">
        <f>IF(COUNT($AC1112:$AG1112)&lt;2,"",IF(MAX($AC1112:$AG1112)=MIN($AC1112:$AG1112),0,1))</f>
        <v/>
      </c>
      <c r="AI1112" s="27">
        <f>IF($A1112="","",IF(COUNTIF($A$14:$A1112,$A1112)=1,COUNTIF($AI$13:AI1111,"&gt;0")+1,""))</f>
        <v/>
      </c>
      <c r="AO1112" s="27">
        <f>IF($A1112="","",IF(AND(COUNTIFS($A$14:$A$1213,$A1112,$F$14:$F$1213,"&gt;=0")=2,IFERROR(INDEX($M$14:$M$313,MATCH($A1112,$H$14:$H$313,0)),"Yes")&lt;&gt;"Yes"),1,0))</f>
        <v/>
      </c>
    </row>
    <row r="1113">
      <c r="A1113" s="19" t="n"/>
      <c r="B1113" s="20" t="n"/>
      <c r="C1113" s="21">
        <f>IFERROR(AVERAGE(P1113:T1113),"")</f>
        <v/>
      </c>
      <c r="D1113" s="29" t="n"/>
      <c r="E1113" s="29" t="n"/>
      <c r="F1113" s="30">
        <f>IF(AND(ISNUMBER($D1113),ISNUMBER($E1113),$E1113&gt;0,$D1113&lt;=$E1113),$D1113/$E1113,"")</f>
        <v/>
      </c>
      <c r="P1113" s="26" t="n"/>
      <c r="Q1113" s="26" t="n"/>
      <c r="R1113" s="26" t="n"/>
      <c r="S1113" s="26" t="n"/>
      <c r="T1113" s="26" t="n"/>
      <c r="V1113" s="27">
        <f>IF(ISNUMBER($C1113),COUNTIFS($A$14:$A$1213,$A1113,$C$14:$C$1213,"&gt;"&amp;$C1113)+(COUNTIFS($A$14:$A$1213,$A1113,$C$14:$C$1213,"="&amp;$C1113)+1)/2,"")</f>
        <v/>
      </c>
      <c r="W1113" s="27">
        <f>IF(ISNUMBER($F1113),COUNTIFS($A$14:$A$1213,$A1113,$F$14:$F$1213,"&gt;"&amp;$F1113)+(COUNTIFS($A$14:$A$1213,$A1113,$F$14:$F$1213,"="&amp;$F1113)+1)/2,"")</f>
        <v/>
      </c>
      <c r="X1113" s="27">
        <f>IF(OR(NOT(ISNUMBER($V1113)),$AO1113=1),"",$V1113-(COUNTIFS($A$14:$A$1213,$A1113,$C$14:$C$1213,"&gt;=0")+1)/2)</f>
        <v/>
      </c>
      <c r="Y1113" s="27">
        <f>IF(OR(NOT(ISNUMBER($W1113)),$AO1113=1),"",$W1113-(COUNTIFS($A$14:$A$1213,$A1113,$F$14:$F$1213,"&gt;=0")+1)/2)</f>
        <v/>
      </c>
      <c r="Z1113" s="27">
        <f>IF(ISNUMBER($V1113),$A1113&amp;"|"&amp;$V1113,"")</f>
        <v/>
      </c>
      <c r="AA1113" s="27">
        <f>IF(ISNUMBER($W1113),$A1113&amp;"|"&amp;$W1113,"")</f>
        <v/>
      </c>
      <c r="AB1113" s="27">
        <f>IF(ISNUMBER($F1113),$A1113&amp;"|"&amp;$F1113,"")</f>
        <v/>
      </c>
      <c r="AC1113" s="27">
        <f>IF(ISNUMBER($P1113),COUNTIFS($A$14:$A$1213,$A1113,$P$14:$P$1213,"&gt;"&amp;$P1113)+(COUNTIFS($A$14:$A$1213,$A1113,$P$14:$P$1213,"="&amp;$P1113)+1)/2,"")</f>
        <v/>
      </c>
      <c r="AD1113" s="27">
        <f>IF(ISNUMBER($Q1113),COUNTIFS($A$14:$A$1213,$A1113,$Q$14:$Q$1213,"&gt;"&amp;$Q1113)+(COUNTIFS($A$14:$A$1213,$A1113,$Q$14:$Q$1213,"="&amp;$Q1113)+1)/2,"")</f>
        <v/>
      </c>
      <c r="AE1113" s="27">
        <f>IF(ISNUMBER($R1113),COUNTIFS($A$14:$A$1213,$A1113,$R$14:$R$1213,"&gt;"&amp;$R1113)+(COUNTIFS($A$14:$A$1213,$A1113,$R$14:$R$1213,"="&amp;$R1113)+1)/2,"")</f>
        <v/>
      </c>
      <c r="AF1113" s="27">
        <f>IF(ISNUMBER($S1113),COUNTIFS($A$14:$A$1213,$A1113,$S$14:$S$1213,"&gt;"&amp;$S1113)+(COUNTIFS($A$14:$A$1213,$A1113,$S$14:$S$1213,"="&amp;$S1113)+1)/2,"")</f>
        <v/>
      </c>
      <c r="AG1113" s="27">
        <f>IF(ISNUMBER($T1113),COUNTIFS($A$14:$A$1213,$A1113,$T$14:$T$1213,"&gt;"&amp;$T1113)+(COUNTIFS($A$14:$A$1213,$A1113,$T$14:$T$1213,"="&amp;$T1113)+1)/2,"")</f>
        <v/>
      </c>
      <c r="AH1113" s="27">
        <f>IF(COUNT($AC1113:$AG1113)&lt;2,"",IF(MAX($AC1113:$AG1113)=MIN($AC1113:$AG1113),0,1))</f>
        <v/>
      </c>
      <c r="AI1113" s="27">
        <f>IF($A1113="","",IF(COUNTIF($A$14:$A1113,$A1113)=1,COUNTIF($AI$13:AI1112,"&gt;0")+1,""))</f>
        <v/>
      </c>
      <c r="AO1113" s="27">
        <f>IF($A1113="","",IF(AND(COUNTIFS($A$14:$A$1213,$A1113,$F$14:$F$1213,"&gt;=0")=2,IFERROR(INDEX($M$14:$M$313,MATCH($A1113,$H$14:$H$313,0)),"Yes")&lt;&gt;"Yes"),1,0))</f>
        <v/>
      </c>
    </row>
    <row r="1114">
      <c r="A1114" s="19" t="n"/>
      <c r="B1114" s="20" t="n"/>
      <c r="C1114" s="21">
        <f>IFERROR(AVERAGE(P1114:T1114),"")</f>
        <v/>
      </c>
      <c r="D1114" s="29" t="n"/>
      <c r="E1114" s="29" t="n"/>
      <c r="F1114" s="30">
        <f>IF(AND(ISNUMBER($D1114),ISNUMBER($E1114),$E1114&gt;0,$D1114&lt;=$E1114),$D1114/$E1114,"")</f>
        <v/>
      </c>
      <c r="P1114" s="26" t="n"/>
      <c r="Q1114" s="26" t="n"/>
      <c r="R1114" s="26" t="n"/>
      <c r="S1114" s="26" t="n"/>
      <c r="T1114" s="26" t="n"/>
      <c r="V1114" s="27">
        <f>IF(ISNUMBER($C1114),COUNTIFS($A$14:$A$1213,$A1114,$C$14:$C$1213,"&gt;"&amp;$C1114)+(COUNTIFS($A$14:$A$1213,$A1114,$C$14:$C$1213,"="&amp;$C1114)+1)/2,"")</f>
        <v/>
      </c>
      <c r="W1114" s="27">
        <f>IF(ISNUMBER($F1114),COUNTIFS($A$14:$A$1213,$A1114,$F$14:$F$1213,"&gt;"&amp;$F1114)+(COUNTIFS($A$14:$A$1213,$A1114,$F$14:$F$1213,"="&amp;$F1114)+1)/2,"")</f>
        <v/>
      </c>
      <c r="X1114" s="27">
        <f>IF(OR(NOT(ISNUMBER($V1114)),$AO1114=1),"",$V1114-(COUNTIFS($A$14:$A$1213,$A1114,$C$14:$C$1213,"&gt;=0")+1)/2)</f>
        <v/>
      </c>
      <c r="Y1114" s="27">
        <f>IF(OR(NOT(ISNUMBER($W1114)),$AO1114=1),"",$W1114-(COUNTIFS($A$14:$A$1213,$A1114,$F$14:$F$1213,"&gt;=0")+1)/2)</f>
        <v/>
      </c>
      <c r="Z1114" s="27">
        <f>IF(ISNUMBER($V1114),$A1114&amp;"|"&amp;$V1114,"")</f>
        <v/>
      </c>
      <c r="AA1114" s="27">
        <f>IF(ISNUMBER($W1114),$A1114&amp;"|"&amp;$W1114,"")</f>
        <v/>
      </c>
      <c r="AB1114" s="27">
        <f>IF(ISNUMBER($F1114),$A1114&amp;"|"&amp;$F1114,"")</f>
        <v/>
      </c>
      <c r="AC1114" s="27">
        <f>IF(ISNUMBER($P1114),COUNTIFS($A$14:$A$1213,$A1114,$P$14:$P$1213,"&gt;"&amp;$P1114)+(COUNTIFS($A$14:$A$1213,$A1114,$P$14:$P$1213,"="&amp;$P1114)+1)/2,"")</f>
        <v/>
      </c>
      <c r="AD1114" s="27">
        <f>IF(ISNUMBER($Q1114),COUNTIFS($A$14:$A$1213,$A1114,$Q$14:$Q$1213,"&gt;"&amp;$Q1114)+(COUNTIFS($A$14:$A$1213,$A1114,$Q$14:$Q$1213,"="&amp;$Q1114)+1)/2,"")</f>
        <v/>
      </c>
      <c r="AE1114" s="27">
        <f>IF(ISNUMBER($R1114),COUNTIFS($A$14:$A$1213,$A1114,$R$14:$R$1213,"&gt;"&amp;$R1114)+(COUNTIFS($A$14:$A$1213,$A1114,$R$14:$R$1213,"="&amp;$R1114)+1)/2,"")</f>
        <v/>
      </c>
      <c r="AF1114" s="27">
        <f>IF(ISNUMBER($S1114),COUNTIFS($A$14:$A$1213,$A1114,$S$14:$S$1213,"&gt;"&amp;$S1114)+(COUNTIFS($A$14:$A$1213,$A1114,$S$14:$S$1213,"="&amp;$S1114)+1)/2,"")</f>
        <v/>
      </c>
      <c r="AG1114" s="27">
        <f>IF(ISNUMBER($T1114),COUNTIFS($A$14:$A$1213,$A1114,$T$14:$T$1213,"&gt;"&amp;$T1114)+(COUNTIFS($A$14:$A$1213,$A1114,$T$14:$T$1213,"="&amp;$T1114)+1)/2,"")</f>
        <v/>
      </c>
      <c r="AH1114" s="27">
        <f>IF(COUNT($AC1114:$AG1114)&lt;2,"",IF(MAX($AC1114:$AG1114)=MIN($AC1114:$AG1114),0,1))</f>
        <v/>
      </c>
      <c r="AI1114" s="27">
        <f>IF($A1114="","",IF(COUNTIF($A$14:$A1114,$A1114)=1,COUNTIF($AI$13:AI1113,"&gt;0")+1,""))</f>
        <v/>
      </c>
      <c r="AO1114" s="27">
        <f>IF($A1114="","",IF(AND(COUNTIFS($A$14:$A$1213,$A1114,$F$14:$F$1213,"&gt;=0")=2,IFERROR(INDEX($M$14:$M$313,MATCH($A1114,$H$14:$H$313,0)),"Yes")&lt;&gt;"Yes"),1,0))</f>
        <v/>
      </c>
    </row>
    <row r="1115">
      <c r="A1115" s="19" t="n"/>
      <c r="B1115" s="20" t="n"/>
      <c r="C1115" s="21">
        <f>IFERROR(AVERAGE(P1115:T1115),"")</f>
        <v/>
      </c>
      <c r="D1115" s="29" t="n"/>
      <c r="E1115" s="29" t="n"/>
      <c r="F1115" s="30">
        <f>IF(AND(ISNUMBER($D1115),ISNUMBER($E1115),$E1115&gt;0,$D1115&lt;=$E1115),$D1115/$E1115,"")</f>
        <v/>
      </c>
      <c r="P1115" s="26" t="n"/>
      <c r="Q1115" s="26" t="n"/>
      <c r="R1115" s="26" t="n"/>
      <c r="S1115" s="26" t="n"/>
      <c r="T1115" s="26" t="n"/>
      <c r="V1115" s="27">
        <f>IF(ISNUMBER($C1115),COUNTIFS($A$14:$A$1213,$A1115,$C$14:$C$1213,"&gt;"&amp;$C1115)+(COUNTIFS($A$14:$A$1213,$A1115,$C$14:$C$1213,"="&amp;$C1115)+1)/2,"")</f>
        <v/>
      </c>
      <c r="W1115" s="27">
        <f>IF(ISNUMBER($F1115),COUNTIFS($A$14:$A$1213,$A1115,$F$14:$F$1213,"&gt;"&amp;$F1115)+(COUNTIFS($A$14:$A$1213,$A1115,$F$14:$F$1213,"="&amp;$F1115)+1)/2,"")</f>
        <v/>
      </c>
      <c r="X1115" s="27">
        <f>IF(OR(NOT(ISNUMBER($V1115)),$AO1115=1),"",$V1115-(COUNTIFS($A$14:$A$1213,$A1115,$C$14:$C$1213,"&gt;=0")+1)/2)</f>
        <v/>
      </c>
      <c r="Y1115" s="27">
        <f>IF(OR(NOT(ISNUMBER($W1115)),$AO1115=1),"",$W1115-(COUNTIFS($A$14:$A$1213,$A1115,$F$14:$F$1213,"&gt;=0")+1)/2)</f>
        <v/>
      </c>
      <c r="Z1115" s="27">
        <f>IF(ISNUMBER($V1115),$A1115&amp;"|"&amp;$V1115,"")</f>
        <v/>
      </c>
      <c r="AA1115" s="27">
        <f>IF(ISNUMBER($W1115),$A1115&amp;"|"&amp;$W1115,"")</f>
        <v/>
      </c>
      <c r="AB1115" s="27">
        <f>IF(ISNUMBER($F1115),$A1115&amp;"|"&amp;$F1115,"")</f>
        <v/>
      </c>
      <c r="AC1115" s="27">
        <f>IF(ISNUMBER($P1115),COUNTIFS($A$14:$A$1213,$A1115,$P$14:$P$1213,"&gt;"&amp;$P1115)+(COUNTIFS($A$14:$A$1213,$A1115,$P$14:$P$1213,"="&amp;$P1115)+1)/2,"")</f>
        <v/>
      </c>
      <c r="AD1115" s="27">
        <f>IF(ISNUMBER($Q1115),COUNTIFS($A$14:$A$1213,$A1115,$Q$14:$Q$1213,"&gt;"&amp;$Q1115)+(COUNTIFS($A$14:$A$1213,$A1115,$Q$14:$Q$1213,"="&amp;$Q1115)+1)/2,"")</f>
        <v/>
      </c>
      <c r="AE1115" s="27">
        <f>IF(ISNUMBER($R1115),COUNTIFS($A$14:$A$1213,$A1115,$R$14:$R$1213,"&gt;"&amp;$R1115)+(COUNTIFS($A$14:$A$1213,$A1115,$R$14:$R$1213,"="&amp;$R1115)+1)/2,"")</f>
        <v/>
      </c>
      <c r="AF1115" s="27">
        <f>IF(ISNUMBER($S1115),COUNTIFS($A$14:$A$1213,$A1115,$S$14:$S$1213,"&gt;"&amp;$S1115)+(COUNTIFS($A$14:$A$1213,$A1115,$S$14:$S$1213,"="&amp;$S1115)+1)/2,"")</f>
        <v/>
      </c>
      <c r="AG1115" s="27">
        <f>IF(ISNUMBER($T1115),COUNTIFS($A$14:$A$1213,$A1115,$T$14:$T$1213,"&gt;"&amp;$T1115)+(COUNTIFS($A$14:$A$1213,$A1115,$T$14:$T$1213,"="&amp;$T1115)+1)/2,"")</f>
        <v/>
      </c>
      <c r="AH1115" s="27">
        <f>IF(COUNT($AC1115:$AG1115)&lt;2,"",IF(MAX($AC1115:$AG1115)=MIN($AC1115:$AG1115),0,1))</f>
        <v/>
      </c>
      <c r="AI1115" s="27">
        <f>IF($A1115="","",IF(COUNTIF($A$14:$A1115,$A1115)=1,COUNTIF($AI$13:AI1114,"&gt;0")+1,""))</f>
        <v/>
      </c>
      <c r="AO1115" s="27">
        <f>IF($A1115="","",IF(AND(COUNTIFS($A$14:$A$1213,$A1115,$F$14:$F$1213,"&gt;=0")=2,IFERROR(INDEX($M$14:$M$313,MATCH($A1115,$H$14:$H$313,0)),"Yes")&lt;&gt;"Yes"),1,0))</f>
        <v/>
      </c>
    </row>
    <row r="1116">
      <c r="A1116" s="19" t="n"/>
      <c r="B1116" s="20" t="n"/>
      <c r="C1116" s="21">
        <f>IFERROR(AVERAGE(P1116:T1116),"")</f>
        <v/>
      </c>
      <c r="D1116" s="29" t="n"/>
      <c r="E1116" s="29" t="n"/>
      <c r="F1116" s="30">
        <f>IF(AND(ISNUMBER($D1116),ISNUMBER($E1116),$E1116&gt;0,$D1116&lt;=$E1116),$D1116/$E1116,"")</f>
        <v/>
      </c>
      <c r="P1116" s="26" t="n"/>
      <c r="Q1116" s="26" t="n"/>
      <c r="R1116" s="26" t="n"/>
      <c r="S1116" s="26" t="n"/>
      <c r="T1116" s="26" t="n"/>
      <c r="V1116" s="27">
        <f>IF(ISNUMBER($C1116),COUNTIFS($A$14:$A$1213,$A1116,$C$14:$C$1213,"&gt;"&amp;$C1116)+(COUNTIFS($A$14:$A$1213,$A1116,$C$14:$C$1213,"="&amp;$C1116)+1)/2,"")</f>
        <v/>
      </c>
      <c r="W1116" s="27">
        <f>IF(ISNUMBER($F1116),COUNTIFS($A$14:$A$1213,$A1116,$F$14:$F$1213,"&gt;"&amp;$F1116)+(COUNTIFS($A$14:$A$1213,$A1116,$F$14:$F$1213,"="&amp;$F1116)+1)/2,"")</f>
        <v/>
      </c>
      <c r="X1116" s="27">
        <f>IF(OR(NOT(ISNUMBER($V1116)),$AO1116=1),"",$V1116-(COUNTIFS($A$14:$A$1213,$A1116,$C$14:$C$1213,"&gt;=0")+1)/2)</f>
        <v/>
      </c>
      <c r="Y1116" s="27">
        <f>IF(OR(NOT(ISNUMBER($W1116)),$AO1116=1),"",$W1116-(COUNTIFS($A$14:$A$1213,$A1116,$F$14:$F$1213,"&gt;=0")+1)/2)</f>
        <v/>
      </c>
      <c r="Z1116" s="27">
        <f>IF(ISNUMBER($V1116),$A1116&amp;"|"&amp;$V1116,"")</f>
        <v/>
      </c>
      <c r="AA1116" s="27">
        <f>IF(ISNUMBER($W1116),$A1116&amp;"|"&amp;$W1116,"")</f>
        <v/>
      </c>
      <c r="AB1116" s="27">
        <f>IF(ISNUMBER($F1116),$A1116&amp;"|"&amp;$F1116,"")</f>
        <v/>
      </c>
      <c r="AC1116" s="27">
        <f>IF(ISNUMBER($P1116),COUNTIFS($A$14:$A$1213,$A1116,$P$14:$P$1213,"&gt;"&amp;$P1116)+(COUNTIFS($A$14:$A$1213,$A1116,$P$14:$P$1213,"="&amp;$P1116)+1)/2,"")</f>
        <v/>
      </c>
      <c r="AD1116" s="27">
        <f>IF(ISNUMBER($Q1116),COUNTIFS($A$14:$A$1213,$A1116,$Q$14:$Q$1213,"&gt;"&amp;$Q1116)+(COUNTIFS($A$14:$A$1213,$A1116,$Q$14:$Q$1213,"="&amp;$Q1116)+1)/2,"")</f>
        <v/>
      </c>
      <c r="AE1116" s="27">
        <f>IF(ISNUMBER($R1116),COUNTIFS($A$14:$A$1213,$A1116,$R$14:$R$1213,"&gt;"&amp;$R1116)+(COUNTIFS($A$14:$A$1213,$A1116,$R$14:$R$1213,"="&amp;$R1116)+1)/2,"")</f>
        <v/>
      </c>
      <c r="AF1116" s="27">
        <f>IF(ISNUMBER($S1116),COUNTIFS($A$14:$A$1213,$A1116,$S$14:$S$1213,"&gt;"&amp;$S1116)+(COUNTIFS($A$14:$A$1213,$A1116,$S$14:$S$1213,"="&amp;$S1116)+1)/2,"")</f>
        <v/>
      </c>
      <c r="AG1116" s="27">
        <f>IF(ISNUMBER($T1116),COUNTIFS($A$14:$A$1213,$A1116,$T$14:$T$1213,"&gt;"&amp;$T1116)+(COUNTIFS($A$14:$A$1213,$A1116,$T$14:$T$1213,"="&amp;$T1116)+1)/2,"")</f>
        <v/>
      </c>
      <c r="AH1116" s="27">
        <f>IF(COUNT($AC1116:$AG1116)&lt;2,"",IF(MAX($AC1116:$AG1116)=MIN($AC1116:$AG1116),0,1))</f>
        <v/>
      </c>
      <c r="AI1116" s="27">
        <f>IF($A1116="","",IF(COUNTIF($A$14:$A1116,$A1116)=1,COUNTIF($AI$13:AI1115,"&gt;0")+1,""))</f>
        <v/>
      </c>
      <c r="AO1116" s="27">
        <f>IF($A1116="","",IF(AND(COUNTIFS($A$14:$A$1213,$A1116,$F$14:$F$1213,"&gt;=0")=2,IFERROR(INDEX($M$14:$M$313,MATCH($A1116,$H$14:$H$313,0)),"Yes")&lt;&gt;"Yes"),1,0))</f>
        <v/>
      </c>
    </row>
    <row r="1117">
      <c r="A1117" s="19" t="n"/>
      <c r="B1117" s="20" t="n"/>
      <c r="C1117" s="21">
        <f>IFERROR(AVERAGE(P1117:T1117),"")</f>
        <v/>
      </c>
      <c r="D1117" s="29" t="n"/>
      <c r="E1117" s="29" t="n"/>
      <c r="F1117" s="30">
        <f>IF(AND(ISNUMBER($D1117),ISNUMBER($E1117),$E1117&gt;0,$D1117&lt;=$E1117),$D1117/$E1117,"")</f>
        <v/>
      </c>
      <c r="P1117" s="26" t="n"/>
      <c r="Q1117" s="26" t="n"/>
      <c r="R1117" s="26" t="n"/>
      <c r="S1117" s="26" t="n"/>
      <c r="T1117" s="26" t="n"/>
      <c r="V1117" s="27">
        <f>IF(ISNUMBER($C1117),COUNTIFS($A$14:$A$1213,$A1117,$C$14:$C$1213,"&gt;"&amp;$C1117)+(COUNTIFS($A$14:$A$1213,$A1117,$C$14:$C$1213,"="&amp;$C1117)+1)/2,"")</f>
        <v/>
      </c>
      <c r="W1117" s="27">
        <f>IF(ISNUMBER($F1117),COUNTIFS($A$14:$A$1213,$A1117,$F$14:$F$1213,"&gt;"&amp;$F1117)+(COUNTIFS($A$14:$A$1213,$A1117,$F$14:$F$1213,"="&amp;$F1117)+1)/2,"")</f>
        <v/>
      </c>
      <c r="X1117" s="27">
        <f>IF(OR(NOT(ISNUMBER($V1117)),$AO1117=1),"",$V1117-(COUNTIFS($A$14:$A$1213,$A1117,$C$14:$C$1213,"&gt;=0")+1)/2)</f>
        <v/>
      </c>
      <c r="Y1117" s="27">
        <f>IF(OR(NOT(ISNUMBER($W1117)),$AO1117=1),"",$W1117-(COUNTIFS($A$14:$A$1213,$A1117,$F$14:$F$1213,"&gt;=0")+1)/2)</f>
        <v/>
      </c>
      <c r="Z1117" s="27">
        <f>IF(ISNUMBER($V1117),$A1117&amp;"|"&amp;$V1117,"")</f>
        <v/>
      </c>
      <c r="AA1117" s="27">
        <f>IF(ISNUMBER($W1117),$A1117&amp;"|"&amp;$W1117,"")</f>
        <v/>
      </c>
      <c r="AB1117" s="27">
        <f>IF(ISNUMBER($F1117),$A1117&amp;"|"&amp;$F1117,"")</f>
        <v/>
      </c>
      <c r="AC1117" s="27">
        <f>IF(ISNUMBER($P1117),COUNTIFS($A$14:$A$1213,$A1117,$P$14:$P$1213,"&gt;"&amp;$P1117)+(COUNTIFS($A$14:$A$1213,$A1117,$P$14:$P$1213,"="&amp;$P1117)+1)/2,"")</f>
        <v/>
      </c>
      <c r="AD1117" s="27">
        <f>IF(ISNUMBER($Q1117),COUNTIFS($A$14:$A$1213,$A1117,$Q$14:$Q$1213,"&gt;"&amp;$Q1117)+(COUNTIFS($A$14:$A$1213,$A1117,$Q$14:$Q$1213,"="&amp;$Q1117)+1)/2,"")</f>
        <v/>
      </c>
      <c r="AE1117" s="27">
        <f>IF(ISNUMBER($R1117),COUNTIFS($A$14:$A$1213,$A1117,$R$14:$R$1213,"&gt;"&amp;$R1117)+(COUNTIFS($A$14:$A$1213,$A1117,$R$14:$R$1213,"="&amp;$R1117)+1)/2,"")</f>
        <v/>
      </c>
      <c r="AF1117" s="27">
        <f>IF(ISNUMBER($S1117),COUNTIFS($A$14:$A$1213,$A1117,$S$14:$S$1213,"&gt;"&amp;$S1117)+(COUNTIFS($A$14:$A$1213,$A1117,$S$14:$S$1213,"="&amp;$S1117)+1)/2,"")</f>
        <v/>
      </c>
      <c r="AG1117" s="27">
        <f>IF(ISNUMBER($T1117),COUNTIFS($A$14:$A$1213,$A1117,$T$14:$T$1213,"&gt;"&amp;$T1117)+(COUNTIFS($A$14:$A$1213,$A1117,$T$14:$T$1213,"="&amp;$T1117)+1)/2,"")</f>
        <v/>
      </c>
      <c r="AH1117" s="27">
        <f>IF(COUNT($AC1117:$AG1117)&lt;2,"",IF(MAX($AC1117:$AG1117)=MIN($AC1117:$AG1117),0,1))</f>
        <v/>
      </c>
      <c r="AI1117" s="27">
        <f>IF($A1117="","",IF(COUNTIF($A$14:$A1117,$A1117)=1,COUNTIF($AI$13:AI1116,"&gt;0")+1,""))</f>
        <v/>
      </c>
      <c r="AO1117" s="27">
        <f>IF($A1117="","",IF(AND(COUNTIFS($A$14:$A$1213,$A1117,$F$14:$F$1213,"&gt;=0")=2,IFERROR(INDEX($M$14:$M$313,MATCH($A1117,$H$14:$H$313,0)),"Yes")&lt;&gt;"Yes"),1,0))</f>
        <v/>
      </c>
    </row>
    <row r="1118">
      <c r="A1118" s="19" t="n"/>
      <c r="B1118" s="20" t="n"/>
      <c r="C1118" s="21">
        <f>IFERROR(AVERAGE(P1118:T1118),"")</f>
        <v/>
      </c>
      <c r="D1118" s="29" t="n"/>
      <c r="E1118" s="29" t="n"/>
      <c r="F1118" s="30">
        <f>IF(AND(ISNUMBER($D1118),ISNUMBER($E1118),$E1118&gt;0,$D1118&lt;=$E1118),$D1118/$E1118,"")</f>
        <v/>
      </c>
      <c r="P1118" s="26" t="n"/>
      <c r="Q1118" s="26" t="n"/>
      <c r="R1118" s="26" t="n"/>
      <c r="S1118" s="26" t="n"/>
      <c r="T1118" s="26" t="n"/>
      <c r="V1118" s="27">
        <f>IF(ISNUMBER($C1118),COUNTIFS($A$14:$A$1213,$A1118,$C$14:$C$1213,"&gt;"&amp;$C1118)+(COUNTIFS($A$14:$A$1213,$A1118,$C$14:$C$1213,"="&amp;$C1118)+1)/2,"")</f>
        <v/>
      </c>
      <c r="W1118" s="27">
        <f>IF(ISNUMBER($F1118),COUNTIFS($A$14:$A$1213,$A1118,$F$14:$F$1213,"&gt;"&amp;$F1118)+(COUNTIFS($A$14:$A$1213,$A1118,$F$14:$F$1213,"="&amp;$F1118)+1)/2,"")</f>
        <v/>
      </c>
      <c r="X1118" s="27">
        <f>IF(OR(NOT(ISNUMBER($V1118)),$AO1118=1),"",$V1118-(COUNTIFS($A$14:$A$1213,$A1118,$C$14:$C$1213,"&gt;=0")+1)/2)</f>
        <v/>
      </c>
      <c r="Y1118" s="27">
        <f>IF(OR(NOT(ISNUMBER($W1118)),$AO1118=1),"",$W1118-(COUNTIFS($A$14:$A$1213,$A1118,$F$14:$F$1213,"&gt;=0")+1)/2)</f>
        <v/>
      </c>
      <c r="Z1118" s="27">
        <f>IF(ISNUMBER($V1118),$A1118&amp;"|"&amp;$V1118,"")</f>
        <v/>
      </c>
      <c r="AA1118" s="27">
        <f>IF(ISNUMBER($W1118),$A1118&amp;"|"&amp;$W1118,"")</f>
        <v/>
      </c>
      <c r="AB1118" s="27">
        <f>IF(ISNUMBER($F1118),$A1118&amp;"|"&amp;$F1118,"")</f>
        <v/>
      </c>
      <c r="AC1118" s="27">
        <f>IF(ISNUMBER($P1118),COUNTIFS($A$14:$A$1213,$A1118,$P$14:$P$1213,"&gt;"&amp;$P1118)+(COUNTIFS($A$14:$A$1213,$A1118,$P$14:$P$1213,"="&amp;$P1118)+1)/2,"")</f>
        <v/>
      </c>
      <c r="AD1118" s="27">
        <f>IF(ISNUMBER($Q1118),COUNTIFS($A$14:$A$1213,$A1118,$Q$14:$Q$1213,"&gt;"&amp;$Q1118)+(COUNTIFS($A$14:$A$1213,$A1118,$Q$14:$Q$1213,"="&amp;$Q1118)+1)/2,"")</f>
        <v/>
      </c>
      <c r="AE1118" s="27">
        <f>IF(ISNUMBER($R1118),COUNTIFS($A$14:$A$1213,$A1118,$R$14:$R$1213,"&gt;"&amp;$R1118)+(COUNTIFS($A$14:$A$1213,$A1118,$R$14:$R$1213,"="&amp;$R1118)+1)/2,"")</f>
        <v/>
      </c>
      <c r="AF1118" s="27">
        <f>IF(ISNUMBER($S1118),COUNTIFS($A$14:$A$1213,$A1118,$S$14:$S$1213,"&gt;"&amp;$S1118)+(COUNTIFS($A$14:$A$1213,$A1118,$S$14:$S$1213,"="&amp;$S1118)+1)/2,"")</f>
        <v/>
      </c>
      <c r="AG1118" s="27">
        <f>IF(ISNUMBER($T1118),COUNTIFS($A$14:$A$1213,$A1118,$T$14:$T$1213,"&gt;"&amp;$T1118)+(COUNTIFS($A$14:$A$1213,$A1118,$T$14:$T$1213,"="&amp;$T1118)+1)/2,"")</f>
        <v/>
      </c>
      <c r="AH1118" s="27">
        <f>IF(COUNT($AC1118:$AG1118)&lt;2,"",IF(MAX($AC1118:$AG1118)=MIN($AC1118:$AG1118),0,1))</f>
        <v/>
      </c>
      <c r="AI1118" s="27">
        <f>IF($A1118="","",IF(COUNTIF($A$14:$A1118,$A1118)=1,COUNTIF($AI$13:AI1117,"&gt;0")+1,""))</f>
        <v/>
      </c>
      <c r="AO1118" s="27">
        <f>IF($A1118="","",IF(AND(COUNTIFS($A$14:$A$1213,$A1118,$F$14:$F$1213,"&gt;=0")=2,IFERROR(INDEX($M$14:$M$313,MATCH($A1118,$H$14:$H$313,0)),"Yes")&lt;&gt;"Yes"),1,0))</f>
        <v/>
      </c>
    </row>
    <row r="1119">
      <c r="A1119" s="19" t="n"/>
      <c r="B1119" s="20" t="n"/>
      <c r="C1119" s="21">
        <f>IFERROR(AVERAGE(P1119:T1119),"")</f>
        <v/>
      </c>
      <c r="D1119" s="29" t="n"/>
      <c r="E1119" s="29" t="n"/>
      <c r="F1119" s="30">
        <f>IF(AND(ISNUMBER($D1119),ISNUMBER($E1119),$E1119&gt;0,$D1119&lt;=$E1119),$D1119/$E1119,"")</f>
        <v/>
      </c>
      <c r="P1119" s="26" t="n"/>
      <c r="Q1119" s="26" t="n"/>
      <c r="R1119" s="26" t="n"/>
      <c r="S1119" s="26" t="n"/>
      <c r="T1119" s="26" t="n"/>
      <c r="V1119" s="27">
        <f>IF(ISNUMBER($C1119),COUNTIFS($A$14:$A$1213,$A1119,$C$14:$C$1213,"&gt;"&amp;$C1119)+(COUNTIFS($A$14:$A$1213,$A1119,$C$14:$C$1213,"="&amp;$C1119)+1)/2,"")</f>
        <v/>
      </c>
      <c r="W1119" s="27">
        <f>IF(ISNUMBER($F1119),COUNTIFS($A$14:$A$1213,$A1119,$F$14:$F$1213,"&gt;"&amp;$F1119)+(COUNTIFS($A$14:$A$1213,$A1119,$F$14:$F$1213,"="&amp;$F1119)+1)/2,"")</f>
        <v/>
      </c>
      <c r="X1119" s="27">
        <f>IF(OR(NOT(ISNUMBER($V1119)),$AO1119=1),"",$V1119-(COUNTIFS($A$14:$A$1213,$A1119,$C$14:$C$1213,"&gt;=0")+1)/2)</f>
        <v/>
      </c>
      <c r="Y1119" s="27">
        <f>IF(OR(NOT(ISNUMBER($W1119)),$AO1119=1),"",$W1119-(COUNTIFS($A$14:$A$1213,$A1119,$F$14:$F$1213,"&gt;=0")+1)/2)</f>
        <v/>
      </c>
      <c r="Z1119" s="27">
        <f>IF(ISNUMBER($V1119),$A1119&amp;"|"&amp;$V1119,"")</f>
        <v/>
      </c>
      <c r="AA1119" s="27">
        <f>IF(ISNUMBER($W1119),$A1119&amp;"|"&amp;$W1119,"")</f>
        <v/>
      </c>
      <c r="AB1119" s="27">
        <f>IF(ISNUMBER($F1119),$A1119&amp;"|"&amp;$F1119,"")</f>
        <v/>
      </c>
      <c r="AC1119" s="27">
        <f>IF(ISNUMBER($P1119),COUNTIFS($A$14:$A$1213,$A1119,$P$14:$P$1213,"&gt;"&amp;$P1119)+(COUNTIFS($A$14:$A$1213,$A1119,$P$14:$P$1213,"="&amp;$P1119)+1)/2,"")</f>
        <v/>
      </c>
      <c r="AD1119" s="27">
        <f>IF(ISNUMBER($Q1119),COUNTIFS($A$14:$A$1213,$A1119,$Q$14:$Q$1213,"&gt;"&amp;$Q1119)+(COUNTIFS($A$14:$A$1213,$A1119,$Q$14:$Q$1213,"="&amp;$Q1119)+1)/2,"")</f>
        <v/>
      </c>
      <c r="AE1119" s="27">
        <f>IF(ISNUMBER($R1119),COUNTIFS($A$14:$A$1213,$A1119,$R$14:$R$1213,"&gt;"&amp;$R1119)+(COUNTIFS($A$14:$A$1213,$A1119,$R$14:$R$1213,"="&amp;$R1119)+1)/2,"")</f>
        <v/>
      </c>
      <c r="AF1119" s="27">
        <f>IF(ISNUMBER($S1119),COUNTIFS($A$14:$A$1213,$A1119,$S$14:$S$1213,"&gt;"&amp;$S1119)+(COUNTIFS($A$14:$A$1213,$A1119,$S$14:$S$1213,"="&amp;$S1119)+1)/2,"")</f>
        <v/>
      </c>
      <c r="AG1119" s="27">
        <f>IF(ISNUMBER($T1119),COUNTIFS($A$14:$A$1213,$A1119,$T$14:$T$1213,"&gt;"&amp;$T1119)+(COUNTIFS($A$14:$A$1213,$A1119,$T$14:$T$1213,"="&amp;$T1119)+1)/2,"")</f>
        <v/>
      </c>
      <c r="AH1119" s="27">
        <f>IF(COUNT($AC1119:$AG1119)&lt;2,"",IF(MAX($AC1119:$AG1119)=MIN($AC1119:$AG1119),0,1))</f>
        <v/>
      </c>
      <c r="AI1119" s="27">
        <f>IF($A1119="","",IF(COUNTIF($A$14:$A1119,$A1119)=1,COUNTIF($AI$13:AI1118,"&gt;0")+1,""))</f>
        <v/>
      </c>
      <c r="AO1119" s="27">
        <f>IF($A1119="","",IF(AND(COUNTIFS($A$14:$A$1213,$A1119,$F$14:$F$1213,"&gt;=0")=2,IFERROR(INDEX($M$14:$M$313,MATCH($A1119,$H$14:$H$313,0)),"Yes")&lt;&gt;"Yes"),1,0))</f>
        <v/>
      </c>
    </row>
    <row r="1120">
      <c r="A1120" s="19" t="n"/>
      <c r="B1120" s="20" t="n"/>
      <c r="C1120" s="21">
        <f>IFERROR(AVERAGE(P1120:T1120),"")</f>
        <v/>
      </c>
      <c r="D1120" s="29" t="n"/>
      <c r="E1120" s="29" t="n"/>
      <c r="F1120" s="30">
        <f>IF(AND(ISNUMBER($D1120),ISNUMBER($E1120),$E1120&gt;0,$D1120&lt;=$E1120),$D1120/$E1120,"")</f>
        <v/>
      </c>
      <c r="P1120" s="26" t="n"/>
      <c r="Q1120" s="26" t="n"/>
      <c r="R1120" s="26" t="n"/>
      <c r="S1120" s="26" t="n"/>
      <c r="T1120" s="26" t="n"/>
      <c r="V1120" s="27">
        <f>IF(ISNUMBER($C1120),COUNTIFS($A$14:$A$1213,$A1120,$C$14:$C$1213,"&gt;"&amp;$C1120)+(COUNTIFS($A$14:$A$1213,$A1120,$C$14:$C$1213,"="&amp;$C1120)+1)/2,"")</f>
        <v/>
      </c>
      <c r="W1120" s="27">
        <f>IF(ISNUMBER($F1120),COUNTIFS($A$14:$A$1213,$A1120,$F$14:$F$1213,"&gt;"&amp;$F1120)+(COUNTIFS($A$14:$A$1213,$A1120,$F$14:$F$1213,"="&amp;$F1120)+1)/2,"")</f>
        <v/>
      </c>
      <c r="X1120" s="27">
        <f>IF(OR(NOT(ISNUMBER($V1120)),$AO1120=1),"",$V1120-(COUNTIFS($A$14:$A$1213,$A1120,$C$14:$C$1213,"&gt;=0")+1)/2)</f>
        <v/>
      </c>
      <c r="Y1120" s="27">
        <f>IF(OR(NOT(ISNUMBER($W1120)),$AO1120=1),"",$W1120-(COUNTIFS($A$14:$A$1213,$A1120,$F$14:$F$1213,"&gt;=0")+1)/2)</f>
        <v/>
      </c>
      <c r="Z1120" s="27">
        <f>IF(ISNUMBER($V1120),$A1120&amp;"|"&amp;$V1120,"")</f>
        <v/>
      </c>
      <c r="AA1120" s="27">
        <f>IF(ISNUMBER($W1120),$A1120&amp;"|"&amp;$W1120,"")</f>
        <v/>
      </c>
      <c r="AB1120" s="27">
        <f>IF(ISNUMBER($F1120),$A1120&amp;"|"&amp;$F1120,"")</f>
        <v/>
      </c>
      <c r="AC1120" s="27">
        <f>IF(ISNUMBER($P1120),COUNTIFS($A$14:$A$1213,$A1120,$P$14:$P$1213,"&gt;"&amp;$P1120)+(COUNTIFS($A$14:$A$1213,$A1120,$P$14:$P$1213,"="&amp;$P1120)+1)/2,"")</f>
        <v/>
      </c>
      <c r="AD1120" s="27">
        <f>IF(ISNUMBER($Q1120),COUNTIFS($A$14:$A$1213,$A1120,$Q$14:$Q$1213,"&gt;"&amp;$Q1120)+(COUNTIFS($A$14:$A$1213,$A1120,$Q$14:$Q$1213,"="&amp;$Q1120)+1)/2,"")</f>
        <v/>
      </c>
      <c r="AE1120" s="27">
        <f>IF(ISNUMBER($R1120),COUNTIFS($A$14:$A$1213,$A1120,$R$14:$R$1213,"&gt;"&amp;$R1120)+(COUNTIFS($A$14:$A$1213,$A1120,$R$14:$R$1213,"="&amp;$R1120)+1)/2,"")</f>
        <v/>
      </c>
      <c r="AF1120" s="27">
        <f>IF(ISNUMBER($S1120),COUNTIFS($A$14:$A$1213,$A1120,$S$14:$S$1213,"&gt;"&amp;$S1120)+(COUNTIFS($A$14:$A$1213,$A1120,$S$14:$S$1213,"="&amp;$S1120)+1)/2,"")</f>
        <v/>
      </c>
      <c r="AG1120" s="27">
        <f>IF(ISNUMBER($T1120),COUNTIFS($A$14:$A$1213,$A1120,$T$14:$T$1213,"&gt;"&amp;$T1120)+(COUNTIFS($A$14:$A$1213,$A1120,$T$14:$T$1213,"="&amp;$T1120)+1)/2,"")</f>
        <v/>
      </c>
      <c r="AH1120" s="27">
        <f>IF(COUNT($AC1120:$AG1120)&lt;2,"",IF(MAX($AC1120:$AG1120)=MIN($AC1120:$AG1120),0,1))</f>
        <v/>
      </c>
      <c r="AI1120" s="27">
        <f>IF($A1120="","",IF(COUNTIF($A$14:$A1120,$A1120)=1,COUNTIF($AI$13:AI1119,"&gt;0")+1,""))</f>
        <v/>
      </c>
      <c r="AO1120" s="27">
        <f>IF($A1120="","",IF(AND(COUNTIFS($A$14:$A$1213,$A1120,$F$14:$F$1213,"&gt;=0")=2,IFERROR(INDEX($M$14:$M$313,MATCH($A1120,$H$14:$H$313,0)),"Yes")&lt;&gt;"Yes"),1,0))</f>
        <v/>
      </c>
    </row>
    <row r="1121">
      <c r="A1121" s="19" t="n"/>
      <c r="B1121" s="20" t="n"/>
      <c r="C1121" s="21">
        <f>IFERROR(AVERAGE(P1121:T1121),"")</f>
        <v/>
      </c>
      <c r="D1121" s="29" t="n"/>
      <c r="E1121" s="29" t="n"/>
      <c r="F1121" s="30">
        <f>IF(AND(ISNUMBER($D1121),ISNUMBER($E1121),$E1121&gt;0,$D1121&lt;=$E1121),$D1121/$E1121,"")</f>
        <v/>
      </c>
      <c r="P1121" s="26" t="n"/>
      <c r="Q1121" s="26" t="n"/>
      <c r="R1121" s="26" t="n"/>
      <c r="S1121" s="26" t="n"/>
      <c r="T1121" s="26" t="n"/>
      <c r="V1121" s="27">
        <f>IF(ISNUMBER($C1121),COUNTIFS($A$14:$A$1213,$A1121,$C$14:$C$1213,"&gt;"&amp;$C1121)+(COUNTIFS($A$14:$A$1213,$A1121,$C$14:$C$1213,"="&amp;$C1121)+1)/2,"")</f>
        <v/>
      </c>
      <c r="W1121" s="27">
        <f>IF(ISNUMBER($F1121),COUNTIFS($A$14:$A$1213,$A1121,$F$14:$F$1213,"&gt;"&amp;$F1121)+(COUNTIFS($A$14:$A$1213,$A1121,$F$14:$F$1213,"="&amp;$F1121)+1)/2,"")</f>
        <v/>
      </c>
      <c r="X1121" s="27">
        <f>IF(OR(NOT(ISNUMBER($V1121)),$AO1121=1),"",$V1121-(COUNTIFS($A$14:$A$1213,$A1121,$C$14:$C$1213,"&gt;=0")+1)/2)</f>
        <v/>
      </c>
      <c r="Y1121" s="27">
        <f>IF(OR(NOT(ISNUMBER($W1121)),$AO1121=1),"",$W1121-(COUNTIFS($A$14:$A$1213,$A1121,$F$14:$F$1213,"&gt;=0")+1)/2)</f>
        <v/>
      </c>
      <c r="Z1121" s="27">
        <f>IF(ISNUMBER($V1121),$A1121&amp;"|"&amp;$V1121,"")</f>
        <v/>
      </c>
      <c r="AA1121" s="27">
        <f>IF(ISNUMBER($W1121),$A1121&amp;"|"&amp;$W1121,"")</f>
        <v/>
      </c>
      <c r="AB1121" s="27">
        <f>IF(ISNUMBER($F1121),$A1121&amp;"|"&amp;$F1121,"")</f>
        <v/>
      </c>
      <c r="AC1121" s="27">
        <f>IF(ISNUMBER($P1121),COUNTIFS($A$14:$A$1213,$A1121,$P$14:$P$1213,"&gt;"&amp;$P1121)+(COUNTIFS($A$14:$A$1213,$A1121,$P$14:$P$1213,"="&amp;$P1121)+1)/2,"")</f>
        <v/>
      </c>
      <c r="AD1121" s="27">
        <f>IF(ISNUMBER($Q1121),COUNTIFS($A$14:$A$1213,$A1121,$Q$14:$Q$1213,"&gt;"&amp;$Q1121)+(COUNTIFS($A$14:$A$1213,$A1121,$Q$14:$Q$1213,"="&amp;$Q1121)+1)/2,"")</f>
        <v/>
      </c>
      <c r="AE1121" s="27">
        <f>IF(ISNUMBER($R1121),COUNTIFS($A$14:$A$1213,$A1121,$R$14:$R$1213,"&gt;"&amp;$R1121)+(COUNTIFS($A$14:$A$1213,$A1121,$R$14:$R$1213,"="&amp;$R1121)+1)/2,"")</f>
        <v/>
      </c>
      <c r="AF1121" s="27">
        <f>IF(ISNUMBER($S1121),COUNTIFS($A$14:$A$1213,$A1121,$S$14:$S$1213,"&gt;"&amp;$S1121)+(COUNTIFS($A$14:$A$1213,$A1121,$S$14:$S$1213,"="&amp;$S1121)+1)/2,"")</f>
        <v/>
      </c>
      <c r="AG1121" s="27">
        <f>IF(ISNUMBER($T1121),COUNTIFS($A$14:$A$1213,$A1121,$T$14:$T$1213,"&gt;"&amp;$T1121)+(COUNTIFS($A$14:$A$1213,$A1121,$T$14:$T$1213,"="&amp;$T1121)+1)/2,"")</f>
        <v/>
      </c>
      <c r="AH1121" s="27">
        <f>IF(COUNT($AC1121:$AG1121)&lt;2,"",IF(MAX($AC1121:$AG1121)=MIN($AC1121:$AG1121),0,1))</f>
        <v/>
      </c>
      <c r="AI1121" s="27">
        <f>IF($A1121="","",IF(COUNTIF($A$14:$A1121,$A1121)=1,COUNTIF($AI$13:AI1120,"&gt;0")+1,""))</f>
        <v/>
      </c>
      <c r="AO1121" s="27">
        <f>IF($A1121="","",IF(AND(COUNTIFS($A$14:$A$1213,$A1121,$F$14:$F$1213,"&gt;=0")=2,IFERROR(INDEX($M$14:$M$313,MATCH($A1121,$H$14:$H$313,0)),"Yes")&lt;&gt;"Yes"),1,0))</f>
        <v/>
      </c>
    </row>
    <row r="1122">
      <c r="A1122" s="19" t="n"/>
      <c r="B1122" s="20" t="n"/>
      <c r="C1122" s="21">
        <f>IFERROR(AVERAGE(P1122:T1122),"")</f>
        <v/>
      </c>
      <c r="D1122" s="29" t="n"/>
      <c r="E1122" s="29" t="n"/>
      <c r="F1122" s="30">
        <f>IF(AND(ISNUMBER($D1122),ISNUMBER($E1122),$E1122&gt;0,$D1122&lt;=$E1122),$D1122/$E1122,"")</f>
        <v/>
      </c>
      <c r="P1122" s="26" t="n"/>
      <c r="Q1122" s="26" t="n"/>
      <c r="R1122" s="26" t="n"/>
      <c r="S1122" s="26" t="n"/>
      <c r="T1122" s="26" t="n"/>
      <c r="V1122" s="27">
        <f>IF(ISNUMBER($C1122),COUNTIFS($A$14:$A$1213,$A1122,$C$14:$C$1213,"&gt;"&amp;$C1122)+(COUNTIFS($A$14:$A$1213,$A1122,$C$14:$C$1213,"="&amp;$C1122)+1)/2,"")</f>
        <v/>
      </c>
      <c r="W1122" s="27">
        <f>IF(ISNUMBER($F1122),COUNTIFS($A$14:$A$1213,$A1122,$F$14:$F$1213,"&gt;"&amp;$F1122)+(COUNTIFS($A$14:$A$1213,$A1122,$F$14:$F$1213,"="&amp;$F1122)+1)/2,"")</f>
        <v/>
      </c>
      <c r="X1122" s="27">
        <f>IF(OR(NOT(ISNUMBER($V1122)),$AO1122=1),"",$V1122-(COUNTIFS($A$14:$A$1213,$A1122,$C$14:$C$1213,"&gt;=0")+1)/2)</f>
        <v/>
      </c>
      <c r="Y1122" s="27">
        <f>IF(OR(NOT(ISNUMBER($W1122)),$AO1122=1),"",$W1122-(COUNTIFS($A$14:$A$1213,$A1122,$F$14:$F$1213,"&gt;=0")+1)/2)</f>
        <v/>
      </c>
      <c r="Z1122" s="27">
        <f>IF(ISNUMBER($V1122),$A1122&amp;"|"&amp;$V1122,"")</f>
        <v/>
      </c>
      <c r="AA1122" s="27">
        <f>IF(ISNUMBER($W1122),$A1122&amp;"|"&amp;$W1122,"")</f>
        <v/>
      </c>
      <c r="AB1122" s="27">
        <f>IF(ISNUMBER($F1122),$A1122&amp;"|"&amp;$F1122,"")</f>
        <v/>
      </c>
      <c r="AC1122" s="27">
        <f>IF(ISNUMBER($P1122),COUNTIFS($A$14:$A$1213,$A1122,$P$14:$P$1213,"&gt;"&amp;$P1122)+(COUNTIFS($A$14:$A$1213,$A1122,$P$14:$P$1213,"="&amp;$P1122)+1)/2,"")</f>
        <v/>
      </c>
      <c r="AD1122" s="27">
        <f>IF(ISNUMBER($Q1122),COUNTIFS($A$14:$A$1213,$A1122,$Q$14:$Q$1213,"&gt;"&amp;$Q1122)+(COUNTIFS($A$14:$A$1213,$A1122,$Q$14:$Q$1213,"="&amp;$Q1122)+1)/2,"")</f>
        <v/>
      </c>
      <c r="AE1122" s="27">
        <f>IF(ISNUMBER($R1122),COUNTIFS($A$14:$A$1213,$A1122,$R$14:$R$1213,"&gt;"&amp;$R1122)+(COUNTIFS($A$14:$A$1213,$A1122,$R$14:$R$1213,"="&amp;$R1122)+1)/2,"")</f>
        <v/>
      </c>
      <c r="AF1122" s="27">
        <f>IF(ISNUMBER($S1122),COUNTIFS($A$14:$A$1213,$A1122,$S$14:$S$1213,"&gt;"&amp;$S1122)+(COUNTIFS($A$14:$A$1213,$A1122,$S$14:$S$1213,"="&amp;$S1122)+1)/2,"")</f>
        <v/>
      </c>
      <c r="AG1122" s="27">
        <f>IF(ISNUMBER($T1122),COUNTIFS($A$14:$A$1213,$A1122,$T$14:$T$1213,"&gt;"&amp;$T1122)+(COUNTIFS($A$14:$A$1213,$A1122,$T$14:$T$1213,"="&amp;$T1122)+1)/2,"")</f>
        <v/>
      </c>
      <c r="AH1122" s="27">
        <f>IF(COUNT($AC1122:$AG1122)&lt;2,"",IF(MAX($AC1122:$AG1122)=MIN($AC1122:$AG1122),0,1))</f>
        <v/>
      </c>
      <c r="AI1122" s="27">
        <f>IF($A1122="","",IF(COUNTIF($A$14:$A1122,$A1122)=1,COUNTIF($AI$13:AI1121,"&gt;0")+1,""))</f>
        <v/>
      </c>
      <c r="AO1122" s="27">
        <f>IF($A1122="","",IF(AND(COUNTIFS($A$14:$A$1213,$A1122,$F$14:$F$1213,"&gt;=0")=2,IFERROR(INDEX($M$14:$M$313,MATCH($A1122,$H$14:$H$313,0)),"Yes")&lt;&gt;"Yes"),1,0))</f>
        <v/>
      </c>
    </row>
    <row r="1123">
      <c r="A1123" s="19" t="n"/>
      <c r="B1123" s="20" t="n"/>
      <c r="C1123" s="21">
        <f>IFERROR(AVERAGE(P1123:T1123),"")</f>
        <v/>
      </c>
      <c r="D1123" s="29" t="n"/>
      <c r="E1123" s="29" t="n"/>
      <c r="F1123" s="30">
        <f>IF(AND(ISNUMBER($D1123),ISNUMBER($E1123),$E1123&gt;0,$D1123&lt;=$E1123),$D1123/$E1123,"")</f>
        <v/>
      </c>
      <c r="P1123" s="26" t="n"/>
      <c r="Q1123" s="26" t="n"/>
      <c r="R1123" s="26" t="n"/>
      <c r="S1123" s="26" t="n"/>
      <c r="T1123" s="26" t="n"/>
      <c r="V1123" s="27">
        <f>IF(ISNUMBER($C1123),COUNTIFS($A$14:$A$1213,$A1123,$C$14:$C$1213,"&gt;"&amp;$C1123)+(COUNTIFS($A$14:$A$1213,$A1123,$C$14:$C$1213,"="&amp;$C1123)+1)/2,"")</f>
        <v/>
      </c>
      <c r="W1123" s="27">
        <f>IF(ISNUMBER($F1123),COUNTIFS($A$14:$A$1213,$A1123,$F$14:$F$1213,"&gt;"&amp;$F1123)+(COUNTIFS($A$14:$A$1213,$A1123,$F$14:$F$1213,"="&amp;$F1123)+1)/2,"")</f>
        <v/>
      </c>
      <c r="X1123" s="27">
        <f>IF(OR(NOT(ISNUMBER($V1123)),$AO1123=1),"",$V1123-(COUNTIFS($A$14:$A$1213,$A1123,$C$14:$C$1213,"&gt;=0")+1)/2)</f>
        <v/>
      </c>
      <c r="Y1123" s="27">
        <f>IF(OR(NOT(ISNUMBER($W1123)),$AO1123=1),"",$W1123-(COUNTIFS($A$14:$A$1213,$A1123,$F$14:$F$1213,"&gt;=0")+1)/2)</f>
        <v/>
      </c>
      <c r="Z1123" s="27">
        <f>IF(ISNUMBER($V1123),$A1123&amp;"|"&amp;$V1123,"")</f>
        <v/>
      </c>
      <c r="AA1123" s="27">
        <f>IF(ISNUMBER($W1123),$A1123&amp;"|"&amp;$W1123,"")</f>
        <v/>
      </c>
      <c r="AB1123" s="27">
        <f>IF(ISNUMBER($F1123),$A1123&amp;"|"&amp;$F1123,"")</f>
        <v/>
      </c>
      <c r="AC1123" s="27">
        <f>IF(ISNUMBER($P1123),COUNTIFS($A$14:$A$1213,$A1123,$P$14:$P$1213,"&gt;"&amp;$P1123)+(COUNTIFS($A$14:$A$1213,$A1123,$P$14:$P$1213,"="&amp;$P1123)+1)/2,"")</f>
        <v/>
      </c>
      <c r="AD1123" s="27">
        <f>IF(ISNUMBER($Q1123),COUNTIFS($A$14:$A$1213,$A1123,$Q$14:$Q$1213,"&gt;"&amp;$Q1123)+(COUNTIFS($A$14:$A$1213,$A1123,$Q$14:$Q$1213,"="&amp;$Q1123)+1)/2,"")</f>
        <v/>
      </c>
      <c r="AE1123" s="27">
        <f>IF(ISNUMBER($R1123),COUNTIFS($A$14:$A$1213,$A1123,$R$14:$R$1213,"&gt;"&amp;$R1123)+(COUNTIFS($A$14:$A$1213,$A1123,$R$14:$R$1213,"="&amp;$R1123)+1)/2,"")</f>
        <v/>
      </c>
      <c r="AF1123" s="27">
        <f>IF(ISNUMBER($S1123),COUNTIFS($A$14:$A$1213,$A1123,$S$14:$S$1213,"&gt;"&amp;$S1123)+(COUNTIFS($A$14:$A$1213,$A1123,$S$14:$S$1213,"="&amp;$S1123)+1)/2,"")</f>
        <v/>
      </c>
      <c r="AG1123" s="27">
        <f>IF(ISNUMBER($T1123),COUNTIFS($A$14:$A$1213,$A1123,$T$14:$T$1213,"&gt;"&amp;$T1123)+(COUNTIFS($A$14:$A$1213,$A1123,$T$14:$T$1213,"="&amp;$T1123)+1)/2,"")</f>
        <v/>
      </c>
      <c r="AH1123" s="27">
        <f>IF(COUNT($AC1123:$AG1123)&lt;2,"",IF(MAX($AC1123:$AG1123)=MIN($AC1123:$AG1123),0,1))</f>
        <v/>
      </c>
      <c r="AI1123" s="27">
        <f>IF($A1123="","",IF(COUNTIF($A$14:$A1123,$A1123)=1,COUNTIF($AI$13:AI1122,"&gt;0")+1,""))</f>
        <v/>
      </c>
      <c r="AO1123" s="27">
        <f>IF($A1123="","",IF(AND(COUNTIFS($A$14:$A$1213,$A1123,$F$14:$F$1213,"&gt;=0")=2,IFERROR(INDEX($M$14:$M$313,MATCH($A1123,$H$14:$H$313,0)),"Yes")&lt;&gt;"Yes"),1,0))</f>
        <v/>
      </c>
    </row>
    <row r="1124">
      <c r="A1124" s="19" t="n"/>
      <c r="B1124" s="20" t="n"/>
      <c r="C1124" s="21">
        <f>IFERROR(AVERAGE(P1124:T1124),"")</f>
        <v/>
      </c>
      <c r="D1124" s="29" t="n"/>
      <c r="E1124" s="29" t="n"/>
      <c r="F1124" s="30">
        <f>IF(AND(ISNUMBER($D1124),ISNUMBER($E1124),$E1124&gt;0,$D1124&lt;=$E1124),$D1124/$E1124,"")</f>
        <v/>
      </c>
      <c r="P1124" s="26" t="n"/>
      <c r="Q1124" s="26" t="n"/>
      <c r="R1124" s="26" t="n"/>
      <c r="S1124" s="26" t="n"/>
      <c r="T1124" s="26" t="n"/>
      <c r="V1124" s="27">
        <f>IF(ISNUMBER($C1124),COUNTIFS($A$14:$A$1213,$A1124,$C$14:$C$1213,"&gt;"&amp;$C1124)+(COUNTIFS($A$14:$A$1213,$A1124,$C$14:$C$1213,"="&amp;$C1124)+1)/2,"")</f>
        <v/>
      </c>
      <c r="W1124" s="27">
        <f>IF(ISNUMBER($F1124),COUNTIFS($A$14:$A$1213,$A1124,$F$14:$F$1213,"&gt;"&amp;$F1124)+(COUNTIFS($A$14:$A$1213,$A1124,$F$14:$F$1213,"="&amp;$F1124)+1)/2,"")</f>
        <v/>
      </c>
      <c r="X1124" s="27">
        <f>IF(OR(NOT(ISNUMBER($V1124)),$AO1124=1),"",$V1124-(COUNTIFS($A$14:$A$1213,$A1124,$C$14:$C$1213,"&gt;=0")+1)/2)</f>
        <v/>
      </c>
      <c r="Y1124" s="27">
        <f>IF(OR(NOT(ISNUMBER($W1124)),$AO1124=1),"",$W1124-(COUNTIFS($A$14:$A$1213,$A1124,$F$14:$F$1213,"&gt;=0")+1)/2)</f>
        <v/>
      </c>
      <c r="Z1124" s="27">
        <f>IF(ISNUMBER($V1124),$A1124&amp;"|"&amp;$V1124,"")</f>
        <v/>
      </c>
      <c r="AA1124" s="27">
        <f>IF(ISNUMBER($W1124),$A1124&amp;"|"&amp;$W1124,"")</f>
        <v/>
      </c>
      <c r="AB1124" s="27">
        <f>IF(ISNUMBER($F1124),$A1124&amp;"|"&amp;$F1124,"")</f>
        <v/>
      </c>
      <c r="AC1124" s="27">
        <f>IF(ISNUMBER($P1124),COUNTIFS($A$14:$A$1213,$A1124,$P$14:$P$1213,"&gt;"&amp;$P1124)+(COUNTIFS($A$14:$A$1213,$A1124,$P$14:$P$1213,"="&amp;$P1124)+1)/2,"")</f>
        <v/>
      </c>
      <c r="AD1124" s="27">
        <f>IF(ISNUMBER($Q1124),COUNTIFS($A$14:$A$1213,$A1124,$Q$14:$Q$1213,"&gt;"&amp;$Q1124)+(COUNTIFS($A$14:$A$1213,$A1124,$Q$14:$Q$1213,"="&amp;$Q1124)+1)/2,"")</f>
        <v/>
      </c>
      <c r="AE1124" s="27">
        <f>IF(ISNUMBER($R1124),COUNTIFS($A$14:$A$1213,$A1124,$R$14:$R$1213,"&gt;"&amp;$R1124)+(COUNTIFS($A$14:$A$1213,$A1124,$R$14:$R$1213,"="&amp;$R1124)+1)/2,"")</f>
        <v/>
      </c>
      <c r="AF1124" s="27">
        <f>IF(ISNUMBER($S1124),COUNTIFS($A$14:$A$1213,$A1124,$S$14:$S$1213,"&gt;"&amp;$S1124)+(COUNTIFS($A$14:$A$1213,$A1124,$S$14:$S$1213,"="&amp;$S1124)+1)/2,"")</f>
        <v/>
      </c>
      <c r="AG1124" s="27">
        <f>IF(ISNUMBER($T1124),COUNTIFS($A$14:$A$1213,$A1124,$T$14:$T$1213,"&gt;"&amp;$T1124)+(COUNTIFS($A$14:$A$1213,$A1124,$T$14:$T$1213,"="&amp;$T1124)+1)/2,"")</f>
        <v/>
      </c>
      <c r="AH1124" s="27">
        <f>IF(COUNT($AC1124:$AG1124)&lt;2,"",IF(MAX($AC1124:$AG1124)=MIN($AC1124:$AG1124),0,1))</f>
        <v/>
      </c>
      <c r="AI1124" s="27">
        <f>IF($A1124="","",IF(COUNTIF($A$14:$A1124,$A1124)=1,COUNTIF($AI$13:AI1123,"&gt;0")+1,""))</f>
        <v/>
      </c>
      <c r="AO1124" s="27">
        <f>IF($A1124="","",IF(AND(COUNTIFS($A$14:$A$1213,$A1124,$F$14:$F$1213,"&gt;=0")=2,IFERROR(INDEX($M$14:$M$313,MATCH($A1124,$H$14:$H$313,0)),"Yes")&lt;&gt;"Yes"),1,0))</f>
        <v/>
      </c>
    </row>
    <row r="1125">
      <c r="A1125" s="19" t="n"/>
      <c r="B1125" s="20" t="n"/>
      <c r="C1125" s="21">
        <f>IFERROR(AVERAGE(P1125:T1125),"")</f>
        <v/>
      </c>
      <c r="D1125" s="29" t="n"/>
      <c r="E1125" s="29" t="n"/>
      <c r="F1125" s="30">
        <f>IF(AND(ISNUMBER($D1125),ISNUMBER($E1125),$E1125&gt;0,$D1125&lt;=$E1125),$D1125/$E1125,"")</f>
        <v/>
      </c>
      <c r="P1125" s="26" t="n"/>
      <c r="Q1125" s="26" t="n"/>
      <c r="R1125" s="26" t="n"/>
      <c r="S1125" s="26" t="n"/>
      <c r="T1125" s="26" t="n"/>
      <c r="V1125" s="27">
        <f>IF(ISNUMBER($C1125),COUNTIFS($A$14:$A$1213,$A1125,$C$14:$C$1213,"&gt;"&amp;$C1125)+(COUNTIFS($A$14:$A$1213,$A1125,$C$14:$C$1213,"="&amp;$C1125)+1)/2,"")</f>
        <v/>
      </c>
      <c r="W1125" s="27">
        <f>IF(ISNUMBER($F1125),COUNTIFS($A$14:$A$1213,$A1125,$F$14:$F$1213,"&gt;"&amp;$F1125)+(COUNTIFS($A$14:$A$1213,$A1125,$F$14:$F$1213,"="&amp;$F1125)+1)/2,"")</f>
        <v/>
      </c>
      <c r="X1125" s="27">
        <f>IF(OR(NOT(ISNUMBER($V1125)),$AO1125=1),"",$V1125-(COUNTIFS($A$14:$A$1213,$A1125,$C$14:$C$1213,"&gt;=0")+1)/2)</f>
        <v/>
      </c>
      <c r="Y1125" s="27">
        <f>IF(OR(NOT(ISNUMBER($W1125)),$AO1125=1),"",$W1125-(COUNTIFS($A$14:$A$1213,$A1125,$F$14:$F$1213,"&gt;=0")+1)/2)</f>
        <v/>
      </c>
      <c r="Z1125" s="27">
        <f>IF(ISNUMBER($V1125),$A1125&amp;"|"&amp;$V1125,"")</f>
        <v/>
      </c>
      <c r="AA1125" s="27">
        <f>IF(ISNUMBER($W1125),$A1125&amp;"|"&amp;$W1125,"")</f>
        <v/>
      </c>
      <c r="AB1125" s="27">
        <f>IF(ISNUMBER($F1125),$A1125&amp;"|"&amp;$F1125,"")</f>
        <v/>
      </c>
      <c r="AC1125" s="27">
        <f>IF(ISNUMBER($P1125),COUNTIFS($A$14:$A$1213,$A1125,$P$14:$P$1213,"&gt;"&amp;$P1125)+(COUNTIFS($A$14:$A$1213,$A1125,$P$14:$P$1213,"="&amp;$P1125)+1)/2,"")</f>
        <v/>
      </c>
      <c r="AD1125" s="27">
        <f>IF(ISNUMBER($Q1125),COUNTIFS($A$14:$A$1213,$A1125,$Q$14:$Q$1213,"&gt;"&amp;$Q1125)+(COUNTIFS($A$14:$A$1213,$A1125,$Q$14:$Q$1213,"="&amp;$Q1125)+1)/2,"")</f>
        <v/>
      </c>
      <c r="AE1125" s="27">
        <f>IF(ISNUMBER($R1125),COUNTIFS($A$14:$A$1213,$A1125,$R$14:$R$1213,"&gt;"&amp;$R1125)+(COUNTIFS($A$14:$A$1213,$A1125,$R$14:$R$1213,"="&amp;$R1125)+1)/2,"")</f>
        <v/>
      </c>
      <c r="AF1125" s="27">
        <f>IF(ISNUMBER($S1125),COUNTIFS($A$14:$A$1213,$A1125,$S$14:$S$1213,"&gt;"&amp;$S1125)+(COUNTIFS($A$14:$A$1213,$A1125,$S$14:$S$1213,"="&amp;$S1125)+1)/2,"")</f>
        <v/>
      </c>
      <c r="AG1125" s="27">
        <f>IF(ISNUMBER($T1125),COUNTIFS($A$14:$A$1213,$A1125,$T$14:$T$1213,"&gt;"&amp;$T1125)+(COUNTIFS($A$14:$A$1213,$A1125,$T$14:$T$1213,"="&amp;$T1125)+1)/2,"")</f>
        <v/>
      </c>
      <c r="AH1125" s="27">
        <f>IF(COUNT($AC1125:$AG1125)&lt;2,"",IF(MAX($AC1125:$AG1125)=MIN($AC1125:$AG1125),0,1))</f>
        <v/>
      </c>
      <c r="AI1125" s="27">
        <f>IF($A1125="","",IF(COUNTIF($A$14:$A1125,$A1125)=1,COUNTIF($AI$13:AI1124,"&gt;0")+1,""))</f>
        <v/>
      </c>
      <c r="AO1125" s="27">
        <f>IF($A1125="","",IF(AND(COUNTIFS($A$14:$A$1213,$A1125,$F$14:$F$1213,"&gt;=0")=2,IFERROR(INDEX($M$14:$M$313,MATCH($A1125,$H$14:$H$313,0)),"Yes")&lt;&gt;"Yes"),1,0))</f>
        <v/>
      </c>
    </row>
    <row r="1126">
      <c r="A1126" s="19" t="n"/>
      <c r="B1126" s="20" t="n"/>
      <c r="C1126" s="21">
        <f>IFERROR(AVERAGE(P1126:T1126),"")</f>
        <v/>
      </c>
      <c r="D1126" s="29" t="n"/>
      <c r="E1126" s="29" t="n"/>
      <c r="F1126" s="30">
        <f>IF(AND(ISNUMBER($D1126),ISNUMBER($E1126),$E1126&gt;0,$D1126&lt;=$E1126),$D1126/$E1126,"")</f>
        <v/>
      </c>
      <c r="P1126" s="26" t="n"/>
      <c r="Q1126" s="26" t="n"/>
      <c r="R1126" s="26" t="n"/>
      <c r="S1126" s="26" t="n"/>
      <c r="T1126" s="26" t="n"/>
      <c r="V1126" s="27">
        <f>IF(ISNUMBER($C1126),COUNTIFS($A$14:$A$1213,$A1126,$C$14:$C$1213,"&gt;"&amp;$C1126)+(COUNTIFS($A$14:$A$1213,$A1126,$C$14:$C$1213,"="&amp;$C1126)+1)/2,"")</f>
        <v/>
      </c>
      <c r="W1126" s="27">
        <f>IF(ISNUMBER($F1126),COUNTIFS($A$14:$A$1213,$A1126,$F$14:$F$1213,"&gt;"&amp;$F1126)+(COUNTIFS($A$14:$A$1213,$A1126,$F$14:$F$1213,"="&amp;$F1126)+1)/2,"")</f>
        <v/>
      </c>
      <c r="X1126" s="27">
        <f>IF(OR(NOT(ISNUMBER($V1126)),$AO1126=1),"",$V1126-(COUNTIFS($A$14:$A$1213,$A1126,$C$14:$C$1213,"&gt;=0")+1)/2)</f>
        <v/>
      </c>
      <c r="Y1126" s="27">
        <f>IF(OR(NOT(ISNUMBER($W1126)),$AO1126=1),"",$W1126-(COUNTIFS($A$14:$A$1213,$A1126,$F$14:$F$1213,"&gt;=0")+1)/2)</f>
        <v/>
      </c>
      <c r="Z1126" s="27">
        <f>IF(ISNUMBER($V1126),$A1126&amp;"|"&amp;$V1126,"")</f>
        <v/>
      </c>
      <c r="AA1126" s="27">
        <f>IF(ISNUMBER($W1126),$A1126&amp;"|"&amp;$W1126,"")</f>
        <v/>
      </c>
      <c r="AB1126" s="27">
        <f>IF(ISNUMBER($F1126),$A1126&amp;"|"&amp;$F1126,"")</f>
        <v/>
      </c>
      <c r="AC1126" s="27">
        <f>IF(ISNUMBER($P1126),COUNTIFS($A$14:$A$1213,$A1126,$P$14:$P$1213,"&gt;"&amp;$P1126)+(COUNTIFS($A$14:$A$1213,$A1126,$P$14:$P$1213,"="&amp;$P1126)+1)/2,"")</f>
        <v/>
      </c>
      <c r="AD1126" s="27">
        <f>IF(ISNUMBER($Q1126),COUNTIFS($A$14:$A$1213,$A1126,$Q$14:$Q$1213,"&gt;"&amp;$Q1126)+(COUNTIFS($A$14:$A$1213,$A1126,$Q$14:$Q$1213,"="&amp;$Q1126)+1)/2,"")</f>
        <v/>
      </c>
      <c r="AE1126" s="27">
        <f>IF(ISNUMBER($R1126),COUNTIFS($A$14:$A$1213,$A1126,$R$14:$R$1213,"&gt;"&amp;$R1126)+(COUNTIFS($A$14:$A$1213,$A1126,$R$14:$R$1213,"="&amp;$R1126)+1)/2,"")</f>
        <v/>
      </c>
      <c r="AF1126" s="27">
        <f>IF(ISNUMBER($S1126),COUNTIFS($A$14:$A$1213,$A1126,$S$14:$S$1213,"&gt;"&amp;$S1126)+(COUNTIFS($A$14:$A$1213,$A1126,$S$14:$S$1213,"="&amp;$S1126)+1)/2,"")</f>
        <v/>
      </c>
      <c r="AG1126" s="27">
        <f>IF(ISNUMBER($T1126),COUNTIFS($A$14:$A$1213,$A1126,$T$14:$T$1213,"&gt;"&amp;$T1126)+(COUNTIFS($A$14:$A$1213,$A1126,$T$14:$T$1213,"="&amp;$T1126)+1)/2,"")</f>
        <v/>
      </c>
      <c r="AH1126" s="27">
        <f>IF(COUNT($AC1126:$AG1126)&lt;2,"",IF(MAX($AC1126:$AG1126)=MIN($AC1126:$AG1126),0,1))</f>
        <v/>
      </c>
      <c r="AI1126" s="27">
        <f>IF($A1126="","",IF(COUNTIF($A$14:$A1126,$A1126)=1,COUNTIF($AI$13:AI1125,"&gt;0")+1,""))</f>
        <v/>
      </c>
      <c r="AO1126" s="27">
        <f>IF($A1126="","",IF(AND(COUNTIFS($A$14:$A$1213,$A1126,$F$14:$F$1213,"&gt;=0")=2,IFERROR(INDEX($M$14:$M$313,MATCH($A1126,$H$14:$H$313,0)),"Yes")&lt;&gt;"Yes"),1,0))</f>
        <v/>
      </c>
    </row>
    <row r="1127">
      <c r="A1127" s="19" t="n"/>
      <c r="B1127" s="20" t="n"/>
      <c r="C1127" s="21">
        <f>IFERROR(AVERAGE(P1127:T1127),"")</f>
        <v/>
      </c>
      <c r="D1127" s="29" t="n"/>
      <c r="E1127" s="29" t="n"/>
      <c r="F1127" s="30">
        <f>IF(AND(ISNUMBER($D1127),ISNUMBER($E1127),$E1127&gt;0,$D1127&lt;=$E1127),$D1127/$E1127,"")</f>
        <v/>
      </c>
      <c r="P1127" s="26" t="n"/>
      <c r="Q1127" s="26" t="n"/>
      <c r="R1127" s="26" t="n"/>
      <c r="S1127" s="26" t="n"/>
      <c r="T1127" s="26" t="n"/>
      <c r="V1127" s="27">
        <f>IF(ISNUMBER($C1127),COUNTIFS($A$14:$A$1213,$A1127,$C$14:$C$1213,"&gt;"&amp;$C1127)+(COUNTIFS($A$14:$A$1213,$A1127,$C$14:$C$1213,"="&amp;$C1127)+1)/2,"")</f>
        <v/>
      </c>
      <c r="W1127" s="27">
        <f>IF(ISNUMBER($F1127),COUNTIFS($A$14:$A$1213,$A1127,$F$14:$F$1213,"&gt;"&amp;$F1127)+(COUNTIFS($A$14:$A$1213,$A1127,$F$14:$F$1213,"="&amp;$F1127)+1)/2,"")</f>
        <v/>
      </c>
      <c r="X1127" s="27">
        <f>IF(OR(NOT(ISNUMBER($V1127)),$AO1127=1),"",$V1127-(COUNTIFS($A$14:$A$1213,$A1127,$C$14:$C$1213,"&gt;=0")+1)/2)</f>
        <v/>
      </c>
      <c r="Y1127" s="27">
        <f>IF(OR(NOT(ISNUMBER($W1127)),$AO1127=1),"",$W1127-(COUNTIFS($A$14:$A$1213,$A1127,$F$14:$F$1213,"&gt;=0")+1)/2)</f>
        <v/>
      </c>
      <c r="Z1127" s="27">
        <f>IF(ISNUMBER($V1127),$A1127&amp;"|"&amp;$V1127,"")</f>
        <v/>
      </c>
      <c r="AA1127" s="27">
        <f>IF(ISNUMBER($W1127),$A1127&amp;"|"&amp;$W1127,"")</f>
        <v/>
      </c>
      <c r="AB1127" s="27">
        <f>IF(ISNUMBER($F1127),$A1127&amp;"|"&amp;$F1127,"")</f>
        <v/>
      </c>
      <c r="AC1127" s="27">
        <f>IF(ISNUMBER($P1127),COUNTIFS($A$14:$A$1213,$A1127,$P$14:$P$1213,"&gt;"&amp;$P1127)+(COUNTIFS($A$14:$A$1213,$A1127,$P$14:$P$1213,"="&amp;$P1127)+1)/2,"")</f>
        <v/>
      </c>
      <c r="AD1127" s="27">
        <f>IF(ISNUMBER($Q1127),COUNTIFS($A$14:$A$1213,$A1127,$Q$14:$Q$1213,"&gt;"&amp;$Q1127)+(COUNTIFS($A$14:$A$1213,$A1127,$Q$14:$Q$1213,"="&amp;$Q1127)+1)/2,"")</f>
        <v/>
      </c>
      <c r="AE1127" s="27">
        <f>IF(ISNUMBER($R1127),COUNTIFS($A$14:$A$1213,$A1127,$R$14:$R$1213,"&gt;"&amp;$R1127)+(COUNTIFS($A$14:$A$1213,$A1127,$R$14:$R$1213,"="&amp;$R1127)+1)/2,"")</f>
        <v/>
      </c>
      <c r="AF1127" s="27">
        <f>IF(ISNUMBER($S1127),COUNTIFS($A$14:$A$1213,$A1127,$S$14:$S$1213,"&gt;"&amp;$S1127)+(COUNTIFS($A$14:$A$1213,$A1127,$S$14:$S$1213,"="&amp;$S1127)+1)/2,"")</f>
        <v/>
      </c>
      <c r="AG1127" s="27">
        <f>IF(ISNUMBER($T1127),COUNTIFS($A$14:$A$1213,$A1127,$T$14:$T$1213,"&gt;"&amp;$T1127)+(COUNTIFS($A$14:$A$1213,$A1127,$T$14:$T$1213,"="&amp;$T1127)+1)/2,"")</f>
        <v/>
      </c>
      <c r="AH1127" s="27">
        <f>IF(COUNT($AC1127:$AG1127)&lt;2,"",IF(MAX($AC1127:$AG1127)=MIN($AC1127:$AG1127),0,1))</f>
        <v/>
      </c>
      <c r="AI1127" s="27">
        <f>IF($A1127="","",IF(COUNTIF($A$14:$A1127,$A1127)=1,COUNTIF($AI$13:AI1126,"&gt;0")+1,""))</f>
        <v/>
      </c>
      <c r="AO1127" s="27">
        <f>IF($A1127="","",IF(AND(COUNTIFS($A$14:$A$1213,$A1127,$F$14:$F$1213,"&gt;=0")=2,IFERROR(INDEX($M$14:$M$313,MATCH($A1127,$H$14:$H$313,0)),"Yes")&lt;&gt;"Yes"),1,0))</f>
        <v/>
      </c>
    </row>
    <row r="1128">
      <c r="A1128" s="19" t="n"/>
      <c r="B1128" s="20" t="n"/>
      <c r="C1128" s="21">
        <f>IFERROR(AVERAGE(P1128:T1128),"")</f>
        <v/>
      </c>
      <c r="D1128" s="29" t="n"/>
      <c r="E1128" s="29" t="n"/>
      <c r="F1128" s="30">
        <f>IF(AND(ISNUMBER($D1128),ISNUMBER($E1128),$E1128&gt;0,$D1128&lt;=$E1128),$D1128/$E1128,"")</f>
        <v/>
      </c>
      <c r="P1128" s="26" t="n"/>
      <c r="Q1128" s="26" t="n"/>
      <c r="R1128" s="26" t="n"/>
      <c r="S1128" s="26" t="n"/>
      <c r="T1128" s="26" t="n"/>
      <c r="V1128" s="27">
        <f>IF(ISNUMBER($C1128),COUNTIFS($A$14:$A$1213,$A1128,$C$14:$C$1213,"&gt;"&amp;$C1128)+(COUNTIFS($A$14:$A$1213,$A1128,$C$14:$C$1213,"="&amp;$C1128)+1)/2,"")</f>
        <v/>
      </c>
      <c r="W1128" s="27">
        <f>IF(ISNUMBER($F1128),COUNTIFS($A$14:$A$1213,$A1128,$F$14:$F$1213,"&gt;"&amp;$F1128)+(COUNTIFS($A$14:$A$1213,$A1128,$F$14:$F$1213,"="&amp;$F1128)+1)/2,"")</f>
        <v/>
      </c>
      <c r="X1128" s="27">
        <f>IF(OR(NOT(ISNUMBER($V1128)),$AO1128=1),"",$V1128-(COUNTIFS($A$14:$A$1213,$A1128,$C$14:$C$1213,"&gt;=0")+1)/2)</f>
        <v/>
      </c>
      <c r="Y1128" s="27">
        <f>IF(OR(NOT(ISNUMBER($W1128)),$AO1128=1),"",$W1128-(COUNTIFS($A$14:$A$1213,$A1128,$F$14:$F$1213,"&gt;=0")+1)/2)</f>
        <v/>
      </c>
      <c r="Z1128" s="27">
        <f>IF(ISNUMBER($V1128),$A1128&amp;"|"&amp;$V1128,"")</f>
        <v/>
      </c>
      <c r="AA1128" s="27">
        <f>IF(ISNUMBER($W1128),$A1128&amp;"|"&amp;$W1128,"")</f>
        <v/>
      </c>
      <c r="AB1128" s="27">
        <f>IF(ISNUMBER($F1128),$A1128&amp;"|"&amp;$F1128,"")</f>
        <v/>
      </c>
      <c r="AC1128" s="27">
        <f>IF(ISNUMBER($P1128),COUNTIFS($A$14:$A$1213,$A1128,$P$14:$P$1213,"&gt;"&amp;$P1128)+(COUNTIFS($A$14:$A$1213,$A1128,$P$14:$P$1213,"="&amp;$P1128)+1)/2,"")</f>
        <v/>
      </c>
      <c r="AD1128" s="27">
        <f>IF(ISNUMBER($Q1128),COUNTIFS($A$14:$A$1213,$A1128,$Q$14:$Q$1213,"&gt;"&amp;$Q1128)+(COUNTIFS($A$14:$A$1213,$A1128,$Q$14:$Q$1213,"="&amp;$Q1128)+1)/2,"")</f>
        <v/>
      </c>
      <c r="AE1128" s="27">
        <f>IF(ISNUMBER($R1128),COUNTIFS($A$14:$A$1213,$A1128,$R$14:$R$1213,"&gt;"&amp;$R1128)+(COUNTIFS($A$14:$A$1213,$A1128,$R$14:$R$1213,"="&amp;$R1128)+1)/2,"")</f>
        <v/>
      </c>
      <c r="AF1128" s="27">
        <f>IF(ISNUMBER($S1128),COUNTIFS($A$14:$A$1213,$A1128,$S$14:$S$1213,"&gt;"&amp;$S1128)+(COUNTIFS($A$14:$A$1213,$A1128,$S$14:$S$1213,"="&amp;$S1128)+1)/2,"")</f>
        <v/>
      </c>
      <c r="AG1128" s="27">
        <f>IF(ISNUMBER($T1128),COUNTIFS($A$14:$A$1213,$A1128,$T$14:$T$1213,"&gt;"&amp;$T1128)+(COUNTIFS($A$14:$A$1213,$A1128,$T$14:$T$1213,"="&amp;$T1128)+1)/2,"")</f>
        <v/>
      </c>
      <c r="AH1128" s="27">
        <f>IF(COUNT($AC1128:$AG1128)&lt;2,"",IF(MAX($AC1128:$AG1128)=MIN($AC1128:$AG1128),0,1))</f>
        <v/>
      </c>
      <c r="AI1128" s="27">
        <f>IF($A1128="","",IF(COUNTIF($A$14:$A1128,$A1128)=1,COUNTIF($AI$13:AI1127,"&gt;0")+1,""))</f>
        <v/>
      </c>
      <c r="AO1128" s="27">
        <f>IF($A1128="","",IF(AND(COUNTIFS($A$14:$A$1213,$A1128,$F$14:$F$1213,"&gt;=0")=2,IFERROR(INDEX($M$14:$M$313,MATCH($A1128,$H$14:$H$313,0)),"Yes")&lt;&gt;"Yes"),1,0))</f>
        <v/>
      </c>
    </row>
    <row r="1129">
      <c r="A1129" s="19" t="n"/>
      <c r="B1129" s="20" t="n"/>
      <c r="C1129" s="21">
        <f>IFERROR(AVERAGE(P1129:T1129),"")</f>
        <v/>
      </c>
      <c r="D1129" s="29" t="n"/>
      <c r="E1129" s="29" t="n"/>
      <c r="F1129" s="30">
        <f>IF(AND(ISNUMBER($D1129),ISNUMBER($E1129),$E1129&gt;0,$D1129&lt;=$E1129),$D1129/$E1129,"")</f>
        <v/>
      </c>
      <c r="P1129" s="26" t="n"/>
      <c r="Q1129" s="26" t="n"/>
      <c r="R1129" s="26" t="n"/>
      <c r="S1129" s="26" t="n"/>
      <c r="T1129" s="26" t="n"/>
      <c r="V1129" s="27">
        <f>IF(ISNUMBER($C1129),COUNTIFS($A$14:$A$1213,$A1129,$C$14:$C$1213,"&gt;"&amp;$C1129)+(COUNTIFS($A$14:$A$1213,$A1129,$C$14:$C$1213,"="&amp;$C1129)+1)/2,"")</f>
        <v/>
      </c>
      <c r="W1129" s="27">
        <f>IF(ISNUMBER($F1129),COUNTIFS($A$14:$A$1213,$A1129,$F$14:$F$1213,"&gt;"&amp;$F1129)+(COUNTIFS($A$14:$A$1213,$A1129,$F$14:$F$1213,"="&amp;$F1129)+1)/2,"")</f>
        <v/>
      </c>
      <c r="X1129" s="27">
        <f>IF(OR(NOT(ISNUMBER($V1129)),$AO1129=1),"",$V1129-(COUNTIFS($A$14:$A$1213,$A1129,$C$14:$C$1213,"&gt;=0")+1)/2)</f>
        <v/>
      </c>
      <c r="Y1129" s="27">
        <f>IF(OR(NOT(ISNUMBER($W1129)),$AO1129=1),"",$W1129-(COUNTIFS($A$14:$A$1213,$A1129,$F$14:$F$1213,"&gt;=0")+1)/2)</f>
        <v/>
      </c>
      <c r="Z1129" s="27">
        <f>IF(ISNUMBER($V1129),$A1129&amp;"|"&amp;$V1129,"")</f>
        <v/>
      </c>
      <c r="AA1129" s="27">
        <f>IF(ISNUMBER($W1129),$A1129&amp;"|"&amp;$W1129,"")</f>
        <v/>
      </c>
      <c r="AB1129" s="27">
        <f>IF(ISNUMBER($F1129),$A1129&amp;"|"&amp;$F1129,"")</f>
        <v/>
      </c>
      <c r="AC1129" s="27">
        <f>IF(ISNUMBER($P1129),COUNTIFS($A$14:$A$1213,$A1129,$P$14:$P$1213,"&gt;"&amp;$P1129)+(COUNTIFS($A$14:$A$1213,$A1129,$P$14:$P$1213,"="&amp;$P1129)+1)/2,"")</f>
        <v/>
      </c>
      <c r="AD1129" s="27">
        <f>IF(ISNUMBER($Q1129),COUNTIFS($A$14:$A$1213,$A1129,$Q$14:$Q$1213,"&gt;"&amp;$Q1129)+(COUNTIFS($A$14:$A$1213,$A1129,$Q$14:$Q$1213,"="&amp;$Q1129)+1)/2,"")</f>
        <v/>
      </c>
      <c r="AE1129" s="27">
        <f>IF(ISNUMBER($R1129),COUNTIFS($A$14:$A$1213,$A1129,$R$14:$R$1213,"&gt;"&amp;$R1129)+(COUNTIFS($A$14:$A$1213,$A1129,$R$14:$R$1213,"="&amp;$R1129)+1)/2,"")</f>
        <v/>
      </c>
      <c r="AF1129" s="27">
        <f>IF(ISNUMBER($S1129),COUNTIFS($A$14:$A$1213,$A1129,$S$14:$S$1213,"&gt;"&amp;$S1129)+(COUNTIFS($A$14:$A$1213,$A1129,$S$14:$S$1213,"="&amp;$S1129)+1)/2,"")</f>
        <v/>
      </c>
      <c r="AG1129" s="27">
        <f>IF(ISNUMBER($T1129),COUNTIFS($A$14:$A$1213,$A1129,$T$14:$T$1213,"&gt;"&amp;$T1129)+(COUNTIFS($A$14:$A$1213,$A1129,$T$14:$T$1213,"="&amp;$T1129)+1)/2,"")</f>
        <v/>
      </c>
      <c r="AH1129" s="27">
        <f>IF(COUNT($AC1129:$AG1129)&lt;2,"",IF(MAX($AC1129:$AG1129)=MIN($AC1129:$AG1129),0,1))</f>
        <v/>
      </c>
      <c r="AI1129" s="27">
        <f>IF($A1129="","",IF(COUNTIF($A$14:$A1129,$A1129)=1,COUNTIF($AI$13:AI1128,"&gt;0")+1,""))</f>
        <v/>
      </c>
      <c r="AO1129" s="27">
        <f>IF($A1129="","",IF(AND(COUNTIFS($A$14:$A$1213,$A1129,$F$14:$F$1213,"&gt;=0")=2,IFERROR(INDEX($M$14:$M$313,MATCH($A1129,$H$14:$H$313,0)),"Yes")&lt;&gt;"Yes"),1,0))</f>
        <v/>
      </c>
    </row>
    <row r="1130">
      <c r="A1130" s="19" t="n"/>
      <c r="B1130" s="20" t="n"/>
      <c r="C1130" s="21">
        <f>IFERROR(AVERAGE(P1130:T1130),"")</f>
        <v/>
      </c>
      <c r="D1130" s="29" t="n"/>
      <c r="E1130" s="29" t="n"/>
      <c r="F1130" s="30">
        <f>IF(AND(ISNUMBER($D1130),ISNUMBER($E1130),$E1130&gt;0,$D1130&lt;=$E1130),$D1130/$E1130,"")</f>
        <v/>
      </c>
      <c r="P1130" s="26" t="n"/>
      <c r="Q1130" s="26" t="n"/>
      <c r="R1130" s="26" t="n"/>
      <c r="S1130" s="26" t="n"/>
      <c r="T1130" s="26" t="n"/>
      <c r="V1130" s="27">
        <f>IF(ISNUMBER($C1130),COUNTIFS($A$14:$A$1213,$A1130,$C$14:$C$1213,"&gt;"&amp;$C1130)+(COUNTIFS($A$14:$A$1213,$A1130,$C$14:$C$1213,"="&amp;$C1130)+1)/2,"")</f>
        <v/>
      </c>
      <c r="W1130" s="27">
        <f>IF(ISNUMBER($F1130),COUNTIFS($A$14:$A$1213,$A1130,$F$14:$F$1213,"&gt;"&amp;$F1130)+(COUNTIFS($A$14:$A$1213,$A1130,$F$14:$F$1213,"="&amp;$F1130)+1)/2,"")</f>
        <v/>
      </c>
      <c r="X1130" s="27">
        <f>IF(OR(NOT(ISNUMBER($V1130)),$AO1130=1),"",$V1130-(COUNTIFS($A$14:$A$1213,$A1130,$C$14:$C$1213,"&gt;=0")+1)/2)</f>
        <v/>
      </c>
      <c r="Y1130" s="27">
        <f>IF(OR(NOT(ISNUMBER($W1130)),$AO1130=1),"",$W1130-(COUNTIFS($A$14:$A$1213,$A1130,$F$14:$F$1213,"&gt;=0")+1)/2)</f>
        <v/>
      </c>
      <c r="Z1130" s="27">
        <f>IF(ISNUMBER($V1130),$A1130&amp;"|"&amp;$V1130,"")</f>
        <v/>
      </c>
      <c r="AA1130" s="27">
        <f>IF(ISNUMBER($W1130),$A1130&amp;"|"&amp;$W1130,"")</f>
        <v/>
      </c>
      <c r="AB1130" s="27">
        <f>IF(ISNUMBER($F1130),$A1130&amp;"|"&amp;$F1130,"")</f>
        <v/>
      </c>
      <c r="AC1130" s="27">
        <f>IF(ISNUMBER($P1130),COUNTIFS($A$14:$A$1213,$A1130,$P$14:$P$1213,"&gt;"&amp;$P1130)+(COUNTIFS($A$14:$A$1213,$A1130,$P$14:$P$1213,"="&amp;$P1130)+1)/2,"")</f>
        <v/>
      </c>
      <c r="AD1130" s="27">
        <f>IF(ISNUMBER($Q1130),COUNTIFS($A$14:$A$1213,$A1130,$Q$14:$Q$1213,"&gt;"&amp;$Q1130)+(COUNTIFS($A$14:$A$1213,$A1130,$Q$14:$Q$1213,"="&amp;$Q1130)+1)/2,"")</f>
        <v/>
      </c>
      <c r="AE1130" s="27">
        <f>IF(ISNUMBER($R1130),COUNTIFS($A$14:$A$1213,$A1130,$R$14:$R$1213,"&gt;"&amp;$R1130)+(COUNTIFS($A$14:$A$1213,$A1130,$R$14:$R$1213,"="&amp;$R1130)+1)/2,"")</f>
        <v/>
      </c>
      <c r="AF1130" s="27">
        <f>IF(ISNUMBER($S1130),COUNTIFS($A$14:$A$1213,$A1130,$S$14:$S$1213,"&gt;"&amp;$S1130)+(COUNTIFS($A$14:$A$1213,$A1130,$S$14:$S$1213,"="&amp;$S1130)+1)/2,"")</f>
        <v/>
      </c>
      <c r="AG1130" s="27">
        <f>IF(ISNUMBER($T1130),COUNTIFS($A$14:$A$1213,$A1130,$T$14:$T$1213,"&gt;"&amp;$T1130)+(COUNTIFS($A$14:$A$1213,$A1130,$T$14:$T$1213,"="&amp;$T1130)+1)/2,"")</f>
        <v/>
      </c>
      <c r="AH1130" s="27">
        <f>IF(COUNT($AC1130:$AG1130)&lt;2,"",IF(MAX($AC1130:$AG1130)=MIN($AC1130:$AG1130),0,1))</f>
        <v/>
      </c>
      <c r="AI1130" s="27">
        <f>IF($A1130="","",IF(COUNTIF($A$14:$A1130,$A1130)=1,COUNTIF($AI$13:AI1129,"&gt;0")+1,""))</f>
        <v/>
      </c>
      <c r="AO1130" s="27">
        <f>IF($A1130="","",IF(AND(COUNTIFS($A$14:$A$1213,$A1130,$F$14:$F$1213,"&gt;=0")=2,IFERROR(INDEX($M$14:$M$313,MATCH($A1130,$H$14:$H$313,0)),"Yes")&lt;&gt;"Yes"),1,0))</f>
        <v/>
      </c>
    </row>
    <row r="1131">
      <c r="A1131" s="19" t="n"/>
      <c r="B1131" s="20" t="n"/>
      <c r="C1131" s="21">
        <f>IFERROR(AVERAGE(P1131:T1131),"")</f>
        <v/>
      </c>
      <c r="D1131" s="29" t="n"/>
      <c r="E1131" s="29" t="n"/>
      <c r="F1131" s="30">
        <f>IF(AND(ISNUMBER($D1131),ISNUMBER($E1131),$E1131&gt;0,$D1131&lt;=$E1131),$D1131/$E1131,"")</f>
        <v/>
      </c>
      <c r="P1131" s="26" t="n"/>
      <c r="Q1131" s="26" t="n"/>
      <c r="R1131" s="26" t="n"/>
      <c r="S1131" s="26" t="n"/>
      <c r="T1131" s="26" t="n"/>
      <c r="V1131" s="27">
        <f>IF(ISNUMBER($C1131),COUNTIFS($A$14:$A$1213,$A1131,$C$14:$C$1213,"&gt;"&amp;$C1131)+(COUNTIFS($A$14:$A$1213,$A1131,$C$14:$C$1213,"="&amp;$C1131)+1)/2,"")</f>
        <v/>
      </c>
      <c r="W1131" s="27">
        <f>IF(ISNUMBER($F1131),COUNTIFS($A$14:$A$1213,$A1131,$F$14:$F$1213,"&gt;"&amp;$F1131)+(COUNTIFS($A$14:$A$1213,$A1131,$F$14:$F$1213,"="&amp;$F1131)+1)/2,"")</f>
        <v/>
      </c>
      <c r="X1131" s="27">
        <f>IF(OR(NOT(ISNUMBER($V1131)),$AO1131=1),"",$V1131-(COUNTIFS($A$14:$A$1213,$A1131,$C$14:$C$1213,"&gt;=0")+1)/2)</f>
        <v/>
      </c>
      <c r="Y1131" s="27">
        <f>IF(OR(NOT(ISNUMBER($W1131)),$AO1131=1),"",$W1131-(COUNTIFS($A$14:$A$1213,$A1131,$F$14:$F$1213,"&gt;=0")+1)/2)</f>
        <v/>
      </c>
      <c r="Z1131" s="27">
        <f>IF(ISNUMBER($V1131),$A1131&amp;"|"&amp;$V1131,"")</f>
        <v/>
      </c>
      <c r="AA1131" s="27">
        <f>IF(ISNUMBER($W1131),$A1131&amp;"|"&amp;$W1131,"")</f>
        <v/>
      </c>
      <c r="AB1131" s="27">
        <f>IF(ISNUMBER($F1131),$A1131&amp;"|"&amp;$F1131,"")</f>
        <v/>
      </c>
      <c r="AC1131" s="27">
        <f>IF(ISNUMBER($P1131),COUNTIFS($A$14:$A$1213,$A1131,$P$14:$P$1213,"&gt;"&amp;$P1131)+(COUNTIFS($A$14:$A$1213,$A1131,$P$14:$P$1213,"="&amp;$P1131)+1)/2,"")</f>
        <v/>
      </c>
      <c r="AD1131" s="27">
        <f>IF(ISNUMBER($Q1131),COUNTIFS($A$14:$A$1213,$A1131,$Q$14:$Q$1213,"&gt;"&amp;$Q1131)+(COUNTIFS($A$14:$A$1213,$A1131,$Q$14:$Q$1213,"="&amp;$Q1131)+1)/2,"")</f>
        <v/>
      </c>
      <c r="AE1131" s="27">
        <f>IF(ISNUMBER($R1131),COUNTIFS($A$14:$A$1213,$A1131,$R$14:$R$1213,"&gt;"&amp;$R1131)+(COUNTIFS($A$14:$A$1213,$A1131,$R$14:$R$1213,"="&amp;$R1131)+1)/2,"")</f>
        <v/>
      </c>
      <c r="AF1131" s="27">
        <f>IF(ISNUMBER($S1131),COUNTIFS($A$14:$A$1213,$A1131,$S$14:$S$1213,"&gt;"&amp;$S1131)+(COUNTIFS($A$14:$A$1213,$A1131,$S$14:$S$1213,"="&amp;$S1131)+1)/2,"")</f>
        <v/>
      </c>
      <c r="AG1131" s="27">
        <f>IF(ISNUMBER($T1131),COUNTIFS($A$14:$A$1213,$A1131,$T$14:$T$1213,"&gt;"&amp;$T1131)+(COUNTIFS($A$14:$A$1213,$A1131,$T$14:$T$1213,"="&amp;$T1131)+1)/2,"")</f>
        <v/>
      </c>
      <c r="AH1131" s="27">
        <f>IF(COUNT($AC1131:$AG1131)&lt;2,"",IF(MAX($AC1131:$AG1131)=MIN($AC1131:$AG1131),0,1))</f>
        <v/>
      </c>
      <c r="AI1131" s="27">
        <f>IF($A1131="","",IF(COUNTIF($A$14:$A1131,$A1131)=1,COUNTIF($AI$13:AI1130,"&gt;0")+1,""))</f>
        <v/>
      </c>
      <c r="AO1131" s="27">
        <f>IF($A1131="","",IF(AND(COUNTIFS($A$14:$A$1213,$A1131,$F$14:$F$1213,"&gt;=0")=2,IFERROR(INDEX($M$14:$M$313,MATCH($A1131,$H$14:$H$313,0)),"Yes")&lt;&gt;"Yes"),1,0))</f>
        <v/>
      </c>
    </row>
    <row r="1132">
      <c r="A1132" s="19" t="n"/>
      <c r="B1132" s="20" t="n"/>
      <c r="C1132" s="21">
        <f>IFERROR(AVERAGE(P1132:T1132),"")</f>
        <v/>
      </c>
      <c r="D1132" s="29" t="n"/>
      <c r="E1132" s="29" t="n"/>
      <c r="F1132" s="30">
        <f>IF(AND(ISNUMBER($D1132),ISNUMBER($E1132),$E1132&gt;0,$D1132&lt;=$E1132),$D1132/$E1132,"")</f>
        <v/>
      </c>
      <c r="P1132" s="26" t="n"/>
      <c r="Q1132" s="26" t="n"/>
      <c r="R1132" s="26" t="n"/>
      <c r="S1132" s="26" t="n"/>
      <c r="T1132" s="26" t="n"/>
      <c r="V1132" s="27">
        <f>IF(ISNUMBER($C1132),COUNTIFS($A$14:$A$1213,$A1132,$C$14:$C$1213,"&gt;"&amp;$C1132)+(COUNTIFS($A$14:$A$1213,$A1132,$C$14:$C$1213,"="&amp;$C1132)+1)/2,"")</f>
        <v/>
      </c>
      <c r="W1132" s="27">
        <f>IF(ISNUMBER($F1132),COUNTIFS($A$14:$A$1213,$A1132,$F$14:$F$1213,"&gt;"&amp;$F1132)+(COUNTIFS($A$14:$A$1213,$A1132,$F$14:$F$1213,"="&amp;$F1132)+1)/2,"")</f>
        <v/>
      </c>
      <c r="X1132" s="27">
        <f>IF(OR(NOT(ISNUMBER($V1132)),$AO1132=1),"",$V1132-(COUNTIFS($A$14:$A$1213,$A1132,$C$14:$C$1213,"&gt;=0")+1)/2)</f>
        <v/>
      </c>
      <c r="Y1132" s="27">
        <f>IF(OR(NOT(ISNUMBER($W1132)),$AO1132=1),"",$W1132-(COUNTIFS($A$14:$A$1213,$A1132,$F$14:$F$1213,"&gt;=0")+1)/2)</f>
        <v/>
      </c>
      <c r="Z1132" s="27">
        <f>IF(ISNUMBER($V1132),$A1132&amp;"|"&amp;$V1132,"")</f>
        <v/>
      </c>
      <c r="AA1132" s="27">
        <f>IF(ISNUMBER($W1132),$A1132&amp;"|"&amp;$W1132,"")</f>
        <v/>
      </c>
      <c r="AB1132" s="27">
        <f>IF(ISNUMBER($F1132),$A1132&amp;"|"&amp;$F1132,"")</f>
        <v/>
      </c>
      <c r="AC1132" s="27">
        <f>IF(ISNUMBER($P1132),COUNTIFS($A$14:$A$1213,$A1132,$P$14:$P$1213,"&gt;"&amp;$P1132)+(COUNTIFS($A$14:$A$1213,$A1132,$P$14:$P$1213,"="&amp;$P1132)+1)/2,"")</f>
        <v/>
      </c>
      <c r="AD1132" s="27">
        <f>IF(ISNUMBER($Q1132),COUNTIFS($A$14:$A$1213,$A1132,$Q$14:$Q$1213,"&gt;"&amp;$Q1132)+(COUNTIFS($A$14:$A$1213,$A1132,$Q$14:$Q$1213,"="&amp;$Q1132)+1)/2,"")</f>
        <v/>
      </c>
      <c r="AE1132" s="27">
        <f>IF(ISNUMBER($R1132),COUNTIFS($A$14:$A$1213,$A1132,$R$14:$R$1213,"&gt;"&amp;$R1132)+(COUNTIFS($A$14:$A$1213,$A1132,$R$14:$R$1213,"="&amp;$R1132)+1)/2,"")</f>
        <v/>
      </c>
      <c r="AF1132" s="27">
        <f>IF(ISNUMBER($S1132),COUNTIFS($A$14:$A$1213,$A1132,$S$14:$S$1213,"&gt;"&amp;$S1132)+(COUNTIFS($A$14:$A$1213,$A1132,$S$14:$S$1213,"="&amp;$S1132)+1)/2,"")</f>
        <v/>
      </c>
      <c r="AG1132" s="27">
        <f>IF(ISNUMBER($T1132),COUNTIFS($A$14:$A$1213,$A1132,$T$14:$T$1213,"&gt;"&amp;$T1132)+(COUNTIFS($A$14:$A$1213,$A1132,$T$14:$T$1213,"="&amp;$T1132)+1)/2,"")</f>
        <v/>
      </c>
      <c r="AH1132" s="27">
        <f>IF(COUNT($AC1132:$AG1132)&lt;2,"",IF(MAX($AC1132:$AG1132)=MIN($AC1132:$AG1132),0,1))</f>
        <v/>
      </c>
      <c r="AI1132" s="27">
        <f>IF($A1132="","",IF(COUNTIF($A$14:$A1132,$A1132)=1,COUNTIF($AI$13:AI1131,"&gt;0")+1,""))</f>
        <v/>
      </c>
      <c r="AO1132" s="27">
        <f>IF($A1132="","",IF(AND(COUNTIFS($A$14:$A$1213,$A1132,$F$14:$F$1213,"&gt;=0")=2,IFERROR(INDEX($M$14:$M$313,MATCH($A1132,$H$14:$H$313,0)),"Yes")&lt;&gt;"Yes"),1,0))</f>
        <v/>
      </c>
    </row>
    <row r="1133">
      <c r="A1133" s="19" t="n"/>
      <c r="B1133" s="20" t="n"/>
      <c r="C1133" s="21">
        <f>IFERROR(AVERAGE(P1133:T1133),"")</f>
        <v/>
      </c>
      <c r="D1133" s="29" t="n"/>
      <c r="E1133" s="29" t="n"/>
      <c r="F1133" s="30">
        <f>IF(AND(ISNUMBER($D1133),ISNUMBER($E1133),$E1133&gt;0,$D1133&lt;=$E1133),$D1133/$E1133,"")</f>
        <v/>
      </c>
      <c r="P1133" s="26" t="n"/>
      <c r="Q1133" s="26" t="n"/>
      <c r="R1133" s="26" t="n"/>
      <c r="S1133" s="26" t="n"/>
      <c r="T1133" s="26" t="n"/>
      <c r="V1133" s="27">
        <f>IF(ISNUMBER($C1133),COUNTIFS($A$14:$A$1213,$A1133,$C$14:$C$1213,"&gt;"&amp;$C1133)+(COUNTIFS($A$14:$A$1213,$A1133,$C$14:$C$1213,"="&amp;$C1133)+1)/2,"")</f>
        <v/>
      </c>
      <c r="W1133" s="27">
        <f>IF(ISNUMBER($F1133),COUNTIFS($A$14:$A$1213,$A1133,$F$14:$F$1213,"&gt;"&amp;$F1133)+(COUNTIFS($A$14:$A$1213,$A1133,$F$14:$F$1213,"="&amp;$F1133)+1)/2,"")</f>
        <v/>
      </c>
      <c r="X1133" s="27">
        <f>IF(OR(NOT(ISNUMBER($V1133)),$AO1133=1),"",$V1133-(COUNTIFS($A$14:$A$1213,$A1133,$C$14:$C$1213,"&gt;=0")+1)/2)</f>
        <v/>
      </c>
      <c r="Y1133" s="27">
        <f>IF(OR(NOT(ISNUMBER($W1133)),$AO1133=1),"",$W1133-(COUNTIFS($A$14:$A$1213,$A1133,$F$14:$F$1213,"&gt;=0")+1)/2)</f>
        <v/>
      </c>
      <c r="Z1133" s="27">
        <f>IF(ISNUMBER($V1133),$A1133&amp;"|"&amp;$V1133,"")</f>
        <v/>
      </c>
      <c r="AA1133" s="27">
        <f>IF(ISNUMBER($W1133),$A1133&amp;"|"&amp;$W1133,"")</f>
        <v/>
      </c>
      <c r="AB1133" s="27">
        <f>IF(ISNUMBER($F1133),$A1133&amp;"|"&amp;$F1133,"")</f>
        <v/>
      </c>
      <c r="AC1133" s="27">
        <f>IF(ISNUMBER($P1133),COUNTIFS($A$14:$A$1213,$A1133,$P$14:$P$1213,"&gt;"&amp;$P1133)+(COUNTIFS($A$14:$A$1213,$A1133,$P$14:$P$1213,"="&amp;$P1133)+1)/2,"")</f>
        <v/>
      </c>
      <c r="AD1133" s="27">
        <f>IF(ISNUMBER($Q1133),COUNTIFS($A$14:$A$1213,$A1133,$Q$14:$Q$1213,"&gt;"&amp;$Q1133)+(COUNTIFS($A$14:$A$1213,$A1133,$Q$14:$Q$1213,"="&amp;$Q1133)+1)/2,"")</f>
        <v/>
      </c>
      <c r="AE1133" s="27">
        <f>IF(ISNUMBER($R1133),COUNTIFS($A$14:$A$1213,$A1133,$R$14:$R$1213,"&gt;"&amp;$R1133)+(COUNTIFS($A$14:$A$1213,$A1133,$R$14:$R$1213,"="&amp;$R1133)+1)/2,"")</f>
        <v/>
      </c>
      <c r="AF1133" s="27">
        <f>IF(ISNUMBER($S1133),COUNTIFS($A$14:$A$1213,$A1133,$S$14:$S$1213,"&gt;"&amp;$S1133)+(COUNTIFS($A$14:$A$1213,$A1133,$S$14:$S$1213,"="&amp;$S1133)+1)/2,"")</f>
        <v/>
      </c>
      <c r="AG1133" s="27">
        <f>IF(ISNUMBER($T1133),COUNTIFS($A$14:$A$1213,$A1133,$T$14:$T$1213,"&gt;"&amp;$T1133)+(COUNTIFS($A$14:$A$1213,$A1133,$T$14:$T$1213,"="&amp;$T1133)+1)/2,"")</f>
        <v/>
      </c>
      <c r="AH1133" s="27">
        <f>IF(COUNT($AC1133:$AG1133)&lt;2,"",IF(MAX($AC1133:$AG1133)=MIN($AC1133:$AG1133),0,1))</f>
        <v/>
      </c>
      <c r="AI1133" s="27">
        <f>IF($A1133="","",IF(COUNTIF($A$14:$A1133,$A1133)=1,COUNTIF($AI$13:AI1132,"&gt;0")+1,""))</f>
        <v/>
      </c>
      <c r="AO1133" s="27">
        <f>IF($A1133="","",IF(AND(COUNTIFS($A$14:$A$1213,$A1133,$F$14:$F$1213,"&gt;=0")=2,IFERROR(INDEX($M$14:$M$313,MATCH($A1133,$H$14:$H$313,0)),"Yes")&lt;&gt;"Yes"),1,0))</f>
        <v/>
      </c>
    </row>
    <row r="1134">
      <c r="A1134" s="19" t="n"/>
      <c r="B1134" s="20" t="n"/>
      <c r="C1134" s="21">
        <f>IFERROR(AVERAGE(P1134:T1134),"")</f>
        <v/>
      </c>
      <c r="D1134" s="29" t="n"/>
      <c r="E1134" s="29" t="n"/>
      <c r="F1134" s="30">
        <f>IF(AND(ISNUMBER($D1134),ISNUMBER($E1134),$E1134&gt;0,$D1134&lt;=$E1134),$D1134/$E1134,"")</f>
        <v/>
      </c>
      <c r="P1134" s="26" t="n"/>
      <c r="Q1134" s="26" t="n"/>
      <c r="R1134" s="26" t="n"/>
      <c r="S1134" s="26" t="n"/>
      <c r="T1134" s="26" t="n"/>
      <c r="V1134" s="27">
        <f>IF(ISNUMBER($C1134),COUNTIFS($A$14:$A$1213,$A1134,$C$14:$C$1213,"&gt;"&amp;$C1134)+(COUNTIFS($A$14:$A$1213,$A1134,$C$14:$C$1213,"="&amp;$C1134)+1)/2,"")</f>
        <v/>
      </c>
      <c r="W1134" s="27">
        <f>IF(ISNUMBER($F1134),COUNTIFS($A$14:$A$1213,$A1134,$F$14:$F$1213,"&gt;"&amp;$F1134)+(COUNTIFS($A$14:$A$1213,$A1134,$F$14:$F$1213,"="&amp;$F1134)+1)/2,"")</f>
        <v/>
      </c>
      <c r="X1134" s="27">
        <f>IF(OR(NOT(ISNUMBER($V1134)),$AO1134=1),"",$V1134-(COUNTIFS($A$14:$A$1213,$A1134,$C$14:$C$1213,"&gt;=0")+1)/2)</f>
        <v/>
      </c>
      <c r="Y1134" s="27">
        <f>IF(OR(NOT(ISNUMBER($W1134)),$AO1134=1),"",$W1134-(COUNTIFS($A$14:$A$1213,$A1134,$F$14:$F$1213,"&gt;=0")+1)/2)</f>
        <v/>
      </c>
      <c r="Z1134" s="27">
        <f>IF(ISNUMBER($V1134),$A1134&amp;"|"&amp;$V1134,"")</f>
        <v/>
      </c>
      <c r="AA1134" s="27">
        <f>IF(ISNUMBER($W1134),$A1134&amp;"|"&amp;$W1134,"")</f>
        <v/>
      </c>
      <c r="AB1134" s="27">
        <f>IF(ISNUMBER($F1134),$A1134&amp;"|"&amp;$F1134,"")</f>
        <v/>
      </c>
      <c r="AC1134" s="27">
        <f>IF(ISNUMBER($P1134),COUNTIFS($A$14:$A$1213,$A1134,$P$14:$P$1213,"&gt;"&amp;$P1134)+(COUNTIFS($A$14:$A$1213,$A1134,$P$14:$P$1213,"="&amp;$P1134)+1)/2,"")</f>
        <v/>
      </c>
      <c r="AD1134" s="27">
        <f>IF(ISNUMBER($Q1134),COUNTIFS($A$14:$A$1213,$A1134,$Q$14:$Q$1213,"&gt;"&amp;$Q1134)+(COUNTIFS($A$14:$A$1213,$A1134,$Q$14:$Q$1213,"="&amp;$Q1134)+1)/2,"")</f>
        <v/>
      </c>
      <c r="AE1134" s="27">
        <f>IF(ISNUMBER($R1134),COUNTIFS($A$14:$A$1213,$A1134,$R$14:$R$1213,"&gt;"&amp;$R1134)+(COUNTIFS($A$14:$A$1213,$A1134,$R$14:$R$1213,"="&amp;$R1134)+1)/2,"")</f>
        <v/>
      </c>
      <c r="AF1134" s="27">
        <f>IF(ISNUMBER($S1134),COUNTIFS($A$14:$A$1213,$A1134,$S$14:$S$1213,"&gt;"&amp;$S1134)+(COUNTIFS($A$14:$A$1213,$A1134,$S$14:$S$1213,"="&amp;$S1134)+1)/2,"")</f>
        <v/>
      </c>
      <c r="AG1134" s="27">
        <f>IF(ISNUMBER($T1134),COUNTIFS($A$14:$A$1213,$A1134,$T$14:$T$1213,"&gt;"&amp;$T1134)+(COUNTIFS($A$14:$A$1213,$A1134,$T$14:$T$1213,"="&amp;$T1134)+1)/2,"")</f>
        <v/>
      </c>
      <c r="AH1134" s="27">
        <f>IF(COUNT($AC1134:$AG1134)&lt;2,"",IF(MAX($AC1134:$AG1134)=MIN($AC1134:$AG1134),0,1))</f>
        <v/>
      </c>
      <c r="AI1134" s="27">
        <f>IF($A1134="","",IF(COUNTIF($A$14:$A1134,$A1134)=1,COUNTIF($AI$13:AI1133,"&gt;0")+1,""))</f>
        <v/>
      </c>
      <c r="AO1134" s="27">
        <f>IF($A1134="","",IF(AND(COUNTIFS($A$14:$A$1213,$A1134,$F$14:$F$1213,"&gt;=0")=2,IFERROR(INDEX($M$14:$M$313,MATCH($A1134,$H$14:$H$313,0)),"Yes")&lt;&gt;"Yes"),1,0))</f>
        <v/>
      </c>
    </row>
    <row r="1135">
      <c r="A1135" s="19" t="n"/>
      <c r="B1135" s="20" t="n"/>
      <c r="C1135" s="21">
        <f>IFERROR(AVERAGE(P1135:T1135),"")</f>
        <v/>
      </c>
      <c r="D1135" s="29" t="n"/>
      <c r="E1135" s="29" t="n"/>
      <c r="F1135" s="30">
        <f>IF(AND(ISNUMBER($D1135),ISNUMBER($E1135),$E1135&gt;0,$D1135&lt;=$E1135),$D1135/$E1135,"")</f>
        <v/>
      </c>
      <c r="P1135" s="26" t="n"/>
      <c r="Q1135" s="26" t="n"/>
      <c r="R1135" s="26" t="n"/>
      <c r="S1135" s="26" t="n"/>
      <c r="T1135" s="26" t="n"/>
      <c r="V1135" s="27">
        <f>IF(ISNUMBER($C1135),COUNTIFS($A$14:$A$1213,$A1135,$C$14:$C$1213,"&gt;"&amp;$C1135)+(COUNTIFS($A$14:$A$1213,$A1135,$C$14:$C$1213,"="&amp;$C1135)+1)/2,"")</f>
        <v/>
      </c>
      <c r="W1135" s="27">
        <f>IF(ISNUMBER($F1135),COUNTIFS($A$14:$A$1213,$A1135,$F$14:$F$1213,"&gt;"&amp;$F1135)+(COUNTIFS($A$14:$A$1213,$A1135,$F$14:$F$1213,"="&amp;$F1135)+1)/2,"")</f>
        <v/>
      </c>
      <c r="X1135" s="27">
        <f>IF(OR(NOT(ISNUMBER($V1135)),$AO1135=1),"",$V1135-(COUNTIFS($A$14:$A$1213,$A1135,$C$14:$C$1213,"&gt;=0")+1)/2)</f>
        <v/>
      </c>
      <c r="Y1135" s="27">
        <f>IF(OR(NOT(ISNUMBER($W1135)),$AO1135=1),"",$W1135-(COUNTIFS($A$14:$A$1213,$A1135,$F$14:$F$1213,"&gt;=0")+1)/2)</f>
        <v/>
      </c>
      <c r="Z1135" s="27">
        <f>IF(ISNUMBER($V1135),$A1135&amp;"|"&amp;$V1135,"")</f>
        <v/>
      </c>
      <c r="AA1135" s="27">
        <f>IF(ISNUMBER($W1135),$A1135&amp;"|"&amp;$W1135,"")</f>
        <v/>
      </c>
      <c r="AB1135" s="27">
        <f>IF(ISNUMBER($F1135),$A1135&amp;"|"&amp;$F1135,"")</f>
        <v/>
      </c>
      <c r="AC1135" s="27">
        <f>IF(ISNUMBER($P1135),COUNTIFS($A$14:$A$1213,$A1135,$P$14:$P$1213,"&gt;"&amp;$P1135)+(COUNTIFS($A$14:$A$1213,$A1135,$P$14:$P$1213,"="&amp;$P1135)+1)/2,"")</f>
        <v/>
      </c>
      <c r="AD1135" s="27">
        <f>IF(ISNUMBER($Q1135),COUNTIFS($A$14:$A$1213,$A1135,$Q$14:$Q$1213,"&gt;"&amp;$Q1135)+(COUNTIFS($A$14:$A$1213,$A1135,$Q$14:$Q$1213,"="&amp;$Q1135)+1)/2,"")</f>
        <v/>
      </c>
      <c r="AE1135" s="27">
        <f>IF(ISNUMBER($R1135),COUNTIFS($A$14:$A$1213,$A1135,$R$14:$R$1213,"&gt;"&amp;$R1135)+(COUNTIFS($A$14:$A$1213,$A1135,$R$14:$R$1213,"="&amp;$R1135)+1)/2,"")</f>
        <v/>
      </c>
      <c r="AF1135" s="27">
        <f>IF(ISNUMBER($S1135),COUNTIFS($A$14:$A$1213,$A1135,$S$14:$S$1213,"&gt;"&amp;$S1135)+(COUNTIFS($A$14:$A$1213,$A1135,$S$14:$S$1213,"="&amp;$S1135)+1)/2,"")</f>
        <v/>
      </c>
      <c r="AG1135" s="27">
        <f>IF(ISNUMBER($T1135),COUNTIFS($A$14:$A$1213,$A1135,$T$14:$T$1213,"&gt;"&amp;$T1135)+(COUNTIFS($A$14:$A$1213,$A1135,$T$14:$T$1213,"="&amp;$T1135)+1)/2,"")</f>
        <v/>
      </c>
      <c r="AH1135" s="27">
        <f>IF(COUNT($AC1135:$AG1135)&lt;2,"",IF(MAX($AC1135:$AG1135)=MIN($AC1135:$AG1135),0,1))</f>
        <v/>
      </c>
      <c r="AI1135" s="27">
        <f>IF($A1135="","",IF(COUNTIF($A$14:$A1135,$A1135)=1,COUNTIF($AI$13:AI1134,"&gt;0")+1,""))</f>
        <v/>
      </c>
      <c r="AO1135" s="27">
        <f>IF($A1135="","",IF(AND(COUNTIFS($A$14:$A$1213,$A1135,$F$14:$F$1213,"&gt;=0")=2,IFERROR(INDEX($M$14:$M$313,MATCH($A1135,$H$14:$H$313,0)),"Yes")&lt;&gt;"Yes"),1,0))</f>
        <v/>
      </c>
    </row>
    <row r="1136">
      <c r="A1136" s="19" t="n"/>
      <c r="B1136" s="20" t="n"/>
      <c r="C1136" s="21">
        <f>IFERROR(AVERAGE(P1136:T1136),"")</f>
        <v/>
      </c>
      <c r="D1136" s="29" t="n"/>
      <c r="E1136" s="29" t="n"/>
      <c r="F1136" s="30">
        <f>IF(AND(ISNUMBER($D1136),ISNUMBER($E1136),$E1136&gt;0,$D1136&lt;=$E1136),$D1136/$E1136,"")</f>
        <v/>
      </c>
      <c r="P1136" s="26" t="n"/>
      <c r="Q1136" s="26" t="n"/>
      <c r="R1136" s="26" t="n"/>
      <c r="S1136" s="26" t="n"/>
      <c r="T1136" s="26" t="n"/>
      <c r="V1136" s="27">
        <f>IF(ISNUMBER($C1136),COUNTIFS($A$14:$A$1213,$A1136,$C$14:$C$1213,"&gt;"&amp;$C1136)+(COUNTIFS($A$14:$A$1213,$A1136,$C$14:$C$1213,"="&amp;$C1136)+1)/2,"")</f>
        <v/>
      </c>
      <c r="W1136" s="27">
        <f>IF(ISNUMBER($F1136),COUNTIFS($A$14:$A$1213,$A1136,$F$14:$F$1213,"&gt;"&amp;$F1136)+(COUNTIFS($A$14:$A$1213,$A1136,$F$14:$F$1213,"="&amp;$F1136)+1)/2,"")</f>
        <v/>
      </c>
      <c r="X1136" s="27">
        <f>IF(OR(NOT(ISNUMBER($V1136)),$AO1136=1),"",$V1136-(COUNTIFS($A$14:$A$1213,$A1136,$C$14:$C$1213,"&gt;=0")+1)/2)</f>
        <v/>
      </c>
      <c r="Y1136" s="27">
        <f>IF(OR(NOT(ISNUMBER($W1136)),$AO1136=1),"",$W1136-(COUNTIFS($A$14:$A$1213,$A1136,$F$14:$F$1213,"&gt;=0")+1)/2)</f>
        <v/>
      </c>
      <c r="Z1136" s="27">
        <f>IF(ISNUMBER($V1136),$A1136&amp;"|"&amp;$V1136,"")</f>
        <v/>
      </c>
      <c r="AA1136" s="27">
        <f>IF(ISNUMBER($W1136),$A1136&amp;"|"&amp;$W1136,"")</f>
        <v/>
      </c>
      <c r="AB1136" s="27">
        <f>IF(ISNUMBER($F1136),$A1136&amp;"|"&amp;$F1136,"")</f>
        <v/>
      </c>
      <c r="AC1136" s="27">
        <f>IF(ISNUMBER($P1136),COUNTIFS($A$14:$A$1213,$A1136,$P$14:$P$1213,"&gt;"&amp;$P1136)+(COUNTIFS($A$14:$A$1213,$A1136,$P$14:$P$1213,"="&amp;$P1136)+1)/2,"")</f>
        <v/>
      </c>
      <c r="AD1136" s="27">
        <f>IF(ISNUMBER($Q1136),COUNTIFS($A$14:$A$1213,$A1136,$Q$14:$Q$1213,"&gt;"&amp;$Q1136)+(COUNTIFS($A$14:$A$1213,$A1136,$Q$14:$Q$1213,"="&amp;$Q1136)+1)/2,"")</f>
        <v/>
      </c>
      <c r="AE1136" s="27">
        <f>IF(ISNUMBER($R1136),COUNTIFS($A$14:$A$1213,$A1136,$R$14:$R$1213,"&gt;"&amp;$R1136)+(COUNTIFS($A$14:$A$1213,$A1136,$R$14:$R$1213,"="&amp;$R1136)+1)/2,"")</f>
        <v/>
      </c>
      <c r="AF1136" s="27">
        <f>IF(ISNUMBER($S1136),COUNTIFS($A$14:$A$1213,$A1136,$S$14:$S$1213,"&gt;"&amp;$S1136)+(COUNTIFS($A$14:$A$1213,$A1136,$S$14:$S$1213,"="&amp;$S1136)+1)/2,"")</f>
        <v/>
      </c>
      <c r="AG1136" s="27">
        <f>IF(ISNUMBER($T1136),COUNTIFS($A$14:$A$1213,$A1136,$T$14:$T$1213,"&gt;"&amp;$T1136)+(COUNTIFS($A$14:$A$1213,$A1136,$T$14:$T$1213,"="&amp;$T1136)+1)/2,"")</f>
        <v/>
      </c>
      <c r="AH1136" s="27">
        <f>IF(COUNT($AC1136:$AG1136)&lt;2,"",IF(MAX($AC1136:$AG1136)=MIN($AC1136:$AG1136),0,1))</f>
        <v/>
      </c>
      <c r="AI1136" s="27">
        <f>IF($A1136="","",IF(COUNTIF($A$14:$A1136,$A1136)=1,COUNTIF($AI$13:AI1135,"&gt;0")+1,""))</f>
        <v/>
      </c>
      <c r="AO1136" s="27">
        <f>IF($A1136="","",IF(AND(COUNTIFS($A$14:$A$1213,$A1136,$F$14:$F$1213,"&gt;=0")=2,IFERROR(INDEX($M$14:$M$313,MATCH($A1136,$H$14:$H$313,0)),"Yes")&lt;&gt;"Yes"),1,0))</f>
        <v/>
      </c>
    </row>
    <row r="1137">
      <c r="A1137" s="19" t="n"/>
      <c r="B1137" s="20" t="n"/>
      <c r="C1137" s="21">
        <f>IFERROR(AVERAGE(P1137:T1137),"")</f>
        <v/>
      </c>
      <c r="D1137" s="29" t="n"/>
      <c r="E1137" s="29" t="n"/>
      <c r="F1137" s="30">
        <f>IF(AND(ISNUMBER($D1137),ISNUMBER($E1137),$E1137&gt;0,$D1137&lt;=$E1137),$D1137/$E1137,"")</f>
        <v/>
      </c>
      <c r="P1137" s="26" t="n"/>
      <c r="Q1137" s="26" t="n"/>
      <c r="R1137" s="26" t="n"/>
      <c r="S1137" s="26" t="n"/>
      <c r="T1137" s="26" t="n"/>
      <c r="V1137" s="27">
        <f>IF(ISNUMBER($C1137),COUNTIFS($A$14:$A$1213,$A1137,$C$14:$C$1213,"&gt;"&amp;$C1137)+(COUNTIFS($A$14:$A$1213,$A1137,$C$14:$C$1213,"="&amp;$C1137)+1)/2,"")</f>
        <v/>
      </c>
      <c r="W1137" s="27">
        <f>IF(ISNUMBER($F1137),COUNTIFS($A$14:$A$1213,$A1137,$F$14:$F$1213,"&gt;"&amp;$F1137)+(COUNTIFS($A$14:$A$1213,$A1137,$F$14:$F$1213,"="&amp;$F1137)+1)/2,"")</f>
        <v/>
      </c>
      <c r="X1137" s="27">
        <f>IF(OR(NOT(ISNUMBER($V1137)),$AO1137=1),"",$V1137-(COUNTIFS($A$14:$A$1213,$A1137,$C$14:$C$1213,"&gt;=0")+1)/2)</f>
        <v/>
      </c>
      <c r="Y1137" s="27">
        <f>IF(OR(NOT(ISNUMBER($W1137)),$AO1137=1),"",$W1137-(COUNTIFS($A$14:$A$1213,$A1137,$F$14:$F$1213,"&gt;=0")+1)/2)</f>
        <v/>
      </c>
      <c r="Z1137" s="27">
        <f>IF(ISNUMBER($V1137),$A1137&amp;"|"&amp;$V1137,"")</f>
        <v/>
      </c>
      <c r="AA1137" s="27">
        <f>IF(ISNUMBER($W1137),$A1137&amp;"|"&amp;$W1137,"")</f>
        <v/>
      </c>
      <c r="AB1137" s="27">
        <f>IF(ISNUMBER($F1137),$A1137&amp;"|"&amp;$F1137,"")</f>
        <v/>
      </c>
      <c r="AC1137" s="27">
        <f>IF(ISNUMBER($P1137),COUNTIFS($A$14:$A$1213,$A1137,$P$14:$P$1213,"&gt;"&amp;$P1137)+(COUNTIFS($A$14:$A$1213,$A1137,$P$14:$P$1213,"="&amp;$P1137)+1)/2,"")</f>
        <v/>
      </c>
      <c r="AD1137" s="27">
        <f>IF(ISNUMBER($Q1137),COUNTIFS($A$14:$A$1213,$A1137,$Q$14:$Q$1213,"&gt;"&amp;$Q1137)+(COUNTIFS($A$14:$A$1213,$A1137,$Q$14:$Q$1213,"="&amp;$Q1137)+1)/2,"")</f>
        <v/>
      </c>
      <c r="AE1137" s="27">
        <f>IF(ISNUMBER($R1137),COUNTIFS($A$14:$A$1213,$A1137,$R$14:$R$1213,"&gt;"&amp;$R1137)+(COUNTIFS($A$14:$A$1213,$A1137,$R$14:$R$1213,"="&amp;$R1137)+1)/2,"")</f>
        <v/>
      </c>
      <c r="AF1137" s="27">
        <f>IF(ISNUMBER($S1137),COUNTIFS($A$14:$A$1213,$A1137,$S$14:$S$1213,"&gt;"&amp;$S1137)+(COUNTIFS($A$14:$A$1213,$A1137,$S$14:$S$1213,"="&amp;$S1137)+1)/2,"")</f>
        <v/>
      </c>
      <c r="AG1137" s="27">
        <f>IF(ISNUMBER($T1137),COUNTIFS($A$14:$A$1213,$A1137,$T$14:$T$1213,"&gt;"&amp;$T1137)+(COUNTIFS($A$14:$A$1213,$A1137,$T$14:$T$1213,"="&amp;$T1137)+1)/2,"")</f>
        <v/>
      </c>
      <c r="AH1137" s="27">
        <f>IF(COUNT($AC1137:$AG1137)&lt;2,"",IF(MAX($AC1137:$AG1137)=MIN($AC1137:$AG1137),0,1))</f>
        <v/>
      </c>
      <c r="AI1137" s="27">
        <f>IF($A1137="","",IF(COUNTIF($A$14:$A1137,$A1137)=1,COUNTIF($AI$13:AI1136,"&gt;0")+1,""))</f>
        <v/>
      </c>
      <c r="AO1137" s="27">
        <f>IF($A1137="","",IF(AND(COUNTIFS($A$14:$A$1213,$A1137,$F$14:$F$1213,"&gt;=0")=2,IFERROR(INDEX($M$14:$M$313,MATCH($A1137,$H$14:$H$313,0)),"Yes")&lt;&gt;"Yes"),1,0))</f>
        <v/>
      </c>
    </row>
    <row r="1138">
      <c r="A1138" s="19" t="n"/>
      <c r="B1138" s="20" t="n"/>
      <c r="C1138" s="21">
        <f>IFERROR(AVERAGE(P1138:T1138),"")</f>
        <v/>
      </c>
      <c r="D1138" s="29" t="n"/>
      <c r="E1138" s="29" t="n"/>
      <c r="F1138" s="30">
        <f>IF(AND(ISNUMBER($D1138),ISNUMBER($E1138),$E1138&gt;0,$D1138&lt;=$E1138),$D1138/$E1138,"")</f>
        <v/>
      </c>
      <c r="P1138" s="26" t="n"/>
      <c r="Q1138" s="26" t="n"/>
      <c r="R1138" s="26" t="n"/>
      <c r="S1138" s="26" t="n"/>
      <c r="T1138" s="26" t="n"/>
      <c r="V1138" s="27">
        <f>IF(ISNUMBER($C1138),COUNTIFS($A$14:$A$1213,$A1138,$C$14:$C$1213,"&gt;"&amp;$C1138)+(COUNTIFS($A$14:$A$1213,$A1138,$C$14:$C$1213,"="&amp;$C1138)+1)/2,"")</f>
        <v/>
      </c>
      <c r="W1138" s="27">
        <f>IF(ISNUMBER($F1138),COUNTIFS($A$14:$A$1213,$A1138,$F$14:$F$1213,"&gt;"&amp;$F1138)+(COUNTIFS($A$14:$A$1213,$A1138,$F$14:$F$1213,"="&amp;$F1138)+1)/2,"")</f>
        <v/>
      </c>
      <c r="X1138" s="27">
        <f>IF(OR(NOT(ISNUMBER($V1138)),$AO1138=1),"",$V1138-(COUNTIFS($A$14:$A$1213,$A1138,$C$14:$C$1213,"&gt;=0")+1)/2)</f>
        <v/>
      </c>
      <c r="Y1138" s="27">
        <f>IF(OR(NOT(ISNUMBER($W1138)),$AO1138=1),"",$W1138-(COUNTIFS($A$14:$A$1213,$A1138,$F$14:$F$1213,"&gt;=0")+1)/2)</f>
        <v/>
      </c>
      <c r="Z1138" s="27">
        <f>IF(ISNUMBER($V1138),$A1138&amp;"|"&amp;$V1138,"")</f>
        <v/>
      </c>
      <c r="AA1138" s="27">
        <f>IF(ISNUMBER($W1138),$A1138&amp;"|"&amp;$W1138,"")</f>
        <v/>
      </c>
      <c r="AB1138" s="27">
        <f>IF(ISNUMBER($F1138),$A1138&amp;"|"&amp;$F1138,"")</f>
        <v/>
      </c>
      <c r="AC1138" s="27">
        <f>IF(ISNUMBER($P1138),COUNTIFS($A$14:$A$1213,$A1138,$P$14:$P$1213,"&gt;"&amp;$P1138)+(COUNTIFS($A$14:$A$1213,$A1138,$P$14:$P$1213,"="&amp;$P1138)+1)/2,"")</f>
        <v/>
      </c>
      <c r="AD1138" s="27">
        <f>IF(ISNUMBER($Q1138),COUNTIFS($A$14:$A$1213,$A1138,$Q$14:$Q$1213,"&gt;"&amp;$Q1138)+(COUNTIFS($A$14:$A$1213,$A1138,$Q$14:$Q$1213,"="&amp;$Q1138)+1)/2,"")</f>
        <v/>
      </c>
      <c r="AE1138" s="27">
        <f>IF(ISNUMBER($R1138),COUNTIFS($A$14:$A$1213,$A1138,$R$14:$R$1213,"&gt;"&amp;$R1138)+(COUNTIFS($A$14:$A$1213,$A1138,$R$14:$R$1213,"="&amp;$R1138)+1)/2,"")</f>
        <v/>
      </c>
      <c r="AF1138" s="27">
        <f>IF(ISNUMBER($S1138),COUNTIFS($A$14:$A$1213,$A1138,$S$14:$S$1213,"&gt;"&amp;$S1138)+(COUNTIFS($A$14:$A$1213,$A1138,$S$14:$S$1213,"="&amp;$S1138)+1)/2,"")</f>
        <v/>
      </c>
      <c r="AG1138" s="27">
        <f>IF(ISNUMBER($T1138),COUNTIFS($A$14:$A$1213,$A1138,$T$14:$T$1213,"&gt;"&amp;$T1138)+(COUNTIFS($A$14:$A$1213,$A1138,$T$14:$T$1213,"="&amp;$T1138)+1)/2,"")</f>
        <v/>
      </c>
      <c r="AH1138" s="27">
        <f>IF(COUNT($AC1138:$AG1138)&lt;2,"",IF(MAX($AC1138:$AG1138)=MIN($AC1138:$AG1138),0,1))</f>
        <v/>
      </c>
      <c r="AI1138" s="27">
        <f>IF($A1138="","",IF(COUNTIF($A$14:$A1138,$A1138)=1,COUNTIF($AI$13:AI1137,"&gt;0")+1,""))</f>
        <v/>
      </c>
      <c r="AO1138" s="27">
        <f>IF($A1138="","",IF(AND(COUNTIFS($A$14:$A$1213,$A1138,$F$14:$F$1213,"&gt;=0")=2,IFERROR(INDEX($M$14:$M$313,MATCH($A1138,$H$14:$H$313,0)),"Yes")&lt;&gt;"Yes"),1,0))</f>
        <v/>
      </c>
    </row>
    <row r="1139">
      <c r="A1139" s="19" t="n"/>
      <c r="B1139" s="20" t="n"/>
      <c r="C1139" s="21">
        <f>IFERROR(AVERAGE(P1139:T1139),"")</f>
        <v/>
      </c>
      <c r="D1139" s="29" t="n"/>
      <c r="E1139" s="29" t="n"/>
      <c r="F1139" s="30">
        <f>IF(AND(ISNUMBER($D1139),ISNUMBER($E1139),$E1139&gt;0,$D1139&lt;=$E1139),$D1139/$E1139,"")</f>
        <v/>
      </c>
      <c r="P1139" s="26" t="n"/>
      <c r="Q1139" s="26" t="n"/>
      <c r="R1139" s="26" t="n"/>
      <c r="S1139" s="26" t="n"/>
      <c r="T1139" s="26" t="n"/>
      <c r="V1139" s="27">
        <f>IF(ISNUMBER($C1139),COUNTIFS($A$14:$A$1213,$A1139,$C$14:$C$1213,"&gt;"&amp;$C1139)+(COUNTIFS($A$14:$A$1213,$A1139,$C$14:$C$1213,"="&amp;$C1139)+1)/2,"")</f>
        <v/>
      </c>
      <c r="W1139" s="27">
        <f>IF(ISNUMBER($F1139),COUNTIFS($A$14:$A$1213,$A1139,$F$14:$F$1213,"&gt;"&amp;$F1139)+(COUNTIFS($A$14:$A$1213,$A1139,$F$14:$F$1213,"="&amp;$F1139)+1)/2,"")</f>
        <v/>
      </c>
      <c r="X1139" s="27">
        <f>IF(OR(NOT(ISNUMBER($V1139)),$AO1139=1),"",$V1139-(COUNTIFS($A$14:$A$1213,$A1139,$C$14:$C$1213,"&gt;=0")+1)/2)</f>
        <v/>
      </c>
      <c r="Y1139" s="27">
        <f>IF(OR(NOT(ISNUMBER($W1139)),$AO1139=1),"",$W1139-(COUNTIFS($A$14:$A$1213,$A1139,$F$14:$F$1213,"&gt;=0")+1)/2)</f>
        <v/>
      </c>
      <c r="Z1139" s="27">
        <f>IF(ISNUMBER($V1139),$A1139&amp;"|"&amp;$V1139,"")</f>
        <v/>
      </c>
      <c r="AA1139" s="27">
        <f>IF(ISNUMBER($W1139),$A1139&amp;"|"&amp;$W1139,"")</f>
        <v/>
      </c>
      <c r="AB1139" s="27">
        <f>IF(ISNUMBER($F1139),$A1139&amp;"|"&amp;$F1139,"")</f>
        <v/>
      </c>
      <c r="AC1139" s="27">
        <f>IF(ISNUMBER($P1139),COUNTIFS($A$14:$A$1213,$A1139,$P$14:$P$1213,"&gt;"&amp;$P1139)+(COUNTIFS($A$14:$A$1213,$A1139,$P$14:$P$1213,"="&amp;$P1139)+1)/2,"")</f>
        <v/>
      </c>
      <c r="AD1139" s="27">
        <f>IF(ISNUMBER($Q1139),COUNTIFS($A$14:$A$1213,$A1139,$Q$14:$Q$1213,"&gt;"&amp;$Q1139)+(COUNTIFS($A$14:$A$1213,$A1139,$Q$14:$Q$1213,"="&amp;$Q1139)+1)/2,"")</f>
        <v/>
      </c>
      <c r="AE1139" s="27">
        <f>IF(ISNUMBER($R1139),COUNTIFS($A$14:$A$1213,$A1139,$R$14:$R$1213,"&gt;"&amp;$R1139)+(COUNTIFS($A$14:$A$1213,$A1139,$R$14:$R$1213,"="&amp;$R1139)+1)/2,"")</f>
        <v/>
      </c>
      <c r="AF1139" s="27">
        <f>IF(ISNUMBER($S1139),COUNTIFS($A$14:$A$1213,$A1139,$S$14:$S$1213,"&gt;"&amp;$S1139)+(COUNTIFS($A$14:$A$1213,$A1139,$S$14:$S$1213,"="&amp;$S1139)+1)/2,"")</f>
        <v/>
      </c>
      <c r="AG1139" s="27">
        <f>IF(ISNUMBER($T1139),COUNTIFS($A$14:$A$1213,$A1139,$T$14:$T$1213,"&gt;"&amp;$T1139)+(COUNTIFS($A$14:$A$1213,$A1139,$T$14:$T$1213,"="&amp;$T1139)+1)/2,"")</f>
        <v/>
      </c>
      <c r="AH1139" s="27">
        <f>IF(COUNT($AC1139:$AG1139)&lt;2,"",IF(MAX($AC1139:$AG1139)=MIN($AC1139:$AG1139),0,1))</f>
        <v/>
      </c>
      <c r="AI1139" s="27">
        <f>IF($A1139="","",IF(COUNTIF($A$14:$A1139,$A1139)=1,COUNTIF($AI$13:AI1138,"&gt;0")+1,""))</f>
        <v/>
      </c>
      <c r="AO1139" s="27">
        <f>IF($A1139="","",IF(AND(COUNTIFS($A$14:$A$1213,$A1139,$F$14:$F$1213,"&gt;=0")=2,IFERROR(INDEX($M$14:$M$313,MATCH($A1139,$H$14:$H$313,0)),"Yes")&lt;&gt;"Yes"),1,0))</f>
        <v/>
      </c>
    </row>
    <row r="1140">
      <c r="A1140" s="19" t="n"/>
      <c r="B1140" s="20" t="n"/>
      <c r="C1140" s="21">
        <f>IFERROR(AVERAGE(P1140:T1140),"")</f>
        <v/>
      </c>
      <c r="D1140" s="29" t="n"/>
      <c r="E1140" s="29" t="n"/>
      <c r="F1140" s="30">
        <f>IF(AND(ISNUMBER($D1140),ISNUMBER($E1140),$E1140&gt;0,$D1140&lt;=$E1140),$D1140/$E1140,"")</f>
        <v/>
      </c>
      <c r="P1140" s="26" t="n"/>
      <c r="Q1140" s="26" t="n"/>
      <c r="R1140" s="26" t="n"/>
      <c r="S1140" s="26" t="n"/>
      <c r="T1140" s="26" t="n"/>
      <c r="V1140" s="27">
        <f>IF(ISNUMBER($C1140),COUNTIFS($A$14:$A$1213,$A1140,$C$14:$C$1213,"&gt;"&amp;$C1140)+(COUNTIFS($A$14:$A$1213,$A1140,$C$14:$C$1213,"="&amp;$C1140)+1)/2,"")</f>
        <v/>
      </c>
      <c r="W1140" s="27">
        <f>IF(ISNUMBER($F1140),COUNTIFS($A$14:$A$1213,$A1140,$F$14:$F$1213,"&gt;"&amp;$F1140)+(COUNTIFS($A$14:$A$1213,$A1140,$F$14:$F$1213,"="&amp;$F1140)+1)/2,"")</f>
        <v/>
      </c>
      <c r="X1140" s="27">
        <f>IF(OR(NOT(ISNUMBER($V1140)),$AO1140=1),"",$V1140-(COUNTIFS($A$14:$A$1213,$A1140,$C$14:$C$1213,"&gt;=0")+1)/2)</f>
        <v/>
      </c>
      <c r="Y1140" s="27">
        <f>IF(OR(NOT(ISNUMBER($W1140)),$AO1140=1),"",$W1140-(COUNTIFS($A$14:$A$1213,$A1140,$F$14:$F$1213,"&gt;=0")+1)/2)</f>
        <v/>
      </c>
      <c r="Z1140" s="27">
        <f>IF(ISNUMBER($V1140),$A1140&amp;"|"&amp;$V1140,"")</f>
        <v/>
      </c>
      <c r="AA1140" s="27">
        <f>IF(ISNUMBER($W1140),$A1140&amp;"|"&amp;$W1140,"")</f>
        <v/>
      </c>
      <c r="AB1140" s="27">
        <f>IF(ISNUMBER($F1140),$A1140&amp;"|"&amp;$F1140,"")</f>
        <v/>
      </c>
      <c r="AC1140" s="27">
        <f>IF(ISNUMBER($P1140),COUNTIFS($A$14:$A$1213,$A1140,$P$14:$P$1213,"&gt;"&amp;$P1140)+(COUNTIFS($A$14:$A$1213,$A1140,$P$14:$P$1213,"="&amp;$P1140)+1)/2,"")</f>
        <v/>
      </c>
      <c r="AD1140" s="27">
        <f>IF(ISNUMBER($Q1140),COUNTIFS($A$14:$A$1213,$A1140,$Q$14:$Q$1213,"&gt;"&amp;$Q1140)+(COUNTIFS($A$14:$A$1213,$A1140,$Q$14:$Q$1213,"="&amp;$Q1140)+1)/2,"")</f>
        <v/>
      </c>
      <c r="AE1140" s="27">
        <f>IF(ISNUMBER($R1140),COUNTIFS($A$14:$A$1213,$A1140,$R$14:$R$1213,"&gt;"&amp;$R1140)+(COUNTIFS($A$14:$A$1213,$A1140,$R$14:$R$1213,"="&amp;$R1140)+1)/2,"")</f>
        <v/>
      </c>
      <c r="AF1140" s="27">
        <f>IF(ISNUMBER($S1140),COUNTIFS($A$14:$A$1213,$A1140,$S$14:$S$1213,"&gt;"&amp;$S1140)+(COUNTIFS($A$14:$A$1213,$A1140,$S$14:$S$1213,"="&amp;$S1140)+1)/2,"")</f>
        <v/>
      </c>
      <c r="AG1140" s="27">
        <f>IF(ISNUMBER($T1140),COUNTIFS($A$14:$A$1213,$A1140,$T$14:$T$1213,"&gt;"&amp;$T1140)+(COUNTIFS($A$14:$A$1213,$A1140,$T$14:$T$1213,"="&amp;$T1140)+1)/2,"")</f>
        <v/>
      </c>
      <c r="AH1140" s="27">
        <f>IF(COUNT($AC1140:$AG1140)&lt;2,"",IF(MAX($AC1140:$AG1140)=MIN($AC1140:$AG1140),0,1))</f>
        <v/>
      </c>
      <c r="AI1140" s="27">
        <f>IF($A1140="","",IF(COUNTIF($A$14:$A1140,$A1140)=1,COUNTIF($AI$13:AI1139,"&gt;0")+1,""))</f>
        <v/>
      </c>
      <c r="AO1140" s="27">
        <f>IF($A1140="","",IF(AND(COUNTIFS($A$14:$A$1213,$A1140,$F$14:$F$1213,"&gt;=0")=2,IFERROR(INDEX($M$14:$M$313,MATCH($A1140,$H$14:$H$313,0)),"Yes")&lt;&gt;"Yes"),1,0))</f>
        <v/>
      </c>
    </row>
    <row r="1141">
      <c r="A1141" s="19" t="n"/>
      <c r="B1141" s="20" t="n"/>
      <c r="C1141" s="21">
        <f>IFERROR(AVERAGE(P1141:T1141),"")</f>
        <v/>
      </c>
      <c r="D1141" s="29" t="n"/>
      <c r="E1141" s="29" t="n"/>
      <c r="F1141" s="30">
        <f>IF(AND(ISNUMBER($D1141),ISNUMBER($E1141),$E1141&gt;0,$D1141&lt;=$E1141),$D1141/$E1141,"")</f>
        <v/>
      </c>
      <c r="P1141" s="26" t="n"/>
      <c r="Q1141" s="26" t="n"/>
      <c r="R1141" s="26" t="n"/>
      <c r="S1141" s="26" t="n"/>
      <c r="T1141" s="26" t="n"/>
      <c r="V1141" s="27">
        <f>IF(ISNUMBER($C1141),COUNTIFS($A$14:$A$1213,$A1141,$C$14:$C$1213,"&gt;"&amp;$C1141)+(COUNTIFS($A$14:$A$1213,$A1141,$C$14:$C$1213,"="&amp;$C1141)+1)/2,"")</f>
        <v/>
      </c>
      <c r="W1141" s="27">
        <f>IF(ISNUMBER($F1141),COUNTIFS($A$14:$A$1213,$A1141,$F$14:$F$1213,"&gt;"&amp;$F1141)+(COUNTIFS($A$14:$A$1213,$A1141,$F$14:$F$1213,"="&amp;$F1141)+1)/2,"")</f>
        <v/>
      </c>
      <c r="X1141" s="27">
        <f>IF(OR(NOT(ISNUMBER($V1141)),$AO1141=1),"",$V1141-(COUNTIFS($A$14:$A$1213,$A1141,$C$14:$C$1213,"&gt;=0")+1)/2)</f>
        <v/>
      </c>
      <c r="Y1141" s="27">
        <f>IF(OR(NOT(ISNUMBER($W1141)),$AO1141=1),"",$W1141-(COUNTIFS($A$14:$A$1213,$A1141,$F$14:$F$1213,"&gt;=0")+1)/2)</f>
        <v/>
      </c>
      <c r="Z1141" s="27">
        <f>IF(ISNUMBER($V1141),$A1141&amp;"|"&amp;$V1141,"")</f>
        <v/>
      </c>
      <c r="AA1141" s="27">
        <f>IF(ISNUMBER($W1141),$A1141&amp;"|"&amp;$W1141,"")</f>
        <v/>
      </c>
      <c r="AB1141" s="27">
        <f>IF(ISNUMBER($F1141),$A1141&amp;"|"&amp;$F1141,"")</f>
        <v/>
      </c>
      <c r="AC1141" s="27">
        <f>IF(ISNUMBER($P1141),COUNTIFS($A$14:$A$1213,$A1141,$P$14:$P$1213,"&gt;"&amp;$P1141)+(COUNTIFS($A$14:$A$1213,$A1141,$P$14:$P$1213,"="&amp;$P1141)+1)/2,"")</f>
        <v/>
      </c>
      <c r="AD1141" s="27">
        <f>IF(ISNUMBER($Q1141),COUNTIFS($A$14:$A$1213,$A1141,$Q$14:$Q$1213,"&gt;"&amp;$Q1141)+(COUNTIFS($A$14:$A$1213,$A1141,$Q$14:$Q$1213,"="&amp;$Q1141)+1)/2,"")</f>
        <v/>
      </c>
      <c r="AE1141" s="27">
        <f>IF(ISNUMBER($R1141),COUNTIFS($A$14:$A$1213,$A1141,$R$14:$R$1213,"&gt;"&amp;$R1141)+(COUNTIFS($A$14:$A$1213,$A1141,$R$14:$R$1213,"="&amp;$R1141)+1)/2,"")</f>
        <v/>
      </c>
      <c r="AF1141" s="27">
        <f>IF(ISNUMBER($S1141),COUNTIFS($A$14:$A$1213,$A1141,$S$14:$S$1213,"&gt;"&amp;$S1141)+(COUNTIFS($A$14:$A$1213,$A1141,$S$14:$S$1213,"="&amp;$S1141)+1)/2,"")</f>
        <v/>
      </c>
      <c r="AG1141" s="27">
        <f>IF(ISNUMBER($T1141),COUNTIFS($A$14:$A$1213,$A1141,$T$14:$T$1213,"&gt;"&amp;$T1141)+(COUNTIFS($A$14:$A$1213,$A1141,$T$14:$T$1213,"="&amp;$T1141)+1)/2,"")</f>
        <v/>
      </c>
      <c r="AH1141" s="27">
        <f>IF(COUNT($AC1141:$AG1141)&lt;2,"",IF(MAX($AC1141:$AG1141)=MIN($AC1141:$AG1141),0,1))</f>
        <v/>
      </c>
      <c r="AI1141" s="27">
        <f>IF($A1141="","",IF(COUNTIF($A$14:$A1141,$A1141)=1,COUNTIF($AI$13:AI1140,"&gt;0")+1,""))</f>
        <v/>
      </c>
      <c r="AO1141" s="27">
        <f>IF($A1141="","",IF(AND(COUNTIFS($A$14:$A$1213,$A1141,$F$14:$F$1213,"&gt;=0")=2,IFERROR(INDEX($M$14:$M$313,MATCH($A1141,$H$14:$H$313,0)),"Yes")&lt;&gt;"Yes"),1,0))</f>
        <v/>
      </c>
    </row>
    <row r="1142">
      <c r="A1142" s="19" t="n"/>
      <c r="B1142" s="20" t="n"/>
      <c r="C1142" s="21">
        <f>IFERROR(AVERAGE(P1142:T1142),"")</f>
        <v/>
      </c>
      <c r="D1142" s="29" t="n"/>
      <c r="E1142" s="29" t="n"/>
      <c r="F1142" s="30">
        <f>IF(AND(ISNUMBER($D1142),ISNUMBER($E1142),$E1142&gt;0,$D1142&lt;=$E1142),$D1142/$E1142,"")</f>
        <v/>
      </c>
      <c r="P1142" s="26" t="n"/>
      <c r="Q1142" s="26" t="n"/>
      <c r="R1142" s="26" t="n"/>
      <c r="S1142" s="26" t="n"/>
      <c r="T1142" s="26" t="n"/>
      <c r="V1142" s="27">
        <f>IF(ISNUMBER($C1142),COUNTIFS($A$14:$A$1213,$A1142,$C$14:$C$1213,"&gt;"&amp;$C1142)+(COUNTIFS($A$14:$A$1213,$A1142,$C$14:$C$1213,"="&amp;$C1142)+1)/2,"")</f>
        <v/>
      </c>
      <c r="W1142" s="27">
        <f>IF(ISNUMBER($F1142),COUNTIFS($A$14:$A$1213,$A1142,$F$14:$F$1213,"&gt;"&amp;$F1142)+(COUNTIFS($A$14:$A$1213,$A1142,$F$14:$F$1213,"="&amp;$F1142)+1)/2,"")</f>
        <v/>
      </c>
      <c r="X1142" s="27">
        <f>IF(OR(NOT(ISNUMBER($V1142)),$AO1142=1),"",$V1142-(COUNTIFS($A$14:$A$1213,$A1142,$C$14:$C$1213,"&gt;=0")+1)/2)</f>
        <v/>
      </c>
      <c r="Y1142" s="27">
        <f>IF(OR(NOT(ISNUMBER($W1142)),$AO1142=1),"",$W1142-(COUNTIFS($A$14:$A$1213,$A1142,$F$14:$F$1213,"&gt;=0")+1)/2)</f>
        <v/>
      </c>
      <c r="Z1142" s="27">
        <f>IF(ISNUMBER($V1142),$A1142&amp;"|"&amp;$V1142,"")</f>
        <v/>
      </c>
      <c r="AA1142" s="27">
        <f>IF(ISNUMBER($W1142),$A1142&amp;"|"&amp;$W1142,"")</f>
        <v/>
      </c>
      <c r="AB1142" s="27">
        <f>IF(ISNUMBER($F1142),$A1142&amp;"|"&amp;$F1142,"")</f>
        <v/>
      </c>
      <c r="AC1142" s="27">
        <f>IF(ISNUMBER($P1142),COUNTIFS($A$14:$A$1213,$A1142,$P$14:$P$1213,"&gt;"&amp;$P1142)+(COUNTIFS($A$14:$A$1213,$A1142,$P$14:$P$1213,"="&amp;$P1142)+1)/2,"")</f>
        <v/>
      </c>
      <c r="AD1142" s="27">
        <f>IF(ISNUMBER($Q1142),COUNTIFS($A$14:$A$1213,$A1142,$Q$14:$Q$1213,"&gt;"&amp;$Q1142)+(COUNTIFS($A$14:$A$1213,$A1142,$Q$14:$Q$1213,"="&amp;$Q1142)+1)/2,"")</f>
        <v/>
      </c>
      <c r="AE1142" s="27">
        <f>IF(ISNUMBER($R1142),COUNTIFS($A$14:$A$1213,$A1142,$R$14:$R$1213,"&gt;"&amp;$R1142)+(COUNTIFS($A$14:$A$1213,$A1142,$R$14:$R$1213,"="&amp;$R1142)+1)/2,"")</f>
        <v/>
      </c>
      <c r="AF1142" s="27">
        <f>IF(ISNUMBER($S1142),COUNTIFS($A$14:$A$1213,$A1142,$S$14:$S$1213,"&gt;"&amp;$S1142)+(COUNTIFS($A$14:$A$1213,$A1142,$S$14:$S$1213,"="&amp;$S1142)+1)/2,"")</f>
        <v/>
      </c>
      <c r="AG1142" s="27">
        <f>IF(ISNUMBER($T1142),COUNTIFS($A$14:$A$1213,$A1142,$T$14:$T$1213,"&gt;"&amp;$T1142)+(COUNTIFS($A$14:$A$1213,$A1142,$T$14:$T$1213,"="&amp;$T1142)+1)/2,"")</f>
        <v/>
      </c>
      <c r="AH1142" s="27">
        <f>IF(COUNT($AC1142:$AG1142)&lt;2,"",IF(MAX($AC1142:$AG1142)=MIN($AC1142:$AG1142),0,1))</f>
        <v/>
      </c>
      <c r="AI1142" s="27">
        <f>IF($A1142="","",IF(COUNTIF($A$14:$A1142,$A1142)=1,COUNTIF($AI$13:AI1141,"&gt;0")+1,""))</f>
        <v/>
      </c>
      <c r="AO1142" s="27">
        <f>IF($A1142="","",IF(AND(COUNTIFS($A$14:$A$1213,$A1142,$F$14:$F$1213,"&gt;=0")=2,IFERROR(INDEX($M$14:$M$313,MATCH($A1142,$H$14:$H$313,0)),"Yes")&lt;&gt;"Yes"),1,0))</f>
        <v/>
      </c>
    </row>
    <row r="1143">
      <c r="A1143" s="19" t="n"/>
      <c r="B1143" s="20" t="n"/>
      <c r="C1143" s="21">
        <f>IFERROR(AVERAGE(P1143:T1143),"")</f>
        <v/>
      </c>
      <c r="D1143" s="29" t="n"/>
      <c r="E1143" s="29" t="n"/>
      <c r="F1143" s="30">
        <f>IF(AND(ISNUMBER($D1143),ISNUMBER($E1143),$E1143&gt;0,$D1143&lt;=$E1143),$D1143/$E1143,"")</f>
        <v/>
      </c>
      <c r="P1143" s="26" t="n"/>
      <c r="Q1143" s="26" t="n"/>
      <c r="R1143" s="26" t="n"/>
      <c r="S1143" s="26" t="n"/>
      <c r="T1143" s="26" t="n"/>
      <c r="V1143" s="27">
        <f>IF(ISNUMBER($C1143),COUNTIFS($A$14:$A$1213,$A1143,$C$14:$C$1213,"&gt;"&amp;$C1143)+(COUNTIFS($A$14:$A$1213,$A1143,$C$14:$C$1213,"="&amp;$C1143)+1)/2,"")</f>
        <v/>
      </c>
      <c r="W1143" s="27">
        <f>IF(ISNUMBER($F1143),COUNTIFS($A$14:$A$1213,$A1143,$F$14:$F$1213,"&gt;"&amp;$F1143)+(COUNTIFS($A$14:$A$1213,$A1143,$F$14:$F$1213,"="&amp;$F1143)+1)/2,"")</f>
        <v/>
      </c>
      <c r="X1143" s="27">
        <f>IF(OR(NOT(ISNUMBER($V1143)),$AO1143=1),"",$V1143-(COUNTIFS($A$14:$A$1213,$A1143,$C$14:$C$1213,"&gt;=0")+1)/2)</f>
        <v/>
      </c>
      <c r="Y1143" s="27">
        <f>IF(OR(NOT(ISNUMBER($W1143)),$AO1143=1),"",$W1143-(COUNTIFS($A$14:$A$1213,$A1143,$F$14:$F$1213,"&gt;=0")+1)/2)</f>
        <v/>
      </c>
      <c r="Z1143" s="27">
        <f>IF(ISNUMBER($V1143),$A1143&amp;"|"&amp;$V1143,"")</f>
        <v/>
      </c>
      <c r="AA1143" s="27">
        <f>IF(ISNUMBER($W1143),$A1143&amp;"|"&amp;$W1143,"")</f>
        <v/>
      </c>
      <c r="AB1143" s="27">
        <f>IF(ISNUMBER($F1143),$A1143&amp;"|"&amp;$F1143,"")</f>
        <v/>
      </c>
      <c r="AC1143" s="27">
        <f>IF(ISNUMBER($P1143),COUNTIFS($A$14:$A$1213,$A1143,$P$14:$P$1213,"&gt;"&amp;$P1143)+(COUNTIFS($A$14:$A$1213,$A1143,$P$14:$P$1213,"="&amp;$P1143)+1)/2,"")</f>
        <v/>
      </c>
      <c r="AD1143" s="27">
        <f>IF(ISNUMBER($Q1143),COUNTIFS($A$14:$A$1213,$A1143,$Q$14:$Q$1213,"&gt;"&amp;$Q1143)+(COUNTIFS($A$14:$A$1213,$A1143,$Q$14:$Q$1213,"="&amp;$Q1143)+1)/2,"")</f>
        <v/>
      </c>
      <c r="AE1143" s="27">
        <f>IF(ISNUMBER($R1143),COUNTIFS($A$14:$A$1213,$A1143,$R$14:$R$1213,"&gt;"&amp;$R1143)+(COUNTIFS($A$14:$A$1213,$A1143,$R$14:$R$1213,"="&amp;$R1143)+1)/2,"")</f>
        <v/>
      </c>
      <c r="AF1143" s="27">
        <f>IF(ISNUMBER($S1143),COUNTIFS($A$14:$A$1213,$A1143,$S$14:$S$1213,"&gt;"&amp;$S1143)+(COUNTIFS($A$14:$A$1213,$A1143,$S$14:$S$1213,"="&amp;$S1143)+1)/2,"")</f>
        <v/>
      </c>
      <c r="AG1143" s="27">
        <f>IF(ISNUMBER($T1143),COUNTIFS($A$14:$A$1213,$A1143,$T$14:$T$1213,"&gt;"&amp;$T1143)+(COUNTIFS($A$14:$A$1213,$A1143,$T$14:$T$1213,"="&amp;$T1143)+1)/2,"")</f>
        <v/>
      </c>
      <c r="AH1143" s="27">
        <f>IF(COUNT($AC1143:$AG1143)&lt;2,"",IF(MAX($AC1143:$AG1143)=MIN($AC1143:$AG1143),0,1))</f>
        <v/>
      </c>
      <c r="AI1143" s="27">
        <f>IF($A1143="","",IF(COUNTIF($A$14:$A1143,$A1143)=1,COUNTIF($AI$13:AI1142,"&gt;0")+1,""))</f>
        <v/>
      </c>
      <c r="AO1143" s="27">
        <f>IF($A1143="","",IF(AND(COUNTIFS($A$14:$A$1213,$A1143,$F$14:$F$1213,"&gt;=0")=2,IFERROR(INDEX($M$14:$M$313,MATCH($A1143,$H$14:$H$313,0)),"Yes")&lt;&gt;"Yes"),1,0))</f>
        <v/>
      </c>
    </row>
    <row r="1144">
      <c r="A1144" s="19" t="n"/>
      <c r="B1144" s="20" t="n"/>
      <c r="C1144" s="21">
        <f>IFERROR(AVERAGE(P1144:T1144),"")</f>
        <v/>
      </c>
      <c r="D1144" s="29" t="n"/>
      <c r="E1144" s="29" t="n"/>
      <c r="F1144" s="30">
        <f>IF(AND(ISNUMBER($D1144),ISNUMBER($E1144),$E1144&gt;0,$D1144&lt;=$E1144),$D1144/$E1144,"")</f>
        <v/>
      </c>
      <c r="P1144" s="26" t="n"/>
      <c r="Q1144" s="26" t="n"/>
      <c r="R1144" s="26" t="n"/>
      <c r="S1144" s="26" t="n"/>
      <c r="T1144" s="26" t="n"/>
      <c r="V1144" s="27">
        <f>IF(ISNUMBER($C1144),COUNTIFS($A$14:$A$1213,$A1144,$C$14:$C$1213,"&gt;"&amp;$C1144)+(COUNTIFS($A$14:$A$1213,$A1144,$C$14:$C$1213,"="&amp;$C1144)+1)/2,"")</f>
        <v/>
      </c>
      <c r="W1144" s="27">
        <f>IF(ISNUMBER($F1144),COUNTIFS($A$14:$A$1213,$A1144,$F$14:$F$1213,"&gt;"&amp;$F1144)+(COUNTIFS($A$14:$A$1213,$A1144,$F$14:$F$1213,"="&amp;$F1144)+1)/2,"")</f>
        <v/>
      </c>
      <c r="X1144" s="27">
        <f>IF(OR(NOT(ISNUMBER($V1144)),$AO1144=1),"",$V1144-(COUNTIFS($A$14:$A$1213,$A1144,$C$14:$C$1213,"&gt;=0")+1)/2)</f>
        <v/>
      </c>
      <c r="Y1144" s="27">
        <f>IF(OR(NOT(ISNUMBER($W1144)),$AO1144=1),"",$W1144-(COUNTIFS($A$14:$A$1213,$A1144,$F$14:$F$1213,"&gt;=0")+1)/2)</f>
        <v/>
      </c>
      <c r="Z1144" s="27">
        <f>IF(ISNUMBER($V1144),$A1144&amp;"|"&amp;$V1144,"")</f>
        <v/>
      </c>
      <c r="AA1144" s="27">
        <f>IF(ISNUMBER($W1144),$A1144&amp;"|"&amp;$W1144,"")</f>
        <v/>
      </c>
      <c r="AB1144" s="27">
        <f>IF(ISNUMBER($F1144),$A1144&amp;"|"&amp;$F1144,"")</f>
        <v/>
      </c>
      <c r="AC1144" s="27">
        <f>IF(ISNUMBER($P1144),COUNTIFS($A$14:$A$1213,$A1144,$P$14:$P$1213,"&gt;"&amp;$P1144)+(COUNTIFS($A$14:$A$1213,$A1144,$P$14:$P$1213,"="&amp;$P1144)+1)/2,"")</f>
        <v/>
      </c>
      <c r="AD1144" s="27">
        <f>IF(ISNUMBER($Q1144),COUNTIFS($A$14:$A$1213,$A1144,$Q$14:$Q$1213,"&gt;"&amp;$Q1144)+(COUNTIFS($A$14:$A$1213,$A1144,$Q$14:$Q$1213,"="&amp;$Q1144)+1)/2,"")</f>
        <v/>
      </c>
      <c r="AE1144" s="27">
        <f>IF(ISNUMBER($R1144),COUNTIFS($A$14:$A$1213,$A1144,$R$14:$R$1213,"&gt;"&amp;$R1144)+(COUNTIFS($A$14:$A$1213,$A1144,$R$14:$R$1213,"="&amp;$R1144)+1)/2,"")</f>
        <v/>
      </c>
      <c r="AF1144" s="27">
        <f>IF(ISNUMBER($S1144),COUNTIFS($A$14:$A$1213,$A1144,$S$14:$S$1213,"&gt;"&amp;$S1144)+(COUNTIFS($A$14:$A$1213,$A1144,$S$14:$S$1213,"="&amp;$S1144)+1)/2,"")</f>
        <v/>
      </c>
      <c r="AG1144" s="27">
        <f>IF(ISNUMBER($T1144),COUNTIFS($A$14:$A$1213,$A1144,$T$14:$T$1213,"&gt;"&amp;$T1144)+(COUNTIFS($A$14:$A$1213,$A1144,$T$14:$T$1213,"="&amp;$T1144)+1)/2,"")</f>
        <v/>
      </c>
      <c r="AH1144" s="27">
        <f>IF(COUNT($AC1144:$AG1144)&lt;2,"",IF(MAX($AC1144:$AG1144)=MIN($AC1144:$AG1144),0,1))</f>
        <v/>
      </c>
      <c r="AI1144" s="27">
        <f>IF($A1144="","",IF(COUNTIF($A$14:$A1144,$A1144)=1,COUNTIF($AI$13:AI1143,"&gt;0")+1,""))</f>
        <v/>
      </c>
      <c r="AO1144" s="27">
        <f>IF($A1144="","",IF(AND(COUNTIFS($A$14:$A$1213,$A1144,$F$14:$F$1213,"&gt;=0")=2,IFERROR(INDEX($M$14:$M$313,MATCH($A1144,$H$14:$H$313,0)),"Yes")&lt;&gt;"Yes"),1,0))</f>
        <v/>
      </c>
    </row>
    <row r="1145">
      <c r="A1145" s="19" t="n"/>
      <c r="B1145" s="20" t="n"/>
      <c r="C1145" s="21">
        <f>IFERROR(AVERAGE(P1145:T1145),"")</f>
        <v/>
      </c>
      <c r="D1145" s="29" t="n"/>
      <c r="E1145" s="29" t="n"/>
      <c r="F1145" s="30">
        <f>IF(AND(ISNUMBER($D1145),ISNUMBER($E1145),$E1145&gt;0,$D1145&lt;=$E1145),$D1145/$E1145,"")</f>
        <v/>
      </c>
      <c r="P1145" s="26" t="n"/>
      <c r="Q1145" s="26" t="n"/>
      <c r="R1145" s="26" t="n"/>
      <c r="S1145" s="26" t="n"/>
      <c r="T1145" s="26" t="n"/>
      <c r="V1145" s="27">
        <f>IF(ISNUMBER($C1145),COUNTIFS($A$14:$A$1213,$A1145,$C$14:$C$1213,"&gt;"&amp;$C1145)+(COUNTIFS($A$14:$A$1213,$A1145,$C$14:$C$1213,"="&amp;$C1145)+1)/2,"")</f>
        <v/>
      </c>
      <c r="W1145" s="27">
        <f>IF(ISNUMBER($F1145),COUNTIFS($A$14:$A$1213,$A1145,$F$14:$F$1213,"&gt;"&amp;$F1145)+(COUNTIFS($A$14:$A$1213,$A1145,$F$14:$F$1213,"="&amp;$F1145)+1)/2,"")</f>
        <v/>
      </c>
      <c r="X1145" s="27">
        <f>IF(OR(NOT(ISNUMBER($V1145)),$AO1145=1),"",$V1145-(COUNTIFS($A$14:$A$1213,$A1145,$C$14:$C$1213,"&gt;=0")+1)/2)</f>
        <v/>
      </c>
      <c r="Y1145" s="27">
        <f>IF(OR(NOT(ISNUMBER($W1145)),$AO1145=1),"",$W1145-(COUNTIFS($A$14:$A$1213,$A1145,$F$14:$F$1213,"&gt;=0")+1)/2)</f>
        <v/>
      </c>
      <c r="Z1145" s="27">
        <f>IF(ISNUMBER($V1145),$A1145&amp;"|"&amp;$V1145,"")</f>
        <v/>
      </c>
      <c r="AA1145" s="27">
        <f>IF(ISNUMBER($W1145),$A1145&amp;"|"&amp;$W1145,"")</f>
        <v/>
      </c>
      <c r="AB1145" s="27">
        <f>IF(ISNUMBER($F1145),$A1145&amp;"|"&amp;$F1145,"")</f>
        <v/>
      </c>
      <c r="AC1145" s="27">
        <f>IF(ISNUMBER($P1145),COUNTIFS($A$14:$A$1213,$A1145,$P$14:$P$1213,"&gt;"&amp;$P1145)+(COUNTIFS($A$14:$A$1213,$A1145,$P$14:$P$1213,"="&amp;$P1145)+1)/2,"")</f>
        <v/>
      </c>
      <c r="AD1145" s="27">
        <f>IF(ISNUMBER($Q1145),COUNTIFS($A$14:$A$1213,$A1145,$Q$14:$Q$1213,"&gt;"&amp;$Q1145)+(COUNTIFS($A$14:$A$1213,$A1145,$Q$14:$Q$1213,"="&amp;$Q1145)+1)/2,"")</f>
        <v/>
      </c>
      <c r="AE1145" s="27">
        <f>IF(ISNUMBER($R1145),COUNTIFS($A$14:$A$1213,$A1145,$R$14:$R$1213,"&gt;"&amp;$R1145)+(COUNTIFS($A$14:$A$1213,$A1145,$R$14:$R$1213,"="&amp;$R1145)+1)/2,"")</f>
        <v/>
      </c>
      <c r="AF1145" s="27">
        <f>IF(ISNUMBER($S1145),COUNTIFS($A$14:$A$1213,$A1145,$S$14:$S$1213,"&gt;"&amp;$S1145)+(COUNTIFS($A$14:$A$1213,$A1145,$S$14:$S$1213,"="&amp;$S1145)+1)/2,"")</f>
        <v/>
      </c>
      <c r="AG1145" s="27">
        <f>IF(ISNUMBER($T1145),COUNTIFS($A$14:$A$1213,$A1145,$T$14:$T$1213,"&gt;"&amp;$T1145)+(COUNTIFS($A$14:$A$1213,$A1145,$T$14:$T$1213,"="&amp;$T1145)+1)/2,"")</f>
        <v/>
      </c>
      <c r="AH1145" s="27">
        <f>IF(COUNT($AC1145:$AG1145)&lt;2,"",IF(MAX($AC1145:$AG1145)=MIN($AC1145:$AG1145),0,1))</f>
        <v/>
      </c>
      <c r="AI1145" s="27">
        <f>IF($A1145="","",IF(COUNTIF($A$14:$A1145,$A1145)=1,COUNTIF($AI$13:AI1144,"&gt;0")+1,""))</f>
        <v/>
      </c>
      <c r="AO1145" s="27">
        <f>IF($A1145="","",IF(AND(COUNTIFS($A$14:$A$1213,$A1145,$F$14:$F$1213,"&gt;=0")=2,IFERROR(INDEX($M$14:$M$313,MATCH($A1145,$H$14:$H$313,0)),"Yes")&lt;&gt;"Yes"),1,0))</f>
        <v/>
      </c>
    </row>
    <row r="1146">
      <c r="A1146" s="19" t="n"/>
      <c r="B1146" s="20" t="n"/>
      <c r="C1146" s="21">
        <f>IFERROR(AVERAGE(P1146:T1146),"")</f>
        <v/>
      </c>
      <c r="D1146" s="29" t="n"/>
      <c r="E1146" s="29" t="n"/>
      <c r="F1146" s="30">
        <f>IF(AND(ISNUMBER($D1146),ISNUMBER($E1146),$E1146&gt;0,$D1146&lt;=$E1146),$D1146/$E1146,"")</f>
        <v/>
      </c>
      <c r="P1146" s="26" t="n"/>
      <c r="Q1146" s="26" t="n"/>
      <c r="R1146" s="26" t="n"/>
      <c r="S1146" s="26" t="n"/>
      <c r="T1146" s="26" t="n"/>
      <c r="V1146" s="27">
        <f>IF(ISNUMBER($C1146),COUNTIFS($A$14:$A$1213,$A1146,$C$14:$C$1213,"&gt;"&amp;$C1146)+(COUNTIFS($A$14:$A$1213,$A1146,$C$14:$C$1213,"="&amp;$C1146)+1)/2,"")</f>
        <v/>
      </c>
      <c r="W1146" s="27">
        <f>IF(ISNUMBER($F1146),COUNTIFS($A$14:$A$1213,$A1146,$F$14:$F$1213,"&gt;"&amp;$F1146)+(COUNTIFS($A$14:$A$1213,$A1146,$F$14:$F$1213,"="&amp;$F1146)+1)/2,"")</f>
        <v/>
      </c>
      <c r="X1146" s="27">
        <f>IF(OR(NOT(ISNUMBER($V1146)),$AO1146=1),"",$V1146-(COUNTIFS($A$14:$A$1213,$A1146,$C$14:$C$1213,"&gt;=0")+1)/2)</f>
        <v/>
      </c>
      <c r="Y1146" s="27">
        <f>IF(OR(NOT(ISNUMBER($W1146)),$AO1146=1),"",$W1146-(COUNTIFS($A$14:$A$1213,$A1146,$F$14:$F$1213,"&gt;=0")+1)/2)</f>
        <v/>
      </c>
      <c r="Z1146" s="27">
        <f>IF(ISNUMBER($V1146),$A1146&amp;"|"&amp;$V1146,"")</f>
        <v/>
      </c>
      <c r="AA1146" s="27">
        <f>IF(ISNUMBER($W1146),$A1146&amp;"|"&amp;$W1146,"")</f>
        <v/>
      </c>
      <c r="AB1146" s="27">
        <f>IF(ISNUMBER($F1146),$A1146&amp;"|"&amp;$F1146,"")</f>
        <v/>
      </c>
      <c r="AC1146" s="27">
        <f>IF(ISNUMBER($P1146),COUNTIFS($A$14:$A$1213,$A1146,$P$14:$P$1213,"&gt;"&amp;$P1146)+(COUNTIFS($A$14:$A$1213,$A1146,$P$14:$P$1213,"="&amp;$P1146)+1)/2,"")</f>
        <v/>
      </c>
      <c r="AD1146" s="27">
        <f>IF(ISNUMBER($Q1146),COUNTIFS($A$14:$A$1213,$A1146,$Q$14:$Q$1213,"&gt;"&amp;$Q1146)+(COUNTIFS($A$14:$A$1213,$A1146,$Q$14:$Q$1213,"="&amp;$Q1146)+1)/2,"")</f>
        <v/>
      </c>
      <c r="AE1146" s="27">
        <f>IF(ISNUMBER($R1146),COUNTIFS($A$14:$A$1213,$A1146,$R$14:$R$1213,"&gt;"&amp;$R1146)+(COUNTIFS($A$14:$A$1213,$A1146,$R$14:$R$1213,"="&amp;$R1146)+1)/2,"")</f>
        <v/>
      </c>
      <c r="AF1146" s="27">
        <f>IF(ISNUMBER($S1146),COUNTIFS($A$14:$A$1213,$A1146,$S$14:$S$1213,"&gt;"&amp;$S1146)+(COUNTIFS($A$14:$A$1213,$A1146,$S$14:$S$1213,"="&amp;$S1146)+1)/2,"")</f>
        <v/>
      </c>
      <c r="AG1146" s="27">
        <f>IF(ISNUMBER($T1146),COUNTIFS($A$14:$A$1213,$A1146,$T$14:$T$1213,"&gt;"&amp;$T1146)+(COUNTIFS($A$14:$A$1213,$A1146,$T$14:$T$1213,"="&amp;$T1146)+1)/2,"")</f>
        <v/>
      </c>
      <c r="AH1146" s="27">
        <f>IF(COUNT($AC1146:$AG1146)&lt;2,"",IF(MAX($AC1146:$AG1146)=MIN($AC1146:$AG1146),0,1))</f>
        <v/>
      </c>
      <c r="AI1146" s="27">
        <f>IF($A1146="","",IF(COUNTIF($A$14:$A1146,$A1146)=1,COUNTIF($AI$13:AI1145,"&gt;0")+1,""))</f>
        <v/>
      </c>
      <c r="AO1146" s="27">
        <f>IF($A1146="","",IF(AND(COUNTIFS($A$14:$A$1213,$A1146,$F$14:$F$1213,"&gt;=0")=2,IFERROR(INDEX($M$14:$M$313,MATCH($A1146,$H$14:$H$313,0)),"Yes")&lt;&gt;"Yes"),1,0))</f>
        <v/>
      </c>
    </row>
    <row r="1147">
      <c r="A1147" s="19" t="n"/>
      <c r="B1147" s="20" t="n"/>
      <c r="C1147" s="21">
        <f>IFERROR(AVERAGE(P1147:T1147),"")</f>
        <v/>
      </c>
      <c r="D1147" s="29" t="n"/>
      <c r="E1147" s="29" t="n"/>
      <c r="F1147" s="30">
        <f>IF(AND(ISNUMBER($D1147),ISNUMBER($E1147),$E1147&gt;0,$D1147&lt;=$E1147),$D1147/$E1147,"")</f>
        <v/>
      </c>
      <c r="P1147" s="26" t="n"/>
      <c r="Q1147" s="26" t="n"/>
      <c r="R1147" s="26" t="n"/>
      <c r="S1147" s="26" t="n"/>
      <c r="T1147" s="26" t="n"/>
      <c r="V1147" s="27">
        <f>IF(ISNUMBER($C1147),COUNTIFS($A$14:$A$1213,$A1147,$C$14:$C$1213,"&gt;"&amp;$C1147)+(COUNTIFS($A$14:$A$1213,$A1147,$C$14:$C$1213,"="&amp;$C1147)+1)/2,"")</f>
        <v/>
      </c>
      <c r="W1147" s="27">
        <f>IF(ISNUMBER($F1147),COUNTIFS($A$14:$A$1213,$A1147,$F$14:$F$1213,"&gt;"&amp;$F1147)+(COUNTIFS($A$14:$A$1213,$A1147,$F$14:$F$1213,"="&amp;$F1147)+1)/2,"")</f>
        <v/>
      </c>
      <c r="X1147" s="27">
        <f>IF(OR(NOT(ISNUMBER($V1147)),$AO1147=1),"",$V1147-(COUNTIFS($A$14:$A$1213,$A1147,$C$14:$C$1213,"&gt;=0")+1)/2)</f>
        <v/>
      </c>
      <c r="Y1147" s="27">
        <f>IF(OR(NOT(ISNUMBER($W1147)),$AO1147=1),"",$W1147-(COUNTIFS($A$14:$A$1213,$A1147,$F$14:$F$1213,"&gt;=0")+1)/2)</f>
        <v/>
      </c>
      <c r="Z1147" s="27">
        <f>IF(ISNUMBER($V1147),$A1147&amp;"|"&amp;$V1147,"")</f>
        <v/>
      </c>
      <c r="AA1147" s="27">
        <f>IF(ISNUMBER($W1147),$A1147&amp;"|"&amp;$W1147,"")</f>
        <v/>
      </c>
      <c r="AB1147" s="27">
        <f>IF(ISNUMBER($F1147),$A1147&amp;"|"&amp;$F1147,"")</f>
        <v/>
      </c>
      <c r="AC1147" s="27">
        <f>IF(ISNUMBER($P1147),COUNTIFS($A$14:$A$1213,$A1147,$P$14:$P$1213,"&gt;"&amp;$P1147)+(COUNTIFS($A$14:$A$1213,$A1147,$P$14:$P$1213,"="&amp;$P1147)+1)/2,"")</f>
        <v/>
      </c>
      <c r="AD1147" s="27">
        <f>IF(ISNUMBER($Q1147),COUNTIFS($A$14:$A$1213,$A1147,$Q$14:$Q$1213,"&gt;"&amp;$Q1147)+(COUNTIFS($A$14:$A$1213,$A1147,$Q$14:$Q$1213,"="&amp;$Q1147)+1)/2,"")</f>
        <v/>
      </c>
      <c r="AE1147" s="27">
        <f>IF(ISNUMBER($R1147),COUNTIFS($A$14:$A$1213,$A1147,$R$14:$R$1213,"&gt;"&amp;$R1147)+(COUNTIFS($A$14:$A$1213,$A1147,$R$14:$R$1213,"="&amp;$R1147)+1)/2,"")</f>
        <v/>
      </c>
      <c r="AF1147" s="27">
        <f>IF(ISNUMBER($S1147),COUNTIFS($A$14:$A$1213,$A1147,$S$14:$S$1213,"&gt;"&amp;$S1147)+(COUNTIFS($A$14:$A$1213,$A1147,$S$14:$S$1213,"="&amp;$S1147)+1)/2,"")</f>
        <v/>
      </c>
      <c r="AG1147" s="27">
        <f>IF(ISNUMBER($T1147),COUNTIFS($A$14:$A$1213,$A1147,$T$14:$T$1213,"&gt;"&amp;$T1147)+(COUNTIFS($A$14:$A$1213,$A1147,$T$14:$T$1213,"="&amp;$T1147)+1)/2,"")</f>
        <v/>
      </c>
      <c r="AH1147" s="27">
        <f>IF(COUNT($AC1147:$AG1147)&lt;2,"",IF(MAX($AC1147:$AG1147)=MIN($AC1147:$AG1147),0,1))</f>
        <v/>
      </c>
      <c r="AI1147" s="27">
        <f>IF($A1147="","",IF(COUNTIF($A$14:$A1147,$A1147)=1,COUNTIF($AI$13:AI1146,"&gt;0")+1,""))</f>
        <v/>
      </c>
      <c r="AO1147" s="27">
        <f>IF($A1147="","",IF(AND(COUNTIFS($A$14:$A$1213,$A1147,$F$14:$F$1213,"&gt;=0")=2,IFERROR(INDEX($M$14:$M$313,MATCH($A1147,$H$14:$H$313,0)),"Yes")&lt;&gt;"Yes"),1,0))</f>
        <v/>
      </c>
    </row>
    <row r="1148">
      <c r="A1148" s="19" t="n"/>
      <c r="B1148" s="20" t="n"/>
      <c r="C1148" s="21">
        <f>IFERROR(AVERAGE(P1148:T1148),"")</f>
        <v/>
      </c>
      <c r="D1148" s="29" t="n"/>
      <c r="E1148" s="29" t="n"/>
      <c r="F1148" s="30">
        <f>IF(AND(ISNUMBER($D1148),ISNUMBER($E1148),$E1148&gt;0,$D1148&lt;=$E1148),$D1148/$E1148,"")</f>
        <v/>
      </c>
      <c r="P1148" s="26" t="n"/>
      <c r="Q1148" s="26" t="n"/>
      <c r="R1148" s="26" t="n"/>
      <c r="S1148" s="26" t="n"/>
      <c r="T1148" s="26" t="n"/>
      <c r="V1148" s="27">
        <f>IF(ISNUMBER($C1148),COUNTIFS($A$14:$A$1213,$A1148,$C$14:$C$1213,"&gt;"&amp;$C1148)+(COUNTIFS($A$14:$A$1213,$A1148,$C$14:$C$1213,"="&amp;$C1148)+1)/2,"")</f>
        <v/>
      </c>
      <c r="W1148" s="27">
        <f>IF(ISNUMBER($F1148),COUNTIFS($A$14:$A$1213,$A1148,$F$14:$F$1213,"&gt;"&amp;$F1148)+(COUNTIFS($A$14:$A$1213,$A1148,$F$14:$F$1213,"="&amp;$F1148)+1)/2,"")</f>
        <v/>
      </c>
      <c r="X1148" s="27">
        <f>IF(OR(NOT(ISNUMBER($V1148)),$AO1148=1),"",$V1148-(COUNTIFS($A$14:$A$1213,$A1148,$C$14:$C$1213,"&gt;=0")+1)/2)</f>
        <v/>
      </c>
      <c r="Y1148" s="27">
        <f>IF(OR(NOT(ISNUMBER($W1148)),$AO1148=1),"",$W1148-(COUNTIFS($A$14:$A$1213,$A1148,$F$14:$F$1213,"&gt;=0")+1)/2)</f>
        <v/>
      </c>
      <c r="Z1148" s="27">
        <f>IF(ISNUMBER($V1148),$A1148&amp;"|"&amp;$V1148,"")</f>
        <v/>
      </c>
      <c r="AA1148" s="27">
        <f>IF(ISNUMBER($W1148),$A1148&amp;"|"&amp;$W1148,"")</f>
        <v/>
      </c>
      <c r="AB1148" s="27">
        <f>IF(ISNUMBER($F1148),$A1148&amp;"|"&amp;$F1148,"")</f>
        <v/>
      </c>
      <c r="AC1148" s="27">
        <f>IF(ISNUMBER($P1148),COUNTIFS($A$14:$A$1213,$A1148,$P$14:$P$1213,"&gt;"&amp;$P1148)+(COUNTIFS($A$14:$A$1213,$A1148,$P$14:$P$1213,"="&amp;$P1148)+1)/2,"")</f>
        <v/>
      </c>
      <c r="AD1148" s="27">
        <f>IF(ISNUMBER($Q1148),COUNTIFS($A$14:$A$1213,$A1148,$Q$14:$Q$1213,"&gt;"&amp;$Q1148)+(COUNTIFS($A$14:$A$1213,$A1148,$Q$14:$Q$1213,"="&amp;$Q1148)+1)/2,"")</f>
        <v/>
      </c>
      <c r="AE1148" s="27">
        <f>IF(ISNUMBER($R1148),COUNTIFS($A$14:$A$1213,$A1148,$R$14:$R$1213,"&gt;"&amp;$R1148)+(COUNTIFS($A$14:$A$1213,$A1148,$R$14:$R$1213,"="&amp;$R1148)+1)/2,"")</f>
        <v/>
      </c>
      <c r="AF1148" s="27">
        <f>IF(ISNUMBER($S1148),COUNTIFS($A$14:$A$1213,$A1148,$S$14:$S$1213,"&gt;"&amp;$S1148)+(COUNTIFS($A$14:$A$1213,$A1148,$S$14:$S$1213,"="&amp;$S1148)+1)/2,"")</f>
        <v/>
      </c>
      <c r="AG1148" s="27">
        <f>IF(ISNUMBER($T1148),COUNTIFS($A$14:$A$1213,$A1148,$T$14:$T$1213,"&gt;"&amp;$T1148)+(COUNTIFS($A$14:$A$1213,$A1148,$T$14:$T$1213,"="&amp;$T1148)+1)/2,"")</f>
        <v/>
      </c>
      <c r="AH1148" s="27">
        <f>IF(COUNT($AC1148:$AG1148)&lt;2,"",IF(MAX($AC1148:$AG1148)=MIN($AC1148:$AG1148),0,1))</f>
        <v/>
      </c>
      <c r="AI1148" s="27">
        <f>IF($A1148="","",IF(COUNTIF($A$14:$A1148,$A1148)=1,COUNTIF($AI$13:AI1147,"&gt;0")+1,""))</f>
        <v/>
      </c>
      <c r="AO1148" s="27">
        <f>IF($A1148="","",IF(AND(COUNTIFS($A$14:$A$1213,$A1148,$F$14:$F$1213,"&gt;=0")=2,IFERROR(INDEX($M$14:$M$313,MATCH($A1148,$H$14:$H$313,0)),"Yes")&lt;&gt;"Yes"),1,0))</f>
        <v/>
      </c>
    </row>
    <row r="1149">
      <c r="A1149" s="19" t="n"/>
      <c r="B1149" s="20" t="n"/>
      <c r="C1149" s="21">
        <f>IFERROR(AVERAGE(P1149:T1149),"")</f>
        <v/>
      </c>
      <c r="D1149" s="29" t="n"/>
      <c r="E1149" s="29" t="n"/>
      <c r="F1149" s="30">
        <f>IF(AND(ISNUMBER($D1149),ISNUMBER($E1149),$E1149&gt;0,$D1149&lt;=$E1149),$D1149/$E1149,"")</f>
        <v/>
      </c>
      <c r="P1149" s="26" t="n"/>
      <c r="Q1149" s="26" t="n"/>
      <c r="R1149" s="26" t="n"/>
      <c r="S1149" s="26" t="n"/>
      <c r="T1149" s="26" t="n"/>
      <c r="V1149" s="27">
        <f>IF(ISNUMBER($C1149),COUNTIFS($A$14:$A$1213,$A1149,$C$14:$C$1213,"&gt;"&amp;$C1149)+(COUNTIFS($A$14:$A$1213,$A1149,$C$14:$C$1213,"="&amp;$C1149)+1)/2,"")</f>
        <v/>
      </c>
      <c r="W1149" s="27">
        <f>IF(ISNUMBER($F1149),COUNTIFS($A$14:$A$1213,$A1149,$F$14:$F$1213,"&gt;"&amp;$F1149)+(COUNTIFS($A$14:$A$1213,$A1149,$F$14:$F$1213,"="&amp;$F1149)+1)/2,"")</f>
        <v/>
      </c>
      <c r="X1149" s="27">
        <f>IF(OR(NOT(ISNUMBER($V1149)),$AO1149=1),"",$V1149-(COUNTIFS($A$14:$A$1213,$A1149,$C$14:$C$1213,"&gt;=0")+1)/2)</f>
        <v/>
      </c>
      <c r="Y1149" s="27">
        <f>IF(OR(NOT(ISNUMBER($W1149)),$AO1149=1),"",$W1149-(COUNTIFS($A$14:$A$1213,$A1149,$F$14:$F$1213,"&gt;=0")+1)/2)</f>
        <v/>
      </c>
      <c r="Z1149" s="27">
        <f>IF(ISNUMBER($V1149),$A1149&amp;"|"&amp;$V1149,"")</f>
        <v/>
      </c>
      <c r="AA1149" s="27">
        <f>IF(ISNUMBER($W1149),$A1149&amp;"|"&amp;$W1149,"")</f>
        <v/>
      </c>
      <c r="AB1149" s="27">
        <f>IF(ISNUMBER($F1149),$A1149&amp;"|"&amp;$F1149,"")</f>
        <v/>
      </c>
      <c r="AC1149" s="27">
        <f>IF(ISNUMBER($P1149),COUNTIFS($A$14:$A$1213,$A1149,$P$14:$P$1213,"&gt;"&amp;$P1149)+(COUNTIFS($A$14:$A$1213,$A1149,$P$14:$P$1213,"="&amp;$P1149)+1)/2,"")</f>
        <v/>
      </c>
      <c r="AD1149" s="27">
        <f>IF(ISNUMBER($Q1149),COUNTIFS($A$14:$A$1213,$A1149,$Q$14:$Q$1213,"&gt;"&amp;$Q1149)+(COUNTIFS($A$14:$A$1213,$A1149,$Q$14:$Q$1213,"="&amp;$Q1149)+1)/2,"")</f>
        <v/>
      </c>
      <c r="AE1149" s="27">
        <f>IF(ISNUMBER($R1149),COUNTIFS($A$14:$A$1213,$A1149,$R$14:$R$1213,"&gt;"&amp;$R1149)+(COUNTIFS($A$14:$A$1213,$A1149,$R$14:$R$1213,"="&amp;$R1149)+1)/2,"")</f>
        <v/>
      </c>
      <c r="AF1149" s="27">
        <f>IF(ISNUMBER($S1149),COUNTIFS($A$14:$A$1213,$A1149,$S$14:$S$1213,"&gt;"&amp;$S1149)+(COUNTIFS($A$14:$A$1213,$A1149,$S$14:$S$1213,"="&amp;$S1149)+1)/2,"")</f>
        <v/>
      </c>
      <c r="AG1149" s="27">
        <f>IF(ISNUMBER($T1149),COUNTIFS($A$14:$A$1213,$A1149,$T$14:$T$1213,"&gt;"&amp;$T1149)+(COUNTIFS($A$14:$A$1213,$A1149,$T$14:$T$1213,"="&amp;$T1149)+1)/2,"")</f>
        <v/>
      </c>
      <c r="AH1149" s="27">
        <f>IF(COUNT($AC1149:$AG1149)&lt;2,"",IF(MAX($AC1149:$AG1149)=MIN($AC1149:$AG1149),0,1))</f>
        <v/>
      </c>
      <c r="AI1149" s="27">
        <f>IF($A1149="","",IF(COUNTIF($A$14:$A1149,$A1149)=1,COUNTIF($AI$13:AI1148,"&gt;0")+1,""))</f>
        <v/>
      </c>
      <c r="AO1149" s="27">
        <f>IF($A1149="","",IF(AND(COUNTIFS($A$14:$A$1213,$A1149,$F$14:$F$1213,"&gt;=0")=2,IFERROR(INDEX($M$14:$M$313,MATCH($A1149,$H$14:$H$313,0)),"Yes")&lt;&gt;"Yes"),1,0))</f>
        <v/>
      </c>
    </row>
    <row r="1150">
      <c r="A1150" s="19" t="n"/>
      <c r="B1150" s="20" t="n"/>
      <c r="C1150" s="21">
        <f>IFERROR(AVERAGE(P1150:T1150),"")</f>
        <v/>
      </c>
      <c r="D1150" s="29" t="n"/>
      <c r="E1150" s="29" t="n"/>
      <c r="F1150" s="30">
        <f>IF(AND(ISNUMBER($D1150),ISNUMBER($E1150),$E1150&gt;0,$D1150&lt;=$E1150),$D1150/$E1150,"")</f>
        <v/>
      </c>
      <c r="P1150" s="26" t="n"/>
      <c r="Q1150" s="26" t="n"/>
      <c r="R1150" s="26" t="n"/>
      <c r="S1150" s="26" t="n"/>
      <c r="T1150" s="26" t="n"/>
      <c r="V1150" s="27">
        <f>IF(ISNUMBER($C1150),COUNTIFS($A$14:$A$1213,$A1150,$C$14:$C$1213,"&gt;"&amp;$C1150)+(COUNTIFS($A$14:$A$1213,$A1150,$C$14:$C$1213,"="&amp;$C1150)+1)/2,"")</f>
        <v/>
      </c>
      <c r="W1150" s="27">
        <f>IF(ISNUMBER($F1150),COUNTIFS($A$14:$A$1213,$A1150,$F$14:$F$1213,"&gt;"&amp;$F1150)+(COUNTIFS($A$14:$A$1213,$A1150,$F$14:$F$1213,"="&amp;$F1150)+1)/2,"")</f>
        <v/>
      </c>
      <c r="X1150" s="27">
        <f>IF(OR(NOT(ISNUMBER($V1150)),$AO1150=1),"",$V1150-(COUNTIFS($A$14:$A$1213,$A1150,$C$14:$C$1213,"&gt;=0")+1)/2)</f>
        <v/>
      </c>
      <c r="Y1150" s="27">
        <f>IF(OR(NOT(ISNUMBER($W1150)),$AO1150=1),"",$W1150-(COUNTIFS($A$14:$A$1213,$A1150,$F$14:$F$1213,"&gt;=0")+1)/2)</f>
        <v/>
      </c>
      <c r="Z1150" s="27">
        <f>IF(ISNUMBER($V1150),$A1150&amp;"|"&amp;$V1150,"")</f>
        <v/>
      </c>
      <c r="AA1150" s="27">
        <f>IF(ISNUMBER($W1150),$A1150&amp;"|"&amp;$W1150,"")</f>
        <v/>
      </c>
      <c r="AB1150" s="27">
        <f>IF(ISNUMBER($F1150),$A1150&amp;"|"&amp;$F1150,"")</f>
        <v/>
      </c>
      <c r="AC1150" s="27">
        <f>IF(ISNUMBER($P1150),COUNTIFS($A$14:$A$1213,$A1150,$P$14:$P$1213,"&gt;"&amp;$P1150)+(COUNTIFS($A$14:$A$1213,$A1150,$P$14:$P$1213,"="&amp;$P1150)+1)/2,"")</f>
        <v/>
      </c>
      <c r="AD1150" s="27">
        <f>IF(ISNUMBER($Q1150),COUNTIFS($A$14:$A$1213,$A1150,$Q$14:$Q$1213,"&gt;"&amp;$Q1150)+(COUNTIFS($A$14:$A$1213,$A1150,$Q$14:$Q$1213,"="&amp;$Q1150)+1)/2,"")</f>
        <v/>
      </c>
      <c r="AE1150" s="27">
        <f>IF(ISNUMBER($R1150),COUNTIFS($A$14:$A$1213,$A1150,$R$14:$R$1213,"&gt;"&amp;$R1150)+(COUNTIFS($A$14:$A$1213,$A1150,$R$14:$R$1213,"="&amp;$R1150)+1)/2,"")</f>
        <v/>
      </c>
      <c r="AF1150" s="27">
        <f>IF(ISNUMBER($S1150),COUNTIFS($A$14:$A$1213,$A1150,$S$14:$S$1213,"&gt;"&amp;$S1150)+(COUNTIFS($A$14:$A$1213,$A1150,$S$14:$S$1213,"="&amp;$S1150)+1)/2,"")</f>
        <v/>
      </c>
      <c r="AG1150" s="27">
        <f>IF(ISNUMBER($T1150),COUNTIFS($A$14:$A$1213,$A1150,$T$14:$T$1213,"&gt;"&amp;$T1150)+(COUNTIFS($A$14:$A$1213,$A1150,$T$14:$T$1213,"="&amp;$T1150)+1)/2,"")</f>
        <v/>
      </c>
      <c r="AH1150" s="27">
        <f>IF(COUNT($AC1150:$AG1150)&lt;2,"",IF(MAX($AC1150:$AG1150)=MIN($AC1150:$AG1150),0,1))</f>
        <v/>
      </c>
      <c r="AI1150" s="27">
        <f>IF($A1150="","",IF(COUNTIF($A$14:$A1150,$A1150)=1,COUNTIF($AI$13:AI1149,"&gt;0")+1,""))</f>
        <v/>
      </c>
      <c r="AO1150" s="27">
        <f>IF($A1150="","",IF(AND(COUNTIFS($A$14:$A$1213,$A1150,$F$14:$F$1213,"&gt;=0")=2,IFERROR(INDEX($M$14:$M$313,MATCH($A1150,$H$14:$H$313,0)),"Yes")&lt;&gt;"Yes"),1,0))</f>
        <v/>
      </c>
    </row>
    <row r="1151">
      <c r="A1151" s="19" t="n"/>
      <c r="B1151" s="20" t="n"/>
      <c r="C1151" s="21">
        <f>IFERROR(AVERAGE(P1151:T1151),"")</f>
        <v/>
      </c>
      <c r="D1151" s="29" t="n"/>
      <c r="E1151" s="29" t="n"/>
      <c r="F1151" s="30">
        <f>IF(AND(ISNUMBER($D1151),ISNUMBER($E1151),$E1151&gt;0,$D1151&lt;=$E1151),$D1151/$E1151,"")</f>
        <v/>
      </c>
      <c r="P1151" s="26" t="n"/>
      <c r="Q1151" s="26" t="n"/>
      <c r="R1151" s="26" t="n"/>
      <c r="S1151" s="26" t="n"/>
      <c r="T1151" s="26" t="n"/>
      <c r="V1151" s="27">
        <f>IF(ISNUMBER($C1151),COUNTIFS($A$14:$A$1213,$A1151,$C$14:$C$1213,"&gt;"&amp;$C1151)+(COUNTIFS($A$14:$A$1213,$A1151,$C$14:$C$1213,"="&amp;$C1151)+1)/2,"")</f>
        <v/>
      </c>
      <c r="W1151" s="27">
        <f>IF(ISNUMBER($F1151),COUNTIFS($A$14:$A$1213,$A1151,$F$14:$F$1213,"&gt;"&amp;$F1151)+(COUNTIFS($A$14:$A$1213,$A1151,$F$14:$F$1213,"="&amp;$F1151)+1)/2,"")</f>
        <v/>
      </c>
      <c r="X1151" s="27">
        <f>IF(OR(NOT(ISNUMBER($V1151)),$AO1151=1),"",$V1151-(COUNTIFS($A$14:$A$1213,$A1151,$C$14:$C$1213,"&gt;=0")+1)/2)</f>
        <v/>
      </c>
      <c r="Y1151" s="27">
        <f>IF(OR(NOT(ISNUMBER($W1151)),$AO1151=1),"",$W1151-(COUNTIFS($A$14:$A$1213,$A1151,$F$14:$F$1213,"&gt;=0")+1)/2)</f>
        <v/>
      </c>
      <c r="Z1151" s="27">
        <f>IF(ISNUMBER($V1151),$A1151&amp;"|"&amp;$V1151,"")</f>
        <v/>
      </c>
      <c r="AA1151" s="27">
        <f>IF(ISNUMBER($W1151),$A1151&amp;"|"&amp;$W1151,"")</f>
        <v/>
      </c>
      <c r="AB1151" s="27">
        <f>IF(ISNUMBER($F1151),$A1151&amp;"|"&amp;$F1151,"")</f>
        <v/>
      </c>
      <c r="AC1151" s="27">
        <f>IF(ISNUMBER($P1151),COUNTIFS($A$14:$A$1213,$A1151,$P$14:$P$1213,"&gt;"&amp;$P1151)+(COUNTIFS($A$14:$A$1213,$A1151,$P$14:$P$1213,"="&amp;$P1151)+1)/2,"")</f>
        <v/>
      </c>
      <c r="AD1151" s="27">
        <f>IF(ISNUMBER($Q1151),COUNTIFS($A$14:$A$1213,$A1151,$Q$14:$Q$1213,"&gt;"&amp;$Q1151)+(COUNTIFS($A$14:$A$1213,$A1151,$Q$14:$Q$1213,"="&amp;$Q1151)+1)/2,"")</f>
        <v/>
      </c>
      <c r="AE1151" s="27">
        <f>IF(ISNUMBER($R1151),COUNTIFS($A$14:$A$1213,$A1151,$R$14:$R$1213,"&gt;"&amp;$R1151)+(COUNTIFS($A$14:$A$1213,$A1151,$R$14:$R$1213,"="&amp;$R1151)+1)/2,"")</f>
        <v/>
      </c>
      <c r="AF1151" s="27">
        <f>IF(ISNUMBER($S1151),COUNTIFS($A$14:$A$1213,$A1151,$S$14:$S$1213,"&gt;"&amp;$S1151)+(COUNTIFS($A$14:$A$1213,$A1151,$S$14:$S$1213,"="&amp;$S1151)+1)/2,"")</f>
        <v/>
      </c>
      <c r="AG1151" s="27">
        <f>IF(ISNUMBER($T1151),COUNTIFS($A$14:$A$1213,$A1151,$T$14:$T$1213,"&gt;"&amp;$T1151)+(COUNTIFS($A$14:$A$1213,$A1151,$T$14:$T$1213,"="&amp;$T1151)+1)/2,"")</f>
        <v/>
      </c>
      <c r="AH1151" s="27">
        <f>IF(COUNT($AC1151:$AG1151)&lt;2,"",IF(MAX($AC1151:$AG1151)=MIN($AC1151:$AG1151),0,1))</f>
        <v/>
      </c>
      <c r="AI1151" s="27">
        <f>IF($A1151="","",IF(COUNTIF($A$14:$A1151,$A1151)=1,COUNTIF($AI$13:AI1150,"&gt;0")+1,""))</f>
        <v/>
      </c>
      <c r="AO1151" s="27">
        <f>IF($A1151="","",IF(AND(COUNTIFS($A$14:$A$1213,$A1151,$F$14:$F$1213,"&gt;=0")=2,IFERROR(INDEX($M$14:$M$313,MATCH($A1151,$H$14:$H$313,0)),"Yes")&lt;&gt;"Yes"),1,0))</f>
        <v/>
      </c>
    </row>
    <row r="1152">
      <c r="A1152" s="19" t="n"/>
      <c r="B1152" s="20" t="n"/>
      <c r="C1152" s="21">
        <f>IFERROR(AVERAGE(P1152:T1152),"")</f>
        <v/>
      </c>
      <c r="D1152" s="29" t="n"/>
      <c r="E1152" s="29" t="n"/>
      <c r="F1152" s="30">
        <f>IF(AND(ISNUMBER($D1152),ISNUMBER($E1152),$E1152&gt;0,$D1152&lt;=$E1152),$D1152/$E1152,"")</f>
        <v/>
      </c>
      <c r="P1152" s="26" t="n"/>
      <c r="Q1152" s="26" t="n"/>
      <c r="R1152" s="26" t="n"/>
      <c r="S1152" s="26" t="n"/>
      <c r="T1152" s="26" t="n"/>
      <c r="V1152" s="27">
        <f>IF(ISNUMBER($C1152),COUNTIFS($A$14:$A$1213,$A1152,$C$14:$C$1213,"&gt;"&amp;$C1152)+(COUNTIFS($A$14:$A$1213,$A1152,$C$14:$C$1213,"="&amp;$C1152)+1)/2,"")</f>
        <v/>
      </c>
      <c r="W1152" s="27">
        <f>IF(ISNUMBER($F1152),COUNTIFS($A$14:$A$1213,$A1152,$F$14:$F$1213,"&gt;"&amp;$F1152)+(COUNTIFS($A$14:$A$1213,$A1152,$F$14:$F$1213,"="&amp;$F1152)+1)/2,"")</f>
        <v/>
      </c>
      <c r="X1152" s="27">
        <f>IF(OR(NOT(ISNUMBER($V1152)),$AO1152=1),"",$V1152-(COUNTIFS($A$14:$A$1213,$A1152,$C$14:$C$1213,"&gt;=0")+1)/2)</f>
        <v/>
      </c>
      <c r="Y1152" s="27">
        <f>IF(OR(NOT(ISNUMBER($W1152)),$AO1152=1),"",$W1152-(COUNTIFS($A$14:$A$1213,$A1152,$F$14:$F$1213,"&gt;=0")+1)/2)</f>
        <v/>
      </c>
      <c r="Z1152" s="27">
        <f>IF(ISNUMBER($V1152),$A1152&amp;"|"&amp;$V1152,"")</f>
        <v/>
      </c>
      <c r="AA1152" s="27">
        <f>IF(ISNUMBER($W1152),$A1152&amp;"|"&amp;$W1152,"")</f>
        <v/>
      </c>
      <c r="AB1152" s="27">
        <f>IF(ISNUMBER($F1152),$A1152&amp;"|"&amp;$F1152,"")</f>
        <v/>
      </c>
      <c r="AC1152" s="27">
        <f>IF(ISNUMBER($P1152),COUNTIFS($A$14:$A$1213,$A1152,$P$14:$P$1213,"&gt;"&amp;$P1152)+(COUNTIFS($A$14:$A$1213,$A1152,$P$14:$P$1213,"="&amp;$P1152)+1)/2,"")</f>
        <v/>
      </c>
      <c r="AD1152" s="27">
        <f>IF(ISNUMBER($Q1152),COUNTIFS($A$14:$A$1213,$A1152,$Q$14:$Q$1213,"&gt;"&amp;$Q1152)+(COUNTIFS($A$14:$A$1213,$A1152,$Q$14:$Q$1213,"="&amp;$Q1152)+1)/2,"")</f>
        <v/>
      </c>
      <c r="AE1152" s="27">
        <f>IF(ISNUMBER($R1152),COUNTIFS($A$14:$A$1213,$A1152,$R$14:$R$1213,"&gt;"&amp;$R1152)+(COUNTIFS($A$14:$A$1213,$A1152,$R$14:$R$1213,"="&amp;$R1152)+1)/2,"")</f>
        <v/>
      </c>
      <c r="AF1152" s="27">
        <f>IF(ISNUMBER($S1152),COUNTIFS($A$14:$A$1213,$A1152,$S$14:$S$1213,"&gt;"&amp;$S1152)+(COUNTIFS($A$14:$A$1213,$A1152,$S$14:$S$1213,"="&amp;$S1152)+1)/2,"")</f>
        <v/>
      </c>
      <c r="AG1152" s="27">
        <f>IF(ISNUMBER($T1152),COUNTIFS($A$14:$A$1213,$A1152,$T$14:$T$1213,"&gt;"&amp;$T1152)+(COUNTIFS($A$14:$A$1213,$A1152,$T$14:$T$1213,"="&amp;$T1152)+1)/2,"")</f>
        <v/>
      </c>
      <c r="AH1152" s="27">
        <f>IF(COUNT($AC1152:$AG1152)&lt;2,"",IF(MAX($AC1152:$AG1152)=MIN($AC1152:$AG1152),0,1))</f>
        <v/>
      </c>
      <c r="AI1152" s="27">
        <f>IF($A1152="","",IF(COUNTIF($A$14:$A1152,$A1152)=1,COUNTIF($AI$13:AI1151,"&gt;0")+1,""))</f>
        <v/>
      </c>
      <c r="AO1152" s="27">
        <f>IF($A1152="","",IF(AND(COUNTIFS($A$14:$A$1213,$A1152,$F$14:$F$1213,"&gt;=0")=2,IFERROR(INDEX($M$14:$M$313,MATCH($A1152,$H$14:$H$313,0)),"Yes")&lt;&gt;"Yes"),1,0))</f>
        <v/>
      </c>
    </row>
    <row r="1153">
      <c r="A1153" s="19" t="n"/>
      <c r="B1153" s="20" t="n"/>
      <c r="C1153" s="21">
        <f>IFERROR(AVERAGE(P1153:T1153),"")</f>
        <v/>
      </c>
      <c r="D1153" s="29" t="n"/>
      <c r="E1153" s="29" t="n"/>
      <c r="F1153" s="30">
        <f>IF(AND(ISNUMBER($D1153),ISNUMBER($E1153),$E1153&gt;0,$D1153&lt;=$E1153),$D1153/$E1153,"")</f>
        <v/>
      </c>
      <c r="P1153" s="26" t="n"/>
      <c r="Q1153" s="26" t="n"/>
      <c r="R1153" s="26" t="n"/>
      <c r="S1153" s="26" t="n"/>
      <c r="T1153" s="26" t="n"/>
      <c r="V1153" s="27">
        <f>IF(ISNUMBER($C1153),COUNTIFS($A$14:$A$1213,$A1153,$C$14:$C$1213,"&gt;"&amp;$C1153)+(COUNTIFS($A$14:$A$1213,$A1153,$C$14:$C$1213,"="&amp;$C1153)+1)/2,"")</f>
        <v/>
      </c>
      <c r="W1153" s="27">
        <f>IF(ISNUMBER($F1153),COUNTIFS($A$14:$A$1213,$A1153,$F$14:$F$1213,"&gt;"&amp;$F1153)+(COUNTIFS($A$14:$A$1213,$A1153,$F$14:$F$1213,"="&amp;$F1153)+1)/2,"")</f>
        <v/>
      </c>
      <c r="X1153" s="27">
        <f>IF(OR(NOT(ISNUMBER($V1153)),$AO1153=1),"",$V1153-(COUNTIFS($A$14:$A$1213,$A1153,$C$14:$C$1213,"&gt;=0")+1)/2)</f>
        <v/>
      </c>
      <c r="Y1153" s="27">
        <f>IF(OR(NOT(ISNUMBER($W1153)),$AO1153=1),"",$W1153-(COUNTIFS($A$14:$A$1213,$A1153,$F$14:$F$1213,"&gt;=0")+1)/2)</f>
        <v/>
      </c>
      <c r="Z1153" s="27">
        <f>IF(ISNUMBER($V1153),$A1153&amp;"|"&amp;$V1153,"")</f>
        <v/>
      </c>
      <c r="AA1153" s="27">
        <f>IF(ISNUMBER($W1153),$A1153&amp;"|"&amp;$W1153,"")</f>
        <v/>
      </c>
      <c r="AB1153" s="27">
        <f>IF(ISNUMBER($F1153),$A1153&amp;"|"&amp;$F1153,"")</f>
        <v/>
      </c>
      <c r="AC1153" s="27">
        <f>IF(ISNUMBER($P1153),COUNTIFS($A$14:$A$1213,$A1153,$P$14:$P$1213,"&gt;"&amp;$P1153)+(COUNTIFS($A$14:$A$1213,$A1153,$P$14:$P$1213,"="&amp;$P1153)+1)/2,"")</f>
        <v/>
      </c>
      <c r="AD1153" s="27">
        <f>IF(ISNUMBER($Q1153),COUNTIFS($A$14:$A$1213,$A1153,$Q$14:$Q$1213,"&gt;"&amp;$Q1153)+(COUNTIFS($A$14:$A$1213,$A1153,$Q$14:$Q$1213,"="&amp;$Q1153)+1)/2,"")</f>
        <v/>
      </c>
      <c r="AE1153" s="27">
        <f>IF(ISNUMBER($R1153),COUNTIFS($A$14:$A$1213,$A1153,$R$14:$R$1213,"&gt;"&amp;$R1153)+(COUNTIFS($A$14:$A$1213,$A1153,$R$14:$R$1213,"="&amp;$R1153)+1)/2,"")</f>
        <v/>
      </c>
      <c r="AF1153" s="27">
        <f>IF(ISNUMBER($S1153),COUNTIFS($A$14:$A$1213,$A1153,$S$14:$S$1213,"&gt;"&amp;$S1153)+(COUNTIFS($A$14:$A$1213,$A1153,$S$14:$S$1213,"="&amp;$S1153)+1)/2,"")</f>
        <v/>
      </c>
      <c r="AG1153" s="27">
        <f>IF(ISNUMBER($T1153),COUNTIFS($A$14:$A$1213,$A1153,$T$14:$T$1213,"&gt;"&amp;$T1153)+(COUNTIFS($A$14:$A$1213,$A1153,$T$14:$T$1213,"="&amp;$T1153)+1)/2,"")</f>
        <v/>
      </c>
      <c r="AH1153" s="27">
        <f>IF(COUNT($AC1153:$AG1153)&lt;2,"",IF(MAX($AC1153:$AG1153)=MIN($AC1153:$AG1153),0,1))</f>
        <v/>
      </c>
      <c r="AI1153" s="27">
        <f>IF($A1153="","",IF(COUNTIF($A$14:$A1153,$A1153)=1,COUNTIF($AI$13:AI1152,"&gt;0")+1,""))</f>
        <v/>
      </c>
      <c r="AO1153" s="27">
        <f>IF($A1153="","",IF(AND(COUNTIFS($A$14:$A$1213,$A1153,$F$14:$F$1213,"&gt;=0")=2,IFERROR(INDEX($M$14:$M$313,MATCH($A1153,$H$14:$H$313,0)),"Yes")&lt;&gt;"Yes"),1,0))</f>
        <v/>
      </c>
    </row>
    <row r="1154">
      <c r="A1154" s="19" t="n"/>
      <c r="B1154" s="20" t="n"/>
      <c r="C1154" s="21">
        <f>IFERROR(AVERAGE(P1154:T1154),"")</f>
        <v/>
      </c>
      <c r="D1154" s="29" t="n"/>
      <c r="E1154" s="29" t="n"/>
      <c r="F1154" s="30">
        <f>IF(AND(ISNUMBER($D1154),ISNUMBER($E1154),$E1154&gt;0,$D1154&lt;=$E1154),$D1154/$E1154,"")</f>
        <v/>
      </c>
      <c r="P1154" s="26" t="n"/>
      <c r="Q1154" s="26" t="n"/>
      <c r="R1154" s="26" t="n"/>
      <c r="S1154" s="26" t="n"/>
      <c r="T1154" s="26" t="n"/>
      <c r="V1154" s="27">
        <f>IF(ISNUMBER($C1154),COUNTIFS($A$14:$A$1213,$A1154,$C$14:$C$1213,"&gt;"&amp;$C1154)+(COUNTIFS($A$14:$A$1213,$A1154,$C$14:$C$1213,"="&amp;$C1154)+1)/2,"")</f>
        <v/>
      </c>
      <c r="W1154" s="27">
        <f>IF(ISNUMBER($F1154),COUNTIFS($A$14:$A$1213,$A1154,$F$14:$F$1213,"&gt;"&amp;$F1154)+(COUNTIFS($A$14:$A$1213,$A1154,$F$14:$F$1213,"="&amp;$F1154)+1)/2,"")</f>
        <v/>
      </c>
      <c r="X1154" s="27">
        <f>IF(OR(NOT(ISNUMBER($V1154)),$AO1154=1),"",$V1154-(COUNTIFS($A$14:$A$1213,$A1154,$C$14:$C$1213,"&gt;=0")+1)/2)</f>
        <v/>
      </c>
      <c r="Y1154" s="27">
        <f>IF(OR(NOT(ISNUMBER($W1154)),$AO1154=1),"",$W1154-(COUNTIFS($A$14:$A$1213,$A1154,$F$14:$F$1213,"&gt;=0")+1)/2)</f>
        <v/>
      </c>
      <c r="Z1154" s="27">
        <f>IF(ISNUMBER($V1154),$A1154&amp;"|"&amp;$V1154,"")</f>
        <v/>
      </c>
      <c r="AA1154" s="27">
        <f>IF(ISNUMBER($W1154),$A1154&amp;"|"&amp;$W1154,"")</f>
        <v/>
      </c>
      <c r="AB1154" s="27">
        <f>IF(ISNUMBER($F1154),$A1154&amp;"|"&amp;$F1154,"")</f>
        <v/>
      </c>
      <c r="AC1154" s="27">
        <f>IF(ISNUMBER($P1154),COUNTIFS($A$14:$A$1213,$A1154,$P$14:$P$1213,"&gt;"&amp;$P1154)+(COUNTIFS($A$14:$A$1213,$A1154,$P$14:$P$1213,"="&amp;$P1154)+1)/2,"")</f>
        <v/>
      </c>
      <c r="AD1154" s="27">
        <f>IF(ISNUMBER($Q1154),COUNTIFS($A$14:$A$1213,$A1154,$Q$14:$Q$1213,"&gt;"&amp;$Q1154)+(COUNTIFS($A$14:$A$1213,$A1154,$Q$14:$Q$1213,"="&amp;$Q1154)+1)/2,"")</f>
        <v/>
      </c>
      <c r="AE1154" s="27">
        <f>IF(ISNUMBER($R1154),COUNTIFS($A$14:$A$1213,$A1154,$R$14:$R$1213,"&gt;"&amp;$R1154)+(COUNTIFS($A$14:$A$1213,$A1154,$R$14:$R$1213,"="&amp;$R1154)+1)/2,"")</f>
        <v/>
      </c>
      <c r="AF1154" s="27">
        <f>IF(ISNUMBER($S1154),COUNTIFS($A$14:$A$1213,$A1154,$S$14:$S$1213,"&gt;"&amp;$S1154)+(COUNTIFS($A$14:$A$1213,$A1154,$S$14:$S$1213,"="&amp;$S1154)+1)/2,"")</f>
        <v/>
      </c>
      <c r="AG1154" s="27">
        <f>IF(ISNUMBER($T1154),COUNTIFS($A$14:$A$1213,$A1154,$T$14:$T$1213,"&gt;"&amp;$T1154)+(COUNTIFS($A$14:$A$1213,$A1154,$T$14:$T$1213,"="&amp;$T1154)+1)/2,"")</f>
        <v/>
      </c>
      <c r="AH1154" s="27">
        <f>IF(COUNT($AC1154:$AG1154)&lt;2,"",IF(MAX($AC1154:$AG1154)=MIN($AC1154:$AG1154),0,1))</f>
        <v/>
      </c>
      <c r="AI1154" s="27">
        <f>IF($A1154="","",IF(COUNTIF($A$14:$A1154,$A1154)=1,COUNTIF($AI$13:AI1153,"&gt;0")+1,""))</f>
        <v/>
      </c>
      <c r="AO1154" s="27">
        <f>IF($A1154="","",IF(AND(COUNTIFS($A$14:$A$1213,$A1154,$F$14:$F$1213,"&gt;=0")=2,IFERROR(INDEX($M$14:$M$313,MATCH($A1154,$H$14:$H$313,0)),"Yes")&lt;&gt;"Yes"),1,0))</f>
        <v/>
      </c>
    </row>
    <row r="1155">
      <c r="A1155" s="19" t="n"/>
      <c r="B1155" s="20" t="n"/>
      <c r="C1155" s="21">
        <f>IFERROR(AVERAGE(P1155:T1155),"")</f>
        <v/>
      </c>
      <c r="D1155" s="29" t="n"/>
      <c r="E1155" s="29" t="n"/>
      <c r="F1155" s="30">
        <f>IF(AND(ISNUMBER($D1155),ISNUMBER($E1155),$E1155&gt;0,$D1155&lt;=$E1155),$D1155/$E1155,"")</f>
        <v/>
      </c>
      <c r="P1155" s="26" t="n"/>
      <c r="Q1155" s="26" t="n"/>
      <c r="R1155" s="26" t="n"/>
      <c r="S1155" s="26" t="n"/>
      <c r="T1155" s="26" t="n"/>
      <c r="V1155" s="27">
        <f>IF(ISNUMBER($C1155),COUNTIFS($A$14:$A$1213,$A1155,$C$14:$C$1213,"&gt;"&amp;$C1155)+(COUNTIFS($A$14:$A$1213,$A1155,$C$14:$C$1213,"="&amp;$C1155)+1)/2,"")</f>
        <v/>
      </c>
      <c r="W1155" s="27">
        <f>IF(ISNUMBER($F1155),COUNTIFS($A$14:$A$1213,$A1155,$F$14:$F$1213,"&gt;"&amp;$F1155)+(COUNTIFS($A$14:$A$1213,$A1155,$F$14:$F$1213,"="&amp;$F1155)+1)/2,"")</f>
        <v/>
      </c>
      <c r="X1155" s="27">
        <f>IF(OR(NOT(ISNUMBER($V1155)),$AO1155=1),"",$V1155-(COUNTIFS($A$14:$A$1213,$A1155,$C$14:$C$1213,"&gt;=0")+1)/2)</f>
        <v/>
      </c>
      <c r="Y1155" s="27">
        <f>IF(OR(NOT(ISNUMBER($W1155)),$AO1155=1),"",$W1155-(COUNTIFS($A$14:$A$1213,$A1155,$F$14:$F$1213,"&gt;=0")+1)/2)</f>
        <v/>
      </c>
      <c r="Z1155" s="27">
        <f>IF(ISNUMBER($V1155),$A1155&amp;"|"&amp;$V1155,"")</f>
        <v/>
      </c>
      <c r="AA1155" s="27">
        <f>IF(ISNUMBER($W1155),$A1155&amp;"|"&amp;$W1155,"")</f>
        <v/>
      </c>
      <c r="AB1155" s="27">
        <f>IF(ISNUMBER($F1155),$A1155&amp;"|"&amp;$F1155,"")</f>
        <v/>
      </c>
      <c r="AC1155" s="27">
        <f>IF(ISNUMBER($P1155),COUNTIFS($A$14:$A$1213,$A1155,$P$14:$P$1213,"&gt;"&amp;$P1155)+(COUNTIFS($A$14:$A$1213,$A1155,$P$14:$P$1213,"="&amp;$P1155)+1)/2,"")</f>
        <v/>
      </c>
      <c r="AD1155" s="27">
        <f>IF(ISNUMBER($Q1155),COUNTIFS($A$14:$A$1213,$A1155,$Q$14:$Q$1213,"&gt;"&amp;$Q1155)+(COUNTIFS($A$14:$A$1213,$A1155,$Q$14:$Q$1213,"="&amp;$Q1155)+1)/2,"")</f>
        <v/>
      </c>
      <c r="AE1155" s="27">
        <f>IF(ISNUMBER($R1155),COUNTIFS($A$14:$A$1213,$A1155,$R$14:$R$1213,"&gt;"&amp;$R1155)+(COUNTIFS($A$14:$A$1213,$A1155,$R$14:$R$1213,"="&amp;$R1155)+1)/2,"")</f>
        <v/>
      </c>
      <c r="AF1155" s="27">
        <f>IF(ISNUMBER($S1155),COUNTIFS($A$14:$A$1213,$A1155,$S$14:$S$1213,"&gt;"&amp;$S1155)+(COUNTIFS($A$14:$A$1213,$A1155,$S$14:$S$1213,"="&amp;$S1155)+1)/2,"")</f>
        <v/>
      </c>
      <c r="AG1155" s="27">
        <f>IF(ISNUMBER($T1155),COUNTIFS($A$14:$A$1213,$A1155,$T$14:$T$1213,"&gt;"&amp;$T1155)+(COUNTIFS($A$14:$A$1213,$A1155,$T$14:$T$1213,"="&amp;$T1155)+1)/2,"")</f>
        <v/>
      </c>
      <c r="AH1155" s="27">
        <f>IF(COUNT($AC1155:$AG1155)&lt;2,"",IF(MAX($AC1155:$AG1155)=MIN($AC1155:$AG1155),0,1))</f>
        <v/>
      </c>
      <c r="AI1155" s="27">
        <f>IF($A1155="","",IF(COUNTIF($A$14:$A1155,$A1155)=1,COUNTIF($AI$13:AI1154,"&gt;0")+1,""))</f>
        <v/>
      </c>
      <c r="AO1155" s="27">
        <f>IF($A1155="","",IF(AND(COUNTIFS($A$14:$A$1213,$A1155,$F$14:$F$1213,"&gt;=0")=2,IFERROR(INDEX($M$14:$M$313,MATCH($A1155,$H$14:$H$313,0)),"Yes")&lt;&gt;"Yes"),1,0))</f>
        <v/>
      </c>
    </row>
    <row r="1156">
      <c r="A1156" s="19" t="n"/>
      <c r="B1156" s="20" t="n"/>
      <c r="C1156" s="21">
        <f>IFERROR(AVERAGE(P1156:T1156),"")</f>
        <v/>
      </c>
      <c r="D1156" s="29" t="n"/>
      <c r="E1156" s="29" t="n"/>
      <c r="F1156" s="30">
        <f>IF(AND(ISNUMBER($D1156),ISNUMBER($E1156),$E1156&gt;0,$D1156&lt;=$E1156),$D1156/$E1156,"")</f>
        <v/>
      </c>
      <c r="P1156" s="26" t="n"/>
      <c r="Q1156" s="26" t="n"/>
      <c r="R1156" s="26" t="n"/>
      <c r="S1156" s="26" t="n"/>
      <c r="T1156" s="26" t="n"/>
      <c r="V1156" s="27">
        <f>IF(ISNUMBER($C1156),COUNTIFS($A$14:$A$1213,$A1156,$C$14:$C$1213,"&gt;"&amp;$C1156)+(COUNTIFS($A$14:$A$1213,$A1156,$C$14:$C$1213,"="&amp;$C1156)+1)/2,"")</f>
        <v/>
      </c>
      <c r="W1156" s="27">
        <f>IF(ISNUMBER($F1156),COUNTIFS($A$14:$A$1213,$A1156,$F$14:$F$1213,"&gt;"&amp;$F1156)+(COUNTIFS($A$14:$A$1213,$A1156,$F$14:$F$1213,"="&amp;$F1156)+1)/2,"")</f>
        <v/>
      </c>
      <c r="X1156" s="27">
        <f>IF(OR(NOT(ISNUMBER($V1156)),$AO1156=1),"",$V1156-(COUNTIFS($A$14:$A$1213,$A1156,$C$14:$C$1213,"&gt;=0")+1)/2)</f>
        <v/>
      </c>
      <c r="Y1156" s="27">
        <f>IF(OR(NOT(ISNUMBER($W1156)),$AO1156=1),"",$W1156-(COUNTIFS($A$14:$A$1213,$A1156,$F$14:$F$1213,"&gt;=0")+1)/2)</f>
        <v/>
      </c>
      <c r="Z1156" s="27">
        <f>IF(ISNUMBER($V1156),$A1156&amp;"|"&amp;$V1156,"")</f>
        <v/>
      </c>
      <c r="AA1156" s="27">
        <f>IF(ISNUMBER($W1156),$A1156&amp;"|"&amp;$W1156,"")</f>
        <v/>
      </c>
      <c r="AB1156" s="27">
        <f>IF(ISNUMBER($F1156),$A1156&amp;"|"&amp;$F1156,"")</f>
        <v/>
      </c>
      <c r="AC1156" s="27">
        <f>IF(ISNUMBER($P1156),COUNTIFS($A$14:$A$1213,$A1156,$P$14:$P$1213,"&gt;"&amp;$P1156)+(COUNTIFS($A$14:$A$1213,$A1156,$P$14:$P$1213,"="&amp;$P1156)+1)/2,"")</f>
        <v/>
      </c>
      <c r="AD1156" s="27">
        <f>IF(ISNUMBER($Q1156),COUNTIFS($A$14:$A$1213,$A1156,$Q$14:$Q$1213,"&gt;"&amp;$Q1156)+(COUNTIFS($A$14:$A$1213,$A1156,$Q$14:$Q$1213,"="&amp;$Q1156)+1)/2,"")</f>
        <v/>
      </c>
      <c r="AE1156" s="27">
        <f>IF(ISNUMBER($R1156),COUNTIFS($A$14:$A$1213,$A1156,$R$14:$R$1213,"&gt;"&amp;$R1156)+(COUNTIFS($A$14:$A$1213,$A1156,$R$14:$R$1213,"="&amp;$R1156)+1)/2,"")</f>
        <v/>
      </c>
      <c r="AF1156" s="27">
        <f>IF(ISNUMBER($S1156),COUNTIFS($A$14:$A$1213,$A1156,$S$14:$S$1213,"&gt;"&amp;$S1156)+(COUNTIFS($A$14:$A$1213,$A1156,$S$14:$S$1213,"="&amp;$S1156)+1)/2,"")</f>
        <v/>
      </c>
      <c r="AG1156" s="27">
        <f>IF(ISNUMBER($T1156),COUNTIFS($A$14:$A$1213,$A1156,$T$14:$T$1213,"&gt;"&amp;$T1156)+(COUNTIFS($A$14:$A$1213,$A1156,$T$14:$T$1213,"="&amp;$T1156)+1)/2,"")</f>
        <v/>
      </c>
      <c r="AH1156" s="27">
        <f>IF(COUNT($AC1156:$AG1156)&lt;2,"",IF(MAX($AC1156:$AG1156)=MIN($AC1156:$AG1156),0,1))</f>
        <v/>
      </c>
      <c r="AI1156" s="27">
        <f>IF($A1156="","",IF(COUNTIF($A$14:$A1156,$A1156)=1,COUNTIF($AI$13:AI1155,"&gt;0")+1,""))</f>
        <v/>
      </c>
      <c r="AO1156" s="27">
        <f>IF($A1156="","",IF(AND(COUNTIFS($A$14:$A$1213,$A1156,$F$14:$F$1213,"&gt;=0")=2,IFERROR(INDEX($M$14:$M$313,MATCH($A1156,$H$14:$H$313,0)),"Yes")&lt;&gt;"Yes"),1,0))</f>
        <v/>
      </c>
    </row>
    <row r="1157">
      <c r="A1157" s="19" t="n"/>
      <c r="B1157" s="20" t="n"/>
      <c r="C1157" s="21">
        <f>IFERROR(AVERAGE(P1157:T1157),"")</f>
        <v/>
      </c>
      <c r="D1157" s="29" t="n"/>
      <c r="E1157" s="29" t="n"/>
      <c r="F1157" s="30">
        <f>IF(AND(ISNUMBER($D1157),ISNUMBER($E1157),$E1157&gt;0,$D1157&lt;=$E1157),$D1157/$E1157,"")</f>
        <v/>
      </c>
      <c r="P1157" s="26" t="n"/>
      <c r="Q1157" s="26" t="n"/>
      <c r="R1157" s="26" t="n"/>
      <c r="S1157" s="26" t="n"/>
      <c r="T1157" s="26" t="n"/>
      <c r="V1157" s="27">
        <f>IF(ISNUMBER($C1157),COUNTIFS($A$14:$A$1213,$A1157,$C$14:$C$1213,"&gt;"&amp;$C1157)+(COUNTIFS($A$14:$A$1213,$A1157,$C$14:$C$1213,"="&amp;$C1157)+1)/2,"")</f>
        <v/>
      </c>
      <c r="W1157" s="27">
        <f>IF(ISNUMBER($F1157),COUNTIFS($A$14:$A$1213,$A1157,$F$14:$F$1213,"&gt;"&amp;$F1157)+(COUNTIFS($A$14:$A$1213,$A1157,$F$14:$F$1213,"="&amp;$F1157)+1)/2,"")</f>
        <v/>
      </c>
      <c r="X1157" s="27">
        <f>IF(OR(NOT(ISNUMBER($V1157)),$AO1157=1),"",$V1157-(COUNTIFS($A$14:$A$1213,$A1157,$C$14:$C$1213,"&gt;=0")+1)/2)</f>
        <v/>
      </c>
      <c r="Y1157" s="27">
        <f>IF(OR(NOT(ISNUMBER($W1157)),$AO1157=1),"",$W1157-(COUNTIFS($A$14:$A$1213,$A1157,$F$14:$F$1213,"&gt;=0")+1)/2)</f>
        <v/>
      </c>
      <c r="Z1157" s="27">
        <f>IF(ISNUMBER($V1157),$A1157&amp;"|"&amp;$V1157,"")</f>
        <v/>
      </c>
      <c r="AA1157" s="27">
        <f>IF(ISNUMBER($W1157),$A1157&amp;"|"&amp;$W1157,"")</f>
        <v/>
      </c>
      <c r="AB1157" s="27">
        <f>IF(ISNUMBER($F1157),$A1157&amp;"|"&amp;$F1157,"")</f>
        <v/>
      </c>
      <c r="AC1157" s="27">
        <f>IF(ISNUMBER($P1157),COUNTIFS($A$14:$A$1213,$A1157,$P$14:$P$1213,"&gt;"&amp;$P1157)+(COUNTIFS($A$14:$A$1213,$A1157,$P$14:$P$1213,"="&amp;$P1157)+1)/2,"")</f>
        <v/>
      </c>
      <c r="AD1157" s="27">
        <f>IF(ISNUMBER($Q1157),COUNTIFS($A$14:$A$1213,$A1157,$Q$14:$Q$1213,"&gt;"&amp;$Q1157)+(COUNTIFS($A$14:$A$1213,$A1157,$Q$14:$Q$1213,"="&amp;$Q1157)+1)/2,"")</f>
        <v/>
      </c>
      <c r="AE1157" s="27">
        <f>IF(ISNUMBER($R1157),COUNTIFS($A$14:$A$1213,$A1157,$R$14:$R$1213,"&gt;"&amp;$R1157)+(COUNTIFS($A$14:$A$1213,$A1157,$R$14:$R$1213,"="&amp;$R1157)+1)/2,"")</f>
        <v/>
      </c>
      <c r="AF1157" s="27">
        <f>IF(ISNUMBER($S1157),COUNTIFS($A$14:$A$1213,$A1157,$S$14:$S$1213,"&gt;"&amp;$S1157)+(COUNTIFS($A$14:$A$1213,$A1157,$S$14:$S$1213,"="&amp;$S1157)+1)/2,"")</f>
        <v/>
      </c>
      <c r="AG1157" s="27">
        <f>IF(ISNUMBER($T1157),COUNTIFS($A$14:$A$1213,$A1157,$T$14:$T$1213,"&gt;"&amp;$T1157)+(COUNTIFS($A$14:$A$1213,$A1157,$T$14:$T$1213,"="&amp;$T1157)+1)/2,"")</f>
        <v/>
      </c>
      <c r="AH1157" s="27">
        <f>IF(COUNT($AC1157:$AG1157)&lt;2,"",IF(MAX($AC1157:$AG1157)=MIN($AC1157:$AG1157),0,1))</f>
        <v/>
      </c>
      <c r="AI1157" s="27">
        <f>IF($A1157="","",IF(COUNTIF($A$14:$A1157,$A1157)=1,COUNTIF($AI$13:AI1156,"&gt;0")+1,""))</f>
        <v/>
      </c>
      <c r="AO1157" s="27">
        <f>IF($A1157="","",IF(AND(COUNTIFS($A$14:$A$1213,$A1157,$F$14:$F$1213,"&gt;=0")=2,IFERROR(INDEX($M$14:$M$313,MATCH($A1157,$H$14:$H$313,0)),"Yes")&lt;&gt;"Yes"),1,0))</f>
        <v/>
      </c>
    </row>
    <row r="1158">
      <c r="A1158" s="19" t="n"/>
      <c r="B1158" s="20" t="n"/>
      <c r="C1158" s="21">
        <f>IFERROR(AVERAGE(P1158:T1158),"")</f>
        <v/>
      </c>
      <c r="D1158" s="29" t="n"/>
      <c r="E1158" s="29" t="n"/>
      <c r="F1158" s="30">
        <f>IF(AND(ISNUMBER($D1158),ISNUMBER($E1158),$E1158&gt;0,$D1158&lt;=$E1158),$D1158/$E1158,"")</f>
        <v/>
      </c>
      <c r="P1158" s="26" t="n"/>
      <c r="Q1158" s="26" t="n"/>
      <c r="R1158" s="26" t="n"/>
      <c r="S1158" s="26" t="n"/>
      <c r="T1158" s="26" t="n"/>
      <c r="V1158" s="27">
        <f>IF(ISNUMBER($C1158),COUNTIFS($A$14:$A$1213,$A1158,$C$14:$C$1213,"&gt;"&amp;$C1158)+(COUNTIFS($A$14:$A$1213,$A1158,$C$14:$C$1213,"="&amp;$C1158)+1)/2,"")</f>
        <v/>
      </c>
      <c r="W1158" s="27">
        <f>IF(ISNUMBER($F1158),COUNTIFS($A$14:$A$1213,$A1158,$F$14:$F$1213,"&gt;"&amp;$F1158)+(COUNTIFS($A$14:$A$1213,$A1158,$F$14:$F$1213,"="&amp;$F1158)+1)/2,"")</f>
        <v/>
      </c>
      <c r="X1158" s="27">
        <f>IF(OR(NOT(ISNUMBER($V1158)),$AO1158=1),"",$V1158-(COUNTIFS($A$14:$A$1213,$A1158,$C$14:$C$1213,"&gt;=0")+1)/2)</f>
        <v/>
      </c>
      <c r="Y1158" s="27">
        <f>IF(OR(NOT(ISNUMBER($W1158)),$AO1158=1),"",$W1158-(COUNTIFS($A$14:$A$1213,$A1158,$F$14:$F$1213,"&gt;=0")+1)/2)</f>
        <v/>
      </c>
      <c r="Z1158" s="27">
        <f>IF(ISNUMBER($V1158),$A1158&amp;"|"&amp;$V1158,"")</f>
        <v/>
      </c>
      <c r="AA1158" s="27">
        <f>IF(ISNUMBER($W1158),$A1158&amp;"|"&amp;$W1158,"")</f>
        <v/>
      </c>
      <c r="AB1158" s="27">
        <f>IF(ISNUMBER($F1158),$A1158&amp;"|"&amp;$F1158,"")</f>
        <v/>
      </c>
      <c r="AC1158" s="27">
        <f>IF(ISNUMBER($P1158),COUNTIFS($A$14:$A$1213,$A1158,$P$14:$P$1213,"&gt;"&amp;$P1158)+(COUNTIFS($A$14:$A$1213,$A1158,$P$14:$P$1213,"="&amp;$P1158)+1)/2,"")</f>
        <v/>
      </c>
      <c r="AD1158" s="27">
        <f>IF(ISNUMBER($Q1158),COUNTIFS($A$14:$A$1213,$A1158,$Q$14:$Q$1213,"&gt;"&amp;$Q1158)+(COUNTIFS($A$14:$A$1213,$A1158,$Q$14:$Q$1213,"="&amp;$Q1158)+1)/2,"")</f>
        <v/>
      </c>
      <c r="AE1158" s="27">
        <f>IF(ISNUMBER($R1158),COUNTIFS($A$14:$A$1213,$A1158,$R$14:$R$1213,"&gt;"&amp;$R1158)+(COUNTIFS($A$14:$A$1213,$A1158,$R$14:$R$1213,"="&amp;$R1158)+1)/2,"")</f>
        <v/>
      </c>
      <c r="AF1158" s="27">
        <f>IF(ISNUMBER($S1158),COUNTIFS($A$14:$A$1213,$A1158,$S$14:$S$1213,"&gt;"&amp;$S1158)+(COUNTIFS($A$14:$A$1213,$A1158,$S$14:$S$1213,"="&amp;$S1158)+1)/2,"")</f>
        <v/>
      </c>
      <c r="AG1158" s="27">
        <f>IF(ISNUMBER($T1158),COUNTIFS($A$14:$A$1213,$A1158,$T$14:$T$1213,"&gt;"&amp;$T1158)+(COUNTIFS($A$14:$A$1213,$A1158,$T$14:$T$1213,"="&amp;$T1158)+1)/2,"")</f>
        <v/>
      </c>
      <c r="AH1158" s="27">
        <f>IF(COUNT($AC1158:$AG1158)&lt;2,"",IF(MAX($AC1158:$AG1158)=MIN($AC1158:$AG1158),0,1))</f>
        <v/>
      </c>
      <c r="AI1158" s="27">
        <f>IF($A1158="","",IF(COUNTIF($A$14:$A1158,$A1158)=1,COUNTIF($AI$13:AI1157,"&gt;0")+1,""))</f>
        <v/>
      </c>
      <c r="AO1158" s="27">
        <f>IF($A1158="","",IF(AND(COUNTIFS($A$14:$A$1213,$A1158,$F$14:$F$1213,"&gt;=0")=2,IFERROR(INDEX($M$14:$M$313,MATCH($A1158,$H$14:$H$313,0)),"Yes")&lt;&gt;"Yes"),1,0))</f>
        <v/>
      </c>
    </row>
    <row r="1159">
      <c r="A1159" s="19" t="n"/>
      <c r="B1159" s="20" t="n"/>
      <c r="C1159" s="21">
        <f>IFERROR(AVERAGE(P1159:T1159),"")</f>
        <v/>
      </c>
      <c r="D1159" s="29" t="n"/>
      <c r="E1159" s="29" t="n"/>
      <c r="F1159" s="30">
        <f>IF(AND(ISNUMBER($D1159),ISNUMBER($E1159),$E1159&gt;0,$D1159&lt;=$E1159),$D1159/$E1159,"")</f>
        <v/>
      </c>
      <c r="P1159" s="26" t="n"/>
      <c r="Q1159" s="26" t="n"/>
      <c r="R1159" s="26" t="n"/>
      <c r="S1159" s="26" t="n"/>
      <c r="T1159" s="26" t="n"/>
      <c r="V1159" s="27">
        <f>IF(ISNUMBER($C1159),COUNTIFS($A$14:$A$1213,$A1159,$C$14:$C$1213,"&gt;"&amp;$C1159)+(COUNTIFS($A$14:$A$1213,$A1159,$C$14:$C$1213,"="&amp;$C1159)+1)/2,"")</f>
        <v/>
      </c>
      <c r="W1159" s="27">
        <f>IF(ISNUMBER($F1159),COUNTIFS($A$14:$A$1213,$A1159,$F$14:$F$1213,"&gt;"&amp;$F1159)+(COUNTIFS($A$14:$A$1213,$A1159,$F$14:$F$1213,"="&amp;$F1159)+1)/2,"")</f>
        <v/>
      </c>
      <c r="X1159" s="27">
        <f>IF(OR(NOT(ISNUMBER($V1159)),$AO1159=1),"",$V1159-(COUNTIFS($A$14:$A$1213,$A1159,$C$14:$C$1213,"&gt;=0")+1)/2)</f>
        <v/>
      </c>
      <c r="Y1159" s="27">
        <f>IF(OR(NOT(ISNUMBER($W1159)),$AO1159=1),"",$W1159-(COUNTIFS($A$14:$A$1213,$A1159,$F$14:$F$1213,"&gt;=0")+1)/2)</f>
        <v/>
      </c>
      <c r="Z1159" s="27">
        <f>IF(ISNUMBER($V1159),$A1159&amp;"|"&amp;$V1159,"")</f>
        <v/>
      </c>
      <c r="AA1159" s="27">
        <f>IF(ISNUMBER($W1159),$A1159&amp;"|"&amp;$W1159,"")</f>
        <v/>
      </c>
      <c r="AB1159" s="27">
        <f>IF(ISNUMBER($F1159),$A1159&amp;"|"&amp;$F1159,"")</f>
        <v/>
      </c>
      <c r="AC1159" s="27">
        <f>IF(ISNUMBER($P1159),COUNTIFS($A$14:$A$1213,$A1159,$P$14:$P$1213,"&gt;"&amp;$P1159)+(COUNTIFS($A$14:$A$1213,$A1159,$P$14:$P$1213,"="&amp;$P1159)+1)/2,"")</f>
        <v/>
      </c>
      <c r="AD1159" s="27">
        <f>IF(ISNUMBER($Q1159),COUNTIFS($A$14:$A$1213,$A1159,$Q$14:$Q$1213,"&gt;"&amp;$Q1159)+(COUNTIFS($A$14:$A$1213,$A1159,$Q$14:$Q$1213,"="&amp;$Q1159)+1)/2,"")</f>
        <v/>
      </c>
      <c r="AE1159" s="27">
        <f>IF(ISNUMBER($R1159),COUNTIFS($A$14:$A$1213,$A1159,$R$14:$R$1213,"&gt;"&amp;$R1159)+(COUNTIFS($A$14:$A$1213,$A1159,$R$14:$R$1213,"="&amp;$R1159)+1)/2,"")</f>
        <v/>
      </c>
      <c r="AF1159" s="27">
        <f>IF(ISNUMBER($S1159),COUNTIFS($A$14:$A$1213,$A1159,$S$14:$S$1213,"&gt;"&amp;$S1159)+(COUNTIFS($A$14:$A$1213,$A1159,$S$14:$S$1213,"="&amp;$S1159)+1)/2,"")</f>
        <v/>
      </c>
      <c r="AG1159" s="27">
        <f>IF(ISNUMBER($T1159),COUNTIFS($A$14:$A$1213,$A1159,$T$14:$T$1213,"&gt;"&amp;$T1159)+(COUNTIFS($A$14:$A$1213,$A1159,$T$14:$T$1213,"="&amp;$T1159)+1)/2,"")</f>
        <v/>
      </c>
      <c r="AH1159" s="27">
        <f>IF(COUNT($AC1159:$AG1159)&lt;2,"",IF(MAX($AC1159:$AG1159)=MIN($AC1159:$AG1159),0,1))</f>
        <v/>
      </c>
      <c r="AI1159" s="27">
        <f>IF($A1159="","",IF(COUNTIF($A$14:$A1159,$A1159)=1,COUNTIF($AI$13:AI1158,"&gt;0")+1,""))</f>
        <v/>
      </c>
      <c r="AO1159" s="27">
        <f>IF($A1159="","",IF(AND(COUNTIFS($A$14:$A$1213,$A1159,$F$14:$F$1213,"&gt;=0")=2,IFERROR(INDEX($M$14:$M$313,MATCH($A1159,$H$14:$H$313,0)),"Yes")&lt;&gt;"Yes"),1,0))</f>
        <v/>
      </c>
    </row>
    <row r="1160">
      <c r="A1160" s="19" t="n"/>
      <c r="B1160" s="20" t="n"/>
      <c r="C1160" s="21">
        <f>IFERROR(AVERAGE(P1160:T1160),"")</f>
        <v/>
      </c>
      <c r="D1160" s="29" t="n"/>
      <c r="E1160" s="29" t="n"/>
      <c r="F1160" s="30">
        <f>IF(AND(ISNUMBER($D1160),ISNUMBER($E1160),$E1160&gt;0,$D1160&lt;=$E1160),$D1160/$E1160,"")</f>
        <v/>
      </c>
      <c r="P1160" s="26" t="n"/>
      <c r="Q1160" s="26" t="n"/>
      <c r="R1160" s="26" t="n"/>
      <c r="S1160" s="26" t="n"/>
      <c r="T1160" s="26" t="n"/>
      <c r="V1160" s="27">
        <f>IF(ISNUMBER($C1160),COUNTIFS($A$14:$A$1213,$A1160,$C$14:$C$1213,"&gt;"&amp;$C1160)+(COUNTIFS($A$14:$A$1213,$A1160,$C$14:$C$1213,"="&amp;$C1160)+1)/2,"")</f>
        <v/>
      </c>
      <c r="W1160" s="27">
        <f>IF(ISNUMBER($F1160),COUNTIFS($A$14:$A$1213,$A1160,$F$14:$F$1213,"&gt;"&amp;$F1160)+(COUNTIFS($A$14:$A$1213,$A1160,$F$14:$F$1213,"="&amp;$F1160)+1)/2,"")</f>
        <v/>
      </c>
      <c r="X1160" s="27">
        <f>IF(OR(NOT(ISNUMBER($V1160)),$AO1160=1),"",$V1160-(COUNTIFS($A$14:$A$1213,$A1160,$C$14:$C$1213,"&gt;=0")+1)/2)</f>
        <v/>
      </c>
      <c r="Y1160" s="27">
        <f>IF(OR(NOT(ISNUMBER($W1160)),$AO1160=1),"",$W1160-(COUNTIFS($A$14:$A$1213,$A1160,$F$14:$F$1213,"&gt;=0")+1)/2)</f>
        <v/>
      </c>
      <c r="Z1160" s="27">
        <f>IF(ISNUMBER($V1160),$A1160&amp;"|"&amp;$V1160,"")</f>
        <v/>
      </c>
      <c r="AA1160" s="27">
        <f>IF(ISNUMBER($W1160),$A1160&amp;"|"&amp;$W1160,"")</f>
        <v/>
      </c>
      <c r="AB1160" s="27">
        <f>IF(ISNUMBER($F1160),$A1160&amp;"|"&amp;$F1160,"")</f>
        <v/>
      </c>
      <c r="AC1160" s="27">
        <f>IF(ISNUMBER($P1160),COUNTIFS($A$14:$A$1213,$A1160,$P$14:$P$1213,"&gt;"&amp;$P1160)+(COUNTIFS($A$14:$A$1213,$A1160,$P$14:$P$1213,"="&amp;$P1160)+1)/2,"")</f>
        <v/>
      </c>
      <c r="AD1160" s="27">
        <f>IF(ISNUMBER($Q1160),COUNTIFS($A$14:$A$1213,$A1160,$Q$14:$Q$1213,"&gt;"&amp;$Q1160)+(COUNTIFS($A$14:$A$1213,$A1160,$Q$14:$Q$1213,"="&amp;$Q1160)+1)/2,"")</f>
        <v/>
      </c>
      <c r="AE1160" s="27">
        <f>IF(ISNUMBER($R1160),COUNTIFS($A$14:$A$1213,$A1160,$R$14:$R$1213,"&gt;"&amp;$R1160)+(COUNTIFS($A$14:$A$1213,$A1160,$R$14:$R$1213,"="&amp;$R1160)+1)/2,"")</f>
        <v/>
      </c>
      <c r="AF1160" s="27">
        <f>IF(ISNUMBER($S1160),COUNTIFS($A$14:$A$1213,$A1160,$S$14:$S$1213,"&gt;"&amp;$S1160)+(COUNTIFS($A$14:$A$1213,$A1160,$S$14:$S$1213,"="&amp;$S1160)+1)/2,"")</f>
        <v/>
      </c>
      <c r="AG1160" s="27">
        <f>IF(ISNUMBER($T1160),COUNTIFS($A$14:$A$1213,$A1160,$T$14:$T$1213,"&gt;"&amp;$T1160)+(COUNTIFS($A$14:$A$1213,$A1160,$T$14:$T$1213,"="&amp;$T1160)+1)/2,"")</f>
        <v/>
      </c>
      <c r="AH1160" s="27">
        <f>IF(COUNT($AC1160:$AG1160)&lt;2,"",IF(MAX($AC1160:$AG1160)=MIN($AC1160:$AG1160),0,1))</f>
        <v/>
      </c>
      <c r="AI1160" s="27">
        <f>IF($A1160="","",IF(COUNTIF($A$14:$A1160,$A1160)=1,COUNTIF($AI$13:AI1159,"&gt;0")+1,""))</f>
        <v/>
      </c>
      <c r="AO1160" s="27">
        <f>IF($A1160="","",IF(AND(COUNTIFS($A$14:$A$1213,$A1160,$F$14:$F$1213,"&gt;=0")=2,IFERROR(INDEX($M$14:$M$313,MATCH($A1160,$H$14:$H$313,0)),"Yes")&lt;&gt;"Yes"),1,0))</f>
        <v/>
      </c>
    </row>
    <row r="1161">
      <c r="A1161" s="19" t="n"/>
      <c r="B1161" s="20" t="n"/>
      <c r="C1161" s="21">
        <f>IFERROR(AVERAGE(P1161:T1161),"")</f>
        <v/>
      </c>
      <c r="D1161" s="29" t="n"/>
      <c r="E1161" s="29" t="n"/>
      <c r="F1161" s="30">
        <f>IF(AND(ISNUMBER($D1161),ISNUMBER($E1161),$E1161&gt;0,$D1161&lt;=$E1161),$D1161/$E1161,"")</f>
        <v/>
      </c>
      <c r="P1161" s="26" t="n"/>
      <c r="Q1161" s="26" t="n"/>
      <c r="R1161" s="26" t="n"/>
      <c r="S1161" s="26" t="n"/>
      <c r="T1161" s="26" t="n"/>
      <c r="V1161" s="27">
        <f>IF(ISNUMBER($C1161),COUNTIFS($A$14:$A$1213,$A1161,$C$14:$C$1213,"&gt;"&amp;$C1161)+(COUNTIFS($A$14:$A$1213,$A1161,$C$14:$C$1213,"="&amp;$C1161)+1)/2,"")</f>
        <v/>
      </c>
      <c r="W1161" s="27">
        <f>IF(ISNUMBER($F1161),COUNTIFS($A$14:$A$1213,$A1161,$F$14:$F$1213,"&gt;"&amp;$F1161)+(COUNTIFS($A$14:$A$1213,$A1161,$F$14:$F$1213,"="&amp;$F1161)+1)/2,"")</f>
        <v/>
      </c>
      <c r="X1161" s="27">
        <f>IF(OR(NOT(ISNUMBER($V1161)),$AO1161=1),"",$V1161-(COUNTIFS($A$14:$A$1213,$A1161,$C$14:$C$1213,"&gt;=0")+1)/2)</f>
        <v/>
      </c>
      <c r="Y1161" s="27">
        <f>IF(OR(NOT(ISNUMBER($W1161)),$AO1161=1),"",$W1161-(COUNTIFS($A$14:$A$1213,$A1161,$F$14:$F$1213,"&gt;=0")+1)/2)</f>
        <v/>
      </c>
      <c r="Z1161" s="27">
        <f>IF(ISNUMBER($V1161),$A1161&amp;"|"&amp;$V1161,"")</f>
        <v/>
      </c>
      <c r="AA1161" s="27">
        <f>IF(ISNUMBER($W1161),$A1161&amp;"|"&amp;$W1161,"")</f>
        <v/>
      </c>
      <c r="AB1161" s="27">
        <f>IF(ISNUMBER($F1161),$A1161&amp;"|"&amp;$F1161,"")</f>
        <v/>
      </c>
      <c r="AC1161" s="27">
        <f>IF(ISNUMBER($P1161),COUNTIFS($A$14:$A$1213,$A1161,$P$14:$P$1213,"&gt;"&amp;$P1161)+(COUNTIFS($A$14:$A$1213,$A1161,$P$14:$P$1213,"="&amp;$P1161)+1)/2,"")</f>
        <v/>
      </c>
      <c r="AD1161" s="27">
        <f>IF(ISNUMBER($Q1161),COUNTIFS($A$14:$A$1213,$A1161,$Q$14:$Q$1213,"&gt;"&amp;$Q1161)+(COUNTIFS($A$14:$A$1213,$A1161,$Q$14:$Q$1213,"="&amp;$Q1161)+1)/2,"")</f>
        <v/>
      </c>
      <c r="AE1161" s="27">
        <f>IF(ISNUMBER($R1161),COUNTIFS($A$14:$A$1213,$A1161,$R$14:$R$1213,"&gt;"&amp;$R1161)+(COUNTIFS($A$14:$A$1213,$A1161,$R$14:$R$1213,"="&amp;$R1161)+1)/2,"")</f>
        <v/>
      </c>
      <c r="AF1161" s="27">
        <f>IF(ISNUMBER($S1161),COUNTIFS($A$14:$A$1213,$A1161,$S$14:$S$1213,"&gt;"&amp;$S1161)+(COUNTIFS($A$14:$A$1213,$A1161,$S$14:$S$1213,"="&amp;$S1161)+1)/2,"")</f>
        <v/>
      </c>
      <c r="AG1161" s="27">
        <f>IF(ISNUMBER($T1161),COUNTIFS($A$14:$A$1213,$A1161,$T$14:$T$1213,"&gt;"&amp;$T1161)+(COUNTIFS($A$14:$A$1213,$A1161,$T$14:$T$1213,"="&amp;$T1161)+1)/2,"")</f>
        <v/>
      </c>
      <c r="AH1161" s="27">
        <f>IF(COUNT($AC1161:$AG1161)&lt;2,"",IF(MAX($AC1161:$AG1161)=MIN($AC1161:$AG1161),0,1))</f>
        <v/>
      </c>
      <c r="AI1161" s="27">
        <f>IF($A1161="","",IF(COUNTIF($A$14:$A1161,$A1161)=1,COUNTIF($AI$13:AI1160,"&gt;0")+1,""))</f>
        <v/>
      </c>
      <c r="AO1161" s="27">
        <f>IF($A1161="","",IF(AND(COUNTIFS($A$14:$A$1213,$A1161,$F$14:$F$1213,"&gt;=0")=2,IFERROR(INDEX($M$14:$M$313,MATCH($A1161,$H$14:$H$313,0)),"Yes")&lt;&gt;"Yes"),1,0))</f>
        <v/>
      </c>
    </row>
    <row r="1162">
      <c r="A1162" s="19" t="n"/>
      <c r="B1162" s="20" t="n"/>
      <c r="C1162" s="21">
        <f>IFERROR(AVERAGE(P1162:T1162),"")</f>
        <v/>
      </c>
      <c r="D1162" s="29" t="n"/>
      <c r="E1162" s="29" t="n"/>
      <c r="F1162" s="30">
        <f>IF(AND(ISNUMBER($D1162),ISNUMBER($E1162),$E1162&gt;0,$D1162&lt;=$E1162),$D1162/$E1162,"")</f>
        <v/>
      </c>
      <c r="P1162" s="26" t="n"/>
      <c r="Q1162" s="26" t="n"/>
      <c r="R1162" s="26" t="n"/>
      <c r="S1162" s="26" t="n"/>
      <c r="T1162" s="26" t="n"/>
      <c r="V1162" s="27">
        <f>IF(ISNUMBER($C1162),COUNTIFS($A$14:$A$1213,$A1162,$C$14:$C$1213,"&gt;"&amp;$C1162)+(COUNTIFS($A$14:$A$1213,$A1162,$C$14:$C$1213,"="&amp;$C1162)+1)/2,"")</f>
        <v/>
      </c>
      <c r="W1162" s="27">
        <f>IF(ISNUMBER($F1162),COUNTIFS($A$14:$A$1213,$A1162,$F$14:$F$1213,"&gt;"&amp;$F1162)+(COUNTIFS($A$14:$A$1213,$A1162,$F$14:$F$1213,"="&amp;$F1162)+1)/2,"")</f>
        <v/>
      </c>
      <c r="X1162" s="27">
        <f>IF(OR(NOT(ISNUMBER($V1162)),$AO1162=1),"",$V1162-(COUNTIFS($A$14:$A$1213,$A1162,$C$14:$C$1213,"&gt;=0")+1)/2)</f>
        <v/>
      </c>
      <c r="Y1162" s="27">
        <f>IF(OR(NOT(ISNUMBER($W1162)),$AO1162=1),"",$W1162-(COUNTIFS($A$14:$A$1213,$A1162,$F$14:$F$1213,"&gt;=0")+1)/2)</f>
        <v/>
      </c>
      <c r="Z1162" s="27">
        <f>IF(ISNUMBER($V1162),$A1162&amp;"|"&amp;$V1162,"")</f>
        <v/>
      </c>
      <c r="AA1162" s="27">
        <f>IF(ISNUMBER($W1162),$A1162&amp;"|"&amp;$W1162,"")</f>
        <v/>
      </c>
      <c r="AB1162" s="27">
        <f>IF(ISNUMBER($F1162),$A1162&amp;"|"&amp;$F1162,"")</f>
        <v/>
      </c>
      <c r="AC1162" s="27">
        <f>IF(ISNUMBER($P1162),COUNTIFS($A$14:$A$1213,$A1162,$P$14:$P$1213,"&gt;"&amp;$P1162)+(COUNTIFS($A$14:$A$1213,$A1162,$P$14:$P$1213,"="&amp;$P1162)+1)/2,"")</f>
        <v/>
      </c>
      <c r="AD1162" s="27">
        <f>IF(ISNUMBER($Q1162),COUNTIFS($A$14:$A$1213,$A1162,$Q$14:$Q$1213,"&gt;"&amp;$Q1162)+(COUNTIFS($A$14:$A$1213,$A1162,$Q$14:$Q$1213,"="&amp;$Q1162)+1)/2,"")</f>
        <v/>
      </c>
      <c r="AE1162" s="27">
        <f>IF(ISNUMBER($R1162),COUNTIFS($A$14:$A$1213,$A1162,$R$14:$R$1213,"&gt;"&amp;$R1162)+(COUNTIFS($A$14:$A$1213,$A1162,$R$14:$R$1213,"="&amp;$R1162)+1)/2,"")</f>
        <v/>
      </c>
      <c r="AF1162" s="27">
        <f>IF(ISNUMBER($S1162),COUNTIFS($A$14:$A$1213,$A1162,$S$14:$S$1213,"&gt;"&amp;$S1162)+(COUNTIFS($A$14:$A$1213,$A1162,$S$14:$S$1213,"="&amp;$S1162)+1)/2,"")</f>
        <v/>
      </c>
      <c r="AG1162" s="27">
        <f>IF(ISNUMBER($T1162),COUNTIFS($A$14:$A$1213,$A1162,$T$14:$T$1213,"&gt;"&amp;$T1162)+(COUNTIFS($A$14:$A$1213,$A1162,$T$14:$T$1213,"="&amp;$T1162)+1)/2,"")</f>
        <v/>
      </c>
      <c r="AH1162" s="27">
        <f>IF(COUNT($AC1162:$AG1162)&lt;2,"",IF(MAX($AC1162:$AG1162)=MIN($AC1162:$AG1162),0,1))</f>
        <v/>
      </c>
      <c r="AI1162" s="27">
        <f>IF($A1162="","",IF(COUNTIF($A$14:$A1162,$A1162)=1,COUNTIF($AI$13:AI1161,"&gt;0")+1,""))</f>
        <v/>
      </c>
      <c r="AO1162" s="27">
        <f>IF($A1162="","",IF(AND(COUNTIFS($A$14:$A$1213,$A1162,$F$14:$F$1213,"&gt;=0")=2,IFERROR(INDEX($M$14:$M$313,MATCH($A1162,$H$14:$H$313,0)),"Yes")&lt;&gt;"Yes"),1,0))</f>
        <v/>
      </c>
    </row>
    <row r="1163">
      <c r="A1163" s="19" t="n"/>
      <c r="B1163" s="20" t="n"/>
      <c r="C1163" s="21">
        <f>IFERROR(AVERAGE(P1163:T1163),"")</f>
        <v/>
      </c>
      <c r="D1163" s="29" t="n"/>
      <c r="E1163" s="29" t="n"/>
      <c r="F1163" s="30">
        <f>IF(AND(ISNUMBER($D1163),ISNUMBER($E1163),$E1163&gt;0,$D1163&lt;=$E1163),$D1163/$E1163,"")</f>
        <v/>
      </c>
      <c r="P1163" s="26" t="n"/>
      <c r="Q1163" s="26" t="n"/>
      <c r="R1163" s="26" t="n"/>
      <c r="S1163" s="26" t="n"/>
      <c r="T1163" s="26" t="n"/>
      <c r="V1163" s="27">
        <f>IF(ISNUMBER($C1163),COUNTIFS($A$14:$A$1213,$A1163,$C$14:$C$1213,"&gt;"&amp;$C1163)+(COUNTIFS($A$14:$A$1213,$A1163,$C$14:$C$1213,"="&amp;$C1163)+1)/2,"")</f>
        <v/>
      </c>
      <c r="W1163" s="27">
        <f>IF(ISNUMBER($F1163),COUNTIFS($A$14:$A$1213,$A1163,$F$14:$F$1213,"&gt;"&amp;$F1163)+(COUNTIFS($A$14:$A$1213,$A1163,$F$14:$F$1213,"="&amp;$F1163)+1)/2,"")</f>
        <v/>
      </c>
      <c r="X1163" s="27">
        <f>IF(OR(NOT(ISNUMBER($V1163)),$AO1163=1),"",$V1163-(COUNTIFS($A$14:$A$1213,$A1163,$C$14:$C$1213,"&gt;=0")+1)/2)</f>
        <v/>
      </c>
      <c r="Y1163" s="27">
        <f>IF(OR(NOT(ISNUMBER($W1163)),$AO1163=1),"",$W1163-(COUNTIFS($A$14:$A$1213,$A1163,$F$14:$F$1213,"&gt;=0")+1)/2)</f>
        <v/>
      </c>
      <c r="Z1163" s="27">
        <f>IF(ISNUMBER($V1163),$A1163&amp;"|"&amp;$V1163,"")</f>
        <v/>
      </c>
      <c r="AA1163" s="27">
        <f>IF(ISNUMBER($W1163),$A1163&amp;"|"&amp;$W1163,"")</f>
        <v/>
      </c>
      <c r="AB1163" s="27">
        <f>IF(ISNUMBER($F1163),$A1163&amp;"|"&amp;$F1163,"")</f>
        <v/>
      </c>
      <c r="AC1163" s="27">
        <f>IF(ISNUMBER($P1163),COUNTIFS($A$14:$A$1213,$A1163,$P$14:$P$1213,"&gt;"&amp;$P1163)+(COUNTIFS($A$14:$A$1213,$A1163,$P$14:$P$1213,"="&amp;$P1163)+1)/2,"")</f>
        <v/>
      </c>
      <c r="AD1163" s="27">
        <f>IF(ISNUMBER($Q1163),COUNTIFS($A$14:$A$1213,$A1163,$Q$14:$Q$1213,"&gt;"&amp;$Q1163)+(COUNTIFS($A$14:$A$1213,$A1163,$Q$14:$Q$1213,"="&amp;$Q1163)+1)/2,"")</f>
        <v/>
      </c>
      <c r="AE1163" s="27">
        <f>IF(ISNUMBER($R1163),COUNTIFS($A$14:$A$1213,$A1163,$R$14:$R$1213,"&gt;"&amp;$R1163)+(COUNTIFS($A$14:$A$1213,$A1163,$R$14:$R$1213,"="&amp;$R1163)+1)/2,"")</f>
        <v/>
      </c>
      <c r="AF1163" s="27">
        <f>IF(ISNUMBER($S1163),COUNTIFS($A$14:$A$1213,$A1163,$S$14:$S$1213,"&gt;"&amp;$S1163)+(COUNTIFS($A$14:$A$1213,$A1163,$S$14:$S$1213,"="&amp;$S1163)+1)/2,"")</f>
        <v/>
      </c>
      <c r="AG1163" s="27">
        <f>IF(ISNUMBER($T1163),COUNTIFS($A$14:$A$1213,$A1163,$T$14:$T$1213,"&gt;"&amp;$T1163)+(COUNTIFS($A$14:$A$1213,$A1163,$T$14:$T$1213,"="&amp;$T1163)+1)/2,"")</f>
        <v/>
      </c>
      <c r="AH1163" s="27">
        <f>IF(COUNT($AC1163:$AG1163)&lt;2,"",IF(MAX($AC1163:$AG1163)=MIN($AC1163:$AG1163),0,1))</f>
        <v/>
      </c>
      <c r="AI1163" s="27">
        <f>IF($A1163="","",IF(COUNTIF($A$14:$A1163,$A1163)=1,COUNTIF($AI$13:AI1162,"&gt;0")+1,""))</f>
        <v/>
      </c>
      <c r="AO1163" s="27">
        <f>IF($A1163="","",IF(AND(COUNTIFS($A$14:$A$1213,$A1163,$F$14:$F$1213,"&gt;=0")=2,IFERROR(INDEX($M$14:$M$313,MATCH($A1163,$H$14:$H$313,0)),"Yes")&lt;&gt;"Yes"),1,0))</f>
        <v/>
      </c>
    </row>
    <row r="1164">
      <c r="A1164" s="19" t="n"/>
      <c r="B1164" s="20" t="n"/>
      <c r="C1164" s="21">
        <f>IFERROR(AVERAGE(P1164:T1164),"")</f>
        <v/>
      </c>
      <c r="D1164" s="29" t="n"/>
      <c r="E1164" s="29" t="n"/>
      <c r="F1164" s="30">
        <f>IF(AND(ISNUMBER($D1164),ISNUMBER($E1164),$E1164&gt;0,$D1164&lt;=$E1164),$D1164/$E1164,"")</f>
        <v/>
      </c>
      <c r="P1164" s="26" t="n"/>
      <c r="Q1164" s="26" t="n"/>
      <c r="R1164" s="26" t="n"/>
      <c r="S1164" s="26" t="n"/>
      <c r="T1164" s="26" t="n"/>
      <c r="V1164" s="27">
        <f>IF(ISNUMBER($C1164),COUNTIFS($A$14:$A$1213,$A1164,$C$14:$C$1213,"&gt;"&amp;$C1164)+(COUNTIFS($A$14:$A$1213,$A1164,$C$14:$C$1213,"="&amp;$C1164)+1)/2,"")</f>
        <v/>
      </c>
      <c r="W1164" s="27">
        <f>IF(ISNUMBER($F1164),COUNTIFS($A$14:$A$1213,$A1164,$F$14:$F$1213,"&gt;"&amp;$F1164)+(COUNTIFS($A$14:$A$1213,$A1164,$F$14:$F$1213,"="&amp;$F1164)+1)/2,"")</f>
        <v/>
      </c>
      <c r="X1164" s="27">
        <f>IF(OR(NOT(ISNUMBER($V1164)),$AO1164=1),"",$V1164-(COUNTIFS($A$14:$A$1213,$A1164,$C$14:$C$1213,"&gt;=0")+1)/2)</f>
        <v/>
      </c>
      <c r="Y1164" s="27">
        <f>IF(OR(NOT(ISNUMBER($W1164)),$AO1164=1),"",$W1164-(COUNTIFS($A$14:$A$1213,$A1164,$F$14:$F$1213,"&gt;=0")+1)/2)</f>
        <v/>
      </c>
      <c r="Z1164" s="27">
        <f>IF(ISNUMBER($V1164),$A1164&amp;"|"&amp;$V1164,"")</f>
        <v/>
      </c>
      <c r="AA1164" s="27">
        <f>IF(ISNUMBER($W1164),$A1164&amp;"|"&amp;$W1164,"")</f>
        <v/>
      </c>
      <c r="AB1164" s="27">
        <f>IF(ISNUMBER($F1164),$A1164&amp;"|"&amp;$F1164,"")</f>
        <v/>
      </c>
      <c r="AC1164" s="27">
        <f>IF(ISNUMBER($P1164),COUNTIFS($A$14:$A$1213,$A1164,$P$14:$P$1213,"&gt;"&amp;$P1164)+(COUNTIFS($A$14:$A$1213,$A1164,$P$14:$P$1213,"="&amp;$P1164)+1)/2,"")</f>
        <v/>
      </c>
      <c r="AD1164" s="27">
        <f>IF(ISNUMBER($Q1164),COUNTIFS($A$14:$A$1213,$A1164,$Q$14:$Q$1213,"&gt;"&amp;$Q1164)+(COUNTIFS($A$14:$A$1213,$A1164,$Q$14:$Q$1213,"="&amp;$Q1164)+1)/2,"")</f>
        <v/>
      </c>
      <c r="AE1164" s="27">
        <f>IF(ISNUMBER($R1164),COUNTIFS($A$14:$A$1213,$A1164,$R$14:$R$1213,"&gt;"&amp;$R1164)+(COUNTIFS($A$14:$A$1213,$A1164,$R$14:$R$1213,"="&amp;$R1164)+1)/2,"")</f>
        <v/>
      </c>
      <c r="AF1164" s="27">
        <f>IF(ISNUMBER($S1164),COUNTIFS($A$14:$A$1213,$A1164,$S$14:$S$1213,"&gt;"&amp;$S1164)+(COUNTIFS($A$14:$A$1213,$A1164,$S$14:$S$1213,"="&amp;$S1164)+1)/2,"")</f>
        <v/>
      </c>
      <c r="AG1164" s="27">
        <f>IF(ISNUMBER($T1164),COUNTIFS($A$14:$A$1213,$A1164,$T$14:$T$1213,"&gt;"&amp;$T1164)+(COUNTIFS($A$14:$A$1213,$A1164,$T$14:$T$1213,"="&amp;$T1164)+1)/2,"")</f>
        <v/>
      </c>
      <c r="AH1164" s="27">
        <f>IF(COUNT($AC1164:$AG1164)&lt;2,"",IF(MAX($AC1164:$AG1164)=MIN($AC1164:$AG1164),0,1))</f>
        <v/>
      </c>
      <c r="AI1164" s="27">
        <f>IF($A1164="","",IF(COUNTIF($A$14:$A1164,$A1164)=1,COUNTIF($AI$13:AI1163,"&gt;0")+1,""))</f>
        <v/>
      </c>
      <c r="AO1164" s="27">
        <f>IF($A1164="","",IF(AND(COUNTIFS($A$14:$A$1213,$A1164,$F$14:$F$1213,"&gt;=0")=2,IFERROR(INDEX($M$14:$M$313,MATCH($A1164,$H$14:$H$313,0)),"Yes")&lt;&gt;"Yes"),1,0))</f>
        <v/>
      </c>
    </row>
    <row r="1165">
      <c r="A1165" s="19" t="n"/>
      <c r="B1165" s="20" t="n"/>
      <c r="C1165" s="21">
        <f>IFERROR(AVERAGE(P1165:T1165),"")</f>
        <v/>
      </c>
      <c r="D1165" s="29" t="n"/>
      <c r="E1165" s="29" t="n"/>
      <c r="F1165" s="30">
        <f>IF(AND(ISNUMBER($D1165),ISNUMBER($E1165),$E1165&gt;0,$D1165&lt;=$E1165),$D1165/$E1165,"")</f>
        <v/>
      </c>
      <c r="P1165" s="26" t="n"/>
      <c r="Q1165" s="26" t="n"/>
      <c r="R1165" s="26" t="n"/>
      <c r="S1165" s="26" t="n"/>
      <c r="T1165" s="26" t="n"/>
      <c r="V1165" s="27">
        <f>IF(ISNUMBER($C1165),COUNTIFS($A$14:$A$1213,$A1165,$C$14:$C$1213,"&gt;"&amp;$C1165)+(COUNTIFS($A$14:$A$1213,$A1165,$C$14:$C$1213,"="&amp;$C1165)+1)/2,"")</f>
        <v/>
      </c>
      <c r="W1165" s="27">
        <f>IF(ISNUMBER($F1165),COUNTIFS($A$14:$A$1213,$A1165,$F$14:$F$1213,"&gt;"&amp;$F1165)+(COUNTIFS($A$14:$A$1213,$A1165,$F$14:$F$1213,"="&amp;$F1165)+1)/2,"")</f>
        <v/>
      </c>
      <c r="X1165" s="27">
        <f>IF(OR(NOT(ISNUMBER($V1165)),$AO1165=1),"",$V1165-(COUNTIFS($A$14:$A$1213,$A1165,$C$14:$C$1213,"&gt;=0")+1)/2)</f>
        <v/>
      </c>
      <c r="Y1165" s="27">
        <f>IF(OR(NOT(ISNUMBER($W1165)),$AO1165=1),"",$W1165-(COUNTIFS($A$14:$A$1213,$A1165,$F$14:$F$1213,"&gt;=0")+1)/2)</f>
        <v/>
      </c>
      <c r="Z1165" s="27">
        <f>IF(ISNUMBER($V1165),$A1165&amp;"|"&amp;$V1165,"")</f>
        <v/>
      </c>
      <c r="AA1165" s="27">
        <f>IF(ISNUMBER($W1165),$A1165&amp;"|"&amp;$W1165,"")</f>
        <v/>
      </c>
      <c r="AB1165" s="27">
        <f>IF(ISNUMBER($F1165),$A1165&amp;"|"&amp;$F1165,"")</f>
        <v/>
      </c>
      <c r="AC1165" s="27">
        <f>IF(ISNUMBER($P1165),COUNTIFS($A$14:$A$1213,$A1165,$P$14:$P$1213,"&gt;"&amp;$P1165)+(COUNTIFS($A$14:$A$1213,$A1165,$P$14:$P$1213,"="&amp;$P1165)+1)/2,"")</f>
        <v/>
      </c>
      <c r="AD1165" s="27">
        <f>IF(ISNUMBER($Q1165),COUNTIFS($A$14:$A$1213,$A1165,$Q$14:$Q$1213,"&gt;"&amp;$Q1165)+(COUNTIFS($A$14:$A$1213,$A1165,$Q$14:$Q$1213,"="&amp;$Q1165)+1)/2,"")</f>
        <v/>
      </c>
      <c r="AE1165" s="27">
        <f>IF(ISNUMBER($R1165),COUNTIFS($A$14:$A$1213,$A1165,$R$14:$R$1213,"&gt;"&amp;$R1165)+(COUNTIFS($A$14:$A$1213,$A1165,$R$14:$R$1213,"="&amp;$R1165)+1)/2,"")</f>
        <v/>
      </c>
      <c r="AF1165" s="27">
        <f>IF(ISNUMBER($S1165),COUNTIFS($A$14:$A$1213,$A1165,$S$14:$S$1213,"&gt;"&amp;$S1165)+(COUNTIFS($A$14:$A$1213,$A1165,$S$14:$S$1213,"="&amp;$S1165)+1)/2,"")</f>
        <v/>
      </c>
      <c r="AG1165" s="27">
        <f>IF(ISNUMBER($T1165),COUNTIFS($A$14:$A$1213,$A1165,$T$14:$T$1213,"&gt;"&amp;$T1165)+(COUNTIFS($A$14:$A$1213,$A1165,$T$14:$T$1213,"="&amp;$T1165)+1)/2,"")</f>
        <v/>
      </c>
      <c r="AH1165" s="27">
        <f>IF(COUNT($AC1165:$AG1165)&lt;2,"",IF(MAX($AC1165:$AG1165)=MIN($AC1165:$AG1165),0,1))</f>
        <v/>
      </c>
      <c r="AI1165" s="27">
        <f>IF($A1165="","",IF(COUNTIF($A$14:$A1165,$A1165)=1,COUNTIF($AI$13:AI1164,"&gt;0")+1,""))</f>
        <v/>
      </c>
      <c r="AO1165" s="27">
        <f>IF($A1165="","",IF(AND(COUNTIFS($A$14:$A$1213,$A1165,$F$14:$F$1213,"&gt;=0")=2,IFERROR(INDEX($M$14:$M$313,MATCH($A1165,$H$14:$H$313,0)),"Yes")&lt;&gt;"Yes"),1,0))</f>
        <v/>
      </c>
    </row>
    <row r="1166">
      <c r="A1166" s="19" t="n"/>
      <c r="B1166" s="20" t="n"/>
      <c r="C1166" s="21">
        <f>IFERROR(AVERAGE(P1166:T1166),"")</f>
        <v/>
      </c>
      <c r="D1166" s="29" t="n"/>
      <c r="E1166" s="29" t="n"/>
      <c r="F1166" s="30">
        <f>IF(AND(ISNUMBER($D1166),ISNUMBER($E1166),$E1166&gt;0,$D1166&lt;=$E1166),$D1166/$E1166,"")</f>
        <v/>
      </c>
      <c r="P1166" s="26" t="n"/>
      <c r="Q1166" s="26" t="n"/>
      <c r="R1166" s="26" t="n"/>
      <c r="S1166" s="26" t="n"/>
      <c r="T1166" s="26" t="n"/>
      <c r="V1166" s="27">
        <f>IF(ISNUMBER($C1166),COUNTIFS($A$14:$A$1213,$A1166,$C$14:$C$1213,"&gt;"&amp;$C1166)+(COUNTIFS($A$14:$A$1213,$A1166,$C$14:$C$1213,"="&amp;$C1166)+1)/2,"")</f>
        <v/>
      </c>
      <c r="W1166" s="27">
        <f>IF(ISNUMBER($F1166),COUNTIFS($A$14:$A$1213,$A1166,$F$14:$F$1213,"&gt;"&amp;$F1166)+(COUNTIFS($A$14:$A$1213,$A1166,$F$14:$F$1213,"="&amp;$F1166)+1)/2,"")</f>
        <v/>
      </c>
      <c r="X1166" s="27">
        <f>IF(OR(NOT(ISNUMBER($V1166)),$AO1166=1),"",$V1166-(COUNTIFS($A$14:$A$1213,$A1166,$C$14:$C$1213,"&gt;=0")+1)/2)</f>
        <v/>
      </c>
      <c r="Y1166" s="27">
        <f>IF(OR(NOT(ISNUMBER($W1166)),$AO1166=1),"",$W1166-(COUNTIFS($A$14:$A$1213,$A1166,$F$14:$F$1213,"&gt;=0")+1)/2)</f>
        <v/>
      </c>
      <c r="Z1166" s="27">
        <f>IF(ISNUMBER($V1166),$A1166&amp;"|"&amp;$V1166,"")</f>
        <v/>
      </c>
      <c r="AA1166" s="27">
        <f>IF(ISNUMBER($W1166),$A1166&amp;"|"&amp;$W1166,"")</f>
        <v/>
      </c>
      <c r="AB1166" s="27">
        <f>IF(ISNUMBER($F1166),$A1166&amp;"|"&amp;$F1166,"")</f>
        <v/>
      </c>
      <c r="AC1166" s="27">
        <f>IF(ISNUMBER($P1166),COUNTIFS($A$14:$A$1213,$A1166,$P$14:$P$1213,"&gt;"&amp;$P1166)+(COUNTIFS($A$14:$A$1213,$A1166,$P$14:$P$1213,"="&amp;$P1166)+1)/2,"")</f>
        <v/>
      </c>
      <c r="AD1166" s="27">
        <f>IF(ISNUMBER($Q1166),COUNTIFS($A$14:$A$1213,$A1166,$Q$14:$Q$1213,"&gt;"&amp;$Q1166)+(COUNTIFS($A$14:$A$1213,$A1166,$Q$14:$Q$1213,"="&amp;$Q1166)+1)/2,"")</f>
        <v/>
      </c>
      <c r="AE1166" s="27">
        <f>IF(ISNUMBER($R1166),COUNTIFS($A$14:$A$1213,$A1166,$R$14:$R$1213,"&gt;"&amp;$R1166)+(COUNTIFS($A$14:$A$1213,$A1166,$R$14:$R$1213,"="&amp;$R1166)+1)/2,"")</f>
        <v/>
      </c>
      <c r="AF1166" s="27">
        <f>IF(ISNUMBER($S1166),COUNTIFS($A$14:$A$1213,$A1166,$S$14:$S$1213,"&gt;"&amp;$S1166)+(COUNTIFS($A$14:$A$1213,$A1166,$S$14:$S$1213,"="&amp;$S1166)+1)/2,"")</f>
        <v/>
      </c>
      <c r="AG1166" s="27">
        <f>IF(ISNUMBER($T1166),COUNTIFS($A$14:$A$1213,$A1166,$T$14:$T$1213,"&gt;"&amp;$T1166)+(COUNTIFS($A$14:$A$1213,$A1166,$T$14:$T$1213,"="&amp;$T1166)+1)/2,"")</f>
        <v/>
      </c>
      <c r="AH1166" s="27">
        <f>IF(COUNT($AC1166:$AG1166)&lt;2,"",IF(MAX($AC1166:$AG1166)=MIN($AC1166:$AG1166),0,1))</f>
        <v/>
      </c>
      <c r="AI1166" s="27">
        <f>IF($A1166="","",IF(COUNTIF($A$14:$A1166,$A1166)=1,COUNTIF($AI$13:AI1165,"&gt;0")+1,""))</f>
        <v/>
      </c>
      <c r="AO1166" s="27">
        <f>IF($A1166="","",IF(AND(COUNTIFS($A$14:$A$1213,$A1166,$F$14:$F$1213,"&gt;=0")=2,IFERROR(INDEX($M$14:$M$313,MATCH($A1166,$H$14:$H$313,0)),"Yes")&lt;&gt;"Yes"),1,0))</f>
        <v/>
      </c>
    </row>
    <row r="1167">
      <c r="A1167" s="19" t="n"/>
      <c r="B1167" s="20" t="n"/>
      <c r="C1167" s="21">
        <f>IFERROR(AVERAGE(P1167:T1167),"")</f>
        <v/>
      </c>
      <c r="D1167" s="29" t="n"/>
      <c r="E1167" s="29" t="n"/>
      <c r="F1167" s="30">
        <f>IF(AND(ISNUMBER($D1167),ISNUMBER($E1167),$E1167&gt;0,$D1167&lt;=$E1167),$D1167/$E1167,"")</f>
        <v/>
      </c>
      <c r="P1167" s="26" t="n"/>
      <c r="Q1167" s="26" t="n"/>
      <c r="R1167" s="26" t="n"/>
      <c r="S1167" s="26" t="n"/>
      <c r="T1167" s="26" t="n"/>
      <c r="V1167" s="27">
        <f>IF(ISNUMBER($C1167),COUNTIFS($A$14:$A$1213,$A1167,$C$14:$C$1213,"&gt;"&amp;$C1167)+(COUNTIFS($A$14:$A$1213,$A1167,$C$14:$C$1213,"="&amp;$C1167)+1)/2,"")</f>
        <v/>
      </c>
      <c r="W1167" s="27">
        <f>IF(ISNUMBER($F1167),COUNTIFS($A$14:$A$1213,$A1167,$F$14:$F$1213,"&gt;"&amp;$F1167)+(COUNTIFS($A$14:$A$1213,$A1167,$F$14:$F$1213,"="&amp;$F1167)+1)/2,"")</f>
        <v/>
      </c>
      <c r="X1167" s="27">
        <f>IF(OR(NOT(ISNUMBER($V1167)),$AO1167=1),"",$V1167-(COUNTIFS($A$14:$A$1213,$A1167,$C$14:$C$1213,"&gt;=0")+1)/2)</f>
        <v/>
      </c>
      <c r="Y1167" s="27">
        <f>IF(OR(NOT(ISNUMBER($W1167)),$AO1167=1),"",$W1167-(COUNTIFS($A$14:$A$1213,$A1167,$F$14:$F$1213,"&gt;=0")+1)/2)</f>
        <v/>
      </c>
      <c r="Z1167" s="27">
        <f>IF(ISNUMBER($V1167),$A1167&amp;"|"&amp;$V1167,"")</f>
        <v/>
      </c>
      <c r="AA1167" s="27">
        <f>IF(ISNUMBER($W1167),$A1167&amp;"|"&amp;$W1167,"")</f>
        <v/>
      </c>
      <c r="AB1167" s="27">
        <f>IF(ISNUMBER($F1167),$A1167&amp;"|"&amp;$F1167,"")</f>
        <v/>
      </c>
      <c r="AC1167" s="27">
        <f>IF(ISNUMBER($P1167),COUNTIFS($A$14:$A$1213,$A1167,$P$14:$P$1213,"&gt;"&amp;$P1167)+(COUNTIFS($A$14:$A$1213,$A1167,$P$14:$P$1213,"="&amp;$P1167)+1)/2,"")</f>
        <v/>
      </c>
      <c r="AD1167" s="27">
        <f>IF(ISNUMBER($Q1167),COUNTIFS($A$14:$A$1213,$A1167,$Q$14:$Q$1213,"&gt;"&amp;$Q1167)+(COUNTIFS($A$14:$A$1213,$A1167,$Q$14:$Q$1213,"="&amp;$Q1167)+1)/2,"")</f>
        <v/>
      </c>
      <c r="AE1167" s="27">
        <f>IF(ISNUMBER($R1167),COUNTIFS($A$14:$A$1213,$A1167,$R$14:$R$1213,"&gt;"&amp;$R1167)+(COUNTIFS($A$14:$A$1213,$A1167,$R$14:$R$1213,"="&amp;$R1167)+1)/2,"")</f>
        <v/>
      </c>
      <c r="AF1167" s="27">
        <f>IF(ISNUMBER($S1167),COUNTIFS($A$14:$A$1213,$A1167,$S$14:$S$1213,"&gt;"&amp;$S1167)+(COUNTIFS($A$14:$A$1213,$A1167,$S$14:$S$1213,"="&amp;$S1167)+1)/2,"")</f>
        <v/>
      </c>
      <c r="AG1167" s="27">
        <f>IF(ISNUMBER($T1167),COUNTIFS($A$14:$A$1213,$A1167,$T$14:$T$1213,"&gt;"&amp;$T1167)+(COUNTIFS($A$14:$A$1213,$A1167,$T$14:$T$1213,"="&amp;$T1167)+1)/2,"")</f>
        <v/>
      </c>
      <c r="AH1167" s="27">
        <f>IF(COUNT($AC1167:$AG1167)&lt;2,"",IF(MAX($AC1167:$AG1167)=MIN($AC1167:$AG1167),0,1))</f>
        <v/>
      </c>
      <c r="AI1167" s="27">
        <f>IF($A1167="","",IF(COUNTIF($A$14:$A1167,$A1167)=1,COUNTIF($AI$13:AI1166,"&gt;0")+1,""))</f>
        <v/>
      </c>
      <c r="AO1167" s="27">
        <f>IF($A1167="","",IF(AND(COUNTIFS($A$14:$A$1213,$A1167,$F$14:$F$1213,"&gt;=0")=2,IFERROR(INDEX($M$14:$M$313,MATCH($A1167,$H$14:$H$313,0)),"Yes")&lt;&gt;"Yes"),1,0))</f>
        <v/>
      </c>
    </row>
    <row r="1168">
      <c r="A1168" s="19" t="n"/>
      <c r="B1168" s="20" t="n"/>
      <c r="C1168" s="21">
        <f>IFERROR(AVERAGE(P1168:T1168),"")</f>
        <v/>
      </c>
      <c r="D1168" s="29" t="n"/>
      <c r="E1168" s="29" t="n"/>
      <c r="F1168" s="30">
        <f>IF(AND(ISNUMBER($D1168),ISNUMBER($E1168),$E1168&gt;0,$D1168&lt;=$E1168),$D1168/$E1168,"")</f>
        <v/>
      </c>
      <c r="P1168" s="26" t="n"/>
      <c r="Q1168" s="26" t="n"/>
      <c r="R1168" s="26" t="n"/>
      <c r="S1168" s="26" t="n"/>
      <c r="T1168" s="26" t="n"/>
      <c r="V1168" s="27">
        <f>IF(ISNUMBER($C1168),COUNTIFS($A$14:$A$1213,$A1168,$C$14:$C$1213,"&gt;"&amp;$C1168)+(COUNTIFS($A$14:$A$1213,$A1168,$C$14:$C$1213,"="&amp;$C1168)+1)/2,"")</f>
        <v/>
      </c>
      <c r="W1168" s="27">
        <f>IF(ISNUMBER($F1168),COUNTIFS($A$14:$A$1213,$A1168,$F$14:$F$1213,"&gt;"&amp;$F1168)+(COUNTIFS($A$14:$A$1213,$A1168,$F$14:$F$1213,"="&amp;$F1168)+1)/2,"")</f>
        <v/>
      </c>
      <c r="X1168" s="27">
        <f>IF(OR(NOT(ISNUMBER($V1168)),$AO1168=1),"",$V1168-(COUNTIFS($A$14:$A$1213,$A1168,$C$14:$C$1213,"&gt;=0")+1)/2)</f>
        <v/>
      </c>
      <c r="Y1168" s="27">
        <f>IF(OR(NOT(ISNUMBER($W1168)),$AO1168=1),"",$W1168-(COUNTIFS($A$14:$A$1213,$A1168,$F$14:$F$1213,"&gt;=0")+1)/2)</f>
        <v/>
      </c>
      <c r="Z1168" s="27">
        <f>IF(ISNUMBER($V1168),$A1168&amp;"|"&amp;$V1168,"")</f>
        <v/>
      </c>
      <c r="AA1168" s="27">
        <f>IF(ISNUMBER($W1168),$A1168&amp;"|"&amp;$W1168,"")</f>
        <v/>
      </c>
      <c r="AB1168" s="27">
        <f>IF(ISNUMBER($F1168),$A1168&amp;"|"&amp;$F1168,"")</f>
        <v/>
      </c>
      <c r="AC1168" s="27">
        <f>IF(ISNUMBER($P1168),COUNTIFS($A$14:$A$1213,$A1168,$P$14:$P$1213,"&gt;"&amp;$P1168)+(COUNTIFS($A$14:$A$1213,$A1168,$P$14:$P$1213,"="&amp;$P1168)+1)/2,"")</f>
        <v/>
      </c>
      <c r="AD1168" s="27">
        <f>IF(ISNUMBER($Q1168),COUNTIFS($A$14:$A$1213,$A1168,$Q$14:$Q$1213,"&gt;"&amp;$Q1168)+(COUNTIFS($A$14:$A$1213,$A1168,$Q$14:$Q$1213,"="&amp;$Q1168)+1)/2,"")</f>
        <v/>
      </c>
      <c r="AE1168" s="27">
        <f>IF(ISNUMBER($R1168),COUNTIFS($A$14:$A$1213,$A1168,$R$14:$R$1213,"&gt;"&amp;$R1168)+(COUNTIFS($A$14:$A$1213,$A1168,$R$14:$R$1213,"="&amp;$R1168)+1)/2,"")</f>
        <v/>
      </c>
      <c r="AF1168" s="27">
        <f>IF(ISNUMBER($S1168),COUNTIFS($A$14:$A$1213,$A1168,$S$14:$S$1213,"&gt;"&amp;$S1168)+(COUNTIFS($A$14:$A$1213,$A1168,$S$14:$S$1213,"="&amp;$S1168)+1)/2,"")</f>
        <v/>
      </c>
      <c r="AG1168" s="27">
        <f>IF(ISNUMBER($T1168),COUNTIFS($A$14:$A$1213,$A1168,$T$14:$T$1213,"&gt;"&amp;$T1168)+(COUNTIFS($A$14:$A$1213,$A1168,$T$14:$T$1213,"="&amp;$T1168)+1)/2,"")</f>
        <v/>
      </c>
      <c r="AH1168" s="27">
        <f>IF(COUNT($AC1168:$AG1168)&lt;2,"",IF(MAX($AC1168:$AG1168)=MIN($AC1168:$AG1168),0,1))</f>
        <v/>
      </c>
      <c r="AI1168" s="27">
        <f>IF($A1168="","",IF(COUNTIF($A$14:$A1168,$A1168)=1,COUNTIF($AI$13:AI1167,"&gt;0")+1,""))</f>
        <v/>
      </c>
      <c r="AO1168" s="27">
        <f>IF($A1168="","",IF(AND(COUNTIFS($A$14:$A$1213,$A1168,$F$14:$F$1213,"&gt;=0")=2,IFERROR(INDEX($M$14:$M$313,MATCH($A1168,$H$14:$H$313,0)),"Yes")&lt;&gt;"Yes"),1,0))</f>
        <v/>
      </c>
    </row>
    <row r="1169">
      <c r="A1169" s="19" t="n"/>
      <c r="B1169" s="20" t="n"/>
      <c r="C1169" s="21">
        <f>IFERROR(AVERAGE(P1169:T1169),"")</f>
        <v/>
      </c>
      <c r="D1169" s="29" t="n"/>
      <c r="E1169" s="29" t="n"/>
      <c r="F1169" s="30">
        <f>IF(AND(ISNUMBER($D1169),ISNUMBER($E1169),$E1169&gt;0,$D1169&lt;=$E1169),$D1169/$E1169,"")</f>
        <v/>
      </c>
      <c r="P1169" s="26" t="n"/>
      <c r="Q1169" s="26" t="n"/>
      <c r="R1169" s="26" t="n"/>
      <c r="S1169" s="26" t="n"/>
      <c r="T1169" s="26" t="n"/>
      <c r="V1169" s="27">
        <f>IF(ISNUMBER($C1169),COUNTIFS($A$14:$A$1213,$A1169,$C$14:$C$1213,"&gt;"&amp;$C1169)+(COUNTIFS($A$14:$A$1213,$A1169,$C$14:$C$1213,"="&amp;$C1169)+1)/2,"")</f>
        <v/>
      </c>
      <c r="W1169" s="27">
        <f>IF(ISNUMBER($F1169),COUNTIFS($A$14:$A$1213,$A1169,$F$14:$F$1213,"&gt;"&amp;$F1169)+(COUNTIFS($A$14:$A$1213,$A1169,$F$14:$F$1213,"="&amp;$F1169)+1)/2,"")</f>
        <v/>
      </c>
      <c r="X1169" s="27">
        <f>IF(OR(NOT(ISNUMBER($V1169)),$AO1169=1),"",$V1169-(COUNTIFS($A$14:$A$1213,$A1169,$C$14:$C$1213,"&gt;=0")+1)/2)</f>
        <v/>
      </c>
      <c r="Y1169" s="27">
        <f>IF(OR(NOT(ISNUMBER($W1169)),$AO1169=1),"",$W1169-(COUNTIFS($A$14:$A$1213,$A1169,$F$14:$F$1213,"&gt;=0")+1)/2)</f>
        <v/>
      </c>
      <c r="Z1169" s="27">
        <f>IF(ISNUMBER($V1169),$A1169&amp;"|"&amp;$V1169,"")</f>
        <v/>
      </c>
      <c r="AA1169" s="27">
        <f>IF(ISNUMBER($W1169),$A1169&amp;"|"&amp;$W1169,"")</f>
        <v/>
      </c>
      <c r="AB1169" s="27">
        <f>IF(ISNUMBER($F1169),$A1169&amp;"|"&amp;$F1169,"")</f>
        <v/>
      </c>
      <c r="AC1169" s="27">
        <f>IF(ISNUMBER($P1169),COUNTIFS($A$14:$A$1213,$A1169,$P$14:$P$1213,"&gt;"&amp;$P1169)+(COUNTIFS($A$14:$A$1213,$A1169,$P$14:$P$1213,"="&amp;$P1169)+1)/2,"")</f>
        <v/>
      </c>
      <c r="AD1169" s="27">
        <f>IF(ISNUMBER($Q1169),COUNTIFS($A$14:$A$1213,$A1169,$Q$14:$Q$1213,"&gt;"&amp;$Q1169)+(COUNTIFS($A$14:$A$1213,$A1169,$Q$14:$Q$1213,"="&amp;$Q1169)+1)/2,"")</f>
        <v/>
      </c>
      <c r="AE1169" s="27">
        <f>IF(ISNUMBER($R1169),COUNTIFS($A$14:$A$1213,$A1169,$R$14:$R$1213,"&gt;"&amp;$R1169)+(COUNTIFS($A$14:$A$1213,$A1169,$R$14:$R$1213,"="&amp;$R1169)+1)/2,"")</f>
        <v/>
      </c>
      <c r="AF1169" s="27">
        <f>IF(ISNUMBER($S1169),COUNTIFS($A$14:$A$1213,$A1169,$S$14:$S$1213,"&gt;"&amp;$S1169)+(COUNTIFS($A$14:$A$1213,$A1169,$S$14:$S$1213,"="&amp;$S1169)+1)/2,"")</f>
        <v/>
      </c>
      <c r="AG1169" s="27">
        <f>IF(ISNUMBER($T1169),COUNTIFS($A$14:$A$1213,$A1169,$T$14:$T$1213,"&gt;"&amp;$T1169)+(COUNTIFS($A$14:$A$1213,$A1169,$T$14:$T$1213,"="&amp;$T1169)+1)/2,"")</f>
        <v/>
      </c>
      <c r="AH1169" s="27">
        <f>IF(COUNT($AC1169:$AG1169)&lt;2,"",IF(MAX($AC1169:$AG1169)=MIN($AC1169:$AG1169),0,1))</f>
        <v/>
      </c>
      <c r="AI1169" s="27">
        <f>IF($A1169="","",IF(COUNTIF($A$14:$A1169,$A1169)=1,COUNTIF($AI$13:AI1168,"&gt;0")+1,""))</f>
        <v/>
      </c>
      <c r="AO1169" s="27">
        <f>IF($A1169="","",IF(AND(COUNTIFS($A$14:$A$1213,$A1169,$F$14:$F$1213,"&gt;=0")=2,IFERROR(INDEX($M$14:$M$313,MATCH($A1169,$H$14:$H$313,0)),"Yes")&lt;&gt;"Yes"),1,0))</f>
        <v/>
      </c>
    </row>
    <row r="1170">
      <c r="A1170" s="19" t="n"/>
      <c r="B1170" s="20" t="n"/>
      <c r="C1170" s="21">
        <f>IFERROR(AVERAGE(P1170:T1170),"")</f>
        <v/>
      </c>
      <c r="D1170" s="29" t="n"/>
      <c r="E1170" s="29" t="n"/>
      <c r="F1170" s="30">
        <f>IF(AND(ISNUMBER($D1170),ISNUMBER($E1170),$E1170&gt;0,$D1170&lt;=$E1170),$D1170/$E1170,"")</f>
        <v/>
      </c>
      <c r="P1170" s="26" t="n"/>
      <c r="Q1170" s="26" t="n"/>
      <c r="R1170" s="26" t="n"/>
      <c r="S1170" s="26" t="n"/>
      <c r="T1170" s="26" t="n"/>
      <c r="V1170" s="27">
        <f>IF(ISNUMBER($C1170),COUNTIFS($A$14:$A$1213,$A1170,$C$14:$C$1213,"&gt;"&amp;$C1170)+(COUNTIFS($A$14:$A$1213,$A1170,$C$14:$C$1213,"="&amp;$C1170)+1)/2,"")</f>
        <v/>
      </c>
      <c r="W1170" s="27">
        <f>IF(ISNUMBER($F1170),COUNTIFS($A$14:$A$1213,$A1170,$F$14:$F$1213,"&gt;"&amp;$F1170)+(COUNTIFS($A$14:$A$1213,$A1170,$F$14:$F$1213,"="&amp;$F1170)+1)/2,"")</f>
        <v/>
      </c>
      <c r="X1170" s="27">
        <f>IF(OR(NOT(ISNUMBER($V1170)),$AO1170=1),"",$V1170-(COUNTIFS($A$14:$A$1213,$A1170,$C$14:$C$1213,"&gt;=0")+1)/2)</f>
        <v/>
      </c>
      <c r="Y1170" s="27">
        <f>IF(OR(NOT(ISNUMBER($W1170)),$AO1170=1),"",$W1170-(COUNTIFS($A$14:$A$1213,$A1170,$F$14:$F$1213,"&gt;=0")+1)/2)</f>
        <v/>
      </c>
      <c r="Z1170" s="27">
        <f>IF(ISNUMBER($V1170),$A1170&amp;"|"&amp;$V1170,"")</f>
        <v/>
      </c>
      <c r="AA1170" s="27">
        <f>IF(ISNUMBER($W1170),$A1170&amp;"|"&amp;$W1170,"")</f>
        <v/>
      </c>
      <c r="AB1170" s="27">
        <f>IF(ISNUMBER($F1170),$A1170&amp;"|"&amp;$F1170,"")</f>
        <v/>
      </c>
      <c r="AC1170" s="27">
        <f>IF(ISNUMBER($P1170),COUNTIFS($A$14:$A$1213,$A1170,$P$14:$P$1213,"&gt;"&amp;$P1170)+(COUNTIFS($A$14:$A$1213,$A1170,$P$14:$P$1213,"="&amp;$P1170)+1)/2,"")</f>
        <v/>
      </c>
      <c r="AD1170" s="27">
        <f>IF(ISNUMBER($Q1170),COUNTIFS($A$14:$A$1213,$A1170,$Q$14:$Q$1213,"&gt;"&amp;$Q1170)+(COUNTIFS($A$14:$A$1213,$A1170,$Q$14:$Q$1213,"="&amp;$Q1170)+1)/2,"")</f>
        <v/>
      </c>
      <c r="AE1170" s="27">
        <f>IF(ISNUMBER($R1170),COUNTIFS($A$14:$A$1213,$A1170,$R$14:$R$1213,"&gt;"&amp;$R1170)+(COUNTIFS($A$14:$A$1213,$A1170,$R$14:$R$1213,"="&amp;$R1170)+1)/2,"")</f>
        <v/>
      </c>
      <c r="AF1170" s="27">
        <f>IF(ISNUMBER($S1170),COUNTIFS($A$14:$A$1213,$A1170,$S$14:$S$1213,"&gt;"&amp;$S1170)+(COUNTIFS($A$14:$A$1213,$A1170,$S$14:$S$1213,"="&amp;$S1170)+1)/2,"")</f>
        <v/>
      </c>
      <c r="AG1170" s="27">
        <f>IF(ISNUMBER($T1170),COUNTIFS($A$14:$A$1213,$A1170,$T$14:$T$1213,"&gt;"&amp;$T1170)+(COUNTIFS($A$14:$A$1213,$A1170,$T$14:$T$1213,"="&amp;$T1170)+1)/2,"")</f>
        <v/>
      </c>
      <c r="AH1170" s="27">
        <f>IF(COUNT($AC1170:$AG1170)&lt;2,"",IF(MAX($AC1170:$AG1170)=MIN($AC1170:$AG1170),0,1))</f>
        <v/>
      </c>
      <c r="AI1170" s="27">
        <f>IF($A1170="","",IF(COUNTIF($A$14:$A1170,$A1170)=1,COUNTIF($AI$13:AI1169,"&gt;0")+1,""))</f>
        <v/>
      </c>
      <c r="AO1170" s="27">
        <f>IF($A1170="","",IF(AND(COUNTIFS($A$14:$A$1213,$A1170,$F$14:$F$1213,"&gt;=0")=2,IFERROR(INDEX($M$14:$M$313,MATCH($A1170,$H$14:$H$313,0)),"Yes")&lt;&gt;"Yes"),1,0))</f>
        <v/>
      </c>
    </row>
    <row r="1171">
      <c r="A1171" s="19" t="n"/>
      <c r="B1171" s="20" t="n"/>
      <c r="C1171" s="21">
        <f>IFERROR(AVERAGE(P1171:T1171),"")</f>
        <v/>
      </c>
      <c r="D1171" s="29" t="n"/>
      <c r="E1171" s="29" t="n"/>
      <c r="F1171" s="30">
        <f>IF(AND(ISNUMBER($D1171),ISNUMBER($E1171),$E1171&gt;0,$D1171&lt;=$E1171),$D1171/$E1171,"")</f>
        <v/>
      </c>
      <c r="P1171" s="26" t="n"/>
      <c r="Q1171" s="26" t="n"/>
      <c r="R1171" s="26" t="n"/>
      <c r="S1171" s="26" t="n"/>
      <c r="T1171" s="26" t="n"/>
      <c r="V1171" s="27">
        <f>IF(ISNUMBER($C1171),COUNTIFS($A$14:$A$1213,$A1171,$C$14:$C$1213,"&gt;"&amp;$C1171)+(COUNTIFS($A$14:$A$1213,$A1171,$C$14:$C$1213,"="&amp;$C1171)+1)/2,"")</f>
        <v/>
      </c>
      <c r="W1171" s="27">
        <f>IF(ISNUMBER($F1171),COUNTIFS($A$14:$A$1213,$A1171,$F$14:$F$1213,"&gt;"&amp;$F1171)+(COUNTIFS($A$14:$A$1213,$A1171,$F$14:$F$1213,"="&amp;$F1171)+1)/2,"")</f>
        <v/>
      </c>
      <c r="X1171" s="27">
        <f>IF(OR(NOT(ISNUMBER($V1171)),$AO1171=1),"",$V1171-(COUNTIFS($A$14:$A$1213,$A1171,$C$14:$C$1213,"&gt;=0")+1)/2)</f>
        <v/>
      </c>
      <c r="Y1171" s="27">
        <f>IF(OR(NOT(ISNUMBER($W1171)),$AO1171=1),"",$W1171-(COUNTIFS($A$14:$A$1213,$A1171,$F$14:$F$1213,"&gt;=0")+1)/2)</f>
        <v/>
      </c>
      <c r="Z1171" s="27">
        <f>IF(ISNUMBER($V1171),$A1171&amp;"|"&amp;$V1171,"")</f>
        <v/>
      </c>
      <c r="AA1171" s="27">
        <f>IF(ISNUMBER($W1171),$A1171&amp;"|"&amp;$W1171,"")</f>
        <v/>
      </c>
      <c r="AB1171" s="27">
        <f>IF(ISNUMBER($F1171),$A1171&amp;"|"&amp;$F1171,"")</f>
        <v/>
      </c>
      <c r="AC1171" s="27">
        <f>IF(ISNUMBER($P1171),COUNTIFS($A$14:$A$1213,$A1171,$P$14:$P$1213,"&gt;"&amp;$P1171)+(COUNTIFS($A$14:$A$1213,$A1171,$P$14:$P$1213,"="&amp;$P1171)+1)/2,"")</f>
        <v/>
      </c>
      <c r="AD1171" s="27">
        <f>IF(ISNUMBER($Q1171),COUNTIFS($A$14:$A$1213,$A1171,$Q$14:$Q$1213,"&gt;"&amp;$Q1171)+(COUNTIFS($A$14:$A$1213,$A1171,$Q$14:$Q$1213,"="&amp;$Q1171)+1)/2,"")</f>
        <v/>
      </c>
      <c r="AE1171" s="27">
        <f>IF(ISNUMBER($R1171),COUNTIFS($A$14:$A$1213,$A1171,$R$14:$R$1213,"&gt;"&amp;$R1171)+(COUNTIFS($A$14:$A$1213,$A1171,$R$14:$R$1213,"="&amp;$R1171)+1)/2,"")</f>
        <v/>
      </c>
      <c r="AF1171" s="27">
        <f>IF(ISNUMBER($S1171),COUNTIFS($A$14:$A$1213,$A1171,$S$14:$S$1213,"&gt;"&amp;$S1171)+(COUNTIFS($A$14:$A$1213,$A1171,$S$14:$S$1213,"="&amp;$S1171)+1)/2,"")</f>
        <v/>
      </c>
      <c r="AG1171" s="27">
        <f>IF(ISNUMBER($T1171),COUNTIFS($A$14:$A$1213,$A1171,$T$14:$T$1213,"&gt;"&amp;$T1171)+(COUNTIFS($A$14:$A$1213,$A1171,$T$14:$T$1213,"="&amp;$T1171)+1)/2,"")</f>
        <v/>
      </c>
      <c r="AH1171" s="27">
        <f>IF(COUNT($AC1171:$AG1171)&lt;2,"",IF(MAX($AC1171:$AG1171)=MIN($AC1171:$AG1171),0,1))</f>
        <v/>
      </c>
      <c r="AI1171" s="27">
        <f>IF($A1171="","",IF(COUNTIF($A$14:$A1171,$A1171)=1,COUNTIF($AI$13:AI1170,"&gt;0")+1,""))</f>
        <v/>
      </c>
      <c r="AO1171" s="27">
        <f>IF($A1171="","",IF(AND(COUNTIFS($A$14:$A$1213,$A1171,$F$14:$F$1213,"&gt;=0")=2,IFERROR(INDEX($M$14:$M$313,MATCH($A1171,$H$14:$H$313,0)),"Yes")&lt;&gt;"Yes"),1,0))</f>
        <v/>
      </c>
    </row>
    <row r="1172">
      <c r="A1172" s="19" t="n"/>
      <c r="B1172" s="20" t="n"/>
      <c r="C1172" s="21">
        <f>IFERROR(AVERAGE(P1172:T1172),"")</f>
        <v/>
      </c>
      <c r="D1172" s="29" t="n"/>
      <c r="E1172" s="29" t="n"/>
      <c r="F1172" s="30">
        <f>IF(AND(ISNUMBER($D1172),ISNUMBER($E1172),$E1172&gt;0,$D1172&lt;=$E1172),$D1172/$E1172,"")</f>
        <v/>
      </c>
      <c r="P1172" s="26" t="n"/>
      <c r="Q1172" s="26" t="n"/>
      <c r="R1172" s="26" t="n"/>
      <c r="S1172" s="26" t="n"/>
      <c r="T1172" s="26" t="n"/>
      <c r="V1172" s="27">
        <f>IF(ISNUMBER($C1172),COUNTIFS($A$14:$A$1213,$A1172,$C$14:$C$1213,"&gt;"&amp;$C1172)+(COUNTIFS($A$14:$A$1213,$A1172,$C$14:$C$1213,"="&amp;$C1172)+1)/2,"")</f>
        <v/>
      </c>
      <c r="W1172" s="27">
        <f>IF(ISNUMBER($F1172),COUNTIFS($A$14:$A$1213,$A1172,$F$14:$F$1213,"&gt;"&amp;$F1172)+(COUNTIFS($A$14:$A$1213,$A1172,$F$14:$F$1213,"="&amp;$F1172)+1)/2,"")</f>
        <v/>
      </c>
      <c r="X1172" s="27">
        <f>IF(OR(NOT(ISNUMBER($V1172)),$AO1172=1),"",$V1172-(COUNTIFS($A$14:$A$1213,$A1172,$C$14:$C$1213,"&gt;=0")+1)/2)</f>
        <v/>
      </c>
      <c r="Y1172" s="27">
        <f>IF(OR(NOT(ISNUMBER($W1172)),$AO1172=1),"",$W1172-(COUNTIFS($A$14:$A$1213,$A1172,$F$14:$F$1213,"&gt;=0")+1)/2)</f>
        <v/>
      </c>
      <c r="Z1172" s="27">
        <f>IF(ISNUMBER($V1172),$A1172&amp;"|"&amp;$V1172,"")</f>
        <v/>
      </c>
      <c r="AA1172" s="27">
        <f>IF(ISNUMBER($W1172),$A1172&amp;"|"&amp;$W1172,"")</f>
        <v/>
      </c>
      <c r="AB1172" s="27">
        <f>IF(ISNUMBER($F1172),$A1172&amp;"|"&amp;$F1172,"")</f>
        <v/>
      </c>
      <c r="AC1172" s="27">
        <f>IF(ISNUMBER($P1172),COUNTIFS($A$14:$A$1213,$A1172,$P$14:$P$1213,"&gt;"&amp;$P1172)+(COUNTIFS($A$14:$A$1213,$A1172,$P$14:$P$1213,"="&amp;$P1172)+1)/2,"")</f>
        <v/>
      </c>
      <c r="AD1172" s="27">
        <f>IF(ISNUMBER($Q1172),COUNTIFS($A$14:$A$1213,$A1172,$Q$14:$Q$1213,"&gt;"&amp;$Q1172)+(COUNTIFS($A$14:$A$1213,$A1172,$Q$14:$Q$1213,"="&amp;$Q1172)+1)/2,"")</f>
        <v/>
      </c>
      <c r="AE1172" s="27">
        <f>IF(ISNUMBER($R1172),COUNTIFS($A$14:$A$1213,$A1172,$R$14:$R$1213,"&gt;"&amp;$R1172)+(COUNTIFS($A$14:$A$1213,$A1172,$R$14:$R$1213,"="&amp;$R1172)+1)/2,"")</f>
        <v/>
      </c>
      <c r="AF1172" s="27">
        <f>IF(ISNUMBER($S1172),COUNTIFS($A$14:$A$1213,$A1172,$S$14:$S$1213,"&gt;"&amp;$S1172)+(COUNTIFS($A$14:$A$1213,$A1172,$S$14:$S$1213,"="&amp;$S1172)+1)/2,"")</f>
        <v/>
      </c>
      <c r="AG1172" s="27">
        <f>IF(ISNUMBER($T1172),COUNTIFS($A$14:$A$1213,$A1172,$T$14:$T$1213,"&gt;"&amp;$T1172)+(COUNTIFS($A$14:$A$1213,$A1172,$T$14:$T$1213,"="&amp;$T1172)+1)/2,"")</f>
        <v/>
      </c>
      <c r="AH1172" s="27">
        <f>IF(COUNT($AC1172:$AG1172)&lt;2,"",IF(MAX($AC1172:$AG1172)=MIN($AC1172:$AG1172),0,1))</f>
        <v/>
      </c>
      <c r="AI1172" s="27">
        <f>IF($A1172="","",IF(COUNTIF($A$14:$A1172,$A1172)=1,COUNTIF($AI$13:AI1171,"&gt;0")+1,""))</f>
        <v/>
      </c>
      <c r="AO1172" s="27">
        <f>IF($A1172="","",IF(AND(COUNTIFS($A$14:$A$1213,$A1172,$F$14:$F$1213,"&gt;=0")=2,IFERROR(INDEX($M$14:$M$313,MATCH($A1172,$H$14:$H$313,0)),"Yes")&lt;&gt;"Yes"),1,0))</f>
        <v/>
      </c>
    </row>
    <row r="1173">
      <c r="A1173" s="19" t="n"/>
      <c r="B1173" s="20" t="n"/>
      <c r="C1173" s="21">
        <f>IFERROR(AVERAGE(P1173:T1173),"")</f>
        <v/>
      </c>
      <c r="D1173" s="29" t="n"/>
      <c r="E1173" s="29" t="n"/>
      <c r="F1173" s="30">
        <f>IF(AND(ISNUMBER($D1173),ISNUMBER($E1173),$E1173&gt;0,$D1173&lt;=$E1173),$D1173/$E1173,"")</f>
        <v/>
      </c>
      <c r="P1173" s="26" t="n"/>
      <c r="Q1173" s="26" t="n"/>
      <c r="R1173" s="26" t="n"/>
      <c r="S1173" s="26" t="n"/>
      <c r="T1173" s="26" t="n"/>
      <c r="V1173" s="27">
        <f>IF(ISNUMBER($C1173),COUNTIFS($A$14:$A$1213,$A1173,$C$14:$C$1213,"&gt;"&amp;$C1173)+(COUNTIFS($A$14:$A$1213,$A1173,$C$14:$C$1213,"="&amp;$C1173)+1)/2,"")</f>
        <v/>
      </c>
      <c r="W1173" s="27">
        <f>IF(ISNUMBER($F1173),COUNTIFS($A$14:$A$1213,$A1173,$F$14:$F$1213,"&gt;"&amp;$F1173)+(COUNTIFS($A$14:$A$1213,$A1173,$F$14:$F$1213,"="&amp;$F1173)+1)/2,"")</f>
        <v/>
      </c>
      <c r="X1173" s="27">
        <f>IF(OR(NOT(ISNUMBER($V1173)),$AO1173=1),"",$V1173-(COUNTIFS($A$14:$A$1213,$A1173,$C$14:$C$1213,"&gt;=0")+1)/2)</f>
        <v/>
      </c>
      <c r="Y1173" s="27">
        <f>IF(OR(NOT(ISNUMBER($W1173)),$AO1173=1),"",$W1173-(COUNTIFS($A$14:$A$1213,$A1173,$F$14:$F$1213,"&gt;=0")+1)/2)</f>
        <v/>
      </c>
      <c r="Z1173" s="27">
        <f>IF(ISNUMBER($V1173),$A1173&amp;"|"&amp;$V1173,"")</f>
        <v/>
      </c>
      <c r="AA1173" s="27">
        <f>IF(ISNUMBER($W1173),$A1173&amp;"|"&amp;$W1173,"")</f>
        <v/>
      </c>
      <c r="AB1173" s="27">
        <f>IF(ISNUMBER($F1173),$A1173&amp;"|"&amp;$F1173,"")</f>
        <v/>
      </c>
      <c r="AC1173" s="27">
        <f>IF(ISNUMBER($P1173),COUNTIFS($A$14:$A$1213,$A1173,$P$14:$P$1213,"&gt;"&amp;$P1173)+(COUNTIFS($A$14:$A$1213,$A1173,$P$14:$P$1213,"="&amp;$P1173)+1)/2,"")</f>
        <v/>
      </c>
      <c r="AD1173" s="27">
        <f>IF(ISNUMBER($Q1173),COUNTIFS($A$14:$A$1213,$A1173,$Q$14:$Q$1213,"&gt;"&amp;$Q1173)+(COUNTIFS($A$14:$A$1213,$A1173,$Q$14:$Q$1213,"="&amp;$Q1173)+1)/2,"")</f>
        <v/>
      </c>
      <c r="AE1173" s="27">
        <f>IF(ISNUMBER($R1173),COUNTIFS($A$14:$A$1213,$A1173,$R$14:$R$1213,"&gt;"&amp;$R1173)+(COUNTIFS($A$14:$A$1213,$A1173,$R$14:$R$1213,"="&amp;$R1173)+1)/2,"")</f>
        <v/>
      </c>
      <c r="AF1173" s="27">
        <f>IF(ISNUMBER($S1173),COUNTIFS($A$14:$A$1213,$A1173,$S$14:$S$1213,"&gt;"&amp;$S1173)+(COUNTIFS($A$14:$A$1213,$A1173,$S$14:$S$1213,"="&amp;$S1173)+1)/2,"")</f>
        <v/>
      </c>
      <c r="AG1173" s="27">
        <f>IF(ISNUMBER($T1173),COUNTIFS($A$14:$A$1213,$A1173,$T$14:$T$1213,"&gt;"&amp;$T1173)+(COUNTIFS($A$14:$A$1213,$A1173,$T$14:$T$1213,"="&amp;$T1173)+1)/2,"")</f>
        <v/>
      </c>
      <c r="AH1173" s="27">
        <f>IF(COUNT($AC1173:$AG1173)&lt;2,"",IF(MAX($AC1173:$AG1173)=MIN($AC1173:$AG1173),0,1))</f>
        <v/>
      </c>
      <c r="AI1173" s="27">
        <f>IF($A1173="","",IF(COUNTIF($A$14:$A1173,$A1173)=1,COUNTIF($AI$13:AI1172,"&gt;0")+1,""))</f>
        <v/>
      </c>
      <c r="AO1173" s="27">
        <f>IF($A1173="","",IF(AND(COUNTIFS($A$14:$A$1213,$A1173,$F$14:$F$1213,"&gt;=0")=2,IFERROR(INDEX($M$14:$M$313,MATCH($A1173,$H$14:$H$313,0)),"Yes")&lt;&gt;"Yes"),1,0))</f>
        <v/>
      </c>
    </row>
    <row r="1174">
      <c r="A1174" s="19" t="n"/>
      <c r="B1174" s="20" t="n"/>
      <c r="C1174" s="21">
        <f>IFERROR(AVERAGE(P1174:T1174),"")</f>
        <v/>
      </c>
      <c r="D1174" s="29" t="n"/>
      <c r="E1174" s="29" t="n"/>
      <c r="F1174" s="30">
        <f>IF(AND(ISNUMBER($D1174),ISNUMBER($E1174),$E1174&gt;0,$D1174&lt;=$E1174),$D1174/$E1174,"")</f>
        <v/>
      </c>
      <c r="P1174" s="26" t="n"/>
      <c r="Q1174" s="26" t="n"/>
      <c r="R1174" s="26" t="n"/>
      <c r="S1174" s="26" t="n"/>
      <c r="T1174" s="26" t="n"/>
      <c r="V1174" s="27">
        <f>IF(ISNUMBER($C1174),COUNTIFS($A$14:$A$1213,$A1174,$C$14:$C$1213,"&gt;"&amp;$C1174)+(COUNTIFS($A$14:$A$1213,$A1174,$C$14:$C$1213,"="&amp;$C1174)+1)/2,"")</f>
        <v/>
      </c>
      <c r="W1174" s="27">
        <f>IF(ISNUMBER($F1174),COUNTIFS($A$14:$A$1213,$A1174,$F$14:$F$1213,"&gt;"&amp;$F1174)+(COUNTIFS($A$14:$A$1213,$A1174,$F$14:$F$1213,"="&amp;$F1174)+1)/2,"")</f>
        <v/>
      </c>
      <c r="X1174" s="27">
        <f>IF(OR(NOT(ISNUMBER($V1174)),$AO1174=1),"",$V1174-(COUNTIFS($A$14:$A$1213,$A1174,$C$14:$C$1213,"&gt;=0")+1)/2)</f>
        <v/>
      </c>
      <c r="Y1174" s="27">
        <f>IF(OR(NOT(ISNUMBER($W1174)),$AO1174=1),"",$W1174-(COUNTIFS($A$14:$A$1213,$A1174,$F$14:$F$1213,"&gt;=0")+1)/2)</f>
        <v/>
      </c>
      <c r="Z1174" s="27">
        <f>IF(ISNUMBER($V1174),$A1174&amp;"|"&amp;$V1174,"")</f>
        <v/>
      </c>
      <c r="AA1174" s="27">
        <f>IF(ISNUMBER($W1174),$A1174&amp;"|"&amp;$W1174,"")</f>
        <v/>
      </c>
      <c r="AB1174" s="27">
        <f>IF(ISNUMBER($F1174),$A1174&amp;"|"&amp;$F1174,"")</f>
        <v/>
      </c>
      <c r="AC1174" s="27">
        <f>IF(ISNUMBER($P1174),COUNTIFS($A$14:$A$1213,$A1174,$P$14:$P$1213,"&gt;"&amp;$P1174)+(COUNTIFS($A$14:$A$1213,$A1174,$P$14:$P$1213,"="&amp;$P1174)+1)/2,"")</f>
        <v/>
      </c>
      <c r="AD1174" s="27">
        <f>IF(ISNUMBER($Q1174),COUNTIFS($A$14:$A$1213,$A1174,$Q$14:$Q$1213,"&gt;"&amp;$Q1174)+(COUNTIFS($A$14:$A$1213,$A1174,$Q$14:$Q$1213,"="&amp;$Q1174)+1)/2,"")</f>
        <v/>
      </c>
      <c r="AE1174" s="27">
        <f>IF(ISNUMBER($R1174),COUNTIFS($A$14:$A$1213,$A1174,$R$14:$R$1213,"&gt;"&amp;$R1174)+(COUNTIFS($A$14:$A$1213,$A1174,$R$14:$R$1213,"="&amp;$R1174)+1)/2,"")</f>
        <v/>
      </c>
      <c r="AF1174" s="27">
        <f>IF(ISNUMBER($S1174),COUNTIFS($A$14:$A$1213,$A1174,$S$14:$S$1213,"&gt;"&amp;$S1174)+(COUNTIFS($A$14:$A$1213,$A1174,$S$14:$S$1213,"="&amp;$S1174)+1)/2,"")</f>
        <v/>
      </c>
      <c r="AG1174" s="27">
        <f>IF(ISNUMBER($T1174),COUNTIFS($A$14:$A$1213,$A1174,$T$14:$T$1213,"&gt;"&amp;$T1174)+(COUNTIFS($A$14:$A$1213,$A1174,$T$14:$T$1213,"="&amp;$T1174)+1)/2,"")</f>
        <v/>
      </c>
      <c r="AH1174" s="27">
        <f>IF(COUNT($AC1174:$AG1174)&lt;2,"",IF(MAX($AC1174:$AG1174)=MIN($AC1174:$AG1174),0,1))</f>
        <v/>
      </c>
      <c r="AI1174" s="27">
        <f>IF($A1174="","",IF(COUNTIF($A$14:$A1174,$A1174)=1,COUNTIF($AI$13:AI1173,"&gt;0")+1,""))</f>
        <v/>
      </c>
      <c r="AO1174" s="27">
        <f>IF($A1174="","",IF(AND(COUNTIFS($A$14:$A$1213,$A1174,$F$14:$F$1213,"&gt;=0")=2,IFERROR(INDEX($M$14:$M$313,MATCH($A1174,$H$14:$H$313,0)),"Yes")&lt;&gt;"Yes"),1,0))</f>
        <v/>
      </c>
    </row>
    <row r="1175">
      <c r="A1175" s="19" t="n"/>
      <c r="B1175" s="20" t="n"/>
      <c r="C1175" s="21">
        <f>IFERROR(AVERAGE(P1175:T1175),"")</f>
        <v/>
      </c>
      <c r="D1175" s="29" t="n"/>
      <c r="E1175" s="29" t="n"/>
      <c r="F1175" s="30">
        <f>IF(AND(ISNUMBER($D1175),ISNUMBER($E1175),$E1175&gt;0,$D1175&lt;=$E1175),$D1175/$E1175,"")</f>
        <v/>
      </c>
      <c r="P1175" s="26" t="n"/>
      <c r="Q1175" s="26" t="n"/>
      <c r="R1175" s="26" t="n"/>
      <c r="S1175" s="26" t="n"/>
      <c r="T1175" s="26" t="n"/>
      <c r="V1175" s="27">
        <f>IF(ISNUMBER($C1175),COUNTIFS($A$14:$A$1213,$A1175,$C$14:$C$1213,"&gt;"&amp;$C1175)+(COUNTIFS($A$14:$A$1213,$A1175,$C$14:$C$1213,"="&amp;$C1175)+1)/2,"")</f>
        <v/>
      </c>
      <c r="W1175" s="27">
        <f>IF(ISNUMBER($F1175),COUNTIFS($A$14:$A$1213,$A1175,$F$14:$F$1213,"&gt;"&amp;$F1175)+(COUNTIFS($A$14:$A$1213,$A1175,$F$14:$F$1213,"="&amp;$F1175)+1)/2,"")</f>
        <v/>
      </c>
      <c r="X1175" s="27">
        <f>IF(OR(NOT(ISNUMBER($V1175)),$AO1175=1),"",$V1175-(COUNTIFS($A$14:$A$1213,$A1175,$C$14:$C$1213,"&gt;=0")+1)/2)</f>
        <v/>
      </c>
      <c r="Y1175" s="27">
        <f>IF(OR(NOT(ISNUMBER($W1175)),$AO1175=1),"",$W1175-(COUNTIFS($A$14:$A$1213,$A1175,$F$14:$F$1213,"&gt;=0")+1)/2)</f>
        <v/>
      </c>
      <c r="Z1175" s="27">
        <f>IF(ISNUMBER($V1175),$A1175&amp;"|"&amp;$V1175,"")</f>
        <v/>
      </c>
      <c r="AA1175" s="27">
        <f>IF(ISNUMBER($W1175),$A1175&amp;"|"&amp;$W1175,"")</f>
        <v/>
      </c>
      <c r="AB1175" s="27">
        <f>IF(ISNUMBER($F1175),$A1175&amp;"|"&amp;$F1175,"")</f>
        <v/>
      </c>
      <c r="AC1175" s="27">
        <f>IF(ISNUMBER($P1175),COUNTIFS($A$14:$A$1213,$A1175,$P$14:$P$1213,"&gt;"&amp;$P1175)+(COUNTIFS($A$14:$A$1213,$A1175,$P$14:$P$1213,"="&amp;$P1175)+1)/2,"")</f>
        <v/>
      </c>
      <c r="AD1175" s="27">
        <f>IF(ISNUMBER($Q1175),COUNTIFS($A$14:$A$1213,$A1175,$Q$14:$Q$1213,"&gt;"&amp;$Q1175)+(COUNTIFS($A$14:$A$1213,$A1175,$Q$14:$Q$1213,"="&amp;$Q1175)+1)/2,"")</f>
        <v/>
      </c>
      <c r="AE1175" s="27">
        <f>IF(ISNUMBER($R1175),COUNTIFS($A$14:$A$1213,$A1175,$R$14:$R$1213,"&gt;"&amp;$R1175)+(COUNTIFS($A$14:$A$1213,$A1175,$R$14:$R$1213,"="&amp;$R1175)+1)/2,"")</f>
        <v/>
      </c>
      <c r="AF1175" s="27">
        <f>IF(ISNUMBER($S1175),COUNTIFS($A$14:$A$1213,$A1175,$S$14:$S$1213,"&gt;"&amp;$S1175)+(COUNTIFS($A$14:$A$1213,$A1175,$S$14:$S$1213,"="&amp;$S1175)+1)/2,"")</f>
        <v/>
      </c>
      <c r="AG1175" s="27">
        <f>IF(ISNUMBER($T1175),COUNTIFS($A$14:$A$1213,$A1175,$T$14:$T$1213,"&gt;"&amp;$T1175)+(COUNTIFS($A$14:$A$1213,$A1175,$T$14:$T$1213,"="&amp;$T1175)+1)/2,"")</f>
        <v/>
      </c>
      <c r="AH1175" s="27">
        <f>IF(COUNT($AC1175:$AG1175)&lt;2,"",IF(MAX($AC1175:$AG1175)=MIN($AC1175:$AG1175),0,1))</f>
        <v/>
      </c>
      <c r="AI1175" s="27">
        <f>IF($A1175="","",IF(COUNTIF($A$14:$A1175,$A1175)=1,COUNTIF($AI$13:AI1174,"&gt;0")+1,""))</f>
        <v/>
      </c>
      <c r="AO1175" s="27">
        <f>IF($A1175="","",IF(AND(COUNTIFS($A$14:$A$1213,$A1175,$F$14:$F$1213,"&gt;=0")=2,IFERROR(INDEX($M$14:$M$313,MATCH($A1175,$H$14:$H$313,0)),"Yes")&lt;&gt;"Yes"),1,0))</f>
        <v/>
      </c>
    </row>
    <row r="1176">
      <c r="A1176" s="19" t="n"/>
      <c r="B1176" s="20" t="n"/>
      <c r="C1176" s="21">
        <f>IFERROR(AVERAGE(P1176:T1176),"")</f>
        <v/>
      </c>
      <c r="D1176" s="29" t="n"/>
      <c r="E1176" s="29" t="n"/>
      <c r="F1176" s="30">
        <f>IF(AND(ISNUMBER($D1176),ISNUMBER($E1176),$E1176&gt;0,$D1176&lt;=$E1176),$D1176/$E1176,"")</f>
        <v/>
      </c>
      <c r="P1176" s="26" t="n"/>
      <c r="Q1176" s="26" t="n"/>
      <c r="R1176" s="26" t="n"/>
      <c r="S1176" s="26" t="n"/>
      <c r="T1176" s="26" t="n"/>
      <c r="V1176" s="27">
        <f>IF(ISNUMBER($C1176),COUNTIFS($A$14:$A$1213,$A1176,$C$14:$C$1213,"&gt;"&amp;$C1176)+(COUNTIFS($A$14:$A$1213,$A1176,$C$14:$C$1213,"="&amp;$C1176)+1)/2,"")</f>
        <v/>
      </c>
      <c r="W1176" s="27">
        <f>IF(ISNUMBER($F1176),COUNTIFS($A$14:$A$1213,$A1176,$F$14:$F$1213,"&gt;"&amp;$F1176)+(COUNTIFS($A$14:$A$1213,$A1176,$F$14:$F$1213,"="&amp;$F1176)+1)/2,"")</f>
        <v/>
      </c>
      <c r="X1176" s="27">
        <f>IF(OR(NOT(ISNUMBER($V1176)),$AO1176=1),"",$V1176-(COUNTIFS($A$14:$A$1213,$A1176,$C$14:$C$1213,"&gt;=0")+1)/2)</f>
        <v/>
      </c>
      <c r="Y1176" s="27">
        <f>IF(OR(NOT(ISNUMBER($W1176)),$AO1176=1),"",$W1176-(COUNTIFS($A$14:$A$1213,$A1176,$F$14:$F$1213,"&gt;=0")+1)/2)</f>
        <v/>
      </c>
      <c r="Z1176" s="27">
        <f>IF(ISNUMBER($V1176),$A1176&amp;"|"&amp;$V1176,"")</f>
        <v/>
      </c>
      <c r="AA1176" s="27">
        <f>IF(ISNUMBER($W1176),$A1176&amp;"|"&amp;$W1176,"")</f>
        <v/>
      </c>
      <c r="AB1176" s="27">
        <f>IF(ISNUMBER($F1176),$A1176&amp;"|"&amp;$F1176,"")</f>
        <v/>
      </c>
      <c r="AC1176" s="27">
        <f>IF(ISNUMBER($P1176),COUNTIFS($A$14:$A$1213,$A1176,$P$14:$P$1213,"&gt;"&amp;$P1176)+(COUNTIFS($A$14:$A$1213,$A1176,$P$14:$P$1213,"="&amp;$P1176)+1)/2,"")</f>
        <v/>
      </c>
      <c r="AD1176" s="27">
        <f>IF(ISNUMBER($Q1176),COUNTIFS($A$14:$A$1213,$A1176,$Q$14:$Q$1213,"&gt;"&amp;$Q1176)+(COUNTIFS($A$14:$A$1213,$A1176,$Q$14:$Q$1213,"="&amp;$Q1176)+1)/2,"")</f>
        <v/>
      </c>
      <c r="AE1176" s="27">
        <f>IF(ISNUMBER($R1176),COUNTIFS($A$14:$A$1213,$A1176,$R$14:$R$1213,"&gt;"&amp;$R1176)+(COUNTIFS($A$14:$A$1213,$A1176,$R$14:$R$1213,"="&amp;$R1176)+1)/2,"")</f>
        <v/>
      </c>
      <c r="AF1176" s="27">
        <f>IF(ISNUMBER($S1176),COUNTIFS($A$14:$A$1213,$A1176,$S$14:$S$1213,"&gt;"&amp;$S1176)+(COUNTIFS($A$14:$A$1213,$A1176,$S$14:$S$1213,"="&amp;$S1176)+1)/2,"")</f>
        <v/>
      </c>
      <c r="AG1176" s="27">
        <f>IF(ISNUMBER($T1176),COUNTIFS($A$14:$A$1213,$A1176,$T$14:$T$1213,"&gt;"&amp;$T1176)+(COUNTIFS($A$14:$A$1213,$A1176,$T$14:$T$1213,"="&amp;$T1176)+1)/2,"")</f>
        <v/>
      </c>
      <c r="AH1176" s="27">
        <f>IF(COUNT($AC1176:$AG1176)&lt;2,"",IF(MAX($AC1176:$AG1176)=MIN($AC1176:$AG1176),0,1))</f>
        <v/>
      </c>
      <c r="AI1176" s="27">
        <f>IF($A1176="","",IF(COUNTIF($A$14:$A1176,$A1176)=1,COUNTIF($AI$13:AI1175,"&gt;0")+1,""))</f>
        <v/>
      </c>
      <c r="AO1176" s="27">
        <f>IF($A1176="","",IF(AND(COUNTIFS($A$14:$A$1213,$A1176,$F$14:$F$1213,"&gt;=0")=2,IFERROR(INDEX($M$14:$M$313,MATCH($A1176,$H$14:$H$313,0)),"Yes")&lt;&gt;"Yes"),1,0))</f>
        <v/>
      </c>
    </row>
    <row r="1177">
      <c r="A1177" s="19" t="n"/>
      <c r="B1177" s="20" t="n"/>
      <c r="C1177" s="21">
        <f>IFERROR(AVERAGE(P1177:T1177),"")</f>
        <v/>
      </c>
      <c r="D1177" s="29" t="n"/>
      <c r="E1177" s="29" t="n"/>
      <c r="F1177" s="30">
        <f>IF(AND(ISNUMBER($D1177),ISNUMBER($E1177),$E1177&gt;0,$D1177&lt;=$E1177),$D1177/$E1177,"")</f>
        <v/>
      </c>
      <c r="P1177" s="26" t="n"/>
      <c r="Q1177" s="26" t="n"/>
      <c r="R1177" s="26" t="n"/>
      <c r="S1177" s="26" t="n"/>
      <c r="T1177" s="26" t="n"/>
      <c r="V1177" s="27">
        <f>IF(ISNUMBER($C1177),COUNTIFS($A$14:$A$1213,$A1177,$C$14:$C$1213,"&gt;"&amp;$C1177)+(COUNTIFS($A$14:$A$1213,$A1177,$C$14:$C$1213,"="&amp;$C1177)+1)/2,"")</f>
        <v/>
      </c>
      <c r="W1177" s="27">
        <f>IF(ISNUMBER($F1177),COUNTIFS($A$14:$A$1213,$A1177,$F$14:$F$1213,"&gt;"&amp;$F1177)+(COUNTIFS($A$14:$A$1213,$A1177,$F$14:$F$1213,"="&amp;$F1177)+1)/2,"")</f>
        <v/>
      </c>
      <c r="X1177" s="27">
        <f>IF(OR(NOT(ISNUMBER($V1177)),$AO1177=1),"",$V1177-(COUNTIFS($A$14:$A$1213,$A1177,$C$14:$C$1213,"&gt;=0")+1)/2)</f>
        <v/>
      </c>
      <c r="Y1177" s="27">
        <f>IF(OR(NOT(ISNUMBER($W1177)),$AO1177=1),"",$W1177-(COUNTIFS($A$14:$A$1213,$A1177,$F$14:$F$1213,"&gt;=0")+1)/2)</f>
        <v/>
      </c>
      <c r="Z1177" s="27">
        <f>IF(ISNUMBER($V1177),$A1177&amp;"|"&amp;$V1177,"")</f>
        <v/>
      </c>
      <c r="AA1177" s="27">
        <f>IF(ISNUMBER($W1177),$A1177&amp;"|"&amp;$W1177,"")</f>
        <v/>
      </c>
      <c r="AB1177" s="27">
        <f>IF(ISNUMBER($F1177),$A1177&amp;"|"&amp;$F1177,"")</f>
        <v/>
      </c>
      <c r="AC1177" s="27">
        <f>IF(ISNUMBER($P1177),COUNTIFS($A$14:$A$1213,$A1177,$P$14:$P$1213,"&gt;"&amp;$P1177)+(COUNTIFS($A$14:$A$1213,$A1177,$P$14:$P$1213,"="&amp;$P1177)+1)/2,"")</f>
        <v/>
      </c>
      <c r="AD1177" s="27">
        <f>IF(ISNUMBER($Q1177),COUNTIFS($A$14:$A$1213,$A1177,$Q$14:$Q$1213,"&gt;"&amp;$Q1177)+(COUNTIFS($A$14:$A$1213,$A1177,$Q$14:$Q$1213,"="&amp;$Q1177)+1)/2,"")</f>
        <v/>
      </c>
      <c r="AE1177" s="27">
        <f>IF(ISNUMBER($R1177),COUNTIFS($A$14:$A$1213,$A1177,$R$14:$R$1213,"&gt;"&amp;$R1177)+(COUNTIFS($A$14:$A$1213,$A1177,$R$14:$R$1213,"="&amp;$R1177)+1)/2,"")</f>
        <v/>
      </c>
      <c r="AF1177" s="27">
        <f>IF(ISNUMBER($S1177),COUNTIFS($A$14:$A$1213,$A1177,$S$14:$S$1213,"&gt;"&amp;$S1177)+(COUNTIFS($A$14:$A$1213,$A1177,$S$14:$S$1213,"="&amp;$S1177)+1)/2,"")</f>
        <v/>
      </c>
      <c r="AG1177" s="27">
        <f>IF(ISNUMBER($T1177),COUNTIFS($A$14:$A$1213,$A1177,$T$14:$T$1213,"&gt;"&amp;$T1177)+(COUNTIFS($A$14:$A$1213,$A1177,$T$14:$T$1213,"="&amp;$T1177)+1)/2,"")</f>
        <v/>
      </c>
      <c r="AH1177" s="27">
        <f>IF(COUNT($AC1177:$AG1177)&lt;2,"",IF(MAX($AC1177:$AG1177)=MIN($AC1177:$AG1177),0,1))</f>
        <v/>
      </c>
      <c r="AI1177" s="27">
        <f>IF($A1177="","",IF(COUNTIF($A$14:$A1177,$A1177)=1,COUNTIF($AI$13:AI1176,"&gt;0")+1,""))</f>
        <v/>
      </c>
      <c r="AO1177" s="27">
        <f>IF($A1177="","",IF(AND(COUNTIFS($A$14:$A$1213,$A1177,$F$14:$F$1213,"&gt;=0")=2,IFERROR(INDEX($M$14:$M$313,MATCH($A1177,$H$14:$H$313,0)),"Yes")&lt;&gt;"Yes"),1,0))</f>
        <v/>
      </c>
    </row>
    <row r="1178">
      <c r="A1178" s="19" t="n"/>
      <c r="B1178" s="20" t="n"/>
      <c r="C1178" s="21">
        <f>IFERROR(AVERAGE(P1178:T1178),"")</f>
        <v/>
      </c>
      <c r="D1178" s="29" t="n"/>
      <c r="E1178" s="29" t="n"/>
      <c r="F1178" s="30">
        <f>IF(AND(ISNUMBER($D1178),ISNUMBER($E1178),$E1178&gt;0,$D1178&lt;=$E1178),$D1178/$E1178,"")</f>
        <v/>
      </c>
      <c r="P1178" s="26" t="n"/>
      <c r="Q1178" s="26" t="n"/>
      <c r="R1178" s="26" t="n"/>
      <c r="S1178" s="26" t="n"/>
      <c r="T1178" s="26" t="n"/>
      <c r="V1178" s="27">
        <f>IF(ISNUMBER($C1178),COUNTIFS($A$14:$A$1213,$A1178,$C$14:$C$1213,"&gt;"&amp;$C1178)+(COUNTIFS($A$14:$A$1213,$A1178,$C$14:$C$1213,"="&amp;$C1178)+1)/2,"")</f>
        <v/>
      </c>
      <c r="W1178" s="27">
        <f>IF(ISNUMBER($F1178),COUNTIFS($A$14:$A$1213,$A1178,$F$14:$F$1213,"&gt;"&amp;$F1178)+(COUNTIFS($A$14:$A$1213,$A1178,$F$14:$F$1213,"="&amp;$F1178)+1)/2,"")</f>
        <v/>
      </c>
      <c r="X1178" s="27">
        <f>IF(OR(NOT(ISNUMBER($V1178)),$AO1178=1),"",$V1178-(COUNTIFS($A$14:$A$1213,$A1178,$C$14:$C$1213,"&gt;=0")+1)/2)</f>
        <v/>
      </c>
      <c r="Y1178" s="27">
        <f>IF(OR(NOT(ISNUMBER($W1178)),$AO1178=1),"",$W1178-(COUNTIFS($A$14:$A$1213,$A1178,$F$14:$F$1213,"&gt;=0")+1)/2)</f>
        <v/>
      </c>
      <c r="Z1178" s="27">
        <f>IF(ISNUMBER($V1178),$A1178&amp;"|"&amp;$V1178,"")</f>
        <v/>
      </c>
      <c r="AA1178" s="27">
        <f>IF(ISNUMBER($W1178),$A1178&amp;"|"&amp;$W1178,"")</f>
        <v/>
      </c>
      <c r="AB1178" s="27">
        <f>IF(ISNUMBER($F1178),$A1178&amp;"|"&amp;$F1178,"")</f>
        <v/>
      </c>
      <c r="AC1178" s="27">
        <f>IF(ISNUMBER($P1178),COUNTIFS($A$14:$A$1213,$A1178,$P$14:$P$1213,"&gt;"&amp;$P1178)+(COUNTIFS($A$14:$A$1213,$A1178,$P$14:$P$1213,"="&amp;$P1178)+1)/2,"")</f>
        <v/>
      </c>
      <c r="AD1178" s="27">
        <f>IF(ISNUMBER($Q1178),COUNTIFS($A$14:$A$1213,$A1178,$Q$14:$Q$1213,"&gt;"&amp;$Q1178)+(COUNTIFS($A$14:$A$1213,$A1178,$Q$14:$Q$1213,"="&amp;$Q1178)+1)/2,"")</f>
        <v/>
      </c>
      <c r="AE1178" s="27">
        <f>IF(ISNUMBER($R1178),COUNTIFS($A$14:$A$1213,$A1178,$R$14:$R$1213,"&gt;"&amp;$R1178)+(COUNTIFS($A$14:$A$1213,$A1178,$R$14:$R$1213,"="&amp;$R1178)+1)/2,"")</f>
        <v/>
      </c>
      <c r="AF1178" s="27">
        <f>IF(ISNUMBER($S1178),COUNTIFS($A$14:$A$1213,$A1178,$S$14:$S$1213,"&gt;"&amp;$S1178)+(COUNTIFS($A$14:$A$1213,$A1178,$S$14:$S$1213,"="&amp;$S1178)+1)/2,"")</f>
        <v/>
      </c>
      <c r="AG1178" s="27">
        <f>IF(ISNUMBER($T1178),COUNTIFS($A$14:$A$1213,$A1178,$T$14:$T$1213,"&gt;"&amp;$T1178)+(COUNTIFS($A$14:$A$1213,$A1178,$T$14:$T$1213,"="&amp;$T1178)+1)/2,"")</f>
        <v/>
      </c>
      <c r="AH1178" s="27">
        <f>IF(COUNT($AC1178:$AG1178)&lt;2,"",IF(MAX($AC1178:$AG1178)=MIN($AC1178:$AG1178),0,1))</f>
        <v/>
      </c>
      <c r="AI1178" s="27">
        <f>IF($A1178="","",IF(COUNTIF($A$14:$A1178,$A1178)=1,COUNTIF($AI$13:AI1177,"&gt;0")+1,""))</f>
        <v/>
      </c>
      <c r="AO1178" s="27">
        <f>IF($A1178="","",IF(AND(COUNTIFS($A$14:$A$1213,$A1178,$F$14:$F$1213,"&gt;=0")=2,IFERROR(INDEX($M$14:$M$313,MATCH($A1178,$H$14:$H$313,0)),"Yes")&lt;&gt;"Yes"),1,0))</f>
        <v/>
      </c>
    </row>
    <row r="1179">
      <c r="A1179" s="19" t="n"/>
      <c r="B1179" s="20" t="n"/>
      <c r="C1179" s="21">
        <f>IFERROR(AVERAGE(P1179:T1179),"")</f>
        <v/>
      </c>
      <c r="D1179" s="29" t="n"/>
      <c r="E1179" s="29" t="n"/>
      <c r="F1179" s="30">
        <f>IF(AND(ISNUMBER($D1179),ISNUMBER($E1179),$E1179&gt;0,$D1179&lt;=$E1179),$D1179/$E1179,"")</f>
        <v/>
      </c>
      <c r="P1179" s="26" t="n"/>
      <c r="Q1179" s="26" t="n"/>
      <c r="R1179" s="26" t="n"/>
      <c r="S1179" s="26" t="n"/>
      <c r="T1179" s="26" t="n"/>
      <c r="V1179" s="27">
        <f>IF(ISNUMBER($C1179),COUNTIFS($A$14:$A$1213,$A1179,$C$14:$C$1213,"&gt;"&amp;$C1179)+(COUNTIFS($A$14:$A$1213,$A1179,$C$14:$C$1213,"="&amp;$C1179)+1)/2,"")</f>
        <v/>
      </c>
      <c r="W1179" s="27">
        <f>IF(ISNUMBER($F1179),COUNTIFS($A$14:$A$1213,$A1179,$F$14:$F$1213,"&gt;"&amp;$F1179)+(COUNTIFS($A$14:$A$1213,$A1179,$F$14:$F$1213,"="&amp;$F1179)+1)/2,"")</f>
        <v/>
      </c>
      <c r="X1179" s="27">
        <f>IF(OR(NOT(ISNUMBER($V1179)),$AO1179=1),"",$V1179-(COUNTIFS($A$14:$A$1213,$A1179,$C$14:$C$1213,"&gt;=0")+1)/2)</f>
        <v/>
      </c>
      <c r="Y1179" s="27">
        <f>IF(OR(NOT(ISNUMBER($W1179)),$AO1179=1),"",$W1179-(COUNTIFS($A$14:$A$1213,$A1179,$F$14:$F$1213,"&gt;=0")+1)/2)</f>
        <v/>
      </c>
      <c r="Z1179" s="27">
        <f>IF(ISNUMBER($V1179),$A1179&amp;"|"&amp;$V1179,"")</f>
        <v/>
      </c>
      <c r="AA1179" s="27">
        <f>IF(ISNUMBER($W1179),$A1179&amp;"|"&amp;$W1179,"")</f>
        <v/>
      </c>
      <c r="AB1179" s="27">
        <f>IF(ISNUMBER($F1179),$A1179&amp;"|"&amp;$F1179,"")</f>
        <v/>
      </c>
      <c r="AC1179" s="27">
        <f>IF(ISNUMBER($P1179),COUNTIFS($A$14:$A$1213,$A1179,$P$14:$P$1213,"&gt;"&amp;$P1179)+(COUNTIFS($A$14:$A$1213,$A1179,$P$14:$P$1213,"="&amp;$P1179)+1)/2,"")</f>
        <v/>
      </c>
      <c r="AD1179" s="27">
        <f>IF(ISNUMBER($Q1179),COUNTIFS($A$14:$A$1213,$A1179,$Q$14:$Q$1213,"&gt;"&amp;$Q1179)+(COUNTIFS($A$14:$A$1213,$A1179,$Q$14:$Q$1213,"="&amp;$Q1179)+1)/2,"")</f>
        <v/>
      </c>
      <c r="AE1179" s="27">
        <f>IF(ISNUMBER($R1179),COUNTIFS($A$14:$A$1213,$A1179,$R$14:$R$1213,"&gt;"&amp;$R1179)+(COUNTIFS($A$14:$A$1213,$A1179,$R$14:$R$1213,"="&amp;$R1179)+1)/2,"")</f>
        <v/>
      </c>
      <c r="AF1179" s="27">
        <f>IF(ISNUMBER($S1179),COUNTIFS($A$14:$A$1213,$A1179,$S$14:$S$1213,"&gt;"&amp;$S1179)+(COUNTIFS($A$14:$A$1213,$A1179,$S$14:$S$1213,"="&amp;$S1179)+1)/2,"")</f>
        <v/>
      </c>
      <c r="AG1179" s="27">
        <f>IF(ISNUMBER($T1179),COUNTIFS($A$14:$A$1213,$A1179,$T$14:$T$1213,"&gt;"&amp;$T1179)+(COUNTIFS($A$14:$A$1213,$A1179,$T$14:$T$1213,"="&amp;$T1179)+1)/2,"")</f>
        <v/>
      </c>
      <c r="AH1179" s="27">
        <f>IF(COUNT($AC1179:$AG1179)&lt;2,"",IF(MAX($AC1179:$AG1179)=MIN($AC1179:$AG1179),0,1))</f>
        <v/>
      </c>
      <c r="AI1179" s="27">
        <f>IF($A1179="","",IF(COUNTIF($A$14:$A1179,$A1179)=1,COUNTIF($AI$13:AI1178,"&gt;0")+1,""))</f>
        <v/>
      </c>
      <c r="AO1179" s="27">
        <f>IF($A1179="","",IF(AND(COUNTIFS($A$14:$A$1213,$A1179,$F$14:$F$1213,"&gt;=0")=2,IFERROR(INDEX($M$14:$M$313,MATCH($A1179,$H$14:$H$313,0)),"Yes")&lt;&gt;"Yes"),1,0))</f>
        <v/>
      </c>
    </row>
    <row r="1180">
      <c r="A1180" s="19" t="n"/>
      <c r="B1180" s="20" t="n"/>
      <c r="C1180" s="21">
        <f>IFERROR(AVERAGE(P1180:T1180),"")</f>
        <v/>
      </c>
      <c r="D1180" s="29" t="n"/>
      <c r="E1180" s="29" t="n"/>
      <c r="F1180" s="30">
        <f>IF(AND(ISNUMBER($D1180),ISNUMBER($E1180),$E1180&gt;0,$D1180&lt;=$E1180),$D1180/$E1180,"")</f>
        <v/>
      </c>
      <c r="P1180" s="26" t="n"/>
      <c r="Q1180" s="26" t="n"/>
      <c r="R1180" s="26" t="n"/>
      <c r="S1180" s="26" t="n"/>
      <c r="T1180" s="26" t="n"/>
      <c r="V1180" s="27">
        <f>IF(ISNUMBER($C1180),COUNTIFS($A$14:$A$1213,$A1180,$C$14:$C$1213,"&gt;"&amp;$C1180)+(COUNTIFS($A$14:$A$1213,$A1180,$C$14:$C$1213,"="&amp;$C1180)+1)/2,"")</f>
        <v/>
      </c>
      <c r="W1180" s="27">
        <f>IF(ISNUMBER($F1180),COUNTIFS($A$14:$A$1213,$A1180,$F$14:$F$1213,"&gt;"&amp;$F1180)+(COUNTIFS($A$14:$A$1213,$A1180,$F$14:$F$1213,"="&amp;$F1180)+1)/2,"")</f>
        <v/>
      </c>
      <c r="X1180" s="27">
        <f>IF(OR(NOT(ISNUMBER($V1180)),$AO1180=1),"",$V1180-(COUNTIFS($A$14:$A$1213,$A1180,$C$14:$C$1213,"&gt;=0")+1)/2)</f>
        <v/>
      </c>
      <c r="Y1180" s="27">
        <f>IF(OR(NOT(ISNUMBER($W1180)),$AO1180=1),"",$W1180-(COUNTIFS($A$14:$A$1213,$A1180,$F$14:$F$1213,"&gt;=0")+1)/2)</f>
        <v/>
      </c>
      <c r="Z1180" s="27">
        <f>IF(ISNUMBER($V1180),$A1180&amp;"|"&amp;$V1180,"")</f>
        <v/>
      </c>
      <c r="AA1180" s="27">
        <f>IF(ISNUMBER($W1180),$A1180&amp;"|"&amp;$W1180,"")</f>
        <v/>
      </c>
      <c r="AB1180" s="27">
        <f>IF(ISNUMBER($F1180),$A1180&amp;"|"&amp;$F1180,"")</f>
        <v/>
      </c>
      <c r="AC1180" s="27">
        <f>IF(ISNUMBER($P1180),COUNTIFS($A$14:$A$1213,$A1180,$P$14:$P$1213,"&gt;"&amp;$P1180)+(COUNTIFS($A$14:$A$1213,$A1180,$P$14:$P$1213,"="&amp;$P1180)+1)/2,"")</f>
        <v/>
      </c>
      <c r="AD1180" s="27">
        <f>IF(ISNUMBER($Q1180),COUNTIFS($A$14:$A$1213,$A1180,$Q$14:$Q$1213,"&gt;"&amp;$Q1180)+(COUNTIFS($A$14:$A$1213,$A1180,$Q$14:$Q$1213,"="&amp;$Q1180)+1)/2,"")</f>
        <v/>
      </c>
      <c r="AE1180" s="27">
        <f>IF(ISNUMBER($R1180),COUNTIFS($A$14:$A$1213,$A1180,$R$14:$R$1213,"&gt;"&amp;$R1180)+(COUNTIFS($A$14:$A$1213,$A1180,$R$14:$R$1213,"="&amp;$R1180)+1)/2,"")</f>
        <v/>
      </c>
      <c r="AF1180" s="27">
        <f>IF(ISNUMBER($S1180),COUNTIFS($A$14:$A$1213,$A1180,$S$14:$S$1213,"&gt;"&amp;$S1180)+(COUNTIFS($A$14:$A$1213,$A1180,$S$14:$S$1213,"="&amp;$S1180)+1)/2,"")</f>
        <v/>
      </c>
      <c r="AG1180" s="27">
        <f>IF(ISNUMBER($T1180),COUNTIFS($A$14:$A$1213,$A1180,$T$14:$T$1213,"&gt;"&amp;$T1180)+(COUNTIFS($A$14:$A$1213,$A1180,$T$14:$T$1213,"="&amp;$T1180)+1)/2,"")</f>
        <v/>
      </c>
      <c r="AH1180" s="27">
        <f>IF(COUNT($AC1180:$AG1180)&lt;2,"",IF(MAX($AC1180:$AG1180)=MIN($AC1180:$AG1180),0,1))</f>
        <v/>
      </c>
      <c r="AI1180" s="27">
        <f>IF($A1180="","",IF(COUNTIF($A$14:$A1180,$A1180)=1,COUNTIF($AI$13:AI1179,"&gt;0")+1,""))</f>
        <v/>
      </c>
      <c r="AO1180" s="27">
        <f>IF($A1180="","",IF(AND(COUNTIFS($A$14:$A$1213,$A1180,$F$14:$F$1213,"&gt;=0")=2,IFERROR(INDEX($M$14:$M$313,MATCH($A1180,$H$14:$H$313,0)),"Yes")&lt;&gt;"Yes"),1,0))</f>
        <v/>
      </c>
    </row>
    <row r="1181">
      <c r="A1181" s="19" t="n"/>
      <c r="B1181" s="20" t="n"/>
      <c r="C1181" s="21">
        <f>IFERROR(AVERAGE(P1181:T1181),"")</f>
        <v/>
      </c>
      <c r="D1181" s="29" t="n"/>
      <c r="E1181" s="29" t="n"/>
      <c r="F1181" s="30">
        <f>IF(AND(ISNUMBER($D1181),ISNUMBER($E1181),$E1181&gt;0,$D1181&lt;=$E1181),$D1181/$E1181,"")</f>
        <v/>
      </c>
      <c r="P1181" s="26" t="n"/>
      <c r="Q1181" s="26" t="n"/>
      <c r="R1181" s="26" t="n"/>
      <c r="S1181" s="26" t="n"/>
      <c r="T1181" s="26" t="n"/>
      <c r="V1181" s="27">
        <f>IF(ISNUMBER($C1181),COUNTIFS($A$14:$A$1213,$A1181,$C$14:$C$1213,"&gt;"&amp;$C1181)+(COUNTIFS($A$14:$A$1213,$A1181,$C$14:$C$1213,"="&amp;$C1181)+1)/2,"")</f>
        <v/>
      </c>
      <c r="W1181" s="27">
        <f>IF(ISNUMBER($F1181),COUNTIFS($A$14:$A$1213,$A1181,$F$14:$F$1213,"&gt;"&amp;$F1181)+(COUNTIFS($A$14:$A$1213,$A1181,$F$14:$F$1213,"="&amp;$F1181)+1)/2,"")</f>
        <v/>
      </c>
      <c r="X1181" s="27">
        <f>IF(OR(NOT(ISNUMBER($V1181)),$AO1181=1),"",$V1181-(COUNTIFS($A$14:$A$1213,$A1181,$C$14:$C$1213,"&gt;=0")+1)/2)</f>
        <v/>
      </c>
      <c r="Y1181" s="27">
        <f>IF(OR(NOT(ISNUMBER($W1181)),$AO1181=1),"",$W1181-(COUNTIFS($A$14:$A$1213,$A1181,$F$14:$F$1213,"&gt;=0")+1)/2)</f>
        <v/>
      </c>
      <c r="Z1181" s="27">
        <f>IF(ISNUMBER($V1181),$A1181&amp;"|"&amp;$V1181,"")</f>
        <v/>
      </c>
      <c r="AA1181" s="27">
        <f>IF(ISNUMBER($W1181),$A1181&amp;"|"&amp;$W1181,"")</f>
        <v/>
      </c>
      <c r="AB1181" s="27">
        <f>IF(ISNUMBER($F1181),$A1181&amp;"|"&amp;$F1181,"")</f>
        <v/>
      </c>
      <c r="AC1181" s="27">
        <f>IF(ISNUMBER($P1181),COUNTIFS($A$14:$A$1213,$A1181,$P$14:$P$1213,"&gt;"&amp;$P1181)+(COUNTIFS($A$14:$A$1213,$A1181,$P$14:$P$1213,"="&amp;$P1181)+1)/2,"")</f>
        <v/>
      </c>
      <c r="AD1181" s="27">
        <f>IF(ISNUMBER($Q1181),COUNTIFS($A$14:$A$1213,$A1181,$Q$14:$Q$1213,"&gt;"&amp;$Q1181)+(COUNTIFS($A$14:$A$1213,$A1181,$Q$14:$Q$1213,"="&amp;$Q1181)+1)/2,"")</f>
        <v/>
      </c>
      <c r="AE1181" s="27">
        <f>IF(ISNUMBER($R1181),COUNTIFS($A$14:$A$1213,$A1181,$R$14:$R$1213,"&gt;"&amp;$R1181)+(COUNTIFS($A$14:$A$1213,$A1181,$R$14:$R$1213,"="&amp;$R1181)+1)/2,"")</f>
        <v/>
      </c>
      <c r="AF1181" s="27">
        <f>IF(ISNUMBER($S1181),COUNTIFS($A$14:$A$1213,$A1181,$S$14:$S$1213,"&gt;"&amp;$S1181)+(COUNTIFS($A$14:$A$1213,$A1181,$S$14:$S$1213,"="&amp;$S1181)+1)/2,"")</f>
        <v/>
      </c>
      <c r="AG1181" s="27">
        <f>IF(ISNUMBER($T1181),COUNTIFS($A$14:$A$1213,$A1181,$T$14:$T$1213,"&gt;"&amp;$T1181)+(COUNTIFS($A$14:$A$1213,$A1181,$T$14:$T$1213,"="&amp;$T1181)+1)/2,"")</f>
        <v/>
      </c>
      <c r="AH1181" s="27">
        <f>IF(COUNT($AC1181:$AG1181)&lt;2,"",IF(MAX($AC1181:$AG1181)=MIN($AC1181:$AG1181),0,1))</f>
        <v/>
      </c>
      <c r="AI1181" s="27">
        <f>IF($A1181="","",IF(COUNTIF($A$14:$A1181,$A1181)=1,COUNTIF($AI$13:AI1180,"&gt;0")+1,""))</f>
        <v/>
      </c>
      <c r="AO1181" s="27">
        <f>IF($A1181="","",IF(AND(COUNTIFS($A$14:$A$1213,$A1181,$F$14:$F$1213,"&gt;=0")=2,IFERROR(INDEX($M$14:$M$313,MATCH($A1181,$H$14:$H$313,0)),"Yes")&lt;&gt;"Yes"),1,0))</f>
        <v/>
      </c>
    </row>
    <row r="1182">
      <c r="A1182" s="19" t="n"/>
      <c r="B1182" s="20" t="n"/>
      <c r="C1182" s="21">
        <f>IFERROR(AVERAGE(P1182:T1182),"")</f>
        <v/>
      </c>
      <c r="D1182" s="29" t="n"/>
      <c r="E1182" s="29" t="n"/>
      <c r="F1182" s="30">
        <f>IF(AND(ISNUMBER($D1182),ISNUMBER($E1182),$E1182&gt;0,$D1182&lt;=$E1182),$D1182/$E1182,"")</f>
        <v/>
      </c>
      <c r="P1182" s="26" t="n"/>
      <c r="Q1182" s="26" t="n"/>
      <c r="R1182" s="26" t="n"/>
      <c r="S1182" s="26" t="n"/>
      <c r="T1182" s="26" t="n"/>
      <c r="V1182" s="27">
        <f>IF(ISNUMBER($C1182),COUNTIFS($A$14:$A$1213,$A1182,$C$14:$C$1213,"&gt;"&amp;$C1182)+(COUNTIFS($A$14:$A$1213,$A1182,$C$14:$C$1213,"="&amp;$C1182)+1)/2,"")</f>
        <v/>
      </c>
      <c r="W1182" s="27">
        <f>IF(ISNUMBER($F1182),COUNTIFS($A$14:$A$1213,$A1182,$F$14:$F$1213,"&gt;"&amp;$F1182)+(COUNTIFS($A$14:$A$1213,$A1182,$F$14:$F$1213,"="&amp;$F1182)+1)/2,"")</f>
        <v/>
      </c>
      <c r="X1182" s="27">
        <f>IF(OR(NOT(ISNUMBER($V1182)),$AO1182=1),"",$V1182-(COUNTIFS($A$14:$A$1213,$A1182,$C$14:$C$1213,"&gt;=0")+1)/2)</f>
        <v/>
      </c>
      <c r="Y1182" s="27">
        <f>IF(OR(NOT(ISNUMBER($W1182)),$AO1182=1),"",$W1182-(COUNTIFS($A$14:$A$1213,$A1182,$F$14:$F$1213,"&gt;=0")+1)/2)</f>
        <v/>
      </c>
      <c r="Z1182" s="27">
        <f>IF(ISNUMBER($V1182),$A1182&amp;"|"&amp;$V1182,"")</f>
        <v/>
      </c>
      <c r="AA1182" s="27">
        <f>IF(ISNUMBER($W1182),$A1182&amp;"|"&amp;$W1182,"")</f>
        <v/>
      </c>
      <c r="AB1182" s="27">
        <f>IF(ISNUMBER($F1182),$A1182&amp;"|"&amp;$F1182,"")</f>
        <v/>
      </c>
      <c r="AC1182" s="27">
        <f>IF(ISNUMBER($P1182),COUNTIFS($A$14:$A$1213,$A1182,$P$14:$P$1213,"&gt;"&amp;$P1182)+(COUNTIFS($A$14:$A$1213,$A1182,$P$14:$P$1213,"="&amp;$P1182)+1)/2,"")</f>
        <v/>
      </c>
      <c r="AD1182" s="27">
        <f>IF(ISNUMBER($Q1182),COUNTIFS($A$14:$A$1213,$A1182,$Q$14:$Q$1213,"&gt;"&amp;$Q1182)+(COUNTIFS($A$14:$A$1213,$A1182,$Q$14:$Q$1213,"="&amp;$Q1182)+1)/2,"")</f>
        <v/>
      </c>
      <c r="AE1182" s="27">
        <f>IF(ISNUMBER($R1182),COUNTIFS($A$14:$A$1213,$A1182,$R$14:$R$1213,"&gt;"&amp;$R1182)+(COUNTIFS($A$14:$A$1213,$A1182,$R$14:$R$1213,"="&amp;$R1182)+1)/2,"")</f>
        <v/>
      </c>
      <c r="AF1182" s="27">
        <f>IF(ISNUMBER($S1182),COUNTIFS($A$14:$A$1213,$A1182,$S$14:$S$1213,"&gt;"&amp;$S1182)+(COUNTIFS($A$14:$A$1213,$A1182,$S$14:$S$1213,"="&amp;$S1182)+1)/2,"")</f>
        <v/>
      </c>
      <c r="AG1182" s="27">
        <f>IF(ISNUMBER($T1182),COUNTIFS($A$14:$A$1213,$A1182,$T$14:$T$1213,"&gt;"&amp;$T1182)+(COUNTIFS($A$14:$A$1213,$A1182,$T$14:$T$1213,"="&amp;$T1182)+1)/2,"")</f>
        <v/>
      </c>
      <c r="AH1182" s="27">
        <f>IF(COUNT($AC1182:$AG1182)&lt;2,"",IF(MAX($AC1182:$AG1182)=MIN($AC1182:$AG1182),0,1))</f>
        <v/>
      </c>
      <c r="AI1182" s="27">
        <f>IF($A1182="","",IF(COUNTIF($A$14:$A1182,$A1182)=1,COUNTIF($AI$13:AI1181,"&gt;0")+1,""))</f>
        <v/>
      </c>
      <c r="AO1182" s="27">
        <f>IF($A1182="","",IF(AND(COUNTIFS($A$14:$A$1213,$A1182,$F$14:$F$1213,"&gt;=0")=2,IFERROR(INDEX($M$14:$M$313,MATCH($A1182,$H$14:$H$313,0)),"Yes")&lt;&gt;"Yes"),1,0))</f>
        <v/>
      </c>
    </row>
    <row r="1183">
      <c r="A1183" s="19" t="n"/>
      <c r="B1183" s="20" t="n"/>
      <c r="C1183" s="21">
        <f>IFERROR(AVERAGE(P1183:T1183),"")</f>
        <v/>
      </c>
      <c r="D1183" s="29" t="n"/>
      <c r="E1183" s="29" t="n"/>
      <c r="F1183" s="30">
        <f>IF(AND(ISNUMBER($D1183),ISNUMBER($E1183),$E1183&gt;0,$D1183&lt;=$E1183),$D1183/$E1183,"")</f>
        <v/>
      </c>
      <c r="P1183" s="26" t="n"/>
      <c r="Q1183" s="26" t="n"/>
      <c r="R1183" s="26" t="n"/>
      <c r="S1183" s="26" t="n"/>
      <c r="T1183" s="26" t="n"/>
      <c r="V1183" s="27">
        <f>IF(ISNUMBER($C1183),COUNTIFS($A$14:$A$1213,$A1183,$C$14:$C$1213,"&gt;"&amp;$C1183)+(COUNTIFS($A$14:$A$1213,$A1183,$C$14:$C$1213,"="&amp;$C1183)+1)/2,"")</f>
        <v/>
      </c>
      <c r="W1183" s="27">
        <f>IF(ISNUMBER($F1183),COUNTIFS($A$14:$A$1213,$A1183,$F$14:$F$1213,"&gt;"&amp;$F1183)+(COUNTIFS($A$14:$A$1213,$A1183,$F$14:$F$1213,"="&amp;$F1183)+1)/2,"")</f>
        <v/>
      </c>
      <c r="X1183" s="27">
        <f>IF(OR(NOT(ISNUMBER($V1183)),$AO1183=1),"",$V1183-(COUNTIFS($A$14:$A$1213,$A1183,$C$14:$C$1213,"&gt;=0")+1)/2)</f>
        <v/>
      </c>
      <c r="Y1183" s="27">
        <f>IF(OR(NOT(ISNUMBER($W1183)),$AO1183=1),"",$W1183-(COUNTIFS($A$14:$A$1213,$A1183,$F$14:$F$1213,"&gt;=0")+1)/2)</f>
        <v/>
      </c>
      <c r="Z1183" s="27">
        <f>IF(ISNUMBER($V1183),$A1183&amp;"|"&amp;$V1183,"")</f>
        <v/>
      </c>
      <c r="AA1183" s="27">
        <f>IF(ISNUMBER($W1183),$A1183&amp;"|"&amp;$W1183,"")</f>
        <v/>
      </c>
      <c r="AB1183" s="27">
        <f>IF(ISNUMBER($F1183),$A1183&amp;"|"&amp;$F1183,"")</f>
        <v/>
      </c>
      <c r="AC1183" s="27">
        <f>IF(ISNUMBER($P1183),COUNTIFS($A$14:$A$1213,$A1183,$P$14:$P$1213,"&gt;"&amp;$P1183)+(COUNTIFS($A$14:$A$1213,$A1183,$P$14:$P$1213,"="&amp;$P1183)+1)/2,"")</f>
        <v/>
      </c>
      <c r="AD1183" s="27">
        <f>IF(ISNUMBER($Q1183),COUNTIFS($A$14:$A$1213,$A1183,$Q$14:$Q$1213,"&gt;"&amp;$Q1183)+(COUNTIFS($A$14:$A$1213,$A1183,$Q$14:$Q$1213,"="&amp;$Q1183)+1)/2,"")</f>
        <v/>
      </c>
      <c r="AE1183" s="27">
        <f>IF(ISNUMBER($R1183),COUNTIFS($A$14:$A$1213,$A1183,$R$14:$R$1213,"&gt;"&amp;$R1183)+(COUNTIFS($A$14:$A$1213,$A1183,$R$14:$R$1213,"="&amp;$R1183)+1)/2,"")</f>
        <v/>
      </c>
      <c r="AF1183" s="27">
        <f>IF(ISNUMBER($S1183),COUNTIFS($A$14:$A$1213,$A1183,$S$14:$S$1213,"&gt;"&amp;$S1183)+(COUNTIFS($A$14:$A$1213,$A1183,$S$14:$S$1213,"="&amp;$S1183)+1)/2,"")</f>
        <v/>
      </c>
      <c r="AG1183" s="27">
        <f>IF(ISNUMBER($T1183),COUNTIFS($A$14:$A$1213,$A1183,$T$14:$T$1213,"&gt;"&amp;$T1183)+(COUNTIFS($A$14:$A$1213,$A1183,$T$14:$T$1213,"="&amp;$T1183)+1)/2,"")</f>
        <v/>
      </c>
      <c r="AH1183" s="27">
        <f>IF(COUNT($AC1183:$AG1183)&lt;2,"",IF(MAX($AC1183:$AG1183)=MIN($AC1183:$AG1183),0,1))</f>
        <v/>
      </c>
      <c r="AI1183" s="27">
        <f>IF($A1183="","",IF(COUNTIF($A$14:$A1183,$A1183)=1,COUNTIF($AI$13:AI1182,"&gt;0")+1,""))</f>
        <v/>
      </c>
      <c r="AO1183" s="27">
        <f>IF($A1183="","",IF(AND(COUNTIFS($A$14:$A$1213,$A1183,$F$14:$F$1213,"&gt;=0")=2,IFERROR(INDEX($M$14:$M$313,MATCH($A1183,$H$14:$H$313,0)),"Yes")&lt;&gt;"Yes"),1,0))</f>
        <v/>
      </c>
    </row>
    <row r="1184">
      <c r="A1184" s="19" t="n"/>
      <c r="B1184" s="20" t="n"/>
      <c r="C1184" s="21">
        <f>IFERROR(AVERAGE(P1184:T1184),"")</f>
        <v/>
      </c>
      <c r="D1184" s="29" t="n"/>
      <c r="E1184" s="29" t="n"/>
      <c r="F1184" s="30">
        <f>IF(AND(ISNUMBER($D1184),ISNUMBER($E1184),$E1184&gt;0,$D1184&lt;=$E1184),$D1184/$E1184,"")</f>
        <v/>
      </c>
      <c r="P1184" s="26" t="n"/>
      <c r="Q1184" s="26" t="n"/>
      <c r="R1184" s="26" t="n"/>
      <c r="S1184" s="26" t="n"/>
      <c r="T1184" s="26" t="n"/>
      <c r="V1184" s="27">
        <f>IF(ISNUMBER($C1184),COUNTIFS($A$14:$A$1213,$A1184,$C$14:$C$1213,"&gt;"&amp;$C1184)+(COUNTIFS($A$14:$A$1213,$A1184,$C$14:$C$1213,"="&amp;$C1184)+1)/2,"")</f>
        <v/>
      </c>
      <c r="W1184" s="27">
        <f>IF(ISNUMBER($F1184),COUNTIFS($A$14:$A$1213,$A1184,$F$14:$F$1213,"&gt;"&amp;$F1184)+(COUNTIFS($A$14:$A$1213,$A1184,$F$14:$F$1213,"="&amp;$F1184)+1)/2,"")</f>
        <v/>
      </c>
      <c r="X1184" s="27">
        <f>IF(OR(NOT(ISNUMBER($V1184)),$AO1184=1),"",$V1184-(COUNTIFS($A$14:$A$1213,$A1184,$C$14:$C$1213,"&gt;=0")+1)/2)</f>
        <v/>
      </c>
      <c r="Y1184" s="27">
        <f>IF(OR(NOT(ISNUMBER($W1184)),$AO1184=1),"",$W1184-(COUNTIFS($A$14:$A$1213,$A1184,$F$14:$F$1213,"&gt;=0")+1)/2)</f>
        <v/>
      </c>
      <c r="Z1184" s="27">
        <f>IF(ISNUMBER($V1184),$A1184&amp;"|"&amp;$V1184,"")</f>
        <v/>
      </c>
      <c r="AA1184" s="27">
        <f>IF(ISNUMBER($W1184),$A1184&amp;"|"&amp;$W1184,"")</f>
        <v/>
      </c>
      <c r="AB1184" s="27">
        <f>IF(ISNUMBER($F1184),$A1184&amp;"|"&amp;$F1184,"")</f>
        <v/>
      </c>
      <c r="AC1184" s="27">
        <f>IF(ISNUMBER($P1184),COUNTIFS($A$14:$A$1213,$A1184,$P$14:$P$1213,"&gt;"&amp;$P1184)+(COUNTIFS($A$14:$A$1213,$A1184,$P$14:$P$1213,"="&amp;$P1184)+1)/2,"")</f>
        <v/>
      </c>
      <c r="AD1184" s="27">
        <f>IF(ISNUMBER($Q1184),COUNTIFS($A$14:$A$1213,$A1184,$Q$14:$Q$1213,"&gt;"&amp;$Q1184)+(COUNTIFS($A$14:$A$1213,$A1184,$Q$14:$Q$1213,"="&amp;$Q1184)+1)/2,"")</f>
        <v/>
      </c>
      <c r="AE1184" s="27">
        <f>IF(ISNUMBER($R1184),COUNTIFS($A$14:$A$1213,$A1184,$R$14:$R$1213,"&gt;"&amp;$R1184)+(COUNTIFS($A$14:$A$1213,$A1184,$R$14:$R$1213,"="&amp;$R1184)+1)/2,"")</f>
        <v/>
      </c>
      <c r="AF1184" s="27">
        <f>IF(ISNUMBER($S1184),COUNTIFS($A$14:$A$1213,$A1184,$S$14:$S$1213,"&gt;"&amp;$S1184)+(COUNTIFS($A$14:$A$1213,$A1184,$S$14:$S$1213,"="&amp;$S1184)+1)/2,"")</f>
        <v/>
      </c>
      <c r="AG1184" s="27">
        <f>IF(ISNUMBER($T1184),COUNTIFS($A$14:$A$1213,$A1184,$T$14:$T$1213,"&gt;"&amp;$T1184)+(COUNTIFS($A$14:$A$1213,$A1184,$T$14:$T$1213,"="&amp;$T1184)+1)/2,"")</f>
        <v/>
      </c>
      <c r="AH1184" s="27">
        <f>IF(COUNT($AC1184:$AG1184)&lt;2,"",IF(MAX($AC1184:$AG1184)=MIN($AC1184:$AG1184),0,1))</f>
        <v/>
      </c>
      <c r="AI1184" s="27">
        <f>IF($A1184="","",IF(COUNTIF($A$14:$A1184,$A1184)=1,COUNTIF($AI$13:AI1183,"&gt;0")+1,""))</f>
        <v/>
      </c>
      <c r="AO1184" s="27">
        <f>IF($A1184="","",IF(AND(COUNTIFS($A$14:$A$1213,$A1184,$F$14:$F$1213,"&gt;=0")=2,IFERROR(INDEX($M$14:$M$313,MATCH($A1184,$H$14:$H$313,0)),"Yes")&lt;&gt;"Yes"),1,0))</f>
        <v/>
      </c>
    </row>
    <row r="1185">
      <c r="A1185" s="19" t="n"/>
      <c r="B1185" s="20" t="n"/>
      <c r="C1185" s="21">
        <f>IFERROR(AVERAGE(P1185:T1185),"")</f>
        <v/>
      </c>
      <c r="D1185" s="29" t="n"/>
      <c r="E1185" s="29" t="n"/>
      <c r="F1185" s="30">
        <f>IF(AND(ISNUMBER($D1185),ISNUMBER($E1185),$E1185&gt;0,$D1185&lt;=$E1185),$D1185/$E1185,"")</f>
        <v/>
      </c>
      <c r="P1185" s="26" t="n"/>
      <c r="Q1185" s="26" t="n"/>
      <c r="R1185" s="26" t="n"/>
      <c r="S1185" s="26" t="n"/>
      <c r="T1185" s="26" t="n"/>
      <c r="V1185" s="27">
        <f>IF(ISNUMBER($C1185),COUNTIFS($A$14:$A$1213,$A1185,$C$14:$C$1213,"&gt;"&amp;$C1185)+(COUNTIFS($A$14:$A$1213,$A1185,$C$14:$C$1213,"="&amp;$C1185)+1)/2,"")</f>
        <v/>
      </c>
      <c r="W1185" s="27">
        <f>IF(ISNUMBER($F1185),COUNTIFS($A$14:$A$1213,$A1185,$F$14:$F$1213,"&gt;"&amp;$F1185)+(COUNTIFS($A$14:$A$1213,$A1185,$F$14:$F$1213,"="&amp;$F1185)+1)/2,"")</f>
        <v/>
      </c>
      <c r="X1185" s="27">
        <f>IF(OR(NOT(ISNUMBER($V1185)),$AO1185=1),"",$V1185-(COUNTIFS($A$14:$A$1213,$A1185,$C$14:$C$1213,"&gt;=0")+1)/2)</f>
        <v/>
      </c>
      <c r="Y1185" s="27">
        <f>IF(OR(NOT(ISNUMBER($W1185)),$AO1185=1),"",$W1185-(COUNTIFS($A$14:$A$1213,$A1185,$F$14:$F$1213,"&gt;=0")+1)/2)</f>
        <v/>
      </c>
      <c r="Z1185" s="27">
        <f>IF(ISNUMBER($V1185),$A1185&amp;"|"&amp;$V1185,"")</f>
        <v/>
      </c>
      <c r="AA1185" s="27">
        <f>IF(ISNUMBER($W1185),$A1185&amp;"|"&amp;$W1185,"")</f>
        <v/>
      </c>
      <c r="AB1185" s="27">
        <f>IF(ISNUMBER($F1185),$A1185&amp;"|"&amp;$F1185,"")</f>
        <v/>
      </c>
      <c r="AC1185" s="27">
        <f>IF(ISNUMBER($P1185),COUNTIFS($A$14:$A$1213,$A1185,$P$14:$P$1213,"&gt;"&amp;$P1185)+(COUNTIFS($A$14:$A$1213,$A1185,$P$14:$P$1213,"="&amp;$P1185)+1)/2,"")</f>
        <v/>
      </c>
      <c r="AD1185" s="27">
        <f>IF(ISNUMBER($Q1185),COUNTIFS($A$14:$A$1213,$A1185,$Q$14:$Q$1213,"&gt;"&amp;$Q1185)+(COUNTIFS($A$14:$A$1213,$A1185,$Q$14:$Q$1213,"="&amp;$Q1185)+1)/2,"")</f>
        <v/>
      </c>
      <c r="AE1185" s="27">
        <f>IF(ISNUMBER($R1185),COUNTIFS($A$14:$A$1213,$A1185,$R$14:$R$1213,"&gt;"&amp;$R1185)+(COUNTIFS($A$14:$A$1213,$A1185,$R$14:$R$1213,"="&amp;$R1185)+1)/2,"")</f>
        <v/>
      </c>
      <c r="AF1185" s="27">
        <f>IF(ISNUMBER($S1185),COUNTIFS($A$14:$A$1213,$A1185,$S$14:$S$1213,"&gt;"&amp;$S1185)+(COUNTIFS($A$14:$A$1213,$A1185,$S$14:$S$1213,"="&amp;$S1185)+1)/2,"")</f>
        <v/>
      </c>
      <c r="AG1185" s="27">
        <f>IF(ISNUMBER($T1185),COUNTIFS($A$14:$A$1213,$A1185,$T$14:$T$1213,"&gt;"&amp;$T1185)+(COUNTIFS($A$14:$A$1213,$A1185,$T$14:$T$1213,"="&amp;$T1185)+1)/2,"")</f>
        <v/>
      </c>
      <c r="AH1185" s="27">
        <f>IF(COUNT($AC1185:$AG1185)&lt;2,"",IF(MAX($AC1185:$AG1185)=MIN($AC1185:$AG1185),0,1))</f>
        <v/>
      </c>
      <c r="AI1185" s="27">
        <f>IF($A1185="","",IF(COUNTIF($A$14:$A1185,$A1185)=1,COUNTIF($AI$13:AI1184,"&gt;0")+1,""))</f>
        <v/>
      </c>
      <c r="AO1185" s="27">
        <f>IF($A1185="","",IF(AND(COUNTIFS($A$14:$A$1213,$A1185,$F$14:$F$1213,"&gt;=0")=2,IFERROR(INDEX($M$14:$M$313,MATCH($A1185,$H$14:$H$313,0)),"Yes")&lt;&gt;"Yes"),1,0))</f>
        <v/>
      </c>
    </row>
    <row r="1186">
      <c r="A1186" s="19" t="n"/>
      <c r="B1186" s="20" t="n"/>
      <c r="C1186" s="21">
        <f>IFERROR(AVERAGE(P1186:T1186),"")</f>
        <v/>
      </c>
      <c r="D1186" s="29" t="n"/>
      <c r="E1186" s="29" t="n"/>
      <c r="F1186" s="30">
        <f>IF(AND(ISNUMBER($D1186),ISNUMBER($E1186),$E1186&gt;0,$D1186&lt;=$E1186),$D1186/$E1186,"")</f>
        <v/>
      </c>
      <c r="P1186" s="26" t="n"/>
      <c r="Q1186" s="26" t="n"/>
      <c r="R1186" s="26" t="n"/>
      <c r="S1186" s="26" t="n"/>
      <c r="T1186" s="26" t="n"/>
      <c r="V1186" s="27">
        <f>IF(ISNUMBER($C1186),COUNTIFS($A$14:$A$1213,$A1186,$C$14:$C$1213,"&gt;"&amp;$C1186)+(COUNTIFS($A$14:$A$1213,$A1186,$C$14:$C$1213,"="&amp;$C1186)+1)/2,"")</f>
        <v/>
      </c>
      <c r="W1186" s="27">
        <f>IF(ISNUMBER($F1186),COUNTIFS($A$14:$A$1213,$A1186,$F$14:$F$1213,"&gt;"&amp;$F1186)+(COUNTIFS($A$14:$A$1213,$A1186,$F$14:$F$1213,"="&amp;$F1186)+1)/2,"")</f>
        <v/>
      </c>
      <c r="X1186" s="27">
        <f>IF(OR(NOT(ISNUMBER($V1186)),$AO1186=1),"",$V1186-(COUNTIFS($A$14:$A$1213,$A1186,$C$14:$C$1213,"&gt;=0")+1)/2)</f>
        <v/>
      </c>
      <c r="Y1186" s="27">
        <f>IF(OR(NOT(ISNUMBER($W1186)),$AO1186=1),"",$W1186-(COUNTIFS($A$14:$A$1213,$A1186,$F$14:$F$1213,"&gt;=0")+1)/2)</f>
        <v/>
      </c>
      <c r="Z1186" s="27">
        <f>IF(ISNUMBER($V1186),$A1186&amp;"|"&amp;$V1186,"")</f>
        <v/>
      </c>
      <c r="AA1186" s="27">
        <f>IF(ISNUMBER($W1186),$A1186&amp;"|"&amp;$W1186,"")</f>
        <v/>
      </c>
      <c r="AB1186" s="27">
        <f>IF(ISNUMBER($F1186),$A1186&amp;"|"&amp;$F1186,"")</f>
        <v/>
      </c>
      <c r="AC1186" s="27">
        <f>IF(ISNUMBER($P1186),COUNTIFS($A$14:$A$1213,$A1186,$P$14:$P$1213,"&gt;"&amp;$P1186)+(COUNTIFS($A$14:$A$1213,$A1186,$P$14:$P$1213,"="&amp;$P1186)+1)/2,"")</f>
        <v/>
      </c>
      <c r="AD1186" s="27">
        <f>IF(ISNUMBER($Q1186),COUNTIFS($A$14:$A$1213,$A1186,$Q$14:$Q$1213,"&gt;"&amp;$Q1186)+(COUNTIFS($A$14:$A$1213,$A1186,$Q$14:$Q$1213,"="&amp;$Q1186)+1)/2,"")</f>
        <v/>
      </c>
      <c r="AE1186" s="27">
        <f>IF(ISNUMBER($R1186),COUNTIFS($A$14:$A$1213,$A1186,$R$14:$R$1213,"&gt;"&amp;$R1186)+(COUNTIFS($A$14:$A$1213,$A1186,$R$14:$R$1213,"="&amp;$R1186)+1)/2,"")</f>
        <v/>
      </c>
      <c r="AF1186" s="27">
        <f>IF(ISNUMBER($S1186),COUNTIFS($A$14:$A$1213,$A1186,$S$14:$S$1213,"&gt;"&amp;$S1186)+(COUNTIFS($A$14:$A$1213,$A1186,$S$14:$S$1213,"="&amp;$S1186)+1)/2,"")</f>
        <v/>
      </c>
      <c r="AG1186" s="27">
        <f>IF(ISNUMBER($T1186),COUNTIFS($A$14:$A$1213,$A1186,$T$14:$T$1213,"&gt;"&amp;$T1186)+(COUNTIFS($A$14:$A$1213,$A1186,$T$14:$T$1213,"="&amp;$T1186)+1)/2,"")</f>
        <v/>
      </c>
      <c r="AH1186" s="27">
        <f>IF(COUNT($AC1186:$AG1186)&lt;2,"",IF(MAX($AC1186:$AG1186)=MIN($AC1186:$AG1186),0,1))</f>
        <v/>
      </c>
      <c r="AI1186" s="27">
        <f>IF($A1186="","",IF(COUNTIF($A$14:$A1186,$A1186)=1,COUNTIF($AI$13:AI1185,"&gt;0")+1,""))</f>
        <v/>
      </c>
      <c r="AO1186" s="27">
        <f>IF($A1186="","",IF(AND(COUNTIFS($A$14:$A$1213,$A1186,$F$14:$F$1213,"&gt;=0")=2,IFERROR(INDEX($M$14:$M$313,MATCH($A1186,$H$14:$H$313,0)),"Yes")&lt;&gt;"Yes"),1,0))</f>
        <v/>
      </c>
    </row>
    <row r="1187">
      <c r="A1187" s="19" t="n"/>
      <c r="B1187" s="20" t="n"/>
      <c r="C1187" s="21">
        <f>IFERROR(AVERAGE(P1187:T1187),"")</f>
        <v/>
      </c>
      <c r="D1187" s="29" t="n"/>
      <c r="E1187" s="29" t="n"/>
      <c r="F1187" s="30">
        <f>IF(AND(ISNUMBER($D1187),ISNUMBER($E1187),$E1187&gt;0,$D1187&lt;=$E1187),$D1187/$E1187,"")</f>
        <v/>
      </c>
      <c r="P1187" s="26" t="n"/>
      <c r="Q1187" s="26" t="n"/>
      <c r="R1187" s="26" t="n"/>
      <c r="S1187" s="26" t="n"/>
      <c r="T1187" s="26" t="n"/>
      <c r="V1187" s="27">
        <f>IF(ISNUMBER($C1187),COUNTIFS($A$14:$A$1213,$A1187,$C$14:$C$1213,"&gt;"&amp;$C1187)+(COUNTIFS($A$14:$A$1213,$A1187,$C$14:$C$1213,"="&amp;$C1187)+1)/2,"")</f>
        <v/>
      </c>
      <c r="W1187" s="27">
        <f>IF(ISNUMBER($F1187),COUNTIFS($A$14:$A$1213,$A1187,$F$14:$F$1213,"&gt;"&amp;$F1187)+(COUNTIFS($A$14:$A$1213,$A1187,$F$14:$F$1213,"="&amp;$F1187)+1)/2,"")</f>
        <v/>
      </c>
      <c r="X1187" s="27">
        <f>IF(OR(NOT(ISNUMBER($V1187)),$AO1187=1),"",$V1187-(COUNTIFS($A$14:$A$1213,$A1187,$C$14:$C$1213,"&gt;=0")+1)/2)</f>
        <v/>
      </c>
      <c r="Y1187" s="27">
        <f>IF(OR(NOT(ISNUMBER($W1187)),$AO1187=1),"",$W1187-(COUNTIFS($A$14:$A$1213,$A1187,$F$14:$F$1213,"&gt;=0")+1)/2)</f>
        <v/>
      </c>
      <c r="Z1187" s="27">
        <f>IF(ISNUMBER($V1187),$A1187&amp;"|"&amp;$V1187,"")</f>
        <v/>
      </c>
      <c r="AA1187" s="27">
        <f>IF(ISNUMBER($W1187),$A1187&amp;"|"&amp;$W1187,"")</f>
        <v/>
      </c>
      <c r="AB1187" s="27">
        <f>IF(ISNUMBER($F1187),$A1187&amp;"|"&amp;$F1187,"")</f>
        <v/>
      </c>
      <c r="AC1187" s="27">
        <f>IF(ISNUMBER($P1187),COUNTIFS($A$14:$A$1213,$A1187,$P$14:$P$1213,"&gt;"&amp;$P1187)+(COUNTIFS($A$14:$A$1213,$A1187,$P$14:$P$1213,"="&amp;$P1187)+1)/2,"")</f>
        <v/>
      </c>
      <c r="AD1187" s="27">
        <f>IF(ISNUMBER($Q1187),COUNTIFS($A$14:$A$1213,$A1187,$Q$14:$Q$1213,"&gt;"&amp;$Q1187)+(COUNTIFS($A$14:$A$1213,$A1187,$Q$14:$Q$1213,"="&amp;$Q1187)+1)/2,"")</f>
        <v/>
      </c>
      <c r="AE1187" s="27">
        <f>IF(ISNUMBER($R1187),COUNTIFS($A$14:$A$1213,$A1187,$R$14:$R$1213,"&gt;"&amp;$R1187)+(COUNTIFS($A$14:$A$1213,$A1187,$R$14:$R$1213,"="&amp;$R1187)+1)/2,"")</f>
        <v/>
      </c>
      <c r="AF1187" s="27">
        <f>IF(ISNUMBER($S1187),COUNTIFS($A$14:$A$1213,$A1187,$S$14:$S$1213,"&gt;"&amp;$S1187)+(COUNTIFS($A$14:$A$1213,$A1187,$S$14:$S$1213,"="&amp;$S1187)+1)/2,"")</f>
        <v/>
      </c>
      <c r="AG1187" s="27">
        <f>IF(ISNUMBER($T1187),COUNTIFS($A$14:$A$1213,$A1187,$T$14:$T$1213,"&gt;"&amp;$T1187)+(COUNTIFS($A$14:$A$1213,$A1187,$T$14:$T$1213,"="&amp;$T1187)+1)/2,"")</f>
        <v/>
      </c>
      <c r="AH1187" s="27">
        <f>IF(COUNT($AC1187:$AG1187)&lt;2,"",IF(MAX($AC1187:$AG1187)=MIN($AC1187:$AG1187),0,1))</f>
        <v/>
      </c>
      <c r="AI1187" s="27">
        <f>IF($A1187="","",IF(COUNTIF($A$14:$A1187,$A1187)=1,COUNTIF($AI$13:AI1186,"&gt;0")+1,""))</f>
        <v/>
      </c>
      <c r="AO1187" s="27">
        <f>IF($A1187="","",IF(AND(COUNTIFS($A$14:$A$1213,$A1187,$F$14:$F$1213,"&gt;=0")=2,IFERROR(INDEX($M$14:$M$313,MATCH($A1187,$H$14:$H$313,0)),"Yes")&lt;&gt;"Yes"),1,0))</f>
        <v/>
      </c>
    </row>
    <row r="1188">
      <c r="A1188" s="19" t="n"/>
      <c r="B1188" s="20" t="n"/>
      <c r="C1188" s="21">
        <f>IFERROR(AVERAGE(P1188:T1188),"")</f>
        <v/>
      </c>
      <c r="D1188" s="29" t="n"/>
      <c r="E1188" s="29" t="n"/>
      <c r="F1188" s="30">
        <f>IF(AND(ISNUMBER($D1188),ISNUMBER($E1188),$E1188&gt;0,$D1188&lt;=$E1188),$D1188/$E1188,"")</f>
        <v/>
      </c>
      <c r="P1188" s="26" t="n"/>
      <c r="Q1188" s="26" t="n"/>
      <c r="R1188" s="26" t="n"/>
      <c r="S1188" s="26" t="n"/>
      <c r="T1188" s="26" t="n"/>
      <c r="V1188" s="27">
        <f>IF(ISNUMBER($C1188),COUNTIFS($A$14:$A$1213,$A1188,$C$14:$C$1213,"&gt;"&amp;$C1188)+(COUNTIFS($A$14:$A$1213,$A1188,$C$14:$C$1213,"="&amp;$C1188)+1)/2,"")</f>
        <v/>
      </c>
      <c r="W1188" s="27">
        <f>IF(ISNUMBER($F1188),COUNTIFS($A$14:$A$1213,$A1188,$F$14:$F$1213,"&gt;"&amp;$F1188)+(COUNTIFS($A$14:$A$1213,$A1188,$F$14:$F$1213,"="&amp;$F1188)+1)/2,"")</f>
        <v/>
      </c>
      <c r="X1188" s="27">
        <f>IF(OR(NOT(ISNUMBER($V1188)),$AO1188=1),"",$V1188-(COUNTIFS($A$14:$A$1213,$A1188,$C$14:$C$1213,"&gt;=0")+1)/2)</f>
        <v/>
      </c>
      <c r="Y1188" s="27">
        <f>IF(OR(NOT(ISNUMBER($W1188)),$AO1188=1),"",$W1188-(COUNTIFS($A$14:$A$1213,$A1188,$F$14:$F$1213,"&gt;=0")+1)/2)</f>
        <v/>
      </c>
      <c r="Z1188" s="27">
        <f>IF(ISNUMBER($V1188),$A1188&amp;"|"&amp;$V1188,"")</f>
        <v/>
      </c>
      <c r="AA1188" s="27">
        <f>IF(ISNUMBER($W1188),$A1188&amp;"|"&amp;$W1188,"")</f>
        <v/>
      </c>
      <c r="AB1188" s="27">
        <f>IF(ISNUMBER($F1188),$A1188&amp;"|"&amp;$F1188,"")</f>
        <v/>
      </c>
      <c r="AC1188" s="27">
        <f>IF(ISNUMBER($P1188),COUNTIFS($A$14:$A$1213,$A1188,$P$14:$P$1213,"&gt;"&amp;$P1188)+(COUNTIFS($A$14:$A$1213,$A1188,$P$14:$P$1213,"="&amp;$P1188)+1)/2,"")</f>
        <v/>
      </c>
      <c r="AD1188" s="27">
        <f>IF(ISNUMBER($Q1188),COUNTIFS($A$14:$A$1213,$A1188,$Q$14:$Q$1213,"&gt;"&amp;$Q1188)+(COUNTIFS($A$14:$A$1213,$A1188,$Q$14:$Q$1213,"="&amp;$Q1188)+1)/2,"")</f>
        <v/>
      </c>
      <c r="AE1188" s="27">
        <f>IF(ISNUMBER($R1188),COUNTIFS($A$14:$A$1213,$A1188,$R$14:$R$1213,"&gt;"&amp;$R1188)+(COUNTIFS($A$14:$A$1213,$A1188,$R$14:$R$1213,"="&amp;$R1188)+1)/2,"")</f>
        <v/>
      </c>
      <c r="AF1188" s="27">
        <f>IF(ISNUMBER($S1188),COUNTIFS($A$14:$A$1213,$A1188,$S$14:$S$1213,"&gt;"&amp;$S1188)+(COUNTIFS($A$14:$A$1213,$A1188,$S$14:$S$1213,"="&amp;$S1188)+1)/2,"")</f>
        <v/>
      </c>
      <c r="AG1188" s="27">
        <f>IF(ISNUMBER($T1188),COUNTIFS($A$14:$A$1213,$A1188,$T$14:$T$1213,"&gt;"&amp;$T1188)+(COUNTIFS($A$14:$A$1213,$A1188,$T$14:$T$1213,"="&amp;$T1188)+1)/2,"")</f>
        <v/>
      </c>
      <c r="AH1188" s="27">
        <f>IF(COUNT($AC1188:$AG1188)&lt;2,"",IF(MAX($AC1188:$AG1188)=MIN($AC1188:$AG1188),0,1))</f>
        <v/>
      </c>
      <c r="AI1188" s="27">
        <f>IF($A1188="","",IF(COUNTIF($A$14:$A1188,$A1188)=1,COUNTIF($AI$13:AI1187,"&gt;0")+1,""))</f>
        <v/>
      </c>
      <c r="AO1188" s="27">
        <f>IF($A1188="","",IF(AND(COUNTIFS($A$14:$A$1213,$A1188,$F$14:$F$1213,"&gt;=0")=2,IFERROR(INDEX($M$14:$M$313,MATCH($A1188,$H$14:$H$313,0)),"Yes")&lt;&gt;"Yes"),1,0))</f>
        <v/>
      </c>
    </row>
    <row r="1189">
      <c r="A1189" s="19" t="n"/>
      <c r="B1189" s="20" t="n"/>
      <c r="C1189" s="21">
        <f>IFERROR(AVERAGE(P1189:T1189),"")</f>
        <v/>
      </c>
      <c r="D1189" s="29" t="n"/>
      <c r="E1189" s="29" t="n"/>
      <c r="F1189" s="30">
        <f>IF(AND(ISNUMBER($D1189),ISNUMBER($E1189),$E1189&gt;0,$D1189&lt;=$E1189),$D1189/$E1189,"")</f>
        <v/>
      </c>
      <c r="P1189" s="26" t="n"/>
      <c r="Q1189" s="26" t="n"/>
      <c r="R1189" s="26" t="n"/>
      <c r="S1189" s="26" t="n"/>
      <c r="T1189" s="26" t="n"/>
      <c r="V1189" s="27">
        <f>IF(ISNUMBER($C1189),COUNTIFS($A$14:$A$1213,$A1189,$C$14:$C$1213,"&gt;"&amp;$C1189)+(COUNTIFS($A$14:$A$1213,$A1189,$C$14:$C$1213,"="&amp;$C1189)+1)/2,"")</f>
        <v/>
      </c>
      <c r="W1189" s="27">
        <f>IF(ISNUMBER($F1189),COUNTIFS($A$14:$A$1213,$A1189,$F$14:$F$1213,"&gt;"&amp;$F1189)+(COUNTIFS($A$14:$A$1213,$A1189,$F$14:$F$1213,"="&amp;$F1189)+1)/2,"")</f>
        <v/>
      </c>
      <c r="X1189" s="27">
        <f>IF(OR(NOT(ISNUMBER($V1189)),$AO1189=1),"",$V1189-(COUNTIFS($A$14:$A$1213,$A1189,$C$14:$C$1213,"&gt;=0")+1)/2)</f>
        <v/>
      </c>
      <c r="Y1189" s="27">
        <f>IF(OR(NOT(ISNUMBER($W1189)),$AO1189=1),"",$W1189-(COUNTIFS($A$14:$A$1213,$A1189,$F$14:$F$1213,"&gt;=0")+1)/2)</f>
        <v/>
      </c>
      <c r="Z1189" s="27">
        <f>IF(ISNUMBER($V1189),$A1189&amp;"|"&amp;$V1189,"")</f>
        <v/>
      </c>
      <c r="AA1189" s="27">
        <f>IF(ISNUMBER($W1189),$A1189&amp;"|"&amp;$W1189,"")</f>
        <v/>
      </c>
      <c r="AB1189" s="27">
        <f>IF(ISNUMBER($F1189),$A1189&amp;"|"&amp;$F1189,"")</f>
        <v/>
      </c>
      <c r="AC1189" s="27">
        <f>IF(ISNUMBER($P1189),COUNTIFS($A$14:$A$1213,$A1189,$P$14:$P$1213,"&gt;"&amp;$P1189)+(COUNTIFS($A$14:$A$1213,$A1189,$P$14:$P$1213,"="&amp;$P1189)+1)/2,"")</f>
        <v/>
      </c>
      <c r="AD1189" s="27">
        <f>IF(ISNUMBER($Q1189),COUNTIFS($A$14:$A$1213,$A1189,$Q$14:$Q$1213,"&gt;"&amp;$Q1189)+(COUNTIFS($A$14:$A$1213,$A1189,$Q$14:$Q$1213,"="&amp;$Q1189)+1)/2,"")</f>
        <v/>
      </c>
      <c r="AE1189" s="27">
        <f>IF(ISNUMBER($R1189),COUNTIFS($A$14:$A$1213,$A1189,$R$14:$R$1213,"&gt;"&amp;$R1189)+(COUNTIFS($A$14:$A$1213,$A1189,$R$14:$R$1213,"="&amp;$R1189)+1)/2,"")</f>
        <v/>
      </c>
      <c r="AF1189" s="27">
        <f>IF(ISNUMBER($S1189),COUNTIFS($A$14:$A$1213,$A1189,$S$14:$S$1213,"&gt;"&amp;$S1189)+(COUNTIFS($A$14:$A$1213,$A1189,$S$14:$S$1213,"="&amp;$S1189)+1)/2,"")</f>
        <v/>
      </c>
      <c r="AG1189" s="27">
        <f>IF(ISNUMBER($T1189),COUNTIFS($A$14:$A$1213,$A1189,$T$14:$T$1213,"&gt;"&amp;$T1189)+(COUNTIFS($A$14:$A$1213,$A1189,$T$14:$T$1213,"="&amp;$T1189)+1)/2,"")</f>
        <v/>
      </c>
      <c r="AH1189" s="27">
        <f>IF(COUNT($AC1189:$AG1189)&lt;2,"",IF(MAX($AC1189:$AG1189)=MIN($AC1189:$AG1189),0,1))</f>
        <v/>
      </c>
      <c r="AI1189" s="27">
        <f>IF($A1189="","",IF(COUNTIF($A$14:$A1189,$A1189)=1,COUNTIF($AI$13:AI1188,"&gt;0")+1,""))</f>
        <v/>
      </c>
      <c r="AO1189" s="27">
        <f>IF($A1189="","",IF(AND(COUNTIFS($A$14:$A$1213,$A1189,$F$14:$F$1213,"&gt;=0")=2,IFERROR(INDEX($M$14:$M$313,MATCH($A1189,$H$14:$H$313,0)),"Yes")&lt;&gt;"Yes"),1,0))</f>
        <v/>
      </c>
    </row>
    <row r="1190">
      <c r="A1190" s="19" t="n"/>
      <c r="B1190" s="20" t="n"/>
      <c r="C1190" s="21">
        <f>IFERROR(AVERAGE(P1190:T1190),"")</f>
        <v/>
      </c>
      <c r="D1190" s="29" t="n"/>
      <c r="E1190" s="29" t="n"/>
      <c r="F1190" s="30">
        <f>IF(AND(ISNUMBER($D1190),ISNUMBER($E1190),$E1190&gt;0,$D1190&lt;=$E1190),$D1190/$E1190,"")</f>
        <v/>
      </c>
      <c r="P1190" s="26" t="n"/>
      <c r="Q1190" s="26" t="n"/>
      <c r="R1190" s="26" t="n"/>
      <c r="S1190" s="26" t="n"/>
      <c r="T1190" s="26" t="n"/>
      <c r="V1190" s="27">
        <f>IF(ISNUMBER($C1190),COUNTIFS($A$14:$A$1213,$A1190,$C$14:$C$1213,"&gt;"&amp;$C1190)+(COUNTIFS($A$14:$A$1213,$A1190,$C$14:$C$1213,"="&amp;$C1190)+1)/2,"")</f>
        <v/>
      </c>
      <c r="W1190" s="27">
        <f>IF(ISNUMBER($F1190),COUNTIFS($A$14:$A$1213,$A1190,$F$14:$F$1213,"&gt;"&amp;$F1190)+(COUNTIFS($A$14:$A$1213,$A1190,$F$14:$F$1213,"="&amp;$F1190)+1)/2,"")</f>
        <v/>
      </c>
      <c r="X1190" s="27">
        <f>IF(OR(NOT(ISNUMBER($V1190)),$AO1190=1),"",$V1190-(COUNTIFS($A$14:$A$1213,$A1190,$C$14:$C$1213,"&gt;=0")+1)/2)</f>
        <v/>
      </c>
      <c r="Y1190" s="27">
        <f>IF(OR(NOT(ISNUMBER($W1190)),$AO1190=1),"",$W1190-(COUNTIFS($A$14:$A$1213,$A1190,$F$14:$F$1213,"&gt;=0")+1)/2)</f>
        <v/>
      </c>
      <c r="Z1190" s="27">
        <f>IF(ISNUMBER($V1190),$A1190&amp;"|"&amp;$V1190,"")</f>
        <v/>
      </c>
      <c r="AA1190" s="27">
        <f>IF(ISNUMBER($W1190),$A1190&amp;"|"&amp;$W1190,"")</f>
        <v/>
      </c>
      <c r="AB1190" s="27">
        <f>IF(ISNUMBER($F1190),$A1190&amp;"|"&amp;$F1190,"")</f>
        <v/>
      </c>
      <c r="AC1190" s="27">
        <f>IF(ISNUMBER($P1190),COUNTIFS($A$14:$A$1213,$A1190,$P$14:$P$1213,"&gt;"&amp;$P1190)+(COUNTIFS($A$14:$A$1213,$A1190,$P$14:$P$1213,"="&amp;$P1190)+1)/2,"")</f>
        <v/>
      </c>
      <c r="AD1190" s="27">
        <f>IF(ISNUMBER($Q1190),COUNTIFS($A$14:$A$1213,$A1190,$Q$14:$Q$1213,"&gt;"&amp;$Q1190)+(COUNTIFS($A$14:$A$1213,$A1190,$Q$14:$Q$1213,"="&amp;$Q1190)+1)/2,"")</f>
        <v/>
      </c>
      <c r="AE1190" s="27">
        <f>IF(ISNUMBER($R1190),COUNTIFS($A$14:$A$1213,$A1190,$R$14:$R$1213,"&gt;"&amp;$R1190)+(COUNTIFS($A$14:$A$1213,$A1190,$R$14:$R$1213,"="&amp;$R1190)+1)/2,"")</f>
        <v/>
      </c>
      <c r="AF1190" s="27">
        <f>IF(ISNUMBER($S1190),COUNTIFS($A$14:$A$1213,$A1190,$S$14:$S$1213,"&gt;"&amp;$S1190)+(COUNTIFS($A$14:$A$1213,$A1190,$S$14:$S$1213,"="&amp;$S1190)+1)/2,"")</f>
        <v/>
      </c>
      <c r="AG1190" s="27">
        <f>IF(ISNUMBER($T1190),COUNTIFS($A$14:$A$1213,$A1190,$T$14:$T$1213,"&gt;"&amp;$T1190)+(COUNTIFS($A$14:$A$1213,$A1190,$T$14:$T$1213,"="&amp;$T1190)+1)/2,"")</f>
        <v/>
      </c>
      <c r="AH1190" s="27">
        <f>IF(COUNT($AC1190:$AG1190)&lt;2,"",IF(MAX($AC1190:$AG1190)=MIN($AC1190:$AG1190),0,1))</f>
        <v/>
      </c>
      <c r="AI1190" s="27">
        <f>IF($A1190="","",IF(COUNTIF($A$14:$A1190,$A1190)=1,COUNTIF($AI$13:AI1189,"&gt;0")+1,""))</f>
        <v/>
      </c>
      <c r="AO1190" s="27">
        <f>IF($A1190="","",IF(AND(COUNTIFS($A$14:$A$1213,$A1190,$F$14:$F$1213,"&gt;=0")=2,IFERROR(INDEX($M$14:$M$313,MATCH($A1190,$H$14:$H$313,0)),"Yes")&lt;&gt;"Yes"),1,0))</f>
        <v/>
      </c>
    </row>
    <row r="1191">
      <c r="A1191" s="19" t="n"/>
      <c r="B1191" s="20" t="n"/>
      <c r="C1191" s="21">
        <f>IFERROR(AVERAGE(P1191:T1191),"")</f>
        <v/>
      </c>
      <c r="D1191" s="29" t="n"/>
      <c r="E1191" s="29" t="n"/>
      <c r="F1191" s="30">
        <f>IF(AND(ISNUMBER($D1191),ISNUMBER($E1191),$E1191&gt;0,$D1191&lt;=$E1191),$D1191/$E1191,"")</f>
        <v/>
      </c>
      <c r="P1191" s="26" t="n"/>
      <c r="Q1191" s="26" t="n"/>
      <c r="R1191" s="26" t="n"/>
      <c r="S1191" s="26" t="n"/>
      <c r="T1191" s="26" t="n"/>
      <c r="V1191" s="27">
        <f>IF(ISNUMBER($C1191),COUNTIFS($A$14:$A$1213,$A1191,$C$14:$C$1213,"&gt;"&amp;$C1191)+(COUNTIFS($A$14:$A$1213,$A1191,$C$14:$C$1213,"="&amp;$C1191)+1)/2,"")</f>
        <v/>
      </c>
      <c r="W1191" s="27">
        <f>IF(ISNUMBER($F1191),COUNTIFS($A$14:$A$1213,$A1191,$F$14:$F$1213,"&gt;"&amp;$F1191)+(COUNTIFS($A$14:$A$1213,$A1191,$F$14:$F$1213,"="&amp;$F1191)+1)/2,"")</f>
        <v/>
      </c>
      <c r="X1191" s="27">
        <f>IF(OR(NOT(ISNUMBER($V1191)),$AO1191=1),"",$V1191-(COUNTIFS($A$14:$A$1213,$A1191,$C$14:$C$1213,"&gt;=0")+1)/2)</f>
        <v/>
      </c>
      <c r="Y1191" s="27">
        <f>IF(OR(NOT(ISNUMBER($W1191)),$AO1191=1),"",$W1191-(COUNTIFS($A$14:$A$1213,$A1191,$F$14:$F$1213,"&gt;=0")+1)/2)</f>
        <v/>
      </c>
      <c r="Z1191" s="27">
        <f>IF(ISNUMBER($V1191),$A1191&amp;"|"&amp;$V1191,"")</f>
        <v/>
      </c>
      <c r="AA1191" s="27">
        <f>IF(ISNUMBER($W1191),$A1191&amp;"|"&amp;$W1191,"")</f>
        <v/>
      </c>
      <c r="AB1191" s="27">
        <f>IF(ISNUMBER($F1191),$A1191&amp;"|"&amp;$F1191,"")</f>
        <v/>
      </c>
      <c r="AC1191" s="27">
        <f>IF(ISNUMBER($P1191),COUNTIFS($A$14:$A$1213,$A1191,$P$14:$P$1213,"&gt;"&amp;$P1191)+(COUNTIFS($A$14:$A$1213,$A1191,$P$14:$P$1213,"="&amp;$P1191)+1)/2,"")</f>
        <v/>
      </c>
      <c r="AD1191" s="27">
        <f>IF(ISNUMBER($Q1191),COUNTIFS($A$14:$A$1213,$A1191,$Q$14:$Q$1213,"&gt;"&amp;$Q1191)+(COUNTIFS($A$14:$A$1213,$A1191,$Q$14:$Q$1213,"="&amp;$Q1191)+1)/2,"")</f>
        <v/>
      </c>
      <c r="AE1191" s="27">
        <f>IF(ISNUMBER($R1191),COUNTIFS($A$14:$A$1213,$A1191,$R$14:$R$1213,"&gt;"&amp;$R1191)+(COUNTIFS($A$14:$A$1213,$A1191,$R$14:$R$1213,"="&amp;$R1191)+1)/2,"")</f>
        <v/>
      </c>
      <c r="AF1191" s="27">
        <f>IF(ISNUMBER($S1191),COUNTIFS($A$14:$A$1213,$A1191,$S$14:$S$1213,"&gt;"&amp;$S1191)+(COUNTIFS($A$14:$A$1213,$A1191,$S$14:$S$1213,"="&amp;$S1191)+1)/2,"")</f>
        <v/>
      </c>
      <c r="AG1191" s="27">
        <f>IF(ISNUMBER($T1191),COUNTIFS($A$14:$A$1213,$A1191,$T$14:$T$1213,"&gt;"&amp;$T1191)+(COUNTIFS($A$14:$A$1213,$A1191,$T$14:$T$1213,"="&amp;$T1191)+1)/2,"")</f>
        <v/>
      </c>
      <c r="AH1191" s="27">
        <f>IF(COUNT($AC1191:$AG1191)&lt;2,"",IF(MAX($AC1191:$AG1191)=MIN($AC1191:$AG1191),0,1))</f>
        <v/>
      </c>
      <c r="AI1191" s="27">
        <f>IF($A1191="","",IF(COUNTIF($A$14:$A1191,$A1191)=1,COUNTIF($AI$13:AI1190,"&gt;0")+1,""))</f>
        <v/>
      </c>
      <c r="AO1191" s="27">
        <f>IF($A1191="","",IF(AND(COUNTIFS($A$14:$A$1213,$A1191,$F$14:$F$1213,"&gt;=0")=2,IFERROR(INDEX($M$14:$M$313,MATCH($A1191,$H$14:$H$313,0)),"Yes")&lt;&gt;"Yes"),1,0))</f>
        <v/>
      </c>
    </row>
    <row r="1192">
      <c r="A1192" s="19" t="n"/>
      <c r="B1192" s="20" t="n"/>
      <c r="C1192" s="21">
        <f>IFERROR(AVERAGE(P1192:T1192),"")</f>
        <v/>
      </c>
      <c r="D1192" s="29" t="n"/>
      <c r="E1192" s="29" t="n"/>
      <c r="F1192" s="30">
        <f>IF(AND(ISNUMBER($D1192),ISNUMBER($E1192),$E1192&gt;0,$D1192&lt;=$E1192),$D1192/$E1192,"")</f>
        <v/>
      </c>
      <c r="P1192" s="26" t="n"/>
      <c r="Q1192" s="26" t="n"/>
      <c r="R1192" s="26" t="n"/>
      <c r="S1192" s="26" t="n"/>
      <c r="T1192" s="26" t="n"/>
      <c r="V1192" s="27">
        <f>IF(ISNUMBER($C1192),COUNTIFS($A$14:$A$1213,$A1192,$C$14:$C$1213,"&gt;"&amp;$C1192)+(COUNTIFS($A$14:$A$1213,$A1192,$C$14:$C$1213,"="&amp;$C1192)+1)/2,"")</f>
        <v/>
      </c>
      <c r="W1192" s="27">
        <f>IF(ISNUMBER($F1192),COUNTIFS($A$14:$A$1213,$A1192,$F$14:$F$1213,"&gt;"&amp;$F1192)+(COUNTIFS($A$14:$A$1213,$A1192,$F$14:$F$1213,"="&amp;$F1192)+1)/2,"")</f>
        <v/>
      </c>
      <c r="X1192" s="27">
        <f>IF(OR(NOT(ISNUMBER($V1192)),$AO1192=1),"",$V1192-(COUNTIFS($A$14:$A$1213,$A1192,$C$14:$C$1213,"&gt;=0")+1)/2)</f>
        <v/>
      </c>
      <c r="Y1192" s="27">
        <f>IF(OR(NOT(ISNUMBER($W1192)),$AO1192=1),"",$W1192-(COUNTIFS($A$14:$A$1213,$A1192,$F$14:$F$1213,"&gt;=0")+1)/2)</f>
        <v/>
      </c>
      <c r="Z1192" s="27">
        <f>IF(ISNUMBER($V1192),$A1192&amp;"|"&amp;$V1192,"")</f>
        <v/>
      </c>
      <c r="AA1192" s="27">
        <f>IF(ISNUMBER($W1192),$A1192&amp;"|"&amp;$W1192,"")</f>
        <v/>
      </c>
      <c r="AB1192" s="27">
        <f>IF(ISNUMBER($F1192),$A1192&amp;"|"&amp;$F1192,"")</f>
        <v/>
      </c>
      <c r="AC1192" s="27">
        <f>IF(ISNUMBER($P1192),COUNTIFS($A$14:$A$1213,$A1192,$P$14:$P$1213,"&gt;"&amp;$P1192)+(COUNTIFS($A$14:$A$1213,$A1192,$P$14:$P$1213,"="&amp;$P1192)+1)/2,"")</f>
        <v/>
      </c>
      <c r="AD1192" s="27">
        <f>IF(ISNUMBER($Q1192),COUNTIFS($A$14:$A$1213,$A1192,$Q$14:$Q$1213,"&gt;"&amp;$Q1192)+(COUNTIFS($A$14:$A$1213,$A1192,$Q$14:$Q$1213,"="&amp;$Q1192)+1)/2,"")</f>
        <v/>
      </c>
      <c r="AE1192" s="27">
        <f>IF(ISNUMBER($R1192),COUNTIFS($A$14:$A$1213,$A1192,$R$14:$R$1213,"&gt;"&amp;$R1192)+(COUNTIFS($A$14:$A$1213,$A1192,$R$14:$R$1213,"="&amp;$R1192)+1)/2,"")</f>
        <v/>
      </c>
      <c r="AF1192" s="27">
        <f>IF(ISNUMBER($S1192),COUNTIFS($A$14:$A$1213,$A1192,$S$14:$S$1213,"&gt;"&amp;$S1192)+(COUNTIFS($A$14:$A$1213,$A1192,$S$14:$S$1213,"="&amp;$S1192)+1)/2,"")</f>
        <v/>
      </c>
      <c r="AG1192" s="27">
        <f>IF(ISNUMBER($T1192),COUNTIFS($A$14:$A$1213,$A1192,$T$14:$T$1213,"&gt;"&amp;$T1192)+(COUNTIFS($A$14:$A$1213,$A1192,$T$14:$T$1213,"="&amp;$T1192)+1)/2,"")</f>
        <v/>
      </c>
      <c r="AH1192" s="27">
        <f>IF(COUNT($AC1192:$AG1192)&lt;2,"",IF(MAX($AC1192:$AG1192)=MIN($AC1192:$AG1192),0,1))</f>
        <v/>
      </c>
      <c r="AI1192" s="27">
        <f>IF($A1192="","",IF(COUNTIF($A$14:$A1192,$A1192)=1,COUNTIF($AI$13:AI1191,"&gt;0")+1,""))</f>
        <v/>
      </c>
      <c r="AO1192" s="27">
        <f>IF($A1192="","",IF(AND(COUNTIFS($A$14:$A$1213,$A1192,$F$14:$F$1213,"&gt;=0")=2,IFERROR(INDEX($M$14:$M$313,MATCH($A1192,$H$14:$H$313,0)),"Yes")&lt;&gt;"Yes"),1,0))</f>
        <v/>
      </c>
    </row>
    <row r="1193">
      <c r="A1193" s="19" t="n"/>
      <c r="B1193" s="20" t="n"/>
      <c r="C1193" s="21">
        <f>IFERROR(AVERAGE(P1193:T1193),"")</f>
        <v/>
      </c>
      <c r="D1193" s="29" t="n"/>
      <c r="E1193" s="29" t="n"/>
      <c r="F1193" s="30">
        <f>IF(AND(ISNUMBER($D1193),ISNUMBER($E1193),$E1193&gt;0,$D1193&lt;=$E1193),$D1193/$E1193,"")</f>
        <v/>
      </c>
      <c r="P1193" s="26" t="n"/>
      <c r="Q1193" s="26" t="n"/>
      <c r="R1193" s="26" t="n"/>
      <c r="S1193" s="26" t="n"/>
      <c r="T1193" s="26" t="n"/>
      <c r="V1193" s="27">
        <f>IF(ISNUMBER($C1193),COUNTIFS($A$14:$A$1213,$A1193,$C$14:$C$1213,"&gt;"&amp;$C1193)+(COUNTIFS($A$14:$A$1213,$A1193,$C$14:$C$1213,"="&amp;$C1193)+1)/2,"")</f>
        <v/>
      </c>
      <c r="W1193" s="27">
        <f>IF(ISNUMBER($F1193),COUNTIFS($A$14:$A$1213,$A1193,$F$14:$F$1213,"&gt;"&amp;$F1193)+(COUNTIFS($A$14:$A$1213,$A1193,$F$14:$F$1213,"="&amp;$F1193)+1)/2,"")</f>
        <v/>
      </c>
      <c r="X1193" s="27">
        <f>IF(OR(NOT(ISNUMBER($V1193)),$AO1193=1),"",$V1193-(COUNTIFS($A$14:$A$1213,$A1193,$C$14:$C$1213,"&gt;=0")+1)/2)</f>
        <v/>
      </c>
      <c r="Y1193" s="27">
        <f>IF(OR(NOT(ISNUMBER($W1193)),$AO1193=1),"",$W1193-(COUNTIFS($A$14:$A$1213,$A1193,$F$14:$F$1213,"&gt;=0")+1)/2)</f>
        <v/>
      </c>
      <c r="Z1193" s="27">
        <f>IF(ISNUMBER($V1193),$A1193&amp;"|"&amp;$V1193,"")</f>
        <v/>
      </c>
      <c r="AA1193" s="27">
        <f>IF(ISNUMBER($W1193),$A1193&amp;"|"&amp;$W1193,"")</f>
        <v/>
      </c>
      <c r="AB1193" s="27">
        <f>IF(ISNUMBER($F1193),$A1193&amp;"|"&amp;$F1193,"")</f>
        <v/>
      </c>
      <c r="AC1193" s="27">
        <f>IF(ISNUMBER($P1193),COUNTIFS($A$14:$A$1213,$A1193,$P$14:$P$1213,"&gt;"&amp;$P1193)+(COUNTIFS($A$14:$A$1213,$A1193,$P$14:$P$1213,"="&amp;$P1193)+1)/2,"")</f>
        <v/>
      </c>
      <c r="AD1193" s="27">
        <f>IF(ISNUMBER($Q1193),COUNTIFS($A$14:$A$1213,$A1193,$Q$14:$Q$1213,"&gt;"&amp;$Q1193)+(COUNTIFS($A$14:$A$1213,$A1193,$Q$14:$Q$1213,"="&amp;$Q1193)+1)/2,"")</f>
        <v/>
      </c>
      <c r="AE1193" s="27">
        <f>IF(ISNUMBER($R1193),COUNTIFS($A$14:$A$1213,$A1193,$R$14:$R$1213,"&gt;"&amp;$R1193)+(COUNTIFS($A$14:$A$1213,$A1193,$R$14:$R$1213,"="&amp;$R1193)+1)/2,"")</f>
        <v/>
      </c>
      <c r="AF1193" s="27">
        <f>IF(ISNUMBER($S1193),COUNTIFS($A$14:$A$1213,$A1193,$S$14:$S$1213,"&gt;"&amp;$S1193)+(COUNTIFS($A$14:$A$1213,$A1193,$S$14:$S$1213,"="&amp;$S1193)+1)/2,"")</f>
        <v/>
      </c>
      <c r="AG1193" s="27">
        <f>IF(ISNUMBER($T1193),COUNTIFS($A$14:$A$1213,$A1193,$T$14:$T$1213,"&gt;"&amp;$T1193)+(COUNTIFS($A$14:$A$1213,$A1193,$T$14:$T$1213,"="&amp;$T1193)+1)/2,"")</f>
        <v/>
      </c>
      <c r="AH1193" s="27">
        <f>IF(COUNT($AC1193:$AG1193)&lt;2,"",IF(MAX($AC1193:$AG1193)=MIN($AC1193:$AG1193),0,1))</f>
        <v/>
      </c>
      <c r="AI1193" s="27">
        <f>IF($A1193="","",IF(COUNTIF($A$14:$A1193,$A1193)=1,COUNTIF($AI$13:AI1192,"&gt;0")+1,""))</f>
        <v/>
      </c>
      <c r="AO1193" s="27">
        <f>IF($A1193="","",IF(AND(COUNTIFS($A$14:$A$1213,$A1193,$F$14:$F$1213,"&gt;=0")=2,IFERROR(INDEX($M$14:$M$313,MATCH($A1193,$H$14:$H$313,0)),"Yes")&lt;&gt;"Yes"),1,0))</f>
        <v/>
      </c>
    </row>
    <row r="1194">
      <c r="A1194" s="19" t="n"/>
      <c r="B1194" s="20" t="n"/>
      <c r="C1194" s="21">
        <f>IFERROR(AVERAGE(P1194:T1194),"")</f>
        <v/>
      </c>
      <c r="D1194" s="29" t="n"/>
      <c r="E1194" s="29" t="n"/>
      <c r="F1194" s="30">
        <f>IF(AND(ISNUMBER($D1194),ISNUMBER($E1194),$E1194&gt;0,$D1194&lt;=$E1194),$D1194/$E1194,"")</f>
        <v/>
      </c>
      <c r="P1194" s="26" t="n"/>
      <c r="Q1194" s="26" t="n"/>
      <c r="R1194" s="26" t="n"/>
      <c r="S1194" s="26" t="n"/>
      <c r="T1194" s="26" t="n"/>
      <c r="V1194" s="27">
        <f>IF(ISNUMBER($C1194),COUNTIFS($A$14:$A$1213,$A1194,$C$14:$C$1213,"&gt;"&amp;$C1194)+(COUNTIFS($A$14:$A$1213,$A1194,$C$14:$C$1213,"="&amp;$C1194)+1)/2,"")</f>
        <v/>
      </c>
      <c r="W1194" s="27">
        <f>IF(ISNUMBER($F1194),COUNTIFS($A$14:$A$1213,$A1194,$F$14:$F$1213,"&gt;"&amp;$F1194)+(COUNTIFS($A$14:$A$1213,$A1194,$F$14:$F$1213,"="&amp;$F1194)+1)/2,"")</f>
        <v/>
      </c>
      <c r="X1194" s="27">
        <f>IF(OR(NOT(ISNUMBER($V1194)),$AO1194=1),"",$V1194-(COUNTIFS($A$14:$A$1213,$A1194,$C$14:$C$1213,"&gt;=0")+1)/2)</f>
        <v/>
      </c>
      <c r="Y1194" s="27">
        <f>IF(OR(NOT(ISNUMBER($W1194)),$AO1194=1),"",$W1194-(COUNTIFS($A$14:$A$1213,$A1194,$F$14:$F$1213,"&gt;=0")+1)/2)</f>
        <v/>
      </c>
      <c r="Z1194" s="27">
        <f>IF(ISNUMBER($V1194),$A1194&amp;"|"&amp;$V1194,"")</f>
        <v/>
      </c>
      <c r="AA1194" s="27">
        <f>IF(ISNUMBER($W1194),$A1194&amp;"|"&amp;$W1194,"")</f>
        <v/>
      </c>
      <c r="AB1194" s="27">
        <f>IF(ISNUMBER($F1194),$A1194&amp;"|"&amp;$F1194,"")</f>
        <v/>
      </c>
      <c r="AC1194" s="27">
        <f>IF(ISNUMBER($P1194),COUNTIFS($A$14:$A$1213,$A1194,$P$14:$P$1213,"&gt;"&amp;$P1194)+(COUNTIFS($A$14:$A$1213,$A1194,$P$14:$P$1213,"="&amp;$P1194)+1)/2,"")</f>
        <v/>
      </c>
      <c r="AD1194" s="27">
        <f>IF(ISNUMBER($Q1194),COUNTIFS($A$14:$A$1213,$A1194,$Q$14:$Q$1213,"&gt;"&amp;$Q1194)+(COUNTIFS($A$14:$A$1213,$A1194,$Q$14:$Q$1213,"="&amp;$Q1194)+1)/2,"")</f>
        <v/>
      </c>
      <c r="AE1194" s="27">
        <f>IF(ISNUMBER($R1194),COUNTIFS($A$14:$A$1213,$A1194,$R$14:$R$1213,"&gt;"&amp;$R1194)+(COUNTIFS($A$14:$A$1213,$A1194,$R$14:$R$1213,"="&amp;$R1194)+1)/2,"")</f>
        <v/>
      </c>
      <c r="AF1194" s="27">
        <f>IF(ISNUMBER($S1194),COUNTIFS($A$14:$A$1213,$A1194,$S$14:$S$1213,"&gt;"&amp;$S1194)+(COUNTIFS($A$14:$A$1213,$A1194,$S$14:$S$1213,"="&amp;$S1194)+1)/2,"")</f>
        <v/>
      </c>
      <c r="AG1194" s="27">
        <f>IF(ISNUMBER($T1194),COUNTIFS($A$14:$A$1213,$A1194,$T$14:$T$1213,"&gt;"&amp;$T1194)+(COUNTIFS($A$14:$A$1213,$A1194,$T$14:$T$1213,"="&amp;$T1194)+1)/2,"")</f>
        <v/>
      </c>
      <c r="AH1194" s="27">
        <f>IF(COUNT($AC1194:$AG1194)&lt;2,"",IF(MAX($AC1194:$AG1194)=MIN($AC1194:$AG1194),0,1))</f>
        <v/>
      </c>
      <c r="AI1194" s="27">
        <f>IF($A1194="","",IF(COUNTIF($A$14:$A1194,$A1194)=1,COUNTIF($AI$13:AI1193,"&gt;0")+1,""))</f>
        <v/>
      </c>
      <c r="AO1194" s="27">
        <f>IF($A1194="","",IF(AND(COUNTIFS($A$14:$A$1213,$A1194,$F$14:$F$1213,"&gt;=0")=2,IFERROR(INDEX($M$14:$M$313,MATCH($A1194,$H$14:$H$313,0)),"Yes")&lt;&gt;"Yes"),1,0))</f>
        <v/>
      </c>
    </row>
    <row r="1195">
      <c r="A1195" s="19" t="n"/>
      <c r="B1195" s="20" t="n"/>
      <c r="C1195" s="21">
        <f>IFERROR(AVERAGE(P1195:T1195),"")</f>
        <v/>
      </c>
      <c r="D1195" s="29" t="n"/>
      <c r="E1195" s="29" t="n"/>
      <c r="F1195" s="30">
        <f>IF(AND(ISNUMBER($D1195),ISNUMBER($E1195),$E1195&gt;0,$D1195&lt;=$E1195),$D1195/$E1195,"")</f>
        <v/>
      </c>
      <c r="P1195" s="26" t="n"/>
      <c r="Q1195" s="26" t="n"/>
      <c r="R1195" s="26" t="n"/>
      <c r="S1195" s="26" t="n"/>
      <c r="T1195" s="26" t="n"/>
      <c r="V1195" s="27">
        <f>IF(ISNUMBER($C1195),COUNTIFS($A$14:$A$1213,$A1195,$C$14:$C$1213,"&gt;"&amp;$C1195)+(COUNTIFS($A$14:$A$1213,$A1195,$C$14:$C$1213,"="&amp;$C1195)+1)/2,"")</f>
        <v/>
      </c>
      <c r="W1195" s="27">
        <f>IF(ISNUMBER($F1195),COUNTIFS($A$14:$A$1213,$A1195,$F$14:$F$1213,"&gt;"&amp;$F1195)+(COUNTIFS($A$14:$A$1213,$A1195,$F$14:$F$1213,"="&amp;$F1195)+1)/2,"")</f>
        <v/>
      </c>
      <c r="X1195" s="27">
        <f>IF(OR(NOT(ISNUMBER($V1195)),$AO1195=1),"",$V1195-(COUNTIFS($A$14:$A$1213,$A1195,$C$14:$C$1213,"&gt;=0")+1)/2)</f>
        <v/>
      </c>
      <c r="Y1195" s="27">
        <f>IF(OR(NOT(ISNUMBER($W1195)),$AO1195=1),"",$W1195-(COUNTIFS($A$14:$A$1213,$A1195,$F$14:$F$1213,"&gt;=0")+1)/2)</f>
        <v/>
      </c>
      <c r="Z1195" s="27">
        <f>IF(ISNUMBER($V1195),$A1195&amp;"|"&amp;$V1195,"")</f>
        <v/>
      </c>
      <c r="AA1195" s="27">
        <f>IF(ISNUMBER($W1195),$A1195&amp;"|"&amp;$W1195,"")</f>
        <v/>
      </c>
      <c r="AB1195" s="27">
        <f>IF(ISNUMBER($F1195),$A1195&amp;"|"&amp;$F1195,"")</f>
        <v/>
      </c>
      <c r="AC1195" s="27">
        <f>IF(ISNUMBER($P1195),COUNTIFS($A$14:$A$1213,$A1195,$P$14:$P$1213,"&gt;"&amp;$P1195)+(COUNTIFS($A$14:$A$1213,$A1195,$P$14:$P$1213,"="&amp;$P1195)+1)/2,"")</f>
        <v/>
      </c>
      <c r="AD1195" s="27">
        <f>IF(ISNUMBER($Q1195),COUNTIFS($A$14:$A$1213,$A1195,$Q$14:$Q$1213,"&gt;"&amp;$Q1195)+(COUNTIFS($A$14:$A$1213,$A1195,$Q$14:$Q$1213,"="&amp;$Q1195)+1)/2,"")</f>
        <v/>
      </c>
      <c r="AE1195" s="27">
        <f>IF(ISNUMBER($R1195),COUNTIFS($A$14:$A$1213,$A1195,$R$14:$R$1213,"&gt;"&amp;$R1195)+(COUNTIFS($A$14:$A$1213,$A1195,$R$14:$R$1213,"="&amp;$R1195)+1)/2,"")</f>
        <v/>
      </c>
      <c r="AF1195" s="27">
        <f>IF(ISNUMBER($S1195),COUNTIFS($A$14:$A$1213,$A1195,$S$14:$S$1213,"&gt;"&amp;$S1195)+(COUNTIFS($A$14:$A$1213,$A1195,$S$14:$S$1213,"="&amp;$S1195)+1)/2,"")</f>
        <v/>
      </c>
      <c r="AG1195" s="27">
        <f>IF(ISNUMBER($T1195),COUNTIFS($A$14:$A$1213,$A1195,$T$14:$T$1213,"&gt;"&amp;$T1195)+(COUNTIFS($A$14:$A$1213,$A1195,$T$14:$T$1213,"="&amp;$T1195)+1)/2,"")</f>
        <v/>
      </c>
      <c r="AH1195" s="27">
        <f>IF(COUNT($AC1195:$AG1195)&lt;2,"",IF(MAX($AC1195:$AG1195)=MIN($AC1195:$AG1195),0,1))</f>
        <v/>
      </c>
      <c r="AI1195" s="27">
        <f>IF($A1195="","",IF(COUNTIF($A$14:$A1195,$A1195)=1,COUNTIF($AI$13:AI1194,"&gt;0")+1,""))</f>
        <v/>
      </c>
      <c r="AO1195" s="27">
        <f>IF($A1195="","",IF(AND(COUNTIFS($A$14:$A$1213,$A1195,$F$14:$F$1213,"&gt;=0")=2,IFERROR(INDEX($M$14:$M$313,MATCH($A1195,$H$14:$H$313,0)),"Yes")&lt;&gt;"Yes"),1,0))</f>
        <v/>
      </c>
    </row>
    <row r="1196">
      <c r="A1196" s="19" t="n"/>
      <c r="B1196" s="20" t="n"/>
      <c r="C1196" s="21">
        <f>IFERROR(AVERAGE(P1196:T1196),"")</f>
        <v/>
      </c>
      <c r="D1196" s="29" t="n"/>
      <c r="E1196" s="29" t="n"/>
      <c r="F1196" s="30">
        <f>IF(AND(ISNUMBER($D1196),ISNUMBER($E1196),$E1196&gt;0,$D1196&lt;=$E1196),$D1196/$E1196,"")</f>
        <v/>
      </c>
      <c r="P1196" s="26" t="n"/>
      <c r="Q1196" s="26" t="n"/>
      <c r="R1196" s="26" t="n"/>
      <c r="S1196" s="26" t="n"/>
      <c r="T1196" s="26" t="n"/>
      <c r="V1196" s="27">
        <f>IF(ISNUMBER($C1196),COUNTIFS($A$14:$A$1213,$A1196,$C$14:$C$1213,"&gt;"&amp;$C1196)+(COUNTIFS($A$14:$A$1213,$A1196,$C$14:$C$1213,"="&amp;$C1196)+1)/2,"")</f>
        <v/>
      </c>
      <c r="W1196" s="27">
        <f>IF(ISNUMBER($F1196),COUNTIFS($A$14:$A$1213,$A1196,$F$14:$F$1213,"&gt;"&amp;$F1196)+(COUNTIFS($A$14:$A$1213,$A1196,$F$14:$F$1213,"="&amp;$F1196)+1)/2,"")</f>
        <v/>
      </c>
      <c r="X1196" s="27">
        <f>IF(OR(NOT(ISNUMBER($V1196)),$AO1196=1),"",$V1196-(COUNTIFS($A$14:$A$1213,$A1196,$C$14:$C$1213,"&gt;=0")+1)/2)</f>
        <v/>
      </c>
      <c r="Y1196" s="27">
        <f>IF(OR(NOT(ISNUMBER($W1196)),$AO1196=1),"",$W1196-(COUNTIFS($A$14:$A$1213,$A1196,$F$14:$F$1213,"&gt;=0")+1)/2)</f>
        <v/>
      </c>
      <c r="Z1196" s="27">
        <f>IF(ISNUMBER($V1196),$A1196&amp;"|"&amp;$V1196,"")</f>
        <v/>
      </c>
      <c r="AA1196" s="27">
        <f>IF(ISNUMBER($W1196),$A1196&amp;"|"&amp;$W1196,"")</f>
        <v/>
      </c>
      <c r="AB1196" s="27">
        <f>IF(ISNUMBER($F1196),$A1196&amp;"|"&amp;$F1196,"")</f>
        <v/>
      </c>
      <c r="AC1196" s="27">
        <f>IF(ISNUMBER($P1196),COUNTIFS($A$14:$A$1213,$A1196,$P$14:$P$1213,"&gt;"&amp;$P1196)+(COUNTIFS($A$14:$A$1213,$A1196,$P$14:$P$1213,"="&amp;$P1196)+1)/2,"")</f>
        <v/>
      </c>
      <c r="AD1196" s="27">
        <f>IF(ISNUMBER($Q1196),COUNTIFS($A$14:$A$1213,$A1196,$Q$14:$Q$1213,"&gt;"&amp;$Q1196)+(COUNTIFS($A$14:$A$1213,$A1196,$Q$14:$Q$1213,"="&amp;$Q1196)+1)/2,"")</f>
        <v/>
      </c>
      <c r="AE1196" s="27">
        <f>IF(ISNUMBER($R1196),COUNTIFS($A$14:$A$1213,$A1196,$R$14:$R$1213,"&gt;"&amp;$R1196)+(COUNTIFS($A$14:$A$1213,$A1196,$R$14:$R$1213,"="&amp;$R1196)+1)/2,"")</f>
        <v/>
      </c>
      <c r="AF1196" s="27">
        <f>IF(ISNUMBER($S1196),COUNTIFS($A$14:$A$1213,$A1196,$S$14:$S$1213,"&gt;"&amp;$S1196)+(COUNTIFS($A$14:$A$1213,$A1196,$S$14:$S$1213,"="&amp;$S1196)+1)/2,"")</f>
        <v/>
      </c>
      <c r="AG1196" s="27">
        <f>IF(ISNUMBER($T1196),COUNTIFS($A$14:$A$1213,$A1196,$T$14:$T$1213,"&gt;"&amp;$T1196)+(COUNTIFS($A$14:$A$1213,$A1196,$T$14:$T$1213,"="&amp;$T1196)+1)/2,"")</f>
        <v/>
      </c>
      <c r="AH1196" s="27">
        <f>IF(COUNT($AC1196:$AG1196)&lt;2,"",IF(MAX($AC1196:$AG1196)=MIN($AC1196:$AG1196),0,1))</f>
        <v/>
      </c>
      <c r="AI1196" s="27">
        <f>IF($A1196="","",IF(COUNTIF($A$14:$A1196,$A1196)=1,COUNTIF($AI$13:AI1195,"&gt;0")+1,""))</f>
        <v/>
      </c>
      <c r="AO1196" s="27">
        <f>IF($A1196="","",IF(AND(COUNTIFS($A$14:$A$1213,$A1196,$F$14:$F$1213,"&gt;=0")=2,IFERROR(INDEX($M$14:$M$313,MATCH($A1196,$H$14:$H$313,0)),"Yes")&lt;&gt;"Yes"),1,0))</f>
        <v/>
      </c>
    </row>
    <row r="1197">
      <c r="A1197" s="19" t="n"/>
      <c r="B1197" s="20" t="n"/>
      <c r="C1197" s="21">
        <f>IFERROR(AVERAGE(P1197:T1197),"")</f>
        <v/>
      </c>
      <c r="D1197" s="29" t="n"/>
      <c r="E1197" s="29" t="n"/>
      <c r="F1197" s="30">
        <f>IF(AND(ISNUMBER($D1197),ISNUMBER($E1197),$E1197&gt;0,$D1197&lt;=$E1197),$D1197/$E1197,"")</f>
        <v/>
      </c>
      <c r="P1197" s="26" t="n"/>
      <c r="Q1197" s="26" t="n"/>
      <c r="R1197" s="26" t="n"/>
      <c r="S1197" s="26" t="n"/>
      <c r="T1197" s="26" t="n"/>
      <c r="V1197" s="27">
        <f>IF(ISNUMBER($C1197),COUNTIFS($A$14:$A$1213,$A1197,$C$14:$C$1213,"&gt;"&amp;$C1197)+(COUNTIFS($A$14:$A$1213,$A1197,$C$14:$C$1213,"="&amp;$C1197)+1)/2,"")</f>
        <v/>
      </c>
      <c r="W1197" s="27">
        <f>IF(ISNUMBER($F1197),COUNTIFS($A$14:$A$1213,$A1197,$F$14:$F$1213,"&gt;"&amp;$F1197)+(COUNTIFS($A$14:$A$1213,$A1197,$F$14:$F$1213,"="&amp;$F1197)+1)/2,"")</f>
        <v/>
      </c>
      <c r="X1197" s="27">
        <f>IF(OR(NOT(ISNUMBER($V1197)),$AO1197=1),"",$V1197-(COUNTIFS($A$14:$A$1213,$A1197,$C$14:$C$1213,"&gt;=0")+1)/2)</f>
        <v/>
      </c>
      <c r="Y1197" s="27">
        <f>IF(OR(NOT(ISNUMBER($W1197)),$AO1197=1),"",$W1197-(COUNTIFS($A$14:$A$1213,$A1197,$F$14:$F$1213,"&gt;=0")+1)/2)</f>
        <v/>
      </c>
      <c r="Z1197" s="27">
        <f>IF(ISNUMBER($V1197),$A1197&amp;"|"&amp;$V1197,"")</f>
        <v/>
      </c>
      <c r="AA1197" s="27">
        <f>IF(ISNUMBER($W1197),$A1197&amp;"|"&amp;$W1197,"")</f>
        <v/>
      </c>
      <c r="AB1197" s="27">
        <f>IF(ISNUMBER($F1197),$A1197&amp;"|"&amp;$F1197,"")</f>
        <v/>
      </c>
      <c r="AC1197" s="27">
        <f>IF(ISNUMBER($P1197),COUNTIFS($A$14:$A$1213,$A1197,$P$14:$P$1213,"&gt;"&amp;$P1197)+(COUNTIFS($A$14:$A$1213,$A1197,$P$14:$P$1213,"="&amp;$P1197)+1)/2,"")</f>
        <v/>
      </c>
      <c r="AD1197" s="27">
        <f>IF(ISNUMBER($Q1197),COUNTIFS($A$14:$A$1213,$A1197,$Q$14:$Q$1213,"&gt;"&amp;$Q1197)+(COUNTIFS($A$14:$A$1213,$A1197,$Q$14:$Q$1213,"="&amp;$Q1197)+1)/2,"")</f>
        <v/>
      </c>
      <c r="AE1197" s="27">
        <f>IF(ISNUMBER($R1197),COUNTIFS($A$14:$A$1213,$A1197,$R$14:$R$1213,"&gt;"&amp;$R1197)+(COUNTIFS($A$14:$A$1213,$A1197,$R$14:$R$1213,"="&amp;$R1197)+1)/2,"")</f>
        <v/>
      </c>
      <c r="AF1197" s="27">
        <f>IF(ISNUMBER($S1197),COUNTIFS($A$14:$A$1213,$A1197,$S$14:$S$1213,"&gt;"&amp;$S1197)+(COUNTIFS($A$14:$A$1213,$A1197,$S$14:$S$1213,"="&amp;$S1197)+1)/2,"")</f>
        <v/>
      </c>
      <c r="AG1197" s="27">
        <f>IF(ISNUMBER($T1197),COUNTIFS($A$14:$A$1213,$A1197,$T$14:$T$1213,"&gt;"&amp;$T1197)+(COUNTIFS($A$14:$A$1213,$A1197,$T$14:$T$1213,"="&amp;$T1197)+1)/2,"")</f>
        <v/>
      </c>
      <c r="AH1197" s="27">
        <f>IF(COUNT($AC1197:$AG1197)&lt;2,"",IF(MAX($AC1197:$AG1197)=MIN($AC1197:$AG1197),0,1))</f>
        <v/>
      </c>
      <c r="AI1197" s="27">
        <f>IF($A1197="","",IF(COUNTIF($A$14:$A1197,$A1197)=1,COUNTIF($AI$13:AI1196,"&gt;0")+1,""))</f>
        <v/>
      </c>
      <c r="AO1197" s="27">
        <f>IF($A1197="","",IF(AND(COUNTIFS($A$14:$A$1213,$A1197,$F$14:$F$1213,"&gt;=0")=2,IFERROR(INDEX($M$14:$M$313,MATCH($A1197,$H$14:$H$313,0)),"Yes")&lt;&gt;"Yes"),1,0))</f>
        <v/>
      </c>
    </row>
    <row r="1198">
      <c r="A1198" s="19" t="n"/>
      <c r="B1198" s="20" t="n"/>
      <c r="C1198" s="21">
        <f>IFERROR(AVERAGE(P1198:T1198),"")</f>
        <v/>
      </c>
      <c r="D1198" s="29" t="n"/>
      <c r="E1198" s="29" t="n"/>
      <c r="F1198" s="30">
        <f>IF(AND(ISNUMBER($D1198),ISNUMBER($E1198),$E1198&gt;0,$D1198&lt;=$E1198),$D1198/$E1198,"")</f>
        <v/>
      </c>
      <c r="P1198" s="26" t="n"/>
      <c r="Q1198" s="26" t="n"/>
      <c r="R1198" s="26" t="n"/>
      <c r="S1198" s="26" t="n"/>
      <c r="T1198" s="26" t="n"/>
      <c r="V1198" s="27">
        <f>IF(ISNUMBER($C1198),COUNTIFS($A$14:$A$1213,$A1198,$C$14:$C$1213,"&gt;"&amp;$C1198)+(COUNTIFS($A$14:$A$1213,$A1198,$C$14:$C$1213,"="&amp;$C1198)+1)/2,"")</f>
        <v/>
      </c>
      <c r="W1198" s="27">
        <f>IF(ISNUMBER($F1198),COUNTIFS($A$14:$A$1213,$A1198,$F$14:$F$1213,"&gt;"&amp;$F1198)+(COUNTIFS($A$14:$A$1213,$A1198,$F$14:$F$1213,"="&amp;$F1198)+1)/2,"")</f>
        <v/>
      </c>
      <c r="X1198" s="27">
        <f>IF(OR(NOT(ISNUMBER($V1198)),$AO1198=1),"",$V1198-(COUNTIFS($A$14:$A$1213,$A1198,$C$14:$C$1213,"&gt;=0")+1)/2)</f>
        <v/>
      </c>
      <c r="Y1198" s="27">
        <f>IF(OR(NOT(ISNUMBER($W1198)),$AO1198=1),"",$W1198-(COUNTIFS($A$14:$A$1213,$A1198,$F$14:$F$1213,"&gt;=0")+1)/2)</f>
        <v/>
      </c>
      <c r="Z1198" s="27">
        <f>IF(ISNUMBER($V1198),$A1198&amp;"|"&amp;$V1198,"")</f>
        <v/>
      </c>
      <c r="AA1198" s="27">
        <f>IF(ISNUMBER($W1198),$A1198&amp;"|"&amp;$W1198,"")</f>
        <v/>
      </c>
      <c r="AB1198" s="27">
        <f>IF(ISNUMBER($F1198),$A1198&amp;"|"&amp;$F1198,"")</f>
        <v/>
      </c>
      <c r="AC1198" s="27">
        <f>IF(ISNUMBER($P1198),COUNTIFS($A$14:$A$1213,$A1198,$P$14:$P$1213,"&gt;"&amp;$P1198)+(COUNTIFS($A$14:$A$1213,$A1198,$P$14:$P$1213,"="&amp;$P1198)+1)/2,"")</f>
        <v/>
      </c>
      <c r="AD1198" s="27">
        <f>IF(ISNUMBER($Q1198),COUNTIFS($A$14:$A$1213,$A1198,$Q$14:$Q$1213,"&gt;"&amp;$Q1198)+(COUNTIFS($A$14:$A$1213,$A1198,$Q$14:$Q$1213,"="&amp;$Q1198)+1)/2,"")</f>
        <v/>
      </c>
      <c r="AE1198" s="27">
        <f>IF(ISNUMBER($R1198),COUNTIFS($A$14:$A$1213,$A1198,$R$14:$R$1213,"&gt;"&amp;$R1198)+(COUNTIFS($A$14:$A$1213,$A1198,$R$14:$R$1213,"="&amp;$R1198)+1)/2,"")</f>
        <v/>
      </c>
      <c r="AF1198" s="27">
        <f>IF(ISNUMBER($S1198),COUNTIFS($A$14:$A$1213,$A1198,$S$14:$S$1213,"&gt;"&amp;$S1198)+(COUNTIFS($A$14:$A$1213,$A1198,$S$14:$S$1213,"="&amp;$S1198)+1)/2,"")</f>
        <v/>
      </c>
      <c r="AG1198" s="27">
        <f>IF(ISNUMBER($T1198),COUNTIFS($A$14:$A$1213,$A1198,$T$14:$T$1213,"&gt;"&amp;$T1198)+(COUNTIFS($A$14:$A$1213,$A1198,$T$14:$T$1213,"="&amp;$T1198)+1)/2,"")</f>
        <v/>
      </c>
      <c r="AH1198" s="27">
        <f>IF(COUNT($AC1198:$AG1198)&lt;2,"",IF(MAX($AC1198:$AG1198)=MIN($AC1198:$AG1198),0,1))</f>
        <v/>
      </c>
      <c r="AI1198" s="27">
        <f>IF($A1198="","",IF(COUNTIF($A$14:$A1198,$A1198)=1,COUNTIF($AI$13:AI1197,"&gt;0")+1,""))</f>
        <v/>
      </c>
      <c r="AO1198" s="27">
        <f>IF($A1198="","",IF(AND(COUNTIFS($A$14:$A$1213,$A1198,$F$14:$F$1213,"&gt;=0")=2,IFERROR(INDEX($M$14:$M$313,MATCH($A1198,$H$14:$H$313,0)),"Yes")&lt;&gt;"Yes"),1,0))</f>
        <v/>
      </c>
    </row>
    <row r="1199">
      <c r="A1199" s="19" t="n"/>
      <c r="B1199" s="20" t="n"/>
      <c r="C1199" s="21">
        <f>IFERROR(AVERAGE(P1199:T1199),"")</f>
        <v/>
      </c>
      <c r="D1199" s="29" t="n"/>
      <c r="E1199" s="29" t="n"/>
      <c r="F1199" s="30">
        <f>IF(AND(ISNUMBER($D1199),ISNUMBER($E1199),$E1199&gt;0,$D1199&lt;=$E1199),$D1199/$E1199,"")</f>
        <v/>
      </c>
      <c r="P1199" s="26" t="n"/>
      <c r="Q1199" s="26" t="n"/>
      <c r="R1199" s="26" t="n"/>
      <c r="S1199" s="26" t="n"/>
      <c r="T1199" s="26" t="n"/>
      <c r="V1199" s="27">
        <f>IF(ISNUMBER($C1199),COUNTIFS($A$14:$A$1213,$A1199,$C$14:$C$1213,"&gt;"&amp;$C1199)+(COUNTIFS($A$14:$A$1213,$A1199,$C$14:$C$1213,"="&amp;$C1199)+1)/2,"")</f>
        <v/>
      </c>
      <c r="W1199" s="27">
        <f>IF(ISNUMBER($F1199),COUNTIFS($A$14:$A$1213,$A1199,$F$14:$F$1213,"&gt;"&amp;$F1199)+(COUNTIFS($A$14:$A$1213,$A1199,$F$14:$F$1213,"="&amp;$F1199)+1)/2,"")</f>
        <v/>
      </c>
      <c r="X1199" s="27">
        <f>IF(OR(NOT(ISNUMBER($V1199)),$AO1199=1),"",$V1199-(COUNTIFS($A$14:$A$1213,$A1199,$C$14:$C$1213,"&gt;=0")+1)/2)</f>
        <v/>
      </c>
      <c r="Y1199" s="27">
        <f>IF(OR(NOT(ISNUMBER($W1199)),$AO1199=1),"",$W1199-(COUNTIFS($A$14:$A$1213,$A1199,$F$14:$F$1213,"&gt;=0")+1)/2)</f>
        <v/>
      </c>
      <c r="Z1199" s="27">
        <f>IF(ISNUMBER($V1199),$A1199&amp;"|"&amp;$V1199,"")</f>
        <v/>
      </c>
      <c r="AA1199" s="27">
        <f>IF(ISNUMBER($W1199),$A1199&amp;"|"&amp;$W1199,"")</f>
        <v/>
      </c>
      <c r="AB1199" s="27">
        <f>IF(ISNUMBER($F1199),$A1199&amp;"|"&amp;$F1199,"")</f>
        <v/>
      </c>
      <c r="AC1199" s="27">
        <f>IF(ISNUMBER($P1199),COUNTIFS($A$14:$A$1213,$A1199,$P$14:$P$1213,"&gt;"&amp;$P1199)+(COUNTIFS($A$14:$A$1213,$A1199,$P$14:$P$1213,"="&amp;$P1199)+1)/2,"")</f>
        <v/>
      </c>
      <c r="AD1199" s="27">
        <f>IF(ISNUMBER($Q1199),COUNTIFS($A$14:$A$1213,$A1199,$Q$14:$Q$1213,"&gt;"&amp;$Q1199)+(COUNTIFS($A$14:$A$1213,$A1199,$Q$14:$Q$1213,"="&amp;$Q1199)+1)/2,"")</f>
        <v/>
      </c>
      <c r="AE1199" s="27">
        <f>IF(ISNUMBER($R1199),COUNTIFS($A$14:$A$1213,$A1199,$R$14:$R$1213,"&gt;"&amp;$R1199)+(COUNTIFS($A$14:$A$1213,$A1199,$R$14:$R$1213,"="&amp;$R1199)+1)/2,"")</f>
        <v/>
      </c>
      <c r="AF1199" s="27">
        <f>IF(ISNUMBER($S1199),COUNTIFS($A$14:$A$1213,$A1199,$S$14:$S$1213,"&gt;"&amp;$S1199)+(COUNTIFS($A$14:$A$1213,$A1199,$S$14:$S$1213,"="&amp;$S1199)+1)/2,"")</f>
        <v/>
      </c>
      <c r="AG1199" s="27">
        <f>IF(ISNUMBER($T1199),COUNTIFS($A$14:$A$1213,$A1199,$T$14:$T$1213,"&gt;"&amp;$T1199)+(COUNTIFS($A$14:$A$1213,$A1199,$T$14:$T$1213,"="&amp;$T1199)+1)/2,"")</f>
        <v/>
      </c>
      <c r="AH1199" s="27">
        <f>IF(COUNT($AC1199:$AG1199)&lt;2,"",IF(MAX($AC1199:$AG1199)=MIN($AC1199:$AG1199),0,1))</f>
        <v/>
      </c>
      <c r="AI1199" s="27">
        <f>IF($A1199="","",IF(COUNTIF($A$14:$A1199,$A1199)=1,COUNTIF($AI$13:AI1198,"&gt;0")+1,""))</f>
        <v/>
      </c>
      <c r="AO1199" s="27">
        <f>IF($A1199="","",IF(AND(COUNTIFS($A$14:$A$1213,$A1199,$F$14:$F$1213,"&gt;=0")=2,IFERROR(INDEX($M$14:$M$313,MATCH($A1199,$H$14:$H$313,0)),"Yes")&lt;&gt;"Yes"),1,0))</f>
        <v/>
      </c>
    </row>
    <row r="1200">
      <c r="A1200" s="19" t="n"/>
      <c r="B1200" s="20" t="n"/>
      <c r="C1200" s="21">
        <f>IFERROR(AVERAGE(P1200:T1200),"")</f>
        <v/>
      </c>
      <c r="D1200" s="29" t="n"/>
      <c r="E1200" s="29" t="n"/>
      <c r="F1200" s="30">
        <f>IF(AND(ISNUMBER($D1200),ISNUMBER($E1200),$E1200&gt;0,$D1200&lt;=$E1200),$D1200/$E1200,"")</f>
        <v/>
      </c>
      <c r="P1200" s="26" t="n"/>
      <c r="Q1200" s="26" t="n"/>
      <c r="R1200" s="26" t="n"/>
      <c r="S1200" s="26" t="n"/>
      <c r="T1200" s="26" t="n"/>
      <c r="V1200" s="27">
        <f>IF(ISNUMBER($C1200),COUNTIFS($A$14:$A$1213,$A1200,$C$14:$C$1213,"&gt;"&amp;$C1200)+(COUNTIFS($A$14:$A$1213,$A1200,$C$14:$C$1213,"="&amp;$C1200)+1)/2,"")</f>
        <v/>
      </c>
      <c r="W1200" s="27">
        <f>IF(ISNUMBER($F1200),COUNTIFS($A$14:$A$1213,$A1200,$F$14:$F$1213,"&gt;"&amp;$F1200)+(COUNTIFS($A$14:$A$1213,$A1200,$F$14:$F$1213,"="&amp;$F1200)+1)/2,"")</f>
        <v/>
      </c>
      <c r="X1200" s="27">
        <f>IF(OR(NOT(ISNUMBER($V1200)),$AO1200=1),"",$V1200-(COUNTIFS($A$14:$A$1213,$A1200,$C$14:$C$1213,"&gt;=0")+1)/2)</f>
        <v/>
      </c>
      <c r="Y1200" s="27">
        <f>IF(OR(NOT(ISNUMBER($W1200)),$AO1200=1),"",$W1200-(COUNTIFS($A$14:$A$1213,$A1200,$F$14:$F$1213,"&gt;=0")+1)/2)</f>
        <v/>
      </c>
      <c r="Z1200" s="27">
        <f>IF(ISNUMBER($V1200),$A1200&amp;"|"&amp;$V1200,"")</f>
        <v/>
      </c>
      <c r="AA1200" s="27">
        <f>IF(ISNUMBER($W1200),$A1200&amp;"|"&amp;$W1200,"")</f>
        <v/>
      </c>
      <c r="AB1200" s="27">
        <f>IF(ISNUMBER($F1200),$A1200&amp;"|"&amp;$F1200,"")</f>
        <v/>
      </c>
      <c r="AC1200" s="27">
        <f>IF(ISNUMBER($P1200),COUNTIFS($A$14:$A$1213,$A1200,$P$14:$P$1213,"&gt;"&amp;$P1200)+(COUNTIFS($A$14:$A$1213,$A1200,$P$14:$P$1213,"="&amp;$P1200)+1)/2,"")</f>
        <v/>
      </c>
      <c r="AD1200" s="27">
        <f>IF(ISNUMBER($Q1200),COUNTIFS($A$14:$A$1213,$A1200,$Q$14:$Q$1213,"&gt;"&amp;$Q1200)+(COUNTIFS($A$14:$A$1213,$A1200,$Q$14:$Q$1213,"="&amp;$Q1200)+1)/2,"")</f>
        <v/>
      </c>
      <c r="AE1200" s="27">
        <f>IF(ISNUMBER($R1200),COUNTIFS($A$14:$A$1213,$A1200,$R$14:$R$1213,"&gt;"&amp;$R1200)+(COUNTIFS($A$14:$A$1213,$A1200,$R$14:$R$1213,"="&amp;$R1200)+1)/2,"")</f>
        <v/>
      </c>
      <c r="AF1200" s="27">
        <f>IF(ISNUMBER($S1200),COUNTIFS($A$14:$A$1213,$A1200,$S$14:$S$1213,"&gt;"&amp;$S1200)+(COUNTIFS($A$14:$A$1213,$A1200,$S$14:$S$1213,"="&amp;$S1200)+1)/2,"")</f>
        <v/>
      </c>
      <c r="AG1200" s="27">
        <f>IF(ISNUMBER($T1200),COUNTIFS($A$14:$A$1213,$A1200,$T$14:$T$1213,"&gt;"&amp;$T1200)+(COUNTIFS($A$14:$A$1213,$A1200,$T$14:$T$1213,"="&amp;$T1200)+1)/2,"")</f>
        <v/>
      </c>
      <c r="AH1200" s="27">
        <f>IF(COUNT($AC1200:$AG1200)&lt;2,"",IF(MAX($AC1200:$AG1200)=MIN($AC1200:$AG1200),0,1))</f>
        <v/>
      </c>
      <c r="AI1200" s="27">
        <f>IF($A1200="","",IF(COUNTIF($A$14:$A1200,$A1200)=1,COUNTIF($AI$13:AI1199,"&gt;0")+1,""))</f>
        <v/>
      </c>
      <c r="AO1200" s="27">
        <f>IF($A1200="","",IF(AND(COUNTIFS($A$14:$A$1213,$A1200,$F$14:$F$1213,"&gt;=0")=2,IFERROR(INDEX($M$14:$M$313,MATCH($A1200,$H$14:$H$313,0)),"Yes")&lt;&gt;"Yes"),1,0))</f>
        <v/>
      </c>
    </row>
    <row r="1201">
      <c r="A1201" s="19" t="n"/>
      <c r="B1201" s="20" t="n"/>
      <c r="C1201" s="21">
        <f>IFERROR(AVERAGE(P1201:T1201),"")</f>
        <v/>
      </c>
      <c r="D1201" s="29" t="n"/>
      <c r="E1201" s="29" t="n"/>
      <c r="F1201" s="30">
        <f>IF(AND(ISNUMBER($D1201),ISNUMBER($E1201),$E1201&gt;0,$D1201&lt;=$E1201),$D1201/$E1201,"")</f>
        <v/>
      </c>
      <c r="P1201" s="26" t="n"/>
      <c r="Q1201" s="26" t="n"/>
      <c r="R1201" s="26" t="n"/>
      <c r="S1201" s="26" t="n"/>
      <c r="T1201" s="26" t="n"/>
      <c r="V1201" s="27">
        <f>IF(ISNUMBER($C1201),COUNTIFS($A$14:$A$1213,$A1201,$C$14:$C$1213,"&gt;"&amp;$C1201)+(COUNTIFS($A$14:$A$1213,$A1201,$C$14:$C$1213,"="&amp;$C1201)+1)/2,"")</f>
        <v/>
      </c>
      <c r="W1201" s="27">
        <f>IF(ISNUMBER($F1201),COUNTIFS($A$14:$A$1213,$A1201,$F$14:$F$1213,"&gt;"&amp;$F1201)+(COUNTIFS($A$14:$A$1213,$A1201,$F$14:$F$1213,"="&amp;$F1201)+1)/2,"")</f>
        <v/>
      </c>
      <c r="X1201" s="27">
        <f>IF(OR(NOT(ISNUMBER($V1201)),$AO1201=1),"",$V1201-(COUNTIFS($A$14:$A$1213,$A1201,$C$14:$C$1213,"&gt;=0")+1)/2)</f>
        <v/>
      </c>
      <c r="Y1201" s="27">
        <f>IF(OR(NOT(ISNUMBER($W1201)),$AO1201=1),"",$W1201-(COUNTIFS($A$14:$A$1213,$A1201,$F$14:$F$1213,"&gt;=0")+1)/2)</f>
        <v/>
      </c>
      <c r="Z1201" s="27">
        <f>IF(ISNUMBER($V1201),$A1201&amp;"|"&amp;$V1201,"")</f>
        <v/>
      </c>
      <c r="AA1201" s="27">
        <f>IF(ISNUMBER($W1201),$A1201&amp;"|"&amp;$W1201,"")</f>
        <v/>
      </c>
      <c r="AB1201" s="27">
        <f>IF(ISNUMBER($F1201),$A1201&amp;"|"&amp;$F1201,"")</f>
        <v/>
      </c>
      <c r="AC1201" s="27">
        <f>IF(ISNUMBER($P1201),COUNTIFS($A$14:$A$1213,$A1201,$P$14:$P$1213,"&gt;"&amp;$P1201)+(COUNTIFS($A$14:$A$1213,$A1201,$P$14:$P$1213,"="&amp;$P1201)+1)/2,"")</f>
        <v/>
      </c>
      <c r="AD1201" s="27">
        <f>IF(ISNUMBER($Q1201),COUNTIFS($A$14:$A$1213,$A1201,$Q$14:$Q$1213,"&gt;"&amp;$Q1201)+(COUNTIFS($A$14:$A$1213,$A1201,$Q$14:$Q$1213,"="&amp;$Q1201)+1)/2,"")</f>
        <v/>
      </c>
      <c r="AE1201" s="27">
        <f>IF(ISNUMBER($R1201),COUNTIFS($A$14:$A$1213,$A1201,$R$14:$R$1213,"&gt;"&amp;$R1201)+(COUNTIFS($A$14:$A$1213,$A1201,$R$14:$R$1213,"="&amp;$R1201)+1)/2,"")</f>
        <v/>
      </c>
      <c r="AF1201" s="27">
        <f>IF(ISNUMBER($S1201),COUNTIFS($A$14:$A$1213,$A1201,$S$14:$S$1213,"&gt;"&amp;$S1201)+(COUNTIFS($A$14:$A$1213,$A1201,$S$14:$S$1213,"="&amp;$S1201)+1)/2,"")</f>
        <v/>
      </c>
      <c r="AG1201" s="27">
        <f>IF(ISNUMBER($T1201),COUNTIFS($A$14:$A$1213,$A1201,$T$14:$T$1213,"&gt;"&amp;$T1201)+(COUNTIFS($A$14:$A$1213,$A1201,$T$14:$T$1213,"="&amp;$T1201)+1)/2,"")</f>
        <v/>
      </c>
      <c r="AH1201" s="27">
        <f>IF(COUNT($AC1201:$AG1201)&lt;2,"",IF(MAX($AC1201:$AG1201)=MIN($AC1201:$AG1201),0,1))</f>
        <v/>
      </c>
      <c r="AI1201" s="27">
        <f>IF($A1201="","",IF(COUNTIF($A$14:$A1201,$A1201)=1,COUNTIF($AI$13:AI1200,"&gt;0")+1,""))</f>
        <v/>
      </c>
      <c r="AO1201" s="27">
        <f>IF($A1201="","",IF(AND(COUNTIFS($A$14:$A$1213,$A1201,$F$14:$F$1213,"&gt;=0")=2,IFERROR(INDEX($M$14:$M$313,MATCH($A1201,$H$14:$H$313,0)),"Yes")&lt;&gt;"Yes"),1,0))</f>
        <v/>
      </c>
    </row>
    <row r="1202">
      <c r="A1202" s="19" t="n"/>
      <c r="B1202" s="20" t="n"/>
      <c r="C1202" s="21">
        <f>IFERROR(AVERAGE(P1202:T1202),"")</f>
        <v/>
      </c>
      <c r="D1202" s="29" t="n"/>
      <c r="E1202" s="29" t="n"/>
      <c r="F1202" s="30">
        <f>IF(AND(ISNUMBER($D1202),ISNUMBER($E1202),$E1202&gt;0,$D1202&lt;=$E1202),$D1202/$E1202,"")</f>
        <v/>
      </c>
      <c r="P1202" s="26" t="n"/>
      <c r="Q1202" s="26" t="n"/>
      <c r="R1202" s="26" t="n"/>
      <c r="S1202" s="26" t="n"/>
      <c r="T1202" s="26" t="n"/>
      <c r="V1202" s="27">
        <f>IF(ISNUMBER($C1202),COUNTIFS($A$14:$A$1213,$A1202,$C$14:$C$1213,"&gt;"&amp;$C1202)+(COUNTIFS($A$14:$A$1213,$A1202,$C$14:$C$1213,"="&amp;$C1202)+1)/2,"")</f>
        <v/>
      </c>
      <c r="W1202" s="27">
        <f>IF(ISNUMBER($F1202),COUNTIFS($A$14:$A$1213,$A1202,$F$14:$F$1213,"&gt;"&amp;$F1202)+(COUNTIFS($A$14:$A$1213,$A1202,$F$14:$F$1213,"="&amp;$F1202)+1)/2,"")</f>
        <v/>
      </c>
      <c r="X1202" s="27">
        <f>IF(OR(NOT(ISNUMBER($V1202)),$AO1202=1),"",$V1202-(COUNTIFS($A$14:$A$1213,$A1202,$C$14:$C$1213,"&gt;=0")+1)/2)</f>
        <v/>
      </c>
      <c r="Y1202" s="27">
        <f>IF(OR(NOT(ISNUMBER($W1202)),$AO1202=1),"",$W1202-(COUNTIFS($A$14:$A$1213,$A1202,$F$14:$F$1213,"&gt;=0")+1)/2)</f>
        <v/>
      </c>
      <c r="Z1202" s="27">
        <f>IF(ISNUMBER($V1202),$A1202&amp;"|"&amp;$V1202,"")</f>
        <v/>
      </c>
      <c r="AA1202" s="27">
        <f>IF(ISNUMBER($W1202),$A1202&amp;"|"&amp;$W1202,"")</f>
        <v/>
      </c>
      <c r="AB1202" s="27">
        <f>IF(ISNUMBER($F1202),$A1202&amp;"|"&amp;$F1202,"")</f>
        <v/>
      </c>
      <c r="AC1202" s="27">
        <f>IF(ISNUMBER($P1202),COUNTIFS($A$14:$A$1213,$A1202,$P$14:$P$1213,"&gt;"&amp;$P1202)+(COUNTIFS($A$14:$A$1213,$A1202,$P$14:$P$1213,"="&amp;$P1202)+1)/2,"")</f>
        <v/>
      </c>
      <c r="AD1202" s="27">
        <f>IF(ISNUMBER($Q1202),COUNTIFS($A$14:$A$1213,$A1202,$Q$14:$Q$1213,"&gt;"&amp;$Q1202)+(COUNTIFS($A$14:$A$1213,$A1202,$Q$14:$Q$1213,"="&amp;$Q1202)+1)/2,"")</f>
        <v/>
      </c>
      <c r="AE1202" s="27">
        <f>IF(ISNUMBER($R1202),COUNTIFS($A$14:$A$1213,$A1202,$R$14:$R$1213,"&gt;"&amp;$R1202)+(COUNTIFS($A$14:$A$1213,$A1202,$R$14:$R$1213,"="&amp;$R1202)+1)/2,"")</f>
        <v/>
      </c>
      <c r="AF1202" s="27">
        <f>IF(ISNUMBER($S1202),COUNTIFS($A$14:$A$1213,$A1202,$S$14:$S$1213,"&gt;"&amp;$S1202)+(COUNTIFS($A$14:$A$1213,$A1202,$S$14:$S$1213,"="&amp;$S1202)+1)/2,"")</f>
        <v/>
      </c>
      <c r="AG1202" s="27">
        <f>IF(ISNUMBER($T1202),COUNTIFS($A$14:$A$1213,$A1202,$T$14:$T$1213,"&gt;"&amp;$T1202)+(COUNTIFS($A$14:$A$1213,$A1202,$T$14:$T$1213,"="&amp;$T1202)+1)/2,"")</f>
        <v/>
      </c>
      <c r="AH1202" s="27">
        <f>IF(COUNT($AC1202:$AG1202)&lt;2,"",IF(MAX($AC1202:$AG1202)=MIN($AC1202:$AG1202),0,1))</f>
        <v/>
      </c>
      <c r="AI1202" s="27">
        <f>IF($A1202="","",IF(COUNTIF($A$14:$A1202,$A1202)=1,COUNTIF($AI$13:AI1201,"&gt;0")+1,""))</f>
        <v/>
      </c>
      <c r="AO1202" s="27">
        <f>IF($A1202="","",IF(AND(COUNTIFS($A$14:$A$1213,$A1202,$F$14:$F$1213,"&gt;=0")=2,IFERROR(INDEX($M$14:$M$313,MATCH($A1202,$H$14:$H$313,0)),"Yes")&lt;&gt;"Yes"),1,0))</f>
        <v/>
      </c>
    </row>
    <row r="1203">
      <c r="A1203" s="19" t="n"/>
      <c r="B1203" s="20" t="n"/>
      <c r="C1203" s="21">
        <f>IFERROR(AVERAGE(P1203:T1203),"")</f>
        <v/>
      </c>
      <c r="D1203" s="29" t="n"/>
      <c r="E1203" s="29" t="n"/>
      <c r="F1203" s="30">
        <f>IF(AND(ISNUMBER($D1203),ISNUMBER($E1203),$E1203&gt;0,$D1203&lt;=$E1203),$D1203/$E1203,"")</f>
        <v/>
      </c>
      <c r="P1203" s="26" t="n"/>
      <c r="Q1203" s="26" t="n"/>
      <c r="R1203" s="26" t="n"/>
      <c r="S1203" s="26" t="n"/>
      <c r="T1203" s="26" t="n"/>
      <c r="V1203" s="27">
        <f>IF(ISNUMBER($C1203),COUNTIFS($A$14:$A$1213,$A1203,$C$14:$C$1213,"&gt;"&amp;$C1203)+(COUNTIFS($A$14:$A$1213,$A1203,$C$14:$C$1213,"="&amp;$C1203)+1)/2,"")</f>
        <v/>
      </c>
      <c r="W1203" s="27">
        <f>IF(ISNUMBER($F1203),COUNTIFS($A$14:$A$1213,$A1203,$F$14:$F$1213,"&gt;"&amp;$F1203)+(COUNTIFS($A$14:$A$1213,$A1203,$F$14:$F$1213,"="&amp;$F1203)+1)/2,"")</f>
        <v/>
      </c>
      <c r="X1203" s="27">
        <f>IF(OR(NOT(ISNUMBER($V1203)),$AO1203=1),"",$V1203-(COUNTIFS($A$14:$A$1213,$A1203,$C$14:$C$1213,"&gt;=0")+1)/2)</f>
        <v/>
      </c>
      <c r="Y1203" s="27">
        <f>IF(OR(NOT(ISNUMBER($W1203)),$AO1203=1),"",$W1203-(COUNTIFS($A$14:$A$1213,$A1203,$F$14:$F$1213,"&gt;=0")+1)/2)</f>
        <v/>
      </c>
      <c r="Z1203" s="27">
        <f>IF(ISNUMBER($V1203),$A1203&amp;"|"&amp;$V1203,"")</f>
        <v/>
      </c>
      <c r="AA1203" s="27">
        <f>IF(ISNUMBER($W1203),$A1203&amp;"|"&amp;$W1203,"")</f>
        <v/>
      </c>
      <c r="AB1203" s="27">
        <f>IF(ISNUMBER($F1203),$A1203&amp;"|"&amp;$F1203,"")</f>
        <v/>
      </c>
      <c r="AC1203" s="27">
        <f>IF(ISNUMBER($P1203),COUNTIFS($A$14:$A$1213,$A1203,$P$14:$P$1213,"&gt;"&amp;$P1203)+(COUNTIFS($A$14:$A$1213,$A1203,$P$14:$P$1213,"="&amp;$P1203)+1)/2,"")</f>
        <v/>
      </c>
      <c r="AD1203" s="27">
        <f>IF(ISNUMBER($Q1203),COUNTIFS($A$14:$A$1213,$A1203,$Q$14:$Q$1213,"&gt;"&amp;$Q1203)+(COUNTIFS($A$14:$A$1213,$A1203,$Q$14:$Q$1213,"="&amp;$Q1203)+1)/2,"")</f>
        <v/>
      </c>
      <c r="AE1203" s="27">
        <f>IF(ISNUMBER($R1203),COUNTIFS($A$14:$A$1213,$A1203,$R$14:$R$1213,"&gt;"&amp;$R1203)+(COUNTIFS($A$14:$A$1213,$A1203,$R$14:$R$1213,"="&amp;$R1203)+1)/2,"")</f>
        <v/>
      </c>
      <c r="AF1203" s="27">
        <f>IF(ISNUMBER($S1203),COUNTIFS($A$14:$A$1213,$A1203,$S$14:$S$1213,"&gt;"&amp;$S1203)+(COUNTIFS($A$14:$A$1213,$A1203,$S$14:$S$1213,"="&amp;$S1203)+1)/2,"")</f>
        <v/>
      </c>
      <c r="AG1203" s="27">
        <f>IF(ISNUMBER($T1203),COUNTIFS($A$14:$A$1213,$A1203,$T$14:$T$1213,"&gt;"&amp;$T1203)+(COUNTIFS($A$14:$A$1213,$A1203,$T$14:$T$1213,"="&amp;$T1203)+1)/2,"")</f>
        <v/>
      </c>
      <c r="AH1203" s="27">
        <f>IF(COUNT($AC1203:$AG1203)&lt;2,"",IF(MAX($AC1203:$AG1203)=MIN($AC1203:$AG1203),0,1))</f>
        <v/>
      </c>
      <c r="AI1203" s="27">
        <f>IF($A1203="","",IF(COUNTIF($A$14:$A1203,$A1203)=1,COUNTIF($AI$13:AI1202,"&gt;0")+1,""))</f>
        <v/>
      </c>
      <c r="AO1203" s="27">
        <f>IF($A1203="","",IF(AND(COUNTIFS($A$14:$A$1213,$A1203,$F$14:$F$1213,"&gt;=0")=2,IFERROR(INDEX($M$14:$M$313,MATCH($A1203,$H$14:$H$313,0)),"Yes")&lt;&gt;"Yes"),1,0))</f>
        <v/>
      </c>
    </row>
    <row r="1204">
      <c r="A1204" s="19" t="n"/>
      <c r="B1204" s="20" t="n"/>
      <c r="C1204" s="21">
        <f>IFERROR(AVERAGE(P1204:T1204),"")</f>
        <v/>
      </c>
      <c r="D1204" s="29" t="n"/>
      <c r="E1204" s="29" t="n"/>
      <c r="F1204" s="30">
        <f>IF(AND(ISNUMBER($D1204),ISNUMBER($E1204),$E1204&gt;0,$D1204&lt;=$E1204),$D1204/$E1204,"")</f>
        <v/>
      </c>
      <c r="P1204" s="26" t="n"/>
      <c r="Q1204" s="26" t="n"/>
      <c r="R1204" s="26" t="n"/>
      <c r="S1204" s="26" t="n"/>
      <c r="T1204" s="26" t="n"/>
      <c r="V1204" s="27">
        <f>IF(ISNUMBER($C1204),COUNTIFS($A$14:$A$1213,$A1204,$C$14:$C$1213,"&gt;"&amp;$C1204)+(COUNTIFS($A$14:$A$1213,$A1204,$C$14:$C$1213,"="&amp;$C1204)+1)/2,"")</f>
        <v/>
      </c>
      <c r="W1204" s="27">
        <f>IF(ISNUMBER($F1204),COUNTIFS($A$14:$A$1213,$A1204,$F$14:$F$1213,"&gt;"&amp;$F1204)+(COUNTIFS($A$14:$A$1213,$A1204,$F$14:$F$1213,"="&amp;$F1204)+1)/2,"")</f>
        <v/>
      </c>
      <c r="X1204" s="27">
        <f>IF(OR(NOT(ISNUMBER($V1204)),$AO1204=1),"",$V1204-(COUNTIFS($A$14:$A$1213,$A1204,$C$14:$C$1213,"&gt;=0")+1)/2)</f>
        <v/>
      </c>
      <c r="Y1204" s="27">
        <f>IF(OR(NOT(ISNUMBER($W1204)),$AO1204=1),"",$W1204-(COUNTIFS($A$14:$A$1213,$A1204,$F$14:$F$1213,"&gt;=0")+1)/2)</f>
        <v/>
      </c>
      <c r="Z1204" s="27">
        <f>IF(ISNUMBER($V1204),$A1204&amp;"|"&amp;$V1204,"")</f>
        <v/>
      </c>
      <c r="AA1204" s="27">
        <f>IF(ISNUMBER($W1204),$A1204&amp;"|"&amp;$W1204,"")</f>
        <v/>
      </c>
      <c r="AB1204" s="27">
        <f>IF(ISNUMBER($F1204),$A1204&amp;"|"&amp;$F1204,"")</f>
        <v/>
      </c>
      <c r="AC1204" s="27">
        <f>IF(ISNUMBER($P1204),COUNTIFS($A$14:$A$1213,$A1204,$P$14:$P$1213,"&gt;"&amp;$P1204)+(COUNTIFS($A$14:$A$1213,$A1204,$P$14:$P$1213,"="&amp;$P1204)+1)/2,"")</f>
        <v/>
      </c>
      <c r="AD1204" s="27">
        <f>IF(ISNUMBER($Q1204),COUNTIFS($A$14:$A$1213,$A1204,$Q$14:$Q$1213,"&gt;"&amp;$Q1204)+(COUNTIFS($A$14:$A$1213,$A1204,$Q$14:$Q$1213,"="&amp;$Q1204)+1)/2,"")</f>
        <v/>
      </c>
      <c r="AE1204" s="27">
        <f>IF(ISNUMBER($R1204),COUNTIFS($A$14:$A$1213,$A1204,$R$14:$R$1213,"&gt;"&amp;$R1204)+(COUNTIFS($A$14:$A$1213,$A1204,$R$14:$R$1213,"="&amp;$R1204)+1)/2,"")</f>
        <v/>
      </c>
      <c r="AF1204" s="27">
        <f>IF(ISNUMBER($S1204),COUNTIFS($A$14:$A$1213,$A1204,$S$14:$S$1213,"&gt;"&amp;$S1204)+(COUNTIFS($A$14:$A$1213,$A1204,$S$14:$S$1213,"="&amp;$S1204)+1)/2,"")</f>
        <v/>
      </c>
      <c r="AG1204" s="27">
        <f>IF(ISNUMBER($T1204),COUNTIFS($A$14:$A$1213,$A1204,$T$14:$T$1213,"&gt;"&amp;$T1204)+(COUNTIFS($A$14:$A$1213,$A1204,$T$14:$T$1213,"="&amp;$T1204)+1)/2,"")</f>
        <v/>
      </c>
      <c r="AH1204" s="27">
        <f>IF(COUNT($AC1204:$AG1204)&lt;2,"",IF(MAX($AC1204:$AG1204)=MIN($AC1204:$AG1204),0,1))</f>
        <v/>
      </c>
      <c r="AI1204" s="27">
        <f>IF($A1204="","",IF(COUNTIF($A$14:$A1204,$A1204)=1,COUNTIF($AI$13:AI1203,"&gt;0")+1,""))</f>
        <v/>
      </c>
      <c r="AO1204" s="27">
        <f>IF($A1204="","",IF(AND(COUNTIFS($A$14:$A$1213,$A1204,$F$14:$F$1213,"&gt;=0")=2,IFERROR(INDEX($M$14:$M$313,MATCH($A1204,$H$14:$H$313,0)),"Yes")&lt;&gt;"Yes"),1,0))</f>
        <v/>
      </c>
    </row>
    <row r="1205">
      <c r="A1205" s="19" t="n"/>
      <c r="B1205" s="20" t="n"/>
      <c r="C1205" s="21">
        <f>IFERROR(AVERAGE(P1205:T1205),"")</f>
        <v/>
      </c>
      <c r="D1205" s="29" t="n"/>
      <c r="E1205" s="29" t="n"/>
      <c r="F1205" s="30">
        <f>IF(AND(ISNUMBER($D1205),ISNUMBER($E1205),$E1205&gt;0,$D1205&lt;=$E1205),$D1205/$E1205,"")</f>
        <v/>
      </c>
      <c r="P1205" s="26" t="n"/>
      <c r="Q1205" s="26" t="n"/>
      <c r="R1205" s="26" t="n"/>
      <c r="S1205" s="26" t="n"/>
      <c r="T1205" s="26" t="n"/>
      <c r="V1205" s="27">
        <f>IF(ISNUMBER($C1205),COUNTIFS($A$14:$A$1213,$A1205,$C$14:$C$1213,"&gt;"&amp;$C1205)+(COUNTIFS($A$14:$A$1213,$A1205,$C$14:$C$1213,"="&amp;$C1205)+1)/2,"")</f>
        <v/>
      </c>
      <c r="W1205" s="27">
        <f>IF(ISNUMBER($F1205),COUNTIFS($A$14:$A$1213,$A1205,$F$14:$F$1213,"&gt;"&amp;$F1205)+(COUNTIFS($A$14:$A$1213,$A1205,$F$14:$F$1213,"="&amp;$F1205)+1)/2,"")</f>
        <v/>
      </c>
      <c r="X1205" s="27">
        <f>IF(OR(NOT(ISNUMBER($V1205)),$AO1205=1),"",$V1205-(COUNTIFS($A$14:$A$1213,$A1205,$C$14:$C$1213,"&gt;=0")+1)/2)</f>
        <v/>
      </c>
      <c r="Y1205" s="27">
        <f>IF(OR(NOT(ISNUMBER($W1205)),$AO1205=1),"",$W1205-(COUNTIFS($A$14:$A$1213,$A1205,$F$14:$F$1213,"&gt;=0")+1)/2)</f>
        <v/>
      </c>
      <c r="Z1205" s="27">
        <f>IF(ISNUMBER($V1205),$A1205&amp;"|"&amp;$V1205,"")</f>
        <v/>
      </c>
      <c r="AA1205" s="27">
        <f>IF(ISNUMBER($W1205),$A1205&amp;"|"&amp;$W1205,"")</f>
        <v/>
      </c>
      <c r="AB1205" s="27">
        <f>IF(ISNUMBER($F1205),$A1205&amp;"|"&amp;$F1205,"")</f>
        <v/>
      </c>
      <c r="AC1205" s="27">
        <f>IF(ISNUMBER($P1205),COUNTIFS($A$14:$A$1213,$A1205,$P$14:$P$1213,"&gt;"&amp;$P1205)+(COUNTIFS($A$14:$A$1213,$A1205,$P$14:$P$1213,"="&amp;$P1205)+1)/2,"")</f>
        <v/>
      </c>
      <c r="AD1205" s="27">
        <f>IF(ISNUMBER($Q1205),COUNTIFS($A$14:$A$1213,$A1205,$Q$14:$Q$1213,"&gt;"&amp;$Q1205)+(COUNTIFS($A$14:$A$1213,$A1205,$Q$14:$Q$1213,"="&amp;$Q1205)+1)/2,"")</f>
        <v/>
      </c>
      <c r="AE1205" s="27">
        <f>IF(ISNUMBER($R1205),COUNTIFS($A$14:$A$1213,$A1205,$R$14:$R$1213,"&gt;"&amp;$R1205)+(COUNTIFS($A$14:$A$1213,$A1205,$R$14:$R$1213,"="&amp;$R1205)+1)/2,"")</f>
        <v/>
      </c>
      <c r="AF1205" s="27">
        <f>IF(ISNUMBER($S1205),COUNTIFS($A$14:$A$1213,$A1205,$S$14:$S$1213,"&gt;"&amp;$S1205)+(COUNTIFS($A$14:$A$1213,$A1205,$S$14:$S$1213,"="&amp;$S1205)+1)/2,"")</f>
        <v/>
      </c>
      <c r="AG1205" s="27">
        <f>IF(ISNUMBER($T1205),COUNTIFS($A$14:$A$1213,$A1205,$T$14:$T$1213,"&gt;"&amp;$T1205)+(COUNTIFS($A$14:$A$1213,$A1205,$T$14:$T$1213,"="&amp;$T1205)+1)/2,"")</f>
        <v/>
      </c>
      <c r="AH1205" s="27">
        <f>IF(COUNT($AC1205:$AG1205)&lt;2,"",IF(MAX($AC1205:$AG1205)=MIN($AC1205:$AG1205),0,1))</f>
        <v/>
      </c>
      <c r="AI1205" s="27">
        <f>IF($A1205="","",IF(COUNTIF($A$14:$A1205,$A1205)=1,COUNTIF($AI$13:AI1204,"&gt;0")+1,""))</f>
        <v/>
      </c>
      <c r="AO1205" s="27">
        <f>IF($A1205="","",IF(AND(COUNTIFS($A$14:$A$1213,$A1205,$F$14:$F$1213,"&gt;=0")=2,IFERROR(INDEX($M$14:$M$313,MATCH($A1205,$H$14:$H$313,0)),"Yes")&lt;&gt;"Yes"),1,0))</f>
        <v/>
      </c>
    </row>
    <row r="1206">
      <c r="A1206" s="19" t="n"/>
      <c r="B1206" s="20" t="n"/>
      <c r="C1206" s="21">
        <f>IFERROR(AVERAGE(P1206:T1206),"")</f>
        <v/>
      </c>
      <c r="D1206" s="29" t="n"/>
      <c r="E1206" s="29" t="n"/>
      <c r="F1206" s="30">
        <f>IF(AND(ISNUMBER($D1206),ISNUMBER($E1206),$E1206&gt;0,$D1206&lt;=$E1206),$D1206/$E1206,"")</f>
        <v/>
      </c>
      <c r="P1206" s="26" t="n"/>
      <c r="Q1206" s="26" t="n"/>
      <c r="R1206" s="26" t="n"/>
      <c r="S1206" s="26" t="n"/>
      <c r="T1206" s="26" t="n"/>
      <c r="V1206" s="27">
        <f>IF(ISNUMBER($C1206),COUNTIFS($A$14:$A$1213,$A1206,$C$14:$C$1213,"&gt;"&amp;$C1206)+(COUNTIFS($A$14:$A$1213,$A1206,$C$14:$C$1213,"="&amp;$C1206)+1)/2,"")</f>
        <v/>
      </c>
      <c r="W1206" s="27">
        <f>IF(ISNUMBER($F1206),COUNTIFS($A$14:$A$1213,$A1206,$F$14:$F$1213,"&gt;"&amp;$F1206)+(COUNTIFS($A$14:$A$1213,$A1206,$F$14:$F$1213,"="&amp;$F1206)+1)/2,"")</f>
        <v/>
      </c>
      <c r="X1206" s="27">
        <f>IF(OR(NOT(ISNUMBER($V1206)),$AO1206=1),"",$V1206-(COUNTIFS($A$14:$A$1213,$A1206,$C$14:$C$1213,"&gt;=0")+1)/2)</f>
        <v/>
      </c>
      <c r="Y1206" s="27">
        <f>IF(OR(NOT(ISNUMBER($W1206)),$AO1206=1),"",$W1206-(COUNTIFS($A$14:$A$1213,$A1206,$F$14:$F$1213,"&gt;=0")+1)/2)</f>
        <v/>
      </c>
      <c r="Z1206" s="27">
        <f>IF(ISNUMBER($V1206),$A1206&amp;"|"&amp;$V1206,"")</f>
        <v/>
      </c>
      <c r="AA1206" s="27">
        <f>IF(ISNUMBER($W1206),$A1206&amp;"|"&amp;$W1206,"")</f>
        <v/>
      </c>
      <c r="AB1206" s="27">
        <f>IF(ISNUMBER($F1206),$A1206&amp;"|"&amp;$F1206,"")</f>
        <v/>
      </c>
      <c r="AC1206" s="27">
        <f>IF(ISNUMBER($P1206),COUNTIFS($A$14:$A$1213,$A1206,$P$14:$P$1213,"&gt;"&amp;$P1206)+(COUNTIFS($A$14:$A$1213,$A1206,$P$14:$P$1213,"="&amp;$P1206)+1)/2,"")</f>
        <v/>
      </c>
      <c r="AD1206" s="27">
        <f>IF(ISNUMBER($Q1206),COUNTIFS($A$14:$A$1213,$A1206,$Q$14:$Q$1213,"&gt;"&amp;$Q1206)+(COUNTIFS($A$14:$A$1213,$A1206,$Q$14:$Q$1213,"="&amp;$Q1206)+1)/2,"")</f>
        <v/>
      </c>
      <c r="AE1206" s="27">
        <f>IF(ISNUMBER($R1206),COUNTIFS($A$14:$A$1213,$A1206,$R$14:$R$1213,"&gt;"&amp;$R1206)+(COUNTIFS($A$14:$A$1213,$A1206,$R$14:$R$1213,"="&amp;$R1206)+1)/2,"")</f>
        <v/>
      </c>
      <c r="AF1206" s="27">
        <f>IF(ISNUMBER($S1206),COUNTIFS($A$14:$A$1213,$A1206,$S$14:$S$1213,"&gt;"&amp;$S1206)+(COUNTIFS($A$14:$A$1213,$A1206,$S$14:$S$1213,"="&amp;$S1206)+1)/2,"")</f>
        <v/>
      </c>
      <c r="AG1206" s="27">
        <f>IF(ISNUMBER($T1206),COUNTIFS($A$14:$A$1213,$A1206,$T$14:$T$1213,"&gt;"&amp;$T1206)+(COUNTIFS($A$14:$A$1213,$A1206,$T$14:$T$1213,"="&amp;$T1206)+1)/2,"")</f>
        <v/>
      </c>
      <c r="AH1206" s="27">
        <f>IF(COUNT($AC1206:$AG1206)&lt;2,"",IF(MAX($AC1206:$AG1206)=MIN($AC1206:$AG1206),0,1))</f>
        <v/>
      </c>
      <c r="AI1206" s="27">
        <f>IF($A1206="","",IF(COUNTIF($A$14:$A1206,$A1206)=1,COUNTIF($AI$13:AI1205,"&gt;0")+1,""))</f>
        <v/>
      </c>
      <c r="AO1206" s="27">
        <f>IF($A1206="","",IF(AND(COUNTIFS($A$14:$A$1213,$A1206,$F$14:$F$1213,"&gt;=0")=2,IFERROR(INDEX($M$14:$M$313,MATCH($A1206,$H$14:$H$313,0)),"Yes")&lt;&gt;"Yes"),1,0))</f>
        <v/>
      </c>
    </row>
    <row r="1207">
      <c r="A1207" s="19" t="n"/>
      <c r="B1207" s="20" t="n"/>
      <c r="C1207" s="21">
        <f>IFERROR(AVERAGE(P1207:T1207),"")</f>
        <v/>
      </c>
      <c r="D1207" s="29" t="n"/>
      <c r="E1207" s="29" t="n"/>
      <c r="F1207" s="30">
        <f>IF(AND(ISNUMBER($D1207),ISNUMBER($E1207),$E1207&gt;0,$D1207&lt;=$E1207),$D1207/$E1207,"")</f>
        <v/>
      </c>
      <c r="P1207" s="26" t="n"/>
      <c r="Q1207" s="26" t="n"/>
      <c r="R1207" s="26" t="n"/>
      <c r="S1207" s="26" t="n"/>
      <c r="T1207" s="26" t="n"/>
      <c r="V1207" s="27">
        <f>IF(ISNUMBER($C1207),COUNTIFS($A$14:$A$1213,$A1207,$C$14:$C$1213,"&gt;"&amp;$C1207)+(COUNTIFS($A$14:$A$1213,$A1207,$C$14:$C$1213,"="&amp;$C1207)+1)/2,"")</f>
        <v/>
      </c>
      <c r="W1207" s="27">
        <f>IF(ISNUMBER($F1207),COUNTIFS($A$14:$A$1213,$A1207,$F$14:$F$1213,"&gt;"&amp;$F1207)+(COUNTIFS($A$14:$A$1213,$A1207,$F$14:$F$1213,"="&amp;$F1207)+1)/2,"")</f>
        <v/>
      </c>
      <c r="X1207" s="27">
        <f>IF(OR(NOT(ISNUMBER($V1207)),$AO1207=1),"",$V1207-(COUNTIFS($A$14:$A$1213,$A1207,$C$14:$C$1213,"&gt;=0")+1)/2)</f>
        <v/>
      </c>
      <c r="Y1207" s="27">
        <f>IF(OR(NOT(ISNUMBER($W1207)),$AO1207=1),"",$W1207-(COUNTIFS($A$14:$A$1213,$A1207,$F$14:$F$1213,"&gt;=0")+1)/2)</f>
        <v/>
      </c>
      <c r="Z1207" s="27">
        <f>IF(ISNUMBER($V1207),$A1207&amp;"|"&amp;$V1207,"")</f>
        <v/>
      </c>
      <c r="AA1207" s="27">
        <f>IF(ISNUMBER($W1207),$A1207&amp;"|"&amp;$W1207,"")</f>
        <v/>
      </c>
      <c r="AB1207" s="27">
        <f>IF(ISNUMBER($F1207),$A1207&amp;"|"&amp;$F1207,"")</f>
        <v/>
      </c>
      <c r="AC1207" s="27">
        <f>IF(ISNUMBER($P1207),COUNTIFS($A$14:$A$1213,$A1207,$P$14:$P$1213,"&gt;"&amp;$P1207)+(COUNTIFS($A$14:$A$1213,$A1207,$P$14:$P$1213,"="&amp;$P1207)+1)/2,"")</f>
        <v/>
      </c>
      <c r="AD1207" s="27">
        <f>IF(ISNUMBER($Q1207),COUNTIFS($A$14:$A$1213,$A1207,$Q$14:$Q$1213,"&gt;"&amp;$Q1207)+(COUNTIFS($A$14:$A$1213,$A1207,$Q$14:$Q$1213,"="&amp;$Q1207)+1)/2,"")</f>
        <v/>
      </c>
      <c r="AE1207" s="27">
        <f>IF(ISNUMBER($R1207),COUNTIFS($A$14:$A$1213,$A1207,$R$14:$R$1213,"&gt;"&amp;$R1207)+(COUNTIFS($A$14:$A$1213,$A1207,$R$14:$R$1213,"="&amp;$R1207)+1)/2,"")</f>
        <v/>
      </c>
      <c r="AF1207" s="27">
        <f>IF(ISNUMBER($S1207),COUNTIFS($A$14:$A$1213,$A1207,$S$14:$S$1213,"&gt;"&amp;$S1207)+(COUNTIFS($A$14:$A$1213,$A1207,$S$14:$S$1213,"="&amp;$S1207)+1)/2,"")</f>
        <v/>
      </c>
      <c r="AG1207" s="27">
        <f>IF(ISNUMBER($T1207),COUNTIFS($A$14:$A$1213,$A1207,$T$14:$T$1213,"&gt;"&amp;$T1207)+(COUNTIFS($A$14:$A$1213,$A1207,$T$14:$T$1213,"="&amp;$T1207)+1)/2,"")</f>
        <v/>
      </c>
      <c r="AH1207" s="27">
        <f>IF(COUNT($AC1207:$AG1207)&lt;2,"",IF(MAX($AC1207:$AG1207)=MIN($AC1207:$AG1207),0,1))</f>
        <v/>
      </c>
      <c r="AI1207" s="27">
        <f>IF($A1207="","",IF(COUNTIF($A$14:$A1207,$A1207)=1,COUNTIF($AI$13:AI1206,"&gt;0")+1,""))</f>
        <v/>
      </c>
      <c r="AO1207" s="27">
        <f>IF($A1207="","",IF(AND(COUNTIFS($A$14:$A$1213,$A1207,$F$14:$F$1213,"&gt;=0")=2,IFERROR(INDEX($M$14:$M$313,MATCH($A1207,$H$14:$H$313,0)),"Yes")&lt;&gt;"Yes"),1,0))</f>
        <v/>
      </c>
    </row>
    <row r="1208">
      <c r="A1208" s="19" t="n"/>
      <c r="B1208" s="20" t="n"/>
      <c r="C1208" s="21">
        <f>IFERROR(AVERAGE(P1208:T1208),"")</f>
        <v/>
      </c>
      <c r="D1208" s="29" t="n"/>
      <c r="E1208" s="29" t="n"/>
      <c r="F1208" s="30">
        <f>IF(AND(ISNUMBER($D1208),ISNUMBER($E1208),$E1208&gt;0,$D1208&lt;=$E1208),$D1208/$E1208,"")</f>
        <v/>
      </c>
      <c r="P1208" s="26" t="n"/>
      <c r="Q1208" s="26" t="n"/>
      <c r="R1208" s="26" t="n"/>
      <c r="S1208" s="26" t="n"/>
      <c r="T1208" s="26" t="n"/>
      <c r="V1208" s="27">
        <f>IF(ISNUMBER($C1208),COUNTIFS($A$14:$A$1213,$A1208,$C$14:$C$1213,"&gt;"&amp;$C1208)+(COUNTIFS($A$14:$A$1213,$A1208,$C$14:$C$1213,"="&amp;$C1208)+1)/2,"")</f>
        <v/>
      </c>
      <c r="W1208" s="27">
        <f>IF(ISNUMBER($F1208),COUNTIFS($A$14:$A$1213,$A1208,$F$14:$F$1213,"&gt;"&amp;$F1208)+(COUNTIFS($A$14:$A$1213,$A1208,$F$14:$F$1213,"="&amp;$F1208)+1)/2,"")</f>
        <v/>
      </c>
      <c r="X1208" s="27">
        <f>IF(OR(NOT(ISNUMBER($V1208)),$AO1208=1),"",$V1208-(COUNTIFS($A$14:$A$1213,$A1208,$C$14:$C$1213,"&gt;=0")+1)/2)</f>
        <v/>
      </c>
      <c r="Y1208" s="27">
        <f>IF(OR(NOT(ISNUMBER($W1208)),$AO1208=1),"",$W1208-(COUNTIFS($A$14:$A$1213,$A1208,$F$14:$F$1213,"&gt;=0")+1)/2)</f>
        <v/>
      </c>
      <c r="Z1208" s="27">
        <f>IF(ISNUMBER($V1208),$A1208&amp;"|"&amp;$V1208,"")</f>
        <v/>
      </c>
      <c r="AA1208" s="27">
        <f>IF(ISNUMBER($W1208),$A1208&amp;"|"&amp;$W1208,"")</f>
        <v/>
      </c>
      <c r="AB1208" s="27">
        <f>IF(ISNUMBER($F1208),$A1208&amp;"|"&amp;$F1208,"")</f>
        <v/>
      </c>
      <c r="AC1208" s="27">
        <f>IF(ISNUMBER($P1208),COUNTIFS($A$14:$A$1213,$A1208,$P$14:$P$1213,"&gt;"&amp;$P1208)+(COUNTIFS($A$14:$A$1213,$A1208,$P$14:$P$1213,"="&amp;$P1208)+1)/2,"")</f>
        <v/>
      </c>
      <c r="AD1208" s="27">
        <f>IF(ISNUMBER($Q1208),COUNTIFS($A$14:$A$1213,$A1208,$Q$14:$Q$1213,"&gt;"&amp;$Q1208)+(COUNTIFS($A$14:$A$1213,$A1208,$Q$14:$Q$1213,"="&amp;$Q1208)+1)/2,"")</f>
        <v/>
      </c>
      <c r="AE1208" s="27">
        <f>IF(ISNUMBER($R1208),COUNTIFS($A$14:$A$1213,$A1208,$R$14:$R$1213,"&gt;"&amp;$R1208)+(COUNTIFS($A$14:$A$1213,$A1208,$R$14:$R$1213,"="&amp;$R1208)+1)/2,"")</f>
        <v/>
      </c>
      <c r="AF1208" s="27">
        <f>IF(ISNUMBER($S1208),COUNTIFS($A$14:$A$1213,$A1208,$S$14:$S$1213,"&gt;"&amp;$S1208)+(COUNTIFS($A$14:$A$1213,$A1208,$S$14:$S$1213,"="&amp;$S1208)+1)/2,"")</f>
        <v/>
      </c>
      <c r="AG1208" s="27">
        <f>IF(ISNUMBER($T1208),COUNTIFS($A$14:$A$1213,$A1208,$T$14:$T$1213,"&gt;"&amp;$T1208)+(COUNTIFS($A$14:$A$1213,$A1208,$T$14:$T$1213,"="&amp;$T1208)+1)/2,"")</f>
        <v/>
      </c>
      <c r="AH1208" s="27">
        <f>IF(COUNT($AC1208:$AG1208)&lt;2,"",IF(MAX($AC1208:$AG1208)=MIN($AC1208:$AG1208),0,1))</f>
        <v/>
      </c>
      <c r="AI1208" s="27">
        <f>IF($A1208="","",IF(COUNTIF($A$14:$A1208,$A1208)=1,COUNTIF($AI$13:AI1207,"&gt;0")+1,""))</f>
        <v/>
      </c>
      <c r="AO1208" s="27">
        <f>IF($A1208="","",IF(AND(COUNTIFS($A$14:$A$1213,$A1208,$F$14:$F$1213,"&gt;=0")=2,IFERROR(INDEX($M$14:$M$313,MATCH($A1208,$H$14:$H$313,0)),"Yes")&lt;&gt;"Yes"),1,0))</f>
        <v/>
      </c>
    </row>
    <row r="1209">
      <c r="A1209" s="19" t="n"/>
      <c r="B1209" s="20" t="n"/>
      <c r="C1209" s="21">
        <f>IFERROR(AVERAGE(P1209:T1209),"")</f>
        <v/>
      </c>
      <c r="D1209" s="29" t="n"/>
      <c r="E1209" s="29" t="n"/>
      <c r="F1209" s="30">
        <f>IF(AND(ISNUMBER($D1209),ISNUMBER($E1209),$E1209&gt;0,$D1209&lt;=$E1209),$D1209/$E1209,"")</f>
        <v/>
      </c>
      <c r="P1209" s="26" t="n"/>
      <c r="Q1209" s="26" t="n"/>
      <c r="R1209" s="26" t="n"/>
      <c r="S1209" s="26" t="n"/>
      <c r="T1209" s="26" t="n"/>
      <c r="V1209" s="27">
        <f>IF(ISNUMBER($C1209),COUNTIFS($A$14:$A$1213,$A1209,$C$14:$C$1213,"&gt;"&amp;$C1209)+(COUNTIFS($A$14:$A$1213,$A1209,$C$14:$C$1213,"="&amp;$C1209)+1)/2,"")</f>
        <v/>
      </c>
      <c r="W1209" s="27">
        <f>IF(ISNUMBER($F1209),COUNTIFS($A$14:$A$1213,$A1209,$F$14:$F$1213,"&gt;"&amp;$F1209)+(COUNTIFS($A$14:$A$1213,$A1209,$F$14:$F$1213,"="&amp;$F1209)+1)/2,"")</f>
        <v/>
      </c>
      <c r="X1209" s="27">
        <f>IF(OR(NOT(ISNUMBER($V1209)),$AO1209=1),"",$V1209-(COUNTIFS($A$14:$A$1213,$A1209,$C$14:$C$1213,"&gt;=0")+1)/2)</f>
        <v/>
      </c>
      <c r="Y1209" s="27">
        <f>IF(OR(NOT(ISNUMBER($W1209)),$AO1209=1),"",$W1209-(COUNTIFS($A$14:$A$1213,$A1209,$F$14:$F$1213,"&gt;=0")+1)/2)</f>
        <v/>
      </c>
      <c r="Z1209" s="27">
        <f>IF(ISNUMBER($V1209),$A1209&amp;"|"&amp;$V1209,"")</f>
        <v/>
      </c>
      <c r="AA1209" s="27">
        <f>IF(ISNUMBER($W1209),$A1209&amp;"|"&amp;$W1209,"")</f>
        <v/>
      </c>
      <c r="AB1209" s="27">
        <f>IF(ISNUMBER($F1209),$A1209&amp;"|"&amp;$F1209,"")</f>
        <v/>
      </c>
      <c r="AC1209" s="27">
        <f>IF(ISNUMBER($P1209),COUNTIFS($A$14:$A$1213,$A1209,$P$14:$P$1213,"&gt;"&amp;$P1209)+(COUNTIFS($A$14:$A$1213,$A1209,$P$14:$P$1213,"="&amp;$P1209)+1)/2,"")</f>
        <v/>
      </c>
      <c r="AD1209" s="27">
        <f>IF(ISNUMBER($Q1209),COUNTIFS($A$14:$A$1213,$A1209,$Q$14:$Q$1213,"&gt;"&amp;$Q1209)+(COUNTIFS($A$14:$A$1213,$A1209,$Q$14:$Q$1213,"="&amp;$Q1209)+1)/2,"")</f>
        <v/>
      </c>
      <c r="AE1209" s="27">
        <f>IF(ISNUMBER($R1209),COUNTIFS($A$14:$A$1213,$A1209,$R$14:$R$1213,"&gt;"&amp;$R1209)+(COUNTIFS($A$14:$A$1213,$A1209,$R$14:$R$1213,"="&amp;$R1209)+1)/2,"")</f>
        <v/>
      </c>
      <c r="AF1209" s="27">
        <f>IF(ISNUMBER($S1209),COUNTIFS($A$14:$A$1213,$A1209,$S$14:$S$1213,"&gt;"&amp;$S1209)+(COUNTIFS($A$14:$A$1213,$A1209,$S$14:$S$1213,"="&amp;$S1209)+1)/2,"")</f>
        <v/>
      </c>
      <c r="AG1209" s="27">
        <f>IF(ISNUMBER($T1209),COUNTIFS($A$14:$A$1213,$A1209,$T$14:$T$1213,"&gt;"&amp;$T1209)+(COUNTIFS($A$14:$A$1213,$A1209,$T$14:$T$1213,"="&amp;$T1209)+1)/2,"")</f>
        <v/>
      </c>
      <c r="AH1209" s="27">
        <f>IF(COUNT($AC1209:$AG1209)&lt;2,"",IF(MAX($AC1209:$AG1209)=MIN($AC1209:$AG1209),0,1))</f>
        <v/>
      </c>
      <c r="AI1209" s="27">
        <f>IF($A1209="","",IF(COUNTIF($A$14:$A1209,$A1209)=1,COUNTIF($AI$13:AI1208,"&gt;0")+1,""))</f>
        <v/>
      </c>
      <c r="AO1209" s="27">
        <f>IF($A1209="","",IF(AND(COUNTIFS($A$14:$A$1213,$A1209,$F$14:$F$1213,"&gt;=0")=2,IFERROR(INDEX($M$14:$M$313,MATCH($A1209,$H$14:$H$313,0)),"Yes")&lt;&gt;"Yes"),1,0))</f>
        <v/>
      </c>
    </row>
    <row r="1210">
      <c r="A1210" s="19" t="n"/>
      <c r="B1210" s="20" t="n"/>
      <c r="C1210" s="21">
        <f>IFERROR(AVERAGE(P1210:T1210),"")</f>
        <v/>
      </c>
      <c r="D1210" s="29" t="n"/>
      <c r="E1210" s="29" t="n"/>
      <c r="F1210" s="30">
        <f>IF(AND(ISNUMBER($D1210),ISNUMBER($E1210),$E1210&gt;0,$D1210&lt;=$E1210),$D1210/$E1210,"")</f>
        <v/>
      </c>
      <c r="P1210" s="26" t="n"/>
      <c r="Q1210" s="26" t="n"/>
      <c r="R1210" s="26" t="n"/>
      <c r="S1210" s="26" t="n"/>
      <c r="T1210" s="26" t="n"/>
      <c r="V1210" s="27">
        <f>IF(ISNUMBER($C1210),COUNTIFS($A$14:$A$1213,$A1210,$C$14:$C$1213,"&gt;"&amp;$C1210)+(COUNTIFS($A$14:$A$1213,$A1210,$C$14:$C$1213,"="&amp;$C1210)+1)/2,"")</f>
        <v/>
      </c>
      <c r="W1210" s="27">
        <f>IF(ISNUMBER($F1210),COUNTIFS($A$14:$A$1213,$A1210,$F$14:$F$1213,"&gt;"&amp;$F1210)+(COUNTIFS($A$14:$A$1213,$A1210,$F$14:$F$1213,"="&amp;$F1210)+1)/2,"")</f>
        <v/>
      </c>
      <c r="X1210" s="27">
        <f>IF(OR(NOT(ISNUMBER($V1210)),$AO1210=1),"",$V1210-(COUNTIFS($A$14:$A$1213,$A1210,$C$14:$C$1213,"&gt;=0")+1)/2)</f>
        <v/>
      </c>
      <c r="Y1210" s="27">
        <f>IF(OR(NOT(ISNUMBER($W1210)),$AO1210=1),"",$W1210-(COUNTIFS($A$14:$A$1213,$A1210,$F$14:$F$1213,"&gt;=0")+1)/2)</f>
        <v/>
      </c>
      <c r="Z1210" s="27">
        <f>IF(ISNUMBER($V1210),$A1210&amp;"|"&amp;$V1210,"")</f>
        <v/>
      </c>
      <c r="AA1210" s="27">
        <f>IF(ISNUMBER($W1210),$A1210&amp;"|"&amp;$W1210,"")</f>
        <v/>
      </c>
      <c r="AB1210" s="27">
        <f>IF(ISNUMBER($F1210),$A1210&amp;"|"&amp;$F1210,"")</f>
        <v/>
      </c>
      <c r="AC1210" s="27">
        <f>IF(ISNUMBER($P1210),COUNTIFS($A$14:$A$1213,$A1210,$P$14:$P$1213,"&gt;"&amp;$P1210)+(COUNTIFS($A$14:$A$1213,$A1210,$P$14:$P$1213,"="&amp;$P1210)+1)/2,"")</f>
        <v/>
      </c>
      <c r="AD1210" s="27">
        <f>IF(ISNUMBER($Q1210),COUNTIFS($A$14:$A$1213,$A1210,$Q$14:$Q$1213,"&gt;"&amp;$Q1210)+(COUNTIFS($A$14:$A$1213,$A1210,$Q$14:$Q$1213,"="&amp;$Q1210)+1)/2,"")</f>
        <v/>
      </c>
      <c r="AE1210" s="27">
        <f>IF(ISNUMBER($R1210),COUNTIFS($A$14:$A$1213,$A1210,$R$14:$R$1213,"&gt;"&amp;$R1210)+(COUNTIFS($A$14:$A$1213,$A1210,$R$14:$R$1213,"="&amp;$R1210)+1)/2,"")</f>
        <v/>
      </c>
      <c r="AF1210" s="27">
        <f>IF(ISNUMBER($S1210),COUNTIFS($A$14:$A$1213,$A1210,$S$14:$S$1213,"&gt;"&amp;$S1210)+(COUNTIFS($A$14:$A$1213,$A1210,$S$14:$S$1213,"="&amp;$S1210)+1)/2,"")</f>
        <v/>
      </c>
      <c r="AG1210" s="27">
        <f>IF(ISNUMBER($T1210),COUNTIFS($A$14:$A$1213,$A1210,$T$14:$T$1213,"&gt;"&amp;$T1210)+(COUNTIFS($A$14:$A$1213,$A1210,$T$14:$T$1213,"="&amp;$T1210)+1)/2,"")</f>
        <v/>
      </c>
      <c r="AH1210" s="27">
        <f>IF(COUNT($AC1210:$AG1210)&lt;2,"",IF(MAX($AC1210:$AG1210)=MIN($AC1210:$AG1210),0,1))</f>
        <v/>
      </c>
      <c r="AI1210" s="27">
        <f>IF($A1210="","",IF(COUNTIF($A$14:$A1210,$A1210)=1,COUNTIF($AI$13:AI1209,"&gt;0")+1,""))</f>
        <v/>
      </c>
      <c r="AO1210" s="27">
        <f>IF($A1210="","",IF(AND(COUNTIFS($A$14:$A$1213,$A1210,$F$14:$F$1213,"&gt;=0")=2,IFERROR(INDEX($M$14:$M$313,MATCH($A1210,$H$14:$H$313,0)),"Yes")&lt;&gt;"Yes"),1,0))</f>
        <v/>
      </c>
    </row>
    <row r="1211">
      <c r="A1211" s="19" t="n"/>
      <c r="B1211" s="20" t="n"/>
      <c r="C1211" s="21">
        <f>IFERROR(AVERAGE(P1211:T1211),"")</f>
        <v/>
      </c>
      <c r="D1211" s="29" t="n"/>
      <c r="E1211" s="29" t="n"/>
      <c r="F1211" s="30">
        <f>IF(AND(ISNUMBER($D1211),ISNUMBER($E1211),$E1211&gt;0,$D1211&lt;=$E1211),$D1211/$E1211,"")</f>
        <v/>
      </c>
      <c r="P1211" s="26" t="n"/>
      <c r="Q1211" s="26" t="n"/>
      <c r="R1211" s="26" t="n"/>
      <c r="S1211" s="26" t="n"/>
      <c r="T1211" s="26" t="n"/>
      <c r="V1211" s="27">
        <f>IF(ISNUMBER($C1211),COUNTIFS($A$14:$A$1213,$A1211,$C$14:$C$1213,"&gt;"&amp;$C1211)+(COUNTIFS($A$14:$A$1213,$A1211,$C$14:$C$1213,"="&amp;$C1211)+1)/2,"")</f>
        <v/>
      </c>
      <c r="W1211" s="27">
        <f>IF(ISNUMBER($F1211),COUNTIFS($A$14:$A$1213,$A1211,$F$14:$F$1213,"&gt;"&amp;$F1211)+(COUNTIFS($A$14:$A$1213,$A1211,$F$14:$F$1213,"="&amp;$F1211)+1)/2,"")</f>
        <v/>
      </c>
      <c r="X1211" s="27">
        <f>IF(OR(NOT(ISNUMBER($V1211)),$AO1211=1),"",$V1211-(COUNTIFS($A$14:$A$1213,$A1211,$C$14:$C$1213,"&gt;=0")+1)/2)</f>
        <v/>
      </c>
      <c r="Y1211" s="27">
        <f>IF(OR(NOT(ISNUMBER($W1211)),$AO1211=1),"",$W1211-(COUNTIFS($A$14:$A$1213,$A1211,$F$14:$F$1213,"&gt;=0")+1)/2)</f>
        <v/>
      </c>
      <c r="Z1211" s="27">
        <f>IF(ISNUMBER($V1211),$A1211&amp;"|"&amp;$V1211,"")</f>
        <v/>
      </c>
      <c r="AA1211" s="27">
        <f>IF(ISNUMBER($W1211),$A1211&amp;"|"&amp;$W1211,"")</f>
        <v/>
      </c>
      <c r="AB1211" s="27">
        <f>IF(ISNUMBER($F1211),$A1211&amp;"|"&amp;$F1211,"")</f>
        <v/>
      </c>
      <c r="AC1211" s="27">
        <f>IF(ISNUMBER($P1211),COUNTIFS($A$14:$A$1213,$A1211,$P$14:$P$1213,"&gt;"&amp;$P1211)+(COUNTIFS($A$14:$A$1213,$A1211,$P$14:$P$1213,"="&amp;$P1211)+1)/2,"")</f>
        <v/>
      </c>
      <c r="AD1211" s="27">
        <f>IF(ISNUMBER($Q1211),COUNTIFS($A$14:$A$1213,$A1211,$Q$14:$Q$1213,"&gt;"&amp;$Q1211)+(COUNTIFS($A$14:$A$1213,$A1211,$Q$14:$Q$1213,"="&amp;$Q1211)+1)/2,"")</f>
        <v/>
      </c>
      <c r="AE1211" s="27">
        <f>IF(ISNUMBER($R1211),COUNTIFS($A$14:$A$1213,$A1211,$R$14:$R$1213,"&gt;"&amp;$R1211)+(COUNTIFS($A$14:$A$1213,$A1211,$R$14:$R$1213,"="&amp;$R1211)+1)/2,"")</f>
        <v/>
      </c>
      <c r="AF1211" s="27">
        <f>IF(ISNUMBER($S1211),COUNTIFS($A$14:$A$1213,$A1211,$S$14:$S$1213,"&gt;"&amp;$S1211)+(COUNTIFS($A$14:$A$1213,$A1211,$S$14:$S$1213,"="&amp;$S1211)+1)/2,"")</f>
        <v/>
      </c>
      <c r="AG1211" s="27">
        <f>IF(ISNUMBER($T1211),COUNTIFS($A$14:$A$1213,$A1211,$T$14:$T$1213,"&gt;"&amp;$T1211)+(COUNTIFS($A$14:$A$1213,$A1211,$T$14:$T$1213,"="&amp;$T1211)+1)/2,"")</f>
        <v/>
      </c>
      <c r="AH1211" s="27">
        <f>IF(COUNT($AC1211:$AG1211)&lt;2,"",IF(MAX($AC1211:$AG1211)=MIN($AC1211:$AG1211),0,1))</f>
        <v/>
      </c>
      <c r="AI1211" s="27">
        <f>IF($A1211="","",IF(COUNTIF($A$14:$A1211,$A1211)=1,COUNTIF($AI$13:AI1210,"&gt;0")+1,""))</f>
        <v/>
      </c>
      <c r="AO1211" s="27">
        <f>IF($A1211="","",IF(AND(COUNTIFS($A$14:$A$1213,$A1211,$F$14:$F$1213,"&gt;=0")=2,IFERROR(INDEX($M$14:$M$313,MATCH($A1211,$H$14:$H$313,0)),"Yes")&lt;&gt;"Yes"),1,0))</f>
        <v/>
      </c>
    </row>
    <row r="1212">
      <c r="A1212" s="19" t="n"/>
      <c r="B1212" s="20" t="n"/>
      <c r="C1212" s="21">
        <f>IFERROR(AVERAGE(P1212:T1212),"")</f>
        <v/>
      </c>
      <c r="D1212" s="29" t="n"/>
      <c r="E1212" s="29" t="n"/>
      <c r="F1212" s="30">
        <f>IF(AND(ISNUMBER($D1212),ISNUMBER($E1212),$E1212&gt;0,$D1212&lt;=$E1212),$D1212/$E1212,"")</f>
        <v/>
      </c>
      <c r="P1212" s="26" t="n"/>
      <c r="Q1212" s="26" t="n"/>
      <c r="R1212" s="26" t="n"/>
      <c r="S1212" s="26" t="n"/>
      <c r="T1212" s="26" t="n"/>
      <c r="V1212" s="27">
        <f>IF(ISNUMBER($C1212),COUNTIFS($A$14:$A$1213,$A1212,$C$14:$C$1213,"&gt;"&amp;$C1212)+(COUNTIFS($A$14:$A$1213,$A1212,$C$14:$C$1213,"="&amp;$C1212)+1)/2,"")</f>
        <v/>
      </c>
      <c r="W1212" s="27">
        <f>IF(ISNUMBER($F1212),COUNTIFS($A$14:$A$1213,$A1212,$F$14:$F$1213,"&gt;"&amp;$F1212)+(COUNTIFS($A$14:$A$1213,$A1212,$F$14:$F$1213,"="&amp;$F1212)+1)/2,"")</f>
        <v/>
      </c>
      <c r="X1212" s="27">
        <f>IF(OR(NOT(ISNUMBER($V1212)),$AO1212=1),"",$V1212-(COUNTIFS($A$14:$A$1213,$A1212,$C$14:$C$1213,"&gt;=0")+1)/2)</f>
        <v/>
      </c>
      <c r="Y1212" s="27">
        <f>IF(OR(NOT(ISNUMBER($W1212)),$AO1212=1),"",$W1212-(COUNTIFS($A$14:$A$1213,$A1212,$F$14:$F$1213,"&gt;=0")+1)/2)</f>
        <v/>
      </c>
      <c r="Z1212" s="27">
        <f>IF(ISNUMBER($V1212),$A1212&amp;"|"&amp;$V1212,"")</f>
        <v/>
      </c>
      <c r="AA1212" s="27">
        <f>IF(ISNUMBER($W1212),$A1212&amp;"|"&amp;$W1212,"")</f>
        <v/>
      </c>
      <c r="AB1212" s="27">
        <f>IF(ISNUMBER($F1212),$A1212&amp;"|"&amp;$F1212,"")</f>
        <v/>
      </c>
      <c r="AC1212" s="27">
        <f>IF(ISNUMBER($P1212),COUNTIFS($A$14:$A$1213,$A1212,$P$14:$P$1213,"&gt;"&amp;$P1212)+(COUNTIFS($A$14:$A$1213,$A1212,$P$14:$P$1213,"="&amp;$P1212)+1)/2,"")</f>
        <v/>
      </c>
      <c r="AD1212" s="27">
        <f>IF(ISNUMBER($Q1212),COUNTIFS($A$14:$A$1213,$A1212,$Q$14:$Q$1213,"&gt;"&amp;$Q1212)+(COUNTIFS($A$14:$A$1213,$A1212,$Q$14:$Q$1213,"="&amp;$Q1212)+1)/2,"")</f>
        <v/>
      </c>
      <c r="AE1212" s="27">
        <f>IF(ISNUMBER($R1212),COUNTIFS($A$14:$A$1213,$A1212,$R$14:$R$1213,"&gt;"&amp;$R1212)+(COUNTIFS($A$14:$A$1213,$A1212,$R$14:$R$1213,"="&amp;$R1212)+1)/2,"")</f>
        <v/>
      </c>
      <c r="AF1212" s="27">
        <f>IF(ISNUMBER($S1212),COUNTIFS($A$14:$A$1213,$A1212,$S$14:$S$1213,"&gt;"&amp;$S1212)+(COUNTIFS($A$14:$A$1213,$A1212,$S$14:$S$1213,"="&amp;$S1212)+1)/2,"")</f>
        <v/>
      </c>
      <c r="AG1212" s="27">
        <f>IF(ISNUMBER($T1212),COUNTIFS($A$14:$A$1213,$A1212,$T$14:$T$1213,"&gt;"&amp;$T1212)+(COUNTIFS($A$14:$A$1213,$A1212,$T$14:$T$1213,"="&amp;$T1212)+1)/2,"")</f>
        <v/>
      </c>
      <c r="AH1212" s="27">
        <f>IF(COUNT($AC1212:$AG1212)&lt;2,"",IF(MAX($AC1212:$AG1212)=MIN($AC1212:$AG1212),0,1))</f>
        <v/>
      </c>
      <c r="AI1212" s="27">
        <f>IF($A1212="","",IF(COUNTIF($A$14:$A1212,$A1212)=1,COUNTIF($AI$13:AI1211,"&gt;0")+1,""))</f>
        <v/>
      </c>
      <c r="AO1212" s="27">
        <f>IF($A1212="","",IF(AND(COUNTIFS($A$14:$A$1213,$A1212,$F$14:$F$1213,"&gt;=0")=2,IFERROR(INDEX($M$14:$M$313,MATCH($A1212,$H$14:$H$313,0)),"Yes")&lt;&gt;"Yes"),1,0))</f>
        <v/>
      </c>
    </row>
    <row r="1213">
      <c r="A1213" s="19" t="n"/>
      <c r="B1213" s="20" t="n"/>
      <c r="C1213" s="21">
        <f>IFERROR(AVERAGE(P1213:T1213),"")</f>
        <v/>
      </c>
      <c r="D1213" s="29" t="n"/>
      <c r="E1213" s="29" t="n"/>
      <c r="F1213" s="30">
        <f>IF(AND(ISNUMBER($D1213),ISNUMBER($E1213),$E1213&gt;0,$D1213&lt;=$E1213),$D1213/$E1213,"")</f>
        <v/>
      </c>
      <c r="P1213" s="26" t="n"/>
      <c r="Q1213" s="26" t="n"/>
      <c r="R1213" s="26" t="n"/>
      <c r="S1213" s="26" t="n"/>
      <c r="T1213" s="26" t="n"/>
      <c r="V1213" s="27">
        <f>IF(ISNUMBER($C1213),COUNTIFS($A$14:$A$1213,$A1213,$C$14:$C$1213,"&gt;"&amp;$C1213)+(COUNTIFS($A$14:$A$1213,$A1213,$C$14:$C$1213,"="&amp;$C1213)+1)/2,"")</f>
        <v/>
      </c>
      <c r="W1213" s="27">
        <f>IF(ISNUMBER($F1213),COUNTIFS($A$14:$A$1213,$A1213,$F$14:$F$1213,"&gt;"&amp;$F1213)+(COUNTIFS($A$14:$A$1213,$A1213,$F$14:$F$1213,"="&amp;$F1213)+1)/2,"")</f>
        <v/>
      </c>
      <c r="X1213" s="27">
        <f>IF(OR(NOT(ISNUMBER($V1213)),$AO1213=1),"",$V1213-(COUNTIFS($A$14:$A$1213,$A1213,$C$14:$C$1213,"&gt;=0")+1)/2)</f>
        <v/>
      </c>
      <c r="Y1213" s="27">
        <f>IF(OR(NOT(ISNUMBER($W1213)),$AO1213=1),"",$W1213-(COUNTIFS($A$14:$A$1213,$A1213,$F$14:$F$1213,"&gt;=0")+1)/2)</f>
        <v/>
      </c>
      <c r="Z1213" s="27">
        <f>IF(ISNUMBER($V1213),$A1213&amp;"|"&amp;$V1213,"")</f>
        <v/>
      </c>
      <c r="AA1213" s="27">
        <f>IF(ISNUMBER($W1213),$A1213&amp;"|"&amp;$W1213,"")</f>
        <v/>
      </c>
      <c r="AB1213" s="27">
        <f>IF(ISNUMBER($F1213),$A1213&amp;"|"&amp;$F1213,"")</f>
        <v/>
      </c>
      <c r="AC1213" s="27">
        <f>IF(ISNUMBER($P1213),COUNTIFS($A$14:$A$1213,$A1213,$P$14:$P$1213,"&gt;"&amp;$P1213)+(COUNTIFS($A$14:$A$1213,$A1213,$P$14:$P$1213,"="&amp;$P1213)+1)/2,"")</f>
        <v/>
      </c>
      <c r="AD1213" s="27">
        <f>IF(ISNUMBER($Q1213),COUNTIFS($A$14:$A$1213,$A1213,$Q$14:$Q$1213,"&gt;"&amp;$Q1213)+(COUNTIFS($A$14:$A$1213,$A1213,$Q$14:$Q$1213,"="&amp;$Q1213)+1)/2,"")</f>
        <v/>
      </c>
      <c r="AE1213" s="27">
        <f>IF(ISNUMBER($R1213),COUNTIFS($A$14:$A$1213,$A1213,$R$14:$R$1213,"&gt;"&amp;$R1213)+(COUNTIFS($A$14:$A$1213,$A1213,$R$14:$R$1213,"="&amp;$R1213)+1)/2,"")</f>
        <v/>
      </c>
      <c r="AF1213" s="27">
        <f>IF(ISNUMBER($S1213),COUNTIFS($A$14:$A$1213,$A1213,$S$14:$S$1213,"&gt;"&amp;$S1213)+(COUNTIFS($A$14:$A$1213,$A1213,$S$14:$S$1213,"="&amp;$S1213)+1)/2,"")</f>
        <v/>
      </c>
      <c r="AG1213" s="27">
        <f>IF(ISNUMBER($T1213),COUNTIFS($A$14:$A$1213,$A1213,$T$14:$T$1213,"&gt;"&amp;$T1213)+(COUNTIFS($A$14:$A$1213,$A1213,$T$14:$T$1213,"="&amp;$T1213)+1)/2,"")</f>
        <v/>
      </c>
      <c r="AH1213" s="27">
        <f>IF(COUNT($AC1213:$AG1213)&lt;2,"",IF(MAX($AC1213:$AG1213)=MIN($AC1213:$AG1213),0,1))</f>
        <v/>
      </c>
      <c r="AI1213" s="27">
        <f>IF($A1213="","",IF(COUNTIF($A$14:$A1213,$A1213)=1,COUNTIF($AI$13:AI1212,"&gt;0")+1,""))</f>
        <v/>
      </c>
      <c r="AO1213" s="27">
        <f>IF($A1213="","",IF(AND(COUNTIFS($A$14:$A$1213,$A1213,$F$14:$F$1213,"&gt;=0")=2,IFERROR(INDEX($M$14:$M$313,MATCH($A1213,$H$14:$H$313,0)),"Yes")&lt;&gt;"Yes"),1,0))</f>
        <v/>
      </c>
    </row>
  </sheetData>
  <mergeCells count="23">
    <mergeCell ref="C5:D5"/>
    <mergeCell ref="H3:N3"/>
    <mergeCell ref="A12:F12"/>
    <mergeCell ref="H5:N5"/>
    <mergeCell ref="H8:N8"/>
    <mergeCell ref="A7:B7"/>
    <mergeCell ref="H10:N10"/>
    <mergeCell ref="E7:G7"/>
    <mergeCell ref="P12:U12"/>
    <mergeCell ref="H1:N1"/>
    <mergeCell ref="H4:N4"/>
    <mergeCell ref="H9:N9"/>
    <mergeCell ref="A6:G6"/>
    <mergeCell ref="A5:B5"/>
    <mergeCell ref="H6:N6"/>
    <mergeCell ref="A8:B8"/>
    <mergeCell ref="C8:D8"/>
    <mergeCell ref="C7:D7"/>
    <mergeCell ref="H12:L12"/>
    <mergeCell ref="E5:G5"/>
    <mergeCell ref="H2:N2"/>
    <mergeCell ref="E8:G8"/>
    <mergeCell ref="H7:N7"/>
  </mergeCells>
  <conditionalFormatting sqref="A14:A1213">
    <cfRule type="expression" priority="2" dxfId="2">
      <formula>AND($A14&lt;&gt;"",$A14=$A13)</formula>
    </cfRule>
  </conditionalFormatting>
  <conditionalFormatting sqref="A14:T1213">
    <cfRule type="expression" priority="1" dxfId="1">
      <formula>AND($A14&lt;&gt;"",$A14&lt;&gt;$A13)</formula>
    </cfRule>
  </conditionalFormatting>
  <conditionalFormatting sqref="D14:E1213">
    <cfRule type="expression" priority="3" dxfId="0">
      <formula>AND(ISNUMBER($D14),ISNUMBER($E14),$D14&gt;$E14)</formula>
    </cfRule>
  </conditionalFormatting>
  <pageMargins left="0.7" right="0.7" top="0.75" bottom="0.75" header="0.3" footer="0.3"/>
  <pageSetup orientation="landscape" fitToHeight="0"/>
  <legacyDrawing xmlns:r="http://schemas.openxmlformats.org/officeDocument/2006/relationships" r:id="anysvml"/>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terms:created xmlns:dcterms="http://purl.org/dc/terms/" xmlns:xsi="http://www.w3.org/2001/XMLSchema-instance" xsi:type="dcterms:W3CDTF">2026-10-21T12:31:38Z</dcterms:created>
  <dcterms:modified xmlns:dcterms="http://purl.org/dc/terms/" xmlns:xsi="http://www.w3.org/2001/XMLSchema-instance" xsi:type="dcterms:W3CDTF">2026-10-21T12:46:11Z</dcterms:modified>
</cp:coreProperties>
</file>